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ck/Documents/krio/S.A.F.E.-AI DatabrushingTool/v1_excel/測試資料/"/>
    </mc:Choice>
  </mc:AlternateContent>
  <xr:revisionPtr revIDLastSave="0" documentId="13_ncr:1_{E62608D9-9294-D841-9B57-154BD6D5C840}" xr6:coauthVersionLast="47" xr6:coauthVersionMax="47" xr10:uidLastSave="{00000000-0000-0000-0000-000000000000}"/>
  <bookViews>
    <workbookView xWindow="34080" yWindow="600" windowWidth="33720" windowHeight="20720" xr2:uid="{00000000-000D-0000-FFFF-FFFF00000000}"/>
  </bookViews>
  <sheets>
    <sheet name="ALL" sheetId="1" r:id="rId1"/>
    <sheet name="OA List" sheetId="11" r:id="rId2"/>
  </sheets>
  <definedNames>
    <definedName name="Z_8798D8E6_08A3_4DF0_BF38_B8A7A8E14894_.wvu.FilterData" localSheetId="0" hidden="1">ALL!$A$1:$AP$9</definedName>
    <definedName name="Z_C9A0C243_7E73_4FE7_8E7C_67ABE88D82FD_.wvu.FilterData" localSheetId="0" hidden="1">ALL!$A$1:$AP$9</definedName>
    <definedName name="Z_CF86F120_DE02_4EBC_8B6A_E39704F3764C_.wvu.FilterData" localSheetId="0" hidden="1">ALL!$A$1:$AQ$9</definedName>
  </definedNames>
  <calcPr calcId="191029"/>
  <customWorkbookViews>
    <customWorkbookView name="篩選器 2" guid="{8798D8E6-08A3-4DF0-BF38-B8A7A8E14894}" maximized="1" windowWidth="0" windowHeight="0" activeSheetId="0"/>
    <customWorkbookView name="篩選器 1" guid="{C9A0C243-7E73-4FE7-8E7C-67ABE88D82FD}" maximized="1" windowWidth="0" windowHeight="0" activeSheetId="0"/>
    <customWorkbookView name="篩選器 4" guid="{303C54EC-9D0C-4832-9CE8-E39D5BEC77B0}" maximized="1" windowWidth="0" windowHeight="0" activeSheetId="0"/>
    <customWorkbookView name="篩選器 3" guid="{CF86F120-DE02-4EBC-8B6A-E39704F3764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MIopIk7IeGpFvHcVBfFiR4qTTrIwu36JpQgBQTOW7HI="/>
    </ext>
  </extLst>
</workbook>
</file>

<file path=xl/calcChain.xml><?xml version="1.0" encoding="utf-8"?>
<calcChain xmlns="http://schemas.openxmlformats.org/spreadsheetml/2006/main">
  <c r="G5484" i="1" l="1"/>
  <c r="AK5462" i="1"/>
  <c r="AL5453" i="1"/>
  <c r="AK5453" i="1"/>
  <c r="AL5448" i="1"/>
  <c r="AK5448" i="1"/>
  <c r="G5437" i="1"/>
  <c r="G5436" i="1"/>
  <c r="AL5426" i="1"/>
  <c r="AK5426" i="1"/>
  <c r="AL5421" i="1"/>
  <c r="AK5421" i="1"/>
  <c r="AL5420" i="1"/>
  <c r="AK5420" i="1"/>
  <c r="AL5417" i="1"/>
  <c r="AK5417" i="1"/>
  <c r="AL5416" i="1"/>
  <c r="AK5416" i="1"/>
  <c r="AL5415" i="1"/>
  <c r="AK5415" i="1"/>
  <c r="AL5408" i="1"/>
  <c r="AK5408" i="1"/>
  <c r="AL5397" i="1"/>
  <c r="AK5397" i="1"/>
  <c r="AL5396" i="1"/>
  <c r="AK5396" i="1"/>
  <c r="AL5394" i="1"/>
  <c r="AK5394" i="1"/>
  <c r="AL5389" i="1"/>
  <c r="AK5389" i="1"/>
  <c r="AK5386" i="1"/>
  <c r="AL5371" i="1"/>
  <c r="AK5371" i="1"/>
  <c r="AL5359" i="1"/>
  <c r="AK5359" i="1"/>
  <c r="AL5357" i="1"/>
  <c r="AK5357" i="1"/>
  <c r="G5355" i="1"/>
  <c r="AL5352" i="1"/>
  <c r="AK5352" i="1"/>
  <c r="AL5348" i="1"/>
  <c r="AK5348" i="1"/>
  <c r="AL5347" i="1"/>
  <c r="AK5347" i="1"/>
  <c r="AL5345" i="1"/>
  <c r="AK5345" i="1"/>
  <c r="AL5337" i="1"/>
  <c r="AK5337" i="1"/>
  <c r="AK5334" i="1"/>
  <c r="AL5332" i="1"/>
  <c r="AK5332" i="1"/>
  <c r="AL5306" i="1"/>
  <c r="AK5306" i="1"/>
  <c r="AL5293" i="1"/>
  <c r="AK5293" i="1"/>
  <c r="AL5288" i="1"/>
  <c r="AK5288" i="1"/>
  <c r="AL5283" i="1"/>
  <c r="AK5283" i="1"/>
  <c r="AL5281" i="1"/>
  <c r="AK5281" i="1"/>
  <c r="AL5276" i="1"/>
  <c r="AK5276" i="1"/>
  <c r="AL5272" i="1"/>
  <c r="AK5272" i="1"/>
  <c r="AL5264" i="1"/>
  <c r="AK5264" i="1"/>
  <c r="AL5261" i="1"/>
  <c r="AK5261" i="1"/>
  <c r="AL5251" i="1"/>
  <c r="AK5251" i="1"/>
  <c r="G5250" i="1"/>
  <c r="AL5243" i="1"/>
  <c r="AK5243" i="1"/>
  <c r="AL5224" i="1"/>
  <c r="AK5224" i="1"/>
  <c r="AL5221" i="1"/>
  <c r="AK5221" i="1"/>
  <c r="AL5217" i="1"/>
  <c r="AK5217" i="1"/>
  <c r="AL5206" i="1"/>
  <c r="AK5206" i="1"/>
  <c r="AK5202" i="1"/>
  <c r="AJ5202" i="1"/>
  <c r="AK5200" i="1"/>
  <c r="AL5195" i="1"/>
  <c r="AK5195" i="1"/>
  <c r="AL5192" i="1"/>
  <c r="AK5192" i="1"/>
  <c r="AK5190" i="1"/>
  <c r="AL5183" i="1"/>
  <c r="AK5183" i="1"/>
  <c r="AL5182" i="1"/>
  <c r="AK5182" i="1"/>
  <c r="AL5178" i="1"/>
  <c r="AK5178" i="1"/>
  <c r="AL5176" i="1"/>
  <c r="AK5176" i="1"/>
  <c r="AL5172" i="1"/>
  <c r="AK5172" i="1"/>
  <c r="AL5169" i="1"/>
  <c r="AK5169" i="1"/>
  <c r="AL5164" i="1"/>
  <c r="AK5164" i="1"/>
  <c r="AL5162" i="1"/>
  <c r="AK5162" i="1"/>
  <c r="G5157" i="1"/>
  <c r="AL5156" i="1"/>
  <c r="AK5156" i="1"/>
  <c r="AL5148" i="1"/>
  <c r="AK5148" i="1"/>
  <c r="G5147" i="1"/>
  <c r="AL5134" i="1"/>
  <c r="AK5134" i="1"/>
  <c r="AL5127" i="1"/>
  <c r="AK5127" i="1"/>
  <c r="G5124" i="1"/>
  <c r="G5123" i="1"/>
  <c r="AL5121" i="1"/>
  <c r="AK5121" i="1"/>
  <c r="AL5118" i="1"/>
  <c r="AK5118" i="1"/>
  <c r="AK5116" i="1"/>
  <c r="AL5099" i="1"/>
  <c r="AK5099" i="1"/>
  <c r="AL5098" i="1"/>
  <c r="AK5098" i="1"/>
  <c r="AK5092" i="1"/>
  <c r="AL5088" i="1"/>
  <c r="AK5088" i="1"/>
  <c r="AK5086" i="1"/>
  <c r="G5077" i="1"/>
  <c r="AK5076" i="1"/>
  <c r="AK5072" i="1"/>
  <c r="AK5065" i="1"/>
  <c r="AL5064" i="1"/>
  <c r="AK5064" i="1"/>
  <c r="AL5059" i="1"/>
  <c r="AK5059" i="1"/>
  <c r="AL5055" i="1"/>
  <c r="AK5055" i="1"/>
  <c r="AL5051" i="1"/>
  <c r="AK5051" i="1"/>
  <c r="AK5039" i="1"/>
  <c r="AL5037" i="1"/>
  <c r="AK5037" i="1"/>
  <c r="AL5035" i="1"/>
  <c r="AK5035" i="1"/>
  <c r="AL5032" i="1"/>
  <c r="AK5032" i="1"/>
  <c r="AL5027" i="1"/>
  <c r="AK5027" i="1"/>
  <c r="AL5019" i="1"/>
  <c r="AK5019" i="1"/>
  <c r="AL5018" i="1"/>
  <c r="AK5018" i="1"/>
  <c r="AL5011" i="1"/>
  <c r="AK5011" i="1"/>
  <c r="AL5009" i="1"/>
  <c r="AK5009" i="1"/>
  <c r="AL5006" i="1"/>
  <c r="AK5006" i="1"/>
  <c r="AL5001" i="1"/>
  <c r="AK5001" i="1"/>
  <c r="AL4998" i="1"/>
  <c r="AK4998" i="1"/>
  <c r="AK4991" i="1"/>
  <c r="AK4989" i="1"/>
  <c r="AL4988" i="1"/>
  <c r="AK4988" i="1"/>
  <c r="AI4980" i="1"/>
  <c r="AL4979" i="1"/>
  <c r="AK4979" i="1"/>
  <c r="AL4978" i="1"/>
  <c r="AK4978" i="1"/>
  <c r="AL4977" i="1"/>
  <c r="AK4977" i="1"/>
  <c r="AI4972" i="1"/>
  <c r="AL4961" i="1"/>
  <c r="AK4961" i="1"/>
  <c r="AI4961" i="1"/>
  <c r="AL4960" i="1"/>
  <c r="AK4960" i="1"/>
  <c r="AL4957" i="1"/>
  <c r="AK4957" i="1"/>
  <c r="AI4943" i="1"/>
  <c r="AL4931" i="1"/>
  <c r="AK4931" i="1"/>
  <c r="AI4931" i="1"/>
  <c r="AI4930" i="1"/>
  <c r="AI4927" i="1"/>
  <c r="AI4925" i="1"/>
  <c r="AK4922" i="1"/>
  <c r="AI4922" i="1"/>
  <c r="AI4918" i="1"/>
  <c r="AI4916" i="1"/>
  <c r="AI4915" i="1"/>
  <c r="AI4914" i="1"/>
  <c r="AL4912" i="1"/>
  <c r="AK4912" i="1"/>
  <c r="AL4909" i="1"/>
  <c r="AK4909" i="1"/>
  <c r="AI4909" i="1"/>
  <c r="AI4908" i="1"/>
  <c r="AI4906" i="1"/>
  <c r="AK4904" i="1"/>
  <c r="AI4904" i="1"/>
  <c r="AL4901" i="1"/>
  <c r="AK4901" i="1"/>
  <c r="AI4901" i="1"/>
  <c r="AK4898" i="1"/>
  <c r="AI4898" i="1"/>
  <c r="AK4897" i="1"/>
  <c r="AI4897" i="1"/>
  <c r="AL4895" i="1"/>
  <c r="AK4895" i="1"/>
  <c r="AI4895" i="1"/>
  <c r="AL4892" i="1"/>
  <c r="AK4892" i="1"/>
  <c r="AI4892" i="1"/>
  <c r="AI4884" i="1"/>
  <c r="AI4883" i="1"/>
  <c r="AI4881" i="1"/>
  <c r="AI4880" i="1"/>
  <c r="AI4879" i="1"/>
  <c r="AI4878" i="1"/>
  <c r="AI4877" i="1"/>
  <c r="AL4876" i="1"/>
  <c r="AK4876" i="1"/>
  <c r="AI4876" i="1"/>
  <c r="AI4875" i="1"/>
  <c r="AI4874" i="1"/>
  <c r="AL4872" i="1"/>
  <c r="AK4872" i="1"/>
  <c r="AI4872" i="1"/>
  <c r="AI4871" i="1"/>
  <c r="AI4870" i="1"/>
  <c r="AI4868" i="1"/>
  <c r="AI4865" i="1"/>
  <c r="AI4864" i="1"/>
  <c r="AI4863" i="1"/>
  <c r="AI4862" i="1"/>
  <c r="AI4861" i="1"/>
  <c r="AI4860" i="1"/>
  <c r="AI4859" i="1"/>
  <c r="AI4857" i="1"/>
  <c r="AL4856" i="1"/>
  <c r="AK4856" i="1"/>
  <c r="AI4856" i="1"/>
  <c r="AI4853" i="1"/>
  <c r="AI4852" i="1"/>
  <c r="AI4851" i="1"/>
  <c r="AK4845" i="1"/>
  <c r="AI4832" i="1"/>
  <c r="AI4831" i="1"/>
  <c r="AI4830" i="1"/>
  <c r="AI4829" i="1"/>
  <c r="AI4828" i="1"/>
  <c r="AI4821" i="1"/>
  <c r="AI4820" i="1"/>
  <c r="AI4819" i="1"/>
  <c r="AL4810" i="1"/>
  <c r="AK4810" i="1"/>
  <c r="AL4807" i="1"/>
  <c r="AK4807" i="1"/>
  <c r="AL4802" i="1"/>
  <c r="AK4802" i="1"/>
  <c r="AL4800" i="1"/>
  <c r="AK4800" i="1"/>
  <c r="AK4796" i="1"/>
  <c r="AL4792" i="1"/>
  <c r="AK4792" i="1"/>
  <c r="AL4788" i="1"/>
  <c r="AK4788" i="1"/>
  <c r="AI4788" i="1"/>
  <c r="AL4782" i="1"/>
  <c r="AK4782" i="1"/>
  <c r="AL4777" i="1"/>
  <c r="AK4777" i="1"/>
  <c r="AL4766" i="1"/>
  <c r="AK4766" i="1"/>
  <c r="G4763" i="1"/>
  <c r="AK4762" i="1"/>
  <c r="AI4759" i="1"/>
  <c r="AL4758" i="1"/>
  <c r="AK4758" i="1"/>
  <c r="AI4758" i="1"/>
  <c r="AI4757" i="1"/>
  <c r="AI4756" i="1"/>
  <c r="AL4755" i="1"/>
  <c r="AK4755" i="1"/>
  <c r="AI4755" i="1"/>
  <c r="AI4754" i="1"/>
  <c r="AI4753" i="1"/>
  <c r="AI4748" i="1"/>
  <c r="AL4747" i="1"/>
  <c r="AK4747" i="1"/>
  <c r="AI4747" i="1"/>
  <c r="AK4746" i="1"/>
  <c r="AI4746" i="1"/>
  <c r="AL4741" i="1"/>
  <c r="AK4741" i="1"/>
  <c r="AI4741" i="1"/>
  <c r="AL4736" i="1"/>
  <c r="AK4736" i="1"/>
  <c r="AI4736" i="1"/>
  <c r="AI4735" i="1"/>
  <c r="AI4734" i="1"/>
  <c r="AL4697" i="1"/>
  <c r="AK4697" i="1"/>
  <c r="AL4696" i="1"/>
  <c r="AK4696" i="1"/>
  <c r="AL4688" i="1"/>
  <c r="AK4688" i="1"/>
  <c r="AK4680" i="1"/>
  <c r="G4672" i="1"/>
  <c r="AL4666" i="1"/>
  <c r="AK4666" i="1"/>
  <c r="AL4660" i="1"/>
  <c r="AK4660" i="1"/>
  <c r="AL4659" i="1"/>
  <c r="AK4659" i="1"/>
  <c r="AL4653" i="1"/>
  <c r="AK4653" i="1"/>
  <c r="AK4637" i="1"/>
  <c r="AI4600" i="1"/>
  <c r="AI4599" i="1"/>
  <c r="AL4598" i="1"/>
  <c r="AK4598" i="1"/>
  <c r="AI4598" i="1"/>
  <c r="AL4592" i="1"/>
  <c r="AK4592" i="1"/>
  <c r="AL4575" i="1"/>
  <c r="AK4575" i="1"/>
  <c r="AL4561" i="1"/>
  <c r="AK4561" i="1"/>
  <c r="AK4559" i="1"/>
  <c r="AI4558" i="1"/>
  <c r="AI4557" i="1"/>
  <c r="AL4556" i="1"/>
  <c r="AK4556" i="1"/>
  <c r="AI4556" i="1"/>
  <c r="AI4555" i="1"/>
  <c r="AL4551" i="1"/>
  <c r="AK4551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13" i="1"/>
  <c r="H4412" i="1"/>
  <c r="G4411" i="1"/>
  <c r="H4411" i="1" s="1"/>
  <c r="H4410" i="1"/>
  <c r="H4409" i="1"/>
  <c r="H4408" i="1"/>
  <c r="G4407" i="1"/>
  <c r="H4407" i="1" s="1"/>
  <c r="H4406" i="1"/>
  <c r="H4405" i="1"/>
  <c r="G4404" i="1"/>
  <c r="H4404" i="1" s="1"/>
  <c r="G4403" i="1"/>
  <c r="H4403" i="1" s="1"/>
  <c r="H4402" i="1"/>
  <c r="H4401" i="1"/>
  <c r="H4400" i="1"/>
  <c r="H4399" i="1"/>
  <c r="H4398" i="1"/>
  <c r="G4397" i="1"/>
  <c r="H4397" i="1" s="1"/>
  <c r="G4396" i="1"/>
  <c r="H4396" i="1" s="1"/>
  <c r="H4395" i="1"/>
  <c r="H4394" i="1"/>
  <c r="H4393" i="1"/>
  <c r="H4392" i="1"/>
  <c r="H4391" i="1"/>
  <c r="G4390" i="1"/>
  <c r="H4390" i="1" s="1"/>
  <c r="H4389" i="1"/>
  <c r="H4388" i="1"/>
  <c r="H4387" i="1"/>
  <c r="G4386" i="1"/>
  <c r="H4386" i="1" s="1"/>
  <c r="G4385" i="1"/>
  <c r="H4385" i="1" s="1"/>
  <c r="G4384" i="1"/>
  <c r="H4384" i="1" s="1"/>
  <c r="G4383" i="1"/>
  <c r="H4383" i="1" s="1"/>
  <c r="G4382" i="1"/>
  <c r="H4382" i="1" s="1"/>
  <c r="G4381" i="1"/>
  <c r="H4381" i="1" s="1"/>
  <c r="G4380" i="1"/>
  <c r="H4380" i="1" s="1"/>
  <c r="H4379" i="1"/>
  <c r="H4378" i="1"/>
  <c r="H4377" i="1"/>
  <c r="H4376" i="1"/>
  <c r="H4375" i="1"/>
  <c r="H4374" i="1"/>
  <c r="H4373" i="1"/>
  <c r="H4372" i="1"/>
  <c r="H4371" i="1"/>
  <c r="H4370" i="1"/>
  <c r="G4365" i="1"/>
  <c r="H4365" i="1" s="1"/>
  <c r="G4364" i="1"/>
  <c r="H4364" i="1" s="1"/>
  <c r="G4363" i="1"/>
  <c r="H4363" i="1" s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S4273" i="1"/>
  <c r="S4272" i="1"/>
  <c r="S4270" i="1"/>
  <c r="H4269" i="1"/>
  <c r="S4269" i="1"/>
  <c r="H4268" i="1"/>
  <c r="S4268" i="1"/>
  <c r="H4267" i="1"/>
  <c r="S4267" i="1"/>
  <c r="H4266" i="1"/>
  <c r="S4266" i="1"/>
  <c r="H4265" i="1"/>
  <c r="S4265" i="1"/>
  <c r="H4264" i="1"/>
  <c r="S4264" i="1"/>
  <c r="S4263" i="1"/>
  <c r="S4262" i="1"/>
  <c r="S4261" i="1"/>
  <c r="S4260" i="1"/>
  <c r="S4259" i="1"/>
  <c r="S4258" i="1"/>
  <c r="S4257" i="1"/>
  <c r="G4256" i="1"/>
  <c r="H4256" i="1" s="1"/>
  <c r="S4256" i="1"/>
  <c r="S4255" i="1"/>
  <c r="S4254" i="1"/>
  <c r="S4252" i="1"/>
  <c r="S4251" i="1"/>
  <c r="R4250" i="1"/>
  <c r="S4250" i="1" s="1"/>
  <c r="S4249" i="1"/>
  <c r="S4248" i="1"/>
  <c r="S4247" i="1"/>
  <c r="S4246" i="1"/>
  <c r="S4245" i="1"/>
  <c r="S4244" i="1"/>
  <c r="H4243" i="1"/>
  <c r="S4243" i="1"/>
  <c r="H4242" i="1"/>
  <c r="S4242" i="1"/>
  <c r="H4241" i="1"/>
  <c r="S4241" i="1"/>
  <c r="H4240" i="1"/>
  <c r="S4240" i="1"/>
  <c r="H4239" i="1"/>
  <c r="S4239" i="1"/>
  <c r="H4238" i="1"/>
  <c r="S4238" i="1"/>
  <c r="H4237" i="1"/>
  <c r="S4237" i="1"/>
  <c r="H4236" i="1"/>
  <c r="S4236" i="1"/>
  <c r="H4235" i="1"/>
  <c r="S4235" i="1"/>
  <c r="H4234" i="1"/>
  <c r="S4234" i="1"/>
  <c r="H4233" i="1"/>
  <c r="S4233" i="1"/>
  <c r="H4232" i="1"/>
  <c r="S4232" i="1"/>
  <c r="S4231" i="1"/>
  <c r="H4230" i="1"/>
  <c r="S4230" i="1"/>
  <c r="H4229" i="1"/>
  <c r="S4229" i="1"/>
  <c r="H4228" i="1"/>
  <c r="S4228" i="1"/>
  <c r="S4227" i="1"/>
  <c r="H4226" i="1"/>
  <c r="S4226" i="1"/>
  <c r="S4225" i="1"/>
  <c r="S4224" i="1"/>
  <c r="S4223" i="1"/>
  <c r="S4222" i="1"/>
  <c r="H4221" i="1"/>
  <c r="S4221" i="1"/>
  <c r="G4220" i="1"/>
  <c r="H4220" i="1" s="1"/>
  <c r="S4220" i="1"/>
  <c r="H4219" i="1"/>
  <c r="S4219" i="1"/>
  <c r="S4217" i="1"/>
  <c r="S4216" i="1"/>
  <c r="H4212" i="1"/>
  <c r="S4212" i="1"/>
  <c r="H4211" i="1"/>
  <c r="S4211" i="1"/>
  <c r="H4210" i="1"/>
  <c r="S4210" i="1"/>
  <c r="H4209" i="1"/>
  <c r="S4209" i="1"/>
  <c r="H4208" i="1"/>
  <c r="S4208" i="1"/>
  <c r="H4207" i="1"/>
  <c r="S4207" i="1"/>
  <c r="H4206" i="1"/>
  <c r="S4206" i="1"/>
  <c r="S4205" i="1"/>
  <c r="H4204" i="1"/>
  <c r="S4204" i="1"/>
  <c r="H4203" i="1"/>
  <c r="S4203" i="1"/>
  <c r="H4202" i="1"/>
  <c r="S4202" i="1"/>
  <c r="S4200" i="1"/>
  <c r="H4199" i="1"/>
  <c r="S4199" i="1"/>
  <c r="H4198" i="1"/>
  <c r="S4198" i="1"/>
  <c r="S4197" i="1"/>
  <c r="S4196" i="1"/>
  <c r="S4195" i="1"/>
  <c r="S4194" i="1"/>
  <c r="S4192" i="1"/>
  <c r="H4191" i="1"/>
  <c r="S4191" i="1"/>
  <c r="H4190" i="1"/>
  <c r="S4190" i="1"/>
  <c r="H4189" i="1"/>
  <c r="S4189" i="1"/>
  <c r="S4188" i="1"/>
  <c r="S4187" i="1"/>
  <c r="H4186" i="1"/>
  <c r="S4186" i="1"/>
  <c r="S4185" i="1"/>
  <c r="S4184" i="1"/>
  <c r="H4183" i="1"/>
  <c r="S4183" i="1"/>
  <c r="H4182" i="1"/>
  <c r="S4182" i="1"/>
  <c r="H4181" i="1"/>
  <c r="S4181" i="1"/>
  <c r="S4180" i="1"/>
  <c r="S4179" i="1"/>
  <c r="S4178" i="1"/>
  <c r="S4177" i="1"/>
  <c r="S4176" i="1"/>
  <c r="S4175" i="1"/>
  <c r="H4174" i="1"/>
  <c r="S4174" i="1"/>
  <c r="H4173" i="1"/>
  <c r="S4173" i="1"/>
  <c r="H4172" i="1"/>
  <c r="S4172" i="1"/>
  <c r="H4171" i="1"/>
  <c r="S4171" i="1"/>
  <c r="H4170" i="1"/>
  <c r="S4170" i="1"/>
  <c r="H4169" i="1"/>
  <c r="S4169" i="1"/>
  <c r="S4168" i="1"/>
  <c r="H4167" i="1"/>
  <c r="S4167" i="1"/>
  <c r="S4166" i="1"/>
  <c r="S4165" i="1"/>
  <c r="S4164" i="1"/>
  <c r="S4162" i="1"/>
  <c r="S4161" i="1"/>
  <c r="H4160" i="1"/>
  <c r="S4160" i="1"/>
  <c r="S4159" i="1"/>
  <c r="S4158" i="1"/>
  <c r="H4157" i="1"/>
  <c r="S4157" i="1"/>
  <c r="H4156" i="1"/>
  <c r="S4156" i="1"/>
  <c r="H4155" i="1"/>
  <c r="S4155" i="1"/>
  <c r="S4154" i="1"/>
  <c r="S4153" i="1"/>
  <c r="S4152" i="1"/>
  <c r="S4151" i="1"/>
  <c r="S4150" i="1"/>
  <c r="S4149" i="1"/>
  <c r="S4148" i="1"/>
  <c r="H4147" i="1"/>
  <c r="S4147" i="1"/>
  <c r="H4146" i="1"/>
  <c r="S4146" i="1"/>
  <c r="H4145" i="1"/>
  <c r="S4145" i="1"/>
  <c r="H4144" i="1"/>
  <c r="S4144" i="1"/>
  <c r="H4143" i="1"/>
  <c r="S4143" i="1"/>
  <c r="H4142" i="1"/>
  <c r="S4142" i="1"/>
  <c r="H4141" i="1"/>
  <c r="S4141" i="1"/>
  <c r="H4140" i="1"/>
  <c r="S4140" i="1"/>
  <c r="S4139" i="1"/>
  <c r="S4138" i="1"/>
  <c r="S4137" i="1"/>
  <c r="S4136" i="1"/>
  <c r="S4135" i="1"/>
  <c r="S4134" i="1"/>
  <c r="H4133" i="1"/>
  <c r="S4133" i="1"/>
  <c r="H4132" i="1"/>
  <c r="S4132" i="1"/>
  <c r="S4131" i="1"/>
  <c r="S4130" i="1"/>
  <c r="S4129" i="1"/>
  <c r="H4128" i="1"/>
  <c r="S4128" i="1"/>
  <c r="H4127" i="1"/>
  <c r="S4127" i="1"/>
  <c r="H4126" i="1"/>
  <c r="S4126" i="1"/>
  <c r="H4125" i="1"/>
  <c r="S4125" i="1"/>
  <c r="H4124" i="1"/>
  <c r="S4124" i="1"/>
  <c r="H4123" i="1"/>
  <c r="S4123" i="1"/>
  <c r="H4122" i="1"/>
  <c r="S4122" i="1"/>
  <c r="H4121" i="1"/>
  <c r="S4121" i="1"/>
  <c r="H4120" i="1"/>
  <c r="S4120" i="1"/>
  <c r="H4119" i="1"/>
  <c r="S4119" i="1"/>
  <c r="S4118" i="1"/>
  <c r="H4117" i="1"/>
  <c r="S4117" i="1"/>
  <c r="H4116" i="1"/>
  <c r="S4116" i="1"/>
  <c r="S4115" i="1"/>
  <c r="S4114" i="1"/>
  <c r="S4113" i="1"/>
  <c r="H4112" i="1"/>
  <c r="S4112" i="1"/>
  <c r="H4111" i="1"/>
  <c r="S4111" i="1"/>
  <c r="H4110" i="1"/>
  <c r="S4110" i="1"/>
  <c r="H4109" i="1"/>
  <c r="S4109" i="1"/>
  <c r="H4108" i="1"/>
  <c r="S4108" i="1"/>
  <c r="H4107" i="1"/>
  <c r="S4107" i="1"/>
  <c r="H4106" i="1"/>
  <c r="S4106" i="1"/>
  <c r="H4105" i="1"/>
  <c r="S4105" i="1"/>
  <c r="H4104" i="1"/>
  <c r="S4104" i="1"/>
  <c r="H4103" i="1"/>
  <c r="S4103" i="1"/>
  <c r="H4102" i="1"/>
  <c r="S4102" i="1"/>
  <c r="H4101" i="1"/>
  <c r="S4101" i="1"/>
  <c r="H4100" i="1"/>
  <c r="S4100" i="1"/>
  <c r="H4099" i="1"/>
  <c r="S4099" i="1"/>
  <c r="S4098" i="1"/>
  <c r="S4097" i="1"/>
  <c r="H4096" i="1"/>
  <c r="S4096" i="1" s="1"/>
  <c r="H4095" i="1"/>
  <c r="S4095" i="1" s="1"/>
  <c r="H4094" i="1"/>
  <c r="S4094" i="1" s="1"/>
  <c r="H4093" i="1"/>
  <c r="S4093" i="1" s="1"/>
  <c r="H4092" i="1"/>
  <c r="S4092" i="1" s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H4053" i="1" s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H4034" i="1"/>
  <c r="H4033" i="1"/>
  <c r="S4032" i="1"/>
  <c r="S4031" i="1"/>
  <c r="S4030" i="1"/>
  <c r="S4029" i="1"/>
  <c r="S4028" i="1"/>
  <c r="S4027" i="1"/>
  <c r="S4026" i="1"/>
  <c r="S4025" i="1"/>
  <c r="R4024" i="1"/>
  <c r="S4024" i="1" s="1"/>
  <c r="H4024" i="1" s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R4009" i="1"/>
  <c r="S4009" i="1" s="1"/>
  <c r="R4008" i="1"/>
  <c r="S4008" i="1" s="1"/>
  <c r="H4008" i="1" s="1"/>
  <c r="R4007" i="1"/>
  <c r="S4007" i="1" s="1"/>
  <c r="S4006" i="1"/>
  <c r="S4005" i="1"/>
  <c r="S4004" i="1"/>
  <c r="S4003" i="1"/>
  <c r="R4002" i="1"/>
  <c r="S4002" i="1" s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R3989" i="1"/>
  <c r="S3989" i="1" s="1"/>
  <c r="S3988" i="1"/>
  <c r="S3987" i="1"/>
  <c r="S3986" i="1"/>
  <c r="S3985" i="1"/>
  <c r="S3984" i="1"/>
  <c r="S3983" i="1"/>
  <c r="R3982" i="1"/>
  <c r="S3982" i="1" s="1"/>
  <c r="R3981" i="1"/>
  <c r="S3981" i="1" s="1"/>
  <c r="R3980" i="1"/>
  <c r="S3980" i="1" s="1"/>
  <c r="R3979" i="1"/>
  <c r="S3979" i="1" s="1"/>
  <c r="R3978" i="1"/>
  <c r="S3978" i="1" s="1"/>
  <c r="R3977" i="1"/>
  <c r="S3977" i="1" s="1"/>
  <c r="R3976" i="1"/>
  <c r="S3976" i="1" s="1"/>
  <c r="S3975" i="1"/>
  <c r="S3974" i="1"/>
  <c r="S3973" i="1"/>
  <c r="S3972" i="1"/>
  <c r="R3971" i="1"/>
  <c r="S3971" i="1" s="1"/>
  <c r="S3970" i="1"/>
  <c r="S3969" i="1"/>
  <c r="S3968" i="1"/>
  <c r="S3967" i="1"/>
  <c r="S3966" i="1"/>
  <c r="S3965" i="1"/>
  <c r="S3964" i="1"/>
  <c r="S3963" i="1"/>
  <c r="S3962" i="1"/>
  <c r="S3961" i="1"/>
  <c r="S3960" i="1"/>
  <c r="R3959" i="1"/>
  <c r="S3959" i="1" s="1"/>
  <c r="R3958" i="1"/>
  <c r="S3958" i="1" s="1"/>
  <c r="R3957" i="1"/>
  <c r="S3957" i="1" s="1"/>
  <c r="S3956" i="1"/>
  <c r="S3954" i="1"/>
  <c r="S3953" i="1"/>
  <c r="S3952" i="1"/>
  <c r="S3951" i="1"/>
  <c r="S3950" i="1"/>
  <c r="R3949" i="1"/>
  <c r="S3949" i="1" s="1"/>
  <c r="S3948" i="1"/>
  <c r="S3947" i="1"/>
  <c r="S3946" i="1"/>
  <c r="S3945" i="1"/>
  <c r="R3943" i="1"/>
  <c r="S3943" i="1" s="1"/>
  <c r="R3942" i="1"/>
  <c r="S3942" i="1" s="1"/>
  <c r="R3941" i="1"/>
  <c r="S3941" i="1" s="1"/>
  <c r="S3940" i="1"/>
  <c r="S3939" i="1"/>
  <c r="R3938" i="1"/>
  <c r="S3938" i="1" s="1"/>
  <c r="R3937" i="1"/>
  <c r="S3937" i="1" s="1"/>
  <c r="R3936" i="1"/>
  <c r="S3936" i="1" s="1"/>
  <c r="S3935" i="1"/>
  <c r="S3934" i="1"/>
  <c r="S3933" i="1"/>
  <c r="S3931" i="1"/>
  <c r="U3930" i="1"/>
  <c r="S3930" i="1"/>
  <c r="S3929" i="1"/>
  <c r="R3928" i="1"/>
  <c r="S3928" i="1" s="1"/>
  <c r="R3927" i="1"/>
  <c r="S3927" i="1" s="1"/>
  <c r="R3926" i="1"/>
  <c r="S3926" i="1" s="1"/>
  <c r="R3923" i="1"/>
  <c r="S3923" i="1" s="1"/>
  <c r="R3922" i="1"/>
  <c r="S3922" i="1" s="1"/>
  <c r="S3921" i="1"/>
  <c r="S3920" i="1"/>
  <c r="S3919" i="1"/>
  <c r="S3918" i="1"/>
  <c r="S3917" i="1"/>
  <c r="S3916" i="1"/>
  <c r="R3915" i="1"/>
  <c r="S3915" i="1" s="1"/>
  <c r="R3914" i="1"/>
  <c r="S3914" i="1" s="1"/>
  <c r="R3913" i="1"/>
  <c r="S3913" i="1" s="1"/>
  <c r="S3912" i="1"/>
  <c r="S3911" i="1"/>
  <c r="S3910" i="1"/>
  <c r="S3909" i="1"/>
  <c r="R3908" i="1"/>
  <c r="S3908" i="1" s="1"/>
  <c r="S3907" i="1"/>
  <c r="R3906" i="1"/>
  <c r="S3906" i="1" s="1"/>
  <c r="R3905" i="1"/>
  <c r="S3905" i="1" s="1"/>
  <c r="S3904" i="1"/>
  <c r="R3903" i="1"/>
  <c r="S3903" i="1" s="1"/>
  <c r="R3902" i="1"/>
  <c r="S3902" i="1" s="1"/>
  <c r="S3901" i="1"/>
  <c r="S3900" i="1"/>
  <c r="S3895" i="1"/>
  <c r="S3894" i="1"/>
  <c r="S3893" i="1"/>
  <c r="S3892" i="1"/>
  <c r="R3891" i="1"/>
  <c r="S3891" i="1" s="1"/>
  <c r="S3890" i="1"/>
  <c r="S3889" i="1"/>
  <c r="S3888" i="1"/>
  <c r="R3887" i="1"/>
  <c r="S3887" i="1" s="1"/>
  <c r="R3885" i="1"/>
  <c r="S3885" i="1" s="1"/>
  <c r="R3884" i="1"/>
  <c r="S3884" i="1" s="1"/>
  <c r="R3883" i="1"/>
  <c r="S3883" i="1" s="1"/>
  <c r="S3882" i="1"/>
  <c r="S3881" i="1"/>
  <c r="S3880" i="1"/>
  <c r="S3879" i="1"/>
  <c r="S3878" i="1"/>
  <c r="S3877" i="1"/>
  <c r="S3876" i="1"/>
  <c r="S3875" i="1"/>
  <c r="H3874" i="1"/>
  <c r="S3874" i="1"/>
  <c r="S3873" i="1"/>
  <c r="S3872" i="1"/>
  <c r="S3871" i="1"/>
  <c r="S3870" i="1"/>
  <c r="S3869" i="1"/>
  <c r="S3868" i="1"/>
  <c r="S3867" i="1"/>
  <c r="S3866" i="1"/>
  <c r="S3865" i="1"/>
  <c r="U3864" i="1"/>
  <c r="S3864" i="1"/>
  <c r="U3863" i="1"/>
  <c r="S3863" i="1"/>
  <c r="U3862" i="1"/>
  <c r="S3862" i="1"/>
  <c r="S3861" i="1"/>
  <c r="U3860" i="1"/>
  <c r="S3860" i="1"/>
  <c r="U3859" i="1"/>
  <c r="S3859" i="1"/>
  <c r="S3858" i="1"/>
  <c r="S3857" i="1"/>
  <c r="S3856" i="1"/>
  <c r="S3855" i="1"/>
  <c r="U3854" i="1"/>
  <c r="S3854" i="1"/>
  <c r="U3853" i="1"/>
  <c r="S3853" i="1"/>
  <c r="U3852" i="1"/>
  <c r="S3852" i="1"/>
  <c r="U3851" i="1"/>
  <c r="S3851" i="1"/>
  <c r="U3850" i="1"/>
  <c r="S3850" i="1"/>
  <c r="U3849" i="1"/>
  <c r="S3849" i="1"/>
  <c r="S3848" i="1"/>
  <c r="S3847" i="1"/>
  <c r="U3846" i="1"/>
  <c r="S3846" i="1"/>
  <c r="U3845" i="1"/>
  <c r="S3845" i="1"/>
  <c r="U3844" i="1"/>
  <c r="S3844" i="1"/>
  <c r="U3843" i="1"/>
  <c r="S3843" i="1"/>
  <c r="U3842" i="1"/>
  <c r="S3842" i="1"/>
  <c r="U3841" i="1"/>
  <c r="S3841" i="1"/>
  <c r="S3840" i="1"/>
  <c r="S3839" i="1"/>
  <c r="S3838" i="1"/>
  <c r="G3837" i="1"/>
  <c r="H3837" i="1" s="1"/>
  <c r="S3837" i="1"/>
  <c r="G3836" i="1"/>
  <c r="H3836" i="1" s="1"/>
  <c r="S3836" i="1"/>
  <c r="S3835" i="1"/>
  <c r="S3834" i="1"/>
  <c r="G3833" i="1"/>
  <c r="S3833" i="1"/>
  <c r="H3833" i="1" s="1"/>
  <c r="G3832" i="1"/>
  <c r="S3832" i="1"/>
  <c r="H3832" i="1" s="1"/>
  <c r="G3831" i="1"/>
  <c r="H3831" i="1" s="1"/>
  <c r="S3831" i="1"/>
  <c r="G3830" i="1"/>
  <c r="H3830" i="1" s="1"/>
  <c r="S3830" i="1"/>
  <c r="G3829" i="1"/>
  <c r="H3829" i="1" s="1"/>
  <c r="S3829" i="1"/>
  <c r="G3828" i="1"/>
  <c r="H3828" i="1" s="1"/>
  <c r="S3828" i="1"/>
  <c r="R3827" i="1"/>
  <c r="S3827" i="1" s="1"/>
  <c r="G3826" i="1"/>
  <c r="H3826" i="1" s="1"/>
  <c r="S3826" i="1"/>
  <c r="R3824" i="1"/>
  <c r="R3823" i="1"/>
  <c r="R3822" i="1"/>
  <c r="G3822" i="1" s="1"/>
  <c r="H3822" i="1" s="1"/>
  <c r="S3821" i="1"/>
  <c r="S3820" i="1"/>
  <c r="S3819" i="1"/>
  <c r="S3818" i="1"/>
  <c r="S3817" i="1"/>
  <c r="U3816" i="1"/>
  <c r="S3816" i="1"/>
  <c r="U3815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U3802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G3790" i="1"/>
  <c r="H3790" i="1" s="1"/>
  <c r="S3790" i="1"/>
  <c r="G3789" i="1"/>
  <c r="H3789" i="1" s="1"/>
  <c r="S3789" i="1"/>
  <c r="G3788" i="1"/>
  <c r="H3788" i="1" s="1"/>
  <c r="S3788" i="1"/>
  <c r="S3787" i="1"/>
  <c r="G3786" i="1"/>
  <c r="H3786" i="1" s="1"/>
  <c r="S3786" i="1"/>
  <c r="S3785" i="1"/>
  <c r="S3784" i="1"/>
  <c r="G3783" i="1"/>
  <c r="S3783" i="1"/>
  <c r="S3782" i="1"/>
  <c r="S3781" i="1"/>
  <c r="S3780" i="1"/>
  <c r="S3779" i="1"/>
  <c r="G3778" i="1"/>
  <c r="H3778" i="1" s="1"/>
  <c r="S3778" i="1"/>
  <c r="U3777" i="1"/>
  <c r="G3777" i="1"/>
  <c r="H3777" i="1" s="1"/>
  <c r="S3777" i="1"/>
  <c r="G3776" i="1"/>
  <c r="H3776" i="1" s="1"/>
  <c r="S3776" i="1"/>
  <c r="G3775" i="1"/>
  <c r="H3775" i="1" s="1"/>
  <c r="S3775" i="1"/>
  <c r="H3774" i="1"/>
  <c r="S3774" i="1"/>
  <c r="S3773" i="1"/>
  <c r="S3772" i="1"/>
  <c r="S3771" i="1"/>
  <c r="S3770" i="1"/>
  <c r="S3769" i="1"/>
  <c r="S3768" i="1"/>
  <c r="S3767" i="1"/>
  <c r="S3766" i="1"/>
  <c r="S3765" i="1"/>
  <c r="H3764" i="1"/>
  <c r="S3764" i="1"/>
  <c r="H3763" i="1"/>
  <c r="S3763" i="1"/>
  <c r="S3762" i="1"/>
  <c r="S3761" i="1"/>
  <c r="S3760" i="1"/>
  <c r="S3759" i="1"/>
  <c r="S3758" i="1"/>
  <c r="S3757" i="1"/>
  <c r="S3756" i="1"/>
  <c r="S3755" i="1"/>
  <c r="S3754" i="1"/>
  <c r="U3753" i="1"/>
  <c r="S3753" i="1"/>
  <c r="U3752" i="1"/>
  <c r="S3752" i="1"/>
  <c r="S3751" i="1"/>
  <c r="S3750" i="1"/>
  <c r="S3749" i="1"/>
  <c r="S3748" i="1"/>
  <c r="S3747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U3718" i="1"/>
  <c r="S3718" i="1"/>
  <c r="U3717" i="1"/>
  <c r="S3717" i="1"/>
  <c r="S3716" i="1"/>
  <c r="S3715" i="1"/>
  <c r="G3714" i="1"/>
  <c r="S3714" i="1"/>
  <c r="H3714" i="1" s="1"/>
  <c r="S3713" i="1"/>
  <c r="S3712" i="1"/>
  <c r="U3710" i="1"/>
  <c r="S3710" i="1"/>
  <c r="S3709" i="1"/>
  <c r="S3708" i="1"/>
  <c r="S3707" i="1"/>
  <c r="S3706" i="1"/>
  <c r="S3705" i="1"/>
  <c r="S3704" i="1"/>
  <c r="S3703" i="1"/>
  <c r="S3702" i="1"/>
  <c r="U3701" i="1"/>
  <c r="S3701" i="1"/>
  <c r="U3700" i="1"/>
  <c r="S3700" i="1"/>
  <c r="S3698" i="1"/>
  <c r="S3697" i="1"/>
  <c r="S3696" i="1"/>
  <c r="S3695" i="1"/>
  <c r="U3694" i="1"/>
  <c r="S3694" i="1"/>
  <c r="U3693" i="1"/>
  <c r="S3693" i="1"/>
  <c r="U3692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1" i="1"/>
  <c r="S3640" i="1"/>
  <c r="U3639" i="1"/>
  <c r="G3639" i="1"/>
  <c r="R3639" i="1" s="1"/>
  <c r="S3639" i="1" s="1"/>
  <c r="H3638" i="1"/>
  <c r="R3638" i="1"/>
  <c r="S3638" i="1" s="1"/>
  <c r="H3637" i="1"/>
  <c r="R3637" i="1"/>
  <c r="S3637" i="1" s="1"/>
  <c r="H3636" i="1"/>
  <c r="R3636" i="1"/>
  <c r="S3636" i="1" s="1"/>
  <c r="H3635" i="1"/>
  <c r="R3635" i="1"/>
  <c r="S3635" i="1" s="1"/>
  <c r="H3634" i="1"/>
  <c r="R3634" i="1"/>
  <c r="S3634" i="1" s="1"/>
  <c r="H3633" i="1"/>
  <c r="S3633" i="1"/>
  <c r="S3632" i="1"/>
  <c r="S3631" i="1"/>
  <c r="H3630" i="1"/>
  <c r="S3630" i="1"/>
  <c r="H3629" i="1"/>
  <c r="S3629" i="1"/>
  <c r="H3628" i="1"/>
  <c r="S3628" i="1"/>
  <c r="H3627" i="1"/>
  <c r="R3627" i="1"/>
  <c r="S3627" i="1" s="1"/>
  <c r="H3626" i="1"/>
  <c r="R3626" i="1"/>
  <c r="S3626" i="1" s="1"/>
  <c r="H3625" i="1"/>
  <c r="R3625" i="1"/>
  <c r="S3625" i="1" s="1"/>
  <c r="H3624" i="1"/>
  <c r="R3624" i="1"/>
  <c r="S3624" i="1" s="1"/>
  <c r="H3623" i="1"/>
  <c r="S3623" i="1"/>
  <c r="H3622" i="1"/>
  <c r="S3622" i="1"/>
  <c r="H3621" i="1"/>
  <c r="S3621" i="1"/>
  <c r="H3620" i="1"/>
  <c r="S3620" i="1"/>
  <c r="H3619" i="1"/>
  <c r="S3619" i="1"/>
  <c r="H3618" i="1"/>
  <c r="S3618" i="1"/>
  <c r="H3617" i="1"/>
  <c r="S3617" i="1"/>
  <c r="S3616" i="1"/>
  <c r="H3615" i="1"/>
  <c r="S3615" i="1"/>
  <c r="H3614" i="1"/>
  <c r="S3614" i="1"/>
  <c r="H3613" i="1"/>
  <c r="S3613" i="1"/>
  <c r="S3612" i="1"/>
  <c r="S3611" i="1"/>
  <c r="H3610" i="1"/>
  <c r="S3610" i="1"/>
  <c r="S3609" i="1"/>
  <c r="H3608" i="1"/>
  <c r="S3608" i="1"/>
  <c r="H3607" i="1"/>
  <c r="R3607" i="1"/>
  <c r="S3607" i="1" s="1"/>
  <c r="H3606" i="1"/>
  <c r="R3606" i="1"/>
  <c r="S3606" i="1" s="1"/>
  <c r="H3605" i="1"/>
  <c r="S3605" i="1"/>
  <c r="H3604" i="1"/>
  <c r="S3604" i="1"/>
  <c r="S3603" i="1"/>
  <c r="G3602" i="1"/>
  <c r="H3602" i="1" s="1"/>
  <c r="R3602" i="1"/>
  <c r="S3602" i="1" s="1"/>
  <c r="H3601" i="1"/>
  <c r="S3601" i="1"/>
  <c r="H3600" i="1"/>
  <c r="S3600" i="1"/>
  <c r="S3598" i="1"/>
  <c r="S3597" i="1"/>
  <c r="S3596" i="1"/>
  <c r="H3595" i="1"/>
  <c r="R3595" i="1"/>
  <c r="S3595" i="1" s="1"/>
  <c r="H3594" i="1"/>
  <c r="R3594" i="1"/>
  <c r="S3594" i="1" s="1"/>
  <c r="H3593" i="1"/>
  <c r="R3593" i="1"/>
  <c r="S3593" i="1" s="1"/>
  <c r="H3592" i="1"/>
  <c r="S3592" i="1"/>
  <c r="S3591" i="1"/>
  <c r="S3590" i="1"/>
  <c r="H3589" i="1"/>
  <c r="S3589" i="1"/>
  <c r="H3588" i="1"/>
  <c r="S3588" i="1"/>
  <c r="R3587" i="1"/>
  <c r="S3587" i="1" s="1"/>
  <c r="R3586" i="1"/>
  <c r="S3586" i="1" s="1"/>
  <c r="S3585" i="1"/>
  <c r="S3584" i="1"/>
  <c r="S3583" i="1"/>
  <c r="S3582" i="1"/>
  <c r="S3581" i="1"/>
  <c r="S3580" i="1"/>
  <c r="R3579" i="1"/>
  <c r="S3579" i="1" s="1"/>
  <c r="H3578" i="1"/>
  <c r="R3578" i="1"/>
  <c r="S3578" i="1" s="1"/>
  <c r="S3577" i="1"/>
  <c r="S3576" i="1"/>
  <c r="H3575" i="1"/>
  <c r="S3575" i="1"/>
  <c r="H3574" i="1"/>
  <c r="S3574" i="1"/>
  <c r="H3573" i="1"/>
  <c r="S3573" i="1"/>
  <c r="H3572" i="1"/>
  <c r="S3572" i="1"/>
  <c r="G3571" i="1"/>
  <c r="H3571" i="1" s="1"/>
  <c r="S3571" i="1"/>
  <c r="S3570" i="1"/>
  <c r="S3569" i="1"/>
  <c r="S3568" i="1"/>
  <c r="H3567" i="1"/>
  <c r="S3567" i="1"/>
  <c r="H3566" i="1"/>
  <c r="S3566" i="1"/>
  <c r="H3565" i="1"/>
  <c r="S3565" i="1"/>
  <c r="S3564" i="1"/>
  <c r="S3563" i="1"/>
  <c r="R3562" i="1"/>
  <c r="S3562" i="1" s="1"/>
  <c r="R3561" i="1"/>
  <c r="S3561" i="1" s="1"/>
  <c r="R3560" i="1"/>
  <c r="S3560" i="1" s="1"/>
  <c r="H3559" i="1"/>
  <c r="S3559" i="1"/>
  <c r="U3558" i="1"/>
  <c r="G3558" i="1"/>
  <c r="R3558" i="1" s="1"/>
  <c r="S3558" i="1" s="1"/>
  <c r="H3557" i="1"/>
  <c r="S3557" i="1"/>
  <c r="H3556" i="1"/>
  <c r="S3556" i="1"/>
  <c r="H3555" i="1"/>
  <c r="S3555" i="1"/>
  <c r="H3554" i="1"/>
  <c r="S3554" i="1"/>
  <c r="H3553" i="1"/>
  <c r="S3553" i="1"/>
  <c r="H3552" i="1"/>
  <c r="S3552" i="1"/>
  <c r="H3551" i="1"/>
  <c r="S3551" i="1"/>
  <c r="S3550" i="1"/>
  <c r="S3549" i="1"/>
  <c r="S3548" i="1"/>
  <c r="H3547" i="1"/>
  <c r="S3547" i="1"/>
  <c r="H3546" i="1"/>
  <c r="S3546" i="1"/>
  <c r="H3545" i="1"/>
  <c r="S3545" i="1"/>
  <c r="H3544" i="1"/>
  <c r="S3544" i="1"/>
  <c r="H3543" i="1"/>
  <c r="S3543" i="1"/>
  <c r="H3542" i="1"/>
  <c r="S3542" i="1"/>
  <c r="S3541" i="1"/>
  <c r="S3540" i="1"/>
  <c r="S3539" i="1"/>
  <c r="H3538" i="1"/>
  <c r="S3538" i="1"/>
  <c r="R3537" i="1"/>
  <c r="S3537" i="1" s="1"/>
  <c r="H3536" i="1"/>
  <c r="S3536" i="1"/>
  <c r="H3535" i="1"/>
  <c r="S3535" i="1"/>
  <c r="H3534" i="1"/>
  <c r="S3534" i="1"/>
  <c r="H3533" i="1"/>
  <c r="S3533" i="1"/>
  <c r="H3532" i="1"/>
  <c r="S3532" i="1"/>
  <c r="H3531" i="1"/>
  <c r="S3531" i="1"/>
  <c r="H3530" i="1"/>
  <c r="S3530" i="1"/>
  <c r="H3529" i="1"/>
  <c r="S3529" i="1"/>
  <c r="H3528" i="1"/>
  <c r="S3528" i="1"/>
  <c r="H3527" i="1"/>
  <c r="S3527" i="1"/>
  <c r="H3526" i="1"/>
  <c r="S3526" i="1"/>
  <c r="H3525" i="1"/>
  <c r="S3525" i="1"/>
  <c r="H3524" i="1"/>
  <c r="S3524" i="1"/>
  <c r="S3523" i="1"/>
  <c r="S3522" i="1"/>
  <c r="S3521" i="1"/>
  <c r="H3520" i="1"/>
  <c r="H3519" i="1"/>
  <c r="S3519" i="1"/>
  <c r="H3518" i="1"/>
  <c r="S3518" i="1"/>
  <c r="H3517" i="1"/>
  <c r="S3517" i="1"/>
  <c r="H3516" i="1"/>
  <c r="S3516" i="1"/>
  <c r="H3515" i="1"/>
  <c r="S3515" i="1"/>
  <c r="H3514" i="1"/>
  <c r="S3514" i="1"/>
  <c r="H3513" i="1"/>
  <c r="S3513" i="1"/>
  <c r="S3512" i="1"/>
  <c r="H3511" i="1"/>
  <c r="S3511" i="1"/>
  <c r="H3510" i="1"/>
  <c r="S3510" i="1"/>
  <c r="H3509" i="1"/>
  <c r="S3509" i="1"/>
  <c r="H3508" i="1"/>
  <c r="S3508" i="1"/>
  <c r="H3507" i="1"/>
  <c r="S3507" i="1"/>
  <c r="S3506" i="1"/>
  <c r="H3505" i="1"/>
  <c r="S3505" i="1"/>
  <c r="H3504" i="1"/>
  <c r="S3504" i="1"/>
  <c r="H3503" i="1"/>
  <c r="S3503" i="1"/>
  <c r="S3502" i="1"/>
  <c r="H3501" i="1"/>
  <c r="S3501" i="1"/>
  <c r="H3500" i="1"/>
  <c r="S3500" i="1"/>
  <c r="S3499" i="1"/>
  <c r="S3498" i="1"/>
  <c r="H3497" i="1"/>
  <c r="S3497" i="1"/>
  <c r="S3496" i="1"/>
  <c r="S3495" i="1"/>
  <c r="S3494" i="1"/>
  <c r="S3493" i="1"/>
  <c r="U3492" i="1"/>
  <c r="G3492" i="1"/>
  <c r="H3492" i="1" s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R3473" i="1"/>
  <c r="S3473" i="1" s="1"/>
  <c r="R3472" i="1"/>
  <c r="S3472" i="1" s="1"/>
  <c r="S3471" i="1"/>
  <c r="R3470" i="1"/>
  <c r="S3470" i="1" s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H3443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H3427" i="1"/>
  <c r="R3427" i="1"/>
  <c r="S3427" i="1" s="1"/>
  <c r="S3426" i="1"/>
  <c r="H3425" i="1"/>
  <c r="S3425" i="1"/>
  <c r="H3424" i="1"/>
  <c r="S3424" i="1"/>
  <c r="H3423" i="1"/>
  <c r="S3423" i="1"/>
  <c r="H3422" i="1"/>
  <c r="S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G3402" i="1"/>
  <c r="H3402" i="1" s="1"/>
  <c r="H3401" i="1"/>
  <c r="H3400" i="1"/>
  <c r="H3399" i="1"/>
  <c r="H3398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4" i="1"/>
  <c r="H3353" i="1"/>
  <c r="H3352" i="1"/>
  <c r="H3351" i="1"/>
  <c r="H3350" i="1"/>
  <c r="H3349" i="1"/>
  <c r="H3348" i="1"/>
  <c r="H3347" i="1"/>
  <c r="G3346" i="1"/>
  <c r="H3346" i="1" s="1"/>
  <c r="G3345" i="1"/>
  <c r="H3345" i="1" s="1"/>
  <c r="H3344" i="1"/>
  <c r="H3343" i="1"/>
  <c r="H3342" i="1"/>
  <c r="H3341" i="1"/>
  <c r="H3340" i="1"/>
  <c r="G3339" i="1"/>
  <c r="H3339" i="1" s="1"/>
  <c r="H3338" i="1"/>
  <c r="G3337" i="1"/>
  <c r="H3337" i="1" s="1"/>
  <c r="G3336" i="1"/>
  <c r="H3336" i="1" s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G3323" i="1"/>
  <c r="H3323" i="1" s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3" i="1"/>
  <c r="H3302" i="1"/>
  <c r="H3301" i="1"/>
  <c r="H3300" i="1"/>
  <c r="H3299" i="1"/>
  <c r="H3298" i="1"/>
  <c r="H3297" i="1"/>
  <c r="H3296" i="1"/>
  <c r="H3295" i="1"/>
  <c r="H3294" i="1"/>
  <c r="G3293" i="1"/>
  <c r="H3293" i="1" s="1"/>
  <c r="H3292" i="1"/>
  <c r="H3291" i="1"/>
  <c r="H3290" i="1"/>
  <c r="H3289" i="1"/>
  <c r="H3288" i="1"/>
  <c r="H3287" i="1"/>
  <c r="H3286" i="1"/>
  <c r="H3285" i="1"/>
  <c r="G3284" i="1"/>
  <c r="H3284" i="1" s="1"/>
  <c r="H3283" i="1"/>
  <c r="H3282" i="1"/>
  <c r="H3281" i="1"/>
  <c r="H3280" i="1"/>
  <c r="H3279" i="1"/>
  <c r="H3278" i="1"/>
  <c r="G3277" i="1"/>
  <c r="H3277" i="1" s="1"/>
  <c r="H3276" i="1"/>
  <c r="H3275" i="1"/>
  <c r="H3274" i="1"/>
  <c r="H3273" i="1"/>
  <c r="H3272" i="1"/>
  <c r="H3271" i="1"/>
  <c r="H3270" i="1"/>
  <c r="H3269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G3245" i="1"/>
  <c r="H3245" i="1" s="1"/>
  <c r="H3244" i="1"/>
  <c r="H3241" i="1"/>
  <c r="H3240" i="1"/>
  <c r="H3239" i="1"/>
  <c r="H3238" i="1"/>
  <c r="H3237" i="1"/>
  <c r="H3236" i="1"/>
  <c r="H3235" i="1"/>
  <c r="H3234" i="1"/>
  <c r="H3233" i="1"/>
  <c r="H3232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G3170" i="1"/>
  <c r="H3170" i="1" s="1"/>
  <c r="G3169" i="1"/>
  <c r="H3169" i="1" s="1"/>
  <c r="H3168" i="1"/>
  <c r="H3167" i="1"/>
  <c r="G3166" i="1"/>
  <c r="H3166" i="1" s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G3031" i="1"/>
  <c r="H3031" i="1" s="1"/>
  <c r="H3030" i="1"/>
  <c r="H3029" i="1"/>
  <c r="H3028" i="1"/>
  <c r="Q3027" i="1"/>
  <c r="H3027" i="1"/>
  <c r="H3026" i="1"/>
  <c r="H3025" i="1"/>
  <c r="H3024" i="1"/>
  <c r="H3023" i="1"/>
  <c r="H3022" i="1"/>
  <c r="H3021" i="1"/>
  <c r="H3020" i="1"/>
  <c r="H3019" i="1"/>
  <c r="H3018" i="1"/>
  <c r="G3017" i="1"/>
  <c r="H3017" i="1" s="1"/>
  <c r="H3016" i="1"/>
  <c r="H3015" i="1"/>
  <c r="H3013" i="1"/>
  <c r="H3012" i="1"/>
  <c r="Q3011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G2883" i="1"/>
  <c r="H2883" i="1" s="1"/>
  <c r="G2882" i="1"/>
  <c r="H2882" i="1" s="1"/>
  <c r="G2881" i="1"/>
  <c r="H2881" i="1" s="1"/>
  <c r="G2880" i="1"/>
  <c r="H2880" i="1" s="1"/>
  <c r="G2879" i="1"/>
  <c r="H2879" i="1" s="1"/>
  <c r="G2878" i="1"/>
  <c r="H2878" i="1" s="1"/>
  <c r="G2877" i="1"/>
  <c r="H2877" i="1" s="1"/>
  <c r="G2876" i="1"/>
  <c r="H2876" i="1" s="1"/>
  <c r="G2875" i="1"/>
  <c r="H2875" i="1" s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Q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Q2848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Q2828" i="1"/>
  <c r="H2828" i="1"/>
  <c r="H2827" i="1"/>
  <c r="H2826" i="1"/>
  <c r="H2825" i="1"/>
  <c r="H2824" i="1"/>
  <c r="H2823" i="1"/>
  <c r="H2822" i="1"/>
  <c r="H2821" i="1"/>
  <c r="H2820" i="1"/>
  <c r="Q2819" i="1"/>
  <c r="H2819" i="1"/>
  <c r="Q2818" i="1"/>
  <c r="H2818" i="1"/>
  <c r="Q2817" i="1"/>
  <c r="H2817" i="1"/>
  <c r="H2816" i="1"/>
  <c r="H2815" i="1"/>
  <c r="H2814" i="1"/>
  <c r="H2813" i="1"/>
  <c r="H2812" i="1"/>
  <c r="Q2811" i="1"/>
  <c r="H2811" i="1"/>
  <c r="H2810" i="1"/>
  <c r="Q2809" i="1"/>
  <c r="H2809" i="1"/>
  <c r="H2808" i="1"/>
  <c r="H2807" i="1"/>
  <c r="H2806" i="1"/>
  <c r="Q2805" i="1"/>
  <c r="H2805" i="1"/>
  <c r="Q2804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Q2790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Q2777" i="1"/>
  <c r="H2777" i="1"/>
  <c r="Q2776" i="1"/>
  <c r="H2776" i="1"/>
  <c r="Q2775" i="1"/>
  <c r="H2775" i="1"/>
  <c r="H2774" i="1"/>
  <c r="Q2773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Q2754" i="1"/>
  <c r="H2754" i="1"/>
  <c r="Q2753" i="1"/>
  <c r="H2753" i="1"/>
  <c r="H2752" i="1"/>
  <c r="H2751" i="1"/>
  <c r="H2750" i="1"/>
  <c r="H2749" i="1"/>
  <c r="G2748" i="1"/>
  <c r="H2748" i="1" s="1"/>
  <c r="H2747" i="1"/>
  <c r="H2746" i="1"/>
  <c r="H2745" i="1"/>
  <c r="H2744" i="1"/>
  <c r="H2743" i="1"/>
  <c r="H2742" i="1"/>
  <c r="H2741" i="1"/>
  <c r="H2740" i="1"/>
  <c r="Q2739" i="1"/>
  <c r="H2739" i="1"/>
  <c r="H2738" i="1"/>
  <c r="H2737" i="1"/>
  <c r="Q2736" i="1"/>
  <c r="H2736" i="1"/>
  <c r="H2735" i="1"/>
  <c r="Q2734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G2708" i="1"/>
  <c r="H2708" i="1" s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G2694" i="1"/>
  <c r="H2694" i="1" s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G2573" i="1"/>
  <c r="H2573" i="1" s="1"/>
  <c r="H2572" i="1"/>
  <c r="H2571" i="1"/>
  <c r="H2570" i="1"/>
  <c r="H2569" i="1"/>
  <c r="G2568" i="1"/>
  <c r="H2568" i="1" s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G2525" i="1"/>
  <c r="H2525" i="1" s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7" i="1"/>
  <c r="G2486" i="1"/>
  <c r="H2486" i="1" s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P2455" i="1"/>
  <c r="H2455" i="1"/>
  <c r="P2454" i="1"/>
  <c r="H2454" i="1"/>
  <c r="P2453" i="1"/>
  <c r="H2453" i="1"/>
  <c r="P2452" i="1"/>
  <c r="H2452" i="1"/>
  <c r="P2451" i="1"/>
  <c r="H2451" i="1"/>
  <c r="H2450" i="1"/>
  <c r="P2449" i="1"/>
  <c r="H2449" i="1"/>
  <c r="P2448" i="1"/>
  <c r="H2448" i="1"/>
  <c r="P2447" i="1"/>
  <c r="H2447" i="1"/>
  <c r="P2446" i="1"/>
  <c r="H2446" i="1"/>
  <c r="P2445" i="1"/>
  <c r="H2445" i="1"/>
  <c r="P2444" i="1"/>
  <c r="H2444" i="1"/>
  <c r="P2443" i="1"/>
  <c r="H2443" i="1"/>
  <c r="P2442" i="1"/>
  <c r="H2442" i="1"/>
  <c r="H2441" i="1"/>
  <c r="H2440" i="1"/>
  <c r="H2439" i="1"/>
  <c r="H2438" i="1"/>
  <c r="H2437" i="1"/>
  <c r="H2436" i="1"/>
  <c r="G2435" i="1"/>
  <c r="H2435" i="1" s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G2409" i="1"/>
  <c r="H2409" i="1" s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G2351" i="1"/>
  <c r="H2351" i="1" s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G2329" i="1"/>
  <c r="H2329" i="1" s="1"/>
  <c r="H2328" i="1"/>
  <c r="H2327" i="1"/>
  <c r="H2326" i="1"/>
  <c r="H2325" i="1"/>
  <c r="H2324" i="1"/>
  <c r="H2323" i="1"/>
  <c r="H2322" i="1"/>
  <c r="H2321" i="1"/>
  <c r="H2320" i="1"/>
  <c r="H2319" i="1"/>
  <c r="H2318" i="1"/>
  <c r="G2317" i="1"/>
  <c r="H2317" i="1" s="1"/>
  <c r="G2316" i="1"/>
  <c r="H2316" i="1" s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G2288" i="1"/>
  <c r="H2288" i="1" s="1"/>
  <c r="H2287" i="1"/>
  <c r="H2286" i="1"/>
  <c r="H2285" i="1"/>
  <c r="H2284" i="1"/>
  <c r="H2283" i="1"/>
  <c r="H2282" i="1"/>
  <c r="H2281" i="1"/>
  <c r="H2280" i="1"/>
  <c r="G2279" i="1"/>
  <c r="H2279" i="1" s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G2229" i="1"/>
  <c r="H2229" i="1" s="1"/>
  <c r="H2227" i="1"/>
  <c r="H2226" i="1"/>
  <c r="H2225" i="1"/>
  <c r="H2224" i="1"/>
  <c r="H2223" i="1"/>
  <c r="H2222" i="1"/>
  <c r="H2221" i="1"/>
  <c r="H2220" i="1"/>
  <c r="H2219" i="1"/>
  <c r="H2218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5" i="1"/>
  <c r="H2174" i="1"/>
  <c r="H2173" i="1"/>
  <c r="H2172" i="1"/>
  <c r="H2171" i="1"/>
  <c r="H2170" i="1"/>
  <c r="G2169" i="1"/>
  <c r="H2169" i="1" s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0" i="1"/>
  <c r="H2149" i="1"/>
  <c r="H2148" i="1"/>
  <c r="H2147" i="1"/>
  <c r="H2146" i="1"/>
  <c r="H2145" i="1"/>
  <c r="G2144" i="1"/>
  <c r="H2144" i="1" s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G2037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G1982" i="1"/>
  <c r="H1982" i="1" s="1"/>
  <c r="H1981" i="1"/>
  <c r="H1980" i="1"/>
  <c r="G1979" i="1"/>
  <c r="H1979" i="1" s="1"/>
  <c r="H1978" i="1"/>
  <c r="H1977" i="1"/>
  <c r="H1976" i="1"/>
  <c r="H1975" i="1"/>
  <c r="H1974" i="1"/>
  <c r="H1973" i="1"/>
  <c r="H1972" i="1"/>
  <c r="G1971" i="1"/>
  <c r="H1971" i="1" s="1"/>
  <c r="H1970" i="1"/>
  <c r="H1969" i="1"/>
  <c r="H1968" i="1"/>
  <c r="H1967" i="1"/>
  <c r="H1966" i="1"/>
  <c r="H1965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G1897" i="1"/>
  <c r="H1897" i="1" s="1"/>
  <c r="H1896" i="1"/>
  <c r="G1895" i="1"/>
  <c r="H1895" i="1" s="1"/>
  <c r="H1894" i="1"/>
  <c r="H1883" i="1"/>
  <c r="H1882" i="1"/>
  <c r="H1881" i="1"/>
  <c r="H1880" i="1"/>
  <c r="H1879" i="1"/>
  <c r="H1878" i="1"/>
  <c r="H1877" i="1"/>
  <c r="H1876" i="1"/>
  <c r="H1875" i="1"/>
  <c r="H1874" i="1"/>
  <c r="H1873" i="1"/>
  <c r="Q1872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3" i="1"/>
  <c r="H1812" i="1"/>
  <c r="H1810" i="1"/>
  <c r="H1809" i="1"/>
  <c r="H1808" i="1"/>
  <c r="H1807" i="1"/>
  <c r="H1806" i="1"/>
  <c r="H1805" i="1"/>
  <c r="H1804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6" i="1"/>
  <c r="H1755" i="1"/>
  <c r="H1754" i="1"/>
  <c r="H1753" i="1"/>
  <c r="U1752" i="1"/>
  <c r="H1752" i="1"/>
  <c r="H1751" i="1"/>
  <c r="H1750" i="1"/>
  <c r="H1749" i="1"/>
  <c r="H1748" i="1"/>
  <c r="H1747" i="1"/>
  <c r="H1746" i="1"/>
  <c r="H1745" i="1"/>
  <c r="H1744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8" i="1"/>
  <c r="H1717" i="1"/>
  <c r="H1716" i="1"/>
  <c r="H1715" i="1"/>
  <c r="H1714" i="1"/>
  <c r="H1713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G1658" i="1"/>
  <c r="H1658" i="1" s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U1641" i="1"/>
  <c r="H1641" i="1"/>
  <c r="U1640" i="1"/>
  <c r="H1640" i="1"/>
  <c r="U1639" i="1"/>
  <c r="H1639" i="1"/>
  <c r="U1638" i="1"/>
  <c r="H1638" i="1"/>
  <c r="U1637" i="1"/>
  <c r="H1637" i="1"/>
  <c r="U1636" i="1"/>
  <c r="H1636" i="1"/>
  <c r="H1635" i="1"/>
  <c r="H1634" i="1"/>
  <c r="U1633" i="1"/>
  <c r="H1633" i="1"/>
  <c r="H1632" i="1"/>
  <c r="H1631" i="1"/>
  <c r="U1630" i="1"/>
  <c r="H1630" i="1"/>
  <c r="U1629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3" i="1"/>
  <c r="H1592" i="1"/>
  <c r="H1591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3" i="1"/>
  <c r="H1532" i="1"/>
  <c r="H1531" i="1"/>
  <c r="H1530" i="1"/>
  <c r="H1529" i="1"/>
  <c r="H1528" i="1"/>
  <c r="H1527" i="1"/>
  <c r="H1526" i="1"/>
  <c r="H1525" i="1"/>
  <c r="H1524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1" i="1"/>
  <c r="H1499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07" i="1"/>
  <c r="H1406" i="1"/>
  <c r="H1405" i="1"/>
  <c r="H1404" i="1"/>
  <c r="H1403" i="1"/>
  <c r="H1402" i="1"/>
  <c r="H1400" i="1"/>
  <c r="H1399" i="1"/>
  <c r="H1398" i="1"/>
  <c r="H1397" i="1"/>
  <c r="H1396" i="1"/>
  <c r="H1395" i="1"/>
  <c r="H1394" i="1"/>
  <c r="H1393" i="1"/>
  <c r="H1392" i="1"/>
  <c r="H1391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G1259" i="1"/>
  <c r="H1259" i="1" s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G1224" i="1"/>
  <c r="H1224" i="1" s="1"/>
  <c r="H1223" i="1"/>
  <c r="H1221" i="1"/>
  <c r="H1220" i="1"/>
  <c r="H1219" i="1"/>
  <c r="H1218" i="1"/>
  <c r="G1217" i="1"/>
  <c r="H1217" i="1" s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G1108" i="1"/>
  <c r="H1108" i="1" s="1"/>
  <c r="H1107" i="1"/>
  <c r="H1106" i="1"/>
  <c r="H1105" i="1"/>
  <c r="H1104" i="1"/>
  <c r="H1103" i="1"/>
  <c r="H1102" i="1"/>
  <c r="H1101" i="1"/>
  <c r="G1100" i="1"/>
  <c r="H1100" i="1" s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6" i="1"/>
  <c r="H1085" i="1"/>
  <c r="H1084" i="1"/>
  <c r="H1083" i="1"/>
  <c r="H1082" i="1"/>
  <c r="H1081" i="1"/>
  <c r="G1080" i="1"/>
  <c r="H1080" i="1" s="1"/>
  <c r="H1079" i="1"/>
  <c r="H1078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T4537" i="1"/>
  <c r="T4536" i="1"/>
  <c r="T4535" i="1"/>
  <c r="T4534" i="1"/>
  <c r="T4533" i="1"/>
  <c r="T4532" i="1"/>
  <c r="Q1036" i="1"/>
  <c r="H1036" i="1"/>
  <c r="Q1035" i="1"/>
  <c r="H1035" i="1"/>
  <c r="U1034" i="1"/>
  <c r="Q1034" i="1"/>
  <c r="H1034" i="1"/>
  <c r="U1033" i="1"/>
  <c r="Q1033" i="1"/>
  <c r="H1033" i="1"/>
  <c r="U1032" i="1"/>
  <c r="Q1032" i="1"/>
  <c r="H1032" i="1"/>
  <c r="Q1031" i="1"/>
  <c r="H1031" i="1"/>
  <c r="T1030" i="1"/>
  <c r="P1030" i="1"/>
  <c r="Q1029" i="1"/>
  <c r="H1029" i="1"/>
  <c r="Q1028" i="1"/>
  <c r="H1028" i="1"/>
  <c r="Q1027" i="1"/>
  <c r="H1027" i="1"/>
  <c r="H1026" i="1"/>
  <c r="Q1025" i="1"/>
  <c r="H1025" i="1"/>
  <c r="T1024" i="1"/>
  <c r="U1024" i="1" s="1"/>
  <c r="Q1024" i="1"/>
  <c r="H1024" i="1"/>
  <c r="Q1023" i="1"/>
  <c r="H1023" i="1"/>
  <c r="Q1022" i="1"/>
  <c r="U1022" i="1" s="1"/>
  <c r="U1021" i="1"/>
  <c r="Q1021" i="1"/>
  <c r="U1020" i="1"/>
  <c r="Q1020" i="1"/>
  <c r="Q1019" i="1"/>
  <c r="H1019" i="1"/>
  <c r="Q1018" i="1"/>
  <c r="U1018" i="1" s="1"/>
  <c r="G1018" i="1"/>
  <c r="H1018" i="1" s="1"/>
  <c r="U1017" i="1"/>
  <c r="H1017" i="1"/>
  <c r="H1010" i="1"/>
  <c r="Q1009" i="1"/>
  <c r="H1009" i="1"/>
  <c r="Q1007" i="1"/>
  <c r="H1007" i="1"/>
  <c r="Q1006" i="1"/>
  <c r="H1006" i="1"/>
  <c r="Q1005" i="1"/>
  <c r="H1005" i="1"/>
  <c r="Q1004" i="1"/>
  <c r="H1004" i="1"/>
  <c r="Q1003" i="1"/>
  <c r="H1003" i="1"/>
  <c r="Q1002" i="1"/>
  <c r="H1002" i="1"/>
  <c r="Q1001" i="1"/>
  <c r="H1001" i="1"/>
  <c r="Q1000" i="1"/>
  <c r="H1000" i="1"/>
  <c r="Q999" i="1"/>
  <c r="H999" i="1"/>
  <c r="Q998" i="1"/>
  <c r="H998" i="1"/>
  <c r="Q997" i="1"/>
  <c r="H997" i="1"/>
  <c r="AK996" i="1"/>
  <c r="Q996" i="1"/>
  <c r="U996" i="1" s="1"/>
  <c r="H996" i="1"/>
  <c r="Q995" i="1"/>
  <c r="U995" i="1" s="1"/>
  <c r="H995" i="1"/>
  <c r="Q994" i="1"/>
  <c r="H994" i="1"/>
  <c r="Q993" i="1"/>
  <c r="H993" i="1"/>
  <c r="Q992" i="1"/>
  <c r="U992" i="1" s="1"/>
  <c r="H992" i="1"/>
  <c r="Q991" i="1"/>
  <c r="H991" i="1"/>
  <c r="Q990" i="1"/>
  <c r="H990" i="1"/>
  <c r="Q989" i="1"/>
  <c r="U989" i="1" s="1"/>
  <c r="H989" i="1"/>
  <c r="U988" i="1"/>
  <c r="Q988" i="1"/>
  <c r="H988" i="1"/>
  <c r="AL987" i="1"/>
  <c r="AK987" i="1"/>
  <c r="Q987" i="1"/>
  <c r="U987" i="1" s="1"/>
  <c r="H987" i="1"/>
  <c r="U986" i="1"/>
  <c r="Q986" i="1"/>
  <c r="H986" i="1"/>
  <c r="U985" i="1"/>
  <c r="Q985" i="1"/>
  <c r="H985" i="1"/>
  <c r="U984" i="1"/>
  <c r="Q984" i="1"/>
  <c r="H984" i="1"/>
  <c r="U983" i="1"/>
  <c r="Q983" i="1"/>
  <c r="H983" i="1"/>
  <c r="AL982" i="1"/>
  <c r="AK982" i="1"/>
  <c r="U982" i="1"/>
  <c r="Q982" i="1"/>
  <c r="H982" i="1"/>
  <c r="U981" i="1"/>
  <c r="Q981" i="1"/>
  <c r="H981" i="1"/>
  <c r="U980" i="1"/>
  <c r="Q980" i="1"/>
  <c r="H980" i="1"/>
  <c r="U979" i="1"/>
  <c r="Q979" i="1"/>
  <c r="H979" i="1"/>
  <c r="U978" i="1"/>
  <c r="Q978" i="1"/>
  <c r="H978" i="1"/>
  <c r="U977" i="1"/>
  <c r="Q977" i="1"/>
  <c r="H977" i="1"/>
  <c r="U976" i="1"/>
  <c r="Q976" i="1"/>
  <c r="H976" i="1"/>
  <c r="U975" i="1"/>
  <c r="Q975" i="1"/>
  <c r="H975" i="1"/>
  <c r="Q974" i="1"/>
  <c r="U974" i="1" s="1"/>
  <c r="H974" i="1"/>
  <c r="Q973" i="1"/>
  <c r="H973" i="1"/>
  <c r="Q972" i="1"/>
  <c r="H972" i="1"/>
  <c r="Q971" i="1"/>
  <c r="U971" i="1" s="1"/>
  <c r="G971" i="1"/>
  <c r="H971" i="1" s="1"/>
  <c r="Q970" i="1"/>
  <c r="G970" i="1"/>
  <c r="H970" i="1" s="1"/>
  <c r="U968" i="1"/>
  <c r="Q968" i="1"/>
  <c r="H968" i="1"/>
  <c r="Q967" i="1"/>
  <c r="H967" i="1"/>
  <c r="H966" i="1"/>
  <c r="Q965" i="1"/>
  <c r="H965" i="1"/>
  <c r="Q964" i="1"/>
  <c r="H964" i="1"/>
  <c r="H963" i="1"/>
  <c r="Q962" i="1"/>
  <c r="H962" i="1"/>
  <c r="Q961" i="1"/>
  <c r="U961" i="1" s="1"/>
  <c r="H961" i="1"/>
  <c r="AL960" i="1"/>
  <c r="AK960" i="1"/>
  <c r="Q960" i="1"/>
  <c r="U960" i="1" s="1"/>
  <c r="H960" i="1"/>
  <c r="Q959" i="1"/>
  <c r="U959" i="1" s="1"/>
  <c r="H959" i="1"/>
  <c r="Q958" i="1"/>
  <c r="U958" i="1" s="1"/>
  <c r="H958" i="1"/>
  <c r="Q957" i="1"/>
  <c r="U957" i="1" s="1"/>
  <c r="H957" i="1"/>
  <c r="Q956" i="1"/>
  <c r="U956" i="1" s="1"/>
  <c r="H956" i="1"/>
  <c r="AL955" i="1"/>
  <c r="AK955" i="1"/>
  <c r="Q955" i="1"/>
  <c r="U955" i="1" s="1"/>
  <c r="H955" i="1"/>
  <c r="AL954" i="1"/>
  <c r="AK954" i="1"/>
  <c r="Q954" i="1"/>
  <c r="U954" i="1" s="1"/>
  <c r="H954" i="1"/>
  <c r="Q953" i="1"/>
  <c r="H953" i="1"/>
  <c r="Q952" i="1"/>
  <c r="H952" i="1"/>
  <c r="AL951" i="1"/>
  <c r="AK951" i="1"/>
  <c r="Q951" i="1"/>
  <c r="H951" i="1"/>
  <c r="AL950" i="1"/>
  <c r="AK950" i="1"/>
  <c r="Q950" i="1"/>
  <c r="H950" i="1"/>
  <c r="AL949" i="1"/>
  <c r="AK949" i="1"/>
  <c r="U949" i="1"/>
  <c r="Q949" i="1"/>
  <c r="H949" i="1"/>
  <c r="U948" i="1"/>
  <c r="Q948" i="1"/>
  <c r="H948" i="1"/>
  <c r="H947" i="1"/>
  <c r="U946" i="1"/>
  <c r="Q946" i="1"/>
  <c r="H946" i="1"/>
  <c r="U945" i="1"/>
  <c r="Q945" i="1"/>
  <c r="H945" i="1"/>
  <c r="Q944" i="1"/>
  <c r="H944" i="1"/>
  <c r="Q943" i="1"/>
  <c r="H943" i="1"/>
  <c r="AL942" i="1"/>
  <c r="AK942" i="1"/>
  <c r="Q942" i="1"/>
  <c r="H942" i="1"/>
  <c r="Q941" i="1"/>
  <c r="H941" i="1"/>
  <c r="Q940" i="1"/>
  <c r="H940" i="1"/>
  <c r="Q939" i="1"/>
  <c r="H939" i="1"/>
  <c r="Q938" i="1"/>
  <c r="H938" i="1"/>
  <c r="Q937" i="1"/>
  <c r="H937" i="1"/>
  <c r="Q936" i="1"/>
  <c r="H936" i="1"/>
  <c r="Q935" i="1"/>
  <c r="H935" i="1"/>
  <c r="H934" i="1"/>
  <c r="H933" i="1"/>
  <c r="T932" i="1"/>
  <c r="Q932" i="1"/>
  <c r="H932" i="1"/>
  <c r="AL931" i="1"/>
  <c r="AK931" i="1"/>
  <c r="H931" i="1"/>
  <c r="AL930" i="1"/>
  <c r="AK930" i="1"/>
  <c r="Q930" i="1"/>
  <c r="H930" i="1"/>
  <c r="U929" i="1"/>
  <c r="Q929" i="1"/>
  <c r="H929" i="1"/>
  <c r="AL928" i="1"/>
  <c r="AK928" i="1"/>
  <c r="U928" i="1"/>
  <c r="Q928" i="1"/>
  <c r="H928" i="1"/>
  <c r="Q927" i="1"/>
  <c r="H927" i="1"/>
  <c r="H926" i="1"/>
  <c r="Q925" i="1"/>
  <c r="H925" i="1"/>
  <c r="Q924" i="1"/>
  <c r="H924" i="1"/>
  <c r="AL923" i="1"/>
  <c r="AK923" i="1"/>
  <c r="Q923" i="1"/>
  <c r="H923" i="1"/>
  <c r="Q922" i="1"/>
  <c r="H922" i="1"/>
  <c r="Q921" i="1"/>
  <c r="H921" i="1"/>
  <c r="AK920" i="1"/>
  <c r="H920" i="1"/>
  <c r="U919" i="1"/>
  <c r="H919" i="1"/>
  <c r="H918" i="1"/>
  <c r="H917" i="1"/>
  <c r="H916" i="1"/>
  <c r="U915" i="1"/>
  <c r="H915" i="1"/>
  <c r="U914" i="1"/>
  <c r="H914" i="1"/>
  <c r="U913" i="1"/>
  <c r="H913" i="1"/>
  <c r="U912" i="1"/>
  <c r="H912" i="1"/>
  <c r="H911" i="1"/>
  <c r="H910" i="1"/>
  <c r="Q909" i="1"/>
  <c r="H909" i="1"/>
  <c r="Q908" i="1"/>
  <c r="H908" i="1"/>
  <c r="Q907" i="1"/>
  <c r="H907" i="1"/>
  <c r="Q906" i="1"/>
  <c r="H906" i="1"/>
  <c r="AL905" i="1"/>
  <c r="AK905" i="1"/>
  <c r="Q905" i="1"/>
  <c r="H905" i="1"/>
  <c r="Q904" i="1"/>
  <c r="H904" i="1"/>
  <c r="Q903" i="1"/>
  <c r="H903" i="1"/>
  <c r="U902" i="1"/>
  <c r="Q902" i="1"/>
  <c r="Q901" i="1"/>
  <c r="H901" i="1"/>
  <c r="Q900" i="1"/>
  <c r="H900" i="1"/>
  <c r="Q899" i="1"/>
  <c r="H899" i="1"/>
  <c r="U898" i="1"/>
  <c r="H898" i="1"/>
  <c r="U897" i="1"/>
  <c r="Q897" i="1"/>
  <c r="H897" i="1"/>
  <c r="Q896" i="1"/>
  <c r="H896" i="1"/>
  <c r="U895" i="1"/>
  <c r="Q895" i="1"/>
  <c r="H895" i="1"/>
  <c r="Q894" i="1"/>
  <c r="H894" i="1"/>
  <c r="AL893" i="1"/>
  <c r="AK893" i="1"/>
  <c r="Q893" i="1"/>
  <c r="H893" i="1"/>
  <c r="H892" i="1"/>
  <c r="AL891" i="1"/>
  <c r="AK891" i="1"/>
  <c r="Q891" i="1"/>
  <c r="H891" i="1"/>
  <c r="U890" i="1"/>
  <c r="H890" i="1"/>
  <c r="Q889" i="1"/>
  <c r="G889" i="1"/>
  <c r="H889" i="1" s="1"/>
  <c r="Q888" i="1"/>
  <c r="H888" i="1"/>
  <c r="Q887" i="1"/>
  <c r="H887" i="1"/>
  <c r="AL886" i="1"/>
  <c r="AK886" i="1"/>
  <c r="Q886" i="1"/>
  <c r="H886" i="1"/>
  <c r="Q885" i="1"/>
  <c r="H885" i="1"/>
  <c r="H884" i="1"/>
  <c r="Q883" i="1"/>
  <c r="H883" i="1"/>
  <c r="AL882" i="1"/>
  <c r="AK882" i="1"/>
  <c r="Q882" i="1"/>
  <c r="H882" i="1"/>
  <c r="AL881" i="1"/>
  <c r="AK881" i="1"/>
  <c r="H881" i="1"/>
  <c r="Q880" i="1"/>
  <c r="H880" i="1"/>
  <c r="AL879" i="1"/>
  <c r="AK879" i="1"/>
  <c r="H879" i="1"/>
  <c r="Q878" i="1"/>
  <c r="H878" i="1"/>
  <c r="Q877" i="1"/>
  <c r="H877" i="1"/>
  <c r="Q876" i="1"/>
  <c r="H876" i="1"/>
  <c r="Q875" i="1"/>
  <c r="H875" i="1"/>
  <c r="U874" i="1"/>
  <c r="Q874" i="1"/>
  <c r="H874" i="1"/>
  <c r="Q873" i="1"/>
  <c r="H873" i="1"/>
  <c r="Q872" i="1"/>
  <c r="H872" i="1"/>
  <c r="AL871" i="1"/>
  <c r="AK871" i="1"/>
  <c r="Q871" i="1"/>
  <c r="H871" i="1"/>
  <c r="Q870" i="1"/>
  <c r="U870" i="1" s="1"/>
  <c r="H870" i="1"/>
  <c r="Q869" i="1"/>
  <c r="U869" i="1" s="1"/>
  <c r="H869" i="1"/>
  <c r="AK868" i="1"/>
  <c r="Q868" i="1"/>
  <c r="U868" i="1" s="1"/>
  <c r="H868" i="1"/>
  <c r="H867" i="1"/>
  <c r="AL866" i="1"/>
  <c r="AK866" i="1"/>
  <c r="Q866" i="1"/>
  <c r="H866" i="1"/>
  <c r="Q865" i="1"/>
  <c r="U865" i="1" s="1"/>
  <c r="H865" i="1"/>
  <c r="Q864" i="1"/>
  <c r="H864" i="1"/>
  <c r="Q863" i="1"/>
  <c r="H863" i="1"/>
  <c r="Q862" i="1"/>
  <c r="H862" i="1"/>
  <c r="Q861" i="1"/>
  <c r="H861" i="1"/>
  <c r="Q860" i="1"/>
  <c r="H860" i="1"/>
  <c r="Q859" i="1"/>
  <c r="H859" i="1"/>
  <c r="Q858" i="1"/>
  <c r="H858" i="1"/>
  <c r="Q857" i="1"/>
  <c r="H857" i="1"/>
  <c r="Q856" i="1"/>
  <c r="H856" i="1"/>
  <c r="Q855" i="1"/>
  <c r="H855" i="1"/>
  <c r="Q854" i="1"/>
  <c r="H854" i="1"/>
  <c r="H853" i="1"/>
  <c r="H852" i="1"/>
  <c r="H851" i="1"/>
  <c r="H850" i="1"/>
  <c r="H849" i="1"/>
  <c r="H848" i="1"/>
  <c r="H847" i="1"/>
  <c r="H846" i="1"/>
  <c r="Q845" i="1"/>
  <c r="H845" i="1"/>
  <c r="U844" i="1"/>
  <c r="Q844" i="1"/>
  <c r="H844" i="1"/>
  <c r="Q843" i="1"/>
  <c r="H843" i="1"/>
  <c r="Q842" i="1"/>
  <c r="H842" i="1"/>
  <c r="U841" i="1"/>
  <c r="H841" i="1"/>
  <c r="AL840" i="1"/>
  <c r="AK840" i="1"/>
  <c r="Q840" i="1"/>
  <c r="H840" i="1"/>
  <c r="Q839" i="1"/>
  <c r="H839" i="1"/>
  <c r="Q838" i="1"/>
  <c r="H838" i="1"/>
  <c r="U837" i="1"/>
  <c r="Q837" i="1"/>
  <c r="H837" i="1"/>
  <c r="Q836" i="1"/>
  <c r="H836" i="1"/>
  <c r="U835" i="1"/>
  <c r="Q835" i="1"/>
  <c r="H835" i="1"/>
  <c r="U834" i="1"/>
  <c r="Q834" i="1"/>
  <c r="H834" i="1"/>
  <c r="T833" i="1"/>
  <c r="U833" i="1" s="1"/>
  <c r="Q833" i="1"/>
  <c r="H833" i="1"/>
  <c r="Q832" i="1"/>
  <c r="H832" i="1"/>
  <c r="U831" i="1"/>
  <c r="Q831" i="1"/>
  <c r="H831" i="1"/>
  <c r="Q830" i="1"/>
  <c r="H830" i="1"/>
  <c r="Q829" i="1"/>
  <c r="H829" i="1"/>
  <c r="Q828" i="1"/>
  <c r="H828" i="1"/>
  <c r="AL827" i="1"/>
  <c r="AK827" i="1"/>
  <c r="Q827" i="1"/>
  <c r="H827" i="1"/>
  <c r="Q825" i="1"/>
  <c r="H825" i="1"/>
  <c r="Q824" i="1"/>
  <c r="H824" i="1"/>
  <c r="Q823" i="1"/>
  <c r="H823" i="1"/>
  <c r="AL822" i="1"/>
  <c r="AK822" i="1"/>
  <c r="Q822" i="1"/>
  <c r="H822" i="1"/>
  <c r="Q821" i="1"/>
  <c r="H821" i="1"/>
  <c r="Q820" i="1"/>
  <c r="H820" i="1"/>
  <c r="U819" i="1"/>
  <c r="Q819" i="1"/>
  <c r="H819" i="1"/>
  <c r="Q818" i="1"/>
  <c r="H818" i="1"/>
  <c r="AL817" i="1"/>
  <c r="AK817" i="1"/>
  <c r="Q817" i="1"/>
  <c r="H817" i="1"/>
  <c r="Q816" i="1"/>
  <c r="H816" i="1"/>
  <c r="AL815" i="1"/>
  <c r="AK815" i="1"/>
  <c r="Q815" i="1"/>
  <c r="H815" i="1"/>
  <c r="U814" i="1"/>
  <c r="Q814" i="1"/>
  <c r="H814" i="1"/>
  <c r="U813" i="1"/>
  <c r="Q813" i="1"/>
  <c r="U812" i="1"/>
  <c r="Q812" i="1"/>
  <c r="U811" i="1"/>
  <c r="Q811" i="1"/>
  <c r="H811" i="1"/>
  <c r="AL810" i="1"/>
  <c r="AK810" i="1"/>
  <c r="Q810" i="1"/>
  <c r="H810" i="1"/>
  <c r="H809" i="1"/>
  <c r="U808" i="1"/>
  <c r="Q808" i="1"/>
  <c r="H808" i="1"/>
  <c r="U807" i="1"/>
  <c r="Q807" i="1"/>
  <c r="H807" i="1"/>
  <c r="AL806" i="1"/>
  <c r="AK806" i="1"/>
  <c r="U806" i="1"/>
  <c r="Q806" i="1"/>
  <c r="H806" i="1"/>
  <c r="U805" i="1"/>
  <c r="Q805" i="1"/>
  <c r="U804" i="1"/>
  <c r="Q804" i="1"/>
  <c r="H804" i="1"/>
  <c r="Q803" i="1"/>
  <c r="H803" i="1"/>
  <c r="Q802" i="1"/>
  <c r="H802" i="1"/>
  <c r="Q801" i="1"/>
  <c r="H801" i="1"/>
  <c r="Q800" i="1"/>
  <c r="H800" i="1"/>
  <c r="Q799" i="1"/>
  <c r="H799" i="1"/>
  <c r="AL798" i="1"/>
  <c r="AK798" i="1"/>
  <c r="Q798" i="1"/>
  <c r="H798" i="1"/>
  <c r="Q797" i="1"/>
  <c r="H797" i="1"/>
  <c r="U796" i="1"/>
  <c r="Q796" i="1"/>
  <c r="H796" i="1"/>
  <c r="AL795" i="1"/>
  <c r="AK795" i="1"/>
  <c r="U795" i="1"/>
  <c r="Q795" i="1"/>
  <c r="H795" i="1"/>
  <c r="H794" i="1"/>
  <c r="Q793" i="1"/>
  <c r="H793" i="1"/>
  <c r="Q792" i="1"/>
  <c r="H792" i="1"/>
  <c r="Q791" i="1"/>
  <c r="H791" i="1"/>
  <c r="Q790" i="1"/>
  <c r="H790" i="1"/>
  <c r="Q789" i="1"/>
  <c r="H789" i="1"/>
  <c r="Q788" i="1"/>
  <c r="H788" i="1"/>
  <c r="Q787" i="1"/>
  <c r="H787" i="1"/>
  <c r="Q786" i="1"/>
  <c r="H786" i="1"/>
  <c r="AL785" i="1"/>
  <c r="AK785" i="1"/>
  <c r="Q785" i="1"/>
  <c r="H785" i="1"/>
  <c r="Q784" i="1"/>
  <c r="G784" i="1"/>
  <c r="H784" i="1" s="1"/>
  <c r="Q783" i="1"/>
  <c r="H783" i="1"/>
  <c r="Q782" i="1"/>
  <c r="H782" i="1"/>
  <c r="Q781" i="1"/>
  <c r="H781" i="1"/>
  <c r="Q780" i="1"/>
  <c r="H780" i="1"/>
  <c r="Q779" i="1"/>
  <c r="H779" i="1"/>
  <c r="Q778" i="1"/>
  <c r="H778" i="1"/>
  <c r="AL777" i="1"/>
  <c r="AK777" i="1"/>
  <c r="Q777" i="1"/>
  <c r="H777" i="1"/>
  <c r="H776" i="1"/>
  <c r="H775" i="1"/>
  <c r="H774" i="1"/>
  <c r="H773" i="1"/>
  <c r="H772" i="1"/>
  <c r="Q771" i="1"/>
  <c r="H771" i="1"/>
  <c r="H769" i="1"/>
  <c r="H768" i="1"/>
  <c r="H767" i="1"/>
  <c r="H766" i="1"/>
  <c r="H765" i="1"/>
  <c r="Q764" i="1"/>
  <c r="H764" i="1"/>
  <c r="Q763" i="1"/>
  <c r="H763" i="1"/>
  <c r="Q762" i="1"/>
  <c r="H762" i="1"/>
  <c r="Q761" i="1"/>
  <c r="H761" i="1"/>
  <c r="Q760" i="1"/>
  <c r="H760" i="1"/>
  <c r="Q759" i="1"/>
  <c r="H759" i="1"/>
  <c r="AL758" i="1"/>
  <c r="AK758" i="1"/>
  <c r="Q758" i="1"/>
  <c r="H758" i="1"/>
  <c r="Q757" i="1"/>
  <c r="H757" i="1"/>
  <c r="Q756" i="1"/>
  <c r="H756" i="1"/>
  <c r="AL755" i="1"/>
  <c r="AK755" i="1"/>
  <c r="Q755" i="1"/>
  <c r="H755" i="1"/>
  <c r="Q754" i="1"/>
  <c r="H754" i="1"/>
  <c r="Q753" i="1"/>
  <c r="H753" i="1"/>
  <c r="Q752" i="1"/>
  <c r="H752" i="1"/>
  <c r="AL751" i="1"/>
  <c r="AK751" i="1"/>
  <c r="Q751" i="1"/>
  <c r="H751" i="1"/>
  <c r="Q748" i="1"/>
  <c r="Q747" i="1"/>
  <c r="H747" i="1"/>
  <c r="T746" i="1"/>
  <c r="Q746" i="1"/>
  <c r="H746" i="1"/>
  <c r="T745" i="1"/>
  <c r="Q745" i="1"/>
  <c r="H745" i="1"/>
  <c r="Q744" i="1"/>
  <c r="H744" i="1"/>
  <c r="Q743" i="1"/>
  <c r="H743" i="1"/>
  <c r="Q742" i="1"/>
  <c r="H742" i="1"/>
  <c r="Q741" i="1"/>
  <c r="H741" i="1"/>
  <c r="AL740" i="1"/>
  <c r="AK740" i="1"/>
  <c r="Q740" i="1"/>
  <c r="H740" i="1"/>
  <c r="Q739" i="1"/>
  <c r="U739" i="1" s="1"/>
  <c r="H739" i="1"/>
  <c r="Q738" i="1"/>
  <c r="U738" i="1" s="1"/>
  <c r="H738" i="1"/>
  <c r="U737" i="1"/>
  <c r="H737" i="1"/>
  <c r="AK736" i="1"/>
  <c r="AJ736" i="1"/>
  <c r="Q736" i="1"/>
  <c r="U736" i="1" s="1"/>
  <c r="H736" i="1"/>
  <c r="U735" i="1"/>
  <c r="Q735" i="1"/>
  <c r="H735" i="1"/>
  <c r="AK734" i="1"/>
  <c r="Q734" i="1"/>
  <c r="H734" i="1"/>
  <c r="Q733" i="1"/>
  <c r="H733" i="1"/>
  <c r="Q732" i="1"/>
  <c r="H732" i="1"/>
  <c r="Q731" i="1"/>
  <c r="H731" i="1"/>
  <c r="H730" i="1"/>
  <c r="AL729" i="1"/>
  <c r="AK729" i="1"/>
  <c r="Q729" i="1"/>
  <c r="H729" i="1"/>
  <c r="Q728" i="1"/>
  <c r="H728" i="1"/>
  <c r="Q727" i="1"/>
  <c r="H727" i="1"/>
  <c r="AL726" i="1"/>
  <c r="AK726" i="1"/>
  <c r="Q726" i="1"/>
  <c r="H726" i="1"/>
  <c r="H725" i="1"/>
  <c r="AK724" i="1"/>
  <c r="Q724" i="1"/>
  <c r="H724" i="1"/>
  <c r="Q723" i="1"/>
  <c r="H723" i="1"/>
  <c r="Q722" i="1"/>
  <c r="H722" i="1"/>
  <c r="Q721" i="1"/>
  <c r="H721" i="1"/>
  <c r="Q720" i="1"/>
  <c r="H720" i="1"/>
  <c r="Q719" i="1"/>
  <c r="H719" i="1"/>
  <c r="Q718" i="1"/>
  <c r="H718" i="1"/>
  <c r="AL717" i="1"/>
  <c r="AK717" i="1"/>
  <c r="U717" i="1"/>
  <c r="H717" i="1"/>
  <c r="AL716" i="1"/>
  <c r="AK716" i="1"/>
  <c r="Q716" i="1"/>
  <c r="H716" i="1"/>
  <c r="U715" i="1"/>
  <c r="Q715" i="1"/>
  <c r="Q714" i="1"/>
  <c r="H714" i="1"/>
  <c r="U713" i="1"/>
  <c r="Q713" i="1"/>
  <c r="AL712" i="1"/>
  <c r="AK712" i="1"/>
  <c r="H712" i="1"/>
  <c r="U711" i="1"/>
  <c r="Q711" i="1"/>
  <c r="H711" i="1"/>
  <c r="AL710" i="1"/>
  <c r="AK710" i="1"/>
  <c r="Q710" i="1"/>
  <c r="H710" i="1"/>
  <c r="Q709" i="1"/>
  <c r="H709" i="1"/>
  <c r="Q708" i="1"/>
  <c r="H708" i="1"/>
  <c r="Q707" i="1"/>
  <c r="H707" i="1"/>
  <c r="AL706" i="1"/>
  <c r="AK706" i="1"/>
  <c r="Q706" i="1"/>
  <c r="H706" i="1"/>
  <c r="H705" i="1"/>
  <c r="H704" i="1"/>
  <c r="AL703" i="1"/>
  <c r="AK703" i="1"/>
  <c r="Q703" i="1"/>
  <c r="H703" i="1"/>
  <c r="U702" i="1"/>
  <c r="Q702" i="1"/>
  <c r="H702" i="1"/>
  <c r="Q701" i="1"/>
  <c r="H701" i="1"/>
  <c r="Q700" i="1"/>
  <c r="H700" i="1"/>
  <c r="Q699" i="1"/>
  <c r="H699" i="1"/>
  <c r="AL698" i="1"/>
  <c r="AK698" i="1"/>
  <c r="Q698" i="1"/>
  <c r="H698" i="1"/>
  <c r="H697" i="1"/>
  <c r="AL696" i="1"/>
  <c r="AK696" i="1"/>
  <c r="Q696" i="1"/>
  <c r="H696" i="1"/>
  <c r="Q695" i="1"/>
  <c r="H695" i="1"/>
  <c r="Q694" i="1"/>
  <c r="H694" i="1"/>
  <c r="Q693" i="1"/>
  <c r="H693" i="1"/>
  <c r="Q692" i="1"/>
  <c r="H692" i="1"/>
  <c r="Q691" i="1"/>
  <c r="G691" i="1"/>
  <c r="H691" i="1" s="1"/>
  <c r="AL690" i="1"/>
  <c r="AK690" i="1"/>
  <c r="U690" i="1"/>
  <c r="Q690" i="1"/>
  <c r="H690" i="1"/>
  <c r="U689" i="1"/>
  <c r="Q689" i="1"/>
  <c r="H689" i="1"/>
  <c r="Q688" i="1"/>
  <c r="H688" i="1"/>
  <c r="Q687" i="1"/>
  <c r="H687" i="1"/>
  <c r="Q686" i="1"/>
  <c r="H686" i="1"/>
  <c r="Q685" i="1"/>
  <c r="H685" i="1"/>
  <c r="Q684" i="1"/>
  <c r="H684" i="1"/>
  <c r="Q683" i="1"/>
  <c r="H683" i="1"/>
  <c r="AL682" i="1"/>
  <c r="AK682" i="1"/>
  <c r="Q682" i="1"/>
  <c r="H682" i="1"/>
  <c r="Q681" i="1"/>
  <c r="G681" i="1"/>
  <c r="H681" i="1" s="1"/>
  <c r="Q680" i="1"/>
  <c r="H680" i="1"/>
  <c r="Q679" i="1"/>
  <c r="H679" i="1"/>
  <c r="U678" i="1"/>
  <c r="Q678" i="1"/>
  <c r="H678" i="1"/>
  <c r="U677" i="1"/>
  <c r="H677" i="1"/>
  <c r="U676" i="1"/>
  <c r="H676" i="1"/>
  <c r="U675" i="1"/>
  <c r="Q675" i="1"/>
  <c r="H675" i="1"/>
  <c r="Q674" i="1"/>
  <c r="H674" i="1"/>
  <c r="U673" i="1"/>
  <c r="Q673" i="1"/>
  <c r="H673" i="1"/>
  <c r="U672" i="1"/>
  <c r="Q672" i="1"/>
  <c r="H672" i="1"/>
  <c r="U671" i="1"/>
  <c r="Q671" i="1"/>
  <c r="Q670" i="1"/>
  <c r="H670" i="1"/>
  <c r="U669" i="1"/>
  <c r="Q669" i="1"/>
  <c r="AL668" i="1"/>
  <c r="AK668" i="1"/>
  <c r="Q668" i="1"/>
  <c r="H668" i="1"/>
  <c r="T667" i="1"/>
  <c r="U667" i="1" s="1"/>
  <c r="Q667" i="1"/>
  <c r="H667" i="1"/>
  <c r="Q666" i="1"/>
  <c r="H666" i="1"/>
  <c r="Q665" i="1"/>
  <c r="H665" i="1"/>
  <c r="U665" i="1" s="1"/>
  <c r="U664" i="1"/>
  <c r="Q664" i="1"/>
  <c r="H664" i="1"/>
  <c r="T663" i="1"/>
  <c r="Q663" i="1"/>
  <c r="H663" i="1"/>
  <c r="T662" i="1"/>
  <c r="U662" i="1" s="1"/>
  <c r="Q662" i="1"/>
  <c r="H662" i="1"/>
  <c r="AL661" i="1"/>
  <c r="AK661" i="1"/>
  <c r="U661" i="1"/>
  <c r="Q661" i="1"/>
  <c r="H661" i="1"/>
  <c r="U660" i="1"/>
  <c r="Q660" i="1"/>
  <c r="H660" i="1"/>
  <c r="Q659" i="1"/>
  <c r="H659" i="1"/>
  <c r="U659" i="1" s="1"/>
  <c r="Q658" i="1"/>
  <c r="G658" i="1"/>
  <c r="H658" i="1" s="1"/>
  <c r="Q657" i="1"/>
  <c r="G657" i="1"/>
  <c r="H657" i="1" s="1"/>
  <c r="H656" i="1"/>
  <c r="AL655" i="1"/>
  <c r="AK655" i="1"/>
  <c r="U655" i="1"/>
  <c r="Q655" i="1"/>
  <c r="H655" i="1"/>
  <c r="Q654" i="1"/>
  <c r="H654" i="1"/>
  <c r="Q653" i="1"/>
  <c r="H653" i="1"/>
  <c r="AL652" i="1"/>
  <c r="AK652" i="1"/>
  <c r="H652" i="1"/>
  <c r="Q651" i="1"/>
  <c r="H651" i="1"/>
  <c r="AK650" i="1"/>
  <c r="Q650" i="1"/>
  <c r="H650" i="1"/>
  <c r="Q649" i="1"/>
  <c r="H649" i="1"/>
  <c r="Q648" i="1"/>
  <c r="H648" i="1"/>
  <c r="Q647" i="1"/>
  <c r="H647" i="1"/>
  <c r="Q646" i="1"/>
  <c r="H646" i="1"/>
  <c r="Q645" i="1"/>
  <c r="H645" i="1"/>
  <c r="Q644" i="1"/>
  <c r="H644" i="1"/>
  <c r="Q643" i="1"/>
  <c r="H643" i="1"/>
  <c r="Q642" i="1"/>
  <c r="H642" i="1"/>
  <c r="Q641" i="1"/>
  <c r="H641" i="1"/>
  <c r="U640" i="1"/>
  <c r="Q640" i="1"/>
  <c r="H640" i="1"/>
  <c r="Q639" i="1"/>
  <c r="H639" i="1"/>
  <c r="Q638" i="1"/>
  <c r="H638" i="1"/>
  <c r="Q637" i="1"/>
  <c r="H637" i="1"/>
  <c r="Q636" i="1"/>
  <c r="H636" i="1"/>
  <c r="Q635" i="1"/>
  <c r="H635" i="1"/>
  <c r="Q634" i="1"/>
  <c r="H634" i="1"/>
  <c r="AL633" i="1"/>
  <c r="AK633" i="1"/>
  <c r="Q633" i="1"/>
  <c r="H633" i="1"/>
  <c r="AL632" i="1"/>
  <c r="AK632" i="1"/>
  <c r="Q632" i="1"/>
  <c r="H632" i="1"/>
  <c r="Q631" i="1"/>
  <c r="H631" i="1"/>
  <c r="U630" i="1"/>
  <c r="Q630" i="1"/>
  <c r="H630" i="1"/>
  <c r="Q629" i="1"/>
  <c r="H629" i="1"/>
  <c r="Q628" i="1"/>
  <c r="H628" i="1"/>
  <c r="Q627" i="1"/>
  <c r="H627" i="1"/>
  <c r="AK626" i="1"/>
  <c r="Q626" i="1"/>
  <c r="H626" i="1"/>
  <c r="Q625" i="1"/>
  <c r="H625" i="1"/>
  <c r="Q624" i="1"/>
  <c r="H624" i="1"/>
  <c r="Q623" i="1"/>
  <c r="H623" i="1"/>
  <c r="AL622" i="1"/>
  <c r="AK622" i="1"/>
  <c r="Q622" i="1"/>
  <c r="H622" i="1"/>
  <c r="H621" i="1"/>
  <c r="AK620" i="1"/>
  <c r="Q620" i="1"/>
  <c r="H620" i="1"/>
  <c r="U619" i="1"/>
  <c r="H619" i="1"/>
  <c r="Q618" i="1"/>
  <c r="H618" i="1"/>
  <c r="Q617" i="1"/>
  <c r="H617" i="1"/>
  <c r="U616" i="1"/>
  <c r="Q616" i="1"/>
  <c r="H616" i="1"/>
  <c r="Q615" i="1"/>
  <c r="H615" i="1"/>
  <c r="Q614" i="1"/>
  <c r="H614" i="1"/>
  <c r="Q613" i="1"/>
  <c r="H613" i="1"/>
  <c r="U612" i="1"/>
  <c r="Q612" i="1"/>
  <c r="H612" i="1"/>
  <c r="Q611" i="1"/>
  <c r="G611" i="1"/>
  <c r="H611" i="1" s="1"/>
  <c r="AK610" i="1"/>
  <c r="Q610" i="1"/>
  <c r="H610" i="1"/>
  <c r="Q609" i="1"/>
  <c r="H609" i="1"/>
  <c r="Q608" i="1"/>
  <c r="Q607" i="1"/>
  <c r="H607" i="1"/>
  <c r="AK606" i="1"/>
  <c r="U606" i="1"/>
  <c r="Q606" i="1"/>
  <c r="H606" i="1"/>
  <c r="Q605" i="1"/>
  <c r="H605" i="1"/>
  <c r="Q604" i="1"/>
  <c r="H604" i="1"/>
  <c r="U603" i="1"/>
  <c r="Q603" i="1"/>
  <c r="H603" i="1"/>
  <c r="Q602" i="1"/>
  <c r="H602" i="1"/>
  <c r="U601" i="1"/>
  <c r="Q601" i="1"/>
  <c r="H601" i="1"/>
  <c r="Q600" i="1"/>
  <c r="H600" i="1"/>
  <c r="AK599" i="1"/>
  <c r="Q599" i="1"/>
  <c r="H599" i="1"/>
  <c r="AL598" i="1"/>
  <c r="AK598" i="1"/>
  <c r="U598" i="1"/>
  <c r="Q598" i="1"/>
  <c r="H598" i="1"/>
  <c r="U597" i="1"/>
  <c r="Q597" i="1"/>
  <c r="H597" i="1"/>
  <c r="U596" i="1"/>
  <c r="Q596" i="1"/>
  <c r="H596" i="1"/>
  <c r="U595" i="1"/>
  <c r="Q595" i="1"/>
  <c r="H595" i="1"/>
  <c r="U594" i="1"/>
  <c r="Q594" i="1"/>
  <c r="H594" i="1"/>
  <c r="AL593" i="1"/>
  <c r="AK593" i="1"/>
  <c r="U593" i="1"/>
  <c r="Q593" i="1"/>
  <c r="H593" i="1"/>
  <c r="Q592" i="1"/>
  <c r="H592" i="1"/>
  <c r="U591" i="1"/>
  <c r="Q591" i="1"/>
  <c r="H591" i="1"/>
  <c r="Q590" i="1"/>
  <c r="H590" i="1"/>
  <c r="AL589" i="1"/>
  <c r="AK589" i="1"/>
  <c r="Q589" i="1"/>
  <c r="H589" i="1"/>
  <c r="U588" i="1"/>
  <c r="Q588" i="1"/>
  <c r="H588" i="1"/>
  <c r="Q587" i="1"/>
  <c r="H587" i="1"/>
  <c r="Q586" i="1"/>
  <c r="H586" i="1"/>
  <c r="AL585" i="1"/>
  <c r="AK585" i="1"/>
  <c r="U585" i="1"/>
  <c r="Q585" i="1"/>
  <c r="H585" i="1"/>
  <c r="Q584" i="1"/>
  <c r="H584" i="1"/>
  <c r="Q583" i="1"/>
  <c r="H583" i="1"/>
  <c r="Q582" i="1"/>
  <c r="H582" i="1"/>
  <c r="Q581" i="1"/>
  <c r="H581" i="1"/>
  <c r="Q580" i="1"/>
  <c r="H580" i="1"/>
  <c r="U579" i="1"/>
  <c r="Q579" i="1"/>
  <c r="H579" i="1"/>
  <c r="U578" i="1"/>
  <c r="Q578" i="1"/>
  <c r="H578" i="1"/>
  <c r="U577" i="1"/>
  <c r="Q577" i="1"/>
  <c r="H577" i="1"/>
  <c r="U576" i="1"/>
  <c r="Q576" i="1"/>
  <c r="H576" i="1"/>
  <c r="U575" i="1"/>
  <c r="Q575" i="1"/>
  <c r="H575" i="1"/>
  <c r="Q574" i="1"/>
  <c r="H574" i="1"/>
  <c r="AK573" i="1"/>
  <c r="U573" i="1"/>
  <c r="Q573" i="1"/>
  <c r="H573" i="1"/>
  <c r="U572" i="1"/>
  <c r="Q572" i="1"/>
  <c r="H572" i="1"/>
  <c r="AL571" i="1"/>
  <c r="AK571" i="1"/>
  <c r="Q571" i="1"/>
  <c r="H571" i="1"/>
  <c r="H570" i="1"/>
  <c r="AL569" i="1"/>
  <c r="AK569" i="1"/>
  <c r="Q569" i="1"/>
  <c r="H569" i="1"/>
  <c r="U568" i="1"/>
  <c r="Q568" i="1"/>
  <c r="H568" i="1"/>
  <c r="U567" i="1"/>
  <c r="Q567" i="1"/>
  <c r="H567" i="1"/>
  <c r="AL566" i="1"/>
  <c r="AK566" i="1"/>
  <c r="Q566" i="1"/>
  <c r="H566" i="1"/>
  <c r="U565" i="1"/>
  <c r="Q565" i="1"/>
  <c r="H565" i="1"/>
  <c r="Q564" i="1"/>
  <c r="H564" i="1"/>
  <c r="Q563" i="1"/>
  <c r="H563" i="1"/>
  <c r="Q562" i="1"/>
  <c r="H562" i="1"/>
  <c r="AL561" i="1"/>
  <c r="AK561" i="1"/>
  <c r="Q561" i="1"/>
  <c r="H561" i="1"/>
  <c r="Q560" i="1"/>
  <c r="H560" i="1"/>
  <c r="U559" i="1"/>
  <c r="Q559" i="1"/>
  <c r="H559" i="1"/>
  <c r="U558" i="1"/>
  <c r="Q558" i="1"/>
  <c r="H558" i="1"/>
  <c r="U557" i="1"/>
  <c r="Q557" i="1"/>
  <c r="H557" i="1"/>
  <c r="U556" i="1"/>
  <c r="Q556" i="1"/>
  <c r="H556" i="1"/>
  <c r="U555" i="1"/>
  <c r="Q555" i="1"/>
  <c r="H555" i="1"/>
  <c r="U554" i="1"/>
  <c r="Q554" i="1"/>
  <c r="H554" i="1"/>
  <c r="AL553" i="1"/>
  <c r="AK553" i="1"/>
  <c r="U553" i="1"/>
  <c r="Q553" i="1"/>
  <c r="H553" i="1"/>
  <c r="AL552" i="1"/>
  <c r="AK552" i="1"/>
  <c r="Q552" i="1"/>
  <c r="H552" i="1"/>
  <c r="Q551" i="1"/>
  <c r="H551" i="1"/>
  <c r="Q550" i="1"/>
  <c r="H550" i="1"/>
  <c r="Q549" i="1"/>
  <c r="H549" i="1"/>
  <c r="Q548" i="1"/>
  <c r="H548" i="1"/>
  <c r="Q547" i="1"/>
  <c r="H547" i="1"/>
  <c r="H546" i="1"/>
  <c r="AL545" i="1"/>
  <c r="AK545" i="1"/>
  <c r="H545" i="1"/>
  <c r="AL543" i="1"/>
  <c r="AK543" i="1"/>
  <c r="H542" i="1"/>
  <c r="U541" i="1"/>
  <c r="H541" i="1"/>
  <c r="AL540" i="1"/>
  <c r="AK540" i="1"/>
  <c r="T540" i="1"/>
  <c r="U540" i="1" s="1"/>
  <c r="Q540" i="1"/>
  <c r="H540" i="1"/>
  <c r="H539" i="1"/>
  <c r="U538" i="1"/>
  <c r="H538" i="1"/>
  <c r="T537" i="1"/>
  <c r="U537" i="1" s="1"/>
  <c r="Q537" i="1"/>
  <c r="H537" i="1"/>
  <c r="T536" i="1"/>
  <c r="U536" i="1" s="1"/>
  <c r="Q536" i="1"/>
  <c r="H536" i="1"/>
  <c r="AL535" i="1"/>
  <c r="AK535" i="1"/>
  <c r="T535" i="1"/>
  <c r="U535" i="1" s="1"/>
  <c r="Q535" i="1"/>
  <c r="H535" i="1"/>
  <c r="U534" i="1"/>
  <c r="H534" i="1"/>
  <c r="H533" i="1"/>
  <c r="AL532" i="1"/>
  <c r="AK532" i="1"/>
  <c r="H532" i="1"/>
  <c r="H531" i="1"/>
  <c r="Q530" i="1"/>
  <c r="H530" i="1"/>
  <c r="Q529" i="1"/>
  <c r="H529" i="1"/>
  <c r="Q528" i="1"/>
  <c r="H528" i="1"/>
  <c r="Q527" i="1"/>
  <c r="H527" i="1"/>
  <c r="H526" i="1"/>
  <c r="AK525" i="1"/>
  <c r="H525" i="1"/>
  <c r="H524" i="1"/>
  <c r="AK523" i="1"/>
  <c r="U523" i="1"/>
  <c r="H523" i="1"/>
  <c r="AL522" i="1"/>
  <c r="AK522" i="1"/>
  <c r="Q520" i="1"/>
  <c r="H520" i="1"/>
  <c r="H519" i="1"/>
  <c r="H518" i="1"/>
  <c r="H517" i="1"/>
  <c r="H516" i="1"/>
  <c r="H515" i="1"/>
  <c r="AI514" i="1"/>
  <c r="H514" i="1"/>
  <c r="AL513" i="1"/>
  <c r="AK513" i="1"/>
  <c r="U513" i="1"/>
  <c r="H513" i="1"/>
  <c r="AL512" i="1"/>
  <c r="AK512" i="1"/>
  <c r="H512" i="1"/>
  <c r="AL511" i="1"/>
  <c r="AK511" i="1"/>
  <c r="H511" i="1"/>
  <c r="H510" i="1"/>
  <c r="H509" i="1"/>
  <c r="H508" i="1"/>
  <c r="H507" i="1"/>
  <c r="AI506" i="1"/>
  <c r="H506" i="1"/>
  <c r="H505" i="1"/>
  <c r="H504" i="1"/>
  <c r="H503" i="1"/>
  <c r="H502" i="1"/>
  <c r="H501" i="1"/>
  <c r="H500" i="1"/>
  <c r="H499" i="1"/>
  <c r="H498" i="1"/>
  <c r="H497" i="1"/>
  <c r="H496" i="1"/>
  <c r="AL495" i="1"/>
  <c r="AK495" i="1"/>
  <c r="AI495" i="1"/>
  <c r="H495" i="1"/>
  <c r="AL494" i="1"/>
  <c r="AK494" i="1"/>
  <c r="Q494" i="1"/>
  <c r="H494" i="1"/>
  <c r="H493" i="1"/>
  <c r="H492" i="1"/>
  <c r="AL491" i="1"/>
  <c r="AK491" i="1"/>
  <c r="H491" i="1"/>
  <c r="H490" i="1"/>
  <c r="U489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AI477" i="1"/>
  <c r="H477" i="1"/>
  <c r="H476" i="1"/>
  <c r="H473" i="1"/>
  <c r="H472" i="1"/>
  <c r="H471" i="1"/>
  <c r="H470" i="1"/>
  <c r="H469" i="1"/>
  <c r="H468" i="1"/>
  <c r="H467" i="1"/>
  <c r="H466" i="1"/>
  <c r="AL465" i="1"/>
  <c r="AK465" i="1"/>
  <c r="AI465" i="1"/>
  <c r="H465" i="1"/>
  <c r="AI464" i="1"/>
  <c r="H464" i="1"/>
  <c r="H463" i="1"/>
  <c r="H462" i="1"/>
  <c r="H461" i="1"/>
  <c r="AI461" i="1" s="1"/>
  <c r="H460" i="1"/>
  <c r="AI459" i="1"/>
  <c r="H459" i="1"/>
  <c r="H458" i="1"/>
  <c r="H457" i="1"/>
  <c r="AK456" i="1"/>
  <c r="AI456" i="1"/>
  <c r="H456" i="1"/>
  <c r="H455" i="1"/>
  <c r="H454" i="1"/>
  <c r="H453" i="1"/>
  <c r="AI452" i="1"/>
  <c r="H452" i="1"/>
  <c r="H451" i="1"/>
  <c r="AI450" i="1"/>
  <c r="H450" i="1"/>
  <c r="H449" i="1"/>
  <c r="AI449" i="1" s="1"/>
  <c r="H448" i="1"/>
  <c r="AI448" i="1" s="1"/>
  <c r="AL446" i="1"/>
  <c r="AK446" i="1"/>
  <c r="H446" i="1"/>
  <c r="H445" i="1"/>
  <c r="H444" i="1"/>
  <c r="AL443" i="1"/>
  <c r="AK443" i="1"/>
  <c r="AI443" i="1"/>
  <c r="H443" i="1"/>
  <c r="H442" i="1"/>
  <c r="AI442" i="1" s="1"/>
  <c r="H441" i="1"/>
  <c r="AI440" i="1"/>
  <c r="H440" i="1"/>
  <c r="AK438" i="1"/>
  <c r="H438" i="1"/>
  <c r="AI438" i="1" s="1"/>
  <c r="H437" i="1"/>
  <c r="H436" i="1"/>
  <c r="AL435" i="1"/>
  <c r="AK435" i="1"/>
  <c r="AI435" i="1"/>
  <c r="H435" i="1"/>
  <c r="H434" i="1"/>
  <c r="H433" i="1"/>
  <c r="AK432" i="1"/>
  <c r="H432" i="1"/>
  <c r="AI432" i="1" s="1"/>
  <c r="AK431" i="1"/>
  <c r="H431" i="1"/>
  <c r="AI431" i="1" s="1"/>
  <c r="H430" i="1"/>
  <c r="AL429" i="1"/>
  <c r="AK429" i="1"/>
  <c r="AI429" i="1"/>
  <c r="U428" i="1"/>
  <c r="H428" i="1"/>
  <c r="H427" i="1"/>
  <c r="AL426" i="1"/>
  <c r="AK426" i="1"/>
  <c r="AI426" i="1"/>
  <c r="H426" i="1"/>
  <c r="H425" i="1"/>
  <c r="H424" i="1"/>
  <c r="H423" i="1"/>
  <c r="H422" i="1"/>
  <c r="H421" i="1"/>
  <c r="H420" i="1"/>
  <c r="H419" i="1"/>
  <c r="H418" i="1"/>
  <c r="AI418" i="1" s="1"/>
  <c r="AI417" i="1"/>
  <c r="H416" i="1"/>
  <c r="H415" i="1"/>
  <c r="AI415" i="1" s="1"/>
  <c r="H414" i="1"/>
  <c r="AI414" i="1" s="1"/>
  <c r="H413" i="1"/>
  <c r="AI413" i="1" s="1"/>
  <c r="H412" i="1"/>
  <c r="AI412" i="1" s="1"/>
  <c r="H411" i="1"/>
  <c r="AI411" i="1" s="1"/>
  <c r="AL410" i="1"/>
  <c r="AK410" i="1"/>
  <c r="H410" i="1"/>
  <c r="AI410" i="1" s="1"/>
  <c r="H409" i="1"/>
  <c r="AI409" i="1" s="1"/>
  <c r="H408" i="1"/>
  <c r="AI408" i="1" s="1"/>
  <c r="H407" i="1"/>
  <c r="AL406" i="1"/>
  <c r="AK406" i="1"/>
  <c r="H406" i="1"/>
  <c r="AI406" i="1" s="1"/>
  <c r="H405" i="1"/>
  <c r="AI405" i="1" s="1"/>
  <c r="H404" i="1"/>
  <c r="AI404" i="1" s="1"/>
  <c r="AI402" i="1"/>
  <c r="H401" i="1"/>
  <c r="H400" i="1"/>
  <c r="H399" i="1"/>
  <c r="AI399" i="1" s="1"/>
  <c r="H398" i="1"/>
  <c r="AI398" i="1" s="1"/>
  <c r="H397" i="1"/>
  <c r="AI397" i="1" s="1"/>
  <c r="H396" i="1"/>
  <c r="AI396" i="1" s="1"/>
  <c r="H395" i="1"/>
  <c r="AI395" i="1" s="1"/>
  <c r="H394" i="1"/>
  <c r="AI394" i="1" s="1"/>
  <c r="H393" i="1"/>
  <c r="AI393" i="1" s="1"/>
  <c r="H392" i="1"/>
  <c r="H391" i="1"/>
  <c r="AI391" i="1" s="1"/>
  <c r="AL390" i="1"/>
  <c r="AK390" i="1"/>
  <c r="H390" i="1"/>
  <c r="AI390" i="1" s="1"/>
  <c r="H387" i="1"/>
  <c r="AI387" i="1" s="1"/>
  <c r="AI386" i="1"/>
  <c r="U386" i="1"/>
  <c r="U385" i="1"/>
  <c r="H385" i="1"/>
  <c r="AI385" i="1" s="1"/>
  <c r="H384" i="1"/>
  <c r="H382" i="1"/>
  <c r="H381" i="1"/>
  <c r="H380" i="1"/>
  <c r="AK379" i="1"/>
  <c r="H378" i="1"/>
  <c r="H377" i="1"/>
  <c r="H374" i="1"/>
  <c r="H373" i="1"/>
  <c r="H372" i="1"/>
  <c r="H371" i="1"/>
  <c r="H370" i="1"/>
  <c r="H369" i="1"/>
  <c r="H368" i="1"/>
  <c r="H367" i="1"/>
  <c r="H366" i="1"/>
  <c r="AI366" i="1" s="1"/>
  <c r="H365" i="1"/>
  <c r="AI365" i="1" s="1"/>
  <c r="H364" i="1"/>
  <c r="AI364" i="1" s="1"/>
  <c r="H363" i="1"/>
  <c r="AI363" i="1" s="1"/>
  <c r="H362" i="1"/>
  <c r="AI362" i="1" s="1"/>
  <c r="H361" i="1"/>
  <c r="H360" i="1"/>
  <c r="H359" i="1"/>
  <c r="H358" i="1"/>
  <c r="H357" i="1"/>
  <c r="H356" i="1"/>
  <c r="H355" i="1"/>
  <c r="AI355" i="1" s="1"/>
  <c r="H354" i="1"/>
  <c r="AI354" i="1" s="1"/>
  <c r="H353" i="1"/>
  <c r="AI353" i="1" s="1"/>
  <c r="H352" i="1"/>
  <c r="H351" i="1"/>
  <c r="H350" i="1"/>
  <c r="H349" i="1"/>
  <c r="H348" i="1"/>
  <c r="H347" i="1"/>
  <c r="H346" i="1"/>
  <c r="H345" i="1"/>
  <c r="AL344" i="1"/>
  <c r="AK344" i="1"/>
  <c r="H344" i="1"/>
  <c r="H343" i="1"/>
  <c r="H342" i="1"/>
  <c r="AL341" i="1"/>
  <c r="AK341" i="1"/>
  <c r="H341" i="1"/>
  <c r="H340" i="1"/>
  <c r="H339" i="1"/>
  <c r="H338" i="1"/>
  <c r="H337" i="1"/>
  <c r="AL336" i="1"/>
  <c r="AK336" i="1"/>
  <c r="H336" i="1"/>
  <c r="H335" i="1"/>
  <c r="AL334" i="1"/>
  <c r="AK334" i="1"/>
  <c r="H334" i="1"/>
  <c r="H333" i="1"/>
  <c r="H332" i="1"/>
  <c r="H331" i="1"/>
  <c r="AK330" i="1"/>
  <c r="H330" i="1"/>
  <c r="H329" i="1"/>
  <c r="H328" i="1"/>
  <c r="AL326" i="1"/>
  <c r="AK326" i="1"/>
  <c r="H326" i="1"/>
  <c r="H325" i="1"/>
  <c r="H324" i="1"/>
  <c r="H323" i="1"/>
  <c r="AL322" i="1"/>
  <c r="AK322" i="1"/>
  <c r="AI322" i="1"/>
  <c r="H322" i="1"/>
  <c r="H321" i="1"/>
  <c r="H320" i="1"/>
  <c r="H319" i="1"/>
  <c r="H318" i="1"/>
  <c r="H317" i="1"/>
  <c r="AL316" i="1"/>
  <c r="AK316" i="1"/>
  <c r="H316" i="1"/>
  <c r="H314" i="1"/>
  <c r="H313" i="1"/>
  <c r="H312" i="1"/>
  <c r="AL311" i="1"/>
  <c r="AK311" i="1"/>
  <c r="H311" i="1"/>
  <c r="H310" i="1"/>
  <c r="H307" i="1"/>
  <c r="H306" i="1"/>
  <c r="H305" i="1"/>
  <c r="H304" i="1"/>
  <c r="H303" i="1"/>
  <c r="H302" i="1"/>
  <c r="H301" i="1"/>
  <c r="AL300" i="1"/>
  <c r="AK300" i="1"/>
  <c r="H300" i="1"/>
  <c r="H299" i="1"/>
  <c r="H298" i="1"/>
  <c r="G297" i="1"/>
  <c r="H297" i="1" s="1"/>
  <c r="AK296" i="1"/>
  <c r="H296" i="1"/>
  <c r="H295" i="1"/>
  <c r="H294" i="1"/>
  <c r="U293" i="1"/>
  <c r="H293" i="1"/>
  <c r="AI293" i="1" s="1"/>
  <c r="AL292" i="1"/>
  <c r="AK292" i="1"/>
  <c r="U292" i="1"/>
  <c r="H292" i="1"/>
  <c r="AI292" i="1" s="1"/>
  <c r="U291" i="1"/>
  <c r="H291" i="1"/>
  <c r="AI291" i="1" s="1"/>
  <c r="U290" i="1"/>
  <c r="H290" i="1"/>
  <c r="AI290" i="1" s="1"/>
  <c r="AL289" i="1"/>
  <c r="AK289" i="1"/>
  <c r="U289" i="1"/>
  <c r="H289" i="1"/>
  <c r="AI289" i="1" s="1"/>
  <c r="U288" i="1"/>
  <c r="H288" i="1"/>
  <c r="AI288" i="1" s="1"/>
  <c r="U287" i="1"/>
  <c r="H287" i="1"/>
  <c r="AI287" i="1" s="1"/>
  <c r="H286" i="1"/>
  <c r="H285" i="1"/>
  <c r="H284" i="1"/>
  <c r="H283" i="1"/>
  <c r="AI282" i="1"/>
  <c r="AL281" i="1"/>
  <c r="AK281" i="1"/>
  <c r="H281" i="1"/>
  <c r="AI281" i="1" s="1"/>
  <c r="AK280" i="1"/>
  <c r="H280" i="1"/>
  <c r="AI280" i="1" s="1"/>
  <c r="H279" i="1"/>
  <c r="H278" i="1"/>
  <c r="H277" i="1"/>
  <c r="H276" i="1"/>
  <c r="AL275" i="1"/>
  <c r="AK275" i="1"/>
  <c r="AI275" i="1"/>
  <c r="H275" i="1"/>
  <c r="U274" i="1"/>
  <c r="H274" i="1"/>
  <c r="U273" i="1"/>
  <c r="H273" i="1"/>
  <c r="H272" i="1"/>
  <c r="H271" i="1"/>
  <c r="AL270" i="1"/>
  <c r="AK270" i="1"/>
  <c r="H270" i="1"/>
  <c r="AI270" i="1" s="1"/>
  <c r="H269" i="1"/>
  <c r="AI269" i="1" s="1"/>
  <c r="H268" i="1"/>
  <c r="AI268" i="1" s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AL231" i="1"/>
  <c r="AK231" i="1"/>
  <c r="H231" i="1"/>
  <c r="AL230" i="1"/>
  <c r="AK230" i="1"/>
  <c r="H230" i="1"/>
  <c r="H229" i="1"/>
  <c r="H228" i="1"/>
  <c r="H227" i="1"/>
  <c r="H226" i="1"/>
  <c r="H225" i="1"/>
  <c r="H224" i="1"/>
  <c r="H223" i="1"/>
  <c r="AL222" i="1"/>
  <c r="AK222" i="1"/>
  <c r="H222" i="1"/>
  <c r="H221" i="1"/>
  <c r="H220" i="1"/>
  <c r="H219" i="1"/>
  <c r="H218" i="1"/>
  <c r="H217" i="1"/>
  <c r="H216" i="1"/>
  <c r="H215" i="1"/>
  <c r="AK214" i="1"/>
  <c r="H214" i="1"/>
  <c r="H213" i="1"/>
  <c r="H212" i="1"/>
  <c r="H211" i="1"/>
  <c r="H210" i="1"/>
  <c r="H209" i="1"/>
  <c r="H208" i="1"/>
  <c r="H207" i="1"/>
  <c r="G206" i="1"/>
  <c r="H206" i="1" s="1"/>
  <c r="H205" i="1"/>
  <c r="H204" i="1"/>
  <c r="H203" i="1"/>
  <c r="H202" i="1"/>
  <c r="H201" i="1"/>
  <c r="AL200" i="1"/>
  <c r="AK200" i="1"/>
  <c r="H200" i="1"/>
  <c r="H199" i="1"/>
  <c r="H198" i="1"/>
  <c r="H197" i="1"/>
  <c r="H196" i="1"/>
  <c r="H195" i="1"/>
  <c r="AL194" i="1"/>
  <c r="AK194" i="1"/>
  <c r="H194" i="1"/>
  <c r="AL193" i="1"/>
  <c r="AK193" i="1"/>
  <c r="H193" i="1"/>
  <c r="H192" i="1"/>
  <c r="H191" i="1"/>
  <c r="AL187" i="1"/>
  <c r="AK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AK171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5" i="1"/>
  <c r="H154" i="1"/>
  <c r="H153" i="1"/>
  <c r="H152" i="1"/>
  <c r="H151" i="1"/>
  <c r="H150" i="1"/>
  <c r="H149" i="1"/>
  <c r="H148" i="1"/>
  <c r="H147" i="1"/>
  <c r="H146" i="1"/>
  <c r="H145" i="1"/>
  <c r="H141" i="1"/>
  <c r="H140" i="1"/>
  <c r="H139" i="1"/>
  <c r="H138" i="1"/>
  <c r="H137" i="1"/>
  <c r="H136" i="1"/>
  <c r="H135" i="1"/>
  <c r="H134" i="1"/>
  <c r="AI134" i="1" s="1"/>
  <c r="H133" i="1"/>
  <c r="AI133" i="1" s="1"/>
  <c r="AL132" i="1"/>
  <c r="AK132" i="1"/>
  <c r="H132" i="1"/>
  <c r="AI132" i="1" s="1"/>
  <c r="U131" i="1"/>
  <c r="H131" i="1"/>
  <c r="H130" i="1"/>
  <c r="H129" i="1"/>
  <c r="H128" i="1"/>
  <c r="H127" i="1"/>
  <c r="AL126" i="1"/>
  <c r="AK126" i="1"/>
  <c r="H126" i="1"/>
  <c r="H125" i="1"/>
  <c r="H124" i="1"/>
  <c r="H123" i="1"/>
  <c r="H122" i="1"/>
  <c r="H121" i="1"/>
  <c r="H120" i="1"/>
  <c r="H118" i="1"/>
  <c r="H117" i="1"/>
  <c r="U116" i="1"/>
  <c r="H116" i="1"/>
  <c r="U115" i="1"/>
  <c r="H115" i="1"/>
  <c r="H114" i="1"/>
  <c r="H113" i="1"/>
  <c r="H112" i="1"/>
  <c r="H111" i="1"/>
  <c r="H110" i="1"/>
  <c r="AL109" i="1"/>
  <c r="AK109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AL95" i="1"/>
  <c r="AK95" i="1"/>
  <c r="H95" i="1"/>
  <c r="H94" i="1"/>
  <c r="AK93" i="1"/>
  <c r="H93" i="1"/>
  <c r="H92" i="1"/>
  <c r="AI92" i="1" s="1"/>
  <c r="H91" i="1"/>
  <c r="AI91" i="1" s="1"/>
  <c r="AL90" i="1"/>
  <c r="AK90" i="1"/>
  <c r="H90" i="1"/>
  <c r="AI90" i="1" s="1"/>
  <c r="H89" i="1"/>
  <c r="AI89" i="1" s="1"/>
  <c r="H88" i="1"/>
  <c r="H87" i="1"/>
  <c r="H86" i="1"/>
  <c r="AL85" i="1"/>
  <c r="AK85" i="1"/>
  <c r="H85" i="1"/>
  <c r="H84" i="1"/>
  <c r="H83" i="1"/>
  <c r="H82" i="1"/>
  <c r="H81" i="1"/>
  <c r="H80" i="1"/>
  <c r="H79" i="1"/>
  <c r="U78" i="1"/>
  <c r="H78" i="1"/>
  <c r="H77" i="1"/>
  <c r="D51" i="11"/>
  <c r="Q5590" i="1"/>
  <c r="Q5589" i="1"/>
  <c r="Q5588" i="1"/>
  <c r="Q5587" i="1"/>
  <c r="Q5586" i="1"/>
  <c r="U76" i="1"/>
  <c r="Q76" i="1"/>
  <c r="U75" i="1"/>
  <c r="Q75" i="1"/>
  <c r="H75" i="1"/>
  <c r="T74" i="1"/>
  <c r="U74" i="1" s="1"/>
  <c r="Q74" i="1"/>
  <c r="H74" i="1"/>
  <c r="U73" i="1"/>
  <c r="Q73" i="1"/>
  <c r="H73" i="1"/>
  <c r="U72" i="1"/>
  <c r="Q72" i="1"/>
  <c r="H72" i="1"/>
  <c r="U71" i="1"/>
  <c r="Q71" i="1"/>
  <c r="H71" i="1"/>
  <c r="U70" i="1"/>
  <c r="Q70" i="1"/>
  <c r="H70" i="1"/>
  <c r="U69" i="1"/>
  <c r="Q69" i="1"/>
  <c r="H69" i="1"/>
  <c r="U68" i="1"/>
  <c r="Q68" i="1"/>
  <c r="H68" i="1"/>
  <c r="U67" i="1"/>
  <c r="Q67" i="1"/>
  <c r="H67" i="1"/>
  <c r="U66" i="1"/>
  <c r="Q66" i="1"/>
  <c r="H66" i="1"/>
  <c r="U65" i="1"/>
  <c r="Q65" i="1"/>
  <c r="H65" i="1"/>
  <c r="AK64" i="1"/>
  <c r="U64" i="1"/>
  <c r="Q64" i="1"/>
  <c r="H64" i="1"/>
  <c r="U63" i="1"/>
  <c r="Q63" i="1"/>
  <c r="H63" i="1"/>
  <c r="U62" i="1"/>
  <c r="Q62" i="1"/>
  <c r="H62" i="1"/>
  <c r="U61" i="1"/>
  <c r="Q61" i="1"/>
  <c r="H61" i="1"/>
  <c r="U60" i="1"/>
  <c r="Q60" i="1"/>
  <c r="H60" i="1"/>
  <c r="U59" i="1"/>
  <c r="Q59" i="1"/>
  <c r="H59" i="1"/>
  <c r="U58" i="1"/>
  <c r="Q58" i="1"/>
  <c r="H58" i="1"/>
  <c r="U57" i="1"/>
  <c r="Q57" i="1"/>
  <c r="H57" i="1"/>
  <c r="U56" i="1"/>
  <c r="Q56" i="1"/>
  <c r="H56" i="1"/>
  <c r="U55" i="1"/>
  <c r="Q55" i="1"/>
  <c r="H55" i="1"/>
  <c r="U54" i="1"/>
  <c r="Q54" i="1"/>
  <c r="H54" i="1"/>
  <c r="U53" i="1"/>
  <c r="Q53" i="1"/>
  <c r="H53" i="1"/>
  <c r="AL52" i="1"/>
  <c r="AK52" i="1"/>
  <c r="U52" i="1"/>
  <c r="Q52" i="1"/>
  <c r="H52" i="1"/>
  <c r="AK51" i="1"/>
  <c r="U51" i="1"/>
  <c r="Q51" i="1"/>
  <c r="H51" i="1"/>
  <c r="U50" i="1"/>
  <c r="Q50" i="1"/>
  <c r="H50" i="1"/>
  <c r="U49" i="1"/>
  <c r="Q49" i="1"/>
  <c r="H49" i="1"/>
  <c r="U48" i="1"/>
  <c r="Q48" i="1"/>
  <c r="H48" i="1"/>
  <c r="U47" i="1"/>
  <c r="Q47" i="1"/>
  <c r="H47" i="1"/>
  <c r="U46" i="1"/>
  <c r="Q46" i="1"/>
  <c r="H46" i="1"/>
  <c r="AL45" i="1"/>
  <c r="AK45" i="1"/>
  <c r="U45" i="1"/>
  <c r="Q45" i="1"/>
  <c r="H45" i="1"/>
  <c r="U44" i="1"/>
  <c r="Q44" i="1"/>
  <c r="H44" i="1"/>
  <c r="U43" i="1"/>
  <c r="Q43" i="1"/>
  <c r="H43" i="1"/>
  <c r="U42" i="1"/>
  <c r="Q42" i="1"/>
  <c r="H42" i="1"/>
  <c r="U41" i="1"/>
  <c r="Q41" i="1"/>
  <c r="H41" i="1"/>
  <c r="U40" i="1"/>
  <c r="Q40" i="1"/>
  <c r="H40" i="1"/>
  <c r="U39" i="1"/>
  <c r="Q39" i="1"/>
  <c r="H39" i="1"/>
  <c r="U38" i="1"/>
  <c r="Q38" i="1"/>
  <c r="H38" i="1"/>
  <c r="U37" i="1"/>
  <c r="Q37" i="1"/>
  <c r="H37" i="1"/>
  <c r="U36" i="1"/>
  <c r="Q36" i="1"/>
  <c r="H36" i="1"/>
  <c r="U35" i="1"/>
  <c r="Q35" i="1"/>
  <c r="H35" i="1"/>
  <c r="U34" i="1"/>
  <c r="Q34" i="1"/>
  <c r="H34" i="1"/>
  <c r="AL33" i="1"/>
  <c r="AK33" i="1"/>
  <c r="U33" i="1"/>
  <c r="Q33" i="1"/>
  <c r="H33" i="1"/>
  <c r="V32" i="1"/>
  <c r="T32" i="1"/>
  <c r="H32" i="1"/>
  <c r="AL31" i="1"/>
  <c r="AK31" i="1"/>
  <c r="V31" i="1"/>
  <c r="T31" i="1"/>
  <c r="H31" i="1"/>
  <c r="U30" i="1"/>
  <c r="Q30" i="1"/>
  <c r="H30" i="1"/>
  <c r="AL29" i="1"/>
  <c r="AK29" i="1"/>
  <c r="U29" i="1"/>
  <c r="Q29" i="1"/>
  <c r="H29" i="1"/>
  <c r="V28" i="1"/>
  <c r="T28" i="1"/>
  <c r="H28" i="1"/>
  <c r="V27" i="1"/>
  <c r="T27" i="1"/>
  <c r="H27" i="1"/>
  <c r="V26" i="1"/>
  <c r="T26" i="1"/>
  <c r="H26" i="1"/>
  <c r="V25" i="1"/>
  <c r="T25" i="1"/>
  <c r="H25" i="1"/>
  <c r="V24" i="1"/>
  <c r="T24" i="1"/>
  <c r="H24" i="1"/>
  <c r="V23" i="1"/>
  <c r="T23" i="1"/>
  <c r="H23" i="1"/>
  <c r="V22" i="1"/>
  <c r="T22" i="1"/>
  <c r="H22" i="1"/>
  <c r="T21" i="1"/>
  <c r="H21" i="1"/>
  <c r="T20" i="1"/>
  <c r="H20" i="1"/>
  <c r="V19" i="1"/>
  <c r="T19" i="1"/>
  <c r="H19" i="1"/>
  <c r="AL18" i="1"/>
  <c r="AK18" i="1"/>
  <c r="U18" i="1"/>
  <c r="Q18" i="1"/>
  <c r="H18" i="1"/>
  <c r="U17" i="1"/>
  <c r="Q17" i="1"/>
  <c r="H17" i="1"/>
  <c r="U16" i="1"/>
  <c r="Q16" i="1"/>
  <c r="H16" i="1"/>
  <c r="U15" i="1"/>
  <c r="H15" i="1"/>
  <c r="U14" i="1"/>
  <c r="H14" i="1"/>
  <c r="U13" i="1"/>
  <c r="Q13" i="1"/>
  <c r="H13" i="1"/>
  <c r="U12" i="1"/>
  <c r="Q12" i="1"/>
  <c r="H12" i="1"/>
  <c r="U11" i="1"/>
  <c r="Q11" i="1"/>
  <c r="H11" i="1"/>
  <c r="AL10" i="1"/>
  <c r="AK10" i="1"/>
  <c r="U10" i="1"/>
  <c r="Q10" i="1"/>
  <c r="H10" i="1"/>
  <c r="H9" i="1"/>
  <c r="H8" i="1"/>
  <c r="H7" i="1"/>
  <c r="AL6" i="1"/>
  <c r="AK6" i="1"/>
  <c r="H6" i="1"/>
  <c r="H5" i="1"/>
  <c r="H4" i="1"/>
  <c r="H3" i="1"/>
  <c r="AL2" i="1"/>
  <c r="AK2" i="1"/>
  <c r="H2" i="1"/>
  <c r="H3639" i="1" l="1"/>
  <c r="S3822" i="1"/>
  <c r="G3827" i="1"/>
  <c r="H3827" i="1" s="1"/>
  <c r="H3558" i="1"/>
  <c r="H5510" i="1"/>
  <c r="H5523" i="1"/>
  <c r="G2488" i="1"/>
  <c r="H2488" i="1" s="1"/>
  <c r="H5611" i="1" s="1"/>
  <c r="H5632" i="1" s="1"/>
  <c r="H56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2492A6A7-BC3B-7A43-9DCE-3D9A25F0EE22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ID#AAABjx7qVBc
</t>
        </r>
        <r>
          <rPr>
            <sz val="10"/>
            <color rgb="FF000000"/>
            <rFont val="Aptos Narrow"/>
          </rPr>
          <t xml:space="preserve">    (2025-05-21 11:33:27)
</t>
        </r>
        <r>
          <rPr>
            <sz val="10"/>
            <color rgb="FF000000"/>
            <rFont val="Aptos Narrow"/>
          </rPr>
          <t xml:space="preserve">20181001 San: </t>
        </r>
        <r>
          <rPr>
            <sz val="10"/>
            <color rgb="FF000000"/>
            <rFont val="Aptos Narrow"/>
            <scheme val="minor"/>
          </rPr>
          <t>美金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20190718 chloe:
</t>
        </r>
        <r>
          <rPr>
            <sz val="10"/>
            <color rgb="FF000000"/>
            <rFont val="Aptos Narrow"/>
            <scheme val="minor"/>
          </rPr>
          <t>單價</t>
        </r>
        <r>
          <rPr>
            <sz val="10"/>
            <color rgb="FF000000"/>
            <rFont val="Aptos Narrow"/>
          </rPr>
          <t xml:space="preserve">- 
</t>
        </r>
        <r>
          <rPr>
            <sz val="10"/>
            <color rgb="FF000000"/>
            <rFont val="Aptos Narrow"/>
            <scheme val="minor"/>
          </rPr>
          <t>國內單價</t>
        </r>
        <r>
          <rPr>
            <sz val="10"/>
            <color rgb="FF000000"/>
            <rFont val="Aptos Narrow"/>
          </rPr>
          <t>(</t>
        </r>
        <r>
          <rPr>
            <sz val="10"/>
            <color rgb="FF000000"/>
            <rFont val="Aptos Narrow"/>
            <scheme val="minor"/>
          </rPr>
          <t>含稅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  <scheme val="minor"/>
          </rPr>
          <t>國外單價</t>
        </r>
        <r>
          <rPr>
            <sz val="10"/>
            <color rgb="FF000000"/>
            <rFont val="Aptos Narrow"/>
          </rPr>
          <t>(</t>
        </r>
        <r>
          <rPr>
            <sz val="10"/>
            <color rgb="FF000000"/>
            <rFont val="Aptos Narrow"/>
            <scheme val="minor"/>
          </rPr>
          <t>不含稅</t>
        </r>
        <r>
          <rPr>
            <sz val="10"/>
            <color rgb="FF000000"/>
            <rFont val="Aptos Narrow"/>
          </rPr>
          <t>)</t>
        </r>
      </text>
    </comment>
    <comment ref="H1" authorId="0" shapeId="0" xr:uid="{73907417-BD44-7648-964A-1DFEA3E4D180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ID#AAABjx7qVuY
</t>
        </r>
        <r>
          <rPr>
            <sz val="10"/>
            <color rgb="FF000000"/>
            <rFont val="Aptos Narrow"/>
          </rPr>
          <t xml:space="preserve">20181001 San    (2025-05-21 11:33:27)
</t>
        </r>
        <r>
          <rPr>
            <sz val="10"/>
            <color rgb="FF000000"/>
            <rFont val="Aptos Narrow"/>
            <scheme val="minor"/>
          </rPr>
          <t>美金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20190718 chloe:
</t>
        </r>
        <r>
          <rPr>
            <sz val="10"/>
            <color rgb="FF000000"/>
            <rFont val="Aptos Narrow"/>
            <scheme val="minor"/>
          </rPr>
          <t>總價</t>
        </r>
        <r>
          <rPr>
            <sz val="10"/>
            <color rgb="FF000000"/>
            <rFont val="Aptos Narrow"/>
          </rPr>
          <t xml:space="preserve">- 
</t>
        </r>
        <r>
          <rPr>
            <sz val="10"/>
            <color rgb="FF000000"/>
            <rFont val="Aptos Narrow"/>
            <scheme val="minor"/>
          </rPr>
          <t>國內單價</t>
        </r>
        <r>
          <rPr>
            <sz val="10"/>
            <color rgb="FF000000"/>
            <rFont val="Aptos Narrow"/>
          </rPr>
          <t>(</t>
        </r>
        <r>
          <rPr>
            <sz val="10"/>
            <color rgb="FF000000"/>
            <rFont val="Aptos Narrow"/>
            <scheme val="minor"/>
          </rPr>
          <t>含稅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  <scheme val="minor"/>
          </rPr>
          <t>國外單價</t>
        </r>
        <r>
          <rPr>
            <sz val="10"/>
            <color rgb="FF000000"/>
            <rFont val="Aptos Narrow"/>
          </rPr>
          <t>(</t>
        </r>
        <r>
          <rPr>
            <sz val="10"/>
            <color rgb="FF000000"/>
            <rFont val="Aptos Narrow"/>
            <scheme val="minor"/>
          </rPr>
          <t>不含稅</t>
        </r>
        <r>
          <rPr>
            <sz val="10"/>
            <color rgb="FF000000"/>
            <rFont val="Aptos Narrow"/>
          </rPr>
          <t>)</t>
        </r>
      </text>
    </comment>
    <comment ref="K1" authorId="0" shapeId="0" xr:uid="{F88D03DA-22CF-DA46-8816-9246A5616B89}">
      <text>
        <r>
          <rPr>
            <sz val="10"/>
            <color rgb="FF000000"/>
            <rFont val="Aptos Narrow"/>
            <scheme val="minor"/>
          </rPr>
          <t>======
ID#AAABjx7qNAk
    (2025-05-21 11:33:23)
紅字=預計出貨日
黑字=實際出貨日</t>
        </r>
      </text>
    </comment>
    <comment ref="M1" authorId="0" shapeId="0" xr:uid="{9E413A55-6500-0E43-9A61-9A0676804001}">
      <text>
        <r>
          <rPr>
            <sz val="10"/>
            <color rgb="FF000000"/>
            <rFont val="Aptos Narrow"/>
            <scheme val="minor"/>
          </rPr>
          <t>======
ID#AAABjx7qSgM
●0818 chloe    (2025-05-21 11:33:26)
1)理貨人員貨到後再將此反黑
2)理貨人員請在出貨單簽名及日期
廠商到貨公司日期
黑色=實到
紅色=預計
● 抵達戎克反黑
1) 理貨人員
2)倉管人員
3)採購</t>
        </r>
      </text>
    </comment>
    <comment ref="O1" authorId="0" shapeId="0" xr:uid="{136F7926-936D-B747-A45A-E3B0D29F2E0D}">
      <text>
        <r>
          <rPr>
            <sz val="10"/>
            <color rgb="FF000000"/>
            <rFont val="Aptos Narrow"/>
            <scheme val="minor"/>
          </rPr>
          <t>======
ID#AAABjx7qNR4
0510 chloe    (2025-05-21 11:33:23)
戎克倉庫領出，需填寫單號(填寫PI單號)</t>
        </r>
      </text>
    </comment>
    <comment ref="AD1" authorId="0" shapeId="0" xr:uid="{714C1C6D-0BB4-5B4B-ACA8-94A3E658E01C}">
      <text>
        <r>
          <rPr>
            <sz val="10"/>
            <color rgb="FF000000"/>
            <rFont val="Aptos Narrow"/>
            <scheme val="minor"/>
          </rPr>
          <t>======
ID#AAABjx7qOIM
    (2025-05-21 11:33:24)
此欄位針對某些特定客戶. 要求使用出貨前一天的匯率. 才開發票的客戶. 例如 Z 和 Pharms</t>
        </r>
      </text>
    </comment>
    <comment ref="AE1" authorId="0" shapeId="0" xr:uid="{46A8E6FA-8296-FF44-A1D1-6F5690696084}">
      <text>
        <r>
          <rPr>
            <sz val="10"/>
            <color rgb="FF000000"/>
            <rFont val="Aptos Narrow"/>
            <scheme val="minor"/>
          </rPr>
          <t>======
ID#AAABjx7qWJc
    (2025-05-21 11:33:27)
此欄位針對某些特定客戶. 要求使用出貨前一天的匯率. 才開發票的客戶. 例如 Z 和 Pharms</t>
        </r>
      </text>
    </comment>
    <comment ref="AJ1" authorId="0" shapeId="0" xr:uid="{112A456C-0523-254E-80FE-87A4335C6BBD}">
      <text>
        <r>
          <rPr>
            <sz val="10"/>
            <color rgb="FF000000"/>
            <rFont val="Aptos Narrow"/>
            <scheme val="minor"/>
          </rPr>
          <t>======
ID#AAABjx7qQlU
    (2025-05-21 11:33:25)
銀行水單通知匯入日期</t>
        </r>
      </text>
    </comment>
    <comment ref="AK1" authorId="0" shapeId="0" xr:uid="{C6D98295-52A9-734E-971B-276A8367D406}">
      <text>
        <r>
          <rPr>
            <sz val="10"/>
            <color rgb="FF000000"/>
            <rFont val="Aptos Narrow"/>
            <scheme val="minor"/>
          </rPr>
          <t>======
ID#AAABjx7qVUs
    (2025-05-21 11:33:27)
銀行淨收款</t>
        </r>
      </text>
    </comment>
    <comment ref="AL1" authorId="0" shapeId="0" xr:uid="{29D53A34-3B7A-1E44-BDEB-F23731804459}">
      <text>
        <r>
          <rPr>
            <sz val="10"/>
            <color rgb="FF000000"/>
            <rFont val="Aptos Narrow"/>
            <scheme val="minor"/>
          </rPr>
          <t>======
ID#AAABjx7qRfk
    (2025-05-21 11:33:25)
匯出手續費(客戶端銀行匯出)
匯入手續費(公司銀行匯入)</t>
        </r>
      </text>
    </comment>
    <comment ref="AM1" authorId="0" shapeId="0" xr:uid="{D7E8DE4F-FEA3-2745-8FA7-354283E362DE}">
      <text>
        <r>
          <rPr>
            <sz val="10"/>
            <color rgb="FF000000"/>
            <rFont val="Aptos Narrow"/>
            <scheme val="minor"/>
          </rPr>
          <t>======
ID#AAABjx7qQuI
    (2025-05-21 11:33:25)
財務確認清帳填寫
已清帳=應收金額結清
空白=尚有餘款未收</t>
        </r>
      </text>
    </comment>
    <comment ref="AN1" authorId="0" shapeId="0" xr:uid="{0A72D044-C905-7F42-B05E-D50A3B0FC263}">
      <text>
        <r>
          <rPr>
            <sz val="10"/>
            <color rgb="FF000000"/>
            <rFont val="Aptos Narrow"/>
            <scheme val="minor"/>
          </rPr>
          <t>======
ID#AAABjx7qR2E
    (2025-05-21 11:33:25)
已結案
取消
獎金計算中...Chloe拉狀態
進行中(空白)
進行中-&gt;獎金計算中-&gt;已結案</t>
        </r>
      </text>
    </comment>
    <comment ref="AO1" authorId="0" shapeId="0" xr:uid="{B03BF9EB-7DEE-9C48-B5FE-9E47557DE40E}">
      <text>
        <r>
          <rPr>
            <sz val="10"/>
            <color rgb="FF000000"/>
            <rFont val="Aptos Narrow"/>
            <scheme val="minor"/>
          </rPr>
          <t>======
ID#AAABjx7qTDU
    (2025-05-21 11:33:26)
專案=需部門協調組裝
買賣=買賣
維修=RMA</t>
        </r>
      </text>
    </comment>
    <comment ref="AP1" authorId="0" shapeId="0" xr:uid="{C67D9471-2335-AF40-8091-94F9ECE30099}">
      <text>
        <r>
          <rPr>
            <sz val="10"/>
            <color rgb="FF000000"/>
            <rFont val="Aptos Narrow"/>
            <scheme val="minor"/>
          </rPr>
          <t>======
ID#AAABjx7qP8Y
    (2025-05-21 11:33:24)
國內=臺灣境內
國外=境外</t>
        </r>
      </text>
    </comment>
    <comment ref="H2" authorId="0" shapeId="0" xr:uid="{00000000-0006-0000-0000-00008D000000}">
      <text>
        <r>
          <rPr>
            <sz val="10"/>
            <color rgb="FF000000"/>
            <rFont val="Aptos Narrow"/>
            <scheme val="minor"/>
          </rPr>
          <t>======
ID#AAABjx7qMq0
    (2025-05-21 11:33:23)
ALICE:1/22-一銀收到USD8500(內含手續費USD6.68)沖PI-20190227I USD8500</t>
        </r>
      </text>
    </comment>
    <comment ref="M2" authorId="0" shapeId="0" xr:uid="{00000000-0006-0000-0000-000020000000}">
      <text>
        <r>
          <rPr>
            <sz val="10"/>
            <color rgb="FF000000"/>
            <rFont val="Aptos Narrow"/>
            <scheme val="minor"/>
          </rPr>
          <t>======
ID#AAABjx7qU6s
    (2025-05-21 11:33:27)
1008YVONNE:新漢要求提前出貨，因此提前交期。</t>
        </r>
      </text>
    </comment>
    <comment ref="H3" authorId="0" shapeId="0" xr:uid="{00000000-0006-0000-0000-00004E000000}">
      <text>
        <r>
          <rPr>
            <sz val="10"/>
            <color rgb="FF000000"/>
            <rFont val="Aptos Narrow"/>
            <scheme val="minor"/>
          </rPr>
          <t>======
ID#AAABjx7qQdI
    (2025-05-21 11:33:25)
ALICE:1/22-一銀收到USD8500(內含手續費USD6.68)沖PI-20190227I USD8500</t>
        </r>
      </text>
    </comment>
    <comment ref="M3" authorId="0" shapeId="0" xr:uid="{00000000-0006-0000-0000-000046000000}">
      <text>
        <r>
          <rPr>
            <sz val="10"/>
            <color rgb="FF000000"/>
            <rFont val="Aptos Narrow"/>
            <scheme val="minor"/>
          </rPr>
          <t>======
ID#AAABjx7qQ6w
    (2025-05-21 11:33:25)
1008YVONNE:新漢要求提前出貨，因此提前交期。</t>
        </r>
      </text>
    </comment>
    <comment ref="H4" authorId="0" shapeId="0" xr:uid="{00000000-0006-0000-0000-00000B000000}">
      <text>
        <r>
          <rPr>
            <sz val="10"/>
            <color rgb="FF000000"/>
            <rFont val="Aptos Narrow"/>
            <scheme val="minor"/>
          </rPr>
          <t>======
ID#AAABjx7qV50
    (2025-05-21 11:33:27)
ALICE:1/22-一銀收到USD8500(內含手續費USD6.68)沖PI-20190227I USD8500</t>
        </r>
      </text>
    </comment>
    <comment ref="M4" authorId="0" shapeId="0" xr:uid="{00000000-0006-0000-0000-000070000000}">
      <text>
        <r>
          <rPr>
            <sz val="10"/>
            <color rgb="FF000000"/>
            <rFont val="Aptos Narrow"/>
            <scheme val="minor"/>
          </rPr>
          <t>======
ID#AAABjx7qOZE
    (2025-05-21 11:33:24)
1008YVONNE:新漢要求提前出貨，因此提前交期。</t>
        </r>
      </text>
    </comment>
    <comment ref="D5" authorId="0" shapeId="0" xr:uid="{00000000-0006-0000-0000-000077000000}">
      <text>
        <r>
          <rPr>
            <sz val="10"/>
            <color rgb="FF000000"/>
            <rFont val="Aptos Narrow"/>
            <scheme val="minor"/>
          </rPr>
          <t>======
ID#AAABjx7qOI0
    (2025-05-21 11:33:24)
190109 Tammy: 抽驗即可, 謝謝</t>
        </r>
      </text>
    </comment>
    <comment ref="H5" authorId="0" shapeId="0" xr:uid="{00000000-0006-0000-0000-000080000000}">
      <text>
        <r>
          <rPr>
            <sz val="10"/>
            <color rgb="FF000000"/>
            <rFont val="Aptos Narrow"/>
            <scheme val="minor"/>
          </rPr>
          <t>======
ID#AAABjx7qNug
    (2025-05-21 11:33:23)
ALICE:1/22-一銀收到USD8500(內含手續費USD6.68)沖PI-20190227I USD8500</t>
        </r>
      </text>
    </comment>
    <comment ref="M5" authorId="0" shapeId="0" xr:uid="{00000000-0006-0000-0000-000018000000}">
      <text>
        <r>
          <rPr>
            <sz val="10"/>
            <color rgb="FF000000"/>
            <rFont val="Aptos Narrow"/>
            <scheme val="minor"/>
          </rPr>
          <t>======
ID#AAABjx7qVPQ
    (2025-05-21 11:33:27)
1008YVONNE:新漢要求提前出貨，因此提前交期。</t>
        </r>
      </text>
    </comment>
    <comment ref="H6" authorId="0" shapeId="0" xr:uid="{00000000-0006-0000-0000-000013000000}">
      <text>
        <r>
          <rPr>
            <sz val="10"/>
            <color rgb="FF000000"/>
            <rFont val="Aptos Narrow"/>
            <scheme val="minor"/>
          </rPr>
          <t>======
ID#AAABjx7qVjU
    (2025-05-21 11:33:27)
Alice:2/14一銀收到匯入USD4250(內含手續費USD6.68)</t>
        </r>
      </text>
    </comment>
    <comment ref="H7" authorId="0" shapeId="0" xr:uid="{00000000-0006-0000-0000-00000A000000}">
      <text>
        <r>
          <rPr>
            <sz val="10"/>
            <color rgb="FF000000"/>
            <rFont val="Aptos Narrow"/>
            <scheme val="minor"/>
          </rPr>
          <t>======
ID#AAABjx7qV8s
    (2025-05-21 11:33:27)
Alice:2/14一銀收到匯入USD4250(內含手續費USD6.68)</t>
        </r>
      </text>
    </comment>
    <comment ref="H8" authorId="0" shapeId="0" xr:uid="{00000000-0006-0000-0000-000082000000}">
      <text>
        <r>
          <rPr>
            <sz val="10"/>
            <color rgb="FF000000"/>
            <rFont val="Aptos Narrow"/>
            <scheme val="minor"/>
          </rPr>
          <t>======
ID#AAABjx7qNrE
    (2025-05-21 11:33:23)
Alice:2/14一銀收到匯入USD4250(內含手續費USD6.68)</t>
        </r>
      </text>
    </comment>
    <comment ref="D9" authorId="0" shapeId="0" xr:uid="{00000000-0006-0000-0000-000005000000}">
      <text>
        <r>
          <rPr>
            <sz val="10"/>
            <color rgb="FF000000"/>
            <rFont val="Aptos Narrow"/>
            <scheme val="minor"/>
          </rPr>
          <t>======
ID#AAABjx7qWSE
    (2025-05-21 11:33:27)
190109 Tammy: 抽驗即可, 謝謝</t>
        </r>
      </text>
    </comment>
    <comment ref="H9" authorId="0" shapeId="0" xr:uid="{00000000-0006-0000-0000-000073000000}">
      <text>
        <r>
          <rPr>
            <sz val="10"/>
            <color rgb="FF000000"/>
            <rFont val="Aptos Narrow"/>
            <scheme val="minor"/>
          </rPr>
          <t>======
ID#AAABjx7qONY
    (2025-05-21 11:33:24)
Alice:2/14一銀收到匯入USD4250(內含手續費USD6.68)</t>
        </r>
      </text>
    </comment>
    <comment ref="H10" authorId="0" shapeId="0" xr:uid="{00000000-0006-0000-0000-000087000000}">
      <text>
        <r>
          <rPr>
            <sz val="10"/>
            <color rgb="FF000000"/>
            <rFont val="Aptos Narrow"/>
            <scheme val="minor"/>
          </rPr>
          <t>======
ID#AAABjx7qNOs
    (2025-05-21 11:33:23)
Alice:2/7一銀收到Hatteland匯入款USD52920(內含手續費USD26.45)沖PI-20191009008 USD52920</t>
        </r>
      </text>
    </comment>
    <comment ref="J10" authorId="0" shapeId="0" xr:uid="{00000000-0006-0000-0000-000058000000}">
      <text>
        <r>
          <rPr>
            <sz val="10"/>
            <color rgb="FF000000"/>
            <rFont val="Aptos Narrow"/>
            <scheme val="minor"/>
          </rPr>
          <t>======
ID#AAABjx7qPv8
    (2025-05-21 11:33:24)
190717 Tammy: 收到貨款後, 才出貨</t>
        </r>
      </text>
    </comment>
    <comment ref="M10" authorId="0" shapeId="0" xr:uid="{00000000-0006-0000-0000-000068000000}">
      <text>
        <r>
          <rPr>
            <sz val="10"/>
            <color rgb="FF000000"/>
            <rFont val="Aptos Narrow"/>
            <scheme val="minor"/>
          </rPr>
          <t>======
ID#AAABjx7qOuA
    (2025-05-21 11:33:24)
1226yvonne:捷毅通知延遲到1/3出貨</t>
        </r>
      </text>
    </comment>
    <comment ref="O10" authorId="0" shapeId="0" xr:uid="{00000000-0006-0000-0000-000002000000}">
      <text>
        <r>
          <rPr>
            <sz val="10"/>
            <color rgb="FF000000"/>
            <rFont val="Aptos Narrow"/>
            <scheme val="minor"/>
          </rPr>
          <t>======
ID#AAABjx7qWaA
    (2025-05-21 11:33:27)
0717:YVONNE下單</t>
        </r>
      </text>
    </comment>
    <comment ref="H11" authorId="0" shapeId="0" xr:uid="{00000000-0006-0000-0000-00002F000000}">
      <text>
        <r>
          <rPr>
            <sz val="10"/>
            <color rgb="FF000000"/>
            <rFont val="Aptos Narrow"/>
            <scheme val="minor"/>
          </rPr>
          <t>======
ID#AAABjx7qSas
    (2025-05-21 11:33:26)
Alice:2/7一銀收到Hatteland匯入款USD52920(內含手續費USD26.45)沖PI-20191009008 USD52920</t>
        </r>
      </text>
    </comment>
    <comment ref="J11" authorId="0" shapeId="0" xr:uid="{00000000-0006-0000-0000-000062000000}">
      <text>
        <r>
          <rPr>
            <sz val="10"/>
            <color rgb="FF000000"/>
            <rFont val="Aptos Narrow"/>
            <scheme val="minor"/>
          </rPr>
          <t>======
ID#AAABjx7qPMU
    (2025-05-21 11:33:24)
190717 Tammy: 收到貨款後, 才出貨</t>
        </r>
      </text>
    </comment>
    <comment ref="O11" authorId="0" shapeId="0" xr:uid="{00000000-0006-0000-0000-000093000000}">
      <text>
        <r>
          <rPr>
            <sz val="10"/>
            <color rgb="FF000000"/>
            <rFont val="Aptos Narrow"/>
            <scheme val="minor"/>
          </rPr>
          <t>======
ID#AAABj82dpFo
    (2025-05-21 11:33:23)
0717:YVONNE下單</t>
        </r>
      </text>
    </comment>
    <comment ref="H12" authorId="0" shapeId="0" xr:uid="{00000000-0006-0000-0000-00005D000000}">
      <text>
        <r>
          <rPr>
            <sz val="10"/>
            <color rgb="FF000000"/>
            <rFont val="Aptos Narrow"/>
            <scheme val="minor"/>
          </rPr>
          <t>======
ID#AAABjx7qPcI
    (2025-05-21 11:33:24)
Alice:2/7一銀收到Hatteland匯入款USD52920(內含手續費USD26.45)沖PI-20191009008 USD52920</t>
        </r>
      </text>
    </comment>
    <comment ref="J12" authorId="0" shapeId="0" xr:uid="{00000000-0006-0000-0000-000009000000}">
      <text>
        <r>
          <rPr>
            <sz val="10"/>
            <color rgb="FF000000"/>
            <rFont val="Aptos Narrow"/>
            <scheme val="minor"/>
          </rPr>
          <t>======
ID#AAABjx7qV9U
    (2025-05-21 11:33:27)
190717 Tammy: 收到貨款後, 才出貨</t>
        </r>
      </text>
    </comment>
    <comment ref="O12" authorId="0" shapeId="0" xr:uid="{00000000-0006-0000-0000-000008000000}">
      <text>
        <r>
          <rPr>
            <sz val="10"/>
            <color rgb="FF000000"/>
            <rFont val="Aptos Narrow"/>
            <scheme val="minor"/>
          </rPr>
          <t>======
ID#AAABjx7qWAg
    (2025-05-21 11:33:27)
0717:YVONNE下單</t>
        </r>
      </text>
    </comment>
    <comment ref="D13" authorId="0" shapeId="0" xr:uid="{00000000-0006-0000-0000-00008E000000}">
      <text>
        <r>
          <rPr>
            <sz val="10"/>
            <color rgb="FF000000"/>
            <rFont val="Aptos Narrow"/>
            <scheme val="minor"/>
          </rPr>
          <t>======
ID#AAABjx7qMqU
    (2025-05-21 11:33:23)
190109 Tammy: 抽驗即可, 謝謝</t>
        </r>
      </text>
    </comment>
    <comment ref="H13" authorId="0" shapeId="0" xr:uid="{00000000-0006-0000-0000-000011000000}">
      <text>
        <r>
          <rPr>
            <sz val="10"/>
            <color rgb="FF000000"/>
            <rFont val="Aptos Narrow"/>
            <scheme val="minor"/>
          </rPr>
          <t>======
ID#AAABjx7qVo8
    (2025-05-21 11:33:27)
Alice:2/7一銀收到Hatteland匯入款USD52920(內含手續費USD26.45)沖PI-20191009008 USD52920</t>
        </r>
      </text>
    </comment>
    <comment ref="J13" authorId="0" shapeId="0" xr:uid="{00000000-0006-0000-0000-000092000000}">
      <text>
        <r>
          <rPr>
            <sz val="10"/>
            <color rgb="FF000000"/>
            <rFont val="Aptos Narrow"/>
            <scheme val="minor"/>
          </rPr>
          <t>======
ID#AAABj82dpHk
    (2025-05-21 11:33:23)
190717 Tammy: 收到貨款後, 才出貨</t>
        </r>
      </text>
    </comment>
    <comment ref="O13" authorId="0" shapeId="0" xr:uid="{00000000-0006-0000-0000-000091000000}">
      <text>
        <r>
          <rPr>
            <sz val="10"/>
            <color rgb="FF000000"/>
            <rFont val="Aptos Narrow"/>
            <scheme val="minor"/>
          </rPr>
          <t>======
ID#AAABj82dpKg
    (2025-05-21 11:33:23)
0717:YVONNE下單</t>
        </r>
      </text>
    </comment>
    <comment ref="H14" authorId="0" shapeId="0" xr:uid="{00000000-0006-0000-0000-000066000000}">
      <text>
        <r>
          <rPr>
            <sz val="10"/>
            <color rgb="FF000000"/>
            <rFont val="Aptos Narrow"/>
            <scheme val="minor"/>
          </rPr>
          <t>======
ID#AAABjx7qO08
    (2025-05-21 11:33:24)
2/19收款</t>
        </r>
      </text>
    </comment>
    <comment ref="M14" authorId="0" shapeId="0" xr:uid="{00000000-0006-0000-0000-000022000000}">
      <text>
        <r>
          <rPr>
            <sz val="10"/>
            <color rgb="FF000000"/>
            <rFont val="Aptos Narrow"/>
            <scheme val="minor"/>
          </rPr>
          <t>======
ID#AAABjx7qU2w
    (2025-05-21 11:33:26)
chloe: 1107 Pull in 12/27 那週交貨→廠商尚未回覆</t>
        </r>
      </text>
    </comment>
    <comment ref="D15" authorId="0" shapeId="0" xr:uid="{00000000-0006-0000-0000-00008F000000}">
      <text>
        <r>
          <rPr>
            <sz val="10"/>
            <color rgb="FF000000"/>
            <rFont val="Aptos Narrow"/>
            <scheme val="minor"/>
          </rPr>
          <t>======
ID#AAABj82dpPs
    (2025-05-21 11:33:23)
10/30 請CHLOE 協助下單 
11/5 Cathy: 已有告知YAP L/T: 16 W &amp; 客人告知下單</t>
        </r>
      </text>
    </comment>
    <comment ref="H15" authorId="0" shapeId="0" xr:uid="{00000000-0006-0000-0000-00006A000000}">
      <text>
        <r>
          <rPr>
            <sz val="10"/>
            <color rgb="FF000000"/>
            <rFont val="Aptos Narrow"/>
            <scheme val="minor"/>
          </rPr>
          <t>======
ID#AAABjx7qOqs
    (2025-05-21 11:33:24)
ALICE:11/7-COMINTEL匯入USD7924沖PI-20191030003 USD7924</t>
        </r>
      </text>
    </comment>
    <comment ref="J15" authorId="0" shapeId="0" xr:uid="{00000000-0006-0000-0000-000054000000}">
      <text>
        <r>
          <rPr>
            <sz val="10"/>
            <color rgb="FF000000"/>
            <rFont val="Aptos Narrow"/>
            <scheme val="minor"/>
          </rPr>
          <t>======
ID#AAABjx7qQJY
    (2025-05-21 11:33:25)
出貨前需先提供Invoice &amp; PL ,在看後續安排</t>
        </r>
      </text>
    </comment>
    <comment ref="K15" authorId="0" shapeId="0" xr:uid="{00000000-0006-0000-0000-000029000000}">
      <text>
        <r>
          <rPr>
            <sz val="10"/>
            <color rgb="FF000000"/>
            <rFont val="Aptos Narrow"/>
            <scheme val="minor"/>
          </rPr>
          <t>======
ID#AAABjx7qTEw
    (2025-05-21 11:33:26)
1202yvonne:已通知客戶交期延期</t>
        </r>
      </text>
    </comment>
    <comment ref="M15" authorId="0" shapeId="0" xr:uid="{00000000-0006-0000-0000-000033000000}">
      <text>
        <r>
          <rPr>
            <sz val="10"/>
            <color rgb="FF000000"/>
            <rFont val="Aptos Narrow"/>
            <scheme val="minor"/>
          </rPr>
          <t>======
ID#AAABjx7qSII
    (2025-05-21 11:33:26)
貨到戎克</t>
        </r>
      </text>
    </comment>
    <comment ref="D16" authorId="0" shapeId="0" xr:uid="{00000000-0006-0000-0000-000065000000}">
      <text>
        <r>
          <rPr>
            <sz val="10"/>
            <color rgb="FF000000"/>
            <rFont val="Aptos Narrow"/>
            <scheme val="minor"/>
          </rPr>
          <t>======
ID#AAABjx7qO2M
    (2025-05-21 11:33:24)
10/30 請CHLOE 協助下單 
11/5 Cathy: 已有告知YAP L/T: 16 W &amp; 客人告知下單</t>
        </r>
      </text>
    </comment>
    <comment ref="H16" authorId="0" shapeId="0" xr:uid="{00000000-0006-0000-0000-000001000000}">
      <text>
        <r>
          <rPr>
            <sz val="10"/>
            <color rgb="FF000000"/>
            <rFont val="Aptos Narrow"/>
            <scheme val="minor"/>
          </rPr>
          <t>======
ID#AAABjx7qWaw
    (2025-05-21 11:33:27)
ALICE:11/7-COMINTEL匯入USD7924沖PI-20191030003 USD7924</t>
        </r>
      </text>
    </comment>
    <comment ref="J16" authorId="0" shapeId="0" xr:uid="{00000000-0006-0000-0000-000075000000}">
      <text>
        <r>
          <rPr>
            <sz val="10"/>
            <color rgb="FF000000"/>
            <rFont val="Aptos Narrow"/>
            <scheme val="minor"/>
          </rPr>
          <t>======
ID#AAABjx7qOJU
    (2025-05-21 11:33:24)
出貨前需先提供Invoice &amp; PL ,在看後續安排</t>
        </r>
      </text>
    </comment>
    <comment ref="K16" authorId="0" shapeId="0" xr:uid="{00000000-0006-0000-0000-000030000000}">
      <text>
        <r>
          <rPr>
            <sz val="10"/>
            <color rgb="FF000000"/>
            <rFont val="Aptos Narrow"/>
            <scheme val="minor"/>
          </rPr>
          <t>======
ID#AAABjx7qSaQ
    (2025-05-21 11:33:26)
1202yvonne:已通知客戶交期延期</t>
        </r>
      </text>
    </comment>
    <comment ref="M16" authorId="0" shapeId="0" xr:uid="{00000000-0006-0000-0000-00004A000000}">
      <text>
        <r>
          <rPr>
            <sz val="10"/>
            <color rgb="FF000000"/>
            <rFont val="Aptos Narrow"/>
            <scheme val="minor"/>
          </rPr>
          <t>======
ID#AAABjx7qQsI
    (2025-05-21 11:33:25)
貨到戎克</t>
        </r>
      </text>
    </comment>
    <comment ref="D17" authorId="0" shapeId="0" xr:uid="{00000000-0006-0000-0000-000016000000}">
      <text>
        <r>
          <rPr>
            <sz val="10"/>
            <color rgb="FF000000"/>
            <rFont val="Aptos Narrow"/>
            <scheme val="minor"/>
          </rPr>
          <t>======
ID#AAABjx7qVSs
    (2025-05-21 11:33:27)
10/30 請CHLOE 協助下單 
11/5 Cathy: 已有告知YAP L/T: 16 W &amp; 客人告知下單</t>
        </r>
      </text>
    </comment>
    <comment ref="H17" authorId="0" shapeId="0" xr:uid="{00000000-0006-0000-0000-000041000000}">
      <text>
        <r>
          <rPr>
            <sz val="10"/>
            <color rgb="FF000000"/>
            <rFont val="Aptos Narrow"/>
            <scheme val="minor"/>
          </rPr>
          <t>======
ID#AAABjx7qRN0
    (2025-05-21 11:33:25)
ALICE:11/7-COMINTEL匯入USD7924沖PI-20191030003 USD7924</t>
        </r>
      </text>
    </comment>
    <comment ref="J17" authorId="0" shapeId="0" xr:uid="{00000000-0006-0000-0000-00005F000000}">
      <text>
        <r>
          <rPr>
            <sz val="10"/>
            <color rgb="FF000000"/>
            <rFont val="Aptos Narrow"/>
            <scheme val="minor"/>
          </rPr>
          <t>======
ID#AAABjx7qPZs
    (2025-05-21 11:33:24)
出貨前需先提供Invoice &amp; PL ,在看後續安排</t>
        </r>
      </text>
    </comment>
    <comment ref="K17" authorId="0" shapeId="0" xr:uid="{00000000-0006-0000-0000-000004000000}">
      <text>
        <r>
          <rPr>
            <sz val="10"/>
            <color rgb="FF000000"/>
            <rFont val="Aptos Narrow"/>
            <scheme val="minor"/>
          </rPr>
          <t>======
ID#AAABjx7qWUI
    (2025-05-21 11:33:27)
1202yvonne:已通知客戶交期延期</t>
        </r>
      </text>
    </comment>
    <comment ref="M17" authorId="0" shapeId="0" xr:uid="{00000000-0006-0000-0000-000017000000}">
      <text>
        <r>
          <rPr>
            <sz val="10"/>
            <color rgb="FF000000"/>
            <rFont val="Aptos Narrow"/>
            <scheme val="minor"/>
          </rPr>
          <t>======
ID#AAABjx7qVR8
    (2025-05-21 11:33:27)
貨到戎克</t>
        </r>
      </text>
    </comment>
    <comment ref="D18" authorId="0" shapeId="0" xr:uid="{00000000-0006-0000-0000-000050000000}">
      <text>
        <r>
          <rPr>
            <sz val="10"/>
            <color rgb="FF000000"/>
            <rFont val="Aptos Narrow"/>
            <scheme val="minor"/>
          </rPr>
          <t>======
ID#AAABjx7qQTU
    (2025-05-21 11:33:25)
10/30 請CHLOE 協助下單</t>
        </r>
      </text>
    </comment>
    <comment ref="H18" authorId="0" shapeId="0" xr:uid="{00000000-0006-0000-0000-00007A000000}">
      <text>
        <r>
          <rPr>
            <sz val="10"/>
            <color rgb="FF000000"/>
            <rFont val="Aptos Narrow"/>
            <scheme val="minor"/>
          </rPr>
          <t>======
ID#AAABjx7qOFs
    (2025-05-21 11:33:24)
ALICE:11/7-COMINTEL匯入USD7924沖PI-20191030003 USD7924</t>
        </r>
      </text>
    </comment>
    <comment ref="J18" authorId="0" shapeId="0" xr:uid="{00000000-0006-0000-0000-000051000000}">
      <text>
        <r>
          <rPr>
            <sz val="10"/>
            <color rgb="FF000000"/>
            <rFont val="Aptos Narrow"/>
            <scheme val="minor"/>
          </rPr>
          <t>======
ID#AAABjx7qQPc
    (2025-05-21 11:33:25)
出貨前需先提供Invoice &amp; PL ,在看後續安排</t>
        </r>
      </text>
    </comment>
    <comment ref="K18" authorId="0" shapeId="0" xr:uid="{00000000-0006-0000-0000-000081000000}">
      <text>
        <r>
          <rPr>
            <sz val="10"/>
            <color rgb="FF000000"/>
            <rFont val="Aptos Narrow"/>
            <scheme val="minor"/>
          </rPr>
          <t>======
ID#AAABjx7qNtg
    (2025-05-21 11:33:23)
1202yvonne:已通知客戶交期延期</t>
        </r>
      </text>
    </comment>
    <comment ref="M18" authorId="0" shapeId="0" xr:uid="{00000000-0006-0000-0000-00000E000000}">
      <text>
        <r>
          <rPr>
            <sz val="10"/>
            <color rgb="FF000000"/>
            <rFont val="Aptos Narrow"/>
            <scheme val="minor"/>
          </rPr>
          <t>======
ID#AAABjx7qV2c
    (2025-05-21 11:33:27)
貨到戎克</t>
        </r>
      </text>
    </comment>
    <comment ref="H19" authorId="0" shapeId="0" xr:uid="{00000000-0006-0000-0000-000024000000}">
      <text>
        <r>
          <rPr>
            <sz val="10"/>
            <color rgb="FF000000"/>
            <rFont val="Aptos Narrow"/>
            <scheme val="minor"/>
          </rPr>
          <t>======
ID#AAABjx7qTrQ
    (2025-05-21 11:33:26)
ALICE:2/24一銀收到USD12104沖PI-20191127001 USD6784+PI-20191104001 USD2014+PI-20191213001 USD3306</t>
        </r>
      </text>
    </comment>
    <comment ref="K19" authorId="0" shapeId="0" xr:uid="{00000000-0006-0000-0000-00001D000000}">
      <text>
        <r>
          <rPr>
            <sz val="10"/>
            <color rgb="FF000000"/>
            <rFont val="Aptos Narrow"/>
            <scheme val="minor"/>
          </rPr>
          <t>======
ID#AAABjx7qVDY
    (2025-05-21 11:33:27)
1104YVONNE:出貨前請SANTIAGO拍照。
1219yvonne:超恩跳票，承諾2020/1/7出貨。</t>
        </r>
      </text>
    </comment>
    <comment ref="H20" authorId="0" shapeId="0" xr:uid="{00000000-0006-0000-0000-00007C000000}">
      <text>
        <r>
          <rPr>
            <sz val="10"/>
            <color rgb="FF000000"/>
            <rFont val="Aptos Narrow"/>
            <scheme val="minor"/>
          </rPr>
          <t>======
ID#AAABjx7qN8s
    (2025-05-21 11:33:23)
ALICE:2/24一銀收到USD12104沖PI-20191127001 USD6784+PI-20191104001 USD2014+PI-20191213001 USD3306</t>
        </r>
      </text>
    </comment>
    <comment ref="K20" authorId="0" shapeId="0" xr:uid="{00000000-0006-0000-0000-000048000000}">
      <text>
        <r>
          <rPr>
            <sz val="10"/>
            <color rgb="FF000000"/>
            <rFont val="Aptos Narrow"/>
            <scheme val="minor"/>
          </rPr>
          <t>======
ID#AAABjx7qQvU
    (2025-05-21 11:33:25)
1104YVONNE:出貨前請SANTIAGO拍照。
1219yvonne:超恩跳票，承諾2020/1/7出貨。</t>
        </r>
      </text>
    </comment>
    <comment ref="H21" authorId="0" shapeId="0" xr:uid="{00000000-0006-0000-0000-00003F000000}">
      <text>
        <r>
          <rPr>
            <sz val="10"/>
            <color rgb="FF000000"/>
            <rFont val="Aptos Narrow"/>
            <scheme val="minor"/>
          </rPr>
          <t>======
ID#AAABjx7qRPc
    (2025-05-21 11:33:25)
ALICE:2/24一銀收到USD12104沖PI-20191127001 USD6784+PI-20191104001 USD2014+PI-20191213001 USD3306</t>
        </r>
      </text>
    </comment>
    <comment ref="K21" authorId="0" shapeId="0" xr:uid="{00000000-0006-0000-0000-00001B000000}">
      <text>
        <r>
          <rPr>
            <sz val="10"/>
            <color rgb="FF000000"/>
            <rFont val="Aptos Narrow"/>
            <scheme val="minor"/>
          </rPr>
          <t>======
ID#AAABjx7qVGg
    (2025-05-21 11:33:27)
1104YVONNE:出貨前請SANTIAGO拍照。
1219yvonne:超恩跳票，承諾2020/1/7出貨。</t>
        </r>
      </text>
    </comment>
    <comment ref="H22" authorId="0" shapeId="0" xr:uid="{00000000-0006-0000-0000-000061000000}">
      <text>
        <r>
          <rPr>
            <sz val="10"/>
            <color rgb="FF000000"/>
            <rFont val="Aptos Narrow"/>
            <scheme val="minor"/>
          </rPr>
          <t>======
ID#AAABjx7qPNk
    (2025-05-21 11:33:24)
ALICE:2/24一銀收到USD12104沖PI-20191127001 USD6784+PI-20191104001 USD2014+PI-20191213001 USD3306</t>
        </r>
      </text>
    </comment>
    <comment ref="K22" authorId="0" shapeId="0" xr:uid="{00000000-0006-0000-0000-000023000000}">
      <text>
        <r>
          <rPr>
            <sz val="10"/>
            <color rgb="FF000000"/>
            <rFont val="Aptos Narrow"/>
            <scheme val="minor"/>
          </rPr>
          <t>======
ID#AAABjx7qUy4
    (2025-05-21 11:33:26)
1104YVONNE:出貨前請SANTIAGO拍照。
1219yvonne:超恩跳票，承諾2020/1/7出貨。</t>
        </r>
      </text>
    </comment>
    <comment ref="H23" authorId="0" shapeId="0" xr:uid="{00000000-0006-0000-0000-000063000000}">
      <text>
        <r>
          <rPr>
            <sz val="10"/>
            <color rgb="FF000000"/>
            <rFont val="Aptos Narrow"/>
            <scheme val="minor"/>
          </rPr>
          <t>======
ID#AAABjx7qPJA
    (2025-05-21 11:33:24)
ALICE:2/24一銀收到USD12104沖PI-20191127001 USD6784+PI-20191104001 USD2014+PI-20191213001 USD3306</t>
        </r>
      </text>
    </comment>
    <comment ref="K23" authorId="0" shapeId="0" xr:uid="{00000000-0006-0000-0000-00006F000000}">
      <text>
        <r>
          <rPr>
            <sz val="10"/>
            <color rgb="FF000000"/>
            <rFont val="Aptos Narrow"/>
            <scheme val="minor"/>
          </rPr>
          <t>======
ID#AAABjx7qOdk
    (2025-05-21 11:33:24)
1104YVONNE:出貨前請SANTIAGO拍照。
1219yvonne:超恩跳票，承諾2020/1/7出貨。</t>
        </r>
      </text>
    </comment>
    <comment ref="H24" authorId="0" shapeId="0" xr:uid="{00000000-0006-0000-0000-000043000000}">
      <text>
        <r>
          <rPr>
            <sz val="10"/>
            <color rgb="FF000000"/>
            <rFont val="Aptos Narrow"/>
            <scheme val="minor"/>
          </rPr>
          <t>======
ID#AAABjx7qREY
    (2025-05-21 11:33:25)
ALICE:2/24一銀收到USD12104沖PI-20191127001 USD6784+PI-20191104001 USD2014+PI-20191213001 USD3306</t>
        </r>
      </text>
    </comment>
    <comment ref="K24" authorId="0" shapeId="0" xr:uid="{00000000-0006-0000-0000-000074000000}">
      <text>
        <r>
          <rPr>
            <sz val="10"/>
            <color rgb="FF000000"/>
            <rFont val="Aptos Narrow"/>
            <scheme val="minor"/>
          </rPr>
          <t>======
ID#AAABjx7qOLY
    (2025-05-21 11:33:24)
1104YVONNE:出貨前請SANTIAGO拍照。
1219yvonne:超恩跳票，承諾2020/1/7出貨。</t>
        </r>
      </text>
    </comment>
    <comment ref="H25" authorId="0" shapeId="0" xr:uid="{00000000-0006-0000-0000-000012000000}">
      <text>
        <r>
          <rPr>
            <sz val="10"/>
            <color rgb="FF000000"/>
            <rFont val="Aptos Narrow"/>
            <scheme val="minor"/>
          </rPr>
          <t>======
ID#AAABjx7qVjc
    (2025-05-21 11:33:27)
ALICE:2/24一銀收到USD12104沖PI-20191127001 USD6784+PI-20191104001 USD2014+PI-20191213001 USD3306</t>
        </r>
      </text>
    </comment>
    <comment ref="K25" authorId="0" shapeId="0" xr:uid="{00000000-0006-0000-0000-000079000000}">
      <text>
        <r>
          <rPr>
            <sz val="10"/>
            <color rgb="FF000000"/>
            <rFont val="Aptos Narrow"/>
            <scheme val="minor"/>
          </rPr>
          <t>======
ID#AAABjx7qOGU
    (2025-05-21 11:33:24)
1104YVONNE:出貨前請SANTIAGO拍照。
1219yvonne:超恩跳票，承諾2020/1/7出貨。</t>
        </r>
      </text>
    </comment>
    <comment ref="D26" authorId="0" shapeId="0" xr:uid="{00000000-0006-0000-0000-00002D000000}">
      <text>
        <r>
          <rPr>
            <sz val="10"/>
            <color rgb="FF000000"/>
            <rFont val="Aptos Narrow"/>
            <scheme val="minor"/>
          </rPr>
          <t>======
ID#AAABjx7qStY
    (2025-05-21 11:33:26)
11/8 cathy: 請Chloe 請協助下單</t>
        </r>
      </text>
    </comment>
    <comment ref="O26" authorId="0" shapeId="0" xr:uid="{00000000-0006-0000-0000-000032000000}">
      <text>
        <r>
          <rPr>
            <sz val="10"/>
            <color rgb="FF000000"/>
            <rFont val="Aptos Narrow"/>
            <scheme val="minor"/>
          </rPr>
          <t>======
ID#AAABjx7qST8
    (2025-05-21 11:33:26)
專案價申請中</t>
        </r>
      </text>
    </comment>
    <comment ref="J27" authorId="0" shapeId="0" xr:uid="{00000000-0006-0000-0000-00004F000000}">
      <text>
        <r>
          <rPr>
            <sz val="10"/>
            <color rgb="FF000000"/>
            <rFont val="Aptos Narrow"/>
            <scheme val="minor"/>
          </rPr>
          <t>======
ID#AAABjx7qQXQ
    (2025-05-21 11:33:25)
191112 Tammy: 收到貨款後, 才出貨</t>
        </r>
      </text>
    </comment>
    <comment ref="K27" authorId="0" shapeId="0" xr:uid="{00000000-0006-0000-0000-00003E000000}">
      <text>
        <r>
          <rPr>
            <sz val="10"/>
            <color rgb="FF000000"/>
            <rFont val="Aptos Narrow"/>
            <scheme val="minor"/>
          </rPr>
          <t>======
ID#AAABjx7qRSs
    (2025-05-21 11:33:25)
191112 Tammy: 收到貨款後, 才出貨 (連同75片板子的款)</t>
        </r>
      </text>
    </comment>
    <comment ref="J28" authorId="0" shapeId="0" xr:uid="{00000000-0006-0000-0000-000085000000}">
      <text>
        <r>
          <rPr>
            <sz val="10"/>
            <color rgb="FF000000"/>
            <rFont val="Aptos Narrow"/>
            <scheme val="minor"/>
          </rPr>
          <t>======
ID#AAABjx7qNRo
    (2025-05-21 11:33:23)
191112 Tammy: 收到貨款後, 才出貨</t>
        </r>
      </text>
    </comment>
    <comment ref="K28" authorId="0" shapeId="0" xr:uid="{00000000-0006-0000-0000-00008A000000}">
      <text>
        <r>
          <rPr>
            <sz val="10"/>
            <color rgb="FF000000"/>
            <rFont val="Aptos Narrow"/>
            <scheme val="minor"/>
          </rPr>
          <t>======
ID#AAABjx7qMu0
    (2025-05-21 11:33:23)
1204 板子存放新漢，其中25片，連同第一張訂單，己做成系統</t>
        </r>
      </text>
    </comment>
    <comment ref="D29" authorId="0" shapeId="0" xr:uid="{00000000-0006-0000-0000-000042000000}">
      <text>
        <r>
          <rPr>
            <sz val="10"/>
            <color rgb="FF000000"/>
            <rFont val="Aptos Narrow"/>
            <scheme val="minor"/>
          </rPr>
          <t>======
ID#AAABjx7qRLE
    (2025-05-21 11:33:25)
11/19 Cathy :通知chloe下單</t>
        </r>
      </text>
    </comment>
    <comment ref="I29" authorId="0" shapeId="0" xr:uid="{00000000-0006-0000-0000-00005B000000}">
      <text>
        <r>
          <rPr>
            <sz val="10"/>
            <color rgb="FF000000"/>
            <rFont val="Aptos Narrow"/>
            <scheme val="minor"/>
          </rPr>
          <t>======
ID#AAABjx7qPnQ
    (2025-05-21 11:33:24)
原cathy</t>
        </r>
      </text>
    </comment>
    <comment ref="D30" authorId="0" shapeId="0" xr:uid="{00000000-0006-0000-0000-000047000000}">
      <text>
        <r>
          <rPr>
            <sz val="10"/>
            <color rgb="FF000000"/>
            <rFont val="Aptos Narrow"/>
            <scheme val="minor"/>
          </rPr>
          <t>======
ID#AAABjx7qQwg
    (2025-05-21 11:33:25)
11/19 Cathy :通知chloe下單</t>
        </r>
      </text>
    </comment>
    <comment ref="I30" authorId="0" shapeId="0" xr:uid="{00000000-0006-0000-0000-00005A000000}">
      <text>
        <r>
          <rPr>
            <sz val="10"/>
            <color rgb="FF000000"/>
            <rFont val="Aptos Narrow"/>
            <scheme val="minor"/>
          </rPr>
          <t>======
ID#AAABjx7qPoc
    (2025-05-21 11:33:24)
原cathy</t>
        </r>
      </text>
    </comment>
    <comment ref="H31" authorId="0" shapeId="0" xr:uid="{00000000-0006-0000-0000-000034000000}">
      <text>
        <r>
          <rPr>
            <sz val="10"/>
            <color rgb="FF000000"/>
            <rFont val="Aptos Narrow"/>
            <scheme val="minor"/>
          </rPr>
          <t>======
ID#AAABjx7qSBQ
    (2025-05-21 11:33:25)
在此輸入
ALICE:原7/30-Aironix 應收USD1024.2 實收1121=多收USD96.8 *31.03 故多收的部份轉預收沖抵 USD96.8 PI-20191121001
ALICE:2020/1/30一銀收款USD3356沖PI20191121001 USD480+PI-20191216002 USD280+USD189+PI-20191216003 USD381+290+1736總沖USD3356(內含手續費36.62元整)</t>
        </r>
      </text>
    </comment>
    <comment ref="H32" authorId="0" shapeId="0" xr:uid="{00000000-0006-0000-0000-00005C000000}">
      <text>
        <r>
          <rPr>
            <sz val="10"/>
            <color rgb="FF000000"/>
            <rFont val="Aptos Narrow"/>
            <scheme val="minor"/>
          </rPr>
          <t>======
ID#AAABjx7qPkA
    (2025-05-21 11:33:24)
ALICE:2020/1/30一銀收款USD3356沖PI20191121001 USD480+PI-20191216002 USD280+USD189+PI-20191216003 USD381+290+1736總沖USD3356(內含手續費36.62元整)</t>
        </r>
      </text>
    </comment>
    <comment ref="H33" authorId="0" shapeId="0" xr:uid="{00000000-0006-0000-0000-00007B000000}">
      <text>
        <r>
          <rPr>
            <sz val="10"/>
            <color rgb="FF000000"/>
            <rFont val="Aptos Narrow"/>
            <scheme val="minor"/>
          </rPr>
          <t>======
ID#AAABjx7qN_w
    (2025-05-21 11:33:24)
ALICE:3/6合庫收款USD45000(銀行手續費USD34.48)</t>
        </r>
      </text>
    </comment>
    <comment ref="H34" authorId="0" shapeId="0" xr:uid="{00000000-0006-0000-0000-000083000000}">
      <text>
        <r>
          <rPr>
            <sz val="10"/>
            <color rgb="FF000000"/>
            <rFont val="Aptos Narrow"/>
            <scheme val="minor"/>
          </rPr>
          <t>======
ID#AAABjx7qNa0
    (2025-05-21 11:33:23)
ALICE:3/6合庫收款USD45000(銀行手續費USD34.48)</t>
        </r>
      </text>
    </comment>
    <comment ref="M34" authorId="0" shapeId="0" xr:uid="{00000000-0006-0000-0000-000053000000}">
      <text>
        <r>
          <rPr>
            <sz val="10"/>
            <color rgb="FF000000"/>
            <rFont val="Aptos Narrow"/>
            <scheme val="minor"/>
          </rPr>
          <t>======
ID#AAABjx7qQOU
    (2025-05-21 11:33:25)
到貨我司</t>
        </r>
      </text>
    </comment>
    <comment ref="H35" authorId="0" shapeId="0" xr:uid="{00000000-0006-0000-0000-000057000000}">
      <text>
        <r>
          <rPr>
            <sz val="10"/>
            <color rgb="FF000000"/>
            <rFont val="Aptos Narrow"/>
            <scheme val="minor"/>
          </rPr>
          <t>======
ID#AAABjx7qPzA
    (2025-05-21 11:33:24)
ALICE:3/6合庫收款USD45000(銀行手續費USD34.48)</t>
        </r>
      </text>
    </comment>
    <comment ref="M35" authorId="0" shapeId="0" xr:uid="{00000000-0006-0000-0000-000003000000}">
      <text>
        <r>
          <rPr>
            <sz val="10"/>
            <color rgb="FF000000"/>
            <rFont val="Aptos Narrow"/>
            <scheme val="minor"/>
          </rPr>
          <t>======
ID#AAABjx7qWVE
    (2025-05-21 11:33:27)
到貨我司</t>
        </r>
      </text>
    </comment>
    <comment ref="M36" authorId="0" shapeId="0" xr:uid="{00000000-0006-0000-0000-000021000000}">
      <text>
        <r>
          <rPr>
            <sz val="10"/>
            <color rgb="FF000000"/>
            <rFont val="Aptos Narrow"/>
            <scheme val="minor"/>
          </rPr>
          <t>======
ID#AAABjx7qU5I
    (2025-05-21 11:33:26)
到貨我司</t>
        </r>
      </text>
    </comment>
    <comment ref="H45" authorId="0" shapeId="0" xr:uid="{00000000-0006-0000-0000-00004D000000}">
      <text>
        <r>
          <rPr>
            <sz val="10"/>
            <color rgb="FF000000"/>
            <rFont val="Aptos Narrow"/>
            <scheme val="minor"/>
          </rPr>
          <t>======
ID#AAABjx7qQkA
    (2025-05-21 11:33:25)
ALICE:12/20匯入USD20,306(內含銀行手續費USD54.62)沖PI-20191128001 USD4686+PI-20191128003 USD10934 +PI-20191209001 USD4686 總計USD20306元整</t>
        </r>
      </text>
    </comment>
    <comment ref="H46" authorId="0" shapeId="0" xr:uid="{00000000-0006-0000-0000-000014000000}">
      <text>
        <r>
          <rPr>
            <sz val="10"/>
            <color rgb="FF000000"/>
            <rFont val="Aptos Narrow"/>
            <scheme val="minor"/>
          </rPr>
          <t>======
ID#AAABjx7qVW4
    (2025-05-21 11:33:27)
ALICE:12/20匯入USD20,306(內含銀行手續費USD54.62)沖PI-20191128001 USD4686+PI-20191128003 USD10934 +PI-20191209001 USD4686 總計USD20306元整</t>
        </r>
      </text>
    </comment>
    <comment ref="H47" authorId="0" shapeId="0" xr:uid="{00000000-0006-0000-0000-000076000000}">
      <text>
        <r>
          <rPr>
            <sz val="10"/>
            <color rgb="FF000000"/>
            <rFont val="Aptos Narrow"/>
            <scheme val="minor"/>
          </rPr>
          <t>======
ID#AAABjx7qOI4
    (2025-05-21 11:33:24)
ALICE:12/20匯入USD20,306(內含銀行手續費USD54.62)沖PI-20191128001 USD4686+PI-20191128003 USD10934 +PI-20191209001 USD4686 總計USD20306元整</t>
        </r>
      </text>
    </comment>
    <comment ref="H48" authorId="0" shapeId="0" xr:uid="{00000000-0006-0000-0000-000052000000}">
      <text>
        <r>
          <rPr>
            <sz val="10"/>
            <color rgb="FF000000"/>
            <rFont val="Aptos Narrow"/>
            <scheme val="minor"/>
          </rPr>
          <t>======
ID#AAABjx7qQPI
    (2025-05-21 11:33:25)
ALICE:12/20匯入USD20,306(內含銀行手續費USD54.62)沖PI-20191128001 USD4686+PI-20191128003 USD10934 +PI-20191209001 USD4686 總計USD20306元整</t>
        </r>
      </text>
    </comment>
    <comment ref="K48" authorId="0" shapeId="0" xr:uid="{00000000-0006-0000-0000-00005E000000}">
      <text>
        <r>
          <rPr>
            <sz val="10"/>
            <color rgb="FF000000"/>
            <rFont val="Aptos Narrow"/>
            <scheme val="minor"/>
          </rPr>
          <t>======
ID#AAABjx7qPbk
    (2025-05-21 11:33:24)
1202YVONNE:暫押交期，待bruce確認主板。</t>
        </r>
      </text>
    </comment>
    <comment ref="H49" authorId="0" shapeId="0" xr:uid="{00000000-0006-0000-0000-000045000000}">
      <text>
        <r>
          <rPr>
            <sz val="10"/>
            <color rgb="FF000000"/>
            <rFont val="Aptos Narrow"/>
            <scheme val="minor"/>
          </rPr>
          <t>======
ID#AAABjx7qQ74
    (2025-05-21 11:33:25)
ALICE:12/20匯入USD20,306(內含銀行手續費USD54.62)沖PI-20191128001 USD4686+PI-20191128003 USD10934 +PI-20191209001 USD4686 總計USD20306元整</t>
        </r>
      </text>
    </comment>
    <comment ref="K49" authorId="0" shapeId="0" xr:uid="{00000000-0006-0000-0000-00001F000000}">
      <text>
        <r>
          <rPr>
            <sz val="10"/>
            <color rgb="FF000000"/>
            <rFont val="Aptos Narrow"/>
            <scheme val="minor"/>
          </rPr>
          <t>======
ID#AAABjx7qU74
    (2025-05-21 11:33:27)
1202YVONNE:暫押交期，待bruce確認主板。</t>
        </r>
      </text>
    </comment>
    <comment ref="H50" authorId="0" shapeId="0" xr:uid="{00000000-0006-0000-0000-000038000000}">
      <text>
        <r>
          <rPr>
            <sz val="10"/>
            <color rgb="FF000000"/>
            <rFont val="Aptos Narrow"/>
            <scheme val="minor"/>
          </rPr>
          <t>======
ID#AAABjx7qRuE
    (2025-05-21 11:33:25)
ALICE:12/20匯入USD20,306(內含銀行手續費USD54.62)沖PI-20191128001 USD4686+PI-20191128003 USD10934 +PI-20191209001 USD4686 總計USD20306元整</t>
        </r>
      </text>
    </comment>
    <comment ref="K50" authorId="0" shapeId="0" xr:uid="{00000000-0006-0000-0000-00006D000000}">
      <text>
        <r>
          <rPr>
            <sz val="10"/>
            <color rgb="FF000000"/>
            <rFont val="Aptos Narrow"/>
            <scheme val="minor"/>
          </rPr>
          <t>======
ID#AAABjx7qOh8
    (2025-05-21 11:33:24)
1202YVONNE:暫押交期，待bruce確認主板。</t>
        </r>
      </text>
    </comment>
    <comment ref="H51" authorId="0" shapeId="0" xr:uid="{00000000-0006-0000-0000-000044000000}">
      <text>
        <r>
          <rPr>
            <sz val="10"/>
            <color rgb="FF000000"/>
            <rFont val="Aptos Narrow"/>
            <scheme val="minor"/>
          </rPr>
          <t>======
ID#AAABjx7qRCE
    (2025-05-21 11:33:25)
Alice:2/11一銀收款USD392(手續費0)沖PI-20191203001 USD135+PI-20191211003 USD257總沖USD392</t>
        </r>
      </text>
    </comment>
    <comment ref="J51" authorId="0" shapeId="0" xr:uid="{00000000-0006-0000-0000-000025000000}">
      <text>
        <r>
          <rPr>
            <sz val="10"/>
            <color rgb="FF000000"/>
            <rFont val="Aptos Narrow"/>
            <scheme val="minor"/>
          </rPr>
          <t>======
ID#AAABjx7qTjM
    (2025-05-21 11:33:26)
191213 出貨前要再確認20191203001是否要一起安排
200109 一起出</t>
        </r>
      </text>
    </comment>
    <comment ref="H52" authorId="0" shapeId="0" xr:uid="{00000000-0006-0000-0000-000037000000}">
      <text>
        <r>
          <rPr>
            <sz val="10"/>
            <color rgb="FF000000"/>
            <rFont val="Aptos Narrow"/>
            <scheme val="minor"/>
          </rPr>
          <t>======
ID#AAABjx7qRxU
    (2025-05-21 11:33:25)
ALICE:3/2一銀收款USD13900(內含手續費USD6.96)</t>
        </r>
      </text>
    </comment>
    <comment ref="H54" authorId="0" shapeId="0" xr:uid="{00000000-0006-0000-0000-000055000000}">
      <text>
        <r>
          <rPr>
            <sz val="10"/>
            <color rgb="FF000000"/>
            <rFont val="Aptos Narrow"/>
            <scheme val="minor"/>
          </rPr>
          <t>======
ID#AAABjx7qP84
    (2025-05-21 11:33:25)
ALICE:12/20匯入USD20,306(內含銀行手續費USD54.62)沖PI-20191128001 USD4686+PI-20191128003 USD10934 +PI-20191209001 USD4686 總計USD20306元整</t>
        </r>
      </text>
    </comment>
    <comment ref="K54" authorId="0" shapeId="0" xr:uid="{00000000-0006-0000-0000-000072000000}">
      <text>
        <r>
          <rPr>
            <sz val="10"/>
            <color rgb="FF000000"/>
            <rFont val="Aptos Narrow"/>
            <scheme val="minor"/>
          </rPr>
          <t>======
ID#AAABjx7qOUQ
    (2025-05-21 11:33:24)
1202YVONNE:暫押交期，待bruce確認主板。</t>
        </r>
      </text>
    </comment>
    <comment ref="H55" authorId="0" shapeId="0" xr:uid="{00000000-0006-0000-0000-000059000000}">
      <text>
        <r>
          <rPr>
            <sz val="10"/>
            <color rgb="FF000000"/>
            <rFont val="Aptos Narrow"/>
            <scheme val="minor"/>
          </rPr>
          <t>======
ID#AAABjx7qPuc
    (2025-05-21 11:33:24)
ALICE:12/20匯入USD20,306(內含銀行手續費USD54.62)沖PI-20191128001 USD4686+PI-20191128003 USD10934 +PI-20191209001 USD4686 總計USD20306元整</t>
        </r>
      </text>
    </comment>
    <comment ref="K55" authorId="0" shapeId="0" xr:uid="{00000000-0006-0000-0000-000028000000}">
      <text>
        <r>
          <rPr>
            <sz val="10"/>
            <color rgb="FF000000"/>
            <rFont val="Aptos Narrow"/>
            <scheme val="minor"/>
          </rPr>
          <t>======
ID#AAABjx7qTe0
    (2025-05-21 11:33:26)
1202YVONNE:暫押交期，待bruce確認主板。</t>
        </r>
      </text>
    </comment>
    <comment ref="H56" authorId="0" shapeId="0" xr:uid="{00000000-0006-0000-0000-00002B000000}">
      <text>
        <r>
          <rPr>
            <sz val="10"/>
            <color rgb="FF000000"/>
            <rFont val="Aptos Narrow"/>
            <scheme val="minor"/>
          </rPr>
          <t>======
ID#AAABjx7qS7I
    (2025-05-21 11:33:26)
ALICE:12/20匯入USD20,306(內含銀行手續費USD54.62)沖PI-20191128001 USD4686+PI-20191128003 USD10934 +PI-20191209001 USD4686 總計USD20306元整</t>
        </r>
      </text>
    </comment>
    <comment ref="K56" authorId="0" shapeId="0" xr:uid="{00000000-0006-0000-0000-000094000000}">
      <text>
        <r>
          <rPr>
            <sz val="10"/>
            <color rgb="FF000000"/>
            <rFont val="Aptos Narrow"/>
            <scheme val="minor"/>
          </rPr>
          <t>======
ID#AAABj82dpFg
    (2025-05-21 11:33:23)
1202YVONNE:暫押交期，待bruce確認主板。</t>
        </r>
      </text>
    </comment>
    <comment ref="H57" authorId="0" shapeId="0" xr:uid="{00000000-0006-0000-0000-00003A000000}">
      <text>
        <r>
          <rPr>
            <sz val="10"/>
            <color rgb="FF000000"/>
            <rFont val="Aptos Narrow"/>
            <scheme val="minor"/>
          </rPr>
          <t>======
ID#AAABjx7qRkE
    (2025-05-21 11:33:25)
Alice:2/11一銀收款USD392(手續費0)沖PI-20191203001 USD135+PI-20191211003 USD257總沖USD392</t>
        </r>
      </text>
    </comment>
    <comment ref="J57" authorId="0" shapeId="0" xr:uid="{00000000-0006-0000-0000-000007000000}">
      <text>
        <r>
          <rPr>
            <sz val="10"/>
            <color rgb="FF000000"/>
            <rFont val="Aptos Narrow"/>
            <scheme val="minor"/>
          </rPr>
          <t>======
ID#AAABjx7qWA4
    (2025-05-21 11:33:27)
191213 出貨前要再確認20191203001是否要一起安排
200109 一起出</t>
        </r>
      </text>
    </comment>
    <comment ref="H58" authorId="0" shapeId="0" xr:uid="{00000000-0006-0000-0000-000090000000}">
      <text>
        <r>
          <rPr>
            <sz val="10"/>
            <color rgb="FF000000"/>
            <rFont val="Aptos Narrow"/>
            <scheme val="minor"/>
          </rPr>
          <t>======
ID#AAABj82dpMA
    (2025-05-21 11:33:23)
ALICE:2020/1/30一銀收款USD3356沖PI20191121001 USD480+PI-20191216002 USD280+USD189+PI-20191216003 USD381+290+1736總沖USD3356(內含手續費36.62元整)</t>
        </r>
      </text>
    </comment>
    <comment ref="H59" authorId="0" shapeId="0" xr:uid="{00000000-0006-0000-0000-000071000000}">
      <text>
        <r>
          <rPr>
            <sz val="10"/>
            <color rgb="FF000000"/>
            <rFont val="Aptos Narrow"/>
            <scheme val="minor"/>
          </rPr>
          <t>======
ID#AAABjx7qOXY
    (2025-05-21 11:33:24)
ALICE:2020/1/30一銀收款USD3356沖PI20191121001 USD480+PI-20191216002 USD280+USD189+PI-20191216003 USD381+290+1736總沖USD3356(內含手續費36.62元整)</t>
        </r>
      </text>
    </comment>
    <comment ref="C60" authorId="0" shapeId="0" xr:uid="{00000000-0006-0000-0000-000069000000}">
      <text>
        <r>
          <rPr>
            <sz val="10"/>
            <color rgb="FF000000"/>
            <rFont val="Aptos Narrow"/>
            <scheme val="minor"/>
          </rPr>
          <t>======
ID#AAABjx7qOsQ
    (2025-05-21 11:33:24)
20200109 CATHY:客人增加1PCS</t>
        </r>
      </text>
    </comment>
    <comment ref="F60" authorId="0" shapeId="0" xr:uid="{00000000-0006-0000-0000-00007E000000}">
      <text>
        <r>
          <rPr>
            <sz val="10"/>
            <color rgb="FF000000"/>
            <rFont val="Aptos Narrow"/>
            <scheme val="minor"/>
          </rPr>
          <t>======
ID#AAABjx7qN2I
    (2025-05-21 11:33:23)
原訂單數量為31 pcs
20200109 客人增加一台</t>
        </r>
      </text>
    </comment>
    <comment ref="H60" authorId="0" shapeId="0" xr:uid="{00000000-0006-0000-0000-00000D000000}">
      <text>
        <r>
          <rPr>
            <sz val="10"/>
            <color rgb="FF000000"/>
            <rFont val="Aptos Narrow"/>
            <scheme val="minor"/>
          </rPr>
          <t>======
ID#AAABjx7qV2s
    (2025-05-21 11:33:27)
ALICE:2020/1/30一銀收款USD3356沖PI20191121001 USD480+PI-20191216002 USD280+USD189+PI-20191216003 USD381+290+1736總沖USD3356(內含手續費36.62元整)
ALICE:2/21一銀收到USD8587.2沖PI20200102001 USD5432+PI-20191216003 USD1020+PI-20191216002 USD2232-前期折讓USD96.8</t>
        </r>
      </text>
    </comment>
    <comment ref="H61" authorId="0" shapeId="0" xr:uid="{00000000-0006-0000-0000-00000C000000}">
      <text>
        <r>
          <rPr>
            <sz val="10"/>
            <color rgb="FF000000"/>
            <rFont val="Aptos Narrow"/>
            <scheme val="minor"/>
          </rPr>
          <t>======
ID#AAABjx7qV3U
    (2025-05-21 11:33:27)
ALICE:2020/1/30一銀收款USD3356沖PI20191121001 USD480+PI-20191216002 USD280+USD189+PI-20191216003 USD381+290+1736總沖USD3356(內含手續費36.62元整)</t>
        </r>
      </text>
    </comment>
    <comment ref="H62" authorId="0" shapeId="0" xr:uid="{00000000-0006-0000-0000-000019000000}">
      <text>
        <r>
          <rPr>
            <sz val="10"/>
            <color rgb="FF000000"/>
            <rFont val="Aptos Narrow"/>
            <scheme val="minor"/>
          </rPr>
          <t>======
ID#AAABjx7qVOg
    (2025-05-21 11:33:27)
ALICE:2/21一銀收到USD8587.2沖PI20200102001 USD5432+PI-20191216003 USD1020+PI-20191216002 USD2232-前期折讓USD96.8</t>
        </r>
      </text>
    </comment>
    <comment ref="H63" authorId="0" shapeId="0" xr:uid="{00000000-0006-0000-0000-00001A000000}">
      <text>
        <r>
          <rPr>
            <sz val="10"/>
            <color rgb="FF000000"/>
            <rFont val="Aptos Narrow"/>
            <scheme val="minor"/>
          </rPr>
          <t>======
ID#AAABjx7qVMw
    (2025-05-21 11:33:27)
ALICE:2020/1/30一銀收款USD3356沖PI20191121001 USD480+PI-20191216002 USD280+USD189+PI-20191216003 USD381+290+1736總沖USD3356(內含手續費36.62元整)</t>
        </r>
      </text>
    </comment>
    <comment ref="D64" authorId="0" shapeId="0" xr:uid="{00000000-0006-0000-0000-000027000000}">
      <text>
        <r>
          <rPr>
            <sz val="10"/>
            <color rgb="FF000000"/>
            <rFont val="Aptos Narrow"/>
            <scheme val="minor"/>
          </rPr>
          <t>======
ID#AAABjx7qTg8
    (2025-05-21 11:33:26)
20191219  請chloe協助下單</t>
        </r>
      </text>
    </comment>
    <comment ref="H64" authorId="0" shapeId="0" xr:uid="{00000000-0006-0000-0000-00006E000000}">
      <text>
        <r>
          <rPr>
            <sz val="10"/>
            <color rgb="FF000000"/>
            <rFont val="Aptos Narrow"/>
            <scheme val="minor"/>
          </rPr>
          <t>======
ID#AAABjx7qOhw
    (2025-05-21 11:33:24)
ALICE:1/15一銀收到匯入款USD585(手續費USD0)沖PI-20191219001 USD585</t>
        </r>
      </text>
    </comment>
    <comment ref="M64" authorId="0" shapeId="0" xr:uid="{00000000-0006-0000-0000-00007D000000}">
      <text>
        <r>
          <rPr>
            <sz val="10"/>
            <color rgb="FF000000"/>
            <rFont val="Aptos Narrow"/>
            <scheme val="minor"/>
          </rPr>
          <t>======
ID#AAABjx7qN50
    (2025-05-21 11:33:23)
到貨我司</t>
        </r>
      </text>
    </comment>
    <comment ref="D65" authorId="0" shapeId="0" xr:uid="{00000000-0006-0000-0000-00003C000000}">
      <text>
        <r>
          <rPr>
            <sz val="10"/>
            <color rgb="FF000000"/>
            <rFont val="Aptos Narrow"/>
            <scheme val="minor"/>
          </rPr>
          <t>======
ID#AAABjx7qRfA
    (2025-05-21 11:33:25)
20191219  請chloe協助下單</t>
        </r>
      </text>
    </comment>
    <comment ref="H65" authorId="0" shapeId="0" xr:uid="{00000000-0006-0000-0000-00006B000000}">
      <text>
        <r>
          <rPr>
            <sz val="10"/>
            <color rgb="FF000000"/>
            <rFont val="Aptos Narrow"/>
            <scheme val="minor"/>
          </rPr>
          <t>======
ID#AAABjx7qOjg
    (2025-05-21 11:33:24)
ALICE:1/15一銀收到匯入款USD585(手續費USD0)沖PI-20191219001 USD585</t>
        </r>
      </text>
    </comment>
    <comment ref="H66" authorId="0" shapeId="0" xr:uid="{00000000-0006-0000-0000-00008C000000}">
      <text>
        <r>
          <rPr>
            <sz val="10"/>
            <color rgb="FF000000"/>
            <rFont val="Aptos Narrow"/>
            <scheme val="minor"/>
          </rPr>
          <t>======
ID#AAABjx7qMtU
    (2025-05-21 11:33:23)
ALICE:2/10亞郁匯入NT5402(內扣手續費NT15)</t>
        </r>
      </text>
    </comment>
    <comment ref="H67" authorId="0" shapeId="0" xr:uid="{00000000-0006-0000-0000-000026000000}">
      <text>
        <r>
          <rPr>
            <sz val="10"/>
            <color rgb="FF000000"/>
            <rFont val="Aptos Narrow"/>
            <scheme val="minor"/>
          </rPr>
          <t>======
ID#AAABjx7qThI
    (2025-05-21 11:33:26)
ALICE:1/7-科技國匯入NT21,784預收貨款(合庫)</t>
        </r>
      </text>
    </comment>
    <comment ref="M67" authorId="0" shapeId="0" xr:uid="{00000000-0006-0000-0000-00004C000000}">
      <text>
        <r>
          <rPr>
            <sz val="10"/>
            <color rgb="FF000000"/>
            <rFont val="Aptos Narrow"/>
            <scheme val="minor"/>
          </rPr>
          <t>======
ID#AAABjx7qQkU
    (2025-05-21 11:33:25)
到貨客戶那</t>
        </r>
      </text>
    </comment>
    <comment ref="H68" authorId="0" shapeId="0" xr:uid="{00000000-0006-0000-0000-00001C000000}">
      <text>
        <r>
          <rPr>
            <sz val="10"/>
            <color rgb="FF000000"/>
            <rFont val="Aptos Narrow"/>
            <scheme val="minor"/>
          </rPr>
          <t>======
ID#AAABjx7qVF4
    (2025-05-21 11:33:27)
ALICE:3/12一銀收款USD1946(總收USD2156)</t>
        </r>
      </text>
    </comment>
    <comment ref="M68" authorId="0" shapeId="0" xr:uid="{00000000-0006-0000-0000-000060000000}">
      <text>
        <r>
          <rPr>
            <sz val="10"/>
            <color rgb="FF000000"/>
            <rFont val="Aptos Narrow"/>
            <scheme val="minor"/>
          </rPr>
          <t>======
ID#AAABjx7qPPI
    (2025-05-21 11:33:24)
到貨我司</t>
        </r>
      </text>
    </comment>
    <comment ref="H69" authorId="0" shapeId="0" xr:uid="{00000000-0006-0000-0000-000036000000}">
      <text>
        <r>
          <rPr>
            <sz val="10"/>
            <color rgb="FF000000"/>
            <rFont val="Aptos Narrow"/>
            <scheme val="minor"/>
          </rPr>
          <t>======
ID#AAABjx7qRz8
    (2025-05-21 11:33:25)
ALICE:3/12一銀收款USD1946(總收USD2156)</t>
        </r>
      </text>
    </comment>
    <comment ref="M69" authorId="0" shapeId="0" xr:uid="{00000000-0006-0000-0000-000089000000}">
      <text>
        <r>
          <rPr>
            <sz val="10"/>
            <color rgb="FF000000"/>
            <rFont val="Aptos Narrow"/>
            <scheme val="minor"/>
          </rPr>
          <t>======
ID#AAABjx7qMv0
    (2025-05-21 11:33:23)
到貨我司</t>
        </r>
      </text>
    </comment>
    <comment ref="H70" authorId="0" shapeId="0" xr:uid="{00000000-0006-0000-0000-000031000000}">
      <text>
        <r>
          <rPr>
            <sz val="10"/>
            <color rgb="FF000000"/>
            <rFont val="Aptos Narrow"/>
            <scheme val="minor"/>
          </rPr>
          <t>======
ID#AAABjx7qSW8
    (2025-05-21 11:33:26)
ALICE:3/12一銀收款USD1946(總收USD2156)</t>
        </r>
      </text>
    </comment>
    <comment ref="M70" authorId="0" shapeId="0" xr:uid="{00000000-0006-0000-0000-00003D000000}">
      <text>
        <r>
          <rPr>
            <sz val="10"/>
            <color rgb="FF000000"/>
            <rFont val="Aptos Narrow"/>
            <scheme val="minor"/>
          </rPr>
          <t>======
ID#AAABjx7qRVw
    (2025-05-21 11:33:25)
到貨我司</t>
        </r>
      </text>
    </comment>
    <comment ref="H71" authorId="0" shapeId="0" xr:uid="{00000000-0006-0000-0000-00008B000000}">
      <text>
        <r>
          <rPr>
            <sz val="10"/>
            <color rgb="FF000000"/>
            <rFont val="Aptos Narrow"/>
            <scheme val="minor"/>
          </rPr>
          <t>======
ID#AAABjx7qMuk
    (2025-05-21 11:33:23)
ALICE:3/12一銀收款USD1946(總收USD2156)</t>
        </r>
      </text>
    </comment>
    <comment ref="M71" authorId="0" shapeId="0" xr:uid="{00000000-0006-0000-0000-000086000000}">
      <text>
        <r>
          <rPr>
            <sz val="10"/>
            <color rgb="FF000000"/>
            <rFont val="Aptos Narrow"/>
            <scheme val="minor"/>
          </rPr>
          <t>======
ID#AAABjx7qNPA
    (2025-05-21 11:33:23)
到貨我司</t>
        </r>
      </text>
    </comment>
    <comment ref="H72" authorId="0" shapeId="0" xr:uid="{00000000-0006-0000-0000-000010000000}">
      <text>
        <r>
          <rPr>
            <sz val="10"/>
            <color rgb="FF000000"/>
            <rFont val="Aptos Narrow"/>
            <scheme val="minor"/>
          </rPr>
          <t>======
ID#AAABjx7qVrQ
    (2025-05-21 11:33:27)
ALICE:3/12一銀收款USD1946(總收USD2156)</t>
        </r>
      </text>
    </comment>
    <comment ref="M72" authorId="0" shapeId="0" xr:uid="{00000000-0006-0000-0000-000067000000}">
      <text>
        <r>
          <rPr>
            <sz val="10"/>
            <color rgb="FF000000"/>
            <rFont val="Aptos Narrow"/>
            <scheme val="minor"/>
          </rPr>
          <t>======
ID#AAABjx7qOxk
    (2025-05-21 11:33:24)
到貨我司</t>
        </r>
      </text>
    </comment>
    <comment ref="D73" authorId="0" shapeId="0" xr:uid="{00000000-0006-0000-0000-000039000000}">
      <text>
        <r>
          <rPr>
            <sz val="10"/>
            <color rgb="FF000000"/>
            <rFont val="Aptos Narrow"/>
            <scheme val="minor"/>
          </rPr>
          <t>======
ID#AAABjx7qRt0
    (2025-05-21 11:33:25)
20200118 SAN 通知CANCEL
12/27 Cathy : 請chloe 協助下單</t>
        </r>
      </text>
    </comment>
    <comment ref="K73" authorId="0" shapeId="0" xr:uid="{00000000-0006-0000-0000-00002C000000}">
      <text>
        <r>
          <rPr>
            <sz val="10"/>
            <color rgb="FF000000"/>
            <rFont val="Aptos Narrow"/>
            <scheme val="minor"/>
          </rPr>
          <t>======
ID#AAABjx7qS5s
    (2025-05-21 11:33:26)
12/27 請盡可能與其他訂單一併出貨</t>
        </r>
      </text>
    </comment>
    <comment ref="E74" authorId="0" shapeId="0" xr:uid="{00000000-0006-0000-0000-000064000000}">
      <text>
        <r>
          <rPr>
            <sz val="10"/>
            <color rgb="FF000000"/>
            <rFont val="Aptos Narrow"/>
            <scheme val="minor"/>
          </rPr>
          <t>======
ID#AAABjx7qO7A
    (2025-05-21 11:33:24)
1231 chloe: 含Cable</t>
        </r>
      </text>
    </comment>
    <comment ref="H74" authorId="0" shapeId="0" xr:uid="{00000000-0006-0000-0000-000040000000}">
      <text>
        <r>
          <rPr>
            <sz val="10"/>
            <color rgb="FF000000"/>
            <rFont val="Aptos Narrow"/>
            <scheme val="minor"/>
          </rPr>
          <t>======
ID#AAABjx7qROc
    (2025-05-21 11:33:25)
20200107 san:老大同意客人以日幣付款並開立invoice with Yen 11,000.</t>
        </r>
      </text>
    </comment>
    <comment ref="E77" authorId="0" shapeId="0" xr:uid="{D7AE9551-019B-CB4C-B0ED-718BA4D82EA6}">
      <text>
        <r>
          <rPr>
            <sz val="10"/>
            <color rgb="FF000000"/>
            <rFont val="Aptos Narrow"/>
            <scheme val="minor"/>
          </rPr>
          <t>======
ID#AAABjx7qSjo
    (2025-05-21 11:33:26)
1119 chloe:4U機箱使用</t>
        </r>
      </text>
    </comment>
    <comment ref="H77" authorId="0" shapeId="0" xr:uid="{A241BC89-07F6-0845-BDF9-8D06BCD0F6BA}">
      <text>
        <r>
          <rPr>
            <sz val="10"/>
            <color rgb="FF000000"/>
            <rFont val="Aptos Narrow"/>
            <scheme val="minor"/>
          </rPr>
          <t>======
ID#AAABjx7qV1w
    (2025-05-21 11:33:27)
0104 chloe:匯款匯入US$3195.35</t>
        </r>
      </text>
    </comment>
    <comment ref="J77" authorId="0" shapeId="0" xr:uid="{0B9C46DE-3807-6142-9B04-A55EF5E9E439}">
      <text>
        <r>
          <rPr>
            <sz val="10"/>
            <color rgb="FF000000"/>
            <rFont val="Aptos Narrow"/>
            <scheme val="minor"/>
          </rPr>
          <t>======
ID#AAABjx7qNXI
    (2025-05-21 11:33:23)
1112 chloe:4U機箱案子使用</t>
        </r>
      </text>
    </comment>
    <comment ref="K77" authorId="0" shapeId="0" xr:uid="{0BA99683-C054-FB44-B7F5-FBE0CC71D474}">
      <text>
        <r>
          <rPr>
            <sz val="10"/>
            <color rgb="FF000000"/>
            <rFont val="Aptos Narrow"/>
            <scheme val="minor"/>
          </rPr>
          <t>======
ID#AAABjx7qU4M
    (2025-05-21 11:33:26)
EX : 2018 ...剩多少 PCS
20181231 止  剩 90 PCS</t>
        </r>
      </text>
    </comment>
    <comment ref="U77" authorId="0" shapeId="0" xr:uid="{EA28269F-BCB4-4E4E-9752-DD9FAEC46D30}">
      <text>
        <r>
          <rPr>
            <sz val="10"/>
            <color rgb="FF000000"/>
            <rFont val="Aptos Narrow"/>
            <scheme val="minor"/>
          </rPr>
          <t>======
ID#AAABjx7qVjw
    (2025-05-21 11:33:27)
100 pcs
單價 40</t>
        </r>
      </text>
    </comment>
    <comment ref="V77" authorId="0" shapeId="0" xr:uid="{81483D3D-AD26-F442-B6F3-820CDC37C8DA}">
      <text>
        <r>
          <rPr>
            <sz val="10"/>
            <color rgb="FF000000"/>
            <rFont val="Aptos Narrow"/>
            <scheme val="minor"/>
          </rPr>
          <t>======
ID#AAABj82dpPE
    (2025-05-21 11:33:23)
交易3次</t>
        </r>
      </text>
    </comment>
    <comment ref="Z77" authorId="0" shapeId="0" xr:uid="{468D2DA3-3DB3-8F4A-A5AE-CEDAE39A65E3}">
      <text>
        <r>
          <rPr>
            <sz val="10"/>
            <color rgb="FF000000"/>
            <rFont val="Aptos Narrow"/>
            <scheme val="minor"/>
          </rPr>
          <t>======
ID#AAABjx7qS5I
    (2025-05-21 11:33:26)
發票已給會計</t>
        </r>
      </text>
    </comment>
    <comment ref="H78" authorId="0" shapeId="0" xr:uid="{75FC56FC-F948-C94B-AD7E-99175ACCE778}">
      <text>
        <r>
          <rPr>
            <sz val="10"/>
            <color rgb="FF000000"/>
            <rFont val="Aptos Narrow"/>
            <scheme val="minor"/>
          </rPr>
          <t>======
ID#AAABjx7qTpk
    (2025-05-21 11:33:26)
0306 chloe:匯款匯入US$14480.6(含20190119A RG58 cable Sample)</t>
        </r>
      </text>
    </comment>
    <comment ref="K78" authorId="0" shapeId="0" xr:uid="{694887A1-7F91-C044-8585-65D5FDD5ADAB}">
      <text>
        <r>
          <rPr>
            <sz val="10"/>
            <color rgb="FF000000"/>
            <rFont val="Aptos Narrow"/>
            <scheme val="minor"/>
          </rPr>
          <t>======
ID#AAABjx7qPkE
    (2025-05-21 11:33:24)
Vecow 年底前交貨, 收到超恩貨+2-3 days出貨Ti2</t>
        </r>
      </text>
    </comment>
    <comment ref="M78" authorId="0" shapeId="0" xr:uid="{9B8C0D52-4FA0-6B49-BF27-862E4755A6D9}">
      <text>
        <r>
          <rPr>
            <sz val="10"/>
            <color rgb="FF000000"/>
            <rFont val="Aptos Narrow"/>
            <scheme val="minor"/>
          </rPr>
          <t>======
ID#AAABjx7qVwg
    (2025-05-21 11:33:27)
1/7 廠商確認交期 
9/26 Cindy:Intel 年底交貨</t>
        </r>
      </text>
    </comment>
    <comment ref="H79" authorId="0" shapeId="0" xr:uid="{8BB0CA85-3DFF-4340-939B-94780AF3F23D}">
      <text>
        <r>
          <rPr>
            <sz val="10"/>
            <color rgb="FF000000"/>
            <rFont val="Aptos Narrow"/>
            <scheme val="minor"/>
          </rPr>
          <t>======
ID#AAABjx7qVqM
    (2025-05-21 11:33:27)
0306 chloe:匯款匯入US$14480.6(含20190119A RG58 cable Sample)</t>
        </r>
      </text>
    </comment>
    <comment ref="K79" authorId="0" shapeId="0" xr:uid="{85D81DF3-9344-6740-94C7-3BD9A3E29EEF}">
      <text>
        <r>
          <rPr>
            <sz val="10"/>
            <color rgb="FF000000"/>
            <rFont val="Aptos Narrow"/>
            <scheme val="minor"/>
          </rPr>
          <t>======
ID#AAABjx7qPvQ
    (2025-05-21 11:33:24)
Vecow 年底前交貨, 收到超恩貨+2-3 days出貨Ti2</t>
        </r>
      </text>
    </comment>
    <comment ref="M79" authorId="0" shapeId="0" xr:uid="{9232CF39-99B6-474D-9EFE-49A42C8FC013}">
      <text>
        <r>
          <rPr>
            <sz val="10"/>
            <color rgb="FF000000"/>
            <rFont val="Aptos Narrow"/>
            <scheme val="minor"/>
          </rPr>
          <t>======
ID#AAABjx7qRvI
    (2025-05-21 11:33:25)
1/7 廠商確認交期 
9/26 Cindy:Intel 年底交貨</t>
        </r>
      </text>
    </comment>
    <comment ref="H80" authorId="0" shapeId="0" xr:uid="{E488C6D5-B899-554F-B4FD-867DD79DB9EB}">
      <text>
        <r>
          <rPr>
            <sz val="10"/>
            <color rgb="FF000000"/>
            <rFont val="Aptos Narrow"/>
            <scheme val="minor"/>
          </rPr>
          <t>======
ID#AAABjx7qQ7A
    (2025-05-21 11:33:25)
0306 chloe:匯款匯入US$14480.6(含20190119A RG58 cable Sample)</t>
        </r>
      </text>
    </comment>
    <comment ref="K80" authorId="0" shapeId="0" xr:uid="{9577E600-EBA9-EC4C-ACF1-ED01F10A0216}">
      <text>
        <r>
          <rPr>
            <sz val="10"/>
            <color rgb="FF000000"/>
            <rFont val="Aptos Narrow"/>
            <scheme val="minor"/>
          </rPr>
          <t>======
ID#AAABjx7qR7A
    (2025-05-21 11:33:25)
Vecow 年底前交貨, 收到超恩貨+2-3 days出貨Ti2</t>
        </r>
      </text>
    </comment>
    <comment ref="M80" authorId="0" shapeId="0" xr:uid="{22779634-E6E1-184D-B949-568789703276}">
      <text>
        <r>
          <rPr>
            <sz val="10"/>
            <color rgb="FF000000"/>
            <rFont val="Aptos Narrow"/>
            <scheme val="minor"/>
          </rPr>
          <t>======
ID#AAABj82dpLo
    (2025-05-21 11:33:23)
1/7 廠商確認交期 
9/26 Cindy:Intel 年底交貨</t>
        </r>
      </text>
    </comment>
    <comment ref="M81" authorId="0" shapeId="0" xr:uid="{B0B6A180-02E4-1847-88CB-8AADDE347EF1}">
      <text>
        <r>
          <rPr>
            <sz val="10"/>
            <color rgb="FF000000"/>
            <rFont val="Aptos Narrow"/>
            <scheme val="minor"/>
          </rPr>
          <t>======
ID#AAABjx7qWQA
    (2025-05-21 11:33:27)
1108 chloe:詢問過大PM (Santiago) 告知暫Hold</t>
        </r>
      </text>
    </comment>
    <comment ref="M82" authorId="0" shapeId="0" xr:uid="{93DC6FC6-3A32-4C4E-AD1C-C90ED7BBC5F1}">
      <text>
        <r>
          <rPr>
            <sz val="10"/>
            <color rgb="FF000000"/>
            <rFont val="Aptos Narrow"/>
            <scheme val="minor"/>
          </rPr>
          <t>======
ID#AAABjx7qNyQ
    (2025-05-21 11:33:23)
1108 chloe:詢問過大PM (Santiago) 告知暫Hold</t>
        </r>
      </text>
    </comment>
    <comment ref="M83" authorId="0" shapeId="0" xr:uid="{10B0DD30-8B83-4345-ACF5-BAD0C912C988}">
      <text>
        <r>
          <rPr>
            <sz val="10"/>
            <color rgb="FF000000"/>
            <rFont val="Aptos Narrow"/>
            <scheme val="minor"/>
          </rPr>
          <t>======
ID#AAABjx7qWVI
    (2025-05-21 11:33:27)
1108 chloe:詢問過大PM (Santiago) 告知暫Hold</t>
        </r>
      </text>
    </comment>
    <comment ref="M84" authorId="0" shapeId="0" xr:uid="{37EEC6BB-BDED-124A-B389-5327340E89A7}">
      <text>
        <r>
          <rPr>
            <sz val="10"/>
            <color rgb="FF000000"/>
            <rFont val="Aptos Narrow"/>
            <scheme val="minor"/>
          </rPr>
          <t>======
ID#AAABjx7qRdc
    (2025-05-21 11:33:25)
1108 chloe:詢問過大PM (Santiago) 告知暫Hold</t>
        </r>
      </text>
    </comment>
    <comment ref="H85" authorId="0" shapeId="0" xr:uid="{54223CAE-9A48-8A4E-99C7-95B9CEFC704C}">
      <text>
        <r>
          <rPr>
            <sz val="10"/>
            <color rgb="FF000000"/>
            <rFont val="Aptos Narrow"/>
            <scheme val="minor"/>
          </rPr>
          <t>======
ID#AAABjx7qSkE
    (2025-05-21 11:33:26)
ALICE:2019/05/02-水單匯入USD21462.5</t>
        </r>
      </text>
    </comment>
    <comment ref="K85" authorId="0" shapeId="0" xr:uid="{9AEE93EC-E037-6446-AB5D-9AD1704541A0}">
      <text>
        <r>
          <rPr>
            <sz val="10"/>
            <color rgb="FF000000"/>
            <rFont val="Aptos Narrow"/>
            <scheme val="minor"/>
          </rPr>
          <t>======
ID#AAABjx7qWJ0
    (2025-05-21 11:33:27)
1120Amy: Vecow 年底前交貨, 收到超恩貨+2-3 days出貨Ti2</t>
        </r>
      </text>
    </comment>
    <comment ref="M85" authorId="0" shapeId="0" xr:uid="{CABB63B6-8EDB-9C41-A6BF-B8178A52DA91}">
      <text>
        <r>
          <rPr>
            <sz val="10"/>
            <color rgb="FF000000"/>
            <rFont val="Aptos Narrow"/>
            <scheme val="minor"/>
          </rPr>
          <t>======
ID#AAABjx7qSwc
    (2025-05-21 11:33:26)
1114 chloe
6 PCS 在Chloe 手上
1126 Cindy: 機車快遞寄超恩20pcs</t>
        </r>
      </text>
    </comment>
    <comment ref="AK85" authorId="0" shapeId="0" xr:uid="{E4AC8F49-ED9C-654B-865F-65B76A672DCC}">
      <text>
        <r>
          <rPr>
            <sz val="10"/>
            <color rgb="FF000000"/>
            <rFont val="Aptos Narrow"/>
            <scheme val="minor"/>
          </rPr>
          <t>======
ID#AAABjx7qTFY
    (2025-05-21 11:33:26)
ALICE:2019/05/02-水單匯入USD21462.5-(匯出手續費USD10+匯入手續費USD10.73)=USD21441.77*30.84=NT661264</t>
        </r>
      </text>
    </comment>
    <comment ref="AL85" authorId="0" shapeId="0" xr:uid="{A1F69256-97E5-2049-B675-D3A55CD4CEF5}">
      <text>
        <r>
          <rPr>
            <sz val="10"/>
            <color rgb="FF000000"/>
            <rFont val="Aptos Narrow"/>
            <scheme val="minor"/>
          </rPr>
          <t>======
ID#AAABjx7qPP0
    (2025-05-21 11:33:24)
ALICE:2019/05/02-水單匯入USD21462.5-(匯出手續費USD10+匯入手續費USD10.73)=USD21441.77*30.84=NT661264</t>
        </r>
      </text>
    </comment>
    <comment ref="H86" authorId="0" shapeId="0" xr:uid="{8E704A04-DB81-554F-A863-3D78DEFEE975}">
      <text>
        <r>
          <rPr>
            <sz val="10"/>
            <color rgb="FF000000"/>
            <rFont val="Aptos Narrow"/>
            <scheme val="minor"/>
          </rPr>
          <t>======
ID#AAABjx7qQXY
    (2025-05-21 11:33:25)
ALICE:2019/05/02-水單匯入USD21462.5</t>
        </r>
      </text>
    </comment>
    <comment ref="K86" authorId="0" shapeId="0" xr:uid="{F92C4F49-02F4-1349-ABF0-8EC145A3B8FF}">
      <text>
        <r>
          <rPr>
            <sz val="10"/>
            <color rgb="FF000000"/>
            <rFont val="Aptos Narrow"/>
            <scheme val="minor"/>
          </rPr>
          <t>======
ID#AAABjx7qRGM
    (2025-05-21 11:33:25)
0311 Cathy: 生管告知Q18A525005*1PCS 無法開機。廠商取回處理
1120Amy: Vecow 年底前交貨, 收到超恩貨+2-3 days出貨Ti2</t>
        </r>
      </text>
    </comment>
    <comment ref="M86" authorId="0" shapeId="0" xr:uid="{BB17CD14-794B-504B-9A6F-F617EB146584}">
      <text>
        <r>
          <rPr>
            <sz val="10"/>
            <color rgb="FF000000"/>
            <rFont val="Aptos Narrow"/>
            <scheme val="minor"/>
          </rPr>
          <t>======
ID#AAABjx7qOt0
    (2025-05-21 11:33:24)
0119 Cathy:缺主板+CPU
9/26 Cindy:Intel 年底交貨</t>
        </r>
      </text>
    </comment>
    <comment ref="AK86" authorId="0" shapeId="0" xr:uid="{332747CB-F1BD-E14C-97F8-44F5B33FB704}">
      <text>
        <r>
          <rPr>
            <sz val="10"/>
            <color rgb="FF000000"/>
            <rFont val="Aptos Narrow"/>
            <scheme val="minor"/>
          </rPr>
          <t>======
ID#AAABjx7qONc
    (2025-05-21 11:33:24)
ALICE:2019/05/02-水單匯入USD21462.5-(匯出手續費USD10+匯入手續費USD10.73)=USD21441.77*30.84=NT661264</t>
        </r>
      </text>
    </comment>
    <comment ref="AL86" authorId="0" shapeId="0" xr:uid="{5BDC9B3B-5BA7-D541-A3EC-91EF5E169F70}">
      <text>
        <r>
          <rPr>
            <sz val="10"/>
            <color rgb="FF000000"/>
            <rFont val="Aptos Narrow"/>
            <scheme val="minor"/>
          </rPr>
          <t>======
ID#AAABjx7qOLE
    (2025-05-21 11:33:24)
ALICE:2019/05/02-水單匯入USD21462.5-(匯出手續費USD10+匯入手續費USD10.73)=USD21441.77*30.84=NT661264</t>
        </r>
      </text>
    </comment>
    <comment ref="H87" authorId="0" shapeId="0" xr:uid="{82011352-4108-0949-8AA0-195CC94126C6}">
      <text>
        <r>
          <rPr>
            <sz val="10"/>
            <color rgb="FF000000"/>
            <rFont val="Aptos Narrow"/>
            <scheme val="minor"/>
          </rPr>
          <t>======
ID#AAABjx7qVsQ
    (2025-05-21 11:33:27)
ALICE:2019/05/02-水單匯入USD21462.5</t>
        </r>
      </text>
    </comment>
    <comment ref="K87" authorId="0" shapeId="0" xr:uid="{A2472B1E-37E8-E446-8D93-D5F13E338340}">
      <text>
        <r>
          <rPr>
            <sz val="10"/>
            <color rgb="FF000000"/>
            <rFont val="Aptos Narrow"/>
            <scheme val="minor"/>
          </rPr>
          <t>======
ID#AAABjx7qTj0
    (2025-05-21 11:33:26)
1120Amy: Vecow 年底前交貨, 收到超恩貨+2-3 days出貨Ti2</t>
        </r>
      </text>
    </comment>
    <comment ref="M87" authorId="0" shapeId="0" xr:uid="{01FC489E-7CE6-AA40-B42C-F7383E15D8FC}">
      <text>
        <r>
          <rPr>
            <sz val="10"/>
            <color rgb="FF000000"/>
            <rFont val="Aptos Narrow"/>
            <scheme val="minor"/>
          </rPr>
          <t>======
ID#AAABjx7qPpE
    (2025-05-21 11:33:24)
0119 Cathy:缺主板+CPU
9/26 Cindy:Intel 年底交貨</t>
        </r>
      </text>
    </comment>
    <comment ref="AK87" authorId="0" shapeId="0" xr:uid="{355B021A-9132-DD41-828D-0B64C245B9BB}">
      <text>
        <r>
          <rPr>
            <sz val="10"/>
            <color rgb="FF000000"/>
            <rFont val="Aptos Narrow"/>
            <scheme val="minor"/>
          </rPr>
          <t>======
ID#AAABjx7qVzU
    (2025-05-21 11:33:27)
ALICE:2019/05/02-水單匯入USD21462.5-(匯出手續費USD10+匯入手續費USD10.73)=USD21441.77*30.84=NT661264</t>
        </r>
      </text>
    </comment>
    <comment ref="AL87" authorId="0" shapeId="0" xr:uid="{7E565CBA-5921-F34A-B341-5842FA8CAA84}">
      <text>
        <r>
          <rPr>
            <sz val="10"/>
            <color rgb="FF000000"/>
            <rFont val="Aptos Narrow"/>
            <scheme val="minor"/>
          </rPr>
          <t>======
ID#AAABjx7qQCk
    (2025-05-21 11:33:25)
ALICE:2019/05/02-水單匯入USD21462.5-(匯出手續費USD10+匯入手續費USD10.73)=USD21441.77*30.84=NT661264</t>
        </r>
      </text>
    </comment>
    <comment ref="H88" authorId="0" shapeId="0" xr:uid="{516E5269-D772-7D49-8C3A-1681A1A7D36A}">
      <text>
        <r>
          <rPr>
            <sz val="10"/>
            <color rgb="FF000000"/>
            <rFont val="Aptos Narrow"/>
            <scheme val="minor"/>
          </rPr>
          <t>======
ID#AAABjx7qNPw
    (2025-05-21 11:33:23)
ALICE:2019/05/02-水單匯入USD21462.5</t>
        </r>
      </text>
    </comment>
    <comment ref="K88" authorId="0" shapeId="0" xr:uid="{063ACFF5-EE88-3E45-BD6A-110A6146F65B}">
      <text>
        <r>
          <rPr>
            <sz val="10"/>
            <color rgb="FF000000"/>
            <rFont val="Aptos Narrow"/>
            <scheme val="minor"/>
          </rPr>
          <t>======
ID#AAABjx7qOlQ
    (2025-05-21 11:33:24)
1120Amy: Vecow 年底前交貨, 收到超恩貨+2-3 days出貨Ti2</t>
        </r>
      </text>
    </comment>
    <comment ref="M88" authorId="0" shapeId="0" xr:uid="{C7AD7FD5-71F3-EA44-A360-BE930675AF52}">
      <text>
        <r>
          <rPr>
            <sz val="10"/>
            <color rgb="FF000000"/>
            <rFont val="Aptos Narrow"/>
            <scheme val="minor"/>
          </rPr>
          <t>======
ID#AAABjx7qVUI
    (2025-05-21 11:33:27)
0119 Cathy:缺主板+CPU
9/26 Cindy:Intel 年底交貨</t>
        </r>
      </text>
    </comment>
    <comment ref="AK88" authorId="0" shapeId="0" xr:uid="{FF605AA1-2857-8646-B7A6-1C703928AD08}">
      <text>
        <r>
          <rPr>
            <sz val="10"/>
            <color rgb="FF000000"/>
            <rFont val="Aptos Narrow"/>
            <scheme val="minor"/>
          </rPr>
          <t>======
ID#AAABjx7qV-M
    (2025-05-21 11:33:27)
ALICE:2019/05/02-水單匯入USD21462.5-(匯出手續費USD10+匯入手續費USD10.73)=USD21441.77*30.84=NT661264</t>
        </r>
      </text>
    </comment>
    <comment ref="AL88" authorId="0" shapeId="0" xr:uid="{04E765A2-7625-DE45-8362-5879DFE065E3}">
      <text>
        <r>
          <rPr>
            <sz val="10"/>
            <color rgb="FF000000"/>
            <rFont val="Aptos Narrow"/>
            <scheme val="minor"/>
          </rPr>
          <t>======
ID#AAABjx7qSnY
    (2025-05-21 11:33:26)
ALICE:2019/05/02-水單匯入USD21462.5-(匯出手續費USD10+匯入手續費USD10.73)=USD21441.77*30.84=NT661264</t>
        </r>
      </text>
    </comment>
    <comment ref="H89" authorId="0" shapeId="0" xr:uid="{A2AE24A2-72A9-9C47-89A1-DB9AE02BF40A}">
      <text>
        <r>
          <rPr>
            <sz val="10"/>
            <color rgb="FF000000"/>
            <rFont val="Aptos Narrow"/>
            <scheme val="minor"/>
          </rPr>
          <t>======
ID#AAABjx7qWTo
    (2025-05-21 11:33:27)
alice:2019/05/17水單通知USD19768沖3/4A $1995.3/4A-1$4152.3/4A-1-F $232.3/8B-F $57.12/21A-2-F $144.3/4A-1 $189.10/22C-2 $10227.12/21A-1 $2772.如上總計共USD19768</t>
        </r>
      </text>
    </comment>
    <comment ref="K89" authorId="0" shapeId="0" xr:uid="{6DE13D25-1F87-374C-AFB2-7BE6F3C82BFD}">
      <text>
        <r>
          <rPr>
            <sz val="10"/>
            <color rgb="FF000000"/>
            <rFont val="Aptos Narrow"/>
            <scheme val="minor"/>
          </rPr>
          <t>======
ID#AAABjx7qOXE
    (2025-05-21 11:33:24)
1120Amy: Vecow 年底前交貨, 收到超恩貨+2-3 days出貨Ti2</t>
        </r>
      </text>
    </comment>
    <comment ref="M89" authorId="0" shapeId="0" xr:uid="{EFE27AF9-E617-864F-8039-4908C8043649}">
      <text>
        <r>
          <rPr>
            <sz val="10"/>
            <color rgb="FF000000"/>
            <rFont val="Aptos Narrow"/>
            <scheme val="minor"/>
          </rPr>
          <t>======
ID#AAABjx7qPKk
    (2025-05-21 11:33:24)
1114 chloe
6 PCS 在Chloe 手上
1126 Cindy: 機車快遞寄超恩20pcs</t>
        </r>
      </text>
    </comment>
    <comment ref="U89" authorId="0" shapeId="0" xr:uid="{5645AA4F-C1A5-E946-A698-A8D8D88C5489}">
      <text>
        <r>
          <rPr>
            <sz val="10"/>
            <color rgb="FF000000"/>
            <rFont val="Aptos Narrow"/>
            <scheme val="minor"/>
          </rPr>
          <t>======
ID#AAABjx7qSqU
    (2025-05-21 11:33:26)
同P10</t>
        </r>
      </text>
    </comment>
    <comment ref="H90" authorId="0" shapeId="0" xr:uid="{A0F9A9BB-F011-684F-8B2D-9600FD2C7547}">
      <text>
        <r>
          <rPr>
            <sz val="10"/>
            <color rgb="FF000000"/>
            <rFont val="Aptos Narrow"/>
            <scheme val="minor"/>
          </rPr>
          <t>======
ID#AAABjx7qTlo
    (2025-05-21 11:33:26)
alice:2019/05/17水單通知USD19768沖3/4A $1995.3/4A-1$4152.3/4A-1-F $232.3/8B-F $57.12/21A-2-F $144.3/4A-1 $189.10/22C-2 $10227.12/21A-1 $2772.如上總計共USD19768</t>
        </r>
      </text>
    </comment>
    <comment ref="K90" authorId="0" shapeId="0" xr:uid="{BD27168E-5985-0C4E-B824-FD2A41080160}">
      <text>
        <r>
          <rPr>
            <sz val="10"/>
            <color rgb="FF000000"/>
            <rFont val="Aptos Narrow"/>
            <scheme val="minor"/>
          </rPr>
          <t>======
ID#AAABjx7qPSk
    (2025-05-21 11:33:24)
1120Amy: Vecow 年底前交貨, 收到超恩貨+2-3 days出貨Ti2</t>
        </r>
      </text>
    </comment>
    <comment ref="M90" authorId="0" shapeId="0" xr:uid="{40E05E78-6382-784D-8BDD-BF7CC7612541}">
      <text>
        <r>
          <rPr>
            <sz val="10"/>
            <color rgb="FF000000"/>
            <rFont val="Aptos Narrow"/>
            <scheme val="minor"/>
          </rPr>
          <t>======
ID#AAABjx7qWQs
    (2025-05-21 11:33:27)
0325 Cathy:廠商告知確定交期,已請他們協助提前
0119 Cathy:缺主板+CPU
9/26 Cindy:Intel 年底交貨</t>
        </r>
      </text>
    </comment>
    <comment ref="H91" authorId="0" shapeId="0" xr:uid="{1F20BFF2-5E2D-494F-B816-9CDC896C5ABB}">
      <text>
        <r>
          <rPr>
            <sz val="10"/>
            <color rgb="FF000000"/>
            <rFont val="Aptos Narrow"/>
            <scheme val="minor"/>
          </rPr>
          <t>======
ID#AAABjx7qQtY
    (2025-05-21 11:33:25)
alice:2019/05/17水單通知USD19768沖3/4A $1995.3/4A-1$4152.3/4A-1-F $232.3/8B-F $57.12/21A-2-F $144.3/4A-1 $189.10/22C-2 $10227.12/21A-1 $2772.如上總計共USD19768</t>
        </r>
      </text>
    </comment>
    <comment ref="K91" authorId="0" shapeId="0" xr:uid="{45ABE7C7-8A6D-7740-BEAE-96B4B0E2A13F}">
      <text>
        <r>
          <rPr>
            <sz val="10"/>
            <color rgb="FF000000"/>
            <rFont val="Aptos Narrow"/>
            <scheme val="minor"/>
          </rPr>
          <t>======
ID#AAABjx7qTqY
    (2025-05-21 11:33:26)
1120Amy: Vecow 年底前交貨, 收到超恩貨+2-3 days出貨Ti2</t>
        </r>
      </text>
    </comment>
    <comment ref="M91" authorId="0" shapeId="0" xr:uid="{85D82C03-F48F-3945-BB5B-F98FF12A550A}">
      <text>
        <r>
          <rPr>
            <sz val="10"/>
            <color rgb="FF000000"/>
            <rFont val="Aptos Narrow"/>
            <scheme val="minor"/>
          </rPr>
          <t>======
ID#AAABjx7qVY8
    (2025-05-21 11:33:27)
0325 Cathy:廠商告知確定交期,已請他們協助提前
0119 Cathy:缺主板+CPU
9/26 Cindy:Intel 年底交貨</t>
        </r>
      </text>
    </comment>
    <comment ref="H92" authorId="0" shapeId="0" xr:uid="{825C8C3A-6D4B-D74C-AF8E-C1822FC01E43}">
      <text>
        <r>
          <rPr>
            <sz val="10"/>
            <color rgb="FF000000"/>
            <rFont val="Aptos Narrow"/>
            <scheme val="minor"/>
          </rPr>
          <t>======
ID#AAABjx7qPhw
    (2025-05-21 11:33:24)
alice:2019/05/17水單通知USD19768沖3/4A $1995.3/4A-1$4152.3/4A-1-F $232.3/8B-F $57.12/21A-2-F $144.3/4A-1 $189.10/22C-2 $10227.12/21A-1 $2772.如上總計共USD19768</t>
        </r>
      </text>
    </comment>
    <comment ref="K92" authorId="0" shapeId="0" xr:uid="{F29EC192-2B04-5C4A-A9E6-C00420E6B6FE}">
      <text>
        <r>
          <rPr>
            <sz val="10"/>
            <color rgb="FF000000"/>
            <rFont val="Aptos Narrow"/>
            <scheme val="minor"/>
          </rPr>
          <t>======
ID#AAABjx7qOos
    (2025-05-21 11:33:24)
1120Amy: Vecow 年底前交貨, 收到超恩貨+2-3 days出貨Ti2</t>
        </r>
      </text>
    </comment>
    <comment ref="M92" authorId="0" shapeId="0" xr:uid="{8385DC6C-234E-1441-AB92-2C4CD2E43BB7}">
      <text>
        <r>
          <rPr>
            <sz val="10"/>
            <color rgb="FF000000"/>
            <rFont val="Aptos Narrow"/>
            <scheme val="minor"/>
          </rPr>
          <t>======
ID#AAABjx7qV44
    (2025-05-21 11:33:27)
0325 Cathy:廠商告知確定交期,已請他們協助提前
0119 Cathy:缺主板+CPU
9/26 Cindy:Intel 年底交貨</t>
        </r>
      </text>
    </comment>
    <comment ref="H93" authorId="0" shapeId="0" xr:uid="{4B8408E6-9E74-3948-8C72-CBED8BD4CFB5}">
      <text>
        <r>
          <rPr>
            <sz val="10"/>
            <color rgb="FF000000"/>
            <rFont val="Aptos Narrow"/>
            <scheme val="minor"/>
          </rPr>
          <t>======
ID#AAABjx7qRyQ
    (2025-05-21 11:33:25)
0212 Mary:匯款匯入US$14,150</t>
        </r>
      </text>
    </comment>
    <comment ref="K93" authorId="0" shapeId="0" xr:uid="{127D7E85-814F-FC43-9B57-86DF35FA8368}">
      <text>
        <r>
          <rPr>
            <sz val="10"/>
            <color rgb="FF000000"/>
            <rFont val="Aptos Narrow"/>
            <scheme val="minor"/>
          </rPr>
          <t>======
ID#AAABjx7qP8g
    (2025-05-21 11:33:24)
0117 改走TNT, 請沛勁由機場取回戎克
0111Cathy: 因電池需申報，目前拉下放於Forwarder，帶IBASE 提供電池相關文件</t>
        </r>
      </text>
    </comment>
    <comment ref="AK93" authorId="0" shapeId="0" xr:uid="{73101D57-E8C4-444E-BB48-79CCD222E9B8}">
      <text>
        <r>
          <rPr>
            <sz val="10"/>
            <color rgb="FF000000"/>
            <rFont val="Aptos Narrow"/>
            <scheme val="minor"/>
          </rPr>
          <t>======
ID#AAABjx7qVvs
    (2025-05-21 11:33:27)
alice:PI-20181026B成交總額USD13350，PI-20181212C成交總額USD800，上述兩筆訂單總計USD14150元整，2019/02/12水單匯入UAD14150*30.76=NT435,254元整(全額到付)</t>
        </r>
      </text>
    </comment>
    <comment ref="AL93" authorId="0" shapeId="0" xr:uid="{365C0F56-A69D-AB47-AA24-551E07109EA5}">
      <text>
        <r>
          <rPr>
            <sz val="10"/>
            <color rgb="FF000000"/>
            <rFont val="Aptos Narrow"/>
            <scheme val="minor"/>
          </rPr>
          <t>======
ID#AAABjx7qVcE
    (2025-05-21 11:33:27)
alice:PI-20181026B成交總額USD13350，PI-20181212C成交總額USD800，上述兩筆訂單總計USD14150元整，2019/02/12水單匯入UAD14150*30.76=NT435,254元整(全額到付)</t>
        </r>
      </text>
    </comment>
    <comment ref="G94" authorId="0" shapeId="0" xr:uid="{7709BC3D-DB14-7B44-B12D-23A7A1C55939}">
      <text>
        <r>
          <rPr>
            <sz val="10"/>
            <color rgb="FF000000"/>
            <rFont val="Aptos Narrow"/>
            <scheme val="minor"/>
          </rPr>
          <t>======
ID#AAABjx7qORY
    (2025-05-21 11:33:24)
180221 Tammy: project price for over 50pcs/lot</t>
        </r>
      </text>
    </comment>
    <comment ref="H94" authorId="0" shapeId="0" xr:uid="{B7E3C809-7A66-394B-9F70-7E18E958DFEA}">
      <text>
        <r>
          <rPr>
            <sz val="10"/>
            <color rgb="FF000000"/>
            <rFont val="Aptos Narrow"/>
            <scheme val="minor"/>
          </rPr>
          <t>======
ID#AAABjx7qVRA
    (2025-05-21 11:33:27)
0212 Mary:匯款匯入US$14,150</t>
        </r>
      </text>
    </comment>
    <comment ref="K94" authorId="0" shapeId="0" xr:uid="{FC8DAF0E-FF02-7244-A378-8539D1991A51}">
      <text>
        <r>
          <rPr>
            <sz val="10"/>
            <color rgb="FF000000"/>
            <rFont val="Aptos Narrow"/>
            <scheme val="minor"/>
          </rPr>
          <t>======
ID#AAABjx7qTr4
    (2025-05-21 11:33:26)
0117 改走TNT, 請沛勁由機場取回戎克
0111Cathy: 因電池需申報，目前拉下放於Forwarder，帶IBASE 提供電池相關文件</t>
        </r>
      </text>
    </comment>
    <comment ref="X94" authorId="0" shapeId="0" xr:uid="{6CF504DA-97A2-3F44-B1DB-811C33DD1CE6}">
      <text>
        <r>
          <rPr>
            <sz val="10"/>
            <color rgb="FF000000"/>
            <rFont val="Aptos Narrow"/>
            <scheme val="minor"/>
          </rPr>
          <t>======
ID#AAABjx7qM-s
    (2025-05-21 11:33:23)
廣積3月開立折讓單</t>
        </r>
      </text>
    </comment>
    <comment ref="F95" authorId="0" shapeId="0" xr:uid="{A649BE31-9B9B-884D-BB09-F43421E6E52D}">
      <text>
        <r>
          <rPr>
            <sz val="10"/>
            <color rgb="FF000000"/>
            <rFont val="Aptos Narrow"/>
            <scheme val="minor"/>
          </rPr>
          <t>======
ID#AAABjx7qNnE
    (2025-05-21 11:33:23)
1/14原通知TI2MOQ數量是100PC, NEXT TIME WILL BE 300 PCS</t>
        </r>
      </text>
    </comment>
    <comment ref="H95" authorId="0" shapeId="0" xr:uid="{001A937F-2602-884F-B024-84245980221E}">
      <text>
        <r>
          <rPr>
            <sz val="10"/>
            <color rgb="FF000000"/>
            <rFont val="Aptos Narrow"/>
            <scheme val="minor"/>
          </rPr>
          <t>======
ID#AAABj82dpNw
    (2025-05-21 11:33:23)
0213 Mary:匯款匯入US$11,250
12/25 Amy: MOQ Charage TI2 first, will retabe $2000 once shipping qty reach 100pcs</t>
        </r>
      </text>
    </comment>
    <comment ref="K95" authorId="0" shapeId="0" xr:uid="{8A001659-55DA-F941-A0BC-629AF584EC32}">
      <text>
        <r>
          <rPr>
            <sz val="10"/>
            <color rgb="FF000000"/>
            <rFont val="Aptos Narrow"/>
            <scheme val="minor"/>
          </rPr>
          <t>======
ID#AAABjx7qOgA
    (2025-05-21 11:33:24)
Invoice已先給會計</t>
        </r>
      </text>
    </comment>
    <comment ref="M95" authorId="0" shapeId="0" xr:uid="{AA4802BE-55DA-9545-96EA-0C7E72217DC0}">
      <text>
        <r>
          <rPr>
            <sz val="10"/>
            <color rgb="FF000000"/>
            <rFont val="Aptos Narrow"/>
            <scheme val="minor"/>
          </rPr>
          <t>======
ID#AAABjx7qNxo
    (2025-05-21 11:33:23)
0104:Pull in 中
0115 chloe: Hold中，待PM告知後續</t>
        </r>
      </text>
    </comment>
    <comment ref="AK95" authorId="0" shapeId="0" xr:uid="{E66433BB-F105-B541-A72D-A7ABA845FD72}">
      <text>
        <r>
          <rPr>
            <sz val="10"/>
            <color rgb="FF000000"/>
            <rFont val="Aptos Narrow"/>
            <scheme val="minor"/>
          </rPr>
          <t>======
ID#AAABjx7qUwI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AL95" authorId="0" shapeId="0" xr:uid="{5AD5F16B-557A-5045-BD28-615FF3BE830C}">
      <text>
        <r>
          <rPr>
            <sz val="10"/>
            <color rgb="FF000000"/>
            <rFont val="Aptos Narrow"/>
            <scheme val="minor"/>
          </rPr>
          <t>======
ID#AAABjx7qPD0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H96" authorId="0" shapeId="0" xr:uid="{713CD2F7-54A5-DC44-A545-B2C968C212CE}">
      <text>
        <r>
          <rPr>
            <sz val="10"/>
            <color rgb="FF000000"/>
            <rFont val="Aptos Narrow"/>
            <scheme val="minor"/>
          </rPr>
          <t>======
ID#AAABjx7qRIQ
    (2025-05-21 11:33:25)
1227 chloe:匯款匯入US$53334</t>
        </r>
      </text>
    </comment>
    <comment ref="H97" authorId="0" shapeId="0" xr:uid="{C07CAE76-1DD5-7B4B-96BD-C0B748CE9F44}">
      <text>
        <r>
          <rPr>
            <sz val="10"/>
            <color rgb="FF000000"/>
            <rFont val="Aptos Narrow"/>
            <scheme val="minor"/>
          </rPr>
          <t>======
ID#AAABjx7qTEE
    (2025-05-21 11:33:26)
1227 chloe:匯款匯入US$53334</t>
        </r>
      </text>
    </comment>
    <comment ref="H98" authorId="0" shapeId="0" xr:uid="{2A0992B2-8C7A-1C43-9C58-0D340E395940}">
      <text>
        <r>
          <rPr>
            <sz val="10"/>
            <color rgb="FF000000"/>
            <rFont val="Aptos Narrow"/>
            <scheme val="minor"/>
          </rPr>
          <t>======
ID#AAABjx7qPTU
    (2025-05-21 11:33:24)
1227 chloe:匯款匯入US$53334</t>
        </r>
      </text>
    </comment>
    <comment ref="H99" authorId="0" shapeId="0" xr:uid="{0244F14A-F282-884E-BB68-C34979EF8A1B}">
      <text>
        <r>
          <rPr>
            <sz val="10"/>
            <color rgb="FF000000"/>
            <rFont val="Aptos Narrow"/>
            <scheme val="minor"/>
          </rPr>
          <t>======
ID#AAABjx7qQYU
    (2025-05-21 11:33:25)
0128 Mary: 匯款匯入 US$11,920</t>
        </r>
      </text>
    </comment>
    <comment ref="H100" authorId="0" shapeId="0" xr:uid="{28B879B3-7035-B04C-90F9-BAA6D907EBFC}">
      <text>
        <r>
          <rPr>
            <sz val="10"/>
            <color rgb="FF000000"/>
            <rFont val="Aptos Narrow"/>
            <scheme val="minor"/>
          </rPr>
          <t>======
ID#AAABjx7qSMc
    (2025-05-21 11:33:26)
0128 Mary: 匯款匯入 US$11,920(同H25)</t>
        </r>
      </text>
    </comment>
    <comment ref="H101" authorId="0" shapeId="0" xr:uid="{31F762A4-CEE7-DD49-9C8E-F560EE6E8AAA}">
      <text>
        <r>
          <rPr>
            <sz val="10"/>
            <color rgb="FF000000"/>
            <rFont val="Aptos Narrow"/>
            <scheme val="minor"/>
          </rPr>
          <t>======
ID#AAABjx7qSUs
    (2025-05-21 11:33:26)
0128 Mary: 匯款匯入 US$11,920(同H25)</t>
        </r>
      </text>
    </comment>
    <comment ref="H102" authorId="0" shapeId="0" xr:uid="{72A91326-07FA-3543-8FB2-CAFBC0585D78}">
      <text>
        <r>
          <rPr>
            <sz val="10"/>
            <color rgb="FF000000"/>
            <rFont val="Aptos Narrow"/>
            <scheme val="minor"/>
          </rPr>
          <t>======
ID#AAABjx7qRRk
    (2025-05-21 11:33:25)
0128 Mary: 匯款匯入 US$11,920(同H25)</t>
        </r>
      </text>
    </comment>
    <comment ref="H103" authorId="0" shapeId="0" xr:uid="{8DA96079-EE9C-B840-A8FB-F9A46F136B23}">
      <text>
        <r>
          <rPr>
            <sz val="10"/>
            <color rgb="FF000000"/>
            <rFont val="Aptos Narrow"/>
            <scheme val="minor"/>
          </rPr>
          <t>======
ID#AAABj82dpGc
    (2025-05-21 11:33:23)
0128 Mary: 匯款匯入 US$11,920(同H25)</t>
        </r>
      </text>
    </comment>
    <comment ref="N103" authorId="0" shapeId="0" xr:uid="{FE81654A-91F4-324B-821D-FA47E0534EBD}">
      <text>
        <r>
          <rPr>
            <sz val="10"/>
            <color rgb="FF000000"/>
            <rFont val="Aptos Narrow"/>
            <scheme val="minor"/>
          </rPr>
          <t>======
ID#AAABjx7qSUc
    (2025-05-21 11:33:26)
20181219 預計12/26到新漢</t>
        </r>
      </text>
    </comment>
    <comment ref="D104" authorId="0" shapeId="0" xr:uid="{B705E6B9-1946-8D41-89FE-309C9FBB36B3}">
      <text>
        <r>
          <rPr>
            <sz val="10"/>
            <color rgb="FF000000"/>
            <rFont val="Aptos Narrow"/>
            <scheme val="minor"/>
          </rPr>
          <t>======
ID#AAABjx7qN2s
    (2025-05-21 11:33:23)
0108 Cathy:1/10進廠後待小葛抽驗</t>
        </r>
      </text>
    </comment>
    <comment ref="H104" authorId="0" shapeId="0" xr:uid="{DE564301-D76A-4B4B-9AFD-B591DF0B561F}">
      <text>
        <r>
          <rPr>
            <sz val="10"/>
            <color rgb="FF000000"/>
            <rFont val="Aptos Narrow"/>
            <scheme val="minor"/>
          </rPr>
          <t>======
ID#AAABjx7qV-I
    (2025-05-21 11:33:27)
0128 Mary: 匯款匯入 US$11,920(同H25)</t>
        </r>
      </text>
    </comment>
    <comment ref="H105" authorId="0" shapeId="0" xr:uid="{F07726B1-2F5D-094F-A9B2-906EF07A8859}">
      <text>
        <r>
          <rPr>
            <sz val="10"/>
            <color rgb="FF000000"/>
            <rFont val="Aptos Narrow"/>
            <scheme val="minor"/>
          </rPr>
          <t>======
ID#AAABjx7qOOQ
    (2025-05-21 11:33:24)
0225 chloe:匯款匯入5948-10(手續費)</t>
        </r>
      </text>
    </comment>
    <comment ref="H106" authorId="0" shapeId="0" xr:uid="{AD32D330-7079-0742-A097-69CFF43137CF}">
      <text>
        <r>
          <rPr>
            <sz val="10"/>
            <color rgb="FF000000"/>
            <rFont val="Aptos Narrow"/>
            <scheme val="minor"/>
          </rPr>
          <t>======
ID#AAABjx7qOuo
    (2025-05-21 11:33:24)
0225 chloe:匯款匯入5948-10(手續費)</t>
        </r>
      </text>
    </comment>
    <comment ref="O106" authorId="0" shapeId="0" xr:uid="{372B6BA9-0E09-D14B-89F6-A1C1A8B83F0D}">
      <text>
        <r>
          <rPr>
            <sz val="10"/>
            <color rgb="FF000000"/>
            <rFont val="Aptos Narrow"/>
            <scheme val="minor"/>
          </rPr>
          <t>======
ID#AAABjx7qTrg
    (2025-05-21 11:33:26)
在此輸入
Cathy: 20181217下PO</t>
        </r>
      </text>
    </comment>
    <comment ref="H107" authorId="0" shapeId="0" xr:uid="{685C2A5B-3249-5244-8B7B-54B3693169F5}">
      <text>
        <r>
          <rPr>
            <sz val="10"/>
            <color rgb="FF000000"/>
            <rFont val="Aptos Narrow"/>
            <scheme val="minor"/>
          </rPr>
          <t>======
ID#AAABjx7qNjs
    (2025-05-21 11:33:23)
0225 chloe:匯款匯入5948-10(手續費)</t>
        </r>
      </text>
    </comment>
    <comment ref="H108" authorId="0" shapeId="0" xr:uid="{8EDF15DA-7E76-774C-B29D-CBFA435F5E29}">
      <text>
        <r>
          <rPr>
            <sz val="10"/>
            <color rgb="FF000000"/>
            <rFont val="Aptos Narrow"/>
            <scheme val="minor"/>
          </rPr>
          <t>======
ID#AAABjx7qPn4
    (2025-05-21 11:33:24)
0225 chloe:匯款匯入5948-10(手續費)</t>
        </r>
      </text>
    </comment>
    <comment ref="M108" authorId="0" shapeId="0" xr:uid="{5A3F4178-1204-BD43-8B6A-CB9761E58F32}">
      <text>
        <r>
          <rPr>
            <sz val="10"/>
            <color rgb="FF000000"/>
            <rFont val="Aptos Narrow"/>
            <scheme val="minor"/>
          </rPr>
          <t>======
ID#AAABjx7qPFU
    (2025-05-21 11:33:24)
1220 Chloe 通知下單(Amy-usd40)
1218 chloe:有疑問，尚未下單</t>
        </r>
      </text>
    </comment>
    <comment ref="D109" authorId="0" shapeId="0" xr:uid="{10E888D9-10E8-8746-A0E6-BFC82FA38107}">
      <text>
        <r>
          <rPr>
            <sz val="10"/>
            <color rgb="FF000000"/>
            <rFont val="Aptos Narrow"/>
            <scheme val="minor"/>
          </rPr>
          <t>======
ID#AAABjx7qN7s
    (2025-05-21 11:33:23)
2019/01/08 Keiju: 已QC
2019/01/08 Cathy: 待小葛驗收</t>
        </r>
      </text>
    </comment>
    <comment ref="H109" authorId="0" shapeId="0" xr:uid="{654B115E-978C-BA48-B7EE-08C7AD9E9816}">
      <text>
        <r>
          <rPr>
            <sz val="10"/>
            <color rgb="FF000000"/>
            <rFont val="Aptos Narrow"/>
            <scheme val="minor"/>
          </rPr>
          <t>======
ID#AAABjx7qVwQ
    (2025-05-21 11:33:27)
0225 chloe:匯款匯入5948-10(手續費)</t>
        </r>
      </text>
    </comment>
    <comment ref="AK109" authorId="0" shapeId="0" xr:uid="{AB0709E7-4704-894E-9007-6D90DA255E02}">
      <text>
        <r>
          <rPr>
            <sz val="10"/>
            <color rgb="FF000000"/>
            <rFont val="Aptos Narrow"/>
            <scheme val="minor"/>
          </rPr>
          <t>======
ID#AAABjx7qNoM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AL109" authorId="0" shapeId="0" xr:uid="{8F531A35-EE50-E146-B56A-68CC7C26BA1C}">
      <text>
        <r>
          <rPr>
            <sz val="10"/>
            <color rgb="FF000000"/>
            <rFont val="Aptos Narrow"/>
            <scheme val="minor"/>
          </rPr>
          <t>======
ID#AAABjx7qR1I
    (2025-05-21 11:33:25)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H110" authorId="0" shapeId="0" xr:uid="{A0117CE8-AAE8-0541-A5A1-176E6E4BBF78}">
      <text>
        <r>
          <rPr>
            <sz val="10"/>
            <color rgb="FF000000"/>
            <rFont val="Aptos Narrow"/>
            <scheme val="minor"/>
          </rPr>
          <t>======
ID#AAABjx7qOlA
    (2025-05-21 11:33:24)
0225 chloe:匯款匯入5948-10(手續費)</t>
        </r>
      </text>
    </comment>
    <comment ref="Z110" authorId="0" shapeId="0" xr:uid="{91D5C2DC-0968-944F-8AE9-4EF8A43F7F02}">
      <text>
        <r>
          <rPr>
            <sz val="10"/>
            <color rgb="FF000000"/>
            <rFont val="Aptos Narrow"/>
            <scheme val="minor"/>
          </rPr>
          <t>======
ID#AAABjx7qQtc
    (2025-05-21 11:33:25)
INVOICE 已開立</t>
        </r>
      </text>
    </comment>
    <comment ref="H111" authorId="0" shapeId="0" xr:uid="{529E3EA3-72D4-2A40-9889-26116FF4D509}">
      <text>
        <r>
          <rPr>
            <sz val="10"/>
            <color rgb="FF000000"/>
            <rFont val="Aptos Narrow"/>
            <scheme val="minor"/>
          </rPr>
          <t>======
ID#AAABjx7qNuA
    (2025-05-21 11:33:23)
0225 chloe:匯款匯入5948-10(手續費)</t>
        </r>
      </text>
    </comment>
    <comment ref="N111" authorId="0" shapeId="0" xr:uid="{5EDECC99-5197-AF49-9EB6-7F5FFEF6E09C}">
      <text>
        <r>
          <rPr>
            <sz val="10"/>
            <color rgb="FF000000"/>
            <rFont val="Aptos Narrow"/>
            <scheme val="minor"/>
          </rPr>
          <t>======
ID#AAABjx7qOzw
    (2025-05-21 11:33:24)
1214 cathy: mail 詢問Quote</t>
        </r>
      </text>
    </comment>
    <comment ref="O111" authorId="0" shapeId="0" xr:uid="{60A5E59E-E3D1-2F4E-8FC9-94A68C3A8EFF}">
      <text>
        <r>
          <rPr>
            <sz val="10"/>
            <color rgb="FF000000"/>
            <rFont val="Aptos Narrow"/>
            <scheme val="minor"/>
          </rPr>
          <t>======
ID#AAABjx7qRwQ
    (2025-05-21 11:33:25)
cathy:20181217下PO
12/18 Support 價格</t>
        </r>
      </text>
    </comment>
    <comment ref="H112" authorId="0" shapeId="0" xr:uid="{3414FEDB-C4BA-D541-8F71-EBAE544BA7FB}">
      <text>
        <r>
          <rPr>
            <sz val="10"/>
            <color rgb="FF000000"/>
            <rFont val="Aptos Narrow"/>
            <scheme val="minor"/>
          </rPr>
          <t>======
ID#AAABjx7qOVo
    (2025-05-21 11:33:24)
0225 chloe:匯款匯入5948-10(手續費)</t>
        </r>
      </text>
    </comment>
    <comment ref="N112" authorId="0" shapeId="0" xr:uid="{CEB74F9B-1385-1B46-AD16-53A80C8B67A7}">
      <text>
        <r>
          <rPr>
            <sz val="10"/>
            <color rgb="FF000000"/>
            <rFont val="Aptos Narrow"/>
            <scheme val="minor"/>
          </rPr>
          <t>======
ID#AAABjx7qThw
    (2025-05-21 11:33:26)
1214 cathy: mail 詢問Quote</t>
        </r>
      </text>
    </comment>
    <comment ref="O112" authorId="0" shapeId="0" xr:uid="{BF7CD37D-285A-4047-92DA-F79562E7A90C}">
      <text>
        <r>
          <rPr>
            <sz val="10"/>
            <color rgb="FF000000"/>
            <rFont val="Aptos Narrow"/>
            <scheme val="minor"/>
          </rPr>
          <t>======
ID#AAABjx7qP5s
    (2025-05-21 11:33:24)
cathy:20181217下PO
12/18 Support 價格</t>
        </r>
      </text>
    </comment>
    <comment ref="H113" authorId="0" shapeId="0" xr:uid="{8289E1F5-0BC9-BC42-AE78-CC308EDF40F0}">
      <text>
        <r>
          <rPr>
            <sz val="10"/>
            <color rgb="FF000000"/>
            <rFont val="Aptos Narrow"/>
            <scheme val="minor"/>
          </rPr>
          <t>======
ID#AAABjx7qQRc
    (2025-05-21 11:33:25)
0225 chloe:匯款匯入5948-10(手續費)</t>
        </r>
      </text>
    </comment>
    <comment ref="N113" authorId="0" shapeId="0" xr:uid="{2D2D551C-E276-2F4D-9958-D1E404C532C6}">
      <text>
        <r>
          <rPr>
            <sz val="10"/>
            <color rgb="FF000000"/>
            <rFont val="Aptos Narrow"/>
            <scheme val="minor"/>
          </rPr>
          <t>======
ID#AAABjx7qPEw
    (2025-05-21 11:33:24)
1214 cathy: mail 詢問Quote</t>
        </r>
      </text>
    </comment>
    <comment ref="O113" authorId="0" shapeId="0" xr:uid="{6C692D29-F6A6-C340-BDD7-6A12D85370BE}">
      <text>
        <r>
          <rPr>
            <sz val="10"/>
            <color rgb="FF000000"/>
            <rFont val="Aptos Narrow"/>
            <scheme val="minor"/>
          </rPr>
          <t>======
ID#AAABjx7qOus
    (2025-05-21 11:33:24)
cathy:20181217下PO
12/18 Support 價格</t>
        </r>
      </text>
    </comment>
    <comment ref="H114" authorId="0" shapeId="0" xr:uid="{7889E5A4-2EBC-FA4F-AF05-456100C21867}">
      <text>
        <r>
          <rPr>
            <sz val="10"/>
            <color rgb="FF000000"/>
            <rFont val="Aptos Narrow"/>
            <scheme val="minor"/>
          </rPr>
          <t>======
ID#AAABjx7qSSI
    (2025-05-21 11:33:26)
0225 chloe:匯款匯入5948-10(手續費)</t>
        </r>
      </text>
    </comment>
    <comment ref="N114" authorId="0" shapeId="0" xr:uid="{37C0101C-6E40-AE44-9EDA-98D1023DA70C}">
      <text>
        <r>
          <rPr>
            <sz val="10"/>
            <color rgb="FF000000"/>
            <rFont val="Aptos Narrow"/>
            <scheme val="minor"/>
          </rPr>
          <t>======
ID#AAABjx7qPEs
    (2025-05-21 11:33:24)
1214 cathy: mail 詢問Quote</t>
        </r>
      </text>
    </comment>
    <comment ref="O114" authorId="0" shapeId="0" xr:uid="{FA8AA1B4-6277-DA44-AB5A-5EC70E49AD56}">
      <text>
        <r>
          <rPr>
            <sz val="10"/>
            <color rgb="FF000000"/>
            <rFont val="Aptos Narrow"/>
            <scheme val="minor"/>
          </rPr>
          <t>======
ID#AAABjx7qVZc
    (2025-05-21 11:33:27)
cathy:20181217下PO
12/18 Support 價格</t>
        </r>
      </text>
    </comment>
    <comment ref="H115" authorId="0" shapeId="0" xr:uid="{C290FBCE-D8C1-0442-9B59-31ECBC787162}">
      <text>
        <r>
          <rPr>
            <sz val="10"/>
            <color rgb="FF000000"/>
            <rFont val="Aptos Narrow"/>
            <scheme val="minor"/>
          </rPr>
          <t>======
ID#AAABjx7qNZg
    (2025-05-21 11:33:23)
0225 chloe:匯款匯入5948-10(手續費)</t>
        </r>
      </text>
    </comment>
    <comment ref="N115" authorId="0" shapeId="0" xr:uid="{B6BF1C91-DEEE-7640-BDD8-D5CAC24AA863}">
      <text>
        <r>
          <rPr>
            <sz val="10"/>
            <color rgb="FF000000"/>
            <rFont val="Aptos Narrow"/>
            <scheme val="minor"/>
          </rPr>
          <t>======
ID#AAABjx7qV3o
    (2025-05-21 11:33:27)
1214 ask  stock</t>
        </r>
      </text>
    </comment>
    <comment ref="H116" authorId="0" shapeId="0" xr:uid="{98C78D6F-9905-4C49-8A99-515FDC34D21B}">
      <text>
        <r>
          <rPr>
            <sz val="10"/>
            <color rgb="FF000000"/>
            <rFont val="Aptos Narrow"/>
            <scheme val="minor"/>
          </rPr>
          <t>======
ID#AAABjx7qTpA
    (2025-05-21 11:33:26)
0225 chloe:匯款匯入5948-10(手續費)</t>
        </r>
      </text>
    </comment>
    <comment ref="N116" authorId="0" shapeId="0" xr:uid="{F9E8038F-F6C0-AD4E-929A-5D4336FDD4F7}">
      <text>
        <r>
          <rPr>
            <sz val="10"/>
            <color rgb="FF000000"/>
            <rFont val="Aptos Narrow"/>
            <scheme val="minor"/>
          </rPr>
          <t>======
ID#AAABjx7qWcI
    (2025-05-21 11:33:27)
1214 ask  stock</t>
        </r>
      </text>
    </comment>
    <comment ref="H117" authorId="0" shapeId="0" xr:uid="{C9F16C8A-3512-CA47-8792-45750149ACFA}">
      <text>
        <r>
          <rPr>
            <sz val="10"/>
            <color rgb="FF000000"/>
            <rFont val="Aptos Narrow"/>
            <scheme val="minor"/>
          </rPr>
          <t>======
ID#AAABj82dpMQ
    (2025-05-21 11:33:23)
0225 chloe:0225 匯款匯入多此筆款項</t>
        </r>
      </text>
    </comment>
    <comment ref="N117" authorId="0" shapeId="0" xr:uid="{ABE4867D-D6A9-0D44-8ADE-8DCEAB1F8F29}">
      <text>
        <r>
          <rPr>
            <sz val="10"/>
            <color rgb="FF000000"/>
            <rFont val="Aptos Narrow"/>
            <scheme val="minor"/>
          </rPr>
          <t>======
ID#AAABjx7qOE0
    (2025-05-21 11:33:24)
1214 ask  stock</t>
        </r>
      </text>
    </comment>
    <comment ref="H118" authorId="0" shapeId="0" xr:uid="{713F6DDA-D279-2049-9279-8EC02B5E094F}">
      <text>
        <r>
          <rPr>
            <sz val="10"/>
            <color rgb="FF000000"/>
            <rFont val="Aptos Narrow"/>
            <scheme val="minor"/>
          </rPr>
          <t>======
ID#AAABjx7qWMU
    (2025-05-21 11:33:27)
0225 chloe:匯款匯入5948-10(手續費)</t>
        </r>
      </text>
    </comment>
    <comment ref="M118" authorId="0" shapeId="0" xr:uid="{1986173C-C291-0F4E-AABA-FA56C8FEA01E}">
      <text>
        <r>
          <rPr>
            <sz val="10"/>
            <color rgb="FF000000"/>
            <rFont val="Aptos Narrow"/>
            <scheme val="minor"/>
          </rPr>
          <t>======
ID#AAABjx7qSUQ
    (2025-05-21 11:33:26)
1220 chloe:由生管填上大約交期?</t>
        </r>
      </text>
    </comment>
    <comment ref="D120" authorId="0" shapeId="0" xr:uid="{27F33171-302F-934A-B663-C5390B2D8EE0}">
      <text>
        <r>
          <rPr>
            <sz val="10"/>
            <color rgb="FF000000"/>
            <rFont val="Aptos Narrow"/>
            <scheme val="minor"/>
          </rPr>
          <t>======
ID#AAABjx7qVbs
    (2025-05-21 11:33:27)
181212 由1212A改為1212C</t>
        </r>
      </text>
    </comment>
    <comment ref="H120" authorId="0" shapeId="0" xr:uid="{0318A968-D17D-D342-95F1-FCA99E899942}">
      <text>
        <r>
          <rPr>
            <sz val="10"/>
            <color rgb="FF000000"/>
            <rFont val="Aptos Narrow"/>
            <scheme val="minor"/>
          </rPr>
          <t>======
ID#AAABjx7qVH0
    (2025-05-21 11:33:27)
0212 Mary:匯款匯入US$14,150</t>
        </r>
      </text>
    </comment>
    <comment ref="O120" authorId="0" shapeId="0" xr:uid="{8E54FA37-C523-DC43-818C-38EBA1B7033A}">
      <text>
        <r>
          <rPr>
            <sz val="10"/>
            <color rgb="FF000000"/>
            <rFont val="Aptos Narrow"/>
            <scheme val="minor"/>
          </rPr>
          <t>======
ID#AAABjx7qRuw
    (2025-05-21 11:33:25)
181212 由1212A改為1212C</t>
        </r>
      </text>
    </comment>
    <comment ref="E121" authorId="0" shapeId="0" xr:uid="{E199A4FC-A6D1-324A-908A-48C1E499ADB6}">
      <text>
        <r>
          <rPr>
            <sz val="10"/>
            <color rgb="FF000000"/>
            <rFont val="Aptos Narrow"/>
            <scheme val="minor"/>
          </rPr>
          <t>======
ID#AAABjx7qVDs
    (2025-05-21 11:33:27)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  </r>
      </text>
    </comment>
    <comment ref="H121" authorId="0" shapeId="0" xr:uid="{A29BC5D6-FFD5-B143-9C14-07EF137BD00C}">
      <text>
        <r>
          <rPr>
            <sz val="10"/>
            <color rgb="FF000000"/>
            <rFont val="Aptos Narrow"/>
            <scheme val="minor"/>
          </rPr>
          <t>======
ID#AAABjx7qVE8
    (2025-05-21 11:33:27)
0306 chloe:匯款匯入US$14480.6(含20190119A RG58 cable Sample)</t>
        </r>
      </text>
    </comment>
    <comment ref="K121" authorId="0" shapeId="0" xr:uid="{8EAB4903-74C4-5046-BF0D-D04CFF3D4340}">
      <text>
        <r>
          <rPr>
            <sz val="10"/>
            <color rgb="FF000000"/>
            <rFont val="Aptos Narrow"/>
            <scheme val="minor"/>
          </rPr>
          <t>======
ID#AAABjx7qNOI
    (2025-05-21 11:33:23)
Vecow 年底前交貨, 收到超恩貨+2-3 days出貨Ti2</t>
        </r>
      </text>
    </comment>
    <comment ref="H122" authorId="0" shapeId="0" xr:uid="{B4DB7A7D-D0FE-8142-A85D-51808301F279}">
      <text>
        <r>
          <rPr>
            <sz val="10"/>
            <color rgb="FF000000"/>
            <rFont val="Aptos Narrow"/>
            <scheme val="minor"/>
          </rPr>
          <t>======
ID#AAABjx7qR1M
    (2025-05-21 11:33:25)
0306 chloe:匯款匯入US$14480.6(含20190119A RG58 cable Sample)</t>
        </r>
      </text>
    </comment>
    <comment ref="M122" authorId="0" shapeId="0" xr:uid="{B6ABA881-4F0A-FA46-8C9E-A0D2C892FFBB}">
      <text>
        <r>
          <rPr>
            <sz val="10"/>
            <color rgb="FF000000"/>
            <rFont val="Aptos Narrow"/>
            <scheme val="minor"/>
          </rPr>
          <t>======
ID#AAABjx7qM4U
    (2025-05-21 11:33:23)
1)18 PCS 送至宸耀組裝
2) 2 PCS 請交給 Chloe</t>
        </r>
      </text>
    </comment>
    <comment ref="O122" authorId="0" shapeId="0" xr:uid="{C7E21DF5-AC56-0E4D-BD61-4F0BFC81485C}">
      <text>
        <r>
          <rPr>
            <sz val="10"/>
            <color rgb="FF000000"/>
            <rFont val="Aptos Narrow"/>
            <scheme val="minor"/>
          </rPr>
          <t>======
ID#AAABjx7qRS0
    (2025-05-21 11:33:25)
詢價→
創見:TS1GSK64W6H
敏博:DDS8GHIMBFC US$58.2(NT$1,796)</t>
        </r>
      </text>
    </comment>
    <comment ref="D123" authorId="0" shapeId="0" xr:uid="{EBCBC9AA-E427-9842-AC62-F180F6642D29}">
      <text>
        <r>
          <rPr>
            <sz val="10"/>
            <color rgb="FF000000"/>
            <rFont val="Aptos Narrow"/>
            <scheme val="minor"/>
          </rPr>
          <t>======
ID#AAABjx7qQ4A
    (2025-05-21 11:33:25)
0115 到貨，已mail通知小葛
0115 Keiju: 已QC OK</t>
        </r>
      </text>
    </comment>
    <comment ref="E123" authorId="0" shapeId="0" xr:uid="{1EA18171-9CC4-3F46-AFC0-5B23E2EF7B6E}">
      <text>
        <r>
          <rPr>
            <sz val="10"/>
            <color rgb="FF000000"/>
            <rFont val="Aptos Narrow"/>
            <scheme val="minor"/>
          </rPr>
          <t>======
ID#AAABjx7qO2A
    (2025-05-21 11:33:24)
12 13AMY: 20PCS, 宸曜折扣價$293</t>
        </r>
      </text>
    </comment>
    <comment ref="F123" authorId="0" shapeId="0" xr:uid="{F020ABA7-19F0-BC46-A166-D5A7366671D5}">
      <text>
        <r>
          <rPr>
            <sz val="10"/>
            <color rgb="FF000000"/>
            <rFont val="Aptos Narrow"/>
            <scheme val="minor"/>
          </rPr>
          <t>======
ID#AAABjx7qSRA
    (2025-05-21 11:33:26)
在此輸入
庫存2台
20181221 Chole 提供2pcs</t>
        </r>
      </text>
    </comment>
    <comment ref="H123" authorId="0" shapeId="0" xr:uid="{580FF506-7557-DC41-8E24-4C56C00D133B}">
      <text>
        <r>
          <rPr>
            <sz val="10"/>
            <color rgb="FF000000"/>
            <rFont val="Aptos Narrow"/>
            <scheme val="minor"/>
          </rPr>
          <t>======
ID#AAABjx7qP_k
    (2025-05-21 11:33:25)
0306 chloe:匯款匯入US$14480.6(含20190119A RG58 cable Sample)</t>
        </r>
      </text>
    </comment>
    <comment ref="M123" authorId="0" shapeId="0" xr:uid="{5F9931CB-7EFF-AF45-AA10-3A29AC156CE3}">
      <text>
        <r>
          <rPr>
            <sz val="10"/>
            <color rgb="FF000000"/>
            <rFont val="Aptos Narrow"/>
            <scheme val="minor"/>
          </rPr>
          <t>======
ID#AAABjx7qS64
1220 chloe    (2025-05-21 11:33:26)
1)宸耀出貨18台
2)倉庫2台→請洽Chloe</t>
        </r>
      </text>
    </comment>
    <comment ref="N123" authorId="0" shapeId="0" xr:uid="{924306D4-EAFE-464D-A027-C78F68BDA4D5}">
      <text>
        <r>
          <rPr>
            <sz val="10"/>
            <color rgb="FF000000"/>
            <rFont val="Aptos Narrow"/>
            <scheme val="minor"/>
          </rPr>
          <t>======
ID#AAABjx7qNAg
    (2025-05-21 11:33:23)
1216 chloe :下單18 PCS(專案價)+2 PCS (戎克庫存)</t>
        </r>
      </text>
    </comment>
    <comment ref="O123" authorId="0" shapeId="0" xr:uid="{40132B43-920A-434C-BE09-1BB34A5D3C1E}">
      <text>
        <r>
          <rPr>
            <sz val="10"/>
            <color rgb="FF000000"/>
            <rFont val="Aptos Narrow"/>
            <scheme val="minor"/>
          </rPr>
          <t>======
ID#AAABjx7qPFI
    (2025-05-21 11:33:24)
Cathy:20181217下PO</t>
        </r>
      </text>
    </comment>
    <comment ref="D124" authorId="0" shapeId="0" xr:uid="{4AD85BCE-0B08-4D4C-B3B4-ABB97A52BE39}">
      <text>
        <r>
          <rPr>
            <sz val="10"/>
            <color rgb="FF000000"/>
            <rFont val="Aptos Narrow"/>
            <scheme val="minor"/>
          </rPr>
          <t>======
ID#AAABjx7qTCQ
    (2025-05-21 11:33:26)
0115 到貨，已mail通知小葛
0115 Keiju: 已QC OK</t>
        </r>
      </text>
    </comment>
    <comment ref="F124" authorId="0" shapeId="0" xr:uid="{412758F0-39A7-8F4C-941C-D023F5CBF381}">
      <text>
        <r>
          <rPr>
            <sz val="10"/>
            <color rgb="FF000000"/>
            <rFont val="Aptos Narrow"/>
            <scheme val="minor"/>
          </rPr>
          <t>======
ID#AAABjx7qRrs
    (2025-05-21 11:33:25)
庫存2台</t>
        </r>
      </text>
    </comment>
    <comment ref="H124" authorId="0" shapeId="0" xr:uid="{F35A575E-5CC8-E540-A0DB-587404B28FAD}">
      <text>
        <r>
          <rPr>
            <sz val="10"/>
            <color rgb="FF000000"/>
            <rFont val="Aptos Narrow"/>
            <scheme val="minor"/>
          </rPr>
          <t>======
ID#AAABjx7qR8k
    (2025-05-21 11:33:25)
0306 chloe:匯款匯入US$14480.6(含20190119A RG58 cable Sample)</t>
        </r>
      </text>
    </comment>
    <comment ref="N124" authorId="0" shapeId="0" xr:uid="{AAB48759-7B41-4742-AD79-89F15864568F}">
      <text>
        <r>
          <rPr>
            <sz val="10"/>
            <color rgb="FF000000"/>
            <rFont val="Aptos Narrow"/>
            <scheme val="minor"/>
          </rPr>
          <t>======
ID#AAABjx7qOQE
    (2025-05-21 11:33:24)
1216 chloe :下單18 PCS(專案價)+2 PCS (戎克庫存)</t>
        </r>
      </text>
    </comment>
    <comment ref="O124" authorId="0" shapeId="0" xr:uid="{3AC90B82-98FC-344F-A7E7-1507A8ADEB62}">
      <text>
        <r>
          <rPr>
            <sz val="10"/>
            <color rgb="FF000000"/>
            <rFont val="Aptos Narrow"/>
            <scheme val="minor"/>
          </rPr>
          <t>======
ID#AAABjx7qVg0
    (2025-05-21 11:33:27)
Cathy:20181217下PO</t>
        </r>
      </text>
    </comment>
    <comment ref="G125" authorId="0" shapeId="0" xr:uid="{28B2C447-AA8C-D349-8934-5064FA6B84B9}">
      <text>
        <r>
          <rPr>
            <sz val="10"/>
            <color rgb="FF000000"/>
            <rFont val="Aptos Narrow"/>
            <scheme val="minor"/>
          </rPr>
          <t>======
ID#AAABjx7qP5Q
    (2025-05-21 11:33:24)
170323 w/ 5%VAT</t>
        </r>
      </text>
    </comment>
    <comment ref="H125" authorId="0" shapeId="0" xr:uid="{B90FCC53-A860-CB4D-8D75-40CE4B3A9412}">
      <text>
        <r>
          <rPr>
            <sz val="10"/>
            <color rgb="FF000000"/>
            <rFont val="Aptos Narrow"/>
            <scheme val="minor"/>
          </rPr>
          <t>======
ID#AAABjx7qN6M
    (2025-05-21 11:33:23)
0305 chloe:匯款匯入US2520</t>
        </r>
      </text>
    </comment>
    <comment ref="E126" authorId="0" shapeId="0" xr:uid="{1E8EC310-0909-C843-98E7-18E7D3631C5F}">
      <text>
        <r>
          <rPr>
            <sz val="10"/>
            <color rgb="FF000000"/>
            <rFont val="Aptos Narrow"/>
            <scheme val="minor"/>
          </rPr>
          <t>======
ID#AAABjx7qNxU
20181218 Santiago    (2025-05-21 11:33:23)
-&gt; 待客戶將 7' LCD (AA070ME01)寄來後， 寄曦立光電做貼合</t>
        </r>
      </text>
    </comment>
    <comment ref="H126" authorId="0" shapeId="0" xr:uid="{31DAC1D0-52E3-5443-9CF8-85B78ADC97E9}">
      <text>
        <r>
          <rPr>
            <sz val="10"/>
            <color rgb="FF000000"/>
            <rFont val="Aptos Narrow"/>
            <scheme val="minor"/>
          </rPr>
          <t>======
ID#AAABjx7qMqs
    (2025-05-21 11:33:23)
0221 Mary:匯款匯入US$11594</t>
        </r>
      </text>
    </comment>
    <comment ref="M126" authorId="0" shapeId="0" xr:uid="{5A623BEC-6BDB-C343-BA15-BA7186C64B81}">
      <text>
        <r>
          <rPr>
            <sz val="10"/>
            <color rgb="FF000000"/>
            <rFont val="Aptos Narrow"/>
            <scheme val="minor"/>
          </rPr>
          <t>======
ID#AAABjx7qVEU
    (2025-05-21 11:33:27)
●Hectronic 將會寄出7" LCD 再交由曦立貼合
● 送出7" LCD 後 詢問曦立貼合交期</t>
        </r>
      </text>
    </comment>
    <comment ref="W126" authorId="0" shapeId="0" xr:uid="{334C127D-C676-BB4D-895B-E0983860DE1A}">
      <text>
        <r>
          <rPr>
            <sz val="10"/>
            <color rgb="FF000000"/>
            <rFont val="Aptos Narrow"/>
            <scheme val="minor"/>
          </rPr>
          <t>======
ID#AAABjx7qRSE
    (2025-05-21 11:33:25)
當月底結，隔月五號付款</t>
        </r>
      </text>
    </comment>
    <comment ref="AK126" authorId="0" shapeId="0" xr:uid="{7C6A71ED-B2A5-8F43-8D1B-843FE6B2B75A}">
      <text>
        <r>
          <rPr>
            <sz val="10"/>
            <color rgb="FF000000"/>
            <rFont val="Aptos Narrow"/>
            <scheme val="minor"/>
          </rPr>
          <t>======
ID#AAABjx7qTZg
    (2025-05-21 11:33:26)
ALICE:訂單PI-20181218成交總額USD11594，2016/02/21水(單USD11577.5*30.79=NT356,471元整，匯出手續費10+匯入手續費6.5*30.79=手續費額NT508元整</t>
        </r>
      </text>
    </comment>
    <comment ref="AL126" authorId="0" shapeId="0" xr:uid="{8FB67B79-56CC-5C4D-AB59-5A99F2238EF7}">
      <text>
        <r>
          <rPr>
            <sz val="10"/>
            <color rgb="FF000000"/>
            <rFont val="Aptos Narrow"/>
            <scheme val="minor"/>
          </rPr>
          <t>======
ID#AAABjx7qPL4
    (2025-05-21 11:33:24)
ALICE:訂單PI-20181218成交總額USD11594，2016/02/21水(單USD11577.5*30.79=NT356,471元整，匯出手續費10+匯入手續費6.5*30.79=手續費額NT508元整</t>
        </r>
      </text>
    </comment>
    <comment ref="E127" authorId="0" shapeId="0" xr:uid="{0BC09513-6C38-BC47-95E3-C2C509BAA27D}">
      <text>
        <r>
          <rPr>
            <sz val="10"/>
            <color rgb="FF000000"/>
            <rFont val="Aptos Narrow"/>
            <scheme val="minor"/>
          </rPr>
          <t>======
ID#AAABjx7qM6g
20181218 Santiago    (2025-05-21 11:33:23)
-&gt; 待客戶將 7' LCD (AA070ME01)寄來後， 寄曦立光電做貼合</t>
        </r>
      </text>
    </comment>
    <comment ref="M127" authorId="0" shapeId="0" xr:uid="{E9010A39-B780-AB45-AD5A-F835D0A0DFA2}">
      <text>
        <r>
          <rPr>
            <sz val="10"/>
            <color rgb="FF000000"/>
            <rFont val="Aptos Narrow"/>
            <scheme val="minor"/>
          </rPr>
          <t>======
ID#AAABjx7qQ4s
    (2025-05-21 11:33:25)
1221 chloe:到貨後
1)通知Chloe
2)並將外箱客戶名稱貼紙撕除
3)LCD寄至曦立光電</t>
        </r>
      </text>
    </comment>
    <comment ref="AB127" authorId="0" shapeId="0" xr:uid="{16BD159E-A38A-B847-B762-5D4ACF2135B7}">
      <text>
        <r>
          <rPr>
            <sz val="10"/>
            <color rgb="FF000000"/>
            <rFont val="Aptos Narrow"/>
            <scheme val="minor"/>
          </rPr>
          <t>======
ID#AAABjx7qRtk
    (2025-05-21 11:33:25)
1221 chloe:進口稅金由國外支付</t>
        </r>
      </text>
    </comment>
    <comment ref="G128" authorId="0" shapeId="0" xr:uid="{F86F864A-2FE1-D244-BAD2-B39170107364}">
      <text>
        <r>
          <rPr>
            <sz val="10"/>
            <color rgb="FF000000"/>
            <rFont val="Aptos Narrow"/>
            <scheme val="minor"/>
          </rPr>
          <t>======
ID#AAABjx7qQug
    (2025-05-21 11:33:25)
w/5%VAT</t>
        </r>
      </text>
    </comment>
    <comment ref="H128" authorId="0" shapeId="0" xr:uid="{33883DE6-6E2C-CD4A-9B44-9281CB70D7AD}">
      <text>
        <r>
          <rPr>
            <sz val="10"/>
            <color rgb="FF000000"/>
            <rFont val="Aptos Narrow"/>
            <scheme val="minor"/>
          </rPr>
          <t>======
ID#AAABjx7qVnY
    (2025-05-21 11:33:27)
0225 chloe:匯款匯入NT46249-15(手續費)</t>
        </r>
      </text>
    </comment>
    <comment ref="D129" authorId="0" shapeId="0" xr:uid="{6D44500E-F2F2-5542-8CB9-984E0C408EF4}">
      <text>
        <r>
          <rPr>
            <sz val="10"/>
            <color rgb="FF000000"/>
            <rFont val="Aptos Narrow"/>
            <scheme val="minor"/>
          </rPr>
          <t>======
ID#AAABjx7qTnU
    (2025-05-21 11:33:26)
1/21 Keiju: 出貨前拍照</t>
        </r>
      </text>
    </comment>
    <comment ref="H129" authorId="0" shapeId="0" xr:uid="{EC6B85E8-B20C-1743-B12F-7AA9C9448991}">
      <text>
        <r>
          <rPr>
            <sz val="10"/>
            <color rgb="FF000000"/>
            <rFont val="Aptos Narrow"/>
            <scheme val="minor"/>
          </rPr>
          <t>======
ID#AAABjx7qOWI
    (2025-05-21 11:33:24)
alice:2019/05/17水單通知USD19768沖3/4A $1995.3/4A-1$4152.3/4A-1-F $232.3/8B-F $57.12/21A-2-F $144.3/4A-1 $189.10/22C-2 $10227.12/21A-1 $2772.如上總計共USD19768</t>
        </r>
      </text>
    </comment>
    <comment ref="K129" authorId="0" shapeId="0" xr:uid="{1715FB8D-12A3-1340-8872-CBCB51F1415D}">
      <text>
        <r>
          <rPr>
            <sz val="10"/>
            <color rgb="FF000000"/>
            <rFont val="Aptos Narrow"/>
            <scheme val="minor"/>
          </rPr>
          <t>======
ID#AAABjx7qVx8
    (2025-05-21 11:33:27)
0121出貨前6pcs拍照 
Vecow 年底前交貨, 收到超恩貨+2-3 days出貨Ti2</t>
        </r>
      </text>
    </comment>
    <comment ref="M129" authorId="0" shapeId="0" xr:uid="{D6D8ADB5-99B4-E54A-BA81-4D83639971F5}">
      <text>
        <r>
          <rPr>
            <sz val="10"/>
            <color rgb="FF000000"/>
            <rFont val="Aptos Narrow"/>
            <scheme val="minor"/>
          </rPr>
          <t>======
ID#AAABjx7qNFs
    (2025-05-21 11:33:23)
0218 Cathy: 廠商bruce告知交期延後2/25進
0122 Cathy:廠商變更交期(全球缺料)暫押3/5  
0114 Cathy:Bruce告知CPU交期導致交期可能後延
20181226 寄出6PCS DDR4 給超恩</t>
        </r>
      </text>
    </comment>
    <comment ref="E130" authorId="0" shapeId="0" xr:uid="{A4242F88-CD46-4640-8EB2-0494967F66F5}">
      <text>
        <r>
          <rPr>
            <sz val="10"/>
            <color rgb="FF000000"/>
            <rFont val="Aptos Narrow"/>
            <scheme val="minor"/>
          </rPr>
          <t>======
ID#AAABjx7qSqc
    (2025-05-21 11:33:26)
在此輸入
vecow offer 195
Jetone 只有i5-8500 at $218</t>
        </r>
      </text>
    </comment>
    <comment ref="H130" authorId="0" shapeId="0" xr:uid="{4F137751-BB65-A647-96B8-17DA0C84BDF2}">
      <text>
        <r>
          <rPr>
            <sz val="10"/>
            <color rgb="FF000000"/>
            <rFont val="Aptos Narrow"/>
            <scheme val="minor"/>
          </rPr>
          <t>======
ID#AAABjx7qSe0
    (2025-05-21 11:33:26)
alice:2019/05/17水單通知USD19768沖3/4A $1995.3/4A-1$4152.3/4A-1-F $232.3/8B-F $57.12/21A-2-F $144.3/4A-1 $189.10/22C-2 $10227.12/21A-1 $2772.如上總計共USD19768</t>
        </r>
      </text>
    </comment>
    <comment ref="K130" authorId="0" shapeId="0" xr:uid="{640F07F4-4763-B945-96AD-B0B583AD1C9E}">
      <text>
        <r>
          <rPr>
            <sz val="10"/>
            <color rgb="FF000000"/>
            <rFont val="Aptos Narrow"/>
            <scheme val="minor"/>
          </rPr>
          <t>======
ID#AAABjx7qOOI
    (2025-05-21 11:33:24)
0121出貨前6pcs拍照 
Vecow 年底前交貨, 收到超恩貨+2-3 days出貨Ti2</t>
        </r>
      </text>
    </comment>
    <comment ref="M130" authorId="0" shapeId="0" xr:uid="{814B1256-BDD4-1046-9119-4921AF814890}">
      <text>
        <r>
          <rPr>
            <sz val="10"/>
            <color rgb="FF000000"/>
            <rFont val="Aptos Narrow"/>
            <scheme val="minor"/>
          </rPr>
          <t>======
ID#AAABjx7qN2Y
    (2025-05-21 11:33:23)
0218 Cathy: 廠商bruce告知交期延後2/25進
0122 Cathy:廠商變更交期(全球缺料)暫押3/5  
0114 Cathy:Bruce告知CPU交期導致交期可能後延
20181226 寄出6PCS DDR4 給超恩</t>
        </r>
      </text>
    </comment>
    <comment ref="E131" authorId="0" shapeId="0" xr:uid="{E354FCD5-A949-A145-950B-A4340D58068D}">
      <text>
        <r>
          <rPr>
            <sz val="10"/>
            <color rgb="FF000000"/>
            <rFont val="Aptos Narrow"/>
            <scheme val="minor"/>
          </rPr>
          <t>======
ID#AAABjx7qSOE
    (2025-05-21 11:33:26)
1224 chloe:樣品庫存</t>
        </r>
      </text>
    </comment>
    <comment ref="H131" authorId="0" shapeId="0" xr:uid="{47450E57-52A1-544A-80BE-E0B26535F032}">
      <text>
        <r>
          <rPr>
            <sz val="10"/>
            <color rgb="FF000000"/>
            <rFont val="Aptos Narrow"/>
            <scheme val="minor"/>
          </rPr>
          <t>======
ID#AAABjx7qSP0
    (2025-05-21 11:33:26)
alice:2019/05/17水單通知USD19768沖3/4A $1995.3/4A-1$4152.3/4A-1-F $232.3/8B-F $57.12/21A-2-F $144.3/4A-1 $189.10/22C-2 $10227.12/21A-1 $2772.如上總計共USD19768</t>
        </r>
      </text>
    </comment>
    <comment ref="K131" authorId="0" shapeId="0" xr:uid="{911EB62C-E8F3-694B-B498-DB4737E312EF}">
      <text>
        <r>
          <rPr>
            <sz val="10"/>
            <color rgb="FF000000"/>
            <rFont val="Aptos Narrow"/>
            <scheme val="minor"/>
          </rPr>
          <t>======
ID#AAABjx7qQww
    (2025-05-21 11:33:25)
0121出貨前6pcs拍照 
Vecow 年底前交貨, 收到超恩貨+2-3 days出貨Ti2</t>
        </r>
      </text>
    </comment>
    <comment ref="U131" authorId="0" shapeId="0" xr:uid="{1180FDB8-6132-1F4A-A09A-F305F06F25A4}">
      <text>
        <r>
          <rPr>
            <sz val="10"/>
            <color rgb="FF000000"/>
            <rFont val="Aptos Narrow"/>
            <scheme val="minor"/>
          </rPr>
          <t>======
ID#AAABjx7qSzE
    (2025-05-21 11:33:26)
PO-20180514A -3 已付款</t>
        </r>
      </text>
    </comment>
    <comment ref="E132" authorId="0" shapeId="0" xr:uid="{7E877B5A-672A-B144-B642-1A223E843949}">
      <text>
        <r>
          <rPr>
            <sz val="10"/>
            <color rgb="FF000000"/>
            <rFont val="Aptos Narrow"/>
            <scheme val="minor"/>
          </rPr>
          <t>======
ID#AAABjx7qOp0
    (2025-05-21 11:33:24)
在此輸入
vecow offer 195
Jetone 只有i5-8500 at $218</t>
        </r>
      </text>
    </comment>
    <comment ref="H132" authorId="0" shapeId="0" xr:uid="{5AEF89F3-AE54-0B49-8E45-FDB29E3D5B93}">
      <text>
        <r>
          <rPr>
            <sz val="10"/>
            <color rgb="FF000000"/>
            <rFont val="Aptos Narrow"/>
            <scheme val="minor"/>
          </rPr>
          <t>======
ID#AAABjx7qP0Y
    (2025-05-21 11:33:24)
ALICE:201904/10水單匯入USD11416*30.78
沖(229+2394+326+34+5274+3066+103)=11426</t>
        </r>
      </text>
    </comment>
    <comment ref="K132" authorId="0" shapeId="0" xr:uid="{E0F6D732-F793-4146-BB74-F1C9409CD718}">
      <text>
        <r>
          <rPr>
            <sz val="10"/>
            <color rgb="FF000000"/>
            <rFont val="Aptos Narrow"/>
            <scheme val="minor"/>
          </rPr>
          <t>======
ID#AAABjx7qU3g
    (2025-05-21 11:33:26)
032５
2/12 Jay reply 2/19 by partial 3 pcs
Reply to Ti2 ship date: 2/21</t>
        </r>
      </text>
    </comment>
    <comment ref="M132" authorId="0" shapeId="0" xr:uid="{C6A01BA7-9010-F944-9B8B-769EDAB2746C}">
      <text>
        <r>
          <rPr>
            <sz val="10"/>
            <color rgb="FF000000"/>
            <rFont val="Aptos Narrow"/>
            <scheme val="minor"/>
          </rPr>
          <t>======
ID#AAABjx7qSHM
    (2025-05-21 11:33:26)
0318 Cathy:廠商告知預計4/3寄出 
2/12 Jay reply 2/19 by partial 3 pcs
Reply to Ti2 ship date: 2/21</t>
        </r>
      </text>
    </comment>
    <comment ref="D133" authorId="0" shapeId="0" xr:uid="{072AEB03-633E-244B-A3CE-385346EA4DEE}">
      <text>
        <r>
          <rPr>
            <sz val="10"/>
            <color rgb="FF000000"/>
            <rFont val="Aptos Narrow"/>
            <scheme val="minor"/>
          </rPr>
          <t>======
ID#AAABjx7qQ64
    (2025-05-21 11:33:25)
1/21 Keiju: 出貨前拍照</t>
        </r>
      </text>
    </comment>
    <comment ref="H133" authorId="0" shapeId="0" xr:uid="{D56E95DF-43C5-0045-B669-9F31E9F93F81}">
      <text>
        <r>
          <rPr>
            <sz val="10"/>
            <color rgb="FF000000"/>
            <rFont val="Aptos Narrow"/>
            <scheme val="minor"/>
          </rPr>
          <t>======
ID#AAABjx7qTjk
    (2025-05-21 11:33:26)
ALICE:201904/10水單匯入USD11416*30.78
沖(229+2394+326+34+5274+3066+103)=11426</t>
        </r>
      </text>
    </comment>
    <comment ref="K133" authorId="0" shapeId="0" xr:uid="{0B536F56-7F38-C546-8E75-01F16115BEAE}">
      <text>
        <r>
          <rPr>
            <sz val="10"/>
            <color rgb="FF000000"/>
            <rFont val="Aptos Narrow"/>
            <scheme val="minor"/>
          </rPr>
          <t>======
ID#AAABjx7qRn8
    (2025-05-21 11:33:25)
032５
2/12 Jay reply 2/19 by partial 3 pcs
Reply to Ti2 ship date: 2/21</t>
        </r>
      </text>
    </comment>
    <comment ref="M133" authorId="0" shapeId="0" xr:uid="{ED565025-BE61-BB4D-B314-A7C329944CA1}">
      <text>
        <r>
          <rPr>
            <sz val="10"/>
            <color rgb="FF000000"/>
            <rFont val="Aptos Narrow"/>
            <scheme val="minor"/>
          </rPr>
          <t>======
ID#AAABjx7qMzQ
    (2025-05-21 11:33:23)
0318 Cathy:廠商告知預計4/3寄出 
2/12 Jay reply 2/19 by partial 3 pcs
Reply to Ti2 ship date: 2/21</t>
        </r>
      </text>
    </comment>
    <comment ref="E134" authorId="0" shapeId="0" xr:uid="{31B9CBE1-6C5B-1F4F-A9CC-7B9FB48CF74D}">
      <text>
        <r>
          <rPr>
            <sz val="10"/>
            <color rgb="FF000000"/>
            <rFont val="Aptos Narrow"/>
            <scheme val="minor"/>
          </rPr>
          <t>======
ID#AAABjx7qSjY
    (2025-05-21 11:33:26)
1224 chloe:樣品庫存</t>
        </r>
      </text>
    </comment>
    <comment ref="H134" authorId="0" shapeId="0" xr:uid="{42DC42B5-F1A0-0F4F-8794-262E91EF7C3E}">
      <text>
        <r>
          <rPr>
            <sz val="10"/>
            <color rgb="FF000000"/>
            <rFont val="Aptos Narrow"/>
            <scheme val="minor"/>
          </rPr>
          <t>======
ID#AAABjx7qP2A
    (2025-05-21 11:33:24)
ALICE:201904/10水單匯入USD11416*30.78
沖(229+2394+326+34+5274+3066+103)=11426</t>
        </r>
      </text>
    </comment>
    <comment ref="K134" authorId="0" shapeId="0" xr:uid="{F0C4D3B7-743F-394B-A8F8-AF25FF96B190}">
      <text>
        <r>
          <rPr>
            <sz val="10"/>
            <color rgb="FF000000"/>
            <rFont val="Aptos Narrow"/>
            <scheme val="minor"/>
          </rPr>
          <t>======
ID#AAABjx7qRVM
    (2025-05-21 11:33:25)
032５
2/12 Jay reply 2/19 by partial 3 pcs
Reply to Ti2 ship date: 2/21</t>
        </r>
      </text>
    </comment>
    <comment ref="U134" authorId="0" shapeId="0" xr:uid="{E716DD3D-8C37-0940-9343-EE69D7657C42}">
      <text>
        <r>
          <rPr>
            <sz val="10"/>
            <color rgb="FF000000"/>
            <rFont val="Aptos Narrow"/>
            <scheme val="minor"/>
          </rPr>
          <t>======
ID#AAABjx7qTaY
    (2025-05-21 11:33:26)
chloe: 7592.607
(@29.81 * 84.9/PC )</t>
        </r>
      </text>
    </comment>
    <comment ref="H135" authorId="0" shapeId="0" xr:uid="{BAC0069E-C8BE-5F41-A59C-3D0F58A808C5}">
      <text>
        <r>
          <rPr>
            <sz val="10"/>
            <color rgb="FF000000"/>
            <rFont val="Aptos Narrow"/>
            <scheme val="minor"/>
          </rPr>
          <t>======
ID#AAABjx7qO18
    (2025-05-21 11:33:24)
0115 chloe: 匯款匯入US$1153.04</t>
        </r>
      </text>
    </comment>
    <comment ref="K135" authorId="0" shapeId="0" xr:uid="{DDF5393C-9DA9-6A40-BAD1-D981ECB9A140}">
      <text>
        <r>
          <rPr>
            <sz val="10"/>
            <color rgb="FF000000"/>
            <rFont val="Aptos Narrow"/>
            <scheme val="minor"/>
          </rPr>
          <t>======
ID#AAABjx7qTno
    (2025-05-21 11:33:26)
0115 Cathy: Chloe 告知已收到款項，可出貨  
12/24 AMY: Waiting customer T/T</t>
        </r>
      </text>
    </comment>
    <comment ref="M135" authorId="0" shapeId="0" xr:uid="{7EC8A0A7-743D-E34B-A523-A8427808CCC3}">
      <text>
        <r>
          <rPr>
            <sz val="10"/>
            <color rgb="FF000000"/>
            <rFont val="Aptos Narrow"/>
            <scheme val="minor"/>
          </rPr>
          <t>======
ID#AAABjx7qNi4
    (2025-05-21 11:33:23)
廠商告知有Stock</t>
        </r>
      </text>
    </comment>
    <comment ref="H136" authorId="0" shapeId="0" xr:uid="{684509BA-FCB9-C94F-97F1-B5CD779B05A1}">
      <text>
        <r>
          <rPr>
            <sz val="10"/>
            <color rgb="FF000000"/>
            <rFont val="Aptos Narrow"/>
            <scheme val="minor"/>
          </rPr>
          <t>======
ID#AAABjx7qS-c
    (2025-05-21 11:33:26)
0311  chloe:匯款匯入US1134-20(手續費)</t>
        </r>
      </text>
    </comment>
    <comment ref="H137" authorId="0" shapeId="0" xr:uid="{F8AAA711-9B71-C242-89FF-2AAFFF189042}">
      <text>
        <r>
          <rPr>
            <sz val="10"/>
            <color rgb="FF000000"/>
            <rFont val="Aptos Narrow"/>
            <scheme val="minor"/>
          </rPr>
          <t>======
ID#AAABjx7qQRo
    (2025-05-21 11:33:25)
0124 chloe:匯款匯入US$48799</t>
        </r>
      </text>
    </comment>
    <comment ref="H138" authorId="0" shapeId="0" xr:uid="{978B0930-E8FE-4E49-9B91-22B109191AA4}">
      <text>
        <r>
          <rPr>
            <sz val="10"/>
            <color rgb="FF000000"/>
            <rFont val="Aptos Narrow"/>
            <scheme val="minor"/>
          </rPr>
          <t>======
ID#AAABjx7qVNE
    (2025-05-21 11:33:27)
0124 chloe:匯款匯入US$48799</t>
        </r>
      </text>
    </comment>
    <comment ref="H139" authorId="0" shapeId="0" xr:uid="{5554C2D1-6A8B-3D44-8F4F-F7EA51EF2897}">
      <text>
        <r>
          <rPr>
            <sz val="10"/>
            <color rgb="FF000000"/>
            <rFont val="Aptos Narrow"/>
            <scheme val="minor"/>
          </rPr>
          <t>======
ID#AAABjx7qQYc
    (2025-05-21 11:33:25)
0124 chloe:匯款匯入US$48799</t>
        </r>
      </text>
    </comment>
    <comment ref="H140" authorId="0" shapeId="0" xr:uid="{164F2C71-0FCB-BA49-A347-59F14E449A97}">
      <text>
        <r>
          <rPr>
            <sz val="10"/>
            <color rgb="FF000000"/>
            <rFont val="Aptos Narrow"/>
            <scheme val="minor"/>
          </rPr>
          <t>======
ID#AAABjx7qRmQ
    (2025-05-21 11:33:25)
0124 chloe:匯款匯入US$48799</t>
        </r>
      </text>
    </comment>
    <comment ref="H141" authorId="0" shapeId="0" xr:uid="{8524D07E-D252-4C42-883F-8AF7C491A920}">
      <text>
        <r>
          <rPr>
            <sz val="10"/>
            <color rgb="FF000000"/>
            <rFont val="Aptos Narrow"/>
            <scheme val="minor"/>
          </rPr>
          <t>======
ID#AAABjx7qRwE
    (2025-05-21 11:33:25)
0124 chloe:匯款匯入US$48799</t>
        </r>
      </text>
    </comment>
    <comment ref="H142" authorId="0" shapeId="0" xr:uid="{10A60DF5-038A-8B4A-A156-EBCE84C3EE6E}">
      <text>
        <r>
          <rPr>
            <sz val="10"/>
            <color rgb="FF000000"/>
            <rFont val="Aptos Narrow"/>
            <scheme val="minor"/>
          </rPr>
          <t>======
ID#AAABjx7qPUg
    (2025-05-21 11:33:24)
0117 chloe:匯款匯入US$1,866.00</t>
        </r>
      </text>
    </comment>
    <comment ref="K142" authorId="0" shapeId="0" xr:uid="{77708CCB-C0A0-FA43-B0D1-D9A32238E146}">
      <text>
        <r>
          <rPr>
            <sz val="10"/>
            <color rgb="FF000000"/>
            <rFont val="Aptos Narrow"/>
            <scheme val="minor"/>
          </rPr>
          <t>======
ID#AAABjx7qR_Y
    (2025-05-21 11:33:25)
0116 chloe:待收到客戶水單或是匯款才能放行出貨</t>
        </r>
      </text>
    </comment>
    <comment ref="M142" authorId="0" shapeId="0" xr:uid="{56F21D5C-6F9D-F946-A6D1-07944055E923}">
      <text>
        <r>
          <rPr>
            <sz val="10"/>
            <color rgb="FF000000"/>
            <rFont val="Aptos Narrow"/>
            <scheme val="minor"/>
          </rPr>
          <t>======
ID#AAABjx7qTP8
    (2025-05-21 11:33:26)
0104 chloe:已告知凌飛Consign料件延遲
1227 chloe: 若研華能1/9前給予則可提前出貨</t>
        </r>
      </text>
    </comment>
    <comment ref="U142" authorId="0" shapeId="0" xr:uid="{CCEF5513-7B0F-DC48-8744-A7B9E89C003D}">
      <text>
        <r>
          <rPr>
            <sz val="10"/>
            <color rgb="FF000000"/>
            <rFont val="Aptos Narrow"/>
            <scheme val="minor"/>
          </rPr>
          <t>======
ID#AAABjx7qNWo
    (2025-05-21 11:33:23)
1/11及1/29 各轉一次
待凌飛退回
0227凌飛已退</t>
        </r>
      </text>
    </comment>
    <comment ref="H143" authorId="0" shapeId="0" xr:uid="{628B981A-4489-5C49-8B31-C600CF14C858}">
      <text>
        <r>
          <rPr>
            <sz val="10"/>
            <color rgb="FF000000"/>
            <rFont val="Aptos Narrow"/>
            <scheme val="minor"/>
          </rPr>
          <t>======
ID#AAABjx7qRnQ
    (2025-05-21 11:33:25)
0117 chloe:匯款匯入US$1,866.00</t>
        </r>
      </text>
    </comment>
    <comment ref="K143" authorId="0" shapeId="0" xr:uid="{F9C016B5-536E-D047-8F90-0B0F8E702DF4}">
      <text>
        <r>
          <rPr>
            <sz val="10"/>
            <color rgb="FF000000"/>
            <rFont val="Aptos Narrow"/>
            <scheme val="minor"/>
          </rPr>
          <t>======
ID#AAABjx7qReE
    (2025-05-21 11:33:25)
0116 chloe:待收到客戶水單或是匯款才能放行出貨</t>
        </r>
      </text>
    </comment>
    <comment ref="M143" authorId="0" shapeId="0" xr:uid="{E60A0D37-837C-1C4D-86B5-72BD364AEBAE}">
      <text>
        <r>
          <rPr>
            <sz val="10"/>
            <color rgb="FF000000"/>
            <rFont val="Aptos Narrow"/>
            <scheme val="minor"/>
          </rPr>
          <t>======
ID#AAABjx7qU0k
    (2025-05-21 11:33:26)
0107 再次確認廠商交期(無變動),已mail告知Chris預計出貨時間為1月底或2月初 
1228 Cathy: 廠商告知no stock,有提前交期會告知</t>
        </r>
      </text>
    </comment>
    <comment ref="H144" authorId="0" shapeId="0" xr:uid="{6624E938-D0B6-CA46-B401-F921FEF04F44}">
      <text>
        <r>
          <rPr>
            <sz val="10"/>
            <color rgb="FF000000"/>
            <rFont val="Aptos Narrow"/>
            <scheme val="minor"/>
          </rPr>
          <t>======
ID#AAABjx7qM_A
    (2025-05-21 11:33:23)
0117 chloe:匯款匯入US$1,866.00</t>
        </r>
      </text>
    </comment>
    <comment ref="K144" authorId="0" shapeId="0" xr:uid="{D8BC0D00-ADE2-3C4F-B1DD-9DF73EA0509A}">
      <text>
        <r>
          <rPr>
            <sz val="10"/>
            <color rgb="FF000000"/>
            <rFont val="Aptos Narrow"/>
            <scheme val="minor"/>
          </rPr>
          <t>======
ID#AAABjx7qV8k
    (2025-05-21 11:33:27)
0116 chloe:待收到客戶水單或是匯款才能放行出貨</t>
        </r>
      </text>
    </comment>
    <comment ref="W144" authorId="0" shapeId="0" xr:uid="{B6E3F0CA-7E45-5C43-899C-8522339751BD}">
      <text>
        <r>
          <rPr>
            <sz val="10"/>
            <color rgb="FF000000"/>
            <rFont val="Aptos Narrow"/>
            <scheme val="minor"/>
          </rPr>
          <t>======
ID#AAABjx7qVEI
0226 chloe    (2025-05-21 11:33:27)
原金額 US58.8 (2/28 已付款)
但後續哲讓修改產品顧</t>
        </r>
      </text>
    </comment>
    <comment ref="E145" authorId="0" shapeId="0" xr:uid="{557BBDB0-0212-7448-B384-2722EAC05720}">
      <text>
        <r>
          <rPr>
            <sz val="10"/>
            <color rgb="FF000000"/>
            <rFont val="Aptos Narrow"/>
            <scheme val="minor"/>
          </rPr>
          <t>======
ID#AAABjx7qR44
    (2025-05-21 11:33:25)
190215 原訂CP-132UL-DB9M銷退, 換CP-132EL-I-DB9M</t>
        </r>
      </text>
    </comment>
    <comment ref="H145" authorId="0" shapeId="0" xr:uid="{B239AD10-91D8-3944-8CE3-249D0C3D74A7}">
      <text>
        <r>
          <rPr>
            <sz val="10"/>
            <color rgb="FF000000"/>
            <rFont val="Aptos Narrow"/>
            <scheme val="minor"/>
          </rPr>
          <t>======
ID#AAABjx7qNuE
    (2025-05-21 11:33:23)
0329 chloe:匯款匯入US$340.5</t>
        </r>
      </text>
    </comment>
    <comment ref="K145" authorId="0" shapeId="0" xr:uid="{17C0D975-DCD0-394B-A8F4-0CFE91090D89}">
      <text>
        <r>
          <rPr>
            <sz val="10"/>
            <color rgb="FF000000"/>
            <rFont val="Aptos Narrow"/>
            <scheme val="minor"/>
          </rPr>
          <t>======
ID#AAABjx7qNeA
    (2025-05-21 11:33:23)
190108 Tammy：先由MOXA出到IBASE，等IBASE測完後，IBASE寄回戎克，暨時跟著其他TPOLE的貨一起出，並請款
0129 chloe:貨在Chloe手上，待Tammy告知後續消退還是寄出
0221 Tammy: 重新訂購CP-132EL-I-DB9M</t>
        </r>
      </text>
    </comment>
    <comment ref="M145" authorId="0" shapeId="0" xr:uid="{C137B01B-1867-C742-ADBF-4622CC670FC7}">
      <text>
        <r>
          <rPr>
            <sz val="10"/>
            <color rgb="FF000000"/>
            <rFont val="Aptos Narrow"/>
            <scheme val="minor"/>
          </rPr>
          <t>======
ID#AAABjx7qSt0
    (2025-05-21 11:33:26)
190109: Karen: MOXA直接出到IBASE
190215: 己由IBASE寄回, 也寄回到MOXA銷退
190221 Karen: 重新下單CP-132EL-I-DB9M</t>
        </r>
      </text>
    </comment>
    <comment ref="O145" authorId="0" shapeId="0" xr:uid="{1E315F60-EDBF-8340-B043-060542CAE228}">
      <text>
        <r>
          <rPr>
            <sz val="10"/>
            <color rgb="FF000000"/>
            <rFont val="Aptos Narrow"/>
            <scheme val="minor"/>
          </rPr>
          <t>======
ID#AAABjx7qNAE
    (2025-05-21 11:33:23)
190215 還未重下單給MOXA
190221 重下單</t>
        </r>
      </text>
    </comment>
    <comment ref="Q145" authorId="0" shapeId="0" xr:uid="{230ECB80-D541-E240-9008-D775312F718D}">
      <text>
        <r>
          <rPr>
            <sz val="10"/>
            <color rgb="FF000000"/>
            <rFont val="Aptos Narrow"/>
            <scheme val="minor"/>
          </rPr>
          <t>======
ID#AAABjx7qNIk
    (2025-05-21 11:33:23)
先匯出US$58.8</t>
        </r>
      </text>
    </comment>
    <comment ref="W145" authorId="0" shapeId="0" xr:uid="{3E9AA5B6-6639-7F45-BC36-7E70816279B5}">
      <text>
        <r>
          <rPr>
            <sz val="10"/>
            <color rgb="FF000000"/>
            <rFont val="Aptos Narrow"/>
            <scheme val="minor"/>
          </rPr>
          <t>======
ID#AAABjx7qRHU
    (2025-05-21 11:33:25)
chloe 2/26 先匯出 58.8</t>
        </r>
      </text>
    </comment>
    <comment ref="Z145" authorId="0" shapeId="0" xr:uid="{E209810B-FBE9-2E44-9F04-87A3D4FF7754}">
      <text>
        <r>
          <rPr>
            <sz val="10"/>
            <color rgb="FF000000"/>
            <rFont val="Aptos Narrow"/>
            <scheme val="minor"/>
          </rPr>
          <t>======
ID#AAABjx7qMvw
    (2025-05-21 11:33:23)
2/1開折讓單1,808</t>
        </r>
      </text>
    </comment>
    <comment ref="H146" authorId="0" shapeId="0" xr:uid="{91583381-074F-5945-8877-F7555AD56D4C}">
      <text>
        <r>
          <rPr>
            <sz val="10"/>
            <color rgb="FF000000"/>
            <rFont val="Aptos Narrow"/>
            <scheme val="minor"/>
          </rPr>
          <t>======
ID#AAABjx7qVMk
    (2025-05-21 11:33:27)
0305 chloe:匯款匯入US8750</t>
        </r>
      </text>
    </comment>
    <comment ref="M146" authorId="0" shapeId="0" xr:uid="{2DBCA2BC-4357-B340-82F9-1A48C993F368}">
      <text>
        <r>
          <rPr>
            <sz val="10"/>
            <color rgb="FF000000"/>
            <rFont val="Aptos Narrow"/>
            <scheme val="minor"/>
          </rPr>
          <t>======
ID#AAABjx7qQC4
    (2025-05-21 11:33:25)
0125 Ca:Tammy通之1/31出貨 
0123 Cathy: Tammy告知交期維持1/29，若1/28客戶無匯款，將改到年後進貨 
0119 Cathy: 提前交期29-&gt;25</t>
        </r>
      </text>
    </comment>
    <comment ref="H147" authorId="0" shapeId="0" xr:uid="{E9E2F713-61FC-524F-B6FB-EAE653B7F6F5}">
      <text>
        <r>
          <rPr>
            <sz val="10"/>
            <color rgb="FF000000"/>
            <rFont val="Aptos Narrow"/>
            <scheme val="minor"/>
          </rPr>
          <t>======
ID#AAABjx7qVsg
    (2025-05-21 11:33:27)
0305 chloe:匯款匯入US8750</t>
        </r>
      </text>
    </comment>
    <comment ref="M147" authorId="0" shapeId="0" xr:uid="{9322384A-9DFD-A44E-9CB0-C0200B70333F}">
      <text>
        <r>
          <rPr>
            <sz val="10"/>
            <color rgb="FF000000"/>
            <rFont val="Aptos Narrow"/>
            <scheme val="minor"/>
          </rPr>
          <t>======
ID#AAABjx7qN0A
    (2025-05-21 11:33:23)
0125 Ca:Tammy通之1/31出貨 
0123 Cathy: Tammy告知交期維持1/29，若1/28客戶無匯款，將改到年後進貨 
0119 Cathy: 提前交期29-&gt;25</t>
        </r>
      </text>
    </comment>
    <comment ref="H148" authorId="0" shapeId="0" xr:uid="{74F880E5-25E4-F84B-9D2E-7D1633FF1C70}">
      <text>
        <r>
          <rPr>
            <sz val="10"/>
            <color rgb="FF000000"/>
            <rFont val="Aptos Narrow"/>
            <scheme val="minor"/>
          </rPr>
          <t>======
ID#AAABjx7qNUw
    (2025-05-21 11:33:23)
0305 chloe:匯款匯入US8750</t>
        </r>
      </text>
    </comment>
    <comment ref="N148" authorId="0" shapeId="0" xr:uid="{0EA15447-EB9C-E34B-87AD-69E075EE2BF5}">
      <text>
        <r>
          <rPr>
            <sz val="10"/>
            <color rgb="FF000000"/>
            <rFont val="Aptos Narrow"/>
            <scheme val="minor"/>
          </rPr>
          <t>======
ID#AAABjx7qNrY
    (2025-05-21 11:33:23)
20181219 預計12/26到新漢</t>
        </r>
      </text>
    </comment>
    <comment ref="D149" authorId="0" shapeId="0" xr:uid="{5E3BCBD0-35CA-9F4B-A105-48AC1C6C9AE9}">
      <text>
        <r>
          <rPr>
            <sz val="10"/>
            <color rgb="FF000000"/>
            <rFont val="Aptos Narrow"/>
            <scheme val="minor"/>
          </rPr>
          <t>======
ID#AAABjx7qPiE
    (2025-05-21 11:33:24)
190109 Tammy: 抽驗即可, 謝謝</t>
        </r>
      </text>
    </comment>
    <comment ref="H149" authorId="0" shapeId="0" xr:uid="{2B83CFF4-7287-0449-8AF6-1161940B0A6D}">
      <text>
        <r>
          <rPr>
            <sz val="10"/>
            <color rgb="FF000000"/>
            <rFont val="Aptos Narrow"/>
            <scheme val="minor"/>
          </rPr>
          <t>======
ID#AAABjx7qMwg
    (2025-05-21 11:33:23)
0305 chloe:匯款匯入US8750</t>
        </r>
      </text>
    </comment>
    <comment ref="M149" authorId="0" shapeId="0" xr:uid="{8B2874C5-44EC-EA48-A1EC-411A4FD185C8}">
      <text>
        <r>
          <rPr>
            <sz val="10"/>
            <color rgb="FF000000"/>
            <rFont val="Aptos Narrow"/>
            <scheme val="minor"/>
          </rPr>
          <t>======
ID#AAABjx7qOUM
    (2025-05-21 11:33:24)
0125 Ca:Tammy通之1/31出貨 
0123 Cathy: Tammy告知交期維持1/29，若1/28客戶無匯款，將改到年後進貨 
0119 Cathy: 提前交期29-&gt;25</t>
        </r>
      </text>
    </comment>
    <comment ref="H150" authorId="0" shapeId="0" xr:uid="{A8DE9F37-F67B-154F-9514-7FFA25FB4BEA}">
      <text>
        <r>
          <rPr>
            <sz val="10"/>
            <color rgb="FF000000"/>
            <rFont val="Aptos Narrow"/>
            <scheme val="minor"/>
          </rPr>
          <t>======
ID#AAABjx7qNPM
    (2025-05-21 11:33:23)
alice:6/20銀行水單匯入USD4462 沖PI20190107A.PI-20190318B.PI-20190508B.PI-20181022C-2-F</t>
        </r>
      </text>
    </comment>
    <comment ref="K150" authorId="0" shapeId="0" xr:uid="{AB99143B-9D0C-A242-A6E2-714DE0CE064F}">
      <text>
        <r>
          <rPr>
            <sz val="10"/>
            <color rgb="FF000000"/>
            <rFont val="Aptos Narrow"/>
            <scheme val="minor"/>
          </rPr>
          <t>======
ID#AAABjx7qPys
    (2025-05-21 11:33:24)
6/20 amy: this shipment DOA, the RMA Return date is 04/30, so A/R should be count from 4/30, due date is 6/15</t>
        </r>
      </text>
    </comment>
    <comment ref="E151" authorId="0" shapeId="0" xr:uid="{33B4D97C-D073-FE4A-A388-058C07D32717}">
      <text>
        <r>
          <rPr>
            <sz val="10"/>
            <color rgb="FF000000"/>
            <rFont val="Aptos Narrow"/>
            <scheme val="minor"/>
          </rPr>
          <t>======
ID#AAABjx7qOJs
    (2025-05-21 11:33:24)
在此輸入
0107AMY:請注意CPU是I5-6300U, 寬螢幕及修改版鐵殼+鋁三 角椎</t>
        </r>
      </text>
    </comment>
    <comment ref="H151" authorId="0" shapeId="0" xr:uid="{C3B35AF6-61D0-9747-A0F3-34C5D067D242}">
      <text>
        <r>
          <rPr>
            <sz val="10"/>
            <color rgb="FF000000"/>
            <rFont val="Aptos Narrow"/>
            <scheme val="minor"/>
          </rPr>
          <t>======
ID#AAABjx7qQY4
    (2025-05-21 11:33:25)
alice:6/20銀行水單匯入USD4462 沖PI20190107A.PI-20190318B.PI-20190508B.PI-20181022C-2-F</t>
        </r>
      </text>
    </comment>
    <comment ref="K151" authorId="0" shapeId="0" xr:uid="{D5F765AD-B453-9A4C-97CA-261D3B74363A}">
      <text>
        <r>
          <rPr>
            <sz val="10"/>
            <color rgb="FF000000"/>
            <rFont val="Aptos Narrow"/>
            <scheme val="minor"/>
          </rPr>
          <t>======
ID#AAABjx7qOdo
    (2025-05-21 11:33:24)
6/20 amy: this shipment DOA, the RMA Return date is 04/30, so A/R should be count from 4/30, due date is 6/15</t>
        </r>
      </text>
    </comment>
    <comment ref="H152" authorId="0" shapeId="0" xr:uid="{678E6560-C700-104E-9885-176E612F342C}">
      <text>
        <r>
          <rPr>
            <sz val="10"/>
            <color rgb="FF000000"/>
            <rFont val="Aptos Narrow"/>
            <scheme val="minor"/>
          </rPr>
          <t>======
ID#AAABjx7qQRI
    (2025-05-21 11:33:25)
alice:6/20銀行水單匯入USD4462 沖PI20190107A.PI-20190318B.PI-20190508B.PI-20181022C-2-F</t>
        </r>
      </text>
    </comment>
    <comment ref="K152" authorId="0" shapeId="0" xr:uid="{5CFCAD31-C619-174C-A4B8-710E25E6FBA6}">
      <text>
        <r>
          <rPr>
            <sz val="10"/>
            <color rgb="FF000000"/>
            <rFont val="Aptos Narrow"/>
            <scheme val="minor"/>
          </rPr>
          <t>======
ID#AAABjx7qR_w
    (2025-05-21 11:33:25)
6/20 amy: this shipment DOA, the RMA Return date is 04/30, so A/R should be count from 4/30, due date is 6/15</t>
        </r>
      </text>
    </comment>
    <comment ref="H153" authorId="0" shapeId="0" xr:uid="{CB5B35AA-14AA-DD48-952A-587C696FB286}">
      <text>
        <r>
          <rPr>
            <sz val="10"/>
            <color rgb="FF000000"/>
            <rFont val="Aptos Narrow"/>
            <scheme val="minor"/>
          </rPr>
          <t>======
ID#AAABjx7qP3A
    (2025-05-21 11:33:24)
alice:6/20銀行水單匯入USD4462 沖PI20190107A.PI-20190318B.PI-20190508B.PI-20181022C-2-F</t>
        </r>
      </text>
    </comment>
    <comment ref="K153" authorId="0" shapeId="0" xr:uid="{BCCC11FB-73AD-AE4D-87CB-8DDD7EE519C1}">
      <text>
        <r>
          <rPr>
            <sz val="10"/>
            <color rgb="FF000000"/>
            <rFont val="Aptos Narrow"/>
            <scheme val="minor"/>
          </rPr>
          <t>======
ID#AAABjx7qN9k
    (2025-05-21 11:33:23)
6/20 amy: this shipment DOA, the RMA Return date is 04/30, so A/R should be count from 4/30, due date is 6/15</t>
        </r>
      </text>
    </comment>
    <comment ref="E154" authorId="0" shapeId="0" xr:uid="{0E4154CA-1BFB-7141-90DD-77790B8266D0}">
      <text>
        <r>
          <rPr>
            <sz val="10"/>
            <color rgb="FF000000"/>
            <rFont val="Aptos Narrow"/>
            <scheme val="minor"/>
          </rPr>
          <t>======
ID#AAABjx7qPjM
    (2025-05-21 11:33:24)
256GB 2.5" SSD M3M MP808 Samsung eMMC ET(-25℃~+85℃)</t>
        </r>
      </text>
    </comment>
    <comment ref="H154" authorId="0" shapeId="0" xr:uid="{56A90FB4-6FBC-434A-9022-BD9A08194A40}">
      <text>
        <r>
          <rPr>
            <sz val="10"/>
            <color rgb="FF000000"/>
            <rFont val="Aptos Narrow"/>
            <scheme val="minor"/>
          </rPr>
          <t>======
ID#AAABjx7qNA0
    (2025-05-21 11:33:23)
alice:6/20銀行水單匯入USD4462 沖PI20190107A.PI-20190318B.PI-20190508B.PI-20181022C-2-F</t>
        </r>
      </text>
    </comment>
    <comment ref="K154" authorId="0" shapeId="0" xr:uid="{4F01989D-E17A-D848-ADD0-1AE0F2D5D2F4}">
      <text>
        <r>
          <rPr>
            <sz val="10"/>
            <color rgb="FF000000"/>
            <rFont val="Aptos Narrow"/>
            <scheme val="minor"/>
          </rPr>
          <t>======
ID#AAABjx7qQXU
    (2025-05-21 11:33:25)
6/20 amy: this shipment DOA, the RMA Return date is 04/30, so A/R should be count from 4/30, due date is 6/15</t>
        </r>
      </text>
    </comment>
    <comment ref="H155" authorId="0" shapeId="0" xr:uid="{37D86695-EB78-9449-A761-8347DC7710C7}">
      <text>
        <r>
          <rPr>
            <sz val="10"/>
            <color rgb="FF000000"/>
            <rFont val="Aptos Narrow"/>
            <scheme val="minor"/>
          </rPr>
          <t>======
ID#AAABjx7qRkg
    (2025-05-21 11:33:25)
alice:6/20銀行水單匯入USD4462 沖PI20190107A.PI-20190318B.PI-20190508B.PI-20181022C-2-F</t>
        </r>
      </text>
    </comment>
    <comment ref="U156" authorId="0" shapeId="0" xr:uid="{9A62D516-3EFC-524A-A4D6-E8F4A2752D5A}">
      <text>
        <r>
          <rPr>
            <sz val="10"/>
            <color rgb="FF000000"/>
            <rFont val="Aptos Narrow"/>
            <scheme val="minor"/>
          </rPr>
          <t>======
ID#AAABjx7qPEo
    (2025-05-21 11:33:24)
chloe:多收款，無成本</t>
        </r>
      </text>
    </comment>
    <comment ref="E157" authorId="0" shapeId="0" xr:uid="{F8DEE90F-5D0E-1E40-93EF-4A28B7DCCB91}">
      <text>
        <r>
          <rPr>
            <sz val="10"/>
            <color rgb="FF000000"/>
            <rFont val="Aptos Narrow"/>
            <scheme val="minor"/>
          </rPr>
          <t>======
ID#AAABjx7qRRQ
    (2025-05-21 11:33:25)
1122AMY: 3pin power connector 改為RG58 power connector
寬螢幕及修改版鐵殼+鋁三 角椎</t>
        </r>
      </text>
    </comment>
    <comment ref="H157" authorId="0" shapeId="0" xr:uid="{6E85AE1C-231D-7548-9C29-5A5041BE9D5F}">
      <text>
        <r>
          <rPr>
            <sz val="10"/>
            <color rgb="FF000000"/>
            <rFont val="Aptos Narrow"/>
            <scheme val="minor"/>
          </rPr>
          <t>======
ID#AAABjx7qVog
    (2025-05-21 11:33:27)
ALICE:201904/10水單匯入USD11416*30.78
沖(229+2394+326+34+5274+3066+103)=11426</t>
        </r>
      </text>
    </comment>
    <comment ref="U157" authorId="0" shapeId="0" xr:uid="{CCC57C90-B582-5C46-AF5F-1F09FF2CB387}">
      <text>
        <r>
          <rPr>
            <sz val="10"/>
            <color rgb="FF000000"/>
            <rFont val="Aptos Narrow"/>
            <scheme val="minor"/>
          </rPr>
          <t>======
ID#AAABjx7qSUE
    (2025-05-21 11:33:26)
見BOM(含稅)
Chloe OK</t>
        </r>
      </text>
    </comment>
    <comment ref="H158" authorId="0" shapeId="0" xr:uid="{CF45D15E-DFF2-374B-8544-D96A2BFF6EAC}">
      <text>
        <r>
          <rPr>
            <sz val="10"/>
            <color rgb="FF000000"/>
            <rFont val="Aptos Narrow"/>
            <scheme val="minor"/>
          </rPr>
          <t>======
ID#AAABjx7qWK8
    (2025-05-21 11:33:27)
ALICE:201904/10水單匯入USD11416*30.78
沖(229+2394+326+34+5274+3066+103)=11426</t>
        </r>
      </text>
    </comment>
    <comment ref="U158" authorId="0" shapeId="0" xr:uid="{F6C9D0C0-337C-6D47-B4CA-03F656643B12}">
      <text>
        <r>
          <rPr>
            <sz val="10"/>
            <color rgb="FF000000"/>
            <rFont val="Aptos Narrow"/>
            <scheme val="minor"/>
          </rPr>
          <t>======
ID#AAABjx7qS90
    (2025-05-21 11:33:26)
chloe:含BOM表裡</t>
        </r>
      </text>
    </comment>
    <comment ref="E159" authorId="0" shapeId="0" xr:uid="{FD482838-1ACD-4447-AA2E-EC1CD8430687}">
      <text>
        <r>
          <rPr>
            <sz val="10"/>
            <color rgb="FF000000"/>
            <rFont val="Aptos Narrow"/>
            <scheme val="minor"/>
          </rPr>
          <t>======
ID#AAABjx7qWJs
    (2025-05-21 11:33:27)
0301 chloe:原定DDS8GHIMBFC
 (8GB DDR3L DRAM Normal Temp)</t>
        </r>
      </text>
    </comment>
    <comment ref="H159" authorId="0" shapeId="0" xr:uid="{6146B753-0AFD-2649-A76D-2BAE4BBAA591}">
      <text>
        <r>
          <rPr>
            <sz val="10"/>
            <color rgb="FF000000"/>
            <rFont val="Aptos Narrow"/>
            <scheme val="minor"/>
          </rPr>
          <t>======
ID#AAABjx7qRYI
    (2025-05-21 11:33:25)
ALICE:201904/10水單匯入USD11416*30.78
沖(229+2394+326+34+5274+3066+103)=11426</t>
        </r>
      </text>
    </comment>
    <comment ref="O159" authorId="0" shapeId="0" xr:uid="{66C781F3-F690-DF41-A112-5937FA296962}">
      <text>
        <r>
          <rPr>
            <sz val="10"/>
            <color rgb="FF000000"/>
            <rFont val="Aptos Narrow"/>
            <scheme val="minor"/>
          </rPr>
          <t>======
ID#AAABj82dpMI
    (2025-05-21 11:33:23)
0226 chloe:修改型號TS1GSK64W6H</t>
        </r>
      </text>
    </comment>
    <comment ref="E160" authorId="0" shapeId="0" xr:uid="{2171D1F7-CBD6-034C-865E-DE107E659490}">
      <text>
        <r>
          <rPr>
            <sz val="10"/>
            <color rgb="FF000000"/>
            <rFont val="Aptos Narrow"/>
            <scheme val="minor"/>
          </rPr>
          <t>======
ID#AAABjx7qP4Q
    (2025-05-21 11:33:24)
256GB 2.5" SSD M3M MP808 Samsung eMMC ET(-25℃~+85℃)</t>
        </r>
      </text>
    </comment>
    <comment ref="H160" authorId="0" shapeId="0" xr:uid="{3A09D53A-3403-AB48-A57B-AB550880106A}">
      <text>
        <r>
          <rPr>
            <sz val="10"/>
            <color rgb="FF000000"/>
            <rFont val="Aptos Narrow"/>
            <scheme val="minor"/>
          </rPr>
          <t>======
ID#AAABjx7qWPY
    (2025-05-21 11:33:27)
ALICE:201904/10水單匯入USD11416*30.78
沖(229+2394+326+34+5274+3066+103)=11426</t>
        </r>
      </text>
    </comment>
    <comment ref="H161" authorId="0" shapeId="0" xr:uid="{79D100B3-1F05-8A4F-8030-F5DF93055969}">
      <text>
        <r>
          <rPr>
            <sz val="10"/>
            <color rgb="FF000000"/>
            <rFont val="Aptos Narrow"/>
            <scheme val="minor"/>
          </rPr>
          <t>======
ID#AAABjx7qVdU
    (2025-05-21 11:33:27)
ALICE:201904/10水單匯入USD11416*30.78
沖(229+2394+326+34+5274+3066+103)=11426</t>
        </r>
      </text>
    </comment>
    <comment ref="U161" authorId="0" shapeId="0" xr:uid="{BB5364EA-7704-794E-8735-8C6E352A6BB1}">
      <text>
        <r>
          <rPr>
            <sz val="10"/>
            <color rgb="FF000000"/>
            <rFont val="Aptos Narrow"/>
            <scheme val="minor"/>
          </rPr>
          <t>======
ID#AAABjx7qOJI
    (2025-05-21 11:33:24)
chloe:含BOM表裡</t>
        </r>
      </text>
    </comment>
    <comment ref="H162" authorId="0" shapeId="0" xr:uid="{B0123C22-9DF3-B445-BB4F-3C2EB50F0118}">
      <text>
        <r>
          <rPr>
            <sz val="10"/>
            <color rgb="FF000000"/>
            <rFont val="Aptos Narrow"/>
            <scheme val="minor"/>
          </rPr>
          <t>======
ID#AAABjx7qTNM
    (2025-05-21 11:33:26)
ALICE:201904/10水單匯入USD11416*30.78
沖(229+2394+326+34+5274+3066+103)=11426</t>
        </r>
      </text>
    </comment>
    <comment ref="U162" authorId="0" shapeId="0" xr:uid="{E2AE2A1B-5A44-364B-8240-325A23775C2B}">
      <text>
        <r>
          <rPr>
            <sz val="10"/>
            <color rgb="FF000000"/>
            <rFont val="Aptos Narrow"/>
            <scheme val="minor"/>
          </rPr>
          <t>======
ID#AAABjx7qQNc
    (2025-05-21 11:33:25)
chloe:含BOM表裡</t>
        </r>
      </text>
    </comment>
    <comment ref="H163" authorId="0" shapeId="0" xr:uid="{7F9DD161-9A35-7542-9414-5D1F945BC26E}">
      <text>
        <r>
          <rPr>
            <sz val="10"/>
            <color rgb="FF000000"/>
            <rFont val="Aptos Narrow"/>
            <scheme val="minor"/>
          </rPr>
          <t>======
ID#AAABjx7qMrc
    (2025-05-21 11:33:23)
0128 Mary: 匯款匯入 US $1,149</t>
        </r>
      </text>
    </comment>
    <comment ref="H164" authorId="0" shapeId="0" xr:uid="{3DA5C205-DE9C-154B-8659-CBDCD6D50600}">
      <text>
        <r>
          <rPr>
            <sz val="10"/>
            <color rgb="FF000000"/>
            <rFont val="Aptos Narrow"/>
            <scheme val="minor"/>
          </rPr>
          <t>======
ID#AAABjx7qRS4
    (2025-05-21 11:33:25)
0124 chloe:匯款匯入US$48799</t>
        </r>
      </text>
    </comment>
    <comment ref="H165" authorId="0" shapeId="0" xr:uid="{3A08177F-A939-DE43-994B-2A049564FC08}">
      <text>
        <r>
          <rPr>
            <sz val="10"/>
            <color rgb="FF000000"/>
            <rFont val="Aptos Narrow"/>
            <scheme val="minor"/>
          </rPr>
          <t>======
ID#AAABjx7qV34
    (2025-05-21 11:33:27)
0124 chloe:匯款匯入US$48799</t>
        </r>
      </text>
    </comment>
    <comment ref="H166" authorId="0" shapeId="0" xr:uid="{84712B12-F5DD-5740-B8B2-817D4C8083B8}">
      <text>
        <r>
          <rPr>
            <sz val="10"/>
            <color rgb="FF000000"/>
            <rFont val="Aptos Narrow"/>
            <scheme val="minor"/>
          </rPr>
          <t>======
ID#AAABjx7qVPA
    (2025-05-21 11:33:27)
0225  chloe:匯款匯入439676-30(手續費)</t>
        </r>
      </text>
    </comment>
    <comment ref="H167" authorId="0" shapeId="0" xr:uid="{20AEFAC6-7E77-204C-9B96-903170C36BFF}">
      <text>
        <r>
          <rPr>
            <sz val="10"/>
            <color rgb="FF000000"/>
            <rFont val="Aptos Narrow"/>
            <scheme val="minor"/>
          </rPr>
          <t>======
ID#AAABjx7qM9U
    (2025-05-21 11:33:23)
0227 chloe:匯款匯入US4578</t>
        </r>
      </text>
    </comment>
    <comment ref="K167" authorId="0" shapeId="0" xr:uid="{5CCFE736-FA6D-1341-BA74-DD50DABB7066}">
      <text>
        <r>
          <rPr>
            <sz val="10"/>
            <color rgb="FF000000"/>
            <rFont val="Aptos Narrow"/>
            <scheme val="minor"/>
          </rPr>
          <t>======
ID#AAABjx7qNSE
    (2025-05-21 11:33:23)
0212 San: 用DHL箱子把2個貨箱放成一個箱子</t>
        </r>
      </text>
    </comment>
    <comment ref="D168" authorId="0" shapeId="0" xr:uid="{A30A3CFF-53E9-F04C-9999-792C5921E186}">
      <text>
        <r>
          <rPr>
            <sz val="10"/>
            <color rgb="FF000000"/>
            <rFont val="Aptos Narrow"/>
            <scheme val="minor"/>
          </rPr>
          <t>======
ID#AAABjx7qVpE
    (2025-05-21 11:33:27)
1/21 Keiju: 已納入生產排程</t>
        </r>
      </text>
    </comment>
    <comment ref="H168" authorId="0" shapeId="0" xr:uid="{2877423B-521F-E14B-B4C7-22428BC7B54C}">
      <text>
        <r>
          <rPr>
            <sz val="10"/>
            <color rgb="FF000000"/>
            <rFont val="Aptos Narrow"/>
            <scheme val="minor"/>
          </rPr>
          <t>======
ID#AAABjx7qQy0
    (2025-05-21 11:33:25)
0227 chloe:匯款匯入US4578</t>
        </r>
      </text>
    </comment>
    <comment ref="K168" authorId="0" shapeId="0" xr:uid="{6F42575D-83E7-7242-B3AB-34EB72800070}">
      <text>
        <r>
          <rPr>
            <sz val="10"/>
            <color rgb="FF000000"/>
            <rFont val="Aptos Narrow"/>
            <scheme val="minor"/>
          </rPr>
          <t>======
ID#AAABjx7qPxM
    (2025-05-21 11:33:24)
0212 San: 用DHL箱子把2個貨箱放成一個箱子</t>
        </r>
      </text>
    </comment>
    <comment ref="M168" authorId="0" shapeId="0" xr:uid="{3771836D-5191-C141-A896-9CCC3892327B}">
      <text>
        <r>
          <rPr>
            <sz val="10"/>
            <color rgb="FF000000"/>
            <rFont val="Aptos Narrow"/>
            <scheme val="minor"/>
          </rPr>
          <t>======
ID#AAABjx7qPng
    (2025-05-21 11:33:24)
0114 chloe:待L85/L86 有交期後再下單</t>
        </r>
      </text>
    </comment>
    <comment ref="D169" authorId="0" shapeId="0" xr:uid="{34CC59C4-39C9-6243-8A12-2BC985F31F6C}">
      <text>
        <r>
          <rPr>
            <sz val="10"/>
            <color rgb="FF000000"/>
            <rFont val="Aptos Narrow"/>
            <scheme val="minor"/>
          </rPr>
          <t>======
ID#AAABjx7qQ5I
    (2025-05-21 11:33:25)
1/21 Keiju: 已納入生產排程</t>
        </r>
      </text>
    </comment>
    <comment ref="H169" authorId="0" shapeId="0" xr:uid="{D20F9795-7279-064B-8C7E-E258CB0904D3}">
      <text>
        <r>
          <rPr>
            <sz val="10"/>
            <color rgb="FF000000"/>
            <rFont val="Aptos Narrow"/>
            <scheme val="minor"/>
          </rPr>
          <t>======
ID#AAABjx7qR8M
    (2025-05-21 11:33:25)
0227 chloe:匯款匯入US4578</t>
        </r>
      </text>
    </comment>
    <comment ref="K169" authorId="0" shapeId="0" xr:uid="{77051C97-0174-8B4F-A197-D696A2396357}">
      <text>
        <r>
          <rPr>
            <sz val="10"/>
            <color rgb="FF000000"/>
            <rFont val="Aptos Narrow"/>
            <scheme val="minor"/>
          </rPr>
          <t>======
ID#AAABjx7qU4A
    (2025-05-21 11:33:26)
0212 San: 用DHL箱子把2個貨箱放成一個箱子</t>
        </r>
      </text>
    </comment>
    <comment ref="M169" authorId="0" shapeId="0" xr:uid="{9DD24B49-CE8D-1F4F-AAEC-410CF359582D}">
      <text>
        <r>
          <rPr>
            <sz val="10"/>
            <color rgb="FF000000"/>
            <rFont val="Aptos Narrow"/>
            <scheme val="minor"/>
          </rPr>
          <t>======
ID#AAABjx7qRBA
    (2025-05-21 11:33:25)
0114 chloe:待L85/L86 有交期後再下單</t>
        </r>
      </text>
    </comment>
    <comment ref="D170" authorId="0" shapeId="0" xr:uid="{C6C74059-3605-4F46-999A-AEE3C64A560B}">
      <text>
        <r>
          <rPr>
            <sz val="10"/>
            <color rgb="FF000000"/>
            <rFont val="Aptos Narrow"/>
            <scheme val="minor"/>
          </rPr>
          <t>======
ID#AAABjx7qMvA
    (2025-05-21 11:33:23)
1/21 Keiju: 已納入生產排程</t>
        </r>
      </text>
    </comment>
    <comment ref="H170" authorId="0" shapeId="0" xr:uid="{4622854C-F54F-4043-8ECD-BBED073A236E}">
      <text>
        <r>
          <rPr>
            <sz val="10"/>
            <color rgb="FF000000"/>
            <rFont val="Aptos Narrow"/>
            <scheme val="minor"/>
          </rPr>
          <t>======
ID#AAABjx7qSnk
    (2025-05-21 11:33:26)
0227 chloe:匯款匯入US4578</t>
        </r>
      </text>
    </comment>
    <comment ref="K170" authorId="0" shapeId="0" xr:uid="{33EDC915-B8A5-F447-B878-A08CCC3B7973}">
      <text>
        <r>
          <rPr>
            <sz val="10"/>
            <color rgb="FF000000"/>
            <rFont val="Aptos Narrow"/>
            <scheme val="minor"/>
          </rPr>
          <t>======
ID#AAABjx7qNUE
    (2025-05-21 11:33:23)
0212 San: 用DHL箱子把2個貨箱放成一個箱子</t>
        </r>
      </text>
    </comment>
    <comment ref="M170" authorId="0" shapeId="0" xr:uid="{7A80C0E6-16D6-EB46-9B84-9CBC61970045}">
      <text>
        <r>
          <rPr>
            <sz val="10"/>
            <color rgb="FF000000"/>
            <rFont val="Aptos Narrow"/>
            <scheme val="minor"/>
          </rPr>
          <t>======
ID#AAABjx7qOdU
    (2025-05-21 11:33:24)
0114 chloe:待L85/L86 有交期後再下單</t>
        </r>
      </text>
    </comment>
    <comment ref="D171" authorId="0" shapeId="0" xr:uid="{933A6AC5-7484-BB4A-AAF4-F38DC2BACC29}">
      <text>
        <r>
          <rPr>
            <sz val="10"/>
            <color rgb="FF000000"/>
            <rFont val="Aptos Narrow"/>
            <scheme val="minor"/>
          </rPr>
          <t>======
ID#AAABjx7qNkk
    (2025-05-21 11:33:23)
1/21 Keiju: 出貨前拍照</t>
        </r>
      </text>
    </comment>
    <comment ref="H171" authorId="0" shapeId="0" xr:uid="{5FA9262E-D1F8-3148-BFEB-039C7F5AC4CA}">
      <text>
        <r>
          <rPr>
            <sz val="10"/>
            <color rgb="FF000000"/>
            <rFont val="Aptos Narrow"/>
            <scheme val="minor"/>
          </rPr>
          <t>======
ID#AAABjx7qV00
    (2025-05-21 11:33:27)
0227 chloe:匯款匯入US4578*30.73-手續費NT200=NT140482</t>
        </r>
      </text>
    </comment>
    <comment ref="K171" authorId="0" shapeId="0" xr:uid="{77661402-EDAA-D041-9E52-49A70EDC0E14}">
      <text>
        <r>
          <rPr>
            <sz val="10"/>
            <color rgb="FF000000"/>
            <rFont val="Aptos Narrow"/>
            <scheme val="minor"/>
          </rPr>
          <t>======
ID#AAABjx7qQhA
    (2025-05-21 11:33:25)
0212 San: 用DHL箱子把2個貨箱放成一個箱子</t>
        </r>
      </text>
    </comment>
    <comment ref="M171" authorId="0" shapeId="0" xr:uid="{15AA14E2-EEA2-1A48-8376-06CB25D3F618}">
      <text>
        <r>
          <rPr>
            <sz val="10"/>
            <color rgb="FF000000"/>
            <rFont val="Aptos Narrow"/>
            <scheme val="minor"/>
          </rPr>
          <t>======
ID#AAABjx7qM44
    (2025-05-21 11:33:23)
0227:Cathy 寄大榮</t>
        </r>
      </text>
    </comment>
    <comment ref="AK171" authorId="0" shapeId="0" xr:uid="{F80B8BB4-44BF-124E-91F3-C502E035F9E9}">
      <text>
        <r>
          <rPr>
            <sz val="10"/>
            <color rgb="FF000000"/>
            <rFont val="Aptos Narrow"/>
            <scheme val="minor"/>
          </rPr>
          <t>======
ID#AAABjx7qVQE
    (2025-05-21 11:33:27)
ALICE:PI-20190111A訂單總計USD4578，水單2019/02/27匯入USD4571.49*30.73=NT140,482
手續費USD6.51*30.73=NT200元整</t>
        </r>
      </text>
    </comment>
    <comment ref="AL171" authorId="0" shapeId="0" xr:uid="{075665E4-A1C4-754D-A939-D2C7F975DEB2}">
      <text>
        <r>
          <rPr>
            <sz val="10"/>
            <color rgb="FF000000"/>
            <rFont val="Aptos Narrow"/>
            <scheme val="minor"/>
          </rPr>
          <t>======
ID#AAABjx7qOig
    (2025-05-21 11:33:24)
ALICE:PI-20190111A訂單總計USD4578，水單2019/02/27匯入USD4571.49*30.73=NT140,482
手續費USD6.51*30.73=NT200元整</t>
        </r>
      </text>
    </comment>
    <comment ref="D172" authorId="0" shapeId="0" xr:uid="{4712DD50-2151-2540-9EB0-58BD9A58ACB3}">
      <text>
        <r>
          <rPr>
            <sz val="10"/>
            <color rgb="FF000000"/>
            <rFont val="Aptos Narrow"/>
            <scheme val="minor"/>
          </rPr>
          <t>======
ID#AAABjx7qUr4
    (2025-05-21 11:33:26)
1/17 倉管Keiju: 已領出30, 交給業助</t>
        </r>
      </text>
    </comment>
    <comment ref="H172" authorId="0" shapeId="0" xr:uid="{903616FB-5765-4143-BDA7-F5A6B8C0F6A0}">
      <text>
        <r>
          <rPr>
            <sz val="10"/>
            <color rgb="FF000000"/>
            <rFont val="Aptos Narrow"/>
            <scheme val="minor"/>
          </rPr>
          <t>======
ID#AAABjx7qQA8
    (2025-05-21 11:33:25)
0329 chloe:匯款匯入US$340.5</t>
        </r>
      </text>
    </comment>
    <comment ref="M172" authorId="0" shapeId="0" xr:uid="{D7417F65-B224-CF4E-B292-B629F45F2F10}">
      <text>
        <r>
          <rPr>
            <sz val="10"/>
            <color rgb="FF000000"/>
            <rFont val="Aptos Narrow"/>
            <scheme val="minor"/>
          </rPr>
          <t>======
ID#AAABjx7qPMc
    (2025-05-21 11:33:24)
0118 Cathy: 線材30PCS在Cathy手上
0116 chloe: 庫存:33 PCS, 下單交期:2/19</t>
        </r>
      </text>
    </comment>
    <comment ref="H173" authorId="0" shapeId="0" xr:uid="{A40AB297-DCE2-3A41-ADFA-A9F37FE706E7}">
      <text>
        <r>
          <rPr>
            <sz val="10"/>
            <color rgb="FF000000"/>
            <rFont val="Aptos Narrow"/>
            <scheme val="minor"/>
          </rPr>
          <t>======
ID#AAABjx7qVWs
    (2025-05-21 11:33:27)
0329 chloe:匯款匯入US$340.5</t>
        </r>
      </text>
    </comment>
    <comment ref="M173" authorId="0" shapeId="0" xr:uid="{F6CC866D-C830-C64B-BF99-D8A4EBA3201C}">
      <text>
        <r>
          <rPr>
            <sz val="10"/>
            <color rgb="FF000000"/>
            <rFont val="Aptos Narrow"/>
            <scheme val="minor"/>
          </rPr>
          <t>======
ID#AAABjx7qTso
    (2025-05-21 11:33:26)
下單交期:2/19
請與倉管領料</t>
        </r>
      </text>
    </comment>
    <comment ref="H174" authorId="0" shapeId="0" xr:uid="{5939A2BD-2804-0F4E-BA0F-54649DEFFDB1}">
      <text>
        <r>
          <rPr>
            <sz val="10"/>
            <color rgb="FF000000"/>
            <rFont val="Aptos Narrow"/>
            <scheme val="minor"/>
          </rPr>
          <t>======
ID#AAABjx7qVAo
    (2025-05-21 11:33:27)
0311  chloe:匯款匯入US1134-20(手續費)</t>
        </r>
      </text>
    </comment>
    <comment ref="O174" authorId="0" shapeId="0" xr:uid="{5CD1CB47-9999-6C4E-91F9-ACED3F073E7E}">
      <text>
        <r>
          <rPr>
            <sz val="10"/>
            <color rgb="FF000000"/>
            <rFont val="Aptos Narrow"/>
            <scheme val="minor"/>
          </rPr>
          <t>======
ID#AAABjx7qTLE
    (2025-05-21 11:33:26)
0118下單</t>
        </r>
      </text>
    </comment>
    <comment ref="H175" authorId="0" shapeId="0" xr:uid="{204D9CBC-91FF-EA4A-8E7F-68DD3A8DD16D}">
      <text>
        <r>
          <rPr>
            <sz val="10"/>
            <color rgb="FF000000"/>
            <rFont val="Aptos Narrow"/>
            <scheme val="minor"/>
          </rPr>
          <t>======
ID#AAABjx7qR-c
    (2025-05-21 11:33:25)
0311  chloe:匯款匯入US1134-20(手續費)</t>
        </r>
      </text>
    </comment>
    <comment ref="O175" authorId="0" shapeId="0" xr:uid="{4F03276D-A719-7446-B588-7C67E7F12E27}">
      <text>
        <r>
          <rPr>
            <sz val="10"/>
            <color rgb="FF000000"/>
            <rFont val="Aptos Narrow"/>
            <scheme val="minor"/>
          </rPr>
          <t>======
ID#AAABjx7qM8M
    (2025-05-21 11:33:23)
0118下單</t>
        </r>
      </text>
    </comment>
    <comment ref="H176" authorId="0" shapeId="0" xr:uid="{26772C53-FD01-C44D-BFA5-C0D59E7DD41C}">
      <text>
        <r>
          <rPr>
            <sz val="10"/>
            <color rgb="FF000000"/>
            <rFont val="Aptos Narrow"/>
            <scheme val="minor"/>
          </rPr>
          <t>======
ID#AAABjx7qU0s
    (2025-05-21 11:33:26)
0311  chloe:匯款匯入US1134-20(手續費)</t>
        </r>
      </text>
    </comment>
    <comment ref="O176" authorId="0" shapeId="0" xr:uid="{AB1EAF67-61CE-AE44-8A30-F1F6C7B9A8A1}">
      <text>
        <r>
          <rPr>
            <sz val="10"/>
            <color rgb="FF000000"/>
            <rFont val="Aptos Narrow"/>
            <scheme val="minor"/>
          </rPr>
          <t>======
ID#AAABjx7qVXo
    (2025-05-21 11:33:27)
0118下單</t>
        </r>
      </text>
    </comment>
    <comment ref="H177" authorId="0" shapeId="0" xr:uid="{82E03EEC-AD09-F443-A625-C4DB4330FB9C}">
      <text>
        <r>
          <rPr>
            <sz val="10"/>
            <color rgb="FF000000"/>
            <rFont val="Aptos Narrow"/>
            <scheme val="minor"/>
          </rPr>
          <t>======
ID#AAABjx7qV18
    (2025-05-21 11:33:27)
0306 chloe:匯款匯入US$14480.6(含20190119A RG58 cable Sample)</t>
        </r>
      </text>
    </comment>
    <comment ref="K177" authorId="0" shapeId="0" xr:uid="{6CB0B5F0-58FD-234E-8A7C-C78C9BB6DC0D}">
      <text>
        <r>
          <rPr>
            <sz val="10"/>
            <color rgb="FF000000"/>
            <rFont val="Aptos Narrow"/>
            <scheme val="minor"/>
          </rPr>
          <t>======
ID#AAABjx7qR5A
    (2025-05-21 11:33:25)
Vecow 年底前交貨, 收到超恩貨+2-3 days出貨Ti2</t>
        </r>
      </text>
    </comment>
    <comment ref="Z177" authorId="0" shapeId="0" xr:uid="{F194A59B-AD29-664C-B24E-03E90C1B282B}">
      <text>
        <r>
          <rPr>
            <sz val="10"/>
            <color rgb="FF000000"/>
            <rFont val="Aptos Narrow"/>
            <scheme val="minor"/>
          </rPr>
          <t>======
ID#AAABjx7qTOc
    (2025-05-21 11:33:26)
含提單:3658076855 Cable寄出費用</t>
        </r>
      </text>
    </comment>
    <comment ref="D178" authorId="0" shapeId="0" xr:uid="{636A892A-2ABA-E34B-9FD6-642C70F6BEE0}">
      <text>
        <r>
          <rPr>
            <sz val="10"/>
            <color rgb="FF000000"/>
            <rFont val="Aptos Narrow"/>
            <scheme val="minor"/>
          </rPr>
          <t>======
ID#AAABjx7qQm0
    (2025-05-21 11:33:25)
1/21 Keiju: 出貨前拍照</t>
        </r>
      </text>
    </comment>
    <comment ref="H178" authorId="0" shapeId="0" xr:uid="{2AB81351-0D33-934D-B748-C7B0358C9DC5}">
      <text>
        <r>
          <rPr>
            <sz val="10"/>
            <color rgb="FF000000"/>
            <rFont val="Aptos Narrow"/>
            <scheme val="minor"/>
          </rPr>
          <t>======
ID#AAABjx7qPf0
    (2025-05-21 11:33:24)
ALICE:2019/05/02-水單匯入USD21462.5</t>
        </r>
      </text>
    </comment>
    <comment ref="K178" authorId="0" shapeId="0" xr:uid="{922F9107-F2AD-2846-B3AF-6B1FC478BFA0}">
      <text>
        <r>
          <rPr>
            <sz val="10"/>
            <color rgb="FF000000"/>
            <rFont val="Aptos Narrow"/>
            <scheme val="minor"/>
          </rPr>
          <t>======
ID#AAABjx7qM4c
    (2025-05-21 11:33:23)
0226 Cathy: 詢問alan 出雪梨
0121 Sant: 出貨前拍照</t>
        </r>
      </text>
    </comment>
    <comment ref="M178" authorId="0" shapeId="0" xr:uid="{C48E73E1-B484-7D4B-A839-DB864519DE0E}">
      <text>
        <r>
          <rPr>
            <sz val="10"/>
            <color rgb="FF000000"/>
            <rFont val="Aptos Narrow"/>
            <scheme val="minor"/>
          </rPr>
          <t>======
ID#AAABjx7qSpk
    (2025-05-21 11:33:26)
在此輸入
0219 Cathy: 原delay 交期2/21,現回覆交期2/27(補償:快遞費用不收取)
0213 cathy: 原交期2/14, 廠商通知延後2/21進</t>
        </r>
      </text>
    </comment>
    <comment ref="O178" authorId="0" shapeId="0" xr:uid="{8852FFB7-FD86-C04A-8FF6-511B084F9EAC}">
      <text>
        <r>
          <rPr>
            <sz val="10"/>
            <color rgb="FF000000"/>
            <rFont val="Aptos Narrow"/>
            <scheme val="minor"/>
          </rPr>
          <t>======
ID#AAABjx7qSSc
    (2025-05-21 11:33:26)
0119已簽回wago報價單(下單)</t>
        </r>
      </text>
    </comment>
    <comment ref="AK178" authorId="0" shapeId="0" xr:uid="{94668691-B1DA-9A47-BBEA-E14259F37013}">
      <text>
        <r>
          <rPr>
            <sz val="10"/>
            <color rgb="FF000000"/>
            <rFont val="Aptos Narrow"/>
            <scheme val="minor"/>
          </rPr>
          <t>======
ID#AAABjx7qU_4
    (2025-05-21 11:33:27)
ALICE:2019/05/02-水單匯入USD21462.5-(匯出手續費USD10+匯入手續費USD10.73)=USD21441.77*30.84=NT661264</t>
        </r>
      </text>
    </comment>
    <comment ref="AL178" authorId="0" shapeId="0" xr:uid="{E219099E-2DE2-564A-BE8E-01ECF677BD83}">
      <text>
        <r>
          <rPr>
            <sz val="10"/>
            <color rgb="FF000000"/>
            <rFont val="Aptos Narrow"/>
            <scheme val="minor"/>
          </rPr>
          <t>======
ID#AAABjx7qSEE
    (2025-05-21 11:33:26)
ALICE:2019/05/02-水單匯入USD21462.5-(匯出手續費USD10+匯入手續費USD10.73)=USD21441.77*30.84=NT661264</t>
        </r>
      </text>
    </comment>
    <comment ref="H179" authorId="0" shapeId="0" xr:uid="{43B1A928-3B91-944C-8010-3E37B92F157F}">
      <text>
        <r>
          <rPr>
            <sz val="10"/>
            <color rgb="FF000000"/>
            <rFont val="Aptos Narrow"/>
            <scheme val="minor"/>
          </rPr>
          <t>======
ID#AAABjx7qP_U
    (2025-05-21 11:33:25)
ALICE:2019/05/02-水單匯入USD21462.5</t>
        </r>
      </text>
    </comment>
    <comment ref="K179" authorId="0" shapeId="0" xr:uid="{DDB84CDF-5EFD-8649-86F7-7D659C73993D}">
      <text>
        <r>
          <rPr>
            <sz val="10"/>
            <color rgb="FF000000"/>
            <rFont val="Aptos Narrow"/>
            <scheme val="minor"/>
          </rPr>
          <t>======
ID#AAABjx7qOyY
    (2025-05-21 11:33:24)
0226 Cathy: 詢問alan 出雪梨
0121 Sant: 出貨前拍照</t>
        </r>
      </text>
    </comment>
    <comment ref="M179" authorId="0" shapeId="0" xr:uid="{E203B4E5-611B-1B4A-8349-265EBCD79E62}">
      <text>
        <r>
          <rPr>
            <sz val="10"/>
            <color rgb="FF000000"/>
            <rFont val="Aptos Narrow"/>
            <scheme val="minor"/>
          </rPr>
          <t>======
ID#AAABjx7qN2A
0213 Cathy    (2025-05-21 11:33:23)
1.發現下單錯誤(下成8101，已與廠商詢問有否750-375
物料
2.廠商告知750-375 交期2w ，若走快遞2/19到，會產生快遞費用約1k
3.san同意走快遞</t>
        </r>
      </text>
    </comment>
    <comment ref="O179" authorId="0" shapeId="0" xr:uid="{30AAE47D-6737-2C49-B8D9-69C83612F745}">
      <text>
        <r>
          <rPr>
            <sz val="10"/>
            <color rgb="FF000000"/>
            <rFont val="Aptos Narrow"/>
            <scheme val="minor"/>
          </rPr>
          <t>======
ID#AAABjx7qWCw
    (2025-05-21 11:33:27)
0213 Cathy: 從新下單，快遞回台</t>
        </r>
      </text>
    </comment>
    <comment ref="AK179" authorId="0" shapeId="0" xr:uid="{CD0E9870-B45E-E24F-B05B-F2DE73BBF1AC}">
      <text>
        <r>
          <rPr>
            <sz val="10"/>
            <color rgb="FF000000"/>
            <rFont val="Aptos Narrow"/>
            <scheme val="minor"/>
          </rPr>
          <t>======
ID#AAABjx7qQyc
    (2025-05-21 11:33:25)
ALICE:2019/05/02-水單匯入USD21462.5-(匯出手續費USD10+匯入手續費USD10.73)=USD21441.77*30.84=NT661264</t>
        </r>
      </text>
    </comment>
    <comment ref="AL179" authorId="0" shapeId="0" xr:uid="{286CFC55-B0D6-E948-9E6D-990979124845}">
      <text>
        <r>
          <rPr>
            <sz val="10"/>
            <color rgb="FF000000"/>
            <rFont val="Aptos Narrow"/>
            <scheme val="minor"/>
          </rPr>
          <t>======
ID#AAABjx7qQUY
    (2025-05-21 11:33:25)
ALICE:2019/05/02-水單匯入USD21462.5-(匯出手續費USD10+匯入手續費USD10.73)=USD21441.77*30.84=NT661264</t>
        </r>
      </text>
    </comment>
    <comment ref="E180" authorId="0" shapeId="0" xr:uid="{4AE7E0B3-E0D8-8D43-8B70-1CFD7EFF8B83}">
      <text>
        <r>
          <rPr>
            <sz val="10"/>
            <color rgb="FF000000"/>
            <rFont val="Aptos Narrow"/>
            <scheme val="minor"/>
          </rPr>
          <t>======
ID#AAABjx7qQns
0213 Cathy    (2025-05-21 11:33:25)
1. 發現下單錯誤(下成8101，已與廠商詢問有否750-375物料
2. 請廠商協助詢問有否客戶需求
0215 cathy:廠商告知申請到不出貨(可cancel)</t>
        </r>
      </text>
    </comment>
    <comment ref="K180" authorId="0" shapeId="0" xr:uid="{AB29F8C3-B9F8-A941-9C87-9B195B5FA212}">
      <text>
        <r>
          <rPr>
            <sz val="10"/>
            <color rgb="FF000000"/>
            <rFont val="Aptos Narrow"/>
            <scheme val="minor"/>
          </rPr>
          <t>======
ID#AAABjx7qRi0
    (2025-05-21 11:33:25)
0121 Sant: 出貨前拍照</t>
        </r>
      </text>
    </comment>
    <comment ref="M180" authorId="0" shapeId="0" xr:uid="{B1F3552F-1305-3C41-B19B-5616AB2E1682}">
      <text>
        <r>
          <rPr>
            <sz val="10"/>
            <color rgb="FF000000"/>
            <rFont val="Aptos Narrow"/>
            <scheme val="minor"/>
          </rPr>
          <t>======
ID#AAABjx7qV1Q
0213 Cathy    (2025-05-21 11:33:27)
1.發現下單錯誤(下成8101，已與廠商詢問有否750-375
物料
2.廠商告知750-375 交期2w ，若走快遞2/19到，會產生快遞費用約1k</t>
        </r>
      </text>
    </comment>
    <comment ref="O180" authorId="0" shapeId="0" xr:uid="{6C61CDCE-902E-D14E-ACD2-3DE1D350DC4F}">
      <text>
        <r>
          <rPr>
            <sz val="10"/>
            <color rgb="FF000000"/>
            <rFont val="Aptos Narrow"/>
            <scheme val="minor"/>
          </rPr>
          <t>======
ID#AAABjx7qNL8
    (2025-05-21 11:33:23)
0119已簽回wago報價單(下單)</t>
        </r>
      </text>
    </comment>
    <comment ref="U180" authorId="0" shapeId="0" xr:uid="{83EC579E-3284-5C4A-A921-0E36E5248029}">
      <text>
        <r>
          <rPr>
            <sz val="10"/>
            <color rgb="FF000000"/>
            <rFont val="Aptos Narrow"/>
            <scheme val="minor"/>
          </rPr>
          <t>======
ID#AAABjx7qWOw
    (2025-05-21 11:33:27)
14314</t>
        </r>
      </text>
    </comment>
    <comment ref="H181" authorId="0" shapeId="0" xr:uid="{BCAA9121-C3BA-F444-8C6C-C87FA4C9D200}">
      <text>
        <r>
          <rPr>
            <sz val="10"/>
            <color rgb="FF000000"/>
            <rFont val="Aptos Narrow"/>
            <scheme val="minor"/>
          </rPr>
          <t>======
ID#AAABjx7qP94
    (2025-05-21 11:33:25)
0128 Mary: 匯款匯入 US$5,260</t>
        </r>
      </text>
    </comment>
    <comment ref="U181" authorId="0" shapeId="0" xr:uid="{ED51AA81-DF2B-5A44-9523-1D9E079341C5}">
      <text>
        <r>
          <rPr>
            <sz val="10"/>
            <color rgb="FF000000"/>
            <rFont val="Aptos Narrow"/>
            <scheme val="minor"/>
          </rPr>
          <t>======
ID#AAABjx7qNYs
    (2025-05-21 11:33:23)
見BOM(含稅)</t>
        </r>
      </text>
    </comment>
    <comment ref="H182" authorId="0" shapeId="0" xr:uid="{79C86043-2082-594A-961E-D016CFCA7FF2}">
      <text>
        <r>
          <rPr>
            <sz val="10"/>
            <color rgb="FF000000"/>
            <rFont val="Aptos Narrow"/>
            <scheme val="minor"/>
          </rPr>
          <t>======
ID#AAABjx7qOAQ
    (2025-05-21 11:33:24)
0128 Mary: 匯款匯入 US$5,260(同H103)</t>
        </r>
      </text>
    </comment>
    <comment ref="H183" authorId="0" shapeId="0" xr:uid="{53E54FB7-12AB-5842-81C1-11292C522AF4}">
      <text>
        <r>
          <rPr>
            <sz val="10"/>
            <color rgb="FF000000"/>
            <rFont val="Aptos Narrow"/>
            <scheme val="minor"/>
          </rPr>
          <t>======
ID#AAABjx7qQWE
    (2025-05-21 11:33:25)
0128 Mary: 匯款匯入 US$5,260(同H103)</t>
        </r>
      </text>
    </comment>
    <comment ref="H184" authorId="0" shapeId="0" xr:uid="{B645E2D8-4604-8E4F-A9A0-D7165F488E2C}">
      <text>
        <r>
          <rPr>
            <sz val="10"/>
            <color rgb="FF000000"/>
            <rFont val="Aptos Narrow"/>
            <scheme val="minor"/>
          </rPr>
          <t>======
ID#AAABjx7qPH8
    (2025-05-21 11:33:24)
0128 Mary: 匯款匯入 US$5,260(同H103)</t>
        </r>
      </text>
    </comment>
    <comment ref="H185" authorId="0" shapeId="0" xr:uid="{0BF11E02-5643-FA47-8572-6C8604BC2333}">
      <text>
        <r>
          <rPr>
            <sz val="10"/>
            <color rgb="FF000000"/>
            <rFont val="Aptos Narrow"/>
            <scheme val="minor"/>
          </rPr>
          <t>======
ID#AAABjx7qN6Y
    (2025-05-21 11:33:23)
0128 Mary: 匯款匯入 US$5,260(同H103)</t>
        </r>
      </text>
    </comment>
    <comment ref="H186" authorId="0" shapeId="0" xr:uid="{FFDB2C8D-211C-D446-BB4F-7FDAE177B44E}">
      <text>
        <r>
          <rPr>
            <sz val="10"/>
            <color rgb="FF000000"/>
            <rFont val="Aptos Narrow"/>
            <scheme val="minor"/>
          </rPr>
          <t>======
ID#AAABjx7qPTc
    (2025-05-21 11:33:24)
0128 Mary: 匯款匯入 US$5,260(同H103)</t>
        </r>
      </text>
    </comment>
    <comment ref="H187" authorId="0" shapeId="0" xr:uid="{49B0228D-C6DC-AF48-ABBC-A40A8F6BD1B7}">
      <text>
        <r>
          <rPr>
            <sz val="10"/>
            <color rgb="FF000000"/>
            <rFont val="Aptos Narrow"/>
            <scheme val="minor"/>
          </rPr>
          <t>======
ID#AAABjx7qQjs
    (2025-05-21 11:33:25)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88" authorId="0" shapeId="0" xr:uid="{CB0C9A70-4A78-FB41-A1F3-704D0C1590CA}">
      <text>
        <r>
          <rPr>
            <sz val="10"/>
            <color rgb="FF000000"/>
            <rFont val="Aptos Narrow"/>
            <scheme val="minor"/>
          </rPr>
          <t>======
ID#AAABjx7qSug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89" authorId="0" shapeId="0" xr:uid="{DC2936B1-1F2F-524D-9A48-F98EA2352996}">
      <text>
        <r>
          <rPr>
            <sz val="10"/>
            <color rgb="FF000000"/>
            <rFont val="Aptos Narrow"/>
            <scheme val="minor"/>
          </rPr>
          <t>======
ID#AAABjx7qOFc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90" authorId="0" shapeId="0" xr:uid="{E261A918-0461-6F49-9FAF-8C942D1856AA}">
      <text>
        <r>
          <rPr>
            <sz val="10"/>
            <color rgb="FF000000"/>
            <rFont val="Aptos Narrow"/>
            <scheme val="minor"/>
          </rPr>
          <t>======
ID#AAABjx7qNlo
    (2025-05-21 11:33:23)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191" authorId="0" shapeId="0" xr:uid="{AC3737F2-6307-2F4A-BF0A-FE7978B30BD3}">
      <text>
        <r>
          <rPr>
            <sz val="10"/>
            <color rgb="FF000000"/>
            <rFont val="Aptos Narrow"/>
            <scheme val="minor"/>
          </rPr>
          <t>======
ID#AAABjx7qWSY
    (2025-05-21 11:33:27)
ALICE:5/3收到USD12965.5(沖PI-20190121B.PI20190217A.PI-20190131C.PI-20190313A.PI-20190306A)</t>
        </r>
      </text>
    </comment>
    <comment ref="H192" authorId="0" shapeId="0" xr:uid="{9D581761-0E58-8A41-A9E8-4900429FDEE5}">
      <text>
        <r>
          <rPr>
            <sz val="10"/>
            <color rgb="FF000000"/>
            <rFont val="Aptos Narrow"/>
            <scheme val="minor"/>
          </rPr>
          <t>======
ID#AAABjx7qTAU
    (2025-05-21 11:33:26)
ALICE:5/3收到USD12965.5(沖PI-20190121B.PI20190217A.PI-20190131C.PI-20190313A.PI-20190306A)</t>
        </r>
      </text>
    </comment>
    <comment ref="H193" authorId="0" shapeId="0" xr:uid="{D07824A2-81B7-B148-9548-348EC553059C}">
      <text>
        <r>
          <rPr>
            <sz val="10"/>
            <color rgb="FF000000"/>
            <rFont val="Aptos Narrow"/>
            <scheme val="minor"/>
          </rPr>
          <t>======
ID#AAABjx7qNBY
    (2025-05-21 11:33:23)
ALICE:5/3收到USD12965.5(沖PI-20190121B.PI20190217A.PI-20190131C.PI-20190313A.PI-20190306A)</t>
        </r>
      </text>
    </comment>
    <comment ref="H194" authorId="0" shapeId="0" xr:uid="{E08630C1-263E-1F46-A48D-2E0DD981FB8D}">
      <text>
        <r>
          <rPr>
            <sz val="10"/>
            <color rgb="FF000000"/>
            <rFont val="Aptos Narrow"/>
            <scheme val="minor"/>
          </rPr>
          <t>======
ID#AAABjx7qVNI
    (2025-05-21 11:33:27)
0201 chloe:匯款匯入38286-20(手續費)</t>
        </r>
      </text>
    </comment>
    <comment ref="O194" authorId="0" shapeId="0" xr:uid="{A240D13E-3DB7-234C-9893-7698B5F348E4}">
      <text>
        <r>
          <rPr>
            <sz val="10"/>
            <color rgb="FF000000"/>
            <rFont val="Aptos Narrow"/>
            <scheme val="minor"/>
          </rPr>
          <t>======
ID#AAABjx7qQic
    (2025-05-21 11:33:25)
1/25 下單&amp;回簽報價單</t>
        </r>
      </text>
    </comment>
    <comment ref="AK194" authorId="0" shapeId="0" xr:uid="{2C96EA6A-E157-A543-AB36-6C1388B049FA}">
      <text>
        <r>
          <rPr>
            <sz val="10"/>
            <color rgb="FF000000"/>
            <rFont val="Aptos Narrow"/>
            <scheme val="minor"/>
          </rPr>
          <t>======
ID#AAABjx7qOxI
    (2025-05-21 11:33:24)
ALICE:2019/02/01-應收總額USD38286 實收USD38266-手續費USD19.13=USD38246.87*30.69=NT1,173,796元整</t>
        </r>
      </text>
    </comment>
    <comment ref="AL194" authorId="0" shapeId="0" xr:uid="{245ABC5C-05A2-774B-811C-BC46D9A4E0A9}">
      <text>
        <r>
          <rPr>
            <sz val="10"/>
            <color rgb="FF000000"/>
            <rFont val="Aptos Narrow"/>
            <scheme val="minor"/>
          </rPr>
          <t>======
ID#AAABjx7qOF8
    (2025-05-21 11:33:24)
ALICE:2019/02/01-應收總額USD38286 實收USD38266-手續費USD19.13=USD38246.87*30.69=NT1,173,796元整</t>
        </r>
      </text>
    </comment>
    <comment ref="H195" authorId="0" shapeId="0" xr:uid="{55AFCFDE-3FF7-5F48-BF45-37050F27F664}">
      <text>
        <r>
          <rPr>
            <sz val="10"/>
            <color rgb="FF000000"/>
            <rFont val="Aptos Narrow"/>
            <scheme val="minor"/>
          </rPr>
          <t>======
ID#AAABjx7qSQ8
    (2025-05-21 11:33:26)
ALICE:201904/10水單匯入USD11416*30.78
沖(229+2394+326+34+5274+3066+103)=11426</t>
        </r>
      </text>
    </comment>
    <comment ref="K195" authorId="0" shapeId="0" xr:uid="{B1DEDE03-D3F2-1248-822B-93665C71F500}">
      <text>
        <r>
          <rPr>
            <sz val="10"/>
            <color rgb="FF000000"/>
            <rFont val="Aptos Narrow"/>
            <scheme val="minor"/>
          </rPr>
          <t>======
ID#AAABjx7qV1o
    (2025-05-21 11:33:27)
在此輸入
0220 Bruce: 告知預計2/25可出貨</t>
        </r>
      </text>
    </comment>
    <comment ref="O195" authorId="0" shapeId="0" xr:uid="{0AA218BC-2B53-534F-BB51-6C133610ED99}">
      <text>
        <r>
          <rPr>
            <sz val="10"/>
            <color rgb="FF000000"/>
            <rFont val="Aptos Narrow"/>
            <scheme val="minor"/>
          </rPr>
          <t>======
ID#AAABjx7qMyo
    (2025-05-21 11:33:23)
0125下單</t>
        </r>
      </text>
    </comment>
    <comment ref="D196" authorId="0" shapeId="0" xr:uid="{0D5D5AFA-05D6-6A46-BDAE-3DCC9CED4218}">
      <text>
        <r>
          <rPr>
            <sz val="10"/>
            <color rgb="FF000000"/>
            <rFont val="Aptos Narrow"/>
            <scheme val="minor"/>
          </rPr>
          <t>======
ID#AAABjx7qPVg
    (2025-05-21 11:33:24)
1/25宸曜這批無法協駔組裝SSD &amp; DRAM, 需自行組裝, 並請確認SATA Cable、DRAM處需點膠加強.</t>
        </r>
      </text>
    </comment>
    <comment ref="E196" authorId="0" shapeId="0" xr:uid="{C2E5C07E-4CFC-1C47-A12B-4060970EE98E}">
      <text>
        <r>
          <rPr>
            <sz val="10"/>
            <color rgb="FF000000"/>
            <rFont val="Aptos Narrow"/>
            <scheme val="minor"/>
          </rPr>
          <t>======
ID#AAABjx7qOko
    (2025-05-21 11:33:24)
NeouSys 1/23 於 Line group 報價$283</t>
        </r>
      </text>
    </comment>
    <comment ref="H196" authorId="0" shapeId="0" xr:uid="{168F9BAE-E5E9-D94A-A372-964DB55F8C90}">
      <text>
        <r>
          <rPr>
            <sz val="10"/>
            <color rgb="FF000000"/>
            <rFont val="Aptos Narrow"/>
            <scheme val="minor"/>
          </rPr>
          <t>======
ID#AAABjx7qO9k
    (2025-05-21 11:33:24)
ALICE:201904/10水單匯入USD11416*30.78
沖(229+2394+326+34+5274+3066+103)=11426</t>
        </r>
      </text>
    </comment>
    <comment ref="K196" authorId="0" shapeId="0" xr:uid="{4F7BEF4A-2C37-9F4E-AA6C-D3E55B19F53E}">
      <text>
        <r>
          <rPr>
            <sz val="10"/>
            <color rgb="FF000000"/>
            <rFont val="Aptos Narrow"/>
            <scheme val="minor"/>
          </rPr>
          <t>======
ID#AAABjx7qQ3g
    (2025-05-21 11:33:25)
在此輸入
0220 Bruce: 告知預計2/25可出貨</t>
        </r>
      </text>
    </comment>
    <comment ref="O196" authorId="0" shapeId="0" xr:uid="{F84EAC61-6268-A445-916E-5B9E338B1EEA}">
      <text>
        <r>
          <rPr>
            <sz val="10"/>
            <color rgb="FF000000"/>
            <rFont val="Aptos Narrow"/>
            <scheme val="minor"/>
          </rPr>
          <t>======
ID#AAABjx7qP_8
    (2025-05-21 11:33:25)
0125下單</t>
        </r>
      </text>
    </comment>
    <comment ref="D197" authorId="0" shapeId="0" xr:uid="{7BC49672-BEE9-ED4E-8815-C5056009869F}">
      <text>
        <r>
          <rPr>
            <sz val="10"/>
            <color rgb="FF000000"/>
            <rFont val="Aptos Narrow"/>
            <scheme val="minor"/>
          </rPr>
          <t>======
ID#AAABjx7qPLA
    (2025-05-21 11:33:24)
1/25宸曜這批無法協駔組裝SSD &amp; DRAM, 需自行組裝, 並請確認SATA Cable、DRAM處需點膠加強.</t>
        </r>
      </text>
    </comment>
    <comment ref="H197" authorId="0" shapeId="0" xr:uid="{E68F6ADB-10D7-554B-9776-14EEBE482BD8}">
      <text>
        <r>
          <rPr>
            <sz val="10"/>
            <color rgb="FF000000"/>
            <rFont val="Aptos Narrow"/>
            <scheme val="minor"/>
          </rPr>
          <t>======
ID#AAABjx7qRTo
    (2025-05-21 11:33:25)
ALICE:201904/10水單匯入USD11416*30.78
沖(229+2394+326+34+5274+3066+103)=11426</t>
        </r>
      </text>
    </comment>
    <comment ref="K197" authorId="0" shapeId="0" xr:uid="{0D1FB481-63DF-0148-949F-1B051751FC46}">
      <text>
        <r>
          <rPr>
            <sz val="10"/>
            <color rgb="FF000000"/>
            <rFont val="Aptos Narrow"/>
            <scheme val="minor"/>
          </rPr>
          <t>======
ID#AAABjx7qP5E
    (2025-05-21 11:33:24)
在此輸入
0220 Bruce: 告知預計2/25可出貨</t>
        </r>
      </text>
    </comment>
    <comment ref="O197" authorId="0" shapeId="0" xr:uid="{63318B93-5BD6-484E-917C-2E8B09A7BE75}">
      <text>
        <r>
          <rPr>
            <sz val="10"/>
            <color rgb="FF000000"/>
            <rFont val="Aptos Narrow"/>
            <scheme val="minor"/>
          </rPr>
          <t>======
ID#AAABj82dpNc
    (2025-05-21 11:33:23)
0125 下單
待chloe匯款</t>
        </r>
      </text>
    </comment>
    <comment ref="W197" authorId="0" shapeId="0" xr:uid="{9663A3E7-03B5-5F4C-B6E9-F498E3045C8B}">
      <text>
        <r>
          <rPr>
            <sz val="10"/>
            <color rgb="FF000000"/>
            <rFont val="Aptos Narrow"/>
            <scheme val="minor"/>
          </rPr>
          <t>======
ID#AAABjx7qU60
    (2025-05-21 11:33:27)
預付款</t>
        </r>
      </text>
    </comment>
    <comment ref="D198" authorId="0" shapeId="0" xr:uid="{ED8FDDFA-8F3B-3446-BC51-47B7D4651802}">
      <text>
        <r>
          <rPr>
            <sz val="10"/>
            <color rgb="FF000000"/>
            <rFont val="Aptos Narrow"/>
            <scheme val="minor"/>
          </rPr>
          <t>======
ID#AAABjx7qRCQ
    (2025-05-21 11:33:25)
1/25宸曜這批無法協駔組裝SSD &amp; DRAM, 需自行組裝, 並請確認SATA Cable、DRAM處需點膠加強.</t>
        </r>
      </text>
    </comment>
    <comment ref="H198" authorId="0" shapeId="0" xr:uid="{BF316473-A4D1-8F44-98F4-BE8DDD11C028}">
      <text>
        <r>
          <rPr>
            <sz val="10"/>
            <color rgb="FF000000"/>
            <rFont val="Aptos Narrow"/>
            <scheme val="minor"/>
          </rPr>
          <t>======
ID#AAABjx7qNDM
    (2025-05-21 11:33:23)
ALICE:201904/10水單匯入USD11416*30.78
沖(229+2394+326+34+5274+3066+103)=11426</t>
        </r>
      </text>
    </comment>
    <comment ref="K198" authorId="0" shapeId="0" xr:uid="{A99B3105-F65A-094D-9D0C-83B78C39A428}">
      <text>
        <r>
          <rPr>
            <sz val="10"/>
            <color rgb="FF000000"/>
            <rFont val="Aptos Narrow"/>
            <scheme val="minor"/>
          </rPr>
          <t>======
ID#AAABjx7qQNo
    (2025-05-21 11:33:25)
在此輸入
0220 Bruce: 告知預計2/25可出貨</t>
        </r>
      </text>
    </comment>
    <comment ref="O198" authorId="0" shapeId="0" xr:uid="{E9A88339-B92B-B642-A073-9A451EEA1182}">
      <text>
        <r>
          <rPr>
            <sz val="10"/>
            <color rgb="FF000000"/>
            <rFont val="Aptos Narrow"/>
            <scheme val="minor"/>
          </rPr>
          <t>======
ID#AAABjx7qRsI
    (2025-05-21 11:33:25)
0125 下單
待chloe匯款</t>
        </r>
      </text>
    </comment>
    <comment ref="H199" authorId="0" shapeId="0" xr:uid="{99598877-085D-9143-98A7-7D23138D78D0}">
      <text>
        <r>
          <rPr>
            <sz val="10"/>
            <color rgb="FF000000"/>
            <rFont val="Aptos Narrow"/>
            <scheme val="minor"/>
          </rPr>
          <t>======
ID#AAABjx7qRoo
    (2025-05-21 11:33:25)
ALICE:201904/10水單匯入USD11416*30.78
沖(229+2394+326+34+5274+3066+103)=11426</t>
        </r>
      </text>
    </comment>
    <comment ref="U199" authorId="0" shapeId="0" xr:uid="{8A128F28-5C08-A84D-B5A6-CD6CAF73808E}">
      <text>
        <r>
          <rPr>
            <sz val="10"/>
            <color rgb="FF000000"/>
            <rFont val="Aptos Narrow"/>
            <scheme val="minor"/>
          </rPr>
          <t>======
ID#AAABjx7qN-0
    (2025-05-21 11:33:24)
Chloe-5/3-MAIL回覆總成本為2786.7(內含三筆訂單PI-20190118A-F.PI-20181221A-1-F.PI-20190123B-F)</t>
        </r>
      </text>
    </comment>
    <comment ref="Z199" authorId="0" shapeId="0" xr:uid="{EF3C52C6-217F-074E-939C-37D21610EC6C}">
      <text>
        <r>
          <rPr>
            <sz val="10"/>
            <color rgb="FF000000"/>
            <rFont val="Aptos Narrow"/>
            <scheme val="minor"/>
          </rPr>
          <t>======
ID#AAABjx7qQoA
    (2025-05-21 11:33:25)
共三筆運費
1)1836940674  PI-20190123B-F</t>
        </r>
      </text>
    </comment>
    <comment ref="H200" authorId="0" shapeId="0" xr:uid="{A4F95BAE-AAEF-024B-8DCB-87277EC787B9}">
      <text>
        <r>
          <rPr>
            <sz val="10"/>
            <color rgb="FF000000"/>
            <rFont val="Aptos Narrow"/>
            <scheme val="minor"/>
          </rPr>
          <t>======
ID#AAABjx7qM_Q
    (2025-05-21 11:33:23)
0215 Mary:匯款匯入US$21,605+6,990</t>
        </r>
      </text>
    </comment>
    <comment ref="Z200" authorId="0" shapeId="0" xr:uid="{6C316A80-C478-A94A-BDFB-95B158EEC642}">
      <text>
        <r>
          <rPr>
            <sz val="10"/>
            <color rgb="FF000000"/>
            <rFont val="Aptos Narrow"/>
            <scheme val="minor"/>
          </rPr>
          <t>======
ID#AAABjx7qSq4
    (2025-05-21 11:33:26)
匯率30.685
TOTAL:25582.2</t>
        </r>
      </text>
    </comment>
    <comment ref="AK200" authorId="0" shapeId="0" xr:uid="{51792D15-D31A-FC49-854F-26215924966B}">
      <text>
        <r>
          <rPr>
            <sz val="10"/>
            <color rgb="FF000000"/>
            <rFont val="Aptos Narrow"/>
            <scheme val="minor"/>
          </rPr>
          <t>======
ID#AAABj82dpOY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AL200" authorId="0" shapeId="0" xr:uid="{650C8BD1-A2F9-FC4F-A402-CE20994A9269}">
      <text>
        <r>
          <rPr>
            <sz val="10"/>
            <color rgb="FF000000"/>
            <rFont val="Aptos Narrow"/>
            <scheme val="minor"/>
          </rPr>
          <t>======
ID#AAABj82dpFM
    (2025-05-21 11:33:23)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H201" authorId="0" shapeId="0" xr:uid="{D37E9F6C-9861-A643-9DCF-7EED1620918D}">
      <text>
        <r>
          <rPr>
            <sz val="10"/>
            <color rgb="FF000000"/>
            <rFont val="Aptos Narrow"/>
            <scheme val="minor"/>
          </rPr>
          <t>======
ID#AAABj82dpKc
    (2025-05-21 11:33:23)
0215 Mary:匯款匯入US$21,605+6,990</t>
        </r>
      </text>
    </comment>
    <comment ref="H202" authorId="0" shapeId="0" xr:uid="{6C38E9F1-F9EF-EE4A-BA09-7AA85685D9DF}">
      <text>
        <r>
          <rPr>
            <sz val="10"/>
            <color rgb="FF000000"/>
            <rFont val="Aptos Narrow"/>
            <scheme val="minor"/>
          </rPr>
          <t>======
ID#AAABjx7qVWU
    (2025-05-21 11:33:27)
0215 Mary:匯款匯入US$21,605+6,990</t>
        </r>
      </text>
    </comment>
    <comment ref="H203" authorId="0" shapeId="0" xr:uid="{87C13608-920D-E64A-8450-D6F13785CD12}">
      <text>
        <r>
          <rPr>
            <sz val="10"/>
            <color rgb="FF000000"/>
            <rFont val="Aptos Narrow"/>
            <scheme val="minor"/>
          </rPr>
          <t>======
ID#AAABjx7qO1c
    (2025-05-21 11:33:24)
0215 Mary:匯款匯入US$21,605+6,990</t>
        </r>
      </text>
    </comment>
    <comment ref="H204" authorId="0" shapeId="0" xr:uid="{3DAEFAA4-4BAC-B043-B995-3C7526C82318}">
      <text>
        <r>
          <rPr>
            <sz val="10"/>
            <color rgb="FF000000"/>
            <rFont val="Aptos Narrow"/>
            <scheme val="minor"/>
          </rPr>
          <t>======
ID#AAABjx7qPDI
    (2025-05-21 11:33:24)
0215 Mary:匯款匯入US$21,605+6,990</t>
        </r>
      </text>
    </comment>
    <comment ref="H205" authorId="0" shapeId="0" xr:uid="{2B3DEA89-042E-6E49-ACD7-3D849274C89E}">
      <text>
        <r>
          <rPr>
            <sz val="10"/>
            <color rgb="FF000000"/>
            <rFont val="Aptos Narrow"/>
            <scheme val="minor"/>
          </rPr>
          <t>======
ID#AAABjx7qQ6Y
    (2025-05-21 11:33:25)
0327 chloe:匯款匯入42,592-10(手續費)</t>
        </r>
      </text>
    </comment>
    <comment ref="K205" authorId="0" shapeId="0" xr:uid="{E3AED337-EE5F-A045-A1E5-7C22F338573C}">
      <text>
        <r>
          <rPr>
            <sz val="10"/>
            <color rgb="FF000000"/>
            <rFont val="Aptos Narrow"/>
            <scheme val="minor"/>
          </rPr>
          <t>======
ID#AAABjx7qVgA
    (2025-05-21 11:33:27)
0307 san告知提前交期</t>
        </r>
      </text>
    </comment>
    <comment ref="E206" authorId="0" shapeId="0" xr:uid="{FE4E4CC2-0363-B149-983B-3F951D1875B9}">
      <text>
        <r>
          <rPr>
            <sz val="10"/>
            <color rgb="FF000000"/>
            <rFont val="Aptos Narrow"/>
            <scheme val="minor"/>
          </rPr>
          <t>======
ID#AAABjx7qOpU
    (2025-05-21 11:33:24)
1122AMY: 3pin power connector 改為RG58 power connector</t>
        </r>
      </text>
    </comment>
    <comment ref="H206" authorId="0" shapeId="0" xr:uid="{D4B7CB7B-C8F7-6D4F-A8A4-B989FCE17D59}">
      <text>
        <r>
          <rPr>
            <sz val="10"/>
            <color rgb="FF000000"/>
            <rFont val="Aptos Narrow"/>
            <scheme val="minor"/>
          </rPr>
          <t>======
ID#AAABjx7qOLc
    (2025-05-21 11:33:24)
ALICE:2019/05/02-水單匯入USD21462.5</t>
        </r>
      </text>
    </comment>
    <comment ref="AK206" authorId="0" shapeId="0" xr:uid="{B900208E-CBC2-A646-96E5-375893AAE595}">
      <text>
        <r>
          <rPr>
            <sz val="10"/>
            <color rgb="FF000000"/>
            <rFont val="Aptos Narrow"/>
            <scheme val="minor"/>
          </rPr>
          <t>======
ID#AAABj82dpEI
    (2025-05-21 11:33:23)
ALICE:2019/05/02-水單匯入USD21462.5-(匯出手續費USD10+匯入手續費USD10.73)=USD21441.77*30.84=NT661264</t>
        </r>
      </text>
    </comment>
    <comment ref="AL206" authorId="0" shapeId="0" xr:uid="{498DC5C8-B910-F64B-8FC1-47F022E4E017}">
      <text>
        <r>
          <rPr>
            <sz val="10"/>
            <color rgb="FF000000"/>
            <rFont val="Aptos Narrow"/>
            <scheme val="minor"/>
          </rPr>
          <t>======
ID#AAABjx7qTUg
    (2025-05-21 11:33:26)
ALICE:2019/05/02-水單匯入USD21462.5-(匯出手續費USD10+匯入手續費USD10.73)=USD21441.77*30.84=NT661264</t>
        </r>
      </text>
    </comment>
    <comment ref="H207" authorId="0" shapeId="0" xr:uid="{BE03B96B-4B59-7A49-BE03-52D65DA0F558}">
      <text>
        <r>
          <rPr>
            <sz val="10"/>
            <color rgb="FF000000"/>
            <rFont val="Aptos Narrow"/>
            <scheme val="minor"/>
          </rPr>
          <t>======
ID#AAABjx7qU3o
    (2025-05-21 11:33:26)
ALICE:2019/05/02-水單匯入USD21462.5</t>
        </r>
      </text>
    </comment>
    <comment ref="AK207" authorId="0" shapeId="0" xr:uid="{17657FE2-89D5-D542-B9B2-A6A69E3BD698}">
      <text>
        <r>
          <rPr>
            <sz val="10"/>
            <color rgb="FF000000"/>
            <rFont val="Aptos Narrow"/>
            <scheme val="minor"/>
          </rPr>
          <t>======
ID#AAABjx7qRSI
    (2025-05-21 11:33:25)
ALICE:2019/05/02-水單匯入USD21462.5-(匯出手續費USD10+匯入手續費USD10.73)=USD21441.77*30.84=NT661264</t>
        </r>
      </text>
    </comment>
    <comment ref="AL207" authorId="0" shapeId="0" xr:uid="{18B5F670-A113-314E-8255-75A6F29B5A54}">
      <text>
        <r>
          <rPr>
            <sz val="10"/>
            <color rgb="FF000000"/>
            <rFont val="Aptos Narrow"/>
            <scheme val="minor"/>
          </rPr>
          <t>======
ID#AAABjx7qU_M
    (2025-05-21 11:33:27)
ALICE:2019/05/02-水單匯入USD21462.5-(匯出手續費USD10+匯入手續費USD10.73)=USD21441.77*30.84=NT661264</t>
        </r>
      </text>
    </comment>
    <comment ref="H208" authorId="0" shapeId="0" xr:uid="{B96A01BC-2858-9147-9FAE-54E4E14DE09E}">
      <text>
        <r>
          <rPr>
            <sz val="10"/>
            <color rgb="FF000000"/>
            <rFont val="Aptos Narrow"/>
            <scheme val="minor"/>
          </rPr>
          <t>======
ID#AAABjx7qS5M
    (2025-05-21 11:33:26)
ALICE:2019/05/02-水單匯入USD21462.5</t>
        </r>
      </text>
    </comment>
    <comment ref="AK208" authorId="0" shapeId="0" xr:uid="{6F2F4114-F3FE-A44C-9479-043981C4BC0D}">
      <text>
        <r>
          <rPr>
            <sz val="10"/>
            <color rgb="FF000000"/>
            <rFont val="Aptos Narrow"/>
            <scheme val="minor"/>
          </rPr>
          <t>======
ID#AAABjx7qR3Y
    (2025-05-21 11:33:25)
ALICE:2019/05/02-水單匯入USD21462.5-(匯出手續費USD10+匯入手續費USD10.73)=USD21441.77*30.84=NT661264</t>
        </r>
      </text>
    </comment>
    <comment ref="AL208" authorId="0" shapeId="0" xr:uid="{588EDEF0-03BF-BB46-BD3D-846203417DAD}">
      <text>
        <r>
          <rPr>
            <sz val="10"/>
            <color rgb="FF000000"/>
            <rFont val="Aptos Narrow"/>
            <scheme val="minor"/>
          </rPr>
          <t>======
ID#AAABjx7qRH0
    (2025-05-21 11:33:25)
ALICE:2019/05/02-水單匯入USD21462.5-(匯出手續費USD10+匯入手續費USD10.73)=USD21441.77*30.84=NT661264</t>
        </r>
      </text>
    </comment>
    <comment ref="E209" authorId="0" shapeId="0" xr:uid="{B73405D5-6D47-1242-AC50-9BD7677BD5AB}">
      <text>
        <r>
          <rPr>
            <sz val="10"/>
            <color rgb="FF000000"/>
            <rFont val="Aptos Narrow"/>
            <scheme val="minor"/>
          </rPr>
          <t>======
ID#AAABjx7qWZQ
    (2025-05-21 11:33:27)
256GB 2.5" SSD M3M MP808 Samsung eMMC ET(-25℃~+85℃)</t>
        </r>
      </text>
    </comment>
    <comment ref="H209" authorId="0" shapeId="0" xr:uid="{67CC20F8-613A-FC4B-8369-BAD88FAE97C5}">
      <text>
        <r>
          <rPr>
            <sz val="10"/>
            <color rgb="FF000000"/>
            <rFont val="Aptos Narrow"/>
            <scheme val="minor"/>
          </rPr>
          <t>======
ID#AAABjx7qWTk
    (2025-05-21 11:33:27)
ALICE:2019/05/02-水單匯入USD21462.5</t>
        </r>
      </text>
    </comment>
    <comment ref="AK209" authorId="0" shapeId="0" xr:uid="{73DB225F-F17D-7841-A976-9F6F663BE6B8}">
      <text>
        <r>
          <rPr>
            <sz val="10"/>
            <color rgb="FF000000"/>
            <rFont val="Aptos Narrow"/>
            <scheme val="minor"/>
          </rPr>
          <t>======
ID#AAABjx7qRfQ
    (2025-05-21 11:33:25)
ALICE:2019/05/02-水單匯入USD21462.5-(匯出手續費USD10+匯入手續費USD10.73)=USD21441.77*30.84=NT661264</t>
        </r>
      </text>
    </comment>
    <comment ref="AL209" authorId="0" shapeId="0" xr:uid="{A3B0D58B-F538-DA48-A038-9D0C5C965A94}">
      <text>
        <r>
          <rPr>
            <sz val="10"/>
            <color rgb="FF000000"/>
            <rFont val="Aptos Narrow"/>
            <scheme val="minor"/>
          </rPr>
          <t>======
ID#AAABjx7qQxQ
    (2025-05-21 11:33:25)
ALICE:2019/05/02-水單匯入USD21462.5-(匯出手續費USD10+匯入手續費USD10.73)=USD21441.77*30.84=NT661264</t>
        </r>
      </text>
    </comment>
    <comment ref="H210" authorId="0" shapeId="0" xr:uid="{C850F68A-BC0F-A247-8B1B-6E0DBB40B2C4}">
      <text>
        <r>
          <rPr>
            <sz val="10"/>
            <color rgb="FF000000"/>
            <rFont val="Aptos Narrow"/>
            <scheme val="minor"/>
          </rPr>
          <t>======
ID#AAABjx7qSg0
    (2025-05-21 11:33:26)
ALICE:2019/05/02-水單匯入USD21462.5</t>
        </r>
      </text>
    </comment>
    <comment ref="AK210" authorId="0" shapeId="0" xr:uid="{87A4381D-BBF4-4142-BB7B-C3F77ECBF2C8}">
      <text>
        <r>
          <rPr>
            <sz val="10"/>
            <color rgb="FF000000"/>
            <rFont val="Aptos Narrow"/>
            <scheme val="minor"/>
          </rPr>
          <t>======
ID#AAABjx7qNik
    (2025-05-21 11:33:23)
ALICE:2019/05/02-水單匯入USD21462.5-(匯出手續費USD10+匯入手續費USD10.73)=USD21441.77*30.84=NT661264</t>
        </r>
      </text>
    </comment>
    <comment ref="AL210" authorId="0" shapeId="0" xr:uid="{4A6D9CB7-07F0-FC4E-9542-3EF78064687A}">
      <text>
        <r>
          <rPr>
            <sz val="10"/>
            <color rgb="FF000000"/>
            <rFont val="Aptos Narrow"/>
            <scheme val="minor"/>
          </rPr>
          <t>======
ID#AAABjx7qQeE
    (2025-05-21 11:33:25)
ALICE:2019/05/02-水單匯入USD21462.5-(匯出手續費USD10+匯入手續費USD10.73)=USD21441.77*30.84=NT661264</t>
        </r>
      </text>
    </comment>
    <comment ref="H211" authorId="0" shapeId="0" xr:uid="{8BD0FE67-0BBB-B446-AAEE-F24CB9525B3D}">
      <text>
        <r>
          <rPr>
            <sz val="10"/>
            <color rgb="FF000000"/>
            <rFont val="Aptos Narrow"/>
            <scheme val="minor"/>
          </rPr>
          <t>======
ID#AAABjx7qNfQ
    (2025-05-21 11:33:23)
ALICE:2019/05/02-水單匯入USD21462.5</t>
        </r>
      </text>
    </comment>
    <comment ref="AK211" authorId="0" shapeId="0" xr:uid="{4BB43EE7-A2A9-314B-BD25-9BE603B89B74}">
      <text>
        <r>
          <rPr>
            <sz val="10"/>
            <color rgb="FF000000"/>
            <rFont val="Aptos Narrow"/>
            <scheme val="minor"/>
          </rPr>
          <t>======
ID#AAABjx7qV0A
    (2025-05-21 11:33:27)
ALICE:2019/05/02-水單匯入USD21462.5-(匯出手續費USD10+匯入手續費USD10.73)=USD21441.77*30.84=NT661264</t>
        </r>
      </text>
    </comment>
    <comment ref="AL211" authorId="0" shapeId="0" xr:uid="{40C23EC8-C74D-B24D-BB48-FCA3EC888A19}">
      <text>
        <r>
          <rPr>
            <sz val="10"/>
            <color rgb="FF000000"/>
            <rFont val="Aptos Narrow"/>
            <scheme val="minor"/>
          </rPr>
          <t>======
ID#AAABjx7qRC0
    (2025-05-21 11:33:25)
ALICE:2019/05/02-水單匯入USD21462.5-(匯出手續費USD10+匯入手續費USD10.73)=USD21441.77*30.84=NT661264</t>
        </r>
      </text>
    </comment>
    <comment ref="H212" authorId="0" shapeId="0" xr:uid="{E0B421A0-BA97-E94E-A94E-AB03D98ED50F}">
      <text>
        <r>
          <rPr>
            <sz val="10"/>
            <color rgb="FF000000"/>
            <rFont val="Aptos Narrow"/>
            <scheme val="minor"/>
          </rPr>
          <t>======
ID#AAABjx7qQqI
    (2025-05-21 11:33:25)
ALICE:2019/05/02-水單匯入USD21462.5</t>
        </r>
      </text>
    </comment>
    <comment ref="AK212" authorId="0" shapeId="0" xr:uid="{E8E8716B-1AAE-F34C-A68C-9ADFEC122D01}">
      <text>
        <r>
          <rPr>
            <sz val="10"/>
            <color rgb="FF000000"/>
            <rFont val="Aptos Narrow"/>
            <scheme val="minor"/>
          </rPr>
          <t>======
ID#AAABjx7qPiY
    (2025-05-21 11:33:24)
ALICE:2019/05/02-水單匯入USD21462.5-(匯出手續費USD10+匯入手續費USD10.73)=USD21441.77*30.84=NT661264</t>
        </r>
      </text>
    </comment>
    <comment ref="AL212" authorId="0" shapeId="0" xr:uid="{967CE718-BD05-9B4A-942F-D01CBA94060C}">
      <text>
        <r>
          <rPr>
            <sz val="10"/>
            <color rgb="FF000000"/>
            <rFont val="Aptos Narrow"/>
            <scheme val="minor"/>
          </rPr>
          <t>======
ID#AAABjx7qR50
    (2025-05-21 11:33:25)
ALICE:2019/05/02-水單匯入USD21462.5-(匯出手續費USD10+匯入手續費USD10.73)=USD21441.77*30.84=NT661264</t>
        </r>
      </text>
    </comment>
    <comment ref="H213" authorId="0" shapeId="0" xr:uid="{715BC588-3EF8-C449-A059-B3D3834AB5F8}">
      <text>
        <r>
          <rPr>
            <sz val="10"/>
            <color rgb="FF000000"/>
            <rFont val="Aptos Narrow"/>
            <scheme val="minor"/>
          </rPr>
          <t>======
ID#AAABjx7qOTA
    (2025-05-21 11:33:24)
ALICE:2019/04/12水單匯入usd7548*30.83元整</t>
        </r>
      </text>
    </comment>
    <comment ref="J213" authorId="0" shapeId="0" xr:uid="{D303DFE9-81D6-2343-872C-3B83C2B09D6A}">
      <text>
        <r>
          <rPr>
            <sz val="10"/>
            <color rgb="FF000000"/>
            <rFont val="Aptos Narrow"/>
            <scheme val="minor"/>
          </rPr>
          <t>======
ID#AAABjx7qQC8
    (2025-05-21 11:33:25)
在此輸入
customer will confirm again by shipment
2/20: Customer inform should be TNT A/C. already ship by previous informaiton of DHL ( 2/</t>
        </r>
      </text>
    </comment>
    <comment ref="M213" authorId="0" shapeId="0" xr:uid="{BF2AA683-8A60-BA49-AE55-3C82DD12843D}">
      <text>
        <r>
          <rPr>
            <sz val="10"/>
            <color rgb="FF000000"/>
            <rFont val="Aptos Narrow"/>
            <scheme val="minor"/>
          </rPr>
          <t>======
ID#AAABjx7qOdI
    (2025-05-21 11:33:24)
0125 Cathy: Amy 告之1/30 china 有庫存</t>
        </r>
      </text>
    </comment>
    <comment ref="O213" authorId="0" shapeId="0" xr:uid="{C290C3FE-59E0-B14E-A74D-6A3EEA0B42CC}">
      <text>
        <r>
          <rPr>
            <sz val="10"/>
            <color rgb="FF000000"/>
            <rFont val="Aptos Narrow"/>
            <scheme val="minor"/>
          </rPr>
          <t>======
ID#AAABjx7qPss
    (2025-05-21 11:33:24)
0125 下單</t>
        </r>
      </text>
    </comment>
    <comment ref="H214" authorId="0" shapeId="0" xr:uid="{BBC26F40-E66F-344B-8AA3-C4560FD2291F}">
      <text>
        <r>
          <rPr>
            <sz val="10"/>
            <color rgb="FF000000"/>
            <rFont val="Aptos Narrow"/>
            <scheme val="minor"/>
          </rPr>
          <t>======
ID#AAABjx7qNTk
    (2025-05-21 11:33:23)
alice:2019/04/25水單通知匯入USD1931*30.86=NT59591元整  無手續費 沖(125+1400+14+42+350)</t>
        </r>
      </text>
    </comment>
    <comment ref="Z214" authorId="0" shapeId="0" xr:uid="{8ADCBE31-28F7-254B-94B5-613A4D137BB3}">
      <text>
        <r>
          <rPr>
            <sz val="10"/>
            <color rgb="FF000000"/>
            <rFont val="Aptos Narrow"/>
            <scheme val="minor"/>
          </rPr>
          <t>======
ID#AAABjx7qR0A
    (2025-05-21 11:33:25)
0311 chloe:含PO20190124B</t>
        </r>
      </text>
    </comment>
    <comment ref="AK214" authorId="0" shapeId="0" xr:uid="{1C5B69D9-E57C-EE45-BD07-78B40FF76543}">
      <text>
        <r>
          <rPr>
            <sz val="10"/>
            <color rgb="FF000000"/>
            <rFont val="Aptos Narrow"/>
            <scheme val="minor"/>
          </rPr>
          <t>======
ID#AAABjx7qOjQ
    (2025-05-21 11:33:24)
alice:2019/04/25水單通知匯入USD1931*30.86=NT59591元整  無手續費 沖(125+1400+14+42+350)</t>
        </r>
      </text>
    </comment>
    <comment ref="AL214" authorId="0" shapeId="0" xr:uid="{657463E9-F159-A24F-A8F7-E2339E00A8B7}">
      <text>
        <r>
          <rPr>
            <sz val="10"/>
            <color rgb="FF000000"/>
            <rFont val="Aptos Narrow"/>
            <scheme val="minor"/>
          </rPr>
          <t>======
ID#AAABjx7qP7A
    (2025-05-21 11:33:24)
alice:2019/04/25水單通知匯入USD1931*30.86=NT59591元整  無手續費 沖(125+1400+14+42+350)</t>
        </r>
      </text>
    </comment>
    <comment ref="H215" authorId="0" shapeId="0" xr:uid="{3AE48022-A08F-1843-8D96-4A25C14CD04A}">
      <text>
        <r>
          <rPr>
            <sz val="10"/>
            <color rgb="FF000000"/>
            <rFont val="Aptos Narrow"/>
            <scheme val="minor"/>
          </rPr>
          <t>======
ID#AAABjx7qOyo
    (2025-05-21 11:33:24)
0311  chloe:匯款匯入US1134-20(手續費)</t>
        </r>
      </text>
    </comment>
    <comment ref="M215" authorId="0" shapeId="0" xr:uid="{83608E40-839C-454A-8494-3411BC59E186}">
      <text>
        <r>
          <rPr>
            <sz val="10"/>
            <color rgb="FF000000"/>
            <rFont val="Aptos Narrow"/>
            <scheme val="minor"/>
          </rPr>
          <t>======
ID#AAABjx7qNoo
    (2025-05-21 11:33:23)
0125 Cathy:供應商有庫存</t>
        </r>
      </text>
    </comment>
    <comment ref="H216" authorId="0" shapeId="0" xr:uid="{2BD78F02-D874-1E48-B33D-EA58D280082D}">
      <text>
        <r>
          <rPr>
            <sz val="10"/>
            <color rgb="FF000000"/>
            <rFont val="Aptos Narrow"/>
            <scheme val="minor"/>
          </rPr>
          <t>======
ID#AAABjx7qNrc
    (2025-05-21 11:33:23)
0311  chloe:匯款匯入US1134-20(手續費)</t>
        </r>
      </text>
    </comment>
    <comment ref="M216" authorId="0" shapeId="0" xr:uid="{9E7C6E2C-7FDF-E14D-8716-6C47F084F47F}">
      <text>
        <r>
          <rPr>
            <sz val="10"/>
            <color rgb="FF000000"/>
            <rFont val="Aptos Narrow"/>
            <scheme val="minor"/>
          </rPr>
          <t>======
ID#AAABjx7qP_Y
    (2025-05-21 11:33:25)
0125 Cathy:供應商有庫存</t>
        </r>
      </text>
    </comment>
    <comment ref="H217" authorId="0" shapeId="0" xr:uid="{453014A0-5815-DC4F-9F32-458E69C59709}">
      <text>
        <r>
          <rPr>
            <sz val="10"/>
            <color rgb="FF000000"/>
            <rFont val="Aptos Narrow"/>
            <scheme val="minor"/>
          </rPr>
          <t>======
ID#AAABjx7qNrU
    (2025-05-21 11:33:23)
0311  chloe:匯款匯入US1134-20(手續費)</t>
        </r>
      </text>
    </comment>
    <comment ref="M217" authorId="0" shapeId="0" xr:uid="{2029AE12-A0F8-2047-83B4-41CC1FAB8A64}">
      <text>
        <r>
          <rPr>
            <sz val="10"/>
            <color rgb="FF000000"/>
            <rFont val="Aptos Narrow"/>
            <scheme val="minor"/>
          </rPr>
          <t>======
ID#AAABjx7qWIs
    (2025-05-21 11:33:27)
0125 Cathy:供應商有庫存</t>
        </r>
      </text>
    </comment>
    <comment ref="H218" authorId="0" shapeId="0" xr:uid="{0A174F47-1EC6-0441-B76A-5A7F57A931CC}">
      <text>
        <r>
          <rPr>
            <sz val="10"/>
            <color rgb="FF000000"/>
            <rFont val="Aptos Narrow"/>
            <scheme val="minor"/>
          </rPr>
          <t>======
ID#AAABjx7qSIs
    (2025-05-21 11:33:26)
0201 chloe: 匯款匯入NT111130</t>
        </r>
      </text>
    </comment>
    <comment ref="H219" authorId="0" shapeId="0" xr:uid="{985A929B-264B-5748-A741-0F14642EB8A0}">
      <text>
        <r>
          <rPr>
            <sz val="10"/>
            <color rgb="FF000000"/>
            <rFont val="Aptos Narrow"/>
            <scheme val="minor"/>
          </rPr>
          <t>======
ID#AAABjx7qOaw
    (2025-05-21 11:33:24)
0307 chloe:匯款匯入US39896-37(手續費)</t>
        </r>
      </text>
    </comment>
    <comment ref="H220" authorId="0" shapeId="0" xr:uid="{90EAC4B5-7749-ED49-A4DD-02F12E8E998D}">
      <text>
        <r>
          <rPr>
            <sz val="10"/>
            <color rgb="FF000000"/>
            <rFont val="Aptos Narrow"/>
            <scheme val="minor"/>
          </rPr>
          <t>======
ID#AAABjx7qU2E
    (2025-05-21 11:33:26)
0307 chloe:匯款匯入US39896-37(手續費)</t>
        </r>
      </text>
    </comment>
    <comment ref="H221" authorId="0" shapeId="0" xr:uid="{18E202CF-3F87-6747-B4F6-BF39E5139033}">
      <text>
        <r>
          <rPr>
            <sz val="10"/>
            <color rgb="FF000000"/>
            <rFont val="Aptos Narrow"/>
            <scheme val="minor"/>
          </rPr>
          <t>======
ID#AAABjx7qVRQ
    (2025-05-21 11:33:27)
0307 chloe:匯款匯入US39896-37(手續費)</t>
        </r>
      </text>
    </comment>
    <comment ref="H222" authorId="0" shapeId="0" xr:uid="{5A7D437C-A7C0-6A4F-A237-7E0EFB9657E0}">
      <text>
        <r>
          <rPr>
            <sz val="10"/>
            <color rgb="FF000000"/>
            <rFont val="Aptos Narrow"/>
            <scheme val="minor"/>
          </rPr>
          <t>======
ID#AAABjx7qTHU
    (2025-05-21 11:33:26)
0327 chloe:匯款匯入42,592-10(手續費)
0408 Alice:匯款匯入USD3,950(手續費USD12)</t>
        </r>
      </text>
    </comment>
    <comment ref="K222" authorId="0" shapeId="0" xr:uid="{714713BE-75D0-EF4B-9BC2-AF68C16397AE}">
      <text>
        <r>
          <rPr>
            <sz val="10"/>
            <color rgb="FF000000"/>
            <rFont val="Aptos Narrow"/>
            <scheme val="minor"/>
          </rPr>
          <t>======
ID#AAABjx7qVX4
    (2025-05-21 11:33:27)
0212 Cathy: 原出貨日為2/14，已mail告知san變更出貨日</t>
        </r>
      </text>
    </comment>
    <comment ref="H223" authorId="0" shapeId="0" xr:uid="{4B116117-01BE-8141-BAB7-223C052FC54A}">
      <text>
        <r>
          <rPr>
            <sz val="10"/>
            <color rgb="FF000000"/>
            <rFont val="Aptos Narrow"/>
            <scheme val="minor"/>
          </rPr>
          <t>======
ID#AAABjx7qQTI
    (2025-05-21 11:33:25)
0307 chloe:匯款匯入US39896-37(手續費)</t>
        </r>
      </text>
    </comment>
    <comment ref="K223" authorId="0" shapeId="0" xr:uid="{D4CE4C4E-0F54-6043-BBCB-3F2726F83AF5}">
      <text>
        <r>
          <rPr>
            <sz val="10"/>
            <color rgb="FF000000"/>
            <rFont val="Aptos Narrow"/>
            <scheme val="minor"/>
          </rPr>
          <t>======
ID#AAABjx7qWbg
    (2025-05-21 11:33:27)
0212 Cathy: 原出貨日為2/14，已mail告知san變更出貨日</t>
        </r>
      </text>
    </comment>
    <comment ref="M223" authorId="0" shapeId="0" xr:uid="{5D9090FE-CBF1-7146-96E2-A4E32452CC1F}">
      <text>
        <r>
          <rPr>
            <sz val="10"/>
            <color rgb="FF000000"/>
            <rFont val="Aptos Narrow"/>
            <scheme val="minor"/>
          </rPr>
          <t>======
ID#AAABjx7qWBs
    (2025-05-21 11:33:27)
Cathy: 廠商告知3/8下午到貨</t>
        </r>
      </text>
    </comment>
    <comment ref="O223" authorId="0" shapeId="0" xr:uid="{D149A0A8-8881-6040-85C2-336E8C22AF49}">
      <text>
        <r>
          <rPr>
            <sz val="10"/>
            <color rgb="FF000000"/>
            <rFont val="Aptos Narrow"/>
            <scheme val="minor"/>
          </rPr>
          <t>======
ID#AAABjx7qMyY
    (2025-05-21 11:33:23)
0128下單</t>
        </r>
      </text>
    </comment>
    <comment ref="H224" authorId="0" shapeId="0" xr:uid="{137522FE-3F83-544C-A403-CA0C7AD20406}">
      <text>
        <r>
          <rPr>
            <sz val="10"/>
            <color rgb="FF000000"/>
            <rFont val="Aptos Narrow"/>
            <scheme val="minor"/>
          </rPr>
          <t>======
ID#AAABjx7qOro
    (2025-05-21 11:33:24)
0307 chloe:匯款匯入US39896-37(手續費)</t>
        </r>
      </text>
    </comment>
    <comment ref="K224" authorId="0" shapeId="0" xr:uid="{C1BFC7B0-8F82-684F-8CE4-8D1C55282679}">
      <text>
        <r>
          <rPr>
            <sz val="10"/>
            <color rgb="FF000000"/>
            <rFont val="Aptos Narrow"/>
            <scheme val="minor"/>
          </rPr>
          <t>======
ID#AAABjx7qNuU
    (2025-05-21 11:33:23)
0212 Cathy: 原出貨日為2/14，已mail告知san變更出貨日</t>
        </r>
      </text>
    </comment>
    <comment ref="M224" authorId="0" shapeId="0" xr:uid="{34C14D1B-B374-304F-95E8-9C196A6DE0C4}">
      <text>
        <r>
          <rPr>
            <sz val="10"/>
            <color rgb="FF000000"/>
            <rFont val="Aptos Narrow"/>
            <scheme val="minor"/>
          </rPr>
          <t>======
ID#AAABjx7qTmo
    (2025-05-21 11:33:26)
Cathy: 廠商告知3/8下午到貨</t>
        </r>
      </text>
    </comment>
    <comment ref="O224" authorId="0" shapeId="0" xr:uid="{B9DB2B1B-0D59-3D40-A12B-D7F6574C212F}">
      <text>
        <r>
          <rPr>
            <sz val="10"/>
            <color rgb="FF000000"/>
            <rFont val="Aptos Narrow"/>
            <scheme val="minor"/>
          </rPr>
          <t>======
ID#AAABjx7qSrI
    (2025-05-21 11:33:26)
0128下單</t>
        </r>
      </text>
    </comment>
    <comment ref="D225" authorId="0" shapeId="0" xr:uid="{653EB7C1-B769-A241-9683-E121B147EBE3}">
      <text>
        <r>
          <rPr>
            <sz val="10"/>
            <color rgb="FF000000"/>
            <rFont val="Aptos Narrow"/>
            <scheme val="minor"/>
          </rPr>
          <t>======
ID#AAABjx7qPOc
    (2025-05-21 11:33:24)
0127 San: 銷退貨用, 故單價先計算為0, 但給廠商的PO 仍然為US255 / 1 pcs</t>
        </r>
      </text>
    </comment>
    <comment ref="G225" authorId="0" shapeId="0" xr:uid="{2602629A-5026-524C-ADFD-25FADFEDD842}">
      <text>
        <r>
          <rPr>
            <sz val="10"/>
            <color rgb="FF000000"/>
            <rFont val="Aptos Narrow"/>
            <scheme val="minor"/>
          </rPr>
          <t>======
ID#AAABj82dpEM
    (2025-05-21 11:33:23)
0127 San: 銷退貨用, 故單價先計算為0, 但給廠商的PO 仍然為US255 / 1 pcs</t>
        </r>
      </text>
    </comment>
    <comment ref="K225" authorId="0" shapeId="0" xr:uid="{C75C9EBA-5B38-8744-B1D1-0C302D57EDAE}">
      <text>
        <r>
          <rPr>
            <sz val="10"/>
            <color rgb="FF000000"/>
            <rFont val="Aptos Narrow"/>
            <scheme val="minor"/>
          </rPr>
          <t>======
ID#AAABjx7qVSI
    (2025-05-21 11:33:27)
0131 Cathy:走簡易報關
0130 chloe:
1)用樣品出去，單價US$5
2)待客戶寄回時再看如何跟廣積消退</t>
        </r>
      </text>
    </comment>
    <comment ref="N225" authorId="0" shapeId="0" xr:uid="{BA7C5598-118B-2243-A1EB-C104BA0047C8}">
      <text>
        <r>
          <rPr>
            <sz val="10"/>
            <color rgb="FF000000"/>
            <rFont val="Aptos Narrow"/>
            <scheme val="minor"/>
          </rPr>
          <t>======
ID#AAABjx7qSi0
    (2025-05-21 11:33:26)
0130 chloe:</t>
        </r>
      </text>
    </comment>
    <comment ref="H226" authorId="0" shapeId="0" xr:uid="{28504FC6-2533-7E42-900F-3E435011167F}">
      <text>
        <r>
          <rPr>
            <sz val="10"/>
            <color rgb="FF000000"/>
            <rFont val="Aptos Narrow"/>
            <scheme val="minor"/>
          </rPr>
          <t>======
ID#AAABjx7qO7c
    (2025-05-21 11:33:24)
0215 chloe:匯款匯入NT11592-30(手續費)</t>
        </r>
      </text>
    </comment>
    <comment ref="M226" authorId="0" shapeId="0" xr:uid="{6C8D5DDA-94D1-5246-BE8A-FAE6C9120239}">
      <text>
        <r>
          <rPr>
            <sz val="10"/>
            <color rgb="FF000000"/>
            <rFont val="Aptos Narrow"/>
            <scheme val="minor"/>
          </rPr>
          <t>======
ID#AAABjx7qVtM
    (2025-05-21 11:33:27)
0129 廠商1/29寄出給客戶
0128廠商有Stock</t>
        </r>
      </text>
    </comment>
    <comment ref="O226" authorId="0" shapeId="0" xr:uid="{E01D5C56-01BA-3144-B5A3-BB988B9D4975}">
      <text>
        <r>
          <rPr>
            <sz val="10"/>
            <color rgb="FF000000"/>
            <rFont val="Aptos Narrow"/>
            <scheme val="minor"/>
          </rPr>
          <t>======
ID#AAABjx7qVIk
    (2025-05-21 11:33:27)
0128下單</t>
        </r>
      </text>
    </comment>
    <comment ref="H227" authorId="0" shapeId="0" xr:uid="{A33B5A1B-5193-A949-B2AD-316370D95BE5}">
      <text>
        <r>
          <rPr>
            <sz val="10"/>
            <color rgb="FF000000"/>
            <rFont val="Aptos Narrow"/>
            <scheme val="minor"/>
          </rPr>
          <t>======
ID#AAABjx7qNF8
    (2025-05-21 11:33:23)
0327 chloe:匯款匯入US$4165-20(手續費)</t>
        </r>
      </text>
    </comment>
    <comment ref="O227" authorId="0" shapeId="0" xr:uid="{3F4E5618-7FA2-9C4B-841B-E4E509073840}">
      <text>
        <r>
          <rPr>
            <sz val="10"/>
            <color rgb="FF000000"/>
            <rFont val="Aptos Narrow"/>
            <scheme val="minor"/>
          </rPr>
          <t>======
ID#AAABjx7qRfI
    (2025-05-21 11:33:25)
0131下單</t>
        </r>
      </text>
    </comment>
    <comment ref="H228" authorId="0" shapeId="0" xr:uid="{F216174C-FA3E-4148-9524-23A738D96AB0}">
      <text>
        <r>
          <rPr>
            <sz val="10"/>
            <color rgb="FF000000"/>
            <rFont val="Aptos Narrow"/>
            <scheme val="minor"/>
          </rPr>
          <t>======
ID#AAABjx7qTJI
    (2025-05-21 11:33:26)
0327 chloe:匯款匯入US$4165-20(手續費)</t>
        </r>
      </text>
    </comment>
    <comment ref="O228" authorId="0" shapeId="0" xr:uid="{151FD379-E5E2-2747-97C2-30867499CAC8}">
      <text>
        <r>
          <rPr>
            <sz val="10"/>
            <color rgb="FF000000"/>
            <rFont val="Aptos Narrow"/>
            <scheme val="minor"/>
          </rPr>
          <t>======
ID#AAABjx7qPCQ
    (2025-05-21 11:33:24)
0131下單</t>
        </r>
      </text>
    </comment>
    <comment ref="D229" authorId="0" shapeId="0" xr:uid="{66D5442F-C81E-9A4B-B474-EC07247464F1}">
      <text>
        <r>
          <rPr>
            <sz val="10"/>
            <color rgb="FF000000"/>
            <rFont val="Aptos Narrow"/>
            <scheme val="minor"/>
          </rPr>
          <t>======
ID#AAABjx7qWEA
    (2025-05-21 11:33:27)
San: 只附3M 膠給客戶就好. 因為膠帶是要貼在LCD上. 非Touch</t>
        </r>
      </text>
    </comment>
    <comment ref="H229" authorId="0" shapeId="0" xr:uid="{416E00CA-9C61-C245-A6ED-3C83DB27ADC9}">
      <text>
        <r>
          <rPr>
            <sz val="10"/>
            <color rgb="FF000000"/>
            <rFont val="Aptos Narrow"/>
            <scheme val="minor"/>
          </rPr>
          <t>======
ID#AAABjx7qRsk
    (2025-05-21 11:33:25)
0304 chloe:匯款匯入US 154</t>
        </r>
      </text>
    </comment>
    <comment ref="H230" authorId="0" shapeId="0" xr:uid="{BE2E50B2-29B9-BF43-A55A-EFCD45ADE17D}">
      <text>
        <r>
          <rPr>
            <sz val="10"/>
            <color rgb="FF000000"/>
            <rFont val="Aptos Narrow"/>
            <scheme val="minor"/>
          </rPr>
          <t>======
ID#AAABjx7qTaQ
    (2025-05-21 11:33:26)
alice:6/14-玉山匯入USD1346-手續費31.36=USD1314.64*31.47</t>
        </r>
      </text>
    </comment>
    <comment ref="O230" authorId="0" shapeId="0" xr:uid="{5C7A669E-AF4E-8544-8DB6-60C447E6AC81}">
      <text>
        <r>
          <rPr>
            <sz val="10"/>
            <color rgb="FF000000"/>
            <rFont val="Aptos Narrow"/>
            <scheme val="minor"/>
          </rPr>
          <t>======
ID#AAABjx7qTps
    (2025-05-21 11:33:26)
0212 下單</t>
        </r>
      </text>
    </comment>
    <comment ref="Q230" authorId="0" shapeId="0" xr:uid="{C820E455-24EB-6C4F-81DA-573965CE89D5}">
      <text>
        <r>
          <rPr>
            <sz val="10"/>
            <color rgb="FF000000"/>
            <rFont val="Aptos Narrow"/>
            <scheme val="minor"/>
          </rPr>
          <t>======
ID#AAABjx7qWHM
    (2025-05-21 11:33:27)
0213 Cathy: 廠商告知未滿5k，運費usd3 ,san approve</t>
        </r>
      </text>
    </comment>
    <comment ref="H231" authorId="0" shapeId="0" xr:uid="{48A813E5-CA8E-2D4E-A393-71BCCE9C1E25}">
      <text>
        <r>
          <rPr>
            <sz val="10"/>
            <color rgb="FF000000"/>
            <rFont val="Aptos Narrow"/>
            <scheme val="minor"/>
          </rPr>
          <t>======
ID#AAABjx7qOD8
    (2025-05-21 11:33:24)
0327 chloe:匯款匯入42,592-10(手續費)
0408 Alice:匯款匯入USD3,950(手續費USD12)</t>
        </r>
      </text>
    </comment>
    <comment ref="K231" authorId="0" shapeId="0" xr:uid="{793F4C2F-8C4C-5F47-AE82-1440C1E785DA}">
      <text>
        <r>
          <rPr>
            <sz val="10"/>
            <color rgb="FF000000"/>
            <rFont val="Aptos Narrow"/>
            <scheme val="minor"/>
          </rPr>
          <t>======
ID#AAABjx7qSQU
0312 chloe 代寫    (2025-05-21 11:33:26)
先出，已向客戶要求付款</t>
        </r>
      </text>
    </comment>
    <comment ref="H232" authorId="0" shapeId="0" xr:uid="{E52F78DE-1190-D64D-99CC-0054C26D2885}">
      <text>
        <r>
          <rPr>
            <sz val="10"/>
            <color rgb="FF000000"/>
            <rFont val="Aptos Narrow"/>
            <scheme val="minor"/>
          </rPr>
          <t>======
ID#AAABjx7qOEY
    (2025-05-21 11:33:24)
0307 chloe:匯款匯入US39896-37(手續費)</t>
        </r>
      </text>
    </comment>
    <comment ref="H233" authorId="0" shapeId="0" xr:uid="{5C69581D-C25A-3E48-BF32-C6580341D4F9}">
      <text>
        <r>
          <rPr>
            <sz val="10"/>
            <color rgb="FF000000"/>
            <rFont val="Aptos Narrow"/>
            <scheme val="minor"/>
          </rPr>
          <t>======
ID#AAABjx7qM4M
    (2025-05-21 11:33:23)
0307 chloe:匯款匯入US39896-37(手續費)</t>
        </r>
      </text>
    </comment>
    <comment ref="H234" authorId="0" shapeId="0" xr:uid="{B959E63F-8F6A-C44A-B5D1-6118067C2217}">
      <text>
        <r>
          <rPr>
            <sz val="10"/>
            <color rgb="FF000000"/>
            <rFont val="Aptos Narrow"/>
            <scheme val="minor"/>
          </rPr>
          <t>======
ID#AAABjx7qPMk
    (2025-05-21 11:33:24)
0307 chloe:匯款匯入US39896-37(手續費)</t>
        </r>
      </text>
    </comment>
    <comment ref="H235" authorId="0" shapeId="0" xr:uid="{B6C44B8A-DA58-FB4C-A9AB-5DD4328BBE06}">
      <text>
        <r>
          <rPr>
            <sz val="10"/>
            <color rgb="FF000000"/>
            <rFont val="Aptos Narrow"/>
            <scheme val="minor"/>
          </rPr>
          <t>======
ID#AAABjx7qWU4
    (2025-05-21 11:33:27)
0307 chloe:匯款匯入US39896-37(手續費)</t>
        </r>
      </text>
    </comment>
    <comment ref="G236" authorId="0" shapeId="0" xr:uid="{E2473A6F-2AF6-2C4D-B7E5-D40FB5738C14}">
      <text>
        <r>
          <rPr>
            <sz val="10"/>
            <color rgb="FF000000"/>
            <rFont val="Aptos Narrow"/>
            <scheme val="minor"/>
          </rPr>
          <t>======
ID#AAABjx7qM1s
    (2025-05-21 11:33:23)
190215 w/5% vat</t>
        </r>
      </text>
    </comment>
    <comment ref="H236" authorId="0" shapeId="0" xr:uid="{8296C86A-80F5-1E42-A2F4-3955E7BF6928}">
      <text>
        <r>
          <rPr>
            <sz val="10"/>
            <color rgb="FF000000"/>
            <rFont val="Aptos Narrow"/>
            <scheme val="minor"/>
          </rPr>
          <t>======
ID#AAABjx7qNvs
    (2025-05-21 11:33:23)
0227 chloe:匯款匯入NT48,676-30(手續費)</t>
        </r>
      </text>
    </comment>
    <comment ref="G237" authorId="0" shapeId="0" xr:uid="{716B0060-1EFA-254D-8BD8-D7C5E895A89E}">
      <text>
        <r>
          <rPr>
            <sz val="10"/>
            <color rgb="FF000000"/>
            <rFont val="Aptos Narrow"/>
            <scheme val="minor"/>
          </rPr>
          <t>======
ID#AAABjx7qQ8Q
    (2025-05-21 11:33:25)
190215 w/5% vat</t>
        </r>
      </text>
    </comment>
    <comment ref="H237" authorId="0" shapeId="0" xr:uid="{3C6EDA7C-A5AC-E746-ADC3-E82C4E5E1F32}">
      <text>
        <r>
          <rPr>
            <sz val="10"/>
            <color rgb="FF000000"/>
            <rFont val="Aptos Narrow"/>
            <scheme val="minor"/>
          </rPr>
          <t>======
ID#AAABjx7qRx0
    (2025-05-21 11:33:25)
0227 chloe:匯款匯入NT48,676-30(手續費)</t>
        </r>
      </text>
    </comment>
    <comment ref="H238" authorId="0" shapeId="0" xr:uid="{1729CD2E-7ABD-C947-97C6-1617B8EE4FEF}">
      <text>
        <r>
          <rPr>
            <sz val="10"/>
            <color rgb="FF000000"/>
            <rFont val="Aptos Narrow"/>
            <scheme val="minor"/>
          </rPr>
          <t>======
ID#AAABjx7qWIo
    (2025-05-21 11:33:27)
ALICE:5/3收到USD12965.5(沖PI-20190121B.PI20190217A.PI-20190131C.PI-20190313A.PI-20190306A)</t>
        </r>
      </text>
    </comment>
    <comment ref="H239" authorId="0" shapeId="0" xr:uid="{4A8F6EAD-32DB-9149-B45C-78D1510E2BAA}">
      <text>
        <r>
          <rPr>
            <sz val="10"/>
            <color rgb="FF000000"/>
            <rFont val="Aptos Narrow"/>
            <scheme val="minor"/>
          </rPr>
          <t>======
ID#AAABjx7qVw4
    (2025-05-21 11:33:27)
0307 chloe:匯款匯入US39896-37(手續費)</t>
        </r>
      </text>
    </comment>
    <comment ref="H240" authorId="0" shapeId="0" xr:uid="{751D994A-C06F-BA45-B099-436A2492CE6D}">
      <text>
        <r>
          <rPr>
            <sz val="10"/>
            <color rgb="FF000000"/>
            <rFont val="Aptos Narrow"/>
            <scheme val="minor"/>
          </rPr>
          <t>======
ID#AAABjx7qTHc
    (2025-05-21 11:33:26)
0327 chloe:匯款匯入US$4165-20(手續費)</t>
        </r>
      </text>
    </comment>
    <comment ref="O240" authorId="0" shapeId="0" xr:uid="{1608A348-7BA4-824C-8C74-B20598AD1F74}">
      <text>
        <r>
          <rPr>
            <sz val="10"/>
            <color rgb="FF000000"/>
            <rFont val="Aptos Narrow"/>
            <scheme val="minor"/>
          </rPr>
          <t>======
ID#AAABjx7qV8M
    (2025-05-21 11:33:27)
0211下單</t>
        </r>
      </text>
    </comment>
    <comment ref="H241" authorId="0" shapeId="0" xr:uid="{F40AC1CF-B23A-9648-8377-91627CEB842A}">
      <text>
        <r>
          <rPr>
            <sz val="10"/>
            <color rgb="FF000000"/>
            <rFont val="Aptos Narrow"/>
            <scheme val="minor"/>
          </rPr>
          <t>======
ID#AAABjx7qTnE
    (2025-05-21 11:33:26)
0327 chloe:匯款匯入US$4165-20(手續費)</t>
        </r>
      </text>
    </comment>
    <comment ref="O241" authorId="0" shapeId="0" xr:uid="{A42D7F9B-5B34-AE44-84CB-DD9AB4915ED0}">
      <text>
        <r>
          <rPr>
            <sz val="10"/>
            <color rgb="FF000000"/>
            <rFont val="Aptos Narrow"/>
            <scheme val="minor"/>
          </rPr>
          <t>======
ID#AAABjx7qRyI
    (2025-05-21 11:33:25)
0211 下單</t>
        </r>
      </text>
    </comment>
    <comment ref="H242" authorId="0" shapeId="0" xr:uid="{AA1276B4-E5FD-E64B-9442-7C5D8D538929}">
      <text>
        <r>
          <rPr>
            <sz val="10"/>
            <color rgb="FF000000"/>
            <rFont val="Aptos Narrow"/>
            <scheme val="minor"/>
          </rPr>
          <t>======
ID#AAABjx7qSCk
    (2025-05-21 11:33:25)
0327 chloe:匯款匯入US$4165-20(手續費)</t>
        </r>
      </text>
    </comment>
    <comment ref="O242" authorId="0" shapeId="0" xr:uid="{C73F0C4E-7E82-324B-938D-86EAD9042A34}">
      <text>
        <r>
          <rPr>
            <sz val="10"/>
            <color rgb="FF000000"/>
            <rFont val="Aptos Narrow"/>
            <scheme val="minor"/>
          </rPr>
          <t>======
ID#AAABjx7qMzg
    (2025-05-21 11:33:23)
0211 下單</t>
        </r>
      </text>
    </comment>
    <comment ref="H243" authorId="0" shapeId="0" xr:uid="{1EF73982-567D-FC4F-8C43-C2DEC755C8A0}">
      <text>
        <r>
          <rPr>
            <sz val="10"/>
            <color rgb="FF000000"/>
            <rFont val="Aptos Narrow"/>
            <scheme val="minor"/>
          </rPr>
          <t>======
ID#AAABjx7qU2Y
    (2025-05-21 11:33:26)
0322 chloe:匯入US8750</t>
        </r>
      </text>
    </comment>
    <comment ref="M243" authorId="0" shapeId="0" xr:uid="{13F625EB-DF01-3542-A85D-91859FD1A207}">
      <text>
        <r>
          <rPr>
            <sz val="10"/>
            <color rgb="FF000000"/>
            <rFont val="Aptos Narrow"/>
            <scheme val="minor"/>
          </rPr>
          <t>======
ID#AAABjx7qOkM
    (2025-05-21 11:33:24)
0212 cathy: 廠商回覆2/22物料至新漢
0220 Cathy: VIcky 告知2/21 到新漢</t>
        </r>
      </text>
    </comment>
    <comment ref="O243" authorId="0" shapeId="0" xr:uid="{D97A4F3C-F0BD-814B-8256-22FE497EF9E3}">
      <text>
        <r>
          <rPr>
            <sz val="10"/>
            <color rgb="FF000000"/>
            <rFont val="Aptos Narrow"/>
            <scheme val="minor"/>
          </rPr>
          <t>======
ID#AAABjx7qSsQ
    (2025-05-21 11:33:26)
0211下單
交期暫押2/19</t>
        </r>
      </text>
    </comment>
    <comment ref="H244" authorId="0" shapeId="0" xr:uid="{B40A98EC-6F42-E948-A65E-9778D8513172}">
      <text>
        <r>
          <rPr>
            <sz val="10"/>
            <color rgb="FF000000"/>
            <rFont val="Aptos Narrow"/>
            <scheme val="minor"/>
          </rPr>
          <t>======
ID#AAABjx7qS2E
    (2025-05-21 11:33:26)
0322 chloe:匯入US8750</t>
        </r>
      </text>
    </comment>
    <comment ref="O244" authorId="0" shapeId="0" xr:uid="{457C0B87-8961-C545-A963-BA9B9B55ECC1}">
      <text>
        <r>
          <rPr>
            <sz val="10"/>
            <color rgb="FF000000"/>
            <rFont val="Aptos Narrow"/>
            <scheme val="minor"/>
          </rPr>
          <t>======
ID#AAABjx7qMus
    (2025-05-21 11:33:23)
0211下單
交期暫押2/22</t>
        </r>
      </text>
    </comment>
    <comment ref="H245" authorId="0" shapeId="0" xr:uid="{B4EFAFC1-1584-AB4B-B7DF-6FF64088BF75}">
      <text>
        <r>
          <rPr>
            <sz val="10"/>
            <color rgb="FF000000"/>
            <rFont val="Aptos Narrow"/>
            <scheme val="minor"/>
          </rPr>
          <t>======
ID#AAABjx7qUxA
    (2025-05-21 11:33:26)
0322 chloe:匯入US8750</t>
        </r>
      </text>
    </comment>
    <comment ref="O245" authorId="0" shapeId="0" xr:uid="{CA5C43DA-22C2-B841-8EC9-80DECE309817}">
      <text>
        <r>
          <rPr>
            <sz val="10"/>
            <color rgb="FF000000"/>
            <rFont val="Aptos Narrow"/>
            <scheme val="minor"/>
          </rPr>
          <t>======
ID#AAABjx7qRJk
    (2025-05-21 11:33:25)
0211下單
交期暫押2/22</t>
        </r>
      </text>
    </comment>
    <comment ref="D246" authorId="0" shapeId="0" xr:uid="{857961E4-3C89-A542-A1C3-FBA3922E3123}">
      <text>
        <r>
          <rPr>
            <sz val="10"/>
            <color rgb="FF000000"/>
            <rFont val="Aptos Narrow"/>
            <scheme val="minor"/>
          </rPr>
          <t>======
ID#AAABjx7qM4o
    (2025-05-21 11:33:23)
190109 Tammy: 抽驗即可, 謝謝</t>
        </r>
      </text>
    </comment>
    <comment ref="H246" authorId="0" shapeId="0" xr:uid="{6A57B674-F724-994A-A41A-CEAA558A2A7C}">
      <text>
        <r>
          <rPr>
            <sz val="10"/>
            <color rgb="FF000000"/>
            <rFont val="Aptos Narrow"/>
            <scheme val="minor"/>
          </rPr>
          <t>======
ID#AAABjx7qU8g
    (2025-05-21 11:33:27)
0322 chloe:匯入US8750</t>
        </r>
      </text>
    </comment>
    <comment ref="O246" authorId="0" shapeId="0" xr:uid="{661DBEEB-3434-1741-B131-5A5781EB5DE0}">
      <text>
        <r>
          <rPr>
            <sz val="10"/>
            <color rgb="FF000000"/>
            <rFont val="Aptos Narrow"/>
            <scheme val="minor"/>
          </rPr>
          <t>======
ID#AAABjx7qOuk
    (2025-05-21 11:33:24)
0211下單
交期暫押2/22</t>
        </r>
      </text>
    </comment>
    <comment ref="G247" authorId="0" shapeId="0" xr:uid="{62DD4688-0A95-394F-AD2D-0D265631C4E4}">
      <text>
        <r>
          <rPr>
            <sz val="10"/>
            <color rgb="FF000000"/>
            <rFont val="Aptos Narrow"/>
            <scheme val="minor"/>
          </rPr>
          <t>======
ID#AAABjx7qP-E
    (2025-05-21 11:33:25)
180828 w/ vat 5%</t>
        </r>
      </text>
    </comment>
    <comment ref="H247" authorId="0" shapeId="0" xr:uid="{ED23D9E9-4A83-F24E-B6C1-CF852701BFD3}">
      <text>
        <r>
          <rPr>
            <sz val="10"/>
            <color rgb="FF000000"/>
            <rFont val="Aptos Narrow"/>
            <scheme val="minor"/>
          </rPr>
          <t>======
ID#AAABjx7qNwY
    (2025-05-21 11:33:23)
0312 chloe
扣除 PO20190211001 貨款
43384 -10071(此單金額)=33313(戎克尚欠)</t>
        </r>
      </text>
    </comment>
    <comment ref="H248" authorId="0" shapeId="0" xr:uid="{CD0D3D45-85BE-E140-ABBD-49708F9FD469}">
      <text>
        <r>
          <rPr>
            <sz val="10"/>
            <color rgb="FF000000"/>
            <rFont val="Aptos Narrow"/>
            <scheme val="minor"/>
          </rPr>
          <t>======
ID#AAABjx7qVWo
    (2025-05-21 11:33:27)
0327 chloe:匯款匯入US$4165-20(手續費)</t>
        </r>
      </text>
    </comment>
    <comment ref="H249" authorId="0" shapeId="0" xr:uid="{BDECD405-0511-E440-A259-7CD0CE9C5426}">
      <text>
        <r>
          <rPr>
            <sz val="10"/>
            <color rgb="FF000000"/>
            <rFont val="Aptos Narrow"/>
            <scheme val="minor"/>
          </rPr>
          <t>======
ID#AAABjx7qPeM
    (2025-05-21 11:33:24)
0419 chloe: 20190415 收到162,635-30(手續費)</t>
        </r>
      </text>
    </comment>
    <comment ref="M249" authorId="0" shapeId="0" xr:uid="{839D96D7-0227-5848-BD2F-81253D0496F9}">
      <text>
        <r>
          <rPr>
            <sz val="10"/>
            <color rgb="FF000000"/>
            <rFont val="Aptos Narrow"/>
            <scheme val="minor"/>
          </rPr>
          <t>======
ID#AAABjx7qWFM
    (2025-05-21 11:33:27)
0318 Cathy: 今天告知交期 
0311 Cathy: 超恩告知缺主板
主板預計3/15到超恩，還需測試。
若無問題預計3/21出貨，若有問題待下批，預計4/8後出貨</t>
        </r>
      </text>
    </comment>
    <comment ref="U249" authorId="0" shapeId="0" xr:uid="{57EE85CF-418D-2F47-BE07-54BDDCEAF791}">
      <text>
        <r>
          <rPr>
            <sz val="10"/>
            <color rgb="FF000000"/>
            <rFont val="Aptos Narrow"/>
            <scheme val="minor"/>
          </rPr>
          <t>======
ID#AAABjx7qOgg
    (2025-05-21 11:33:24)
Chloe OK</t>
        </r>
      </text>
    </comment>
    <comment ref="H250" authorId="0" shapeId="0" xr:uid="{037A4F48-6CEC-2E40-811E-0D175F1EFD8F}">
      <text>
        <r>
          <rPr>
            <sz val="10"/>
            <color rgb="FF000000"/>
            <rFont val="Aptos Narrow"/>
            <scheme val="minor"/>
          </rPr>
          <t>======
ID#AAABjx7qRDc
    (2025-05-21 11:33:25)
0419 chloe: 20190415 收到162,635-30(手續費)</t>
        </r>
      </text>
    </comment>
    <comment ref="U250" authorId="0" shapeId="0" xr:uid="{85C845FE-8C76-3D4F-8DE2-3E7E34F53003}">
      <text>
        <r>
          <rPr>
            <sz val="10"/>
            <color rgb="FF000000"/>
            <rFont val="Aptos Narrow"/>
            <scheme val="minor"/>
          </rPr>
          <t>======
ID#AAABjx7qNuo
    (2025-05-21 11:33:23)
Chloe OK</t>
        </r>
      </text>
    </comment>
    <comment ref="D251" authorId="0" shapeId="0" xr:uid="{19F540E6-8191-BF42-9B6A-2CD7EC943227}">
      <text>
        <r>
          <rPr>
            <sz val="10"/>
            <color rgb="FF000000"/>
            <rFont val="Aptos Narrow"/>
            <scheme val="minor"/>
          </rPr>
          <t>======
ID#AAABjx7qVv8
    (2025-05-21 11:33:27)
0212 San: 毛利太低, 不用再換標籤</t>
        </r>
      </text>
    </comment>
    <comment ref="H251" authorId="0" shapeId="0" xr:uid="{8EAB7B56-DFCD-4E45-A6FF-DC588A038DD0}">
      <text>
        <r>
          <rPr>
            <sz val="10"/>
            <color rgb="FF000000"/>
            <rFont val="Aptos Narrow"/>
            <scheme val="minor"/>
          </rPr>
          <t>======
ID#AAABjx7qVfc
    (2025-05-21 11:33:27)
0328 chloe:收到支票 NT133576
待4/1解款
0403 chloe 解款</t>
        </r>
      </text>
    </comment>
    <comment ref="O251" authorId="0" shapeId="0" xr:uid="{1C9C685A-6C83-424C-B857-184F85730533}">
      <text>
        <r>
          <rPr>
            <sz val="10"/>
            <color rgb="FF000000"/>
            <rFont val="Aptos Narrow"/>
            <scheme val="minor"/>
          </rPr>
          <t>======
ID#AAABjx7qVTA
    (2025-05-21 11:33:27)
0212下單</t>
        </r>
      </text>
    </comment>
    <comment ref="H252" authorId="0" shapeId="0" xr:uid="{D5616B2E-7C4D-244F-A0D8-F2D726171D82}">
      <text>
        <r>
          <rPr>
            <sz val="10"/>
            <color rgb="FF000000"/>
            <rFont val="Aptos Narrow"/>
            <scheme val="minor"/>
          </rPr>
          <t>======
ID#AAABjx7qMrY
    (2025-05-21 11:33:23)
0327 chloe:匯款匯入US4578-6.51(手續費)</t>
        </r>
      </text>
    </comment>
    <comment ref="K252" authorId="0" shapeId="0" xr:uid="{6B9B0E2F-B6AE-8D44-B07C-639DAE47D4FB}">
      <text>
        <r>
          <rPr>
            <sz val="10"/>
            <color rgb="FF000000"/>
            <rFont val="Aptos Narrow"/>
            <scheme val="minor"/>
          </rPr>
          <t>======
ID#AAABjx7qSLE
    (2025-05-21 11:33:26)
0212 San: 用DHL箱子把2個貨箱放成一個箱子</t>
        </r>
      </text>
    </comment>
    <comment ref="O252" authorId="0" shapeId="0" xr:uid="{89255DDA-EDF2-3A44-9D07-9F0E8714766F}">
      <text>
        <r>
          <rPr>
            <sz val="10"/>
            <color rgb="FF000000"/>
            <rFont val="Aptos Narrow"/>
            <scheme val="minor"/>
          </rPr>
          <t>======
ID#AAABjx7qSFY
    (2025-05-21 11:33:26)
0213 Cathy下單</t>
        </r>
      </text>
    </comment>
    <comment ref="H253" authorId="0" shapeId="0" xr:uid="{728324D3-6B97-9147-9283-D25BBF48F271}">
      <text>
        <r>
          <rPr>
            <sz val="10"/>
            <color rgb="FF000000"/>
            <rFont val="Aptos Narrow"/>
            <scheme val="minor"/>
          </rPr>
          <t>======
ID#AAABjx7qN84
    (2025-05-21 11:33:23)
0327 chloe:匯款匯入US4578-6.51(手續費)</t>
        </r>
      </text>
    </comment>
    <comment ref="K253" authorId="0" shapeId="0" xr:uid="{86DF2EFB-26ED-044B-8451-EE4345A85EDA}">
      <text>
        <r>
          <rPr>
            <sz val="10"/>
            <color rgb="FF000000"/>
            <rFont val="Aptos Narrow"/>
            <scheme val="minor"/>
          </rPr>
          <t>======
ID#AAABjx7qSCo
    (2025-05-21 11:33:25)
0212 San: 用DHL箱子把2個貨箱放成一個箱子</t>
        </r>
      </text>
    </comment>
    <comment ref="O253" authorId="0" shapeId="0" xr:uid="{6C915D05-3B7B-AE45-BA33-6D1082AEBF37}">
      <text>
        <r>
          <rPr>
            <sz val="10"/>
            <color rgb="FF000000"/>
            <rFont val="Aptos Narrow"/>
            <scheme val="minor"/>
          </rPr>
          <t>======
ID#AAABjx7qShI
    (2025-05-21 11:33:26)
0213 Cathy下單</t>
        </r>
      </text>
    </comment>
    <comment ref="H254" authorId="0" shapeId="0" xr:uid="{EA308B41-616A-FB4F-9E25-3A69FC94B8EF}">
      <text>
        <r>
          <rPr>
            <sz val="10"/>
            <color rgb="FF000000"/>
            <rFont val="Aptos Narrow"/>
            <scheme val="minor"/>
          </rPr>
          <t>======
ID#AAABjx7qNJM
    (2025-05-21 11:33:23)
0327 chloe:匯款匯入US4578-6.51(手續費)</t>
        </r>
      </text>
    </comment>
    <comment ref="K254" authorId="0" shapeId="0" xr:uid="{8C734B98-A843-A34E-A154-CA2549FF1AC3}">
      <text>
        <r>
          <rPr>
            <sz val="10"/>
            <color rgb="FF000000"/>
            <rFont val="Aptos Narrow"/>
            <scheme val="minor"/>
          </rPr>
          <t>======
ID#AAABjx7qOt4
    (2025-05-21 11:33:24)
0212 San: 用DHL箱子把2個貨箱放成一個箱子</t>
        </r>
      </text>
    </comment>
    <comment ref="O254" authorId="0" shapeId="0" xr:uid="{EC621CD5-CA75-804B-8779-82596E196124}">
      <text>
        <r>
          <rPr>
            <sz val="10"/>
            <color rgb="FF000000"/>
            <rFont val="Aptos Narrow"/>
            <scheme val="minor"/>
          </rPr>
          <t>======
ID#AAABjx7qQHE
    (2025-05-21 11:33:25)
0213 Cathy下單</t>
        </r>
      </text>
    </comment>
    <comment ref="H255" authorId="0" shapeId="0" xr:uid="{04F5BAD9-7BD9-3E4C-B7E5-44C4B91B063B}">
      <text>
        <r>
          <rPr>
            <sz val="10"/>
            <color rgb="FF000000"/>
            <rFont val="Aptos Narrow"/>
            <scheme val="minor"/>
          </rPr>
          <t>======
ID#AAABjx7qPl0
    (2025-05-21 11:33:24)
0327 chloe:匯款匯入US4578-6.51(手續費)</t>
        </r>
      </text>
    </comment>
    <comment ref="K255" authorId="0" shapeId="0" xr:uid="{3479E352-5234-FA45-9FCF-142FD7DFA670}">
      <text>
        <r>
          <rPr>
            <sz val="10"/>
            <color rgb="FF000000"/>
            <rFont val="Aptos Narrow"/>
            <scheme val="minor"/>
          </rPr>
          <t>======
ID#AAABjx7qSK4
    (2025-05-21 11:33:26)
0318 san: 出貨前檢查 (bank/eric/san）
0321 amy: 請注意出貨地Denmark及包裝protection ( plastic bag inside &amp; outer carton/film well packed)</t>
        </r>
      </text>
    </comment>
    <comment ref="AH255" authorId="0" shapeId="0" xr:uid="{D0363FC0-BC6A-B544-824B-E562EEFFB7B5}">
      <text>
        <r>
          <rPr>
            <sz val="10"/>
            <color rgb="FF000000"/>
            <rFont val="Aptos Narrow"/>
            <scheme val="minor"/>
          </rPr>
          <t>======
ID#AAABjx7qQk8
alice    (2025-05-21 11:33:25)
出口報單報關日期108/03/26-CG//08/376/2Y449報單金額USD5053*30.825=155759</t>
        </r>
      </text>
    </comment>
    <comment ref="A256" authorId="0" shapeId="0" xr:uid="{3624242E-B963-8545-94B0-8A4AB9222365}">
      <text>
        <r>
          <rPr>
            <sz val="10"/>
            <color rgb="FF000000"/>
            <rFont val="Aptos Narrow"/>
            <scheme val="minor"/>
          </rPr>
          <t>======
ID#AAABjx7qTeg
    (2025-05-21 11:33:26)
3/22 Amy: line disappear, add it on 3/22</t>
        </r>
      </text>
    </comment>
    <comment ref="H256" authorId="0" shapeId="0" xr:uid="{60A51792-CD10-D643-8BFE-3A70022AA217}">
      <text>
        <r>
          <rPr>
            <sz val="10"/>
            <color rgb="FF000000"/>
            <rFont val="Aptos Narrow"/>
            <scheme val="minor"/>
          </rPr>
          <t>======
ID#AAABjx7qScY
    (2025-05-21 11:33:26)
0327 chloe:匯款匯入US4578-6.51(手續費)</t>
        </r>
      </text>
    </comment>
    <comment ref="K256" authorId="0" shapeId="0" xr:uid="{CF78CCE5-A103-5441-86D1-C0C9EC086A95}">
      <text>
        <r>
          <rPr>
            <sz val="10"/>
            <color rgb="FF000000"/>
            <rFont val="Aptos Narrow"/>
            <scheme val="minor"/>
          </rPr>
          <t>======
ID#AAABjx7qPSg
    (2025-05-21 11:33:24)
0212 San: 用DHL箱子把2個貨箱放成一個箱子</t>
        </r>
      </text>
    </comment>
    <comment ref="H257" authorId="0" shapeId="0" xr:uid="{5026A7A1-F7E9-1849-BB29-28ACC1BA84DA}">
      <text>
        <r>
          <rPr>
            <sz val="10"/>
            <color rgb="FF000000"/>
            <rFont val="Aptos Narrow"/>
            <scheme val="minor"/>
          </rPr>
          <t>======
ID#AAABjx7qQWk
    (2025-05-21 11:33:25)
alice:2019/04/25水單通知匯入USD1931*30.86=NT59591元整  無手續費 沖(125+1400+14+42+350)</t>
        </r>
      </text>
    </comment>
    <comment ref="O257" authorId="0" shapeId="0" xr:uid="{0F9EAF11-ABF3-6C46-9073-20BB8D7DDB83}">
      <text>
        <r>
          <rPr>
            <sz val="10"/>
            <color rgb="FF000000"/>
            <rFont val="Aptos Narrow"/>
            <scheme val="minor"/>
          </rPr>
          <t>======
ID#AAABjx7qSbc
    (2025-05-21 11:33:26)
2/21 Tammy
客人訂單還未簽回，請暫停進料及備料
3/6 Bruce:
Tammy通知可繼續生產</t>
        </r>
      </text>
    </comment>
    <comment ref="U257" authorId="0" shapeId="0" xr:uid="{3C3FB720-6DA9-2446-B14A-616EB0C4E432}">
      <text>
        <r>
          <rPr>
            <sz val="10"/>
            <color rgb="FF000000"/>
            <rFont val="Aptos Narrow"/>
            <scheme val="minor"/>
          </rPr>
          <t>======
ID#AAABjx7qQAo
    (2025-05-21 11:33:25)
02-BE-00059 NT676 成本</t>
        </r>
      </text>
    </comment>
    <comment ref="O258" authorId="0" shapeId="0" xr:uid="{C3E7A5F3-353C-1F4E-B0F4-B44C799C167E}">
      <text>
        <r>
          <rPr>
            <sz val="10"/>
            <color rgb="FF000000"/>
            <rFont val="Aptos Narrow"/>
            <scheme val="minor"/>
          </rPr>
          <t>======
ID#AAABjx7qRrw
    (2025-05-21 11:33:25)
2/21 Tammy
客人訂單還未簽回，請暫停進料及備料
3/6 Bruce:
Tammy通知可繼續生產</t>
        </r>
      </text>
    </comment>
    <comment ref="O259" authorId="0" shapeId="0" xr:uid="{78ADA057-2680-9C4C-881B-B910D0E2C2B8}">
      <text>
        <r>
          <rPr>
            <sz val="10"/>
            <color rgb="FF000000"/>
            <rFont val="Aptos Narrow"/>
            <scheme val="minor"/>
          </rPr>
          <t>======
ID#AAABjx7qQUI
    (2025-05-21 11:33:25)
2/21 Tammy
客人訂單還未簽回，請暫停進料及備料
3/6 Bruce:
Tammy通知可繼續生產</t>
        </r>
      </text>
    </comment>
    <comment ref="O260" authorId="0" shapeId="0" xr:uid="{F121E997-F7D1-3D45-8746-E4F519117BDA}">
      <text>
        <r>
          <rPr>
            <sz val="10"/>
            <color rgb="FF000000"/>
            <rFont val="Aptos Narrow"/>
            <scheme val="minor"/>
          </rPr>
          <t>======
ID#AAABjx7qSeU
    (2025-05-21 11:33:26)
2/21 Tammy
客人訂單還未簽回，請暫停進料及備料
3/6 Bruce:
Tammy通知可繼續生產</t>
        </r>
      </text>
    </comment>
    <comment ref="O261" authorId="0" shapeId="0" xr:uid="{B4FC0BB9-361A-734F-8954-CA4CF20A0876}">
      <text>
        <r>
          <rPr>
            <sz val="10"/>
            <color rgb="FF000000"/>
            <rFont val="Aptos Narrow"/>
            <scheme val="minor"/>
          </rPr>
          <t>======
ID#AAABjx7qS0g
    (2025-05-21 11:33:26)
2/21 Tammy
客人訂單還未簽回，請暫停進料及備料
3/6 Bruce:
Tammy通知可繼續生產</t>
        </r>
      </text>
    </comment>
    <comment ref="H262" authorId="0" shapeId="0" xr:uid="{C06BEB00-ADB2-0F4D-93AD-8344E23437F4}">
      <text>
        <r>
          <rPr>
            <sz val="10"/>
            <color rgb="FF000000"/>
            <rFont val="Aptos Narrow"/>
            <scheme val="minor"/>
          </rPr>
          <t>======
ID#AAABjx7qQt4
    (2025-05-21 11:33:25)
alice:2019/04/25水單通知匯入USD1931*30.86=NT59591元整  無手續費 沖(125+1400+14+42+350)</t>
        </r>
      </text>
    </comment>
    <comment ref="O262" authorId="0" shapeId="0" xr:uid="{263FE872-8935-C046-8281-9C98A5D76A19}">
      <text>
        <r>
          <rPr>
            <sz val="10"/>
            <color rgb="FF000000"/>
            <rFont val="Aptos Narrow"/>
            <scheme val="minor"/>
          </rPr>
          <t>======
ID#AAABjx7qQrw
    (2025-05-21 11:33:25)
2/21 Tammy
客人訂單還未簽回，請暫停進料及備料
3/6 Bruce:
Tammy通知可繼續生產</t>
        </r>
      </text>
    </comment>
    <comment ref="Z262" authorId="0" shapeId="0" xr:uid="{A3895CAF-5831-C94D-9822-6B0F89B3FC7A}">
      <text>
        <r>
          <rPr>
            <sz val="10"/>
            <color rgb="FF000000"/>
            <rFont val="Aptos Narrow"/>
            <scheme val="minor"/>
          </rPr>
          <t>======
ID#AAABjx7qSO4
    (2025-05-21 11:33:26)
0311 chloe:含PO20190124B</t>
        </r>
      </text>
    </comment>
    <comment ref="H263" authorId="0" shapeId="0" xr:uid="{0087CFA4-FDE1-1143-98E1-92DB7B7C5F23}">
      <text>
        <r>
          <rPr>
            <sz val="10"/>
            <color rgb="FF000000"/>
            <rFont val="Aptos Narrow"/>
            <scheme val="minor"/>
          </rPr>
          <t>======
ID#AAABjx7qN0o
    (2025-05-21 11:33:23)
alice:2019/04/25水單通知匯入USD1931*30.86=NT59591元整  無手續費 沖(125+1400+14+42+350)</t>
        </r>
      </text>
    </comment>
    <comment ref="O263" authorId="0" shapeId="0" xr:uid="{A94F817D-50CD-5244-AE65-55A0BB9C815B}">
      <text>
        <r>
          <rPr>
            <sz val="10"/>
            <color rgb="FF000000"/>
            <rFont val="Aptos Narrow"/>
            <scheme val="minor"/>
          </rPr>
          <t>======
ID#AAABjx7qSIw
    (2025-05-21 11:33:26)
2/21 Tammy
客人訂單還未簽回，請暫停進料及備料
3/6 Bruce:
Tammy通知可繼續生產</t>
        </r>
      </text>
    </comment>
    <comment ref="Z263" authorId="0" shapeId="0" xr:uid="{D42EFF1A-EE13-1944-B446-A263C67AF289}">
      <text>
        <r>
          <rPr>
            <sz val="10"/>
            <color rgb="FF000000"/>
            <rFont val="Aptos Narrow"/>
            <scheme val="minor"/>
          </rPr>
          <t>======
ID#AAABjx7qOeE
    (2025-05-21 11:33:24)
0311 chloe:含PO20190124B</t>
        </r>
      </text>
    </comment>
    <comment ref="E264" authorId="0" shapeId="0" xr:uid="{F2C7EC70-72BD-034C-93A1-BE5D95FE69FE}">
      <text>
        <r>
          <rPr>
            <sz val="10"/>
            <color rgb="FF000000"/>
            <rFont val="Aptos Narrow"/>
            <scheme val="minor"/>
          </rPr>
          <t>======
ID#AAABjx7qSQA
    (2025-05-21 11:33:26)
0313 chloe: 戎克備有庫存，見半成品庫存表</t>
        </r>
      </text>
    </comment>
    <comment ref="O264" authorId="0" shapeId="0" xr:uid="{ED4CBF54-108E-F44D-8DBF-52FCB930C357}">
      <text>
        <r>
          <rPr>
            <sz val="10"/>
            <color rgb="FF000000"/>
            <rFont val="Aptos Narrow"/>
            <scheme val="minor"/>
          </rPr>
          <t>======
ID#AAABjx7qVc4
    (2025-05-21 11:33:27)
2/21 Tammy
客人訂單還未簽回，請暫停進料及備料
3/6 Bruce:
Tammy通知可繼續生產</t>
        </r>
      </text>
    </comment>
    <comment ref="Z264" authorId="0" shapeId="0" xr:uid="{6824AE0C-3074-E843-A904-77CB2E2DE3A5}">
      <text>
        <r>
          <rPr>
            <sz val="10"/>
            <color rgb="FF000000"/>
            <rFont val="Aptos Narrow"/>
            <scheme val="minor"/>
          </rPr>
          <t>======
ID#AAABjx7qVfM
    (2025-05-21 11:33:27)
0311 chloe:含PO20190124B</t>
        </r>
      </text>
    </comment>
    <comment ref="H265" authorId="0" shapeId="0" xr:uid="{DFA21FC0-0D61-D341-801F-50B0896FABB7}">
      <text>
        <r>
          <rPr>
            <sz val="10"/>
            <color rgb="FF000000"/>
            <rFont val="Aptos Narrow"/>
            <scheme val="minor"/>
          </rPr>
          <t>======
ID#AAABjx7qSLQ
    (2025-05-21 11:33:26)
ALICE:5/3收到USD12965.5(沖PI-20190121B.PI20190217A.PI-20190131C.PI-20190313A.PI-20190306A)</t>
        </r>
      </text>
    </comment>
    <comment ref="U265" authorId="0" shapeId="0" xr:uid="{907B36E8-81FC-0B43-9ECE-75721FC3D2FE}">
      <text>
        <r>
          <rPr>
            <sz val="10"/>
            <color rgb="FF000000"/>
            <rFont val="Aptos Narrow"/>
            <scheme val="minor"/>
          </rPr>
          <t>======
ID#AAABjx7qVyA
    (2025-05-21 11:33:27)
NRE費用，不算入獎金</t>
        </r>
      </text>
    </comment>
    <comment ref="H266" authorId="0" shapeId="0" xr:uid="{C167DE95-4BC3-4642-B3E9-EF3308325550}">
      <text>
        <r>
          <rPr>
            <sz val="10"/>
            <color rgb="FF000000"/>
            <rFont val="Aptos Narrow"/>
            <scheme val="minor"/>
          </rPr>
          <t>======
ID#AAABjx7qSTA
    (2025-05-21 11:33:26)
ALICE:5/3收到USD12965.5(沖PI-20190121B.PI20190217A.PI-20190131C.PI-20190313A.PI-20190306A)</t>
        </r>
      </text>
    </comment>
    <comment ref="H267" authorId="0" shapeId="0" xr:uid="{58DEC29F-97D1-1648-95D4-B028B76C7150}">
      <text>
        <r>
          <rPr>
            <sz val="10"/>
            <color rgb="FF000000"/>
            <rFont val="Aptos Narrow"/>
            <scheme val="minor"/>
          </rPr>
          <t>======
ID#AAABjx7qNtU
    (2025-05-21 11:33:23)
ALICE:5/3收到USD12965.5(沖PI-20190121B.PI20190217A.PI-20190131C.PI-20190313A.PI-20190306A)</t>
        </r>
      </text>
    </comment>
    <comment ref="E268" authorId="0" shapeId="0" xr:uid="{D40FADA1-5256-D149-A60A-0A23ACA788F1}">
      <text>
        <r>
          <rPr>
            <sz val="10"/>
            <color rgb="FF000000"/>
            <rFont val="Aptos Narrow"/>
            <scheme val="minor"/>
          </rPr>
          <t>======
ID#AAABjx7qSlM
    (2025-05-21 11:33:26)
自製品SSD-TS32GSSD420K ，戎克料號:14-TS0-SDMN032-001A</t>
        </r>
      </text>
    </comment>
    <comment ref="H268" authorId="0" shapeId="0" xr:uid="{3A3B47A5-AE91-D645-9C4C-9B48A60EBF1A}">
      <text>
        <r>
          <rPr>
            <sz val="10"/>
            <color rgb="FF000000"/>
            <rFont val="Aptos Narrow"/>
            <scheme val="minor"/>
          </rPr>
          <t>======
ID#AAABjx7qVME
    (2025-05-21 11:33:27)
ALICE:5/16-銀行水單通知USD5169(沖PO0131D-1 4285.PI-0320-B 175.PI-4/8-A 709)共三筆</t>
        </r>
      </text>
    </comment>
    <comment ref="E269" authorId="0" shapeId="0" xr:uid="{4D9B78BA-4630-E545-AEBE-4D68BCB5C654}">
      <text>
        <r>
          <rPr>
            <sz val="10"/>
            <color rgb="FF000000"/>
            <rFont val="Aptos Narrow"/>
            <scheme val="minor"/>
          </rPr>
          <t>======
ID#AAABjx7qOP4
    (2025-05-21 11:33:24)
自製品DRAM-TS512MSK64W6H戎克料號13-TS0-D30N004-001A</t>
        </r>
      </text>
    </comment>
    <comment ref="H269" authorId="0" shapeId="0" xr:uid="{C9397528-A648-1C46-8018-1942748FC59A}">
      <text>
        <r>
          <rPr>
            <sz val="10"/>
            <color rgb="FF000000"/>
            <rFont val="Aptos Narrow"/>
            <scheme val="minor"/>
          </rPr>
          <t>======
ID#AAABjx7qN4U
    (2025-05-21 11:33:23)
ALICE:5/16-銀行水單通知USD5169(沖PO0131D-1 4285.PI-0320-B 175.PI-4/8-A 709)共三筆</t>
        </r>
      </text>
    </comment>
    <comment ref="H270" authorId="0" shapeId="0" xr:uid="{0C90EB9F-A8CA-8142-B3E3-2EB5201E6F1E}">
      <text>
        <r>
          <rPr>
            <sz val="10"/>
            <color rgb="FF000000"/>
            <rFont val="Aptos Narrow"/>
            <scheme val="minor"/>
          </rPr>
          <t>======
ID#AAABjx7qVD0
    (2025-05-21 11:33:27)
ALICE:5/16-銀行水單通知USD5169(沖PO0131D-1 4285.PI-0320-B 175.PI-4/8-A 709)共三筆</t>
        </r>
      </text>
    </comment>
    <comment ref="E271" authorId="0" shapeId="0" xr:uid="{8E1F7A3A-39B9-4949-8CD4-25C39C0BB4A4}">
      <text>
        <r>
          <rPr>
            <sz val="10"/>
            <color rgb="FF000000"/>
            <rFont val="Aptos Narrow"/>
            <scheme val="minor"/>
          </rPr>
          <t>======
ID#AAABjx7qR3M
    (2025-05-21 11:33:25)
自製品TS32GSSD420K ，戎克料號:14-TS0-SDMN032-001A</t>
        </r>
      </text>
    </comment>
    <comment ref="H271" authorId="0" shapeId="0" xr:uid="{2A609562-2344-1B42-A8FD-82900C2C07FD}">
      <text>
        <r>
          <rPr>
            <sz val="10"/>
            <color rgb="FF000000"/>
            <rFont val="Aptos Narrow"/>
            <scheme val="minor"/>
          </rPr>
          <t>======
ID#AAABjx7qN0M
    (2025-05-21 11:33:23)
ALICE:6/5水單通知USD11998沖PI-20190131D-2</t>
        </r>
      </text>
    </comment>
    <comment ref="E272" authorId="0" shapeId="0" xr:uid="{0A62FB58-57BA-3C4F-A4E0-96B8D647D120}">
      <text>
        <r>
          <rPr>
            <sz val="10"/>
            <color rgb="FF000000"/>
            <rFont val="Aptos Narrow"/>
            <scheme val="minor"/>
          </rPr>
          <t>======
ID#AAABjx7qRqA
    (2025-05-21 11:33:25)
自製品DRAM-TS512MSK64W6H戎克料號13-TS0-D30N004-001A</t>
        </r>
      </text>
    </comment>
    <comment ref="H272" authorId="0" shapeId="0" xr:uid="{B706F674-A2DD-514D-B20A-FDA6C2E1D575}">
      <text>
        <r>
          <rPr>
            <sz val="10"/>
            <color rgb="FF000000"/>
            <rFont val="Aptos Narrow"/>
            <scheme val="minor"/>
          </rPr>
          <t>======
ID#AAABjx7qPOo
    (2025-05-21 11:33:24)
ALICE:6/5水單通知USD11998沖PI-20190131D-2</t>
        </r>
      </text>
    </comment>
    <comment ref="E273" authorId="0" shapeId="0" xr:uid="{7F0B43CD-E4DF-4C4A-A781-EC575D35FD7E}">
      <text>
        <r>
          <rPr>
            <sz val="10"/>
            <color rgb="FF000000"/>
            <rFont val="Aptos Narrow"/>
            <scheme val="minor"/>
          </rPr>
          <t>======
ID#AAABjx7qOT8
    (2025-05-21 11:33:24)
自製品TS32GSSD420K ，戎克料號:14-TS0-SDMN032-001A</t>
        </r>
      </text>
    </comment>
    <comment ref="H273" authorId="0" shapeId="0" xr:uid="{5C26A477-142C-674B-B8E2-85833F2EDA98}">
      <text>
        <r>
          <rPr>
            <sz val="10"/>
            <color rgb="FF000000"/>
            <rFont val="Aptos Narrow"/>
            <scheme val="minor"/>
          </rPr>
          <t>======
ID#AAABjx7qWAM
    (2025-05-21 11:33:27)
alice:7/31-水單匯入USD2124沖PI-20190131D-2 857.沖PI-20190610A 565.沖PI-20190607A 444.沖PI-20190612A 258</t>
        </r>
      </text>
    </comment>
    <comment ref="E274" authorId="0" shapeId="0" xr:uid="{AC4E4CC3-298C-0649-AC18-7387BA57269F}">
      <text>
        <r>
          <rPr>
            <sz val="10"/>
            <color rgb="FF000000"/>
            <rFont val="Aptos Narrow"/>
            <scheme val="minor"/>
          </rPr>
          <t>======
ID#AAABjx7qSlw
    (2025-05-21 11:33:26)
自製品DRAM-TS512MSK64W6H戎克料號13-TS0-D30N004-001A</t>
        </r>
      </text>
    </comment>
    <comment ref="H274" authorId="0" shapeId="0" xr:uid="{DE4D4C40-70B5-244D-8D7A-AA4FFA310CB2}">
      <text>
        <r>
          <rPr>
            <sz val="10"/>
            <color rgb="FF000000"/>
            <rFont val="Aptos Narrow"/>
            <scheme val="minor"/>
          </rPr>
          <t>======
ID#AAABjx7qO_0
    (2025-05-21 11:33:24)
alice:7/31-水單匯入USD2124沖PI-20190131D-2 857.沖PI-20190610A 565.沖PI-20190607A 444.沖PI-20190612A 258</t>
        </r>
      </text>
    </comment>
    <comment ref="H275" authorId="0" shapeId="0" xr:uid="{3E31866C-AA44-2C4A-8297-A766908D5053}">
      <text>
        <r>
          <rPr>
            <sz val="10"/>
            <color rgb="FF000000"/>
            <rFont val="Aptos Narrow"/>
            <scheme val="minor"/>
          </rPr>
          <t>======
ID#AAABjx7qNvM
    (2025-05-21 11:33:23)
ALICE:6/5水單通知USD11998沖PI-20190131D-2</t>
        </r>
      </text>
    </comment>
    <comment ref="H276" authorId="0" shapeId="0" xr:uid="{F4CEE44A-ECE6-A640-9840-868B24FEDDB3}">
      <text>
        <r>
          <rPr>
            <sz val="10"/>
            <color rgb="FF000000"/>
            <rFont val="Aptos Narrow"/>
            <scheme val="minor"/>
          </rPr>
          <t>======
ID#AAABjx7qQdc
    (2025-05-21 11:33:25)
alice:7/31-水單匯入USD2124沖PI-20190131D-2 857.沖PI-20190610A 565.沖PI-20190607A 444.沖PI-20190612A 258</t>
        </r>
      </text>
    </comment>
    <comment ref="E277" authorId="0" shapeId="0" xr:uid="{644569B9-78E6-8B4E-9998-D04A7A0FB6FD}">
      <text>
        <r>
          <rPr>
            <sz val="10"/>
            <color rgb="FF000000"/>
            <rFont val="Aptos Narrow"/>
            <scheme val="minor"/>
          </rPr>
          <t>======
ID#AAABjx7qRLM
    (2025-05-21 11:33:25)
自製品TS32GSSD420K ，戎克料號:14-TS0-SDMN032-001A</t>
        </r>
      </text>
    </comment>
    <comment ref="H277" authorId="0" shapeId="0" xr:uid="{6524DCCC-82B9-6F43-B25B-A8893B8C2B96}">
      <text>
        <r>
          <rPr>
            <sz val="10"/>
            <color rgb="FF000000"/>
            <rFont val="Aptos Narrow"/>
            <scheme val="minor"/>
          </rPr>
          <t>======
ID#AAABjx7qNb8
    (2025-05-21 11:33:23)
0327 chloe:匯款匯入US$21425-20(手續費)</t>
        </r>
      </text>
    </comment>
    <comment ref="E278" authorId="0" shapeId="0" xr:uid="{C2588A18-B4AB-A844-8F1B-642D66F43CB4}">
      <text>
        <r>
          <rPr>
            <sz val="10"/>
            <color rgb="FF000000"/>
            <rFont val="Aptos Narrow"/>
            <scheme val="minor"/>
          </rPr>
          <t>======
ID#AAABjx7qOks
    (2025-05-21 11:33:24)
自製品DRAM-TS512MSK64W6H戎克料號13-TS0-D30N004-001A</t>
        </r>
      </text>
    </comment>
    <comment ref="H278" authorId="0" shapeId="0" xr:uid="{380A86D1-8229-6745-935C-1B6D1D8AE8D3}">
      <text>
        <r>
          <rPr>
            <sz val="10"/>
            <color rgb="FF000000"/>
            <rFont val="Aptos Narrow"/>
            <scheme val="minor"/>
          </rPr>
          <t>======
ID#AAABjx7qRBo
    (2025-05-21 11:33:25)
0327 chloe:匯款匯入US$21425-20(手續費)</t>
        </r>
      </text>
    </comment>
    <comment ref="H279" authorId="0" shapeId="0" xr:uid="{C7302BD6-ABD3-FA46-A5A5-B706565AB49C}">
      <text>
        <r>
          <rPr>
            <sz val="10"/>
            <color rgb="FF000000"/>
            <rFont val="Aptos Narrow"/>
            <scheme val="minor"/>
          </rPr>
          <t>======
ID#AAABjx7qPNw
    (2025-05-21 11:33:24)
0327 chloe:匯款匯入US$21425-20(手續費)</t>
        </r>
      </text>
    </comment>
    <comment ref="H280" authorId="0" shapeId="0" xr:uid="{A881DCAE-A7DC-B449-8DCE-8D875F831588}">
      <text>
        <r>
          <rPr>
            <sz val="10"/>
            <color rgb="FF000000"/>
            <rFont val="Aptos Narrow"/>
            <scheme val="minor"/>
          </rPr>
          <t>======
ID#AAABjx7qTok
    (2025-05-21 11:33:26)
alice:2019/04/03-收到水單匯入USD765*30.78</t>
        </r>
      </text>
    </comment>
    <comment ref="K280" authorId="0" shapeId="0" xr:uid="{9AB26D35-5D24-B94C-9FB9-2D06DFA25C68}">
      <text>
        <r>
          <rPr>
            <sz val="10"/>
            <color rgb="FF000000"/>
            <rFont val="Aptos Narrow"/>
            <scheme val="minor"/>
          </rPr>
          <t>======
ID#AAABjx7qNaM
    (2025-05-21 11:33:23)
0402 San 告知先放貨，貨款後追</t>
        </r>
      </text>
    </comment>
    <comment ref="U280" authorId="0" shapeId="0" xr:uid="{95B278AE-5736-B642-9AF1-FA82C48268D6}">
      <text>
        <r>
          <rPr>
            <sz val="10"/>
            <color rgb="FF000000"/>
            <rFont val="Aptos Narrow"/>
            <scheme val="minor"/>
          </rPr>
          <t>======
ID#AAABjx7qSFI
    (2025-05-21 11:33:26)
Chloe OK</t>
        </r>
      </text>
    </comment>
    <comment ref="E281" authorId="0" shapeId="0" xr:uid="{F3FBCDC4-1B80-5D43-92A9-EB389BB1A21F}">
      <text>
        <r>
          <rPr>
            <sz val="10"/>
            <color rgb="FF000000"/>
            <rFont val="Aptos Narrow"/>
            <scheme val="minor"/>
          </rPr>
          <t>======
ID#AAABjx7qRMg
0214 Santiago    (2025-05-21 11:33:25)
-&gt; 待客戶將 7' LCD (AA070ME01)寄來後， 寄曦立光電做貼合</t>
        </r>
      </text>
    </comment>
    <comment ref="H281" authorId="0" shapeId="0" xr:uid="{0AA396BC-A53A-994B-B70E-384F1B2190BB}">
      <text>
        <r>
          <rPr>
            <sz val="10"/>
            <color rgb="FF000000"/>
            <rFont val="Aptos Narrow"/>
            <scheme val="minor"/>
          </rPr>
          <t>======
ID#AAABjx7qU64
    (2025-05-21 11:33:27)
Alice:2019/05/08水單匯入USD12400-匯款手續費(10+6.47)*30.9=NT382,651</t>
        </r>
      </text>
    </comment>
    <comment ref="AC281" authorId="0" shapeId="0" xr:uid="{F9752E6B-4A1C-C04F-BBF9-7492F2A4AA98}">
      <text>
        <r>
          <rPr>
            <sz val="10"/>
            <color rgb="FF000000"/>
            <rFont val="Aptos Narrow"/>
            <scheme val="minor"/>
          </rPr>
          <t>======
ID#AAABjx7qSYk
    (2025-05-21 11:33:26)
1913EESWGZP</t>
        </r>
      </text>
    </comment>
    <comment ref="AK281" authorId="0" shapeId="0" xr:uid="{26E61F8D-3D0E-8A4B-9994-1DA1E82826A4}">
      <text>
        <r>
          <rPr>
            <sz val="10"/>
            <color rgb="FF000000"/>
            <rFont val="Aptos Narrow"/>
            <scheme val="minor"/>
          </rPr>
          <t>======
ID#AAABjx7qNis
    (2025-05-21 11:33:23)
Alice:2019/05/08水單匯入USD12400-匯款手續費(10+6.47)*30.9=NT382,651</t>
        </r>
      </text>
    </comment>
    <comment ref="AL281" authorId="0" shapeId="0" xr:uid="{A4229221-8327-BE4C-A32C-8322BCA6F139}">
      <text>
        <r>
          <rPr>
            <sz val="10"/>
            <color rgb="FF000000"/>
            <rFont val="Aptos Narrow"/>
            <scheme val="minor"/>
          </rPr>
          <t>======
ID#AAABj82dpKk
    (2025-05-21 11:33:23)
Alice:2019/05/08水單匯入USD12400-匯款手續費(10+6.47)*30.9=NT382,651</t>
        </r>
      </text>
    </comment>
    <comment ref="E282" authorId="0" shapeId="0" xr:uid="{DBA0FA6B-A4CB-7A4F-9195-231733FD234F}">
      <text>
        <r>
          <rPr>
            <sz val="10"/>
            <color rgb="FF000000"/>
            <rFont val="Aptos Narrow"/>
            <scheme val="minor"/>
          </rPr>
          <t>======
ID#AAABjx7qNuM
    (2025-05-21 11:33:23)
20190214
 Santiago:
-&gt; 待客戶將 7' LCD (AA070ME01)寄來後， 寄曦立光電做貼合</t>
        </r>
      </text>
    </comment>
    <comment ref="H282" authorId="0" shapeId="0" xr:uid="{4CACCA6C-EF9E-0E4F-8B4D-BF75E0BD9DF6}">
      <text>
        <r>
          <rPr>
            <sz val="10"/>
            <color rgb="FF000000"/>
            <rFont val="Aptos Narrow"/>
            <scheme val="minor"/>
          </rPr>
          <t>======
ID#AAABjx7qSfo
    (2025-05-21 11:33:26)
Alice:2019/05/08水單匯入USD12400-匯款手續費(10+6.47)*30.9=NT382,651</t>
        </r>
      </text>
    </comment>
    <comment ref="AB282" authorId="0" shapeId="0" xr:uid="{7505EFC1-2A86-FD46-A188-08C0C0F06700}">
      <text>
        <r>
          <rPr>
            <sz val="10"/>
            <color rgb="FF000000"/>
            <rFont val="Aptos Narrow"/>
            <scheme val="minor"/>
          </rPr>
          <t>======
ID#AAABjx7qNv0
    (2025-05-21 11:33:23)
ALICE:進口報單CU//08/570/49005
進口報關日期108/03/18
起岸價格USD657.45*30.89=NT20309元整
另支付加值型營業稅NT1015元整(我方負擔)</t>
        </r>
      </text>
    </comment>
    <comment ref="AK282" authorId="0" shapeId="0" xr:uid="{95BC51DF-C5A2-4245-862E-8290C6D6C4DF}">
      <text>
        <r>
          <rPr>
            <sz val="10"/>
            <color rgb="FF000000"/>
            <rFont val="Aptos Narrow"/>
            <scheme val="minor"/>
          </rPr>
          <t>======
ID#AAABjx7qNLw
    (2025-05-21 11:33:23)
Alice:2019/05/08水單匯入USD12400-匯款手續費(10+6.47)*30.9=NT382,651</t>
        </r>
      </text>
    </comment>
    <comment ref="AL282" authorId="0" shapeId="0" xr:uid="{CB9B4C4A-64B1-1449-AE7B-55BD26535E5E}">
      <text>
        <r>
          <rPr>
            <sz val="10"/>
            <color rgb="FF000000"/>
            <rFont val="Aptos Narrow"/>
            <scheme val="minor"/>
          </rPr>
          <t>======
ID#AAABjx7qSpY
    (2025-05-21 11:33:26)
Alice:2019/05/08水單匯入USD12400-匯款手續費(10+6.47)*30.9=NT382,651</t>
        </r>
      </text>
    </comment>
    <comment ref="D283" authorId="0" shapeId="0" xr:uid="{4631EF4E-3BB1-B34A-A353-1A9EDAE8AFD8}">
      <text>
        <r>
          <rPr>
            <sz val="10"/>
            <color rgb="FF000000"/>
            <rFont val="Aptos Narrow"/>
            <scheme val="minor"/>
          </rPr>
          <t>======
ID#AAABjx7qVLI
    (2025-05-21 11:33:27)
0127 San: 銷退貨用, 故單價先計算為0, 但給廠商的PO 仍然為US255 / 1 pcs</t>
        </r>
      </text>
    </comment>
    <comment ref="G283" authorId="0" shapeId="0" xr:uid="{19838409-4AAF-4E42-A266-31D3A7169C03}">
      <text>
        <r>
          <rPr>
            <sz val="10"/>
            <color rgb="FF000000"/>
            <rFont val="Aptos Narrow"/>
            <scheme val="minor"/>
          </rPr>
          <t>======
ID#AAABjx7qRLw
    (2025-05-21 11:33:25)
0127 San: 銷退貨用, 故單價先計算為0, 但給廠商的PO 仍然為US255 / 1 pcs</t>
        </r>
      </text>
    </comment>
    <comment ref="N283" authorId="0" shapeId="0" xr:uid="{2E2B6500-AAF3-8343-A46A-701A73DF34B2}">
      <text>
        <r>
          <rPr>
            <sz val="10"/>
            <color rgb="FF000000"/>
            <rFont val="Aptos Narrow"/>
            <scheme val="minor"/>
          </rPr>
          <t>======
ID#AAABjx7qR4E
    (2025-05-21 11:33:25)
0130 chloe:</t>
        </r>
      </text>
    </comment>
    <comment ref="O283" authorId="0" shapeId="0" xr:uid="{89937367-013E-BE4B-A14B-E51D80DFDA84}">
      <text>
        <r>
          <rPr>
            <sz val="10"/>
            <color rgb="FF000000"/>
            <rFont val="Aptos Narrow"/>
            <scheme val="minor"/>
          </rPr>
          <t>======
ID#AAABjx7qTro
    (2025-05-21 11:33:26)
0215 cathy下單</t>
        </r>
      </text>
    </comment>
    <comment ref="H284" authorId="0" shapeId="0" xr:uid="{2EB2386C-B236-364F-9CC8-0F8A415C2740}">
      <text>
        <r>
          <rPr>
            <sz val="10"/>
            <color rgb="FF000000"/>
            <rFont val="Aptos Narrow"/>
            <scheme val="minor"/>
          </rPr>
          <t>======
ID#AAABj82dpHs
    (2025-05-21 11:33:23)
ALICE:5/3收到USD12965.5(沖PI-20190121B.PI20190217A.PI-20190131C.PI-20190313A.PI-20190306A)</t>
        </r>
      </text>
    </comment>
    <comment ref="O284" authorId="0" shapeId="0" xr:uid="{9944A3C8-0AB8-5F44-990C-CCFF01EA1DD4}">
      <text>
        <r>
          <rPr>
            <sz val="10"/>
            <color rgb="FF000000"/>
            <rFont val="Aptos Narrow"/>
            <scheme val="minor"/>
          </rPr>
          <t>======
ID#AAABjx7qNeI
    (2025-05-21 11:33:23)
0219 Cathy下單</t>
        </r>
      </text>
    </comment>
    <comment ref="H285" authorId="0" shapeId="0" xr:uid="{2C55EFE1-6F69-3544-90CE-F1C085DEE66E}">
      <text>
        <r>
          <rPr>
            <sz val="10"/>
            <color rgb="FF000000"/>
            <rFont val="Aptos Narrow"/>
            <scheme val="minor"/>
          </rPr>
          <t>======
ID#AAABjx7qOsk
    (2025-05-21 11:33:24)
ALICE:5/3收到USD12965.5(沖PI-20190121B.PI20190217A.PI-20190131C.PI-20190313A.PI-20190306A)</t>
        </r>
      </text>
    </comment>
    <comment ref="O285" authorId="0" shapeId="0" xr:uid="{93FC7575-AF70-7C41-BB84-3B994F612026}">
      <text>
        <r>
          <rPr>
            <sz val="10"/>
            <color rgb="FF000000"/>
            <rFont val="Aptos Narrow"/>
            <scheme val="minor"/>
          </rPr>
          <t>======
ID#AAABjx7qRyc
    (2025-05-21 11:33:25)
0219 Cathy下單</t>
        </r>
      </text>
    </comment>
    <comment ref="H286" authorId="0" shapeId="0" xr:uid="{9384B79C-B73B-FC46-BFE5-2009EF026AA0}">
      <text>
        <r>
          <rPr>
            <sz val="10"/>
            <color rgb="FF000000"/>
            <rFont val="Aptos Narrow"/>
            <scheme val="minor"/>
          </rPr>
          <t>======
ID#AAABjx7qQ0M
    (2025-05-21 11:33:25)
ALICE:5/3收到USD12965.5(沖PI-20190121B.PI20190217A.PI-20190131C.PI-20190313A.PI-20190306A)</t>
        </r>
      </text>
    </comment>
    <comment ref="O286" authorId="0" shapeId="0" xr:uid="{B56BEC76-D57C-224A-B9AE-7A626980DBDF}">
      <text>
        <r>
          <rPr>
            <sz val="10"/>
            <color rgb="FF000000"/>
            <rFont val="Aptos Narrow"/>
            <scheme val="minor"/>
          </rPr>
          <t>======
ID#AAABjx7qNqw
    (2025-05-21 11:33:23)
0219 Cathy下單</t>
        </r>
      </text>
    </comment>
    <comment ref="H287" authorId="0" shapeId="0" xr:uid="{BF72181A-7D96-1045-843E-560463FB4DD0}">
      <text>
        <r>
          <rPr>
            <sz val="10"/>
            <color rgb="FF000000"/>
            <rFont val="Aptos Narrow"/>
            <scheme val="minor"/>
          </rPr>
          <t>======
ID#AAABjx7qMxc
    (2025-05-21 11:33:23)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  </r>
      </text>
    </comment>
    <comment ref="K287" authorId="0" shapeId="0" xr:uid="{72D5A685-3472-164C-9C48-350B54CD8AAC}">
      <text>
        <r>
          <rPr>
            <sz val="10"/>
            <color rgb="FF000000"/>
            <rFont val="Aptos Narrow"/>
            <scheme val="minor"/>
          </rPr>
          <t>======
ID#AAABjx7qWVg
    (2025-05-21 11:33:27)
0401 santi 告知改4/8出貨</t>
        </r>
      </text>
    </comment>
    <comment ref="H288" authorId="0" shapeId="0" xr:uid="{03EC8B66-BFB9-BF44-A68B-C68303762398}">
      <text>
        <r>
          <rPr>
            <sz val="10"/>
            <color rgb="FF000000"/>
            <rFont val="Aptos Narrow"/>
            <scheme val="minor"/>
          </rPr>
          <t>======
ID#AAABjx7qRKE
    (2025-05-21 11:33:25)
5/30-銀行電文通知usd15853沖PI-20190218A 4400,PI20190218A 8975,PI-20190218A 2478(4850中的2478)</t>
        </r>
      </text>
    </comment>
    <comment ref="K288" authorId="0" shapeId="0" xr:uid="{DB22FB44-27D5-D647-AB9D-5590845352EA}">
      <text>
        <r>
          <rPr>
            <sz val="10"/>
            <color rgb="FF000000"/>
            <rFont val="Aptos Narrow"/>
            <scheme val="minor"/>
          </rPr>
          <t>======
ID#AAABjx7qR0s
    (2025-05-21 11:33:25)
0401 santi 告知改4/8出貨</t>
        </r>
      </text>
    </comment>
    <comment ref="H289" authorId="0" shapeId="0" xr:uid="{D66274A6-87B3-F94E-8BD4-6749AFC4E8CA}">
      <text>
        <r>
          <rPr>
            <sz val="10"/>
            <color rgb="FF000000"/>
            <rFont val="Aptos Narrow"/>
            <scheme val="minor"/>
          </rPr>
          <t>======
ID#AAABjx7qS0A
    (2025-05-21 11:33:26)
ALICE:2019/04/08-收到水單USD31764-手續費USD12=USD31752
詳4/8-客戶回覆沖帳明細mail(12540+944+2010+5770+10500=31764)</t>
        </r>
      </text>
    </comment>
    <comment ref="K289" authorId="0" shapeId="0" xr:uid="{B7C655F3-CA2E-774E-9962-0B70A65FA2CA}">
      <text>
        <r>
          <rPr>
            <sz val="10"/>
            <color rgb="FF000000"/>
            <rFont val="Aptos Narrow"/>
            <scheme val="minor"/>
          </rPr>
          <t>======
ID#AAABjx7qNWg
    (2025-05-21 11:33:23)
0401 santi 告知改4/8出貨</t>
        </r>
      </text>
    </comment>
    <comment ref="H290" authorId="0" shapeId="0" xr:uid="{66E10556-465C-554C-A615-8D65B748C6D6}">
      <text>
        <r>
          <rPr>
            <sz val="10"/>
            <color rgb="FF000000"/>
            <rFont val="Aptos Narrow"/>
            <scheme val="minor"/>
          </rPr>
          <t>======
ID#AAABjx7qVY4
    (2025-05-21 11:33:27)
ALICE:2019/04/08-水單匯入USD31764-手續費USD12元=USD31752
沖帳明細詳4/8-客戶MAIL沖帳明細(12540+944+2010+5770+10500=31764)</t>
        </r>
      </text>
    </comment>
    <comment ref="K290" authorId="0" shapeId="0" xr:uid="{FC0C091D-BADF-0F49-985A-1AE6C19EFCC9}">
      <text>
        <r>
          <rPr>
            <sz val="10"/>
            <color rgb="FF000000"/>
            <rFont val="Aptos Narrow"/>
            <scheme val="minor"/>
          </rPr>
          <t>======
ID#AAABjx7qVxU
    (2025-05-21 11:33:27)
0401 santi 告知改4/8出貨</t>
        </r>
      </text>
    </comment>
    <comment ref="H291" authorId="0" shapeId="0" xr:uid="{045C6955-FF08-D049-AEE1-874521CAD435}">
      <text>
        <r>
          <rPr>
            <sz val="10"/>
            <color rgb="FF000000"/>
            <rFont val="Aptos Narrow"/>
            <scheme val="minor"/>
          </rPr>
          <t>======
ID#AAABjx7qPxc
    (2025-05-21 11:33:24)
ALICE:2019/04/08-水單匯入USD31764-手續費USD12=USD31752
沖帳明細詳4/8-客戶MAIL沖帳明細(12540+944+2010+5770+10500=31764)</t>
        </r>
      </text>
    </comment>
    <comment ref="K291" authorId="0" shapeId="0" xr:uid="{CE74830D-D17B-2840-B2D1-59DD74988443}">
      <text>
        <r>
          <rPr>
            <sz val="10"/>
            <color rgb="FF000000"/>
            <rFont val="Aptos Narrow"/>
            <scheme val="minor"/>
          </rPr>
          <t>======
ID#AAABjx7qWJo
    (2025-05-21 11:33:27)
0401 santi 告知改4/8出貨</t>
        </r>
      </text>
    </comment>
    <comment ref="H292" authorId="0" shapeId="0" xr:uid="{CFCB27B7-C5C0-ED4F-929C-1FE1EF9094C0}">
      <text>
        <r>
          <rPr>
            <sz val="10"/>
            <color rgb="FF000000"/>
            <rFont val="Aptos Narrow"/>
            <scheme val="minor"/>
          </rPr>
          <t>======
ID#AAABjx7qP2Y
    (2025-05-21 11:33:24)
ALICE:5/3-電文USD16646(沖10450+4616+1580(4850中的1580))</t>
        </r>
      </text>
    </comment>
    <comment ref="K292" authorId="0" shapeId="0" xr:uid="{8CC03C25-AD9F-8B45-A55D-FD8154B8EB8A}">
      <text>
        <r>
          <rPr>
            <sz val="10"/>
            <color rgb="FF000000"/>
            <rFont val="Aptos Narrow"/>
            <scheme val="minor"/>
          </rPr>
          <t>======
ID#AAABjx7qNWE
    (2025-05-21 11:33:23)
0401 santi 告知改4/8出貨</t>
        </r>
      </text>
    </comment>
    <comment ref="AK292" authorId="0" shapeId="0" xr:uid="{3F8F8ACA-860D-0247-B39F-47A69782963B}">
      <text>
        <r>
          <rPr>
            <sz val="10"/>
            <color rgb="FF000000"/>
            <rFont val="Aptos Narrow"/>
            <scheme val="minor"/>
          </rPr>
          <t>======
ID#AAABjx7qM2I
    (2025-05-21 11:33:23)
ALICE:5/3-電文USD16646(沖10450+4616+1580(4850中的1580))</t>
        </r>
      </text>
    </comment>
    <comment ref="H293" authorId="0" shapeId="0" xr:uid="{8E5C8A0E-E80B-0642-B7DC-A77C2562E2A0}">
      <text>
        <r>
          <rPr>
            <sz val="10"/>
            <color rgb="FF000000"/>
            <rFont val="Aptos Narrow"/>
            <scheme val="minor"/>
          </rPr>
          <t>======
ID#AAABjx7qPHY
    (2025-05-21 11:33:24)
5/30-銀行電文通知usd15853沖PI-20190218A 4400,PI20190218A 8975,PI-20190218A 2478(4850中的2478)</t>
        </r>
      </text>
    </comment>
    <comment ref="K293" authorId="0" shapeId="0" xr:uid="{C04C4A7B-77F7-DD41-9A46-A8D928D6515A}">
      <text>
        <r>
          <rPr>
            <sz val="10"/>
            <color rgb="FF000000"/>
            <rFont val="Aptos Narrow"/>
            <scheme val="minor"/>
          </rPr>
          <t>======
ID#AAABjx7qOwg
    (2025-05-21 11:33:24)
0401 santi 告知改4/8出貨</t>
        </r>
      </text>
    </comment>
    <comment ref="F294" authorId="0" shapeId="0" xr:uid="{C15BC520-9F14-8045-8767-DE99D0807746}">
      <text>
        <r>
          <rPr>
            <sz val="10"/>
            <color rgb="FF000000"/>
            <rFont val="Aptos Narrow"/>
            <scheme val="minor"/>
          </rPr>
          <t>======
ID#AAABjx7qO_I
    (2025-05-21 11:33:24)
TI2 Not yet confirm Order x 2 pcs</t>
        </r>
      </text>
    </comment>
    <comment ref="H294" authorId="0" shapeId="0" xr:uid="{AB214E17-DA26-A545-95A9-55DA40A47C4B}">
      <text>
        <r>
          <rPr>
            <sz val="10"/>
            <color rgb="FF000000"/>
            <rFont val="Aptos Narrow"/>
            <scheme val="minor"/>
          </rPr>
          <t>======
ID#AAABjx7qUwA
    (2025-05-21 11:33:26)
ALICE:201904/10水單匯入USD11416*30.78
沖(229+2394+326+34+5274+3066+103)=11426</t>
        </r>
      </text>
    </comment>
    <comment ref="O294" authorId="0" shapeId="0" xr:uid="{09202806-25F2-1040-B4C3-65B9F08D43C3}">
      <text>
        <r>
          <rPr>
            <sz val="10"/>
            <color rgb="FF000000"/>
            <rFont val="Aptos Narrow"/>
            <scheme val="minor"/>
          </rPr>
          <t>======
ID#AAABjx7qN_Y
    (2025-05-21 11:33:24)
0219 Cathy 下單</t>
        </r>
      </text>
    </comment>
    <comment ref="F295" authorId="0" shapeId="0" xr:uid="{067189B2-17DE-4146-9EB2-8866D374FAE8}">
      <text>
        <r>
          <rPr>
            <sz val="10"/>
            <color rgb="FF000000"/>
            <rFont val="Aptos Narrow"/>
            <scheme val="minor"/>
          </rPr>
          <t>======
ID#AAABjx7qOfo
    (2025-05-21 11:33:24)
TI2 Not yet confirm Order x 2 pcs</t>
        </r>
      </text>
    </comment>
    <comment ref="H295" authorId="0" shapeId="0" xr:uid="{344E00C4-AE92-EF47-A692-DBE2865132B2}">
      <text>
        <r>
          <rPr>
            <sz val="10"/>
            <color rgb="FF000000"/>
            <rFont val="Aptos Narrow"/>
            <scheme val="minor"/>
          </rPr>
          <t>======
ID#AAABjx7qO5s
    (2025-05-21 11:33:24)
ALICE:201904/10水單匯入USD11416*30.78
沖(229+2394+326+34+5274+3066+103)=11426</t>
        </r>
      </text>
    </comment>
    <comment ref="M295" authorId="0" shapeId="0" xr:uid="{C9043B36-E6A7-4048-B972-12B88D75E11B}">
      <text>
        <r>
          <rPr>
            <sz val="10"/>
            <color rgb="FF000000"/>
            <rFont val="Aptos Narrow"/>
            <scheme val="minor"/>
          </rPr>
          <t>======
ID#AAABjx7qSss
    (2025-05-21 11:33:26)
0227 Cathy: 交期提前,原交期3/27</t>
        </r>
      </text>
    </comment>
    <comment ref="O295" authorId="0" shapeId="0" xr:uid="{85CB6E58-343D-BB4A-B25B-A68559123E6F}">
      <text>
        <r>
          <rPr>
            <sz val="10"/>
            <color rgb="FF000000"/>
            <rFont val="Aptos Narrow"/>
            <scheme val="minor"/>
          </rPr>
          <t>======
ID#AAABjx7qVmY
    (2025-05-21 11:33:27)
0219 Cathy 下單</t>
        </r>
      </text>
    </comment>
    <comment ref="H296" authorId="0" shapeId="0" xr:uid="{0B1C159A-F1EC-CF4E-9501-3E1C746DD917}">
      <text>
        <r>
          <rPr>
            <sz val="10"/>
            <color rgb="FF000000"/>
            <rFont val="Aptos Narrow"/>
            <scheme val="minor"/>
          </rPr>
          <t>======
ID#AAABjx7qUrk
    (2025-05-21 11:33:26)
0225 chloe:匯款匯入US$495*30.76=NT15226-手續費NT200=NT15,026</t>
        </r>
      </text>
    </comment>
    <comment ref="K296" authorId="0" shapeId="0" xr:uid="{88C40E46-15DA-E241-A3D9-29885D5CD453}">
      <text>
        <r>
          <rPr>
            <sz val="10"/>
            <color rgb="FF000000"/>
            <rFont val="Aptos Narrow"/>
            <scheme val="minor"/>
          </rPr>
          <t>======
ID#AAABjx7qVIE
    (2025-05-21 11:33:27)
0318 san: 出貨前檢查 (bank/eric/san）</t>
        </r>
      </text>
    </comment>
    <comment ref="AH296" authorId="0" shapeId="0" xr:uid="{5488EC6E-5FF4-C645-BDC4-8A7BD8BCFEF7}">
      <text>
        <r>
          <rPr>
            <sz val="10"/>
            <color rgb="FF000000"/>
            <rFont val="Aptos Narrow"/>
            <scheme val="minor"/>
          </rPr>
          <t>======
ID#AAABjx7qWCo
alice    (2025-05-21 11:33:27)
出口報單報關日期108/03/26-CG//08/376/2Y449報單金額USD5053*30.825=155759</t>
        </r>
      </text>
    </comment>
    <comment ref="AK296" authorId="0" shapeId="0" xr:uid="{0F18A758-9B47-ED4F-ABC1-CA0352EB8494}">
      <text>
        <r>
          <rPr>
            <sz val="10"/>
            <color rgb="FF000000"/>
            <rFont val="Aptos Narrow"/>
            <scheme val="minor"/>
          </rPr>
          <t>======
ID#AAABjx7qSVM
    (2025-05-21 11:33:26)
ALICE:PI-20190219A訂單總額USD495，2019/02/25水單匯入USD488.5*30.76=NT15,026元整
，手續費USD6.5*30.76=NT200元整</t>
        </r>
      </text>
    </comment>
    <comment ref="AL296" authorId="0" shapeId="0" xr:uid="{37B06F25-AF02-6347-ABBA-CE2B4385DEE0}">
      <text>
        <r>
          <rPr>
            <sz val="10"/>
            <color rgb="FF000000"/>
            <rFont val="Aptos Narrow"/>
            <scheme val="minor"/>
          </rPr>
          <t>======
ID#AAABjx7qV3I
    (2025-05-21 11:33:27)
ALICE:PI-20190219A訂單總額USD495，2019/02/25水單匯入USD488.5*30.76=NT15,026元整
，手續費USD6.5*30.76=NT200元整</t>
        </r>
      </text>
    </comment>
    <comment ref="H297" authorId="0" shapeId="0" xr:uid="{436C1A92-E5DD-254F-BC8F-9A53AE5E846D}">
      <text>
        <r>
          <rPr>
            <sz val="10"/>
            <color rgb="FF000000"/>
            <rFont val="Aptos Narrow"/>
            <scheme val="minor"/>
          </rPr>
          <t>======
ID#AAABjx7qNe8
    (2025-05-21 11:33:23)
0225 chloe:匯款匯入US$495*30.76=NT15226-手續費NT200=NT15,026</t>
        </r>
      </text>
    </comment>
    <comment ref="K297" authorId="0" shapeId="0" xr:uid="{78844852-38BC-0F46-A1E1-F1CE39DDB96C}">
      <text>
        <r>
          <rPr>
            <sz val="10"/>
            <color rgb="FF000000"/>
            <rFont val="Aptos Narrow"/>
            <scheme val="minor"/>
          </rPr>
          <t>======
ID#AAABjx7qVGk
    (2025-05-21 11:33:27)
0318 san: 出貨前檢查 (bank/eric/san）</t>
        </r>
      </text>
    </comment>
    <comment ref="AH297" authorId="0" shapeId="0" xr:uid="{66DF5857-5261-DD49-B347-04F3BA6BF71C}">
      <text>
        <r>
          <rPr>
            <sz val="10"/>
            <color rgb="FF000000"/>
            <rFont val="Aptos Narrow"/>
            <scheme val="minor"/>
          </rPr>
          <t>======
ID#AAABjx7qWYg
alice    (2025-05-21 11:33:27)
出口報單報關日期108/03/26-CG//08/376/2Y449報單金額USD5053*30.825=155759</t>
        </r>
      </text>
    </comment>
    <comment ref="H298" authorId="0" shapeId="0" xr:uid="{64CBED43-69F4-8A47-A58D-BA0853A15992}">
      <text>
        <r>
          <rPr>
            <sz val="10"/>
            <color rgb="FF000000"/>
            <rFont val="Aptos Narrow"/>
            <scheme val="minor"/>
          </rPr>
          <t>======
ID#AAABjx7qVKs
    (2025-05-21 11:33:27)
ALICE:2019/05/02-水單匯入USD21462.5</t>
        </r>
      </text>
    </comment>
    <comment ref="O298" authorId="0" shapeId="0" xr:uid="{1BB48987-9500-F648-A59E-57DF413387D4}">
      <text>
        <r>
          <rPr>
            <sz val="10"/>
            <color rgb="FF000000"/>
            <rFont val="Aptos Narrow"/>
            <scheme val="minor"/>
          </rPr>
          <t>======
ID#AAABjx7qNWY
    (2025-05-21 11:33:23)
0220 Cathy 下單</t>
        </r>
      </text>
    </comment>
    <comment ref="AK298" authorId="0" shapeId="0" xr:uid="{7D35F5F4-016C-9348-B9E4-9BEC1AFE618B}">
      <text>
        <r>
          <rPr>
            <sz val="10"/>
            <color rgb="FF000000"/>
            <rFont val="Aptos Narrow"/>
            <scheme val="minor"/>
          </rPr>
          <t>======
ID#AAABjx7qRNs
    (2025-05-21 11:33:25)
ALICE:2019/05/02-水單匯入USD21462.5-(匯出手續費USD10+匯入手續費USD10.73)=USD21441.77*30.84=NT661264</t>
        </r>
      </text>
    </comment>
    <comment ref="AL298" authorId="0" shapeId="0" xr:uid="{DF6C7417-3CD4-8E46-8661-6DF66435F001}">
      <text>
        <r>
          <rPr>
            <sz val="10"/>
            <color rgb="FF000000"/>
            <rFont val="Aptos Narrow"/>
            <scheme val="minor"/>
          </rPr>
          <t>======
ID#AAABjx7qOOY
    (2025-05-21 11:33:24)
ALICE:2019/05/02-水單匯入USD21462.5-(匯出手續費USD10+匯入手續費USD10.73)=USD21441.77*30.84=NT661264</t>
        </r>
      </text>
    </comment>
    <comment ref="H299" authorId="0" shapeId="0" xr:uid="{D9EFA37C-C93B-9E4E-92EF-DD2989021FCE}">
      <text>
        <r>
          <rPr>
            <sz val="10"/>
            <color rgb="FF000000"/>
            <rFont val="Aptos Narrow"/>
            <scheme val="minor"/>
          </rPr>
          <t>======
ID#AAABjx7qRTk
    (2025-05-21 11:33:25)
0225 chloe:匯款匯入 US2630- US40(第三地銀行手續費)</t>
        </r>
      </text>
    </comment>
    <comment ref="K299" authorId="0" shapeId="0" xr:uid="{5D824124-41E6-7848-A0CD-F317340722F9}">
      <text>
        <r>
          <rPr>
            <sz val="10"/>
            <color rgb="FF000000"/>
            <rFont val="Aptos Narrow"/>
            <scheme val="minor"/>
          </rPr>
          <t>======
ID#AAABjx7qTVA
    (2025-05-21 11:33:26)
2/20 waiting for production control confirm L/T</t>
        </r>
      </text>
    </comment>
    <comment ref="M299" authorId="0" shapeId="0" xr:uid="{66BB66DC-FDBF-B141-AF27-22854BB5CB06}">
      <text>
        <r>
          <rPr>
            <sz val="10"/>
            <color rgb="FF000000"/>
            <rFont val="Aptos Narrow"/>
            <scheme val="minor"/>
          </rPr>
          <t>======
ID#AAABjx7qPb8
    (2025-05-21 11:33:24)
2/20 waiting for production control confirm L/T</t>
        </r>
      </text>
    </comment>
    <comment ref="U299" authorId="0" shapeId="0" xr:uid="{0A81A994-8E35-9140-9C8F-CDF20723BF6A}">
      <text>
        <r>
          <rPr>
            <sz val="10"/>
            <color rgb="FF000000"/>
            <rFont val="Aptos Narrow"/>
            <scheme val="minor"/>
          </rPr>
          <t>======
ID#AAABjx7qUt4
    (2025-05-21 11:33:26)
BOM表5670未稅</t>
        </r>
      </text>
    </comment>
    <comment ref="H300" authorId="0" shapeId="0" xr:uid="{EED34B5C-E5BA-3A45-AE9A-FDD6E7C732F6}">
      <text>
        <r>
          <rPr>
            <sz val="10"/>
            <color rgb="FF000000"/>
            <rFont val="Aptos Narrow"/>
            <scheme val="minor"/>
          </rPr>
          <t>======
ID#AAABjx7qV9o
    (2025-05-21 11:33:27)
0225 chloe:匯款匯入 US2630- US40(第三地銀行手續費)</t>
        </r>
      </text>
    </comment>
    <comment ref="K300" authorId="0" shapeId="0" xr:uid="{594FEF07-5813-5F43-9A8E-1D8C7646D225}">
      <text>
        <r>
          <rPr>
            <sz val="10"/>
            <color rgb="FF000000"/>
            <rFont val="Aptos Narrow"/>
            <scheme val="minor"/>
          </rPr>
          <t>======
ID#AAABjx7qVA4
    (2025-05-21 11:33:27)
2/20 waiting for production control confirm L/T</t>
        </r>
      </text>
    </comment>
    <comment ref="AK300" authorId="0" shapeId="0" xr:uid="{B0421758-73F3-CA42-8845-7CD9EC2FD6FD}">
      <text>
        <r>
          <rPr>
            <sz val="10"/>
            <color rgb="FF000000"/>
            <rFont val="Aptos Narrow"/>
            <scheme val="minor"/>
          </rPr>
          <t>======
ID#AAABjx7qQQw
    (2025-05-21 11:33:25)
ALICE:2019/02/25-水單USD2590-匯入手續費USD6.5=USD2583.5*30.76=NT79468元整</t>
        </r>
      </text>
    </comment>
    <comment ref="AL300" authorId="0" shapeId="0" xr:uid="{D364FF23-4357-A145-A88E-3C276F0DD77A}">
      <text>
        <r>
          <rPr>
            <sz val="10"/>
            <color rgb="FF000000"/>
            <rFont val="Aptos Narrow"/>
            <scheme val="minor"/>
          </rPr>
          <t>======
ID#AAABjx7qPDs
    (2025-05-21 11:33:24)
ALICE:2019/02/25-水單USD2590-匯入手續費USD6.5=USD2583.5*30.76=NT79468元整
實際應收USD2630-2590=USD40匯出手續費*30.746=NT1230
匯出手續費NT1230+匯入手續費NT200=NT1430</t>
        </r>
      </text>
    </comment>
    <comment ref="H301" authorId="0" shapeId="0" xr:uid="{6E0CD402-DB40-0241-9558-B8EC2B83B53E}">
      <text>
        <r>
          <rPr>
            <sz val="10"/>
            <color rgb="FF000000"/>
            <rFont val="Aptos Narrow"/>
            <scheme val="minor"/>
          </rPr>
          <t>======
ID#AAABjx7qVFw
    (2025-05-21 11:33:27)
0225 chloe:匯款匯入 US2630- US40(第三地銀行手續費)</t>
        </r>
      </text>
    </comment>
    <comment ref="K301" authorId="0" shapeId="0" xr:uid="{97E1A4AC-7373-264C-8200-ED843FBBCB96}">
      <text>
        <r>
          <rPr>
            <sz val="10"/>
            <color rgb="FF000000"/>
            <rFont val="Aptos Narrow"/>
            <scheme val="minor"/>
          </rPr>
          <t>======
ID#AAABjx7qVSQ
    (2025-05-21 11:33:27)
2/20 waiting for production control confirm L/T</t>
        </r>
      </text>
    </comment>
    <comment ref="H302" authorId="0" shapeId="0" xr:uid="{9FB41C69-30B5-7547-BC74-4332292373AA}">
      <text>
        <r>
          <rPr>
            <sz val="10"/>
            <color rgb="FF000000"/>
            <rFont val="Aptos Narrow"/>
            <scheme val="minor"/>
          </rPr>
          <t>======
ID#AAABjx7qSuE
    (2025-05-21 11:33:26)
ALICE:2019/04/12水單USD11670*30.81(3035+135+5420+2730+310+40)</t>
        </r>
      </text>
    </comment>
    <comment ref="O302" authorId="0" shapeId="0" xr:uid="{05EE7621-F33E-3B4C-BFA0-91203D608868}">
      <text>
        <r>
          <rPr>
            <sz val="10"/>
            <color rgb="FF000000"/>
            <rFont val="Aptos Narrow"/>
            <scheme val="minor"/>
          </rPr>
          <t>======
ID#AAABjx7qPBg
    (2025-05-21 11:33:24)
0222 Cathy 下單</t>
        </r>
      </text>
    </comment>
    <comment ref="H303" authorId="0" shapeId="0" xr:uid="{A202E0C6-1412-6243-9538-243DCBA91F58}">
      <text>
        <r>
          <rPr>
            <sz val="10"/>
            <color rgb="FF000000"/>
            <rFont val="Aptos Narrow"/>
            <scheme val="minor"/>
          </rPr>
          <t>======
ID#AAABjx7qPmE
    (2025-05-21 11:33:24)
ALICE:2019/04/12水單USD11670*30.81(3035+135+5420+2730+310+40)</t>
        </r>
      </text>
    </comment>
    <comment ref="O303" authorId="0" shapeId="0" xr:uid="{21597AB1-274F-374F-AE15-A3A0F59553D9}">
      <text>
        <r>
          <rPr>
            <sz val="10"/>
            <color rgb="FF000000"/>
            <rFont val="Aptos Narrow"/>
            <scheme val="minor"/>
          </rPr>
          <t>======
ID#AAABjx7qQJM
    (2025-05-21 11:33:25)
0222 Cathy 下單</t>
        </r>
      </text>
    </comment>
    <comment ref="H304" authorId="0" shapeId="0" xr:uid="{1656ED73-C246-2448-8988-2B4F6DD549EC}">
      <text>
        <r>
          <rPr>
            <sz val="10"/>
            <color rgb="FF000000"/>
            <rFont val="Aptos Narrow"/>
            <scheme val="minor"/>
          </rPr>
          <t>======
ID#AAABjx7qWXQ
    (2025-05-21 11:33:27)
ALICE:2019/04/12水單USD11670*30.81(3035+135+5420+2730+310+40)</t>
        </r>
      </text>
    </comment>
    <comment ref="O304" authorId="0" shapeId="0" xr:uid="{43FCF98D-D22E-C34E-AE49-5B87DD206A50}">
      <text>
        <r>
          <rPr>
            <sz val="10"/>
            <color rgb="FF000000"/>
            <rFont val="Aptos Narrow"/>
            <scheme val="minor"/>
          </rPr>
          <t>======
ID#AAABjx7qQZk
    (2025-05-21 11:33:25)
0222 Cathy 下單</t>
        </r>
      </text>
    </comment>
    <comment ref="H305" authorId="0" shapeId="0" xr:uid="{89B02330-BF57-2C45-B9DE-55FEBEF6C17A}">
      <text>
        <r>
          <rPr>
            <sz val="10"/>
            <color rgb="FF000000"/>
            <rFont val="Aptos Narrow"/>
            <scheme val="minor"/>
          </rPr>
          <t>======
ID#AAABjx7qSbw
    (2025-05-21 11:33:26)
ALICE:2019/04/12水單USD11670*30.81(3035+135+5420+2730+310+40)</t>
        </r>
      </text>
    </comment>
    <comment ref="O305" authorId="0" shapeId="0" xr:uid="{73659B51-FE50-FE40-BCE0-C3D82FDF4CE1}">
      <text>
        <r>
          <rPr>
            <sz val="10"/>
            <color rgb="FF000000"/>
            <rFont val="Aptos Narrow"/>
            <scheme val="minor"/>
          </rPr>
          <t>======
ID#AAABjx7qOSk
    (2025-05-21 11:33:24)
0222 Cathy 下單</t>
        </r>
      </text>
    </comment>
    <comment ref="H306" authorId="0" shapeId="0" xr:uid="{D41BCD38-EC83-AA4B-9F2A-DD5139225375}">
      <text>
        <r>
          <rPr>
            <sz val="10"/>
            <color rgb="FF000000"/>
            <rFont val="Aptos Narrow"/>
            <scheme val="minor"/>
          </rPr>
          <t>======
ID#AAABjx7qM58
    (2025-05-21 11:33:23)
ALICE:2019/04/12水單USD11670*30.81(3035+135+5420+2730+310+40)</t>
        </r>
      </text>
    </comment>
    <comment ref="O306" authorId="0" shapeId="0" xr:uid="{AD570984-FFDC-934A-A57C-5CB982A25916}">
      <text>
        <r>
          <rPr>
            <sz val="10"/>
            <color rgb="FF000000"/>
            <rFont val="Aptos Narrow"/>
            <scheme val="minor"/>
          </rPr>
          <t>======
ID#AAABjx7qVT8
    (2025-05-21 11:33:27)
0222 Cathy下單</t>
        </r>
      </text>
    </comment>
    <comment ref="D307" authorId="0" shapeId="0" xr:uid="{9843A706-04BA-C94F-A9AF-FFD896E6A8AD}">
      <text>
        <r>
          <rPr>
            <sz val="10"/>
            <color rgb="FF000000"/>
            <rFont val="Aptos Narrow"/>
            <scheme val="minor"/>
          </rPr>
          <t>======
ID#AAABjx7qRG4
    (2025-05-21 11:33:25)
190109 Tammy: 抽驗即可, 謝謝</t>
        </r>
      </text>
    </comment>
    <comment ref="H307" authorId="0" shapeId="0" xr:uid="{047A0B0C-73B2-924D-AFA6-CC62B5A40EE6}">
      <text>
        <r>
          <rPr>
            <sz val="10"/>
            <color rgb="FF000000"/>
            <rFont val="Aptos Narrow"/>
            <scheme val="minor"/>
          </rPr>
          <t>======
ID#AAABjx7qTsI
    (2025-05-21 11:33:26)
ALICE:2019/04/12水單USD11670*30.81(3035+135+5420+2730+310+40)</t>
        </r>
      </text>
    </comment>
    <comment ref="O307" authorId="0" shapeId="0" xr:uid="{0C95F8F0-AE05-FD42-945C-0FEA91AD20ED}">
      <text>
        <r>
          <rPr>
            <sz val="10"/>
            <color rgb="FF000000"/>
            <rFont val="Aptos Narrow"/>
            <scheme val="minor"/>
          </rPr>
          <t>======
ID#AAABjx7qQ88
    (2025-05-21 11:33:25)
0222 Cathy 下單</t>
        </r>
      </text>
    </comment>
    <comment ref="D308" authorId="0" shapeId="0" xr:uid="{11E24C80-7E61-B24B-8D08-0E9E864B5762}">
      <text>
        <r>
          <rPr>
            <sz val="10"/>
            <color rgb="FF000000"/>
            <rFont val="Aptos Narrow"/>
            <scheme val="minor"/>
          </rPr>
          <t>======
ID#AAABj82dpOc
    (2025-05-21 11:33:23)
0306 請Tammy 下單  
0305 客人有revise order</t>
        </r>
      </text>
    </comment>
    <comment ref="E308" authorId="0" shapeId="0" xr:uid="{18B1A23C-F702-E940-961D-90B322F45D31}">
      <text>
        <r>
          <rPr>
            <sz val="10"/>
            <color rgb="FF000000"/>
            <rFont val="Aptos Narrow"/>
            <scheme val="minor"/>
          </rPr>
          <t>======
ID#AAABjx7qNBc
    (2025-05-21 11:33:23)
190225 Karen: w/EU adapter</t>
        </r>
      </text>
    </comment>
    <comment ref="H308" authorId="0" shapeId="0" xr:uid="{8EBF269E-F96A-1D48-B426-2563FFE73332}">
      <text>
        <r>
          <rPr>
            <sz val="10"/>
            <color rgb="FF000000"/>
            <rFont val="Aptos Narrow"/>
            <scheme val="minor"/>
          </rPr>
          <t>======
ID#AAABjx7qRlY
    (2025-05-21 11:33:25)
0312 chloe:匯款匯入US2055-11(手續費)</t>
        </r>
      </text>
    </comment>
    <comment ref="D309" authorId="0" shapeId="0" xr:uid="{45615D96-8B48-2C4C-9CDF-F88435B7B355}">
      <text>
        <r>
          <rPr>
            <sz val="10"/>
            <color rgb="FF000000"/>
            <rFont val="Aptos Narrow"/>
            <scheme val="minor"/>
          </rPr>
          <t>======
ID#AAABjx7qRQA
    (2025-05-21 11:33:25)
0306 請Tammy 下單  
0305 客人有revise order</t>
        </r>
      </text>
    </comment>
    <comment ref="H309" authorId="0" shapeId="0" xr:uid="{0A1D9CA5-721F-A048-B823-259DDF59067B}">
      <text>
        <r>
          <rPr>
            <sz val="10"/>
            <color rgb="FF000000"/>
            <rFont val="Aptos Narrow"/>
            <scheme val="minor"/>
          </rPr>
          <t>======
ID#AAABjx7qQu0
    (2025-05-21 11:33:25)
0312 chloe:匯款匯入US2055-11(手續費)</t>
        </r>
      </text>
    </comment>
    <comment ref="H310" authorId="0" shapeId="0" xr:uid="{C7324DAB-5911-2D4E-8FD4-0000DC5D2A8E}">
      <text>
        <r>
          <rPr>
            <sz val="10"/>
            <color rgb="FF000000"/>
            <rFont val="Aptos Narrow"/>
            <scheme val="minor"/>
          </rPr>
          <t>======
ID#AAABjx7qNlw
    (2025-05-21 11:33:23)
0329 chloe:匯款匯入US$340.5</t>
        </r>
      </text>
    </comment>
    <comment ref="U310" authorId="0" shapeId="0" xr:uid="{E73CC173-0AE7-2043-9A8F-B0197C0558C4}">
      <text>
        <r>
          <rPr>
            <sz val="10"/>
            <color rgb="FF000000"/>
            <rFont val="Aptos Narrow"/>
            <scheme val="minor"/>
          </rPr>
          <t>======
ID#AAABjx7qVvg
    (2025-05-21 11:33:27)
chloe: Check OK</t>
        </r>
      </text>
    </comment>
    <comment ref="E311" authorId="0" shapeId="0" xr:uid="{F18B654E-8766-9444-96DE-0ADBA24DD940}">
      <text>
        <r>
          <rPr>
            <sz val="10"/>
            <color rgb="FF000000"/>
            <rFont val="Aptos Narrow"/>
            <scheme val="minor"/>
          </rPr>
          <t>======
ID#AAABjx7qNfg
    (2025-05-21 11:33:23)
190226 w/o adapter</t>
        </r>
      </text>
    </comment>
    <comment ref="H311" authorId="0" shapeId="0" xr:uid="{1BA72BC1-DD3C-0344-BCE2-74D55AB38BF2}">
      <text>
        <r>
          <rPr>
            <sz val="10"/>
            <color rgb="FF000000"/>
            <rFont val="Aptos Narrow"/>
            <scheme val="minor"/>
          </rPr>
          <t>======
ID#AAABjx7qNDk
    (2025-05-21 11:33:23)
0225 chloe:客戶水單2/25，待我司銀行通知入帳
0226 chloe:匯款匯入6471-11(匯款手續費)</t>
        </r>
      </text>
    </comment>
    <comment ref="J311" authorId="0" shapeId="0" xr:uid="{9DD497A4-3ACE-4540-9136-DCB85F323AF6}">
      <text>
        <r>
          <rPr>
            <sz val="10"/>
            <color rgb="FF000000"/>
            <rFont val="Aptos Narrow"/>
            <scheme val="minor"/>
          </rPr>
          <t>======
ID#AAABjx7qPfA
    (2025-05-21 11:33:24)
Forwarder Details: -
FETA FREIGHT SYSTEMS (TAIWAN ) LTD. 
JUDY KAO 
 Tel: +886-3-399-2033 EXT: 135
Direct: +886-3-3992106
Fax: +886-3-3992036/2055
E-mail: judykao@ffsi.com.tw
Skype:judykao-mlattao</t>
        </r>
      </text>
    </comment>
    <comment ref="AK311" authorId="0" shapeId="0" xr:uid="{BD398017-2BB3-4149-8395-B946F1B8C9D2}">
      <text>
        <r>
          <rPr>
            <sz val="10"/>
            <color rgb="FF000000"/>
            <rFont val="Aptos Narrow"/>
            <scheme val="minor"/>
          </rPr>
          <t>======
ID#AAABjx7qOXo
    (2025-05-21 11:33:24)
ALICE:PI-20190223訂單總計USD6471，2019/02/26水單匯入USD6453.49*30.736==NT198,354元整，匯入手續費USD6.5+匯出手續費USD11*30.736=NT538元整</t>
        </r>
      </text>
    </comment>
    <comment ref="AL311" authorId="0" shapeId="0" xr:uid="{B98C2B3D-9F84-DA41-AD50-31BDDA989C8A}">
      <text>
        <r>
          <rPr>
            <sz val="10"/>
            <color rgb="FF000000"/>
            <rFont val="Aptos Narrow"/>
            <scheme val="minor"/>
          </rPr>
          <t>======
ID#AAABjx7qMuE
    (2025-05-21 11:33:23)
ALICE:PI-20190223訂單總計USD6471，2019/02/26水單匯入USD6453.49*30.736==NT198,354元整，匯入手續費USD6.5+匯出手續費USD11*30.736=NT538元整</t>
        </r>
      </text>
    </comment>
    <comment ref="E312" authorId="0" shapeId="0" xr:uid="{24B116B1-9D8D-0549-B0D5-DF220E05044F}">
      <text>
        <r>
          <rPr>
            <sz val="10"/>
            <color rgb="FF000000"/>
            <rFont val="Aptos Narrow"/>
            <scheme val="minor"/>
          </rPr>
          <t>======
ID#AAABjx7qNFY
    (2025-05-21 11:33:23)
190226 w/o adapter</t>
        </r>
      </text>
    </comment>
    <comment ref="H312" authorId="0" shapeId="0" xr:uid="{E0DFB329-09C0-A64B-93BA-F364A71C5011}">
      <text>
        <r>
          <rPr>
            <sz val="10"/>
            <color rgb="FF000000"/>
            <rFont val="Aptos Narrow"/>
            <scheme val="minor"/>
          </rPr>
          <t>======
ID#AAABj82dpE0
    (2025-05-21 11:33:23)
0225 chloe:客戶水單2/25，待我司銀行通知入帳
0226 chloe:匯款匯入6471-11(匯款手續費)</t>
        </r>
      </text>
    </comment>
    <comment ref="J312" authorId="0" shapeId="0" xr:uid="{7B421278-69D4-624E-8D2A-AB57D473924B}">
      <text>
        <r>
          <rPr>
            <sz val="10"/>
            <color rgb="FF000000"/>
            <rFont val="Aptos Narrow"/>
            <scheme val="minor"/>
          </rPr>
          <t>======
ID#AAABjx7qP3w
    (2025-05-21 11:33:24)
Forwarder Details: -
FETA FREIGHT SYSTEMS (TAIWAN ) LTD. 
JUDY KAO 
 Tel: +886-3-399-2033 EXT: 135
Direct: +886-3-3992106
Fax: +886-3-3992036/2055
E-mail: judykao@ffsi.com.tw
Skype:judykao-mlattao</t>
        </r>
      </text>
    </comment>
    <comment ref="E313" authorId="0" shapeId="0" xr:uid="{AD7204AF-3A05-0F46-A334-30C183E8B651}">
      <text>
        <r>
          <rPr>
            <sz val="10"/>
            <color rgb="FF000000"/>
            <rFont val="Aptos Narrow"/>
            <scheme val="minor"/>
          </rPr>
          <t>======
ID#AAABjx7qMw0
    (2025-05-21 11:33:23)
190226 w/o adapter</t>
        </r>
      </text>
    </comment>
    <comment ref="H313" authorId="0" shapeId="0" xr:uid="{F1F7B1E4-229C-064D-9B9D-A5A300F9017E}">
      <text>
        <r>
          <rPr>
            <sz val="10"/>
            <color rgb="FF000000"/>
            <rFont val="Aptos Narrow"/>
            <scheme val="minor"/>
          </rPr>
          <t>======
ID#AAABjx7qRIc
    (2025-05-21 11:33:25)
0225 chloe:客戶水單2/25，待我司銀行通知入帳
0226 chloe:匯款匯入6471-11(匯款手續費)</t>
        </r>
      </text>
    </comment>
    <comment ref="J313" authorId="0" shapeId="0" xr:uid="{B960147B-B09B-4E42-9DD7-537ABA74E374}">
      <text>
        <r>
          <rPr>
            <sz val="10"/>
            <color rgb="FF000000"/>
            <rFont val="Aptos Narrow"/>
            <scheme val="minor"/>
          </rPr>
          <t>======
ID#AAABjx7qQoM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H314" authorId="0" shapeId="0" xr:uid="{8DA0B893-2C1A-EF49-B94B-349B395A6914}">
      <text>
        <r>
          <rPr>
            <sz val="10"/>
            <color rgb="FF000000"/>
            <rFont val="Aptos Narrow"/>
            <scheme val="minor"/>
          </rPr>
          <t>======
ID#AAABjx7qWUo
    (2025-05-21 11:33:27)
ALICE:201904/10水單匯入USD11416*30.78
沖(229+2394+326+34+5274+3066+103)=11426</t>
        </r>
      </text>
    </comment>
    <comment ref="U314" authorId="0" shapeId="0" xr:uid="{3B603579-4A2A-3240-87F9-CF108CA81334}">
      <text>
        <r>
          <rPr>
            <sz val="10"/>
            <color rgb="FF000000"/>
            <rFont val="Aptos Narrow"/>
            <scheme val="minor"/>
          </rPr>
          <t>======
ID#AAABjx7qVgE
    (2025-05-21 11:33:27)
Chloe-5/3-MAIL回覆總成本為2786.7(內含三筆訂單PI-20190118A-F.PI-20181221A-1-F.PI-20190123B-F)</t>
        </r>
      </text>
    </comment>
    <comment ref="H315" authorId="0" shapeId="0" xr:uid="{BE5B2A54-D519-974C-91FD-C6711A2465DB}">
      <text>
        <r>
          <rPr>
            <sz val="10"/>
            <color rgb="FF000000"/>
            <rFont val="Aptos Narrow"/>
            <scheme val="minor"/>
          </rPr>
          <t>======
ID#AAABjx7qQuU
    (2025-05-21 11:33:25)
ALICE:201904/10水單匯入USD11416*30.78
沖(229+2394+326+34+5274+3066+103)=11426</t>
        </r>
      </text>
    </comment>
    <comment ref="K315" authorId="0" shapeId="0" xr:uid="{47E8338A-6193-7A43-B26A-753FB33418D4}">
      <text>
        <r>
          <rPr>
            <sz val="10"/>
            <color rgb="FF000000"/>
            <rFont val="Aptos Narrow"/>
            <scheme val="minor"/>
          </rPr>
          <t>======
ID#AAABjx7qNKU
    (2025-05-21 11:33:23)
0226 Cathy: 詢問alan 出雪梨
0121 Sant: 出貨前拍照</t>
        </r>
      </text>
    </comment>
    <comment ref="U315" authorId="0" shapeId="0" xr:uid="{ABE2E9D5-5F31-2B49-8437-F4AC9C251957}">
      <text>
        <r>
          <rPr>
            <sz val="10"/>
            <color rgb="FF000000"/>
            <rFont val="Aptos Narrow"/>
            <scheme val="minor"/>
          </rPr>
          <t>======
ID#AAABjx7qVW0
    (2025-05-21 11:33:27)
Chloe-5/3-MAIL回覆總成本為2786.7(內含三筆訂單PI-20190118A-F.PI-20181221A-1-F.PI-20190123B-F)</t>
        </r>
      </text>
    </comment>
    <comment ref="G316" authorId="0" shapeId="0" xr:uid="{DC43818C-8580-1F42-B50F-0CBB769DB89F}">
      <text>
        <r>
          <rPr>
            <sz val="10"/>
            <color rgb="FF000000"/>
            <rFont val="Aptos Narrow"/>
            <scheme val="minor"/>
          </rPr>
          <t>======
ID#AAABjx7qQpI
    (2025-05-21 11:33:25)
170323 w/ 5%VAT</t>
        </r>
      </text>
    </comment>
    <comment ref="H316" authorId="0" shapeId="0" xr:uid="{DC33BB6C-CC65-C149-85CE-039B0F167ED3}">
      <text>
        <r>
          <rPr>
            <sz val="10"/>
            <color rgb="FF000000"/>
            <rFont val="Aptos Narrow"/>
            <scheme val="minor"/>
          </rPr>
          <t>======
ID#AAABjx7qRQQ
    (2025-05-21 11:33:25)
Alice:2019/04/30-銀行通知電文USD3780元整</t>
        </r>
      </text>
    </comment>
    <comment ref="AK316" authorId="0" shapeId="0" xr:uid="{296274F4-BEEF-DF4E-A28C-FC2B59BF1F49}">
      <text>
        <r>
          <rPr>
            <sz val="10"/>
            <color rgb="FF000000"/>
            <rFont val="Aptos Narrow"/>
            <scheme val="minor"/>
          </rPr>
          <t>======
ID#AAABjx7qSFc
    (2025-05-21 11:33:26)
ALICE:2019/04/30-銀行通知電文USD3780元整</t>
        </r>
      </text>
    </comment>
    <comment ref="AL316" authorId="0" shapeId="0" xr:uid="{F25208A5-A06C-F445-BF2C-CF805265B1C7}">
      <text>
        <r>
          <rPr>
            <sz val="10"/>
            <color rgb="FF000000"/>
            <rFont val="Aptos Narrow"/>
            <scheme val="minor"/>
          </rPr>
          <t>======
ID#AAABjx7qSvY
    (2025-05-21 11:33:26)
ALICE:2019/04/30-銀行通知電文USD3780元整</t>
        </r>
      </text>
    </comment>
    <comment ref="H317" authorId="0" shapeId="0" xr:uid="{84CD4B81-D5C6-C941-97EA-0B1CE63634BA}">
      <text>
        <r>
          <rPr>
            <sz val="10"/>
            <color rgb="FF000000"/>
            <rFont val="Aptos Narrow"/>
            <scheme val="minor"/>
          </rPr>
          <t>======
ID#AAABjx7qOFo
    (2025-05-21 11:33:24)
0403 chloe:匯款匯入247,928</t>
        </r>
      </text>
    </comment>
    <comment ref="M317" authorId="0" shapeId="0" xr:uid="{45DA3654-F6B0-0749-A337-73FF686D9109}">
      <text>
        <r>
          <rPr>
            <sz val="10"/>
            <color rgb="FF000000"/>
            <rFont val="Aptos Narrow"/>
            <scheme val="minor"/>
          </rPr>
          <t>======
ID#AAABjx7qOcQ
    (2025-05-21 11:33:24)
0313 Cathy: moxa提供發票</t>
        </r>
      </text>
    </comment>
    <comment ref="E318" authorId="0" shapeId="0" xr:uid="{F2B822C3-6D8B-774D-B486-F53C266C88B4}">
      <text>
        <r>
          <rPr>
            <sz val="10"/>
            <color rgb="FF000000"/>
            <rFont val="Aptos Narrow"/>
            <scheme val="minor"/>
          </rPr>
          <t>======
ID#AAABjx7qRug
    (2025-05-21 11:33:25)
20170104 Santiago: 和之前訂單一樣, w/o adapter</t>
        </r>
      </text>
    </comment>
    <comment ref="H318" authorId="0" shapeId="0" xr:uid="{2F34402A-51CB-2747-844E-9A72A90E5241}">
      <text>
        <r>
          <rPr>
            <sz val="10"/>
            <color rgb="FF000000"/>
            <rFont val="Aptos Narrow"/>
            <scheme val="minor"/>
          </rPr>
          <t>======
ID#AAABjx7qSWs
    (2025-05-21 11:33:26)
0403 chloe:匯款匯入247,928</t>
        </r>
      </text>
    </comment>
    <comment ref="M318" authorId="0" shapeId="0" xr:uid="{57889412-44BA-5446-AF25-71238215A724}">
      <text>
        <r>
          <rPr>
            <sz val="10"/>
            <color rgb="FF000000"/>
            <rFont val="Aptos Narrow"/>
            <scheme val="minor"/>
          </rPr>
          <t>======
ID#AAABjx7qR0g
    (2025-05-21 11:33:25)
0313 Cathy: moxa提供發票</t>
        </r>
      </text>
    </comment>
    <comment ref="H319" authorId="0" shapeId="0" xr:uid="{E12D3FF6-497A-9344-826A-7FDB346A4049}">
      <text>
        <r>
          <rPr>
            <sz val="10"/>
            <color rgb="FF000000"/>
            <rFont val="Aptos Narrow"/>
            <scheme val="minor"/>
          </rPr>
          <t>======
ID#AAABjx7qSZ4
    (2025-05-21 11:33:26)
0403 chloe:匯款匯入247,928</t>
        </r>
      </text>
    </comment>
    <comment ref="H320" authorId="0" shapeId="0" xr:uid="{A580279F-C994-8B47-BA83-7A9C09DC9BD1}">
      <text>
        <r>
          <rPr>
            <sz val="10"/>
            <color rgb="FF000000"/>
            <rFont val="Aptos Narrow"/>
            <scheme val="minor"/>
          </rPr>
          <t>======
ID#AAABjx7qQMA
    (2025-05-21 11:33:25)
ALICE:2019/05/20-收到玉山銀行電文通知USD12750元整</t>
        </r>
      </text>
    </comment>
    <comment ref="M320" authorId="0" shapeId="0" xr:uid="{764927AD-729B-7E4E-935C-DF07A30E7197}">
      <text>
        <r>
          <rPr>
            <sz val="10"/>
            <color rgb="FF000000"/>
            <rFont val="Aptos Narrow"/>
            <scheme val="minor"/>
          </rPr>
          <t>======
ID#AAABjx7qPKQ
    (2025-05-21 11:33:24)
0419 ivy revise (提前交期) 原4/29</t>
        </r>
      </text>
    </comment>
    <comment ref="H321" authorId="0" shapeId="0" xr:uid="{F5B9D741-2BCC-4E43-804D-E2A375F3E690}">
      <text>
        <r>
          <rPr>
            <sz val="10"/>
            <color rgb="FF000000"/>
            <rFont val="Aptos Narrow"/>
            <scheme val="minor"/>
          </rPr>
          <t>======
ID#AAABjx7qWKo
    (2025-05-21 11:33:27)
ALICE:2019/05/20-收到玉山銀行電文通知USD12750元整</t>
        </r>
      </text>
    </comment>
    <comment ref="M321" authorId="0" shapeId="0" xr:uid="{31C97C8C-E8E3-3845-B7EA-7AFE6007C6E4}">
      <text>
        <r>
          <rPr>
            <sz val="10"/>
            <color rgb="FF000000"/>
            <rFont val="Aptos Narrow"/>
            <scheme val="minor"/>
          </rPr>
          <t>======
ID#AAABjx7qTk0
    (2025-05-21 11:33:26)
0419 ivy revise (提前交期) 原4/29</t>
        </r>
      </text>
    </comment>
    <comment ref="H322" authorId="0" shapeId="0" xr:uid="{B5F15229-E95F-B74D-9592-B3F48B0B7843}">
      <text>
        <r>
          <rPr>
            <sz val="10"/>
            <color rgb="FF000000"/>
            <rFont val="Aptos Narrow"/>
            <scheme val="minor"/>
          </rPr>
          <t>======
ID#AAABjx7qOUw
    (2025-05-21 11:33:24)
ALICE:2019/05/20-收到玉山銀行電文通知USD12750元整</t>
        </r>
      </text>
    </comment>
    <comment ref="M322" authorId="0" shapeId="0" xr:uid="{9EA0B471-D557-814D-957B-ED508E972584}">
      <text>
        <r>
          <rPr>
            <sz val="10"/>
            <color rgb="FF000000"/>
            <rFont val="Aptos Narrow"/>
            <scheme val="minor"/>
          </rPr>
          <t>======
ID#AAABjx7qWQ0
    (2025-05-21 11:33:27)
0416 Cathy: 新漢ivy 通知到貨</t>
        </r>
      </text>
    </comment>
    <comment ref="O322" authorId="0" shapeId="0" xr:uid="{993DB002-C8CC-D242-9AD8-80698A052AF9}">
      <text>
        <r>
          <rPr>
            <sz val="10"/>
            <color rgb="FF000000"/>
            <rFont val="Aptos Narrow"/>
            <scheme val="minor"/>
          </rPr>
          <t>======
ID#AAABjx7qN80
    (2025-05-21 11:33:23)
0307 Cathy下單</t>
        </r>
      </text>
    </comment>
    <comment ref="D323" authorId="0" shapeId="0" xr:uid="{CD300AEF-1B01-2048-A57A-384461011C74}">
      <text>
        <r>
          <rPr>
            <sz val="10"/>
            <color rgb="FF000000"/>
            <rFont val="Aptos Narrow"/>
            <scheme val="minor"/>
          </rPr>
          <t>======
ID#AAABjx7qPQg
    (2025-05-21 11:33:24)
190109 Tammy: 抽驗即可, 謝謝</t>
        </r>
      </text>
    </comment>
    <comment ref="H323" authorId="0" shapeId="0" xr:uid="{259FBD8B-F75E-9C4F-BE13-CC735037D60C}">
      <text>
        <r>
          <rPr>
            <sz val="10"/>
            <color rgb="FF000000"/>
            <rFont val="Aptos Narrow"/>
            <scheme val="minor"/>
          </rPr>
          <t>======
ID#AAABjx7qNT0
    (2025-05-21 11:33:23)
ALICE:2019/05/20-收到玉山銀行電文通知USD12750元整</t>
        </r>
      </text>
    </comment>
    <comment ref="M323" authorId="0" shapeId="0" xr:uid="{E726DF18-8B13-7741-BB49-4019051CC3F3}">
      <text>
        <r>
          <rPr>
            <sz val="10"/>
            <color rgb="FF000000"/>
            <rFont val="Aptos Narrow"/>
            <scheme val="minor"/>
          </rPr>
          <t>======
ID#AAABjx7qV40
    (2025-05-21 11:33:27)
0419 ivy revise (提前交期) 原4/29</t>
        </r>
      </text>
    </comment>
    <comment ref="O323" authorId="0" shapeId="0" xr:uid="{7DDD57D5-DD65-AD44-B011-8DF45B0547FF}">
      <text>
        <r>
          <rPr>
            <sz val="10"/>
            <color rgb="FF000000"/>
            <rFont val="Aptos Narrow"/>
            <scheme val="minor"/>
          </rPr>
          <t>======
ID#AAABjx7qNGY
    (2025-05-21 11:33:23)
0304 Cathy 下單</t>
        </r>
      </text>
    </comment>
    <comment ref="H324" authorId="0" shapeId="0" xr:uid="{10B8367F-3FA0-984B-8F98-87DF0238BCFA}">
      <text>
        <r>
          <rPr>
            <sz val="10"/>
            <color rgb="FF000000"/>
            <rFont val="Aptos Narrow"/>
            <scheme val="minor"/>
          </rPr>
          <t>======
ID#AAABjx7qSoI
    (2025-05-21 11:33:26)
ALICE:6/17水單匯入USD16108 沖PI-20190227B 8500，沖PI-20190409A 7608</t>
        </r>
      </text>
    </comment>
    <comment ref="H325" authorId="0" shapeId="0" xr:uid="{2A38DEDF-11B4-E243-92C6-818F0AF59E6F}">
      <text>
        <r>
          <rPr>
            <sz val="10"/>
            <color rgb="FF000000"/>
            <rFont val="Aptos Narrow"/>
            <scheme val="minor"/>
          </rPr>
          <t>======
ID#AAABjx7qVTM
    (2025-05-21 11:33:27)
ALICE:6/17水單匯入USD16108 沖PI-20190227B 8500，沖PI-20190409A 7608</t>
        </r>
      </text>
    </comment>
    <comment ref="H326" authorId="0" shapeId="0" xr:uid="{BF9A6F26-A683-944C-B7B4-F63AD9A5AFDB}">
      <text>
        <r>
          <rPr>
            <sz val="10"/>
            <color rgb="FF000000"/>
            <rFont val="Aptos Narrow"/>
            <scheme val="minor"/>
          </rPr>
          <t>======
ID#AAABjx7qNJA
    (2025-05-21 11:33:23)
ALICE:6/17水單匯入USD16108 沖PI-20190227B 8500，沖PI-20190409A 7608</t>
        </r>
      </text>
    </comment>
    <comment ref="D327" authorId="0" shapeId="0" xr:uid="{104C5B4E-6720-0846-B949-110AA7C9F6C0}">
      <text>
        <r>
          <rPr>
            <sz val="10"/>
            <color rgb="FF000000"/>
            <rFont val="Aptos Narrow"/>
            <scheme val="minor"/>
          </rPr>
          <t>======
ID#AAABjx7qWbY
    (2025-05-21 11:33:27)
190109 Tammy: 抽驗即可, 謝謝</t>
        </r>
      </text>
    </comment>
    <comment ref="H328" authorId="0" shapeId="0" xr:uid="{723E1682-8459-CF45-A046-A92378D7FCBB}">
      <text>
        <r>
          <rPr>
            <sz val="10"/>
            <color rgb="FF000000"/>
            <rFont val="Aptos Narrow"/>
            <scheme val="minor"/>
          </rPr>
          <t>======
ID#AAABjx7qPXo
    (2025-05-21 11:33:24)
alice:7/22水單匯入USD8500沖PI-20190227C</t>
        </r>
      </text>
    </comment>
    <comment ref="H329" authorId="0" shapeId="0" xr:uid="{639029CD-26BF-4D4E-A4C6-575410AF2111}">
      <text>
        <r>
          <rPr>
            <sz val="10"/>
            <color rgb="FF000000"/>
            <rFont val="Aptos Narrow"/>
            <scheme val="minor"/>
          </rPr>
          <t>======
ID#AAABjx7qVpk
    (2025-05-21 11:33:27)
alice:7/22水單匯入USD8500沖PI-20190227C</t>
        </r>
      </text>
    </comment>
    <comment ref="H330" authorId="0" shapeId="0" xr:uid="{C03FE83E-7D04-204C-88F5-36D510AEEC20}">
      <text>
        <r>
          <rPr>
            <sz val="10"/>
            <color rgb="FF000000"/>
            <rFont val="Aptos Narrow"/>
            <scheme val="minor"/>
          </rPr>
          <t>======
ID#AAABjx7qNhI
    (2025-05-21 11:33:23)
alice:7/22水單匯入USD8500沖PI-20190227C</t>
        </r>
      </text>
    </comment>
    <comment ref="D331" authorId="0" shapeId="0" xr:uid="{C3EA02DC-C29B-7144-B8A6-83D2DF73C565}">
      <text>
        <r>
          <rPr>
            <sz val="10"/>
            <color rgb="FF000000"/>
            <rFont val="Aptos Narrow"/>
            <scheme val="minor"/>
          </rPr>
          <t>======
ID#AAABjx7qVeU
    (2025-05-21 11:33:27)
190109 Tammy: 抽驗即可, 謝謝</t>
        </r>
      </text>
    </comment>
    <comment ref="H331" authorId="0" shapeId="0" xr:uid="{3CAAAFA8-AC2D-6D47-A8D6-6E358D4E5959}">
      <text>
        <r>
          <rPr>
            <sz val="10"/>
            <color rgb="FF000000"/>
            <rFont val="Aptos Narrow"/>
            <scheme val="minor"/>
          </rPr>
          <t>======
ID#AAABjx7qOR0
    (2025-05-21 11:33:24)
alice:7/22水單匯入USD8500沖PI-20190227C</t>
        </r>
      </text>
    </comment>
    <comment ref="H332" authorId="0" shapeId="0" xr:uid="{99F148E5-2D8A-2D45-9AF7-F300621EB5E0}">
      <text>
        <r>
          <rPr>
            <sz val="10"/>
            <color rgb="FF000000"/>
            <rFont val="Aptos Narrow"/>
            <scheme val="minor"/>
          </rPr>
          <t>======
ID#AAABjx7qPYQ
    (2025-05-21 11:33:24)
alice:8/19-水單匯入USD8500，沖PI-20190227D</t>
        </r>
      </text>
    </comment>
    <comment ref="H333" authorId="0" shapeId="0" xr:uid="{DB3C576A-D3EE-DE40-9E7B-163102BA19DE}">
      <text>
        <r>
          <rPr>
            <sz val="10"/>
            <color rgb="FF000000"/>
            <rFont val="Aptos Narrow"/>
            <scheme val="minor"/>
          </rPr>
          <t>======
ID#AAABjx7qNf0
    (2025-05-21 11:33:23)
alice:8/19-水單匯入USD8500，沖PI-20190227D</t>
        </r>
      </text>
    </comment>
    <comment ref="H334" authorId="0" shapeId="0" xr:uid="{96BC08B0-39A5-A248-8DD2-D8334BBBDCF0}">
      <text>
        <r>
          <rPr>
            <sz val="10"/>
            <color rgb="FF000000"/>
            <rFont val="Aptos Narrow"/>
            <scheme val="minor"/>
          </rPr>
          <t>======
ID#AAABjx7qOdg
    (2025-05-21 11:33:24)
alice:8/19-水單匯入USD8500，沖PI-20190227D</t>
        </r>
      </text>
    </comment>
    <comment ref="D335" authorId="0" shapeId="0" xr:uid="{129D55DB-B080-694B-ABA4-DE03D88C4F42}">
      <text>
        <r>
          <rPr>
            <sz val="10"/>
            <color rgb="FF000000"/>
            <rFont val="Aptos Narrow"/>
            <scheme val="minor"/>
          </rPr>
          <t>======
ID#AAABjx7qQ0w
    (2025-05-21 11:33:25)
190109 Tammy: 抽驗即可, 謝謝</t>
        </r>
      </text>
    </comment>
    <comment ref="H335" authorId="0" shapeId="0" xr:uid="{47D8C33D-AFE7-5742-9FF3-698E78788A86}">
      <text>
        <r>
          <rPr>
            <sz val="10"/>
            <color rgb="FF000000"/>
            <rFont val="Aptos Narrow"/>
            <scheme val="minor"/>
          </rPr>
          <t>======
ID#AAABjx7qODA
    (2025-05-21 11:33:24)
alice:8/19-水單匯入USD8500，沖PI-20190227D</t>
        </r>
      </text>
    </comment>
    <comment ref="H336" authorId="0" shapeId="0" xr:uid="{32B53C2E-B4BE-D746-81CD-6F423D31C9C7}">
      <text>
        <r>
          <rPr>
            <sz val="10"/>
            <color rgb="FF000000"/>
            <rFont val="Aptos Narrow"/>
            <scheme val="minor"/>
          </rPr>
          <t>======
ID#AAABjx7qO2E
    (2025-05-21 11:33:24)
9/16-玉水水單USD4250沖PI-20190227E USD4250</t>
        </r>
      </text>
    </comment>
    <comment ref="M336" authorId="0" shapeId="0" xr:uid="{7D71B182-42CF-0345-BC0E-DA04AAE7F9D9}">
      <text>
        <r>
          <rPr>
            <sz val="10"/>
            <color rgb="FF000000"/>
            <rFont val="Aptos Narrow"/>
            <scheme val="minor"/>
          </rPr>
          <t>======
ID#AAABjx7qQTE
    (2025-05-21 11:33:25)
0815 捷毅通知延後交期</t>
        </r>
      </text>
    </comment>
    <comment ref="H337" authorId="0" shapeId="0" xr:uid="{4FE2B75B-4727-0B49-BC2B-6D54480E4403}">
      <text>
        <r>
          <rPr>
            <sz val="10"/>
            <color rgb="FF000000"/>
            <rFont val="Aptos Narrow"/>
            <scheme val="minor"/>
          </rPr>
          <t>======
ID#AAABjx7qQfI
    (2025-05-21 11:33:25)
9/16-玉水水單USD4250沖PI-20190227E USD4250</t>
        </r>
      </text>
    </comment>
    <comment ref="M337" authorId="0" shapeId="0" xr:uid="{79863CD6-DB23-CF44-BC7C-891FB5649D1E}">
      <text>
        <r>
          <rPr>
            <sz val="10"/>
            <color rgb="FF000000"/>
            <rFont val="Aptos Narrow"/>
            <scheme val="minor"/>
          </rPr>
          <t>======
ID#AAABjx7qPBM
    (2025-05-21 11:33:24)
0819yvonne:由於捷毅delay，故交期延至8/30
0826:新漢通知提早0826送貨</t>
        </r>
      </text>
    </comment>
    <comment ref="H338" authorId="0" shapeId="0" xr:uid="{FB6E47C3-5839-4243-805D-0A419F330BB9}">
      <text>
        <r>
          <rPr>
            <sz val="10"/>
            <color rgb="FF000000"/>
            <rFont val="Aptos Narrow"/>
            <scheme val="minor"/>
          </rPr>
          <t>======
ID#AAABjx7qNVI
    (2025-05-21 11:33:23)
9/16-玉水水單USD4250沖PI-20190227E USD4250</t>
        </r>
      </text>
    </comment>
    <comment ref="M338" authorId="0" shapeId="0" xr:uid="{B8A4B9C4-5A58-804F-BAEF-37594C861E10}">
      <text>
        <r>
          <rPr>
            <sz val="10"/>
            <color rgb="FF000000"/>
            <rFont val="Aptos Narrow"/>
            <scheme val="minor"/>
          </rPr>
          <t>======
ID#AAABjx7qVlY
    (2025-05-21 11:33:27)
0819yvonne:由於捷毅delay，故交期延至8/30
0826:新漢通知提早0826送貨</t>
        </r>
      </text>
    </comment>
    <comment ref="D339" authorId="0" shapeId="0" xr:uid="{61108339-A4DA-E14E-98E3-45A2395CE198}">
      <text>
        <r>
          <rPr>
            <sz val="10"/>
            <color rgb="FF000000"/>
            <rFont val="Aptos Narrow"/>
            <scheme val="minor"/>
          </rPr>
          <t>======
ID#AAABjx7qQkE
    (2025-05-21 11:33:25)
190109 Tammy: 抽驗即可, 謝謝</t>
        </r>
      </text>
    </comment>
    <comment ref="H339" authorId="0" shapeId="0" xr:uid="{947DBB54-E31A-FF48-8E78-5063E98365C8}">
      <text>
        <r>
          <rPr>
            <sz val="10"/>
            <color rgb="FF000000"/>
            <rFont val="Aptos Narrow"/>
            <scheme val="minor"/>
          </rPr>
          <t>======
ID#AAABjx7qNHk
    (2025-05-21 11:33:23)
9/16-玉水水單USD4250沖PI-20190227E USD4250</t>
        </r>
      </text>
    </comment>
    <comment ref="M339" authorId="0" shapeId="0" xr:uid="{EA979B58-B0D4-4F4E-BCA6-6FE21D60E417}">
      <text>
        <r>
          <rPr>
            <sz val="10"/>
            <color rgb="FF000000"/>
            <rFont val="Aptos Narrow"/>
            <scheme val="minor"/>
          </rPr>
          <t>======
ID#AAABjx7qNg0
    (2025-05-21 11:33:23)
0819yvonne:由於捷毅delay，故交期延至8/30
0826:新漢通知提早0826送貨</t>
        </r>
      </text>
    </comment>
    <comment ref="H340" authorId="0" shapeId="0" xr:uid="{BBFB9D0D-312B-D041-B84F-F1809679B8D0}">
      <text>
        <r>
          <rPr>
            <sz val="10"/>
            <color rgb="FF000000"/>
            <rFont val="Aptos Narrow"/>
            <scheme val="minor"/>
          </rPr>
          <t>======
ID#AAABjx7qSrc
    (2025-05-21 11:33:26)
ALICE:10/21玉山銀行匯入USD4250沖PI-20190227F USD4250</t>
        </r>
      </text>
    </comment>
    <comment ref="H341" authorId="0" shapeId="0" xr:uid="{94EA940C-EC45-954A-88AF-24274D845EF3}">
      <text>
        <r>
          <rPr>
            <sz val="10"/>
            <color rgb="FF000000"/>
            <rFont val="Aptos Narrow"/>
            <scheme val="minor"/>
          </rPr>
          <t>======
ID#AAABjx7qPjo
    (2025-05-21 11:33:24)
ALICE:10/21玉山銀行匯入USD4250沖PI-20190227F USD4250</t>
        </r>
      </text>
    </comment>
    <comment ref="H342" authorId="0" shapeId="0" xr:uid="{7784D5B3-E31D-444D-AE92-99C25244AF66}">
      <text>
        <r>
          <rPr>
            <sz val="10"/>
            <color rgb="FF000000"/>
            <rFont val="Aptos Narrow"/>
            <scheme val="minor"/>
          </rPr>
          <t>======
ID#AAABjx7qV4w
    (2025-05-21 11:33:27)
ALICE:10/21玉山銀行匯入USD4250沖PI-20190227F USD4250</t>
        </r>
      </text>
    </comment>
    <comment ref="D343" authorId="0" shapeId="0" xr:uid="{9BE405B7-25BC-F844-B48E-06DB48F6CA77}">
      <text>
        <r>
          <rPr>
            <sz val="10"/>
            <color rgb="FF000000"/>
            <rFont val="Aptos Narrow"/>
            <scheme val="minor"/>
          </rPr>
          <t>======
ID#AAABjx7qOl4
    (2025-05-21 11:33:24)
190109 Tammy: 抽驗即可, 謝謝</t>
        </r>
      </text>
    </comment>
    <comment ref="H343" authorId="0" shapeId="0" xr:uid="{C59EDB97-4D9C-B045-A62C-B8D09181F7FF}">
      <text>
        <r>
          <rPr>
            <sz val="10"/>
            <color rgb="FF000000"/>
            <rFont val="Aptos Narrow"/>
            <scheme val="minor"/>
          </rPr>
          <t>======
ID#AAABjx7qNxM
    (2025-05-21 11:33:23)
ALICE:10/21玉山銀行匯入USD4250沖PI-20190227F USD4250</t>
        </r>
      </text>
    </comment>
    <comment ref="H344" authorId="0" shapeId="0" xr:uid="{F71CB271-BC5D-9343-9E0A-72357070D9E7}">
      <text>
        <r>
          <rPr>
            <sz val="10"/>
            <color rgb="FF000000"/>
            <rFont val="Aptos Narrow"/>
            <scheme val="minor"/>
          </rPr>
          <t>======
ID#AAABjx7qVBg
    (2025-05-21 11:33:27)
ALICE:11/22第一銀行收到匯入USD8500(內含銀行手續費USD6.57) PI-20190227G USD4250+PI-20190227H USD4250 總計USD8500</t>
        </r>
      </text>
    </comment>
    <comment ref="M344" authorId="0" shapeId="0" xr:uid="{C2382395-E8EC-AD48-94D2-4E28CE3DF54D}">
      <text>
        <r>
          <rPr>
            <sz val="10"/>
            <color rgb="FF000000"/>
            <rFont val="Aptos Narrow"/>
            <scheme val="minor"/>
          </rPr>
          <t>======
ID#AAABjx7qO6c
    (2025-05-21 11:33:24)
1016YVONNE:TAMMY通知要跟PI-20190227H一起出</t>
        </r>
      </text>
    </comment>
    <comment ref="H345" authorId="0" shapeId="0" xr:uid="{594985EF-56B1-794B-911B-7DBFCAD052F2}">
      <text>
        <r>
          <rPr>
            <sz val="10"/>
            <color rgb="FF000000"/>
            <rFont val="Aptos Narrow"/>
            <scheme val="minor"/>
          </rPr>
          <t>======
ID#AAABjx7qVqo
    (2025-05-21 11:33:27)
ALICE:11/22第一銀行收到匯入USD8500(內含銀行手續費USD6.57) PI-20190227G USD4250+PI-20190227H USD4250 總計USD8500</t>
        </r>
      </text>
    </comment>
    <comment ref="H346" authorId="0" shapeId="0" xr:uid="{26484087-D396-0F49-895E-B350D54B12A2}">
      <text>
        <r>
          <rPr>
            <sz val="10"/>
            <color rgb="FF000000"/>
            <rFont val="Aptos Narrow"/>
            <scheme val="minor"/>
          </rPr>
          <t>======
ID#AAABjx7qSHs
    (2025-05-21 11:33:26)
ALICE:11/22第一銀行收到匯入USD8500(內含銀行手續費USD6.57) PI-20190227G USD4250+PI-20190227H USD4250 總計USD8500</t>
        </r>
      </text>
    </comment>
    <comment ref="D347" authorId="0" shapeId="0" xr:uid="{52A081A9-C015-B54B-8F6A-E8B4EF240AD8}">
      <text>
        <r>
          <rPr>
            <sz val="10"/>
            <color rgb="FF000000"/>
            <rFont val="Aptos Narrow"/>
            <scheme val="minor"/>
          </rPr>
          <t>======
ID#AAABjx7qOac
    (2025-05-21 11:33:24)
190109 Tammy: 抽驗即可, 謝謝</t>
        </r>
      </text>
    </comment>
    <comment ref="H347" authorId="0" shapeId="0" xr:uid="{88727990-8AA3-414B-89AE-11EB0D564056}">
      <text>
        <r>
          <rPr>
            <sz val="10"/>
            <color rgb="FF000000"/>
            <rFont val="Aptos Narrow"/>
            <scheme val="minor"/>
          </rPr>
          <t>======
ID#AAABjx7qQhs
    (2025-05-21 11:33:25)
ALICE:11/22第一銀行收到匯入USD8500(內含銀行手續費USD6.57) PI-20190227G USD4250+PI-20190227H USD4250 總計USD8500</t>
        </r>
      </text>
    </comment>
    <comment ref="H348" authorId="0" shapeId="0" xr:uid="{F9BD5087-DAE4-6048-AFE1-A2ABDD49F57A}">
      <text>
        <r>
          <rPr>
            <sz val="10"/>
            <color rgb="FF000000"/>
            <rFont val="Aptos Narrow"/>
            <scheme val="minor"/>
          </rPr>
          <t>======
ID#AAABjx7qNd0
    (2025-05-21 11:33:23)
ALICE:11/22第一銀行收到匯入USD8500(內含銀行手續費USD6.57) PI-20190227G USD4250+PI-20190227H USD4250 總計USD8500</t>
        </r>
      </text>
    </comment>
    <comment ref="M348" authorId="0" shapeId="0" xr:uid="{170A6D58-2C79-CB46-BA85-1D72408DB3C0}">
      <text>
        <r>
          <rPr>
            <sz val="10"/>
            <color rgb="FF000000"/>
            <rFont val="Aptos Narrow"/>
            <scheme val="minor"/>
          </rPr>
          <t>======
ID#AAABjx7qVpA
    (2025-05-21 11:33:27)
1016YVONNE:TAMMY通知要提前與PI-20190227G一起出貨</t>
        </r>
      </text>
    </comment>
    <comment ref="H349" authorId="0" shapeId="0" xr:uid="{3E212F90-FD9D-BF45-9F68-4346B0D45244}">
      <text>
        <r>
          <rPr>
            <sz val="10"/>
            <color rgb="FF000000"/>
            <rFont val="Aptos Narrow"/>
            <scheme val="minor"/>
          </rPr>
          <t>======
ID#AAABjx7qOMc
    (2025-05-21 11:33:24)
ALICE:11/22第一銀行收到匯入USD8500(內含銀行手續費USD6.57) PI-20190227G USD4250+PI-20190227H USD4250 總計USD8500</t>
        </r>
      </text>
    </comment>
    <comment ref="H350" authorId="0" shapeId="0" xr:uid="{CCC8F3C0-E5DF-6543-A821-218097DC0069}">
      <text>
        <r>
          <rPr>
            <sz val="10"/>
            <color rgb="FF000000"/>
            <rFont val="Aptos Narrow"/>
            <scheme val="minor"/>
          </rPr>
          <t>======
ID#AAABjx7qOn0
    (2025-05-21 11:33:24)
ALICE:11/22第一銀行收到匯入USD8500(內含銀行手續費USD6.57) PI-20190227G USD4250+PI-20190227H USD4250 總計USD8500</t>
        </r>
      </text>
    </comment>
    <comment ref="D351" authorId="0" shapeId="0" xr:uid="{26B891A0-88E4-4446-A177-A00145762FB6}">
      <text>
        <r>
          <rPr>
            <sz val="10"/>
            <color rgb="FF000000"/>
            <rFont val="Aptos Narrow"/>
            <scheme val="minor"/>
          </rPr>
          <t>======
ID#AAABjx7qUsI
    (2025-05-21 11:33:26)
190109 Tammy: 抽驗即可, 謝謝</t>
        </r>
      </text>
    </comment>
    <comment ref="H351" authorId="0" shapeId="0" xr:uid="{E2F5061C-0E9C-0B42-B62A-D8AFD8F81B1A}">
      <text>
        <r>
          <rPr>
            <sz val="10"/>
            <color rgb="FF000000"/>
            <rFont val="Aptos Narrow"/>
            <scheme val="minor"/>
          </rPr>
          <t>======
ID#AAABjx7qTBI
    (2025-05-21 11:33:26)
ALICE:11/22第一銀行收到匯入USD8500(內含銀行手續費USD6.57) PI-20190227G USD4250+PI-20190227H USD4250 總計USD8500</t>
        </r>
      </text>
    </comment>
    <comment ref="H352" authorId="0" shapeId="0" xr:uid="{91C96D38-AEB0-3649-8D5D-FBBA8F2B622B}">
      <text>
        <r>
          <rPr>
            <sz val="10"/>
            <color rgb="FF000000"/>
            <rFont val="Aptos Narrow"/>
            <scheme val="minor"/>
          </rPr>
          <t>======
ID#AAABjx7qRRA
    (2025-05-21 11:33:25)
3/22 chloe:匯款匯入NT2868</t>
        </r>
      </text>
    </comment>
    <comment ref="M352" authorId="0" shapeId="0" xr:uid="{0AEDA41A-1E29-0C40-A209-B888814FF715}">
      <text>
        <r>
          <rPr>
            <sz val="10"/>
            <color rgb="FF000000"/>
            <rFont val="Aptos Narrow"/>
            <scheme val="minor"/>
          </rPr>
          <t>======
ID#AAABjx7qQw8
    (2025-05-21 11:33:25)
0304 Cathy: 3/6直送客戶</t>
        </r>
      </text>
    </comment>
    <comment ref="O352" authorId="0" shapeId="0" xr:uid="{2FB70BFF-C922-A345-A88C-B5BE7F4F03A0}">
      <text>
        <r>
          <rPr>
            <sz val="10"/>
            <color rgb="FF000000"/>
            <rFont val="Aptos Narrow"/>
            <scheme val="minor"/>
          </rPr>
          <t>======
ID#AAABjx7qPvw
    (2025-05-21 11:33:24)
0304 Cathy: 下單</t>
        </r>
      </text>
    </comment>
    <comment ref="U352" authorId="0" shapeId="0" xr:uid="{A121B5AB-ADFE-D545-8B64-CF2FF835EFC8}">
      <text>
        <r>
          <rPr>
            <sz val="10"/>
            <color rgb="FF000000"/>
            <rFont val="Aptos Narrow"/>
            <scheme val="minor"/>
          </rPr>
          <t>======
ID#AAABjx7qTL8
    (2025-05-21 11:33:26)
30.82</t>
        </r>
      </text>
    </comment>
    <comment ref="H353" authorId="0" shapeId="0" xr:uid="{CD6B3059-A0D6-8946-8CD6-37EFEA950664}">
      <text>
        <r>
          <rPr>
            <sz val="10"/>
            <color rgb="FF000000"/>
            <rFont val="Aptos Narrow"/>
            <scheme val="minor"/>
          </rPr>
          <t>======
ID#AAABjx7qSNw
    (2025-05-21 11:33:26)
ALICE:2019/04/08-水單匯入USD31764-手續費USD12=USD31752
詳4/8-客戶MAIL沖帳明細(12540+944+2010+5770+10500=31764)</t>
        </r>
      </text>
    </comment>
    <comment ref="K353" authorId="0" shapeId="0" xr:uid="{EA7F093C-E3DB-C34A-8B4D-0E821F041F5F}">
      <text>
        <r>
          <rPr>
            <sz val="10"/>
            <color rgb="FF000000"/>
            <rFont val="Aptos Narrow"/>
            <scheme val="minor"/>
          </rPr>
          <t>======
ID#AAABjx7qM_c
    (2025-05-21 11:33:23)
0401 santi 告知改4/8出貨</t>
        </r>
      </text>
    </comment>
    <comment ref="H354" authorId="0" shapeId="0" xr:uid="{8D0FA547-06FF-814A-BEE9-AA5618891FE9}">
      <text>
        <r>
          <rPr>
            <sz val="10"/>
            <color rgb="FF000000"/>
            <rFont val="Aptos Narrow"/>
            <scheme val="minor"/>
          </rPr>
          <t>======
ID#AAABjx7qSkQ
    (2025-05-21 11:33:26)
ALICE:2019/04/08-水單匯入USD31764-手續費USD12元=USD31752
詳4/8-客戶MAIL沖帳明細(12540+944+2010+5770+10500=31764)</t>
        </r>
      </text>
    </comment>
    <comment ref="K354" authorId="0" shapeId="0" xr:uid="{7FB98D21-D912-D549-A0F9-C4C1314C8ABA}">
      <text>
        <r>
          <rPr>
            <sz val="10"/>
            <color rgb="FF000000"/>
            <rFont val="Aptos Narrow"/>
            <scheme val="minor"/>
          </rPr>
          <t>======
ID#AAABjx7qNUg
    (2025-05-21 11:33:23)
0401 santi 告知改4/8出貨</t>
        </r>
      </text>
    </comment>
    <comment ref="H355" authorId="0" shapeId="0" xr:uid="{3859095C-7754-1149-8682-F3452A1FDF33}">
      <text>
        <r>
          <rPr>
            <sz val="10"/>
            <color rgb="FF000000"/>
            <rFont val="Aptos Narrow"/>
            <scheme val="minor"/>
          </rPr>
          <t>======
ID#AAABjx7qOhU
    (2025-05-21 11:33:24)
ALICE:5/3-電文USD16646(沖10450+4616+1580(4850中的1580))</t>
        </r>
      </text>
    </comment>
    <comment ref="K355" authorId="0" shapeId="0" xr:uid="{8766699E-8210-2F41-9897-B9A32C832FB7}">
      <text>
        <r>
          <rPr>
            <sz val="10"/>
            <color rgb="FF000000"/>
            <rFont val="Aptos Narrow"/>
            <scheme val="minor"/>
          </rPr>
          <t>======
ID#AAABjx7qTNQ
    (2025-05-21 11:33:26)
0401 santi 告知改4/8出貨</t>
        </r>
      </text>
    </comment>
    <comment ref="AK355" authorId="0" shapeId="0" xr:uid="{585A33A6-34CD-BE45-9703-886C67E9FCB6}">
      <text>
        <r>
          <rPr>
            <sz val="10"/>
            <color rgb="FF000000"/>
            <rFont val="Aptos Narrow"/>
            <scheme val="minor"/>
          </rPr>
          <t>======
ID#AAABjx7qWNo
    (2025-05-21 11:33:27)
ALICE:5/3-電文USD16646(沖10450+4616+1580(4850中的1580))</t>
        </r>
      </text>
    </comment>
    <comment ref="G356" authorId="0" shapeId="0" xr:uid="{0B770CBE-99D2-9543-B94F-2D20588D7E88}">
      <text>
        <r>
          <rPr>
            <sz val="10"/>
            <color rgb="FF000000"/>
            <rFont val="Aptos Narrow"/>
            <scheme val="minor"/>
          </rPr>
          <t>======
ID#AAABjx7qOhY
    (2025-05-21 11:33:24)
190303 w/5% VAT</t>
        </r>
      </text>
    </comment>
    <comment ref="H356" authorId="0" shapeId="0" xr:uid="{F73C46E7-807D-1742-B2E7-BAE65BCE3B37}">
      <text>
        <r>
          <rPr>
            <sz val="10"/>
            <color rgb="FF000000"/>
            <rFont val="Aptos Narrow"/>
            <scheme val="minor"/>
          </rPr>
          <t>======
ID#AAABjx7qP3c
    (2025-05-21 11:33:24)
190303 客人應付貨款要扣掉NT$33313元 
3/22 chloe: 應付貨款145224- 33313
=111911(0322 已付)</t>
        </r>
      </text>
    </comment>
    <comment ref="G357" authorId="0" shapeId="0" xr:uid="{6A823FF8-4CF1-BC43-B52B-F22F678B3A35}">
      <text>
        <r>
          <rPr>
            <sz val="10"/>
            <color rgb="FF000000"/>
            <rFont val="Aptos Narrow"/>
            <scheme val="minor"/>
          </rPr>
          <t>======
ID#AAABjx7qQGI
    (2025-05-21 11:33:25)
190303 w/5% VAT</t>
        </r>
      </text>
    </comment>
    <comment ref="H357" authorId="0" shapeId="0" xr:uid="{54A8EB35-D93B-0040-B733-7B112C485CFD}">
      <text>
        <r>
          <rPr>
            <sz val="10"/>
            <color rgb="FF000000"/>
            <rFont val="Aptos Narrow"/>
            <scheme val="minor"/>
          </rPr>
          <t>======
ID#AAABjx7qQM0
    (2025-05-21 11:33:25)
190303 客人應付貨款要扣掉NT$33313元 
3/22 chloe: 應付貨款145224- 33313
=111911(0322 已付)</t>
        </r>
      </text>
    </comment>
    <comment ref="G358" authorId="0" shapeId="0" xr:uid="{6B8AE07E-0603-AA44-AF39-0D5CA7FF09C4}">
      <text>
        <r>
          <rPr>
            <sz val="10"/>
            <color rgb="FF000000"/>
            <rFont val="Aptos Narrow"/>
            <scheme val="minor"/>
          </rPr>
          <t>======
ID#AAABjx7qTEk
    (2025-05-21 11:33:26)
190303 w/5% VAT</t>
        </r>
      </text>
    </comment>
    <comment ref="H358" authorId="0" shapeId="0" xr:uid="{781F00E0-FCD3-F947-9E4A-EBF1A882F8AB}">
      <text>
        <r>
          <rPr>
            <sz val="10"/>
            <color rgb="FF000000"/>
            <rFont val="Aptos Narrow"/>
            <scheme val="minor"/>
          </rPr>
          <t>======
ID#AAABjx7qORQ
    (2025-05-21 11:33:24)
190303 客人應付貨款要扣掉NT$33313元 
3/22 chloe: 應付貨款145224- 33313
=111911(0322 已付)</t>
        </r>
      </text>
    </comment>
    <comment ref="G359" authorId="0" shapeId="0" xr:uid="{8E5CB1EC-2B83-6746-84AE-E9F1020B3BCB}">
      <text>
        <r>
          <rPr>
            <sz val="10"/>
            <color rgb="FF000000"/>
            <rFont val="Aptos Narrow"/>
            <scheme val="minor"/>
          </rPr>
          <t>======
ID#AAABjx7qWG0
    (2025-05-21 11:33:27)
190303 w/5% VAT</t>
        </r>
      </text>
    </comment>
    <comment ref="H359" authorId="0" shapeId="0" xr:uid="{45F0F294-59D9-5747-A721-BD7279A69886}">
      <text>
        <r>
          <rPr>
            <sz val="10"/>
            <color rgb="FF000000"/>
            <rFont val="Aptos Narrow"/>
            <scheme val="minor"/>
          </rPr>
          <t>======
ID#AAABjx7qNcs
    (2025-05-21 11:33:23)
190303 客人應付貨款要扣掉NT$33313元 
3/22 chloe: 應付貨款145224- 33313
=111911(0322 已付)</t>
        </r>
      </text>
    </comment>
    <comment ref="G360" authorId="0" shapeId="0" xr:uid="{9A6C36A6-FC4D-3649-9AC0-8D6692D6A01C}">
      <text>
        <r>
          <rPr>
            <sz val="10"/>
            <color rgb="FF000000"/>
            <rFont val="Aptos Narrow"/>
            <scheme val="minor"/>
          </rPr>
          <t>======
ID#AAABjx7qSkw
    (2025-05-21 11:33:26)
190303 w/5% VAT</t>
        </r>
      </text>
    </comment>
    <comment ref="H360" authorId="0" shapeId="0" xr:uid="{753F0A44-1692-FC4F-B01B-1B22F4ABD741}">
      <text>
        <r>
          <rPr>
            <sz val="10"/>
            <color rgb="FF000000"/>
            <rFont val="Aptos Narrow"/>
            <scheme val="minor"/>
          </rPr>
          <t>======
ID#AAABjx7qWCU
    (2025-05-21 11:33:27)
190303 客人應付貨款要扣掉NT$33313元 
3/22 chloe: 應付貨款145224- 33313
=111911(0322 已付)</t>
        </r>
      </text>
    </comment>
    <comment ref="D361" authorId="0" shapeId="0" xr:uid="{E73FDCA6-0DEF-3D48-A3D4-B43BBFEB15C4}">
      <text>
        <r>
          <rPr>
            <sz val="10"/>
            <color rgb="FF000000"/>
            <rFont val="Aptos Narrow"/>
            <scheme val="minor"/>
          </rPr>
          <t>======
ID#AAABjx7qQfc
    (2025-05-21 11:33:25)
3026 葛:客供剩料75</t>
        </r>
      </text>
    </comment>
    <comment ref="H361" authorId="0" shapeId="0" xr:uid="{898A187D-BC21-9548-A8CD-10EA0392D297}">
      <text>
        <r>
          <rPr>
            <sz val="10"/>
            <color rgb="FF000000"/>
            <rFont val="Aptos Narrow"/>
            <scheme val="minor"/>
          </rPr>
          <t>======
ID#AAABjx7qVh0
    (2025-05-21 11:33:27)
alice:2019/05/17水單通知USD19768沖3/4A $1995.3/4A-1$4152.3/4A-1-F $232.3/8B-F $57.12/21A-2-F $144.3/4A-1 $189.10/22C-2 $10227.12/21A-1 $2772.如上總計共USD19768</t>
        </r>
      </text>
    </comment>
    <comment ref="O361" authorId="0" shapeId="0" xr:uid="{B8B026A9-C8F6-BE4E-A761-7B1954FC78BE}">
      <text>
        <r>
          <rPr>
            <sz val="10"/>
            <color rgb="FF000000"/>
            <rFont val="Aptos Narrow"/>
            <scheme val="minor"/>
          </rPr>
          <t>======
ID#AAABjx7qVIU
    (2025-05-21 11:33:27)
0307 Cathy下單</t>
        </r>
      </text>
    </comment>
    <comment ref="H362" authorId="0" shapeId="0" xr:uid="{1160212E-253B-C848-B0BE-9BBF037DA06E}">
      <text>
        <r>
          <rPr>
            <sz val="10"/>
            <color rgb="FF000000"/>
            <rFont val="Aptos Narrow"/>
            <scheme val="minor"/>
          </rPr>
          <t>======
ID#AAABjx7qSAU
    (2025-05-21 11:33:25)
alice:2019/05/17水單通知USD19768沖3/4A $1995.3/4A-1$4152.3/4A-1-F $232.3/8B-F $57.12/21A-2-F $144.3/4A-1 $189.10/22C-2 $10227.12/21A-1 $2772.如上總計共USD19768</t>
        </r>
      </text>
    </comment>
    <comment ref="K362" authorId="0" shapeId="0" xr:uid="{3E53F824-3285-F642-9140-BBADDFC9A5FB}">
      <text>
        <r>
          <rPr>
            <sz val="10"/>
            <color rgb="FF000000"/>
            <rFont val="Aptos Narrow"/>
            <scheme val="minor"/>
          </rPr>
          <t>======
ID#AAABjx7qWRw
    (2025-05-21 11:33:27)
0401 Bruce告知一組LED閃爍，後無反應，請廠商來看。</t>
        </r>
      </text>
    </comment>
    <comment ref="M362" authorId="0" shapeId="0" xr:uid="{47EBDADE-372E-6546-AA85-6244FF10866E}">
      <text>
        <r>
          <rPr>
            <sz val="10"/>
            <color rgb="FF000000"/>
            <rFont val="Aptos Narrow"/>
            <scheme val="minor"/>
          </rPr>
          <t>======
ID#AAABjx7qVjo
    (2025-05-21 11:33:27)
0401 Bruce告知一組LED閃爍，後無反應，請廠商來看。
0328 cathy: 廠商通知提前出貨</t>
        </r>
      </text>
    </comment>
    <comment ref="O362" authorId="0" shapeId="0" xr:uid="{A0F1CB98-D7BA-B941-AB15-05810ECDC295}">
      <text>
        <r>
          <rPr>
            <sz val="10"/>
            <color rgb="FF000000"/>
            <rFont val="Aptos Narrow"/>
            <scheme val="minor"/>
          </rPr>
          <t>======
ID#AAABjx7qSnQ
    (2025-05-21 11:33:26)
0306 Cathy 下單</t>
        </r>
      </text>
    </comment>
    <comment ref="H363" authorId="0" shapeId="0" xr:uid="{9ED44EB4-E416-0F4E-89A5-605933ECFC10}">
      <text>
        <r>
          <rPr>
            <sz val="10"/>
            <color rgb="FF000000"/>
            <rFont val="Aptos Narrow"/>
            <scheme val="minor"/>
          </rPr>
          <t>======
ID#AAABjx7qWa0
    (2025-05-21 11:33:27)
alice:2019/05/17水單通知USD19768沖3/4A $1995.3/4A-1$4152.3/4A-1-F $232.3/8B-F $57.12/21A-2-F $144.3/4A-1 $189.10/22C-2 $10227.12/21A-1 $2772.如上總計共USD19768</t>
        </r>
      </text>
    </comment>
    <comment ref="K363" authorId="0" shapeId="0" xr:uid="{55865B42-2428-6B43-BD28-8C0F07E8EF82}">
      <text>
        <r>
          <rPr>
            <sz val="10"/>
            <color rgb="FF000000"/>
            <rFont val="Aptos Narrow"/>
            <scheme val="minor"/>
          </rPr>
          <t>======
ID#AAABjx7qRhw
    (2025-05-21 11:33:25)
0401 Bruce告知一組LED閃爍，後無反應，請廠商來看。</t>
        </r>
      </text>
    </comment>
    <comment ref="M363" authorId="0" shapeId="0" xr:uid="{F57A543E-FCE8-8946-B627-7072A98B1A7D}">
      <text>
        <r>
          <rPr>
            <sz val="10"/>
            <color rgb="FF000000"/>
            <rFont val="Aptos Narrow"/>
            <scheme val="minor"/>
          </rPr>
          <t>======
ID#AAABjx7qTr8
    (2025-05-21 11:33:26)
0311 Amy 提供*4pcs</t>
        </r>
      </text>
    </comment>
    <comment ref="H364" authorId="0" shapeId="0" xr:uid="{8D7D270B-CD70-754F-ACEA-D6CEEB0AAFAB}">
      <text>
        <r>
          <rPr>
            <sz val="10"/>
            <color rgb="FF000000"/>
            <rFont val="Aptos Narrow"/>
            <scheme val="minor"/>
          </rPr>
          <t>======
ID#AAABjx7qSYs
    (2025-05-21 11:33:26)
alice:2019/05/17水單通知USD19768沖3/4A $1995.3/4A-1$4152.3/4A-1-F $232.3/8B-F $57.12/21A-2-F $144.3/4A-1 $189.10/22C-2 $10227.12/21A-1 $2772.如上總計共USD19768</t>
        </r>
      </text>
    </comment>
    <comment ref="K364" authorId="0" shapeId="0" xr:uid="{9332DA97-F4AD-9740-8000-A5296999702A}">
      <text>
        <r>
          <rPr>
            <sz val="10"/>
            <color rgb="FF000000"/>
            <rFont val="Aptos Narrow"/>
            <scheme val="minor"/>
          </rPr>
          <t>======
ID#AAABjx7qTX8
    (2025-05-21 11:33:26)
0401 Bruce告知一組LED閃爍，後無反應，請廠商來看。</t>
        </r>
      </text>
    </comment>
    <comment ref="M364" authorId="0" shapeId="0" xr:uid="{63DFFC82-5221-A34D-829A-371BCA0A2184}">
      <text>
        <r>
          <rPr>
            <sz val="10"/>
            <color rgb="FF000000"/>
            <rFont val="Aptos Narrow"/>
            <scheme val="minor"/>
          </rPr>
          <t>======
ID#AAABjx7qQDE
    (2025-05-21 11:33:25)
0401 Bruce告知一組LED閃爍，後無反應，請廠商來看。
0328 cathy: 廠商通知提前出貨</t>
        </r>
      </text>
    </comment>
    <comment ref="O364" authorId="0" shapeId="0" xr:uid="{0189A702-019E-784D-86B4-26C6041F27DB}">
      <text>
        <r>
          <rPr>
            <sz val="10"/>
            <color rgb="FF000000"/>
            <rFont val="Aptos Narrow"/>
            <scheme val="minor"/>
          </rPr>
          <t>======
ID#AAABjx7qN4k
    (2025-05-21 11:33:23)
0306 Cathy 下單</t>
        </r>
      </text>
    </comment>
    <comment ref="H365" authorId="0" shapeId="0" xr:uid="{86FFA4C5-0AA8-6744-B302-B5208564C233}">
      <text>
        <r>
          <rPr>
            <sz val="10"/>
            <color rgb="FF000000"/>
            <rFont val="Aptos Narrow"/>
            <scheme val="minor"/>
          </rPr>
          <t>======
ID#AAABjx7qP14
    (2025-05-21 11:33:24)
alice:2019/05/17水單通知USD19768沖3/4A $1995.3/4A-1$4152.3/4A-1-F $232.3/8B-F $57.12/21A-2-F $144.3/4A-1 $189.10/22C-2 $10227.12/21A-1 $2772.如上總計共USD19768</t>
        </r>
      </text>
    </comment>
    <comment ref="K365" authorId="0" shapeId="0" xr:uid="{F4349094-7A61-2A45-BAB9-55996411A518}">
      <text>
        <r>
          <rPr>
            <sz val="10"/>
            <color rgb="FF000000"/>
            <rFont val="Aptos Narrow"/>
            <scheme val="minor"/>
          </rPr>
          <t>======
ID#AAABjx7qTks
    (2025-05-21 11:33:26)
0401 Bruce告知一組LED閃爍，後無反應，請廠商來看。</t>
        </r>
      </text>
    </comment>
    <comment ref="O365" authorId="0" shapeId="0" xr:uid="{D7279EF9-05CF-0347-A3AF-E5CC1420B1B5}">
      <text>
        <r>
          <rPr>
            <sz val="10"/>
            <color rgb="FF000000"/>
            <rFont val="Aptos Narrow"/>
            <scheme val="minor"/>
          </rPr>
          <t>======
ID#AAABjx7qNy4
    (2025-05-21 11:33:23)
0307 Cathy 下單</t>
        </r>
      </text>
    </comment>
    <comment ref="H366" authorId="0" shapeId="0" xr:uid="{392B0E19-D46E-914E-9A1E-AB80D1F118B0}">
      <text>
        <r>
          <rPr>
            <sz val="10"/>
            <color rgb="FF000000"/>
            <rFont val="Aptos Narrow"/>
            <scheme val="minor"/>
          </rPr>
          <t>======
ID#AAABjx7qRTw
    (2025-05-21 11:33:25)
alice:2019/05/17水單通知USD19768沖3/4A $1995.3/4A-1$4152.3/4A-1-F $232.3/8B-F $57.12/21A-2-F $144.3/4A-1 $189.10/22C-2 $10227.12/21A-1 $2772.如上總計共USD19768</t>
        </r>
      </text>
    </comment>
    <comment ref="K366" authorId="0" shapeId="0" xr:uid="{F4D36DE6-62C9-1D42-8634-5F6D6512E856}">
      <text>
        <r>
          <rPr>
            <sz val="10"/>
            <color rgb="FF000000"/>
            <rFont val="Aptos Narrow"/>
            <scheme val="minor"/>
          </rPr>
          <t>======
ID#AAABjx7qVPc
    (2025-05-21 11:33:27)
0401 Bruce告知一組LED閃爍，後無反應，請廠商來看。</t>
        </r>
      </text>
    </comment>
    <comment ref="M366" authorId="0" shapeId="0" xr:uid="{FA3CFC45-980E-2847-824C-F8F76FEF2637}">
      <text>
        <r>
          <rPr>
            <sz val="10"/>
            <color rgb="FF000000"/>
            <rFont val="Aptos Narrow"/>
            <scheme val="minor"/>
          </rPr>
          <t>======
ID#AAABjx7qP5w
    (2025-05-21 11:33:24)
0306 Chloe提供</t>
        </r>
      </text>
    </comment>
    <comment ref="N366" authorId="0" shapeId="0" xr:uid="{53145DE1-20B2-FA4D-B232-5CF3CF30B06F}">
      <text>
        <r>
          <rPr>
            <sz val="10"/>
            <color rgb="FF000000"/>
            <rFont val="Aptos Narrow"/>
            <scheme val="minor"/>
          </rPr>
          <t>======
ID#AAABjx7qNfk
    (2025-05-21 11:33:23)
3/6 chloe 領出給Cathy</t>
        </r>
      </text>
    </comment>
    <comment ref="D367" authorId="0" shapeId="0" xr:uid="{0FB7AE13-7F80-5D44-826F-C2097DE2C38A}">
      <text>
        <r>
          <rPr>
            <sz val="10"/>
            <color rgb="FF000000"/>
            <rFont val="Aptos Narrow"/>
            <scheme val="minor"/>
          </rPr>
          <t>======
ID#AAABjx7qTFI
    (2025-05-21 11:33:26)
0306 請Tammy 下單  
0305 客人有revise order</t>
        </r>
      </text>
    </comment>
    <comment ref="H367" authorId="0" shapeId="0" xr:uid="{6A2C96D2-CB01-ED4F-8532-E0FD41EEFC71}">
      <text>
        <r>
          <rPr>
            <sz val="10"/>
            <color rgb="FF000000"/>
            <rFont val="Aptos Narrow"/>
            <scheme val="minor"/>
          </rPr>
          <t>======
ID#AAABjx7qVRY
    (2025-05-21 11:33:27)
0312 chloe:匯款匯入US2055-11(手續費)</t>
        </r>
      </text>
    </comment>
    <comment ref="D368" authorId="0" shapeId="0" xr:uid="{AF4673A6-9BA2-A24D-9EE3-FB230CD90EE4}">
      <text>
        <r>
          <rPr>
            <sz val="10"/>
            <color rgb="FF000000"/>
            <rFont val="Aptos Narrow"/>
            <scheme val="minor"/>
          </rPr>
          <t>======
ID#AAABj82dpPY
    (2025-05-21 11:33:23)
0306 請Tammy 下單  
0305 客人有revise order</t>
        </r>
      </text>
    </comment>
    <comment ref="H368" authorId="0" shapeId="0" xr:uid="{0A5F4FF4-4F19-9D4E-B844-60C3F6729833}">
      <text>
        <r>
          <rPr>
            <sz val="10"/>
            <color rgb="FF000000"/>
            <rFont val="Aptos Narrow"/>
            <scheme val="minor"/>
          </rPr>
          <t>======
ID#AAABjx7qWDs
    (2025-05-21 11:33:27)
0312 chloe:匯款匯入US2055-11(手續費)</t>
        </r>
      </text>
    </comment>
    <comment ref="E369" authorId="0" shapeId="0" xr:uid="{3BDB5531-6258-9A46-A240-A5243B89E9E8}">
      <text>
        <r>
          <rPr>
            <sz val="10"/>
            <color rgb="FF000000"/>
            <rFont val="Aptos Narrow"/>
            <scheme val="minor"/>
          </rPr>
          <t>======
ID#AAABjx7qWGc
    (2025-05-21 11:33:27)
TAICB1033667		TAICB1033678		TAICB1033679		TAICB1033703	
TAICB1033715		TAICB1033727		TAICB1033739		TAICB1033751	
TAICB1033763		TAICB1033811</t>
        </r>
      </text>
    </comment>
    <comment ref="G369" authorId="0" shapeId="0" xr:uid="{017AEFC6-A638-DC4E-94C1-009DF7F6A529}">
      <text>
        <r>
          <rPr>
            <sz val="10"/>
            <color rgb="FF000000"/>
            <rFont val="Aptos Narrow"/>
            <scheme val="minor"/>
          </rPr>
          <t>======
ID#AAABjx7qV3A
    (2025-05-21 11:33:27)
w/5%VAT</t>
        </r>
      </text>
    </comment>
    <comment ref="H369" authorId="0" shapeId="0" xr:uid="{84521D62-5D6A-CC41-A962-65263D8C9202}">
      <text>
        <r>
          <rPr>
            <sz val="10"/>
            <color rgb="FF000000"/>
            <rFont val="Aptos Narrow"/>
            <scheme val="minor"/>
          </rPr>
          <t>======
ID#AAABjx7qNfU
    (2025-05-21 11:33:23)
ALICE:5/27-銀行匯入NT69487</t>
        </r>
      </text>
    </comment>
    <comment ref="E370" authorId="0" shapeId="0" xr:uid="{7C1B48C8-666E-4045-BDF5-6BABC159A0DD}">
      <text>
        <r>
          <rPr>
            <sz val="10"/>
            <color rgb="FF000000"/>
            <rFont val="Aptos Narrow"/>
            <scheme val="minor"/>
          </rPr>
          <t>======
ID#AAABjx7qUzw
    (2025-05-21 11:33:26)
下單請用FPM2150GR3B1601E-T
出貨文件上秀:
FPM-2150G-R3BE
(FPM2150GRB1601E-T)</t>
        </r>
      </text>
    </comment>
    <comment ref="H370" authorId="0" shapeId="0" xr:uid="{61387E89-81C1-CA4F-8C5A-AE7E22CD15C6}">
      <text>
        <r>
          <rPr>
            <sz val="10"/>
            <color rgb="FF000000"/>
            <rFont val="Aptos Narrow"/>
            <scheme val="minor"/>
          </rPr>
          <t>======
ID#AAABjx7qPlA
    (2025-05-21 11:33:24)
ALICE:5/3收到USD12965.5(沖PI-20190121B.PI20190217A.PI-20190131C.PI-20190313A.PI-20190306A)</t>
        </r>
      </text>
    </comment>
    <comment ref="O370" authorId="0" shapeId="0" xr:uid="{243A9CE3-E6D0-614D-B220-97A1F18C9EAC}">
      <text>
        <r>
          <rPr>
            <sz val="10"/>
            <color rgb="FF000000"/>
            <rFont val="Aptos Narrow"/>
            <scheme val="minor"/>
          </rPr>
          <t>======
ID#AAABjx7qMqw
    (2025-05-21 11:33:23)
0308 Cathy 下單</t>
        </r>
      </text>
    </comment>
    <comment ref="H371" authorId="0" shapeId="0" xr:uid="{0124FF3F-AB9E-164D-A582-60C3C732BF09}">
      <text>
        <r>
          <rPr>
            <sz val="10"/>
            <color rgb="FF000000"/>
            <rFont val="Aptos Narrow"/>
            <scheme val="minor"/>
          </rPr>
          <t>======
ID#AAABjx7qQuQ
    (2025-05-21 11:33:25)
ALICE:5/3收到USD12965.5(沖PI-20190121B.PI20190217A.PI-20190131C.PI-20190313A.PI-20190306A)</t>
        </r>
      </text>
    </comment>
    <comment ref="O371" authorId="0" shapeId="0" xr:uid="{6D19339C-CE9C-A948-B7F4-5C3865D3B683}">
      <text>
        <r>
          <rPr>
            <sz val="10"/>
            <color rgb="FF000000"/>
            <rFont val="Aptos Narrow"/>
            <scheme val="minor"/>
          </rPr>
          <t>======
ID#AAABjx7qO4g
    (2025-05-21 11:33:24)
0306 Cathy下單</t>
        </r>
      </text>
    </comment>
    <comment ref="H372" authorId="0" shapeId="0" xr:uid="{8F835B8A-3469-0D48-ADF5-CBC717F21F4E}">
      <text>
        <r>
          <rPr>
            <sz val="10"/>
            <color rgb="FF000000"/>
            <rFont val="Aptos Narrow"/>
            <scheme val="minor"/>
          </rPr>
          <t>======
ID#AAABjx7qOq0
    (2025-05-21 11:33:24)
ALICE:5/3收到USD12965.5(沖PI-20190121B.PI20190217A.PI-20190131C.PI-20190313A.PI-20190306A)</t>
        </r>
      </text>
    </comment>
    <comment ref="O372" authorId="0" shapeId="0" xr:uid="{4E8606DB-0C86-B946-A8A2-1EB0157B107F}">
      <text>
        <r>
          <rPr>
            <sz val="10"/>
            <color rgb="FF000000"/>
            <rFont val="Aptos Narrow"/>
            <scheme val="minor"/>
          </rPr>
          <t>======
ID#AAABjx7qTBU
    (2025-05-21 11:33:26)
0306 Cathy下單</t>
        </r>
      </text>
    </comment>
    <comment ref="H373" authorId="0" shapeId="0" xr:uid="{AB9744E6-9262-F344-AD30-B7C33D74013E}">
      <text>
        <r>
          <rPr>
            <sz val="10"/>
            <color rgb="FF000000"/>
            <rFont val="Aptos Narrow"/>
            <scheme val="minor"/>
          </rPr>
          <t>======
ID#AAABjx7qNyo
    (2025-05-21 11:33:23)
ALICE:5/3收到USD12965.5(沖PI-20190121B.PI20190217A.PI-20190131C.PI-20190313A.PI-20190306A)</t>
        </r>
      </text>
    </comment>
    <comment ref="O373" authorId="0" shapeId="0" xr:uid="{4041E4A3-9E50-ED40-9D2A-24AB45E42426}">
      <text>
        <r>
          <rPr>
            <sz val="10"/>
            <color rgb="FF000000"/>
            <rFont val="Aptos Narrow"/>
            <scheme val="minor"/>
          </rPr>
          <t>======
ID#AAABjx7qQ3I
    (2025-05-21 11:33:25)
0306 Cathy下單</t>
        </r>
      </text>
    </comment>
    <comment ref="H374" authorId="0" shapeId="0" xr:uid="{7159933B-79DC-A242-AF5F-7F5CE1A7692B}">
      <text>
        <r>
          <rPr>
            <sz val="10"/>
            <color rgb="FF000000"/>
            <rFont val="Aptos Narrow"/>
            <scheme val="minor"/>
          </rPr>
          <t>======
ID#AAABjx7qSa8
    (2025-05-21 11:33:26)
ALICE:5/3收到USD12965.5(沖PI-20190121B.PI20190217A.PI-20190131C.PI-20190313A.PI-20190306A)</t>
        </r>
      </text>
    </comment>
    <comment ref="O374" authorId="0" shapeId="0" xr:uid="{C5CD4FA8-320B-A04D-B269-A900C97CE219}">
      <text>
        <r>
          <rPr>
            <sz val="10"/>
            <color rgb="FF000000"/>
            <rFont val="Aptos Narrow"/>
            <scheme val="minor"/>
          </rPr>
          <t>======
ID#AAABj82dpPo
    (2025-05-21 11:33:23)
0306 Cathy下單</t>
        </r>
      </text>
    </comment>
    <comment ref="H375" authorId="0" shapeId="0" xr:uid="{BC3A4D45-1842-5641-9BF0-08DEB49943F9}">
      <text>
        <r>
          <rPr>
            <sz val="10"/>
            <color rgb="FF000000"/>
            <rFont val="Aptos Narrow"/>
            <scheme val="minor"/>
          </rPr>
          <t>======
ID#AAABjx7qQdg
    (2025-05-21 11:33:25)
ALICE:201904/10水單匯入USD11416*30.78
沖(229+2394+326+34+5274+3066+103)=11426</t>
        </r>
      </text>
    </comment>
    <comment ref="H376" authorId="0" shapeId="0" xr:uid="{2C8B912F-B93C-864D-90BD-BBBFA4AB31A9}">
      <text>
        <r>
          <rPr>
            <sz val="10"/>
            <color rgb="FF000000"/>
            <rFont val="Aptos Narrow"/>
            <scheme val="minor"/>
          </rPr>
          <t>======
ID#AAABjx7qQjI
    (2025-05-21 11:33:25)
ALICE:2019/05/02-水單匯入USD21462.5</t>
        </r>
      </text>
    </comment>
    <comment ref="AK376" authorId="0" shapeId="0" xr:uid="{CF6F3B53-233E-E647-994D-919E4559ED2D}">
      <text>
        <r>
          <rPr>
            <sz val="10"/>
            <color rgb="FF000000"/>
            <rFont val="Aptos Narrow"/>
            <scheme val="minor"/>
          </rPr>
          <t>======
ID#AAABjx7qTXo
    (2025-05-21 11:33:26)
ALICE:2019/05/02-水單匯入USD21462.5-(匯出手續費USD10+匯入手續費USD10.73)=USD21441.77*30.84=NT661264</t>
        </r>
      </text>
    </comment>
    <comment ref="AL376" authorId="0" shapeId="0" xr:uid="{0E1FCC83-D2D4-2240-980C-B7EA4C4B6900}">
      <text>
        <r>
          <rPr>
            <sz val="10"/>
            <color rgb="FF000000"/>
            <rFont val="Aptos Narrow"/>
            <scheme val="minor"/>
          </rPr>
          <t>======
ID#AAABjx7qVrc
    (2025-05-21 11:33:27)
ALICE:2019/05/02-水單匯入USD21462.5-(匯出手續費USD10+匯入手續費USD10.73)=USD21441.77*30.84=NT661264</t>
        </r>
      </text>
    </comment>
    <comment ref="H377" authorId="0" shapeId="0" xr:uid="{A19F3D01-5E94-0F49-A321-5212C154EE48}">
      <text>
        <r>
          <rPr>
            <sz val="10"/>
            <color rgb="FF000000"/>
            <rFont val="Aptos Narrow"/>
            <scheme val="minor"/>
          </rPr>
          <t>======
ID#AAABjx7qPUs
    (2025-05-21 11:33:24)
0312 chloe:匯款匯入 US172-32(手續費)</t>
        </r>
      </text>
    </comment>
    <comment ref="K377" authorId="0" shapeId="0" xr:uid="{EDED42DA-987A-7E46-9E6C-2D35B028D247}">
      <text>
        <r>
          <rPr>
            <sz val="10"/>
            <color rgb="FF000000"/>
            <rFont val="Aptos Narrow"/>
            <scheme val="minor"/>
          </rPr>
          <t>======
ID#AAABjx7qSEo
    (2025-05-21 11:33:26)
0325 Cathy:客人無回應是否要與新訂單一併出貨，尚未收到運費</t>
        </r>
      </text>
    </comment>
    <comment ref="H378" authorId="0" shapeId="0" xr:uid="{3F0190E1-449D-814D-BB86-35ACD4ECADCD}">
      <text>
        <r>
          <rPr>
            <sz val="10"/>
            <color rgb="FF000000"/>
            <rFont val="Aptos Narrow"/>
            <scheme val="minor"/>
          </rPr>
          <t>======
ID#AAABjx7qMv4
    (2025-05-21 11:33:23)
0312 chloe:匯款匯入 US172-32(手續費)</t>
        </r>
      </text>
    </comment>
    <comment ref="K378" authorId="0" shapeId="0" xr:uid="{FC38F521-A15D-B34D-88B1-0E15C634B4C9}">
      <text>
        <r>
          <rPr>
            <sz val="10"/>
            <color rgb="FF000000"/>
            <rFont val="Aptos Narrow"/>
            <scheme val="minor"/>
          </rPr>
          <t>======
ID#AAABjx7qSok
    (2025-05-21 11:33:26)
0325 Cathy:客人無回應是否要與新訂單一併出貨，尚未收到運費</t>
        </r>
      </text>
    </comment>
    <comment ref="U378" authorId="0" shapeId="0" xr:uid="{34A7E332-35AF-3545-8F4D-DD106BE9212D}">
      <text>
        <r>
          <rPr>
            <sz val="10"/>
            <color rgb="FF000000"/>
            <rFont val="Aptos Narrow"/>
            <scheme val="minor"/>
          </rPr>
          <t>======
ID#AAABjx7qS7s
    (2025-05-21 11:33:26)
Chloe:銀行手續費，成本會出現在當時水單上</t>
        </r>
      </text>
    </comment>
    <comment ref="H379" authorId="0" shapeId="0" xr:uid="{C9403FFE-D2BE-914E-B71E-03E24F000004}">
      <text>
        <r>
          <rPr>
            <sz val="10"/>
            <color rgb="FF000000"/>
            <rFont val="Aptos Narrow"/>
            <scheme val="minor"/>
          </rPr>
          <t>======
ID#AAABjx7qSjA
    (2025-05-21 11:33:26)
0328 chloe:匯款匯入US28</t>
        </r>
      </text>
    </comment>
    <comment ref="K379" authorId="0" shapeId="0" xr:uid="{6DC258B4-BC8D-E54C-A192-E00748CBD8E0}">
      <text>
        <r>
          <rPr>
            <sz val="10"/>
            <color rgb="FF000000"/>
            <rFont val="Aptos Narrow"/>
            <scheme val="minor"/>
          </rPr>
          <t>======
ID#AAABj82dpNg
    (2025-05-21 11:33:23)
0325 Cathy:客人無回應是否要與新訂單一併出貨，尚未收到運費</t>
        </r>
      </text>
    </comment>
    <comment ref="H380" authorId="0" shapeId="0" xr:uid="{68612447-2C88-0848-AD2C-74ECDF1C7A06}">
      <text>
        <r>
          <rPr>
            <sz val="10"/>
            <color rgb="FF000000"/>
            <rFont val="Aptos Narrow"/>
            <scheme val="minor"/>
          </rPr>
          <t>======
ID#AAABjx7qPTE
    (2025-05-21 11:33:24)
ALICE:5/3收到USD12965.5(沖PI-20190121B.PI20190217A.PI-20190131C.PI-20190313A.PI-20190306A)</t>
        </r>
      </text>
    </comment>
    <comment ref="O380" authorId="0" shapeId="0" xr:uid="{F99FEACA-0B3B-1F4D-B540-CFA7B9F7BE10}">
      <text>
        <r>
          <rPr>
            <sz val="10"/>
            <color rgb="FF000000"/>
            <rFont val="Aptos Narrow"/>
            <scheme val="minor"/>
          </rPr>
          <t>======
ID#AAABjx7qOBM
    (2025-05-21 11:33:24)
0315 Cathy 下單</t>
        </r>
      </text>
    </comment>
    <comment ref="H381" authorId="0" shapeId="0" xr:uid="{D749718F-78D2-F342-807C-84EEB378042F}">
      <text>
        <r>
          <rPr>
            <sz val="10"/>
            <color rgb="FF000000"/>
            <rFont val="Aptos Narrow"/>
            <scheme val="minor"/>
          </rPr>
          <t>======
ID#AAABjx7qRKY
    (2025-05-21 11:33:25)
ALICE:5/3收到USD12965.5(沖PI-20190121B.PI20190217A.PI-20190131C.PI-20190313A.PI-20190306A)</t>
        </r>
      </text>
    </comment>
    <comment ref="O381" authorId="0" shapeId="0" xr:uid="{75FB66D2-9E6F-CE42-8230-E5C89AB4BD29}">
      <text>
        <r>
          <rPr>
            <sz val="10"/>
            <color rgb="FF000000"/>
            <rFont val="Aptos Narrow"/>
            <scheme val="minor"/>
          </rPr>
          <t>======
ID#AAABjx7qSDk
    (2025-05-21 11:33:25)
0315 Cathy 下單</t>
        </r>
      </text>
    </comment>
    <comment ref="H382" authorId="0" shapeId="0" xr:uid="{3C4C2FC1-C403-7C45-BF22-271A160E158F}">
      <text>
        <r>
          <rPr>
            <sz val="10"/>
            <color rgb="FF000000"/>
            <rFont val="Aptos Narrow"/>
            <scheme val="minor"/>
          </rPr>
          <t>======
ID#AAABjx7qSqw
    (2025-05-21 11:33:26)
ALICE:5/3收到USD12965.5(沖PI-20190121B.PI20190217A.PI-20190131C.PI-20190313A.PI-20190306A)</t>
        </r>
      </text>
    </comment>
    <comment ref="O382" authorId="0" shapeId="0" xr:uid="{A151CE8A-1D04-D743-A34A-2FB81A00DE69}">
      <text>
        <r>
          <rPr>
            <sz val="10"/>
            <color rgb="FF000000"/>
            <rFont val="Aptos Narrow"/>
            <scheme val="minor"/>
          </rPr>
          <t>======
ID#AAABjx7qNPQ
    (2025-05-21 11:33:23)
0315 Cathy 下單</t>
        </r>
      </text>
    </comment>
    <comment ref="H383" authorId="0" shapeId="0" xr:uid="{17801240-6A65-9D41-89F2-22D928588376}">
      <text>
        <r>
          <rPr>
            <sz val="10"/>
            <color rgb="FF000000"/>
            <rFont val="Aptos Narrow"/>
            <scheme val="minor"/>
          </rPr>
          <t>======
ID#AAABjx7qSBY
    (2025-05-21 11:33:25)
ALICE:2019/05/02-水單匯入USD21462.5</t>
        </r>
      </text>
    </comment>
    <comment ref="AK383" authorId="0" shapeId="0" xr:uid="{E63FF2C7-F546-7B4B-A551-9C2213572B33}">
      <text>
        <r>
          <rPr>
            <sz val="10"/>
            <color rgb="FF000000"/>
            <rFont val="Aptos Narrow"/>
            <scheme val="minor"/>
          </rPr>
          <t>======
ID#AAABjx7qVJ8
    (2025-05-21 11:33:27)
ALICE:2019/05/02-水單匯入USD21462.5-(匯出手續費USD10+匯入手續費USD10.73)=USD21441.77*30.84=NT661264</t>
        </r>
      </text>
    </comment>
    <comment ref="AL383" authorId="0" shapeId="0" xr:uid="{C13FB485-8FD0-1F49-BB71-8D09EBE856F4}">
      <text>
        <r>
          <rPr>
            <sz val="10"/>
            <color rgb="FF000000"/>
            <rFont val="Aptos Narrow"/>
            <scheme val="minor"/>
          </rPr>
          <t>======
ID#AAABjx7qNiI
    (2025-05-21 11:33:23)
ALICE:2019/05/02-水單匯入USD21462.5-(匯出手續費USD10+匯入手續費USD10.73)=USD21441.77*30.84=NT661264</t>
        </r>
      </text>
    </comment>
    <comment ref="H384" authorId="0" shapeId="0" xr:uid="{F900D6A6-A1B5-4045-824F-45F2CBF7B7FD}">
      <text>
        <r>
          <rPr>
            <sz val="10"/>
            <color rgb="FF000000"/>
            <rFont val="Aptos Narrow"/>
            <scheme val="minor"/>
          </rPr>
          <t>======
ID#AAABjx7qP6Q
    (2025-05-21 11:33:24)
alice:2019/04/25水單通知匯入USD1931*30.86=NT59591元整  無手續費 沖(125+1400+14+42+350)</t>
        </r>
      </text>
    </comment>
    <comment ref="M384" authorId="0" shapeId="0" xr:uid="{D2A5F66F-893D-184D-8D13-3594F29A13B3}">
      <text>
        <r>
          <rPr>
            <sz val="10"/>
            <color rgb="FF000000"/>
            <rFont val="Aptos Narrow"/>
            <scheme val="minor"/>
          </rPr>
          <t>======
ID#AAABjx7qOTU
    (2025-05-21 11:33:24)
0318 Cathy 詢問交期</t>
        </r>
      </text>
    </comment>
    <comment ref="O384" authorId="0" shapeId="0" xr:uid="{DEC698B1-3267-E24F-AEE0-97F91926A8E5}">
      <text>
        <r>
          <rPr>
            <sz val="10"/>
            <color rgb="FF000000"/>
            <rFont val="Aptos Narrow"/>
            <scheme val="minor"/>
          </rPr>
          <t>======
ID#AAABjx7qPw4
    (2025-05-21 11:33:24)
0319 Cathy 下單</t>
        </r>
      </text>
    </comment>
    <comment ref="H385" authorId="0" shapeId="0" xr:uid="{9A603DB8-E882-284C-B6AD-5F7B2447C0EB}">
      <text>
        <r>
          <rPr>
            <sz val="10"/>
            <color rgb="FF000000"/>
            <rFont val="Aptos Narrow"/>
            <scheme val="minor"/>
          </rPr>
          <t>======
ID#AAABjx7qRjk
    (2025-05-21 11:33:25)
alice:6/20銀行水單匯入USD4462 沖PI20190107A.PI-20190318B.PI-20190508B.PI-20181022C-2-F</t>
        </r>
      </text>
    </comment>
    <comment ref="M385" authorId="0" shapeId="0" xr:uid="{C9C7EB84-7A85-9042-9433-B4522A24EDFF}">
      <text>
        <r>
          <rPr>
            <sz val="10"/>
            <color rgb="FF000000"/>
            <rFont val="Aptos Narrow"/>
            <scheme val="minor"/>
          </rPr>
          <t>======
ID#AAABjx7qN_0
    (2025-05-21 11:33:24)
0410 Cathy: 與業助bruce 確認交期ok</t>
        </r>
      </text>
    </comment>
    <comment ref="O385" authorId="0" shapeId="0" xr:uid="{EB80E572-460F-0444-88D0-E56AA3847728}">
      <text>
        <r>
          <rPr>
            <sz val="10"/>
            <color rgb="FF000000"/>
            <rFont val="Aptos Narrow"/>
            <scheme val="minor"/>
          </rPr>
          <t>======
ID#AAABjx7qSAI
    (2025-05-21 11:33:25)
0325 Cathy 下單</t>
        </r>
      </text>
    </comment>
    <comment ref="Q385" authorId="0" shapeId="0" xr:uid="{AEE3F071-167B-3C45-920A-C3590853DB7C}">
      <text>
        <r>
          <rPr>
            <sz val="10"/>
            <color rgb="FF000000"/>
            <rFont val="Aptos Narrow"/>
            <scheme val="minor"/>
          </rPr>
          <t>======
ID#AAABjx7qSzc
    (2025-05-21 11:33:26)
R:30.82</t>
        </r>
      </text>
    </comment>
    <comment ref="H386" authorId="0" shapeId="0" xr:uid="{6CBA1559-0EC3-444F-9D46-8AFDE76C37E0}">
      <text>
        <r>
          <rPr>
            <sz val="10"/>
            <color rgb="FF000000"/>
            <rFont val="Aptos Narrow"/>
            <scheme val="minor"/>
          </rPr>
          <t>======
ID#AAABjx7qOsU
    (2025-05-21 11:33:24)
alice:6/20銀行水單匯入USD4462 沖PI20190107A.PI-20190318B.PI-20190508B.PI-20181022C-2-F</t>
        </r>
      </text>
    </comment>
    <comment ref="M386" authorId="0" shapeId="0" xr:uid="{4D25B099-559A-A44C-A270-28306237AEC7}">
      <text>
        <r>
          <rPr>
            <sz val="10"/>
            <color rgb="FF000000"/>
            <rFont val="Aptos Narrow"/>
            <scheme val="minor"/>
          </rPr>
          <t>======
ID#AAABjx7qSMo
    (2025-05-21 11:33:26)
0410 Cathy: 與業助bruce 確認交期ok</t>
        </r>
      </text>
    </comment>
    <comment ref="O386" authorId="0" shapeId="0" xr:uid="{F0BC569F-18D7-0D46-B490-86CE0EC93711}">
      <text>
        <r>
          <rPr>
            <sz val="10"/>
            <color rgb="FF000000"/>
            <rFont val="Aptos Narrow"/>
            <scheme val="minor"/>
          </rPr>
          <t>======
ID#AAABjx7qPXQ
    (2025-05-21 11:33:24)
0325 Cathy 下單</t>
        </r>
      </text>
    </comment>
    <comment ref="Q386" authorId="0" shapeId="0" xr:uid="{EC818A14-4A7C-B948-ADD9-308CEB903BAA}">
      <text>
        <r>
          <rPr>
            <sz val="10"/>
            <color rgb="FF000000"/>
            <rFont val="Aptos Narrow"/>
            <scheme val="minor"/>
          </rPr>
          <t>======
ID#AAABjx7qV8Y
    (2025-05-21 11:33:27)
R:30.82</t>
        </r>
      </text>
    </comment>
    <comment ref="H387" authorId="0" shapeId="0" xr:uid="{23DE6F9A-C6E5-BB42-8804-8F3512F700E0}">
      <text>
        <r>
          <rPr>
            <sz val="10"/>
            <color rgb="FF000000"/>
            <rFont val="Aptos Narrow"/>
            <scheme val="minor"/>
          </rPr>
          <t>======
ID#AAABjx7qVzQ
    (2025-05-21 11:33:27)
alice:6/20銀行水單匯入USD4462 沖PI20190107A.PI-20190318B.PI-20190508B.PI-20181022C-2-F</t>
        </r>
      </text>
    </comment>
    <comment ref="N387" authorId="0" shapeId="0" xr:uid="{86159365-F230-5346-A2BA-D6FE02F21ACB}">
      <text>
        <r>
          <rPr>
            <sz val="10"/>
            <color rgb="FF000000"/>
            <rFont val="Aptos Narrow"/>
            <scheme val="minor"/>
          </rPr>
          <t>======
ID#AAABjx7qPcQ
    (2025-05-21 11:33:24)
0325 Cathy: Bruce 告知有庫存9pcs</t>
        </r>
      </text>
    </comment>
    <comment ref="H388" authorId="0" shapeId="0" xr:uid="{F1DE199E-29FA-534E-A2F4-28330EBA300B}">
      <text>
        <r>
          <rPr>
            <sz val="10"/>
            <color rgb="FF000000"/>
            <rFont val="Aptos Narrow"/>
            <scheme val="minor"/>
          </rPr>
          <t>======
ID#AAABjx7qUr8
    (2025-05-21 11:33:26)
3/22 chloe:匯入US394-15(手續費)</t>
        </r>
      </text>
    </comment>
    <comment ref="H389" authorId="0" shapeId="0" xr:uid="{3F5AF33B-DE8C-8F4A-87B1-2B11F4070054}">
      <text>
        <r>
          <rPr>
            <sz val="10"/>
            <color rgb="FF000000"/>
            <rFont val="Aptos Narrow"/>
            <scheme val="minor"/>
          </rPr>
          <t>======
ID#AAABjx7qONA
    (2025-05-21 11:33:24)
3/22 chloe:匯入US394-15(手續費)</t>
        </r>
      </text>
    </comment>
    <comment ref="H390" authorId="0" shapeId="0" xr:uid="{FF8D6196-D61E-0B4E-9688-8661271A33F2}">
      <text>
        <r>
          <rPr>
            <sz val="10"/>
            <color rgb="FF000000"/>
            <rFont val="Aptos Narrow"/>
            <scheme val="minor"/>
          </rPr>
          <t>======
ID#AAABjx7qTPw
    (2025-05-21 11:33:26)
alice:5/10-水單通知usd3751-匯出手續費20-匯入手續費6.46=USD3724.54*30.94=NT115,237元整
沖20190320B USD1270
沖20190322A USD2481
合計總沖USD3751元整</t>
        </r>
      </text>
    </comment>
    <comment ref="O390" authorId="0" shapeId="0" xr:uid="{278827DB-5368-A54C-895A-B0ACE3CFDB13}">
      <text>
        <r>
          <rPr>
            <sz val="10"/>
            <color rgb="FF000000"/>
            <rFont val="Aptos Narrow"/>
            <scheme val="minor"/>
          </rPr>
          <t>======
ID#AAABjx7qWNg
    (2025-05-21 11:33:27)
0321 Cathy:下單</t>
        </r>
      </text>
    </comment>
    <comment ref="H391" authorId="0" shapeId="0" xr:uid="{D82D0EB3-513F-A545-85F3-6255B41A9F24}">
      <text>
        <r>
          <rPr>
            <sz val="10"/>
            <color rgb="FF000000"/>
            <rFont val="Aptos Narrow"/>
            <scheme val="minor"/>
          </rPr>
          <t>======
ID#AAABjx7qTNg
    (2025-05-21 11:33:26)
ALICE:5/16-銀行水單通知USD5169(沖PO0131D-1 4285.PI-0320-B 175.PI-4/8-A 709)共三筆</t>
        </r>
      </text>
    </comment>
    <comment ref="O391" authorId="0" shapeId="0" xr:uid="{5682EE19-BE31-8C45-B975-D6C785C0CFC3}">
      <text>
        <r>
          <rPr>
            <sz val="10"/>
            <color rgb="FF000000"/>
            <rFont val="Aptos Narrow"/>
            <scheme val="minor"/>
          </rPr>
          <t>======
ID#AAABjx7qTBA
    (2025-05-21 11:33:26)
0322 Cathy:Tammy 告知
下單</t>
        </r>
      </text>
    </comment>
    <comment ref="G392" authorId="0" shapeId="0" xr:uid="{E999C30D-E0A9-B141-8308-3119E7E4E3F8}">
      <text>
        <r>
          <rPr>
            <sz val="10"/>
            <color rgb="FF000000"/>
            <rFont val="Aptos Narrow"/>
            <scheme val="minor"/>
          </rPr>
          <t>======
ID#AAABjx7qSc4
    (2025-05-21 11:33:26)
190321 w/5% VAT</t>
        </r>
      </text>
    </comment>
    <comment ref="H392" authorId="0" shapeId="0" xr:uid="{EBE0D67E-8C3B-5C46-AE32-71B9DF3A074E}">
      <text>
        <r>
          <rPr>
            <sz val="10"/>
            <color rgb="FF000000"/>
            <rFont val="Aptos Narrow"/>
            <scheme val="minor"/>
          </rPr>
          <t>======
ID#AAABjx7qS3s
    (2025-05-21 11:33:26)
ALICE:6/10--黃山ATM轉入18788</t>
        </r>
      </text>
    </comment>
    <comment ref="H393" authorId="0" shapeId="0" xr:uid="{E2B13005-9265-7D40-926B-E350F492662E}">
      <text>
        <r>
          <rPr>
            <sz val="10"/>
            <color rgb="FF000000"/>
            <rFont val="Aptos Narrow"/>
            <scheme val="minor"/>
          </rPr>
          <t>======
ID#AAABjx7qWBI
    (2025-05-21 11:33:27)
alice:5/10-水單通知usd3751-匯出手續費20-匯入手續費6.46=USD3724.54*30.94=NT115,237元整
沖20190320B USD1270
沖20190322A USD2481
合計總沖USD3751元整</t>
        </r>
      </text>
    </comment>
    <comment ref="O393" authorId="0" shapeId="0" xr:uid="{203F4A5B-E62B-8441-A00D-67B05813107A}">
      <text>
        <r>
          <rPr>
            <sz val="10"/>
            <color rgb="FF000000"/>
            <rFont val="Aptos Narrow"/>
            <scheme val="minor"/>
          </rPr>
          <t>======
ID#AAABjx7qNv4
    (2025-05-21 11:33:23)
0326 Cathy:下單</t>
        </r>
      </text>
    </comment>
    <comment ref="H394" authorId="0" shapeId="0" xr:uid="{1E496404-7571-DA43-B24D-3E1EBF7BB48D}">
      <text>
        <r>
          <rPr>
            <sz val="10"/>
            <color rgb="FF000000"/>
            <rFont val="Aptos Narrow"/>
            <scheme val="minor"/>
          </rPr>
          <t>======
ID#AAABjx7qSrg
    (2025-05-21 11:33:26)
alice:5/10-水單通知usd3751-匯出手續費20-匯入手續費6.46=USD3724.54*30.94=NT115,237元整
沖20190320B USD1270
沖20190322A USD2481
合計總沖USD3751元整</t>
        </r>
      </text>
    </comment>
    <comment ref="O394" authorId="0" shapeId="0" xr:uid="{E08D62DA-1A9D-0546-9189-F6DD625D6FE5}">
      <text>
        <r>
          <rPr>
            <sz val="10"/>
            <color rgb="FF000000"/>
            <rFont val="Aptos Narrow"/>
            <scheme val="minor"/>
          </rPr>
          <t>======
ID#AAABjx7qNl4
    (2025-05-21 11:33:23)
0326 Cathy:下單</t>
        </r>
      </text>
    </comment>
    <comment ref="H395" authorId="0" shapeId="0" xr:uid="{1C47BE8C-98CB-E640-B341-58882508EE4E}">
      <text>
        <r>
          <rPr>
            <sz val="10"/>
            <color rgb="FF000000"/>
            <rFont val="Aptos Narrow"/>
            <scheme val="minor"/>
          </rPr>
          <t>======
ID#AAABjx7qRiQ
    (2025-05-21 11:33:25)
alice:5/10-水單通知usd3751-匯出手續費20-匯入手續費6.46=USD3724.54*30.94=NT115,237元整
沖20190320B USD1270
沖20190322A USD2481
合計總沖USD3751元整</t>
        </r>
      </text>
    </comment>
    <comment ref="O395" authorId="0" shapeId="0" xr:uid="{90DE576E-7B52-ED4A-9A5E-E48CD7AED5A6}">
      <text>
        <r>
          <rPr>
            <sz val="10"/>
            <color rgb="FF000000"/>
            <rFont val="Aptos Narrow"/>
            <scheme val="minor"/>
          </rPr>
          <t>======
ID#AAABjx7qR4o
    (2025-05-21 11:33:25)
0326 Cathy:下單</t>
        </r>
      </text>
    </comment>
    <comment ref="H396" authorId="0" shapeId="0" xr:uid="{2E9EFAAE-3D95-B140-AFCC-EB048105190A}">
      <text>
        <r>
          <rPr>
            <sz val="10"/>
            <color rgb="FF000000"/>
            <rFont val="Aptos Narrow"/>
            <scheme val="minor"/>
          </rPr>
          <t>======
ID#AAABj82dpEs
    (2025-05-21 11:33:23)
alice:5/10-水單通知usd3751-匯出手續費20-匯入手續費6.46=USD3724.54*30.94=NT115,237元整
沖20190320B USD1270
沖20190322A USD2481
合計總沖USD3751元整</t>
        </r>
      </text>
    </comment>
    <comment ref="O396" authorId="0" shapeId="0" xr:uid="{69B211D9-5165-044F-9044-5696FDF88433}">
      <text>
        <r>
          <rPr>
            <sz val="10"/>
            <color rgb="FF000000"/>
            <rFont val="Aptos Narrow"/>
            <scheme val="minor"/>
          </rPr>
          <t>======
ID#AAABjx7qOwk
    (2025-05-21 11:33:24)
0326 Cathy:下單</t>
        </r>
      </text>
    </comment>
    <comment ref="H397" authorId="0" shapeId="0" xr:uid="{DE5C6077-B785-D241-BDC3-5B517788B81D}">
      <text>
        <r>
          <rPr>
            <sz val="10"/>
            <color rgb="FF000000"/>
            <rFont val="Aptos Narrow"/>
            <scheme val="minor"/>
          </rPr>
          <t>======
ID#AAABjx7qPyo
    (2025-05-21 11:33:24)
alice:5/10-水單通知usd3751-匯出手續費20-匯入手續費6.46=USD3724.54*30.94=NT115,237元整
沖20190320B USD1270
沖20190322A USD2481
合計總沖USD3751元整</t>
        </r>
      </text>
    </comment>
    <comment ref="O397" authorId="0" shapeId="0" xr:uid="{192F9C6D-9D86-F149-ACFD-8A5DBA29546D}">
      <text>
        <r>
          <rPr>
            <sz val="10"/>
            <color rgb="FF000000"/>
            <rFont val="Aptos Narrow"/>
            <scheme val="minor"/>
          </rPr>
          <t>======
ID#AAABjx7qVMs
    (2025-05-21 11:33:27)
0326 Cathy:下單</t>
        </r>
      </text>
    </comment>
    <comment ref="H398" authorId="0" shapeId="0" xr:uid="{6910614B-46DC-7548-96FF-74A88624354A}">
      <text>
        <r>
          <rPr>
            <sz val="10"/>
            <color rgb="FF000000"/>
            <rFont val="Aptos Narrow"/>
            <scheme val="minor"/>
          </rPr>
          <t>======
ID#AAABjx7qVdw
    (2025-05-21 11:33:27)
alice:5/10-水單通知usd3751-匯出手續費20-匯入手續費6.46=USD3724.54*30.94=NT115,237元整
沖20190320B USD1270
沖20190322A USD2481
合計總沖USD3751元整</t>
        </r>
      </text>
    </comment>
    <comment ref="O398" authorId="0" shapeId="0" xr:uid="{17CE8388-DFD1-3A43-BCED-791E12261BDB}">
      <text>
        <r>
          <rPr>
            <sz val="10"/>
            <color rgb="FF000000"/>
            <rFont val="Aptos Narrow"/>
            <scheme val="minor"/>
          </rPr>
          <t>======
ID#AAABjx7qNX4
    (2025-05-21 11:33:23)
0326 Cathy:下單</t>
        </r>
      </text>
    </comment>
    <comment ref="H399" authorId="0" shapeId="0" xr:uid="{A7CB6A45-2252-274D-B1B1-7DE2D6448E45}">
      <text>
        <r>
          <rPr>
            <sz val="10"/>
            <color rgb="FF000000"/>
            <rFont val="Aptos Narrow"/>
            <scheme val="minor"/>
          </rPr>
          <t>======
ID#AAABjx7qM-g
    (2025-05-21 11:33:23)
alice:5/10-水單通知usd3751-匯出手續費20-匯入手續費6.46=USD3724.54*30.94=NT115,237元整
沖20190320B USD1270
沖20190322A USD2481
合計總沖USD3751元整</t>
        </r>
      </text>
    </comment>
    <comment ref="O399" authorId="0" shapeId="0" xr:uid="{152F61B0-6710-1143-884A-CCEFC624A8F9}">
      <text>
        <r>
          <rPr>
            <sz val="10"/>
            <color rgb="FF000000"/>
            <rFont val="Aptos Narrow"/>
            <scheme val="minor"/>
          </rPr>
          <t>======
ID#AAABjx7qSD0
    (2025-05-21 11:33:25)
0326 Cathy:下單</t>
        </r>
      </text>
    </comment>
    <comment ref="G400" authorId="0" shapeId="0" xr:uid="{AF3DDB05-0769-1B49-AE0E-EE9B85CB3093}">
      <text>
        <r>
          <rPr>
            <sz val="10"/>
            <color rgb="FF000000"/>
            <rFont val="Aptos Narrow"/>
            <scheme val="minor"/>
          </rPr>
          <t>======
ID#AAABj82dpLA
    (2025-05-21 11:33:23)
w/5%VAT</t>
        </r>
      </text>
    </comment>
    <comment ref="H400" authorId="0" shapeId="0" xr:uid="{3C8BDCDB-EBF9-914A-81D7-7257278B5312}">
      <text>
        <r>
          <rPr>
            <sz val="10"/>
            <color rgb="FF000000"/>
            <rFont val="Aptos Narrow"/>
            <scheme val="minor"/>
          </rPr>
          <t>======
ID#AAABjx7qRg0
    (2025-05-21 11:33:25)
ALICE:5/27-銀行匯入NT69487</t>
        </r>
      </text>
    </comment>
    <comment ref="H401" authorId="0" shapeId="0" xr:uid="{29ED41F9-AF46-714E-BFC1-2BFB3D6FFDAC}">
      <text>
        <r>
          <rPr>
            <sz val="10"/>
            <color rgb="FF000000"/>
            <rFont val="Aptos Narrow"/>
            <scheme val="minor"/>
          </rPr>
          <t>======
ID#AAABjx7qNBw
    (2025-05-21 11:33:23)
0403 chloe:匯款匯入247,928</t>
        </r>
      </text>
    </comment>
    <comment ref="M401" authorId="0" shapeId="0" xr:uid="{2934A843-64C4-5542-873C-E66A5A3D8462}">
      <text>
        <r>
          <rPr>
            <sz val="10"/>
            <color rgb="FF000000"/>
            <rFont val="Aptos Narrow"/>
            <scheme val="minor"/>
          </rPr>
          <t>======
ID#AAABjx7qNYw
    (2025-05-21 11:33:23)
0313 Cathy: moxa提供發票</t>
        </r>
      </text>
    </comment>
    <comment ref="D402" authorId="0" shapeId="0" xr:uid="{64202581-7458-8941-820F-9E0BA0AC4742}">
      <text>
        <r>
          <rPr>
            <sz val="10"/>
            <color rgb="FF000000"/>
            <rFont val="Aptos Narrow"/>
            <scheme val="minor"/>
          </rPr>
          <t>======
ID#AAABjx7qSsw
    (2025-05-21 11:33:26)
3026 葛:客供剩料75</t>
        </r>
      </text>
    </comment>
    <comment ref="H402" authorId="0" shapeId="0" xr:uid="{FAB30EF2-259D-3D42-AEE4-A8458B3230B7}">
      <text>
        <r>
          <rPr>
            <sz val="10"/>
            <color rgb="FF000000"/>
            <rFont val="Aptos Narrow"/>
            <scheme val="minor"/>
          </rPr>
          <t>======
ID#AAABjx7qNQg
    (2025-05-21 11:33:23)
alice:2019/05/17水單通知USD19768沖3/4A $1995.3/4A-1$4152.3/4A-1-F $232.3/8B-F $57.12/21A-2-F $144.3/4A-1 $189.10/22C-2 $10227.12/21A-1 $2772.如上總計共USD19768</t>
        </r>
      </text>
    </comment>
    <comment ref="D403" authorId="0" shapeId="0" xr:uid="{79EDF349-C68B-0E41-84C3-153278248F89}">
      <text>
        <r>
          <rPr>
            <sz val="10"/>
            <color rgb="FF000000"/>
            <rFont val="Aptos Narrow"/>
            <scheme val="minor"/>
          </rPr>
          <t>======
ID#AAABjx7qPKA
    (2025-05-21 11:33:24)
3026 葛:客供剩料75
0425Amy, this is DHL Freight, no. should be PI-20190304A-F ( PI NO. has been changed by someone....Delete F by mistake)</t>
        </r>
      </text>
    </comment>
    <comment ref="H403" authorId="0" shapeId="0" xr:uid="{8B9B82DA-561E-C642-BEE4-30D0F530B243}">
      <text>
        <r>
          <rPr>
            <sz val="10"/>
            <color rgb="FF000000"/>
            <rFont val="Aptos Narrow"/>
            <scheme val="minor"/>
          </rPr>
          <t>======
ID#AAABjx7qM_8
    (2025-05-21 11:33:23)
alice:2019/05/17水單通知USD19768沖3/4A $1995.3/4A-1$4152.3/4A-1-F $232.3/8B-F $57.12/21A-2-F $144.3/4A-1 $189.10/22C-2 $10227.12/21A-1 $2772.如上總計共USD19768</t>
        </r>
      </text>
    </comment>
    <comment ref="H404" authorId="0" shapeId="0" xr:uid="{067E441E-C12B-A648-99A8-8C1EAAA2D006}">
      <text>
        <r>
          <rPr>
            <sz val="10"/>
            <color rgb="FF000000"/>
            <rFont val="Aptos Narrow"/>
            <scheme val="minor"/>
          </rPr>
          <t>======
ID#AAABjx7qUvA
    (2025-05-21 11:33:26)
Chloe:2019/4/19 水單匯入USB702.10-手續費USD 0=USD702.10</t>
        </r>
      </text>
    </comment>
    <comment ref="H405" authorId="0" shapeId="0" xr:uid="{F3BBB818-C0B5-984B-8751-3BE5E02F079D}">
      <text>
        <r>
          <rPr>
            <sz val="10"/>
            <color rgb="FF000000"/>
            <rFont val="Aptos Narrow"/>
            <scheme val="minor"/>
          </rPr>
          <t>======
ID#AAABjx7qP0Q
    (2025-05-21 11:33:24)
Chloe:2019/4/19 水單匯入USB702.10-手續費USD 0=USD702.10</t>
        </r>
      </text>
    </comment>
    <comment ref="N405" authorId="0" shapeId="0" xr:uid="{6264CA6A-3BC1-C642-8DDF-170EFE508DFE}">
      <text>
        <r>
          <rPr>
            <sz val="10"/>
            <color rgb="FF000000"/>
            <rFont val="Aptos Narrow"/>
            <scheme val="minor"/>
          </rPr>
          <t>======
ID#AAABjx7qQtI
    (2025-05-21 11:33:25)
0425 chloe: 戎克樣品借入</t>
        </r>
      </text>
    </comment>
    <comment ref="H406" authorId="0" shapeId="0" xr:uid="{953B13A2-B693-4D41-9886-B45823772302}">
      <text>
        <r>
          <rPr>
            <sz val="10"/>
            <color rgb="FF000000"/>
            <rFont val="Aptos Narrow"/>
            <scheme val="minor"/>
          </rPr>
          <t>======
ID#AAABjx7qRU0
    (2025-05-21 11:33:25)
Chloe:2019/4/19 水單匯入USB702.10-手續費USD 0=USD702.10</t>
        </r>
      </text>
    </comment>
    <comment ref="U406" authorId="0" shapeId="0" xr:uid="{B0363F5B-0392-E74E-91B3-E919AEC681A4}">
      <text>
        <r>
          <rPr>
            <sz val="10"/>
            <color rgb="FF000000"/>
            <rFont val="Aptos Narrow"/>
            <scheme val="minor"/>
          </rPr>
          <t>======
ID#AAABjx7qN-g
    (2025-05-21 11:33:24)
5/3-CHLOE回覆
PI-20190328A  LPC-P121S-10 成本價 NT10606.26(不含稅)</t>
        </r>
      </text>
    </comment>
    <comment ref="AK406" authorId="0" shapeId="0" xr:uid="{7C1FE45A-786D-C44B-A265-20657322C5AA}">
      <text>
        <r>
          <rPr>
            <sz val="10"/>
            <color rgb="FF000000"/>
            <rFont val="Aptos Narrow"/>
            <scheme val="minor"/>
          </rPr>
          <t>======
ID#AAABjx7qQYQ
    (2025-05-21 11:33:25)
ALICE:成交總額USD702.1 ，2019/04/19水單匯入USD702.1-手續費USD6.5=USD695.6*30.78=NT21411元整</t>
        </r>
      </text>
    </comment>
    <comment ref="AL406" authorId="0" shapeId="0" xr:uid="{E9EB57B1-D48D-2C49-8251-401D2A7F6EBE}">
      <text>
        <r>
          <rPr>
            <sz val="10"/>
            <color rgb="FF000000"/>
            <rFont val="Aptos Narrow"/>
            <scheme val="minor"/>
          </rPr>
          <t>======
ID#AAABjx7qTek
    (2025-05-21 11:33:26)
ALICE:成交總額USD702.1 ，2019/04/18水單匯入USD702.1-手續費USD6.5=USD695.6*30.78=NT21411元整</t>
        </r>
      </text>
    </comment>
    <comment ref="E407" authorId="0" shapeId="0" xr:uid="{B4662829-21F6-224B-BBDD-66F8E341AEC7}">
      <text>
        <r>
          <rPr>
            <sz val="10"/>
            <color rgb="FF000000"/>
            <rFont val="Aptos Narrow"/>
            <scheme val="minor"/>
          </rPr>
          <t>======
ID#AAABjx7qNAs
    (2025-05-21 11:33:23)
7/23Amy: Santiago agree to reduce 50% price if the goods not approved by end customer ( issue credit note: 20190627)</t>
        </r>
      </text>
    </comment>
    <comment ref="H407" authorId="0" shapeId="0" xr:uid="{436F2B87-80B3-9648-850E-6BDE8708F765}">
      <text>
        <r>
          <rPr>
            <sz val="10"/>
            <color rgb="FF000000"/>
            <rFont val="Aptos Narrow"/>
            <scheme val="minor"/>
          </rPr>
          <t>======
ID#AAABjx7qQ-c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08" authorId="0" shapeId="0" xr:uid="{B8A6DC6E-199D-724D-86C6-3117AAEBA891}">
      <text>
        <r>
          <rPr>
            <sz val="10"/>
            <color rgb="FF000000"/>
            <rFont val="Aptos Narrow"/>
            <scheme val="minor"/>
          </rPr>
          <t>======
ID#AAABjx7qQRY
    (2025-05-21 11:33:25)
Chloe:2019/4/19 水單匯入USB702.10-手續費USD 0=USD702.10</t>
        </r>
      </text>
    </comment>
    <comment ref="U408" authorId="0" shapeId="0" xr:uid="{0F98E117-E8F7-3C4D-B17E-CC9FE281B93A}">
      <text>
        <r>
          <rPr>
            <sz val="10"/>
            <color rgb="FF000000"/>
            <rFont val="Aptos Narrow"/>
            <scheme val="minor"/>
          </rPr>
          <t>======
ID#AAABjx7qRJw
    (2025-05-21 11:33:25)
ALICE:成本@620(未稅)+運費100(未稅)=720(未稅)+稅金36=756(含稅)</t>
        </r>
      </text>
    </comment>
    <comment ref="E409" authorId="0" shapeId="0" xr:uid="{C0D882F3-FBD8-994B-A3D0-305872877F68}">
      <text>
        <r>
          <rPr>
            <sz val="10"/>
            <color rgb="FF000000"/>
            <rFont val="Aptos Narrow"/>
            <scheme val="minor"/>
          </rPr>
          <t>======
ID#AAABjx7qVjM
    (2025-05-21 11:33:27)
0401待amy 確認spec</t>
        </r>
      </text>
    </comment>
    <comment ref="H409" authorId="0" shapeId="0" xr:uid="{00F22CA7-434A-AB4F-92EA-4F769E432E98}">
      <text>
        <r>
          <rPr>
            <sz val="10"/>
            <color rgb="FF000000"/>
            <rFont val="Aptos Narrow"/>
            <scheme val="minor"/>
          </rPr>
          <t>======
ID#AAABjx7qQjw
    (2025-05-21 11:33:25)
Chloe:2019/4/19 水單匯入USB702.10-手續費USD 0=USD702.10</t>
        </r>
      </text>
    </comment>
    <comment ref="U409" authorId="0" shapeId="0" xr:uid="{B395195F-CBB4-4648-987E-7502786A522E}">
      <text>
        <r>
          <rPr>
            <sz val="10"/>
            <color rgb="FF000000"/>
            <rFont val="Aptos Narrow"/>
            <scheme val="minor"/>
          </rPr>
          <t>======
ID#AAABjx7qR3k
    (2025-05-21 11:33:25)
5/3-CHLOE MAIL通知
 DC Jack cable 1M→樣品</t>
        </r>
      </text>
    </comment>
    <comment ref="H410" authorId="0" shapeId="0" xr:uid="{8960ADAB-72E9-094D-BC41-48BB8ED1F27D}">
      <text>
        <r>
          <rPr>
            <sz val="10"/>
            <color rgb="FF000000"/>
            <rFont val="Aptos Narrow"/>
            <scheme val="minor"/>
          </rPr>
          <t>======
ID#AAABjx7qOMw
    (2025-05-21 11:33:24)
ALICE:2019/04/08-水單匯入USB1543-手續費USD11=USD1532</t>
        </r>
      </text>
    </comment>
    <comment ref="H411" authorId="0" shapeId="0" xr:uid="{D77FF6BC-F524-B842-9CD8-D80CC3A0FD43}">
      <text>
        <r>
          <rPr>
            <sz val="10"/>
            <color rgb="FF000000"/>
            <rFont val="Aptos Narrow"/>
            <scheme val="minor"/>
          </rPr>
          <t>======
ID#AAABjx7qPK4
    (2025-05-21 11:33:24)
ALICE:2019/04/08-水單匯入USB1543-手續費USD11=USD1532</t>
        </r>
      </text>
    </comment>
    <comment ref="H412" authorId="0" shapeId="0" xr:uid="{36128CF3-31E0-4545-BD69-146E1EAF532E}">
      <text>
        <r>
          <rPr>
            <sz val="10"/>
            <color rgb="FF000000"/>
            <rFont val="Aptos Narrow"/>
            <scheme val="minor"/>
          </rPr>
          <t>======
ID#AAABjx7qRWM
    (2025-05-21 11:33:25)
ALICE:2019/04/08-水單匯入USB1543-手續費USD11=USD1532</t>
        </r>
      </text>
    </comment>
    <comment ref="H413" authorId="0" shapeId="0" xr:uid="{8E54ADF8-D36E-A947-8637-AE78AB581096}">
      <text>
        <r>
          <rPr>
            <sz val="10"/>
            <color rgb="FF000000"/>
            <rFont val="Aptos Narrow"/>
            <scheme val="minor"/>
          </rPr>
          <t>======
ID#AAABjx7qM4Y
    (2025-05-21 11:33:23)
ALICE:2019/04/08-水單匯入USB1543-手續費USD11=USD1532</t>
        </r>
      </text>
    </comment>
    <comment ref="H414" authorId="0" shapeId="0" xr:uid="{8F35A4FF-9988-D04D-8EFB-521F922B9A98}">
      <text>
        <r>
          <rPr>
            <sz val="10"/>
            <color rgb="FF000000"/>
            <rFont val="Aptos Narrow"/>
            <scheme val="minor"/>
          </rPr>
          <t>======
ID#AAABjx7qU5A
    (2025-05-21 11:33:26)
ALICE:2019/04/08-水單匯入USB1543-手續費USD11=USD1532</t>
        </r>
      </text>
    </comment>
    <comment ref="H415" authorId="0" shapeId="0" xr:uid="{EB974D3D-5521-D943-AE6B-DC064EA685F1}">
      <text>
        <r>
          <rPr>
            <sz val="10"/>
            <color rgb="FF000000"/>
            <rFont val="Aptos Narrow"/>
            <scheme val="minor"/>
          </rPr>
          <t>======
ID#AAABjx7qM-U
    (2025-05-21 11:33:23)
ALICE:2019/04/08-水單匯入USB1543-手續費USD11=USD1532</t>
        </r>
      </text>
    </comment>
    <comment ref="D416" authorId="0" shapeId="0" xr:uid="{D97DD8D8-6C68-8249-94EE-046007699E33}">
      <text>
        <r>
          <rPr>
            <sz val="10"/>
            <color rgb="FF000000"/>
            <rFont val="Aptos Narrow"/>
            <scheme val="minor"/>
          </rPr>
          <t>======
ID#AAABjx7qVZM
    (2025-05-21 11:33:27)
4/3 Amy: 請依照PI開立台幣發票. Thanks.</t>
        </r>
      </text>
    </comment>
    <comment ref="H416" authorId="0" shapeId="0" xr:uid="{25E331FD-8930-F047-A2EA-C3038434F9CC}">
      <text>
        <r>
          <rPr>
            <sz val="10"/>
            <color rgb="FF000000"/>
            <rFont val="Aptos Narrow"/>
            <scheme val="minor"/>
          </rPr>
          <t>======
ID#AAABjx7qTS0
    (2025-05-21 11:33:26)
ALICE:5/13-CHLOE5通知5/10 戎克台幣匯款匯入</t>
        </r>
      </text>
    </comment>
    <comment ref="E417" authorId="0" shapeId="0" xr:uid="{D282B912-7B4E-CB44-9164-219D893ED65E}">
      <text>
        <r>
          <rPr>
            <sz val="10"/>
            <color rgb="FF000000"/>
            <rFont val="Aptos Narrow"/>
            <scheme val="minor"/>
          </rPr>
          <t>======
ID#AAABjx7qWPw
    (2025-05-21 11:33:27)
1224 chloe:樣品庫存</t>
        </r>
      </text>
    </comment>
    <comment ref="H417" authorId="0" shapeId="0" xr:uid="{3DD7EE1E-86C3-1048-A9D1-EDCF0FB884EA}">
      <text>
        <r>
          <rPr>
            <sz val="10"/>
            <color rgb="FF000000"/>
            <rFont val="Aptos Narrow"/>
            <scheme val="minor"/>
          </rPr>
          <t>======
ID#AAABjx7qM1Y
    (2025-05-21 11:33:23)
alice:2019/05/17水單通知USD19768沖3/4A $1995.3/4A-1$4152.3/4A-1-F $232.3/8B-F $57.12/21A-2-F $144.3/4A-1 $189.10/22C-2 $10227.12/21A-1 $2772.如上總計共USD19768</t>
        </r>
      </text>
    </comment>
    <comment ref="H418" authorId="0" shapeId="0" xr:uid="{F6AB54A1-350B-0E4D-8CE2-39EF76696369}">
      <text>
        <r>
          <rPr>
            <sz val="10"/>
            <color rgb="FF000000"/>
            <rFont val="Aptos Narrow"/>
            <scheme val="minor"/>
          </rPr>
          <t>======
ID#AAABjx7qV28
    (2025-05-21 11:33:27)
ALICE:5/16-銀行水單通知USD5169(沖PO0131D-1 4285.PI-0320-B 175.PI-4/8-A 709)共三筆</t>
        </r>
      </text>
    </comment>
    <comment ref="O418" authorId="0" shapeId="0" xr:uid="{1F28C34C-F88F-7F42-9FA4-A564F8D56285}">
      <text>
        <r>
          <rPr>
            <sz val="10"/>
            <color rgb="FF000000"/>
            <rFont val="Aptos Narrow"/>
            <scheme val="minor"/>
          </rPr>
          <t>======
ID#AAABjx7qSts
    (2025-05-21 11:33:26)
0408 Cathy 下單</t>
        </r>
      </text>
    </comment>
    <comment ref="H419" authorId="0" shapeId="0" xr:uid="{2EA0BBB7-A3BE-CB44-8E5C-8D60FEAEE245}">
      <text>
        <r>
          <rPr>
            <sz val="10"/>
            <color rgb="FF000000"/>
            <rFont val="Aptos Narrow"/>
            <scheme val="minor"/>
          </rPr>
          <t>======
ID#AAABjx7qPvo
    (2025-05-21 11:33:24)
ALICE:6/17水單匯入USD16108 沖PI-20190227B 8500，沖PI-20190409A 7608</t>
        </r>
      </text>
    </comment>
    <comment ref="O419" authorId="0" shapeId="0" xr:uid="{5F1BE45B-3AEC-2847-AA20-10BDF29C9E07}">
      <text>
        <r>
          <rPr>
            <sz val="10"/>
            <color rgb="FF000000"/>
            <rFont val="Aptos Narrow"/>
            <scheme val="minor"/>
          </rPr>
          <t>======
ID#AAABjx7qRCY
    (2025-05-21 11:33:25)
0410 Cathy 下單</t>
        </r>
      </text>
    </comment>
    <comment ref="H420" authorId="0" shapeId="0" xr:uid="{189385C4-07D4-CB4F-B5C5-639BC22E75C8}">
      <text>
        <r>
          <rPr>
            <sz val="10"/>
            <color rgb="FF000000"/>
            <rFont val="Aptos Narrow"/>
            <scheme val="minor"/>
          </rPr>
          <t>======
ID#AAABjx7qTVw
    (2025-05-21 11:33:26)
ALICE:6/17水單匯入USD16108 沖PI-20190227B 8500，沖PI-20190409A 7608</t>
        </r>
      </text>
    </comment>
    <comment ref="O420" authorId="0" shapeId="0" xr:uid="{DDE43263-A8E3-0943-8160-66FAB0F5C99E}">
      <text>
        <r>
          <rPr>
            <sz val="10"/>
            <color rgb="FF000000"/>
            <rFont val="Aptos Narrow"/>
            <scheme val="minor"/>
          </rPr>
          <t>======
ID#AAABjx7qP9k
    (2025-05-21 11:33:25)
0410 Cathy 下單</t>
        </r>
      </text>
    </comment>
    <comment ref="H421" authorId="0" shapeId="0" xr:uid="{A07DCE7E-E418-FD41-A830-C7455B2B5D51}">
      <text>
        <r>
          <rPr>
            <sz val="10"/>
            <color rgb="FF000000"/>
            <rFont val="Aptos Narrow"/>
            <scheme val="minor"/>
          </rPr>
          <t>======
ID#AAABjx7qSNg
    (2025-05-21 11:33:26)
Alice:6/17-水單匯入USD10046沖PI-201904096B.PI-20190418A.PI-20190422A.PI-20190307A</t>
        </r>
      </text>
    </comment>
    <comment ref="H422" authorId="0" shapeId="0" xr:uid="{C7FCA8BE-6AB4-1B48-BB61-D010912EF0DA}">
      <text>
        <r>
          <rPr>
            <sz val="10"/>
            <color rgb="FF000000"/>
            <rFont val="Aptos Narrow"/>
            <scheme val="minor"/>
          </rPr>
          <t>======
ID#AAABjx7qQkM
    (2025-05-21 11:33:25)
Alice:6/17-水單匯入USD10046沖PI-201904096B.PI-20190418A.PI-20190422A.PI-20190307A</t>
        </r>
      </text>
    </comment>
    <comment ref="H423" authorId="0" shapeId="0" xr:uid="{7E1EC6AA-8137-3648-B51A-071FC7ECB187}">
      <text>
        <r>
          <rPr>
            <sz val="10"/>
            <color rgb="FF000000"/>
            <rFont val="Aptos Narrow"/>
            <scheme val="minor"/>
          </rPr>
          <t>======
ID#AAABjx7qOIs
    (2025-05-21 11:33:24)
Alice:6/17-水單匯入USD10046沖PI-201904096B.PI-20190418A.PI-20190422A.PI-20190307A</t>
        </r>
      </text>
    </comment>
    <comment ref="H424" authorId="0" shapeId="0" xr:uid="{4C9CFA4E-6E77-F445-ADB7-E9FB540E6E3A}">
      <text>
        <r>
          <rPr>
            <sz val="10"/>
            <color rgb="FF000000"/>
            <rFont val="Aptos Narrow"/>
            <scheme val="minor"/>
          </rPr>
          <t>======
ID#AAABjx7qOa0
    (2025-05-21 11:33:24)
Alice:6/17-水單匯入USD10046沖PI-201904096B.PI-20190418A.PI-20190422A.PI-20190307A</t>
        </r>
      </text>
    </comment>
    <comment ref="H425" authorId="0" shapeId="0" xr:uid="{C644C548-C695-D146-AA95-91A5E4D97936}">
      <text>
        <r>
          <rPr>
            <sz val="10"/>
            <color rgb="FF000000"/>
            <rFont val="Aptos Narrow"/>
            <scheme val="minor"/>
          </rPr>
          <t>======
ID#AAABjx7qPag
    (2025-05-21 11:33:24)
Alice:6/17-水單匯入USD10046沖PI-201904096B.PI-20190418A.PI-20190422A.PI-20190307A</t>
        </r>
      </text>
    </comment>
    <comment ref="H426" authorId="0" shapeId="0" xr:uid="{70CC837C-ADF4-0D49-AA7F-9DAD9FC1400E}">
      <text>
        <r>
          <rPr>
            <sz val="10"/>
            <color rgb="FF000000"/>
            <rFont val="Aptos Narrow"/>
            <scheme val="minor"/>
          </rPr>
          <t>======
ID#AAABjx7qM78
    (2025-05-21 11:33:23)
Alice:6/17-水單匯入USD10046沖PI-201904096B.PI-20190418A.PI-20190422A.PI-20190307A</t>
        </r>
      </text>
    </comment>
    <comment ref="O426" authorId="0" shapeId="0" xr:uid="{B1C43EBF-C980-884D-82AE-F625A4979259}">
      <text>
        <r>
          <rPr>
            <sz val="10"/>
            <color rgb="FF000000"/>
            <rFont val="Aptos Narrow"/>
            <scheme val="minor"/>
          </rPr>
          <t>======
ID#AAABjx7qVeg
    (2025-05-21 11:33:27)
0422 chloe:入庫10 PCS，剩餘3PCS請入庫</t>
        </r>
      </text>
    </comment>
    <comment ref="H427" authorId="0" shapeId="0" xr:uid="{1B28CA42-A529-E94C-A4B8-9B320D474079}">
      <text>
        <r>
          <rPr>
            <sz val="10"/>
            <color rgb="FF000000"/>
            <rFont val="Aptos Narrow"/>
            <scheme val="minor"/>
          </rPr>
          <t>======
ID#AAABjx7qR1Y
    (2025-05-21 11:33:25)
Alice:6/17-水單匯入USD10046沖PI-201904096B.PI-20190418A.PI-20190422A.PI-20190307A</t>
        </r>
      </text>
    </comment>
    <comment ref="O427" authorId="0" shapeId="0" xr:uid="{FEDCA3B7-9179-064D-94AA-06B9B4376F09}">
      <text>
        <r>
          <rPr>
            <sz val="10"/>
            <color rgb="FF000000"/>
            <rFont val="Aptos Narrow"/>
            <scheme val="minor"/>
          </rPr>
          <t>======
ID#AAABjx7qS0E
    (2025-05-21 11:33:26)
0422 chloe:入庫10 PCS，剩餘3PCS請入庫</t>
        </r>
      </text>
    </comment>
    <comment ref="E428" authorId="0" shapeId="0" xr:uid="{3008D978-D6B5-9C42-AA9E-39D9B32CF64E}">
      <text>
        <r>
          <rPr>
            <sz val="10"/>
            <color rgb="FF000000"/>
            <rFont val="Aptos Narrow"/>
            <scheme val="minor"/>
          </rPr>
          <t>======
ID#AAABjx7qNLM
    (2025-05-21 11:33:23)
0313 chloe: 戎克備有庫存，見半成品庫存表</t>
        </r>
      </text>
    </comment>
    <comment ref="H428" authorId="0" shapeId="0" xr:uid="{E04E4F25-1FC8-0C4B-B78D-3C2541ED881B}">
      <text>
        <r>
          <rPr>
            <sz val="10"/>
            <color rgb="FF000000"/>
            <rFont val="Aptos Narrow"/>
            <scheme val="minor"/>
          </rPr>
          <t>======
ID#AAABjx7qTqU
    (2025-05-21 11:33:26)
Alice:6/17-水單匯入USD10046沖PI-201904096B.PI-20190418A.PI-20190422A.PI-20190307A</t>
        </r>
      </text>
    </comment>
    <comment ref="T428" authorId="0" shapeId="0" xr:uid="{7A55F381-BAB5-7444-9EE4-5CBD4AD1C8AA}">
      <text>
        <r>
          <rPr>
            <sz val="10"/>
            <color rgb="FF000000"/>
            <rFont val="Aptos Narrow"/>
            <scheme val="minor"/>
          </rPr>
          <t>======
ID#AAABjx7qQCQ
    (2025-05-21 11:33:25)
庫存金額</t>
        </r>
      </text>
    </comment>
    <comment ref="H429" authorId="0" shapeId="0" xr:uid="{1C154CB3-978B-604E-9E8B-886259DBD8FA}">
      <text>
        <r>
          <rPr>
            <sz val="10"/>
            <color rgb="FF000000"/>
            <rFont val="Aptos Narrow"/>
            <scheme val="minor"/>
          </rPr>
          <t>======
ID#AAABjx7qPuk
    (2025-05-21 11:33:24)
alice:6/20銀行水單匯入USD4462 沖PI20190107A.PI-20190318B.PI-20190508B.PI-20181022C-2-F</t>
        </r>
      </text>
    </comment>
    <comment ref="G430" authorId="0" shapeId="0" xr:uid="{29B10F01-0870-2043-95DC-BD07D374A81E}">
      <text>
        <r>
          <rPr>
            <sz val="10"/>
            <color rgb="FF000000"/>
            <rFont val="Aptos Narrow"/>
            <scheme val="minor"/>
          </rPr>
          <t>======
ID#AAABjx7qQU0
    (2025-05-21 11:33:25)
w/5%VAT</t>
        </r>
      </text>
    </comment>
    <comment ref="H430" authorId="0" shapeId="0" xr:uid="{5B7DCBB9-81EA-BC44-AD43-08F81FFE5CF6}">
      <text>
        <r>
          <rPr>
            <sz val="10"/>
            <color rgb="FF000000"/>
            <rFont val="Aptos Narrow"/>
            <scheme val="minor"/>
          </rPr>
          <t>======
ID#AAABjx7qPsU
    (2025-05-21 11:33:24)
ALICE:6/25-新漢匯入46434(合庫)</t>
        </r>
      </text>
    </comment>
    <comment ref="H431" authorId="0" shapeId="0" xr:uid="{89AC6FCA-642B-7D45-BDD0-204466AD7A45}">
      <text>
        <r>
          <rPr>
            <sz val="10"/>
            <color rgb="FF000000"/>
            <rFont val="Aptos Narrow"/>
            <scheme val="minor"/>
          </rPr>
          <t>======
ID#AAABjx7qNXU
    (2025-05-21 11:33:23)
ALICE:20190425收到銀行水單匯入通知USD1556*30.81=NT47940(無手續費)</t>
        </r>
      </text>
    </comment>
    <comment ref="AK431" authorId="0" shapeId="0" xr:uid="{19A00B9F-80AF-6D42-86AF-1C3E01E6098D}">
      <text>
        <r>
          <rPr>
            <sz val="10"/>
            <color rgb="FF000000"/>
            <rFont val="Aptos Narrow"/>
            <scheme val="minor"/>
          </rPr>
          <t>======
ID#AAABjx7qTP4
    (2025-05-21 11:33:26)
ALICE:20190425收到銀行水單匯入通知USD1556*30.81=NT47940(無手續費)</t>
        </r>
      </text>
    </comment>
    <comment ref="H432" authorId="0" shapeId="0" xr:uid="{4BF9649E-5D30-1240-8FFF-A7383568987D}">
      <text>
        <r>
          <rPr>
            <sz val="10"/>
            <color rgb="FF000000"/>
            <rFont val="Aptos Narrow"/>
            <scheme val="minor"/>
          </rPr>
          <t>======
ID#AAABjx7qNYA
    (2025-05-21 11:33:23)
ALICE:20190425收到銀行水單匯入通知USD1556*30.81=NT47940(無手續費)</t>
        </r>
      </text>
    </comment>
    <comment ref="AK432" authorId="0" shapeId="0" xr:uid="{20422473-51D2-074C-A97E-88C827629CFD}">
      <text>
        <r>
          <rPr>
            <sz val="10"/>
            <color rgb="FF000000"/>
            <rFont val="Aptos Narrow"/>
            <scheme val="minor"/>
          </rPr>
          <t>======
ID#AAABjx7qRvE
    (2025-05-21 11:33:25)
ALICE:20190425收到銀行水單匯入通知USD1556*30.81=NT47940(無手續費)</t>
        </r>
      </text>
    </comment>
    <comment ref="H433" authorId="0" shapeId="0" xr:uid="{7DCBA9C0-1681-3942-BDC1-BCBDB4FEABF3}">
      <text>
        <r>
          <rPr>
            <sz val="10"/>
            <color rgb="FF000000"/>
            <rFont val="Aptos Narrow"/>
            <scheme val="minor"/>
          </rPr>
          <t>======
ID#AAABjx7qUuc
    (2025-05-21 11:33:26)
Alice:2019/05/21-銀行水單通知USD960-匯款手續費USD6.35=USD953.65*31.51=NT30050元整</t>
        </r>
      </text>
    </comment>
    <comment ref="J433" authorId="0" shapeId="0" xr:uid="{DBAC3684-3CF6-7449-9AE6-70CB83C467F5}">
      <text>
        <r>
          <rPr>
            <sz val="10"/>
            <color rgb="FF000000"/>
            <rFont val="Aptos Narrow"/>
            <scheme val="minor"/>
          </rPr>
          <t>======
ID#AAABjx7qV5Q
    (2025-05-21 11:33:27)
190411 但未知FEDEX服務，出貨前再確認
190506 Fedex Intl. Economy</t>
        </r>
      </text>
    </comment>
    <comment ref="M433" authorId="0" shapeId="0" xr:uid="{EB4D9BC8-6500-AC4C-8913-4CA58B05452B}">
      <text>
        <r>
          <rPr>
            <sz val="10"/>
            <color rgb="FF000000"/>
            <rFont val="Aptos Narrow"/>
            <scheme val="minor"/>
          </rPr>
          <t>======
ID#AAABjx7qR28
    (2025-05-21 11:33:25)
0424 Cathy: 新漢ivy 告知已收到</t>
        </r>
      </text>
    </comment>
    <comment ref="O433" authorId="0" shapeId="0" xr:uid="{73F7EF75-090E-134C-9174-BEAE0D9A9E2F}">
      <text>
        <r>
          <rPr>
            <sz val="10"/>
            <color rgb="FF000000"/>
            <rFont val="Aptos Narrow"/>
            <scheme val="minor"/>
          </rPr>
          <t>======
ID#AAABjx7qVH8
    (2025-05-21 11:33:27)
0412 Cathy 下單</t>
        </r>
      </text>
    </comment>
    <comment ref="H434" authorId="0" shapeId="0" xr:uid="{2882ADC6-51A7-2E4F-9778-2E73D4ADBD71}">
      <text>
        <r>
          <rPr>
            <sz val="10"/>
            <color rgb="FF000000"/>
            <rFont val="Aptos Narrow"/>
            <scheme val="minor"/>
          </rPr>
          <t>======
ID#AAABjx7qU_0
    (2025-05-21 11:33:27)
Alice:2019/05/21-銀行水單通知USD960-匯款手續費USD6.35=USD953.65*31.51=NT30050元整</t>
        </r>
      </text>
    </comment>
    <comment ref="J434" authorId="0" shapeId="0" xr:uid="{6F2E11D1-1B41-4140-9F5E-A16A40B79D93}">
      <text>
        <r>
          <rPr>
            <sz val="10"/>
            <color rgb="FF000000"/>
            <rFont val="Aptos Narrow"/>
            <scheme val="minor"/>
          </rPr>
          <t>======
ID#AAABjx7qNw8
    (2025-05-21 11:33:23)
190411 但未知FEDEX服務，出貨前再確認
190506 Fedex Intl. Economy</t>
        </r>
      </text>
    </comment>
    <comment ref="M434" authorId="0" shapeId="0" xr:uid="{D65D7E1D-1F9C-394B-AF8B-FB365E52E413}">
      <text>
        <r>
          <rPr>
            <sz val="10"/>
            <color rgb="FF000000"/>
            <rFont val="Aptos Narrow"/>
            <scheme val="minor"/>
          </rPr>
          <t>======
ID#AAABjx7qWZY
    (2025-05-21 11:33:27)
0417 ivy revise 交期</t>
        </r>
      </text>
    </comment>
    <comment ref="O434" authorId="0" shapeId="0" xr:uid="{0172C045-690D-6D42-8858-E9D0000686D7}">
      <text>
        <r>
          <rPr>
            <sz val="10"/>
            <color rgb="FF000000"/>
            <rFont val="Aptos Narrow"/>
            <scheme val="minor"/>
          </rPr>
          <t>======
ID#AAABjx7qQSA
    (2025-05-21 11:33:25)
0412 Cathy 下單</t>
        </r>
      </text>
    </comment>
    <comment ref="H435" authorId="0" shapeId="0" xr:uid="{201E0E11-D0AB-5945-BE82-26E11116D6EA}">
      <text>
        <r>
          <rPr>
            <sz val="10"/>
            <color rgb="FF000000"/>
            <rFont val="Aptos Narrow"/>
            <scheme val="minor"/>
          </rPr>
          <t>======
ID#AAABjx7qPaQ
    (2025-05-21 11:33:24)
Alice:2019/05/21-銀行水單通知USD960-匯款手續費USD6.35=USD953.65*31.51=NT30050元整</t>
        </r>
      </text>
    </comment>
    <comment ref="J435" authorId="0" shapeId="0" xr:uid="{87E8A718-A9ED-1C40-88BF-7DD4BDAC9DF1}">
      <text>
        <r>
          <rPr>
            <sz val="10"/>
            <color rgb="FF000000"/>
            <rFont val="Aptos Narrow"/>
            <scheme val="minor"/>
          </rPr>
          <t>======
ID#AAABjx7qSq8
    (2025-05-21 11:33:26)
190411 但未知FEDEX服務，出貨前再確認
190506 Fedex Intl. Economy</t>
        </r>
      </text>
    </comment>
    <comment ref="M435" authorId="0" shapeId="0" xr:uid="{24F8581D-A0A1-2547-B1AD-A8765425F837}">
      <text>
        <r>
          <rPr>
            <sz val="10"/>
            <color rgb="FF000000"/>
            <rFont val="Aptos Narrow"/>
            <scheme val="minor"/>
          </rPr>
          <t>======
ID#AAABjx7qPpo
    (2025-05-21 11:33:24)
0417 ivy revise 交期</t>
        </r>
      </text>
    </comment>
    <comment ref="O435" authorId="0" shapeId="0" xr:uid="{13C66067-346B-C047-94F8-87C41C4A0995}">
      <text>
        <r>
          <rPr>
            <sz val="10"/>
            <color rgb="FF000000"/>
            <rFont val="Aptos Narrow"/>
            <scheme val="minor"/>
          </rPr>
          <t>======
ID#AAABjx7qQsk
    (2025-05-21 11:33:25)
0412 Cathy 下單</t>
        </r>
      </text>
    </comment>
    <comment ref="AK435" authorId="0" shapeId="0" xr:uid="{CC9B5B37-16DC-F442-B92D-BEA6B8D08A51}">
      <text>
        <r>
          <rPr>
            <sz val="10"/>
            <color rgb="FF000000"/>
            <rFont val="Aptos Narrow"/>
            <scheme val="minor"/>
          </rPr>
          <t>======
ID#AAABjx7qPlQ
    (2025-05-21 11:33:24)
Alice:2019/05/21-銀行水單通知USD960-匯款手續費USD6.35=USD953.65*31.51=NT30050元整</t>
        </r>
      </text>
    </comment>
    <comment ref="AL435" authorId="0" shapeId="0" xr:uid="{3A812D56-99C2-EF42-830E-9D874D002F32}">
      <text>
        <r>
          <rPr>
            <sz val="10"/>
            <color rgb="FF000000"/>
            <rFont val="Aptos Narrow"/>
            <scheme val="minor"/>
          </rPr>
          <t>======
ID#AAABjx7qN5A
    (2025-05-21 11:33:23)
Alice:2019/05/21-銀行水單通知USD960-匯款手續費USD6.35=USD953.65*31.51=NT30050元整</t>
        </r>
      </text>
    </comment>
    <comment ref="B437" authorId="0" shapeId="0" xr:uid="{015AFB35-31EE-DC4E-BD4B-65A90287B9F3}">
      <text>
        <r>
          <rPr>
            <sz val="10"/>
            <color rgb="FF000000"/>
            <rFont val="Aptos Narrow"/>
            <scheme val="minor"/>
          </rPr>
          <t>======
ID#AAABjx7qNlM
    (2025-05-21 11:33:23)
9/10 轉寄Captec Canada ( freight pay by Accuview )</t>
        </r>
      </text>
    </comment>
    <comment ref="D437" authorId="0" shapeId="0" xr:uid="{700A96AC-EB99-3043-BE67-FD50DA470B73}">
      <text>
        <r>
          <rPr>
            <sz val="10"/>
            <color rgb="FF000000"/>
            <rFont val="Aptos Narrow"/>
            <scheme val="minor"/>
          </rPr>
          <t>======
ID#AAABjx7qR0Q
    (2025-05-21 11:33:25)
transfer to Captec Evaluation PI-20190910A</t>
        </r>
      </text>
    </comment>
    <comment ref="J437" authorId="0" shapeId="0" xr:uid="{9D65EF38-B43A-9B4D-BFB4-53D29AC7D2D3}">
      <text>
        <r>
          <rPr>
            <sz val="10"/>
            <color rgb="FF000000"/>
            <rFont val="Aptos Narrow"/>
            <scheme val="minor"/>
          </rPr>
          <t>======
ID#AAABjx7qNic
    (2025-05-21 11:33:23)
CUSTOMER ACCOUNT 
G504 ㄧ年內可退回進口做核銷</t>
        </r>
      </text>
    </comment>
    <comment ref="D438" authorId="0" shapeId="0" xr:uid="{9B8FD09B-9978-834E-BC93-9BE78F329084}">
      <text>
        <r>
          <rPr>
            <sz val="10"/>
            <color rgb="FF000000"/>
            <rFont val="Aptos Narrow"/>
            <scheme val="minor"/>
          </rPr>
          <t>======
ID#AAABjx7qOTM
    (2025-05-21 11:33:24)
0417 通知tammy 協助下單,並告知客人有否其他訂單一併下單</t>
        </r>
      </text>
    </comment>
    <comment ref="H438" authorId="0" shapeId="0" xr:uid="{9055C9B5-B782-C34D-A188-92D83030551E}">
      <text>
        <r>
          <rPr>
            <sz val="10"/>
            <color rgb="FF000000"/>
            <rFont val="Aptos Narrow"/>
            <scheme val="minor"/>
          </rPr>
          <t>======
ID#AAABjx7qRe4
    (2025-05-21 11:33:25)
ALICE:5/17收到銀行電文通知USD1668-11匯款手續費=USD1657</t>
        </r>
      </text>
    </comment>
    <comment ref="H440" authorId="0" shapeId="0" xr:uid="{E96F325C-F726-CD48-A98B-580EBF3F1903}">
      <text>
        <r>
          <rPr>
            <sz val="10"/>
            <color rgb="FF000000"/>
            <rFont val="Aptos Narrow"/>
            <scheme val="minor"/>
          </rPr>
          <t>======
ID#AAABjx7qQz4
    (2025-05-21 11:33:25)
Alice:6/17-水單匯入USD10046沖PI-201904096B.PI-20190418A.PI-20190422A.PI-20190307A</t>
        </r>
      </text>
    </comment>
    <comment ref="O440" authorId="0" shapeId="0" xr:uid="{60513377-165E-CC4A-9AE5-B591079FCE4E}">
      <text>
        <r>
          <rPr>
            <sz val="10"/>
            <color rgb="FF000000"/>
            <rFont val="Aptos Narrow"/>
            <scheme val="minor"/>
          </rPr>
          <t>======
ID#AAABjx7qM3A
    (2025-05-21 11:33:23)
0419 Cathy 下單</t>
        </r>
      </text>
    </comment>
    <comment ref="G441" authorId="0" shapeId="0" xr:uid="{E2490F5E-FCA3-D94B-BB5D-60D280E5F221}">
      <text>
        <r>
          <rPr>
            <sz val="10"/>
            <color rgb="FF000000"/>
            <rFont val="Aptos Narrow"/>
            <scheme val="minor"/>
          </rPr>
          <t>======
ID#AAABjx7qOeY
    (2025-05-21 11:33:24)
180221 Tammy: project price for over 50pcs/lot</t>
        </r>
      </text>
    </comment>
    <comment ref="H441" authorId="0" shapeId="0" xr:uid="{E9B0A760-6209-3740-8DE2-6012B07F9853}">
      <text>
        <r>
          <rPr>
            <sz val="10"/>
            <color rgb="FF000000"/>
            <rFont val="Aptos Narrow"/>
            <scheme val="minor"/>
          </rPr>
          <t>======
ID#AAABjx7qQGs
    (2025-05-21 11:33:25)
Alice:6/17-水單匯入USD10046沖PI-201904096B.PI-20190418A.PI-20190422A.PI-20190307A</t>
        </r>
      </text>
    </comment>
    <comment ref="H442" authorId="0" shapeId="0" xr:uid="{2393ADB2-E737-0049-83E6-85AE58D4B5E6}">
      <text>
        <r>
          <rPr>
            <sz val="10"/>
            <color rgb="FF000000"/>
            <rFont val="Aptos Narrow"/>
            <scheme val="minor"/>
          </rPr>
          <t>======
ID#AAABjx7qO0c
    (2025-05-21 11:33:24)
ALICE:5/17收到銀行電文通知USD1668-11匯款手續費=USD1657</t>
        </r>
      </text>
    </comment>
    <comment ref="H443" authorId="0" shapeId="0" xr:uid="{F6DD58FB-493D-8849-A60B-192E947FD903}">
      <text>
        <r>
          <rPr>
            <sz val="10"/>
            <color rgb="FF000000"/>
            <rFont val="Aptos Narrow"/>
            <scheme val="minor"/>
          </rPr>
          <t>======
ID#AAABjx7qWa8
    (2025-05-21 11:33:27)
alice:2019/05/14電文通知USD16645沖(PI20190418C 金額總計15865+PI20190218A 4850中的(780)</t>
        </r>
      </text>
    </comment>
    <comment ref="H444" authorId="0" shapeId="0" xr:uid="{7B9F0752-B43F-DD42-AC3C-5B6A246811F0}">
      <text>
        <r>
          <rPr>
            <sz val="10"/>
            <color rgb="FF000000"/>
            <rFont val="Aptos Narrow"/>
            <scheme val="minor"/>
          </rPr>
          <t>======
ID#AAABjx7qScg
    (2025-05-21 11:33:26)
alice:2019/05/14電文通知USD16645沖(PI20190418C 金額總計15865+PI20190218A 4850中的(780)</t>
        </r>
      </text>
    </comment>
    <comment ref="H445" authorId="0" shapeId="0" xr:uid="{2AB6B134-5C12-0542-A9FB-3CA4D56BA066}">
      <text>
        <r>
          <rPr>
            <sz val="10"/>
            <color rgb="FF000000"/>
            <rFont val="Aptos Narrow"/>
            <scheme val="minor"/>
          </rPr>
          <t>======
ID#AAABjx7qSKA
    (2025-05-21 11:33:26)
alice:2019/05/14電文通知USD16645沖(PI20190418C 金額總計15865+PI20190218A 4850中的(780)</t>
        </r>
      </text>
    </comment>
    <comment ref="H446" authorId="0" shapeId="0" xr:uid="{597420E8-952F-1548-84EC-5EDA291BC2BC}">
      <text>
        <r>
          <rPr>
            <sz val="10"/>
            <color rgb="FF000000"/>
            <rFont val="Aptos Narrow"/>
            <scheme val="minor"/>
          </rPr>
          <t>======
ID#AAABjx7qSAY
    (2025-05-21 11:33:25)
Alice:2019/04/30-銀行通知水單匯入USD1577-匯出手續費USD40=USD1537*30.85=NT47416</t>
        </r>
      </text>
    </comment>
    <comment ref="U446" authorId="0" shapeId="0" xr:uid="{DCE8689A-3EE5-DC4F-92F0-257A2C3A01D1}">
      <text>
        <r>
          <rPr>
            <sz val="10"/>
            <color rgb="FF000000"/>
            <rFont val="Aptos Narrow"/>
            <scheme val="minor"/>
          </rPr>
          <t>======
ID#AAABjx7qTPQ
    (2025-05-21 11:33:26)
原2764
6/4-Chloe通知
雄鉅與老大已談妥
請將6/5 應付雄鉅帳款扣除此筆金額NT2781</t>
        </r>
      </text>
    </comment>
    <comment ref="AK446" authorId="0" shapeId="0" xr:uid="{B231F6DE-9678-6440-A17E-0C33F72EF089}">
      <text>
        <r>
          <rPr>
            <sz val="10"/>
            <color rgb="FF000000"/>
            <rFont val="Aptos Narrow"/>
            <scheme val="minor"/>
          </rPr>
          <t>======
ID#AAABjx7qRw4
    (2025-05-21 11:33:25)
Alice:2019/04/30-銀行通知水單匯入USD1577-匯出手續費USD40=USD1537*30.85=NT47416</t>
        </r>
      </text>
    </comment>
    <comment ref="AL446" authorId="0" shapeId="0" xr:uid="{1987E37E-B43D-484F-B6C0-15CB37EC8AD5}">
      <text>
        <r>
          <rPr>
            <sz val="10"/>
            <color rgb="FF000000"/>
            <rFont val="Aptos Narrow"/>
            <scheme val="minor"/>
          </rPr>
          <t>======
ID#AAABjx7qS-0
    (2025-05-21 11:33:26)
Alice:2019/04/30-銀行通知水單匯入USD1577-匯出手續費USD40=USD1537*30.85=NT47416</t>
        </r>
      </text>
    </comment>
    <comment ref="E447" authorId="0" shapeId="0" xr:uid="{CFCCF0A8-D79E-3448-87DA-39109B5DA10F}">
      <text>
        <r>
          <rPr>
            <sz val="10"/>
            <color rgb="FF000000"/>
            <rFont val="Aptos Narrow"/>
            <scheme val="minor"/>
          </rPr>
          <t>======
ID#AAABjx7qPF8
    (2025-05-21 11:33:24)
4/19 w/Optical Bonding, High Bridhtness 1000 nits, 9-36V PB-409,
Additional 2 USB port, SSD Key</t>
        </r>
      </text>
    </comment>
    <comment ref="H447" authorId="0" shapeId="0" xr:uid="{816901BA-2D80-954E-BB74-A344A77DA142}">
      <text>
        <r>
          <rPr>
            <sz val="10"/>
            <color rgb="FF000000"/>
            <rFont val="Aptos Narrow"/>
            <scheme val="minor"/>
          </rPr>
          <t>======
ID#AAABj82dpHI
    (2025-05-21 11:33:23)
Alice:2019/04/30-銀行通知水單匯入USD1577-匯出手續費USD40=USD1537*30.85=NT47416</t>
        </r>
      </text>
    </comment>
    <comment ref="AK447" authorId="0" shapeId="0" xr:uid="{7FDEF930-2996-8347-83A7-7C1467FFBABC}">
      <text>
        <r>
          <rPr>
            <sz val="10"/>
            <color rgb="FF000000"/>
            <rFont val="Aptos Narrow"/>
            <scheme val="minor"/>
          </rPr>
          <t>======
ID#AAABjx7qTKU
    (2025-05-21 11:33:26)
Alice:2019/04/30-銀行通知水單匯入USD1577-匯出手續費USD40=USD1537*30.85=NT47416</t>
        </r>
      </text>
    </comment>
    <comment ref="AL447" authorId="0" shapeId="0" xr:uid="{2A05C7AE-840E-B04E-A926-169C0870B515}">
      <text>
        <r>
          <rPr>
            <sz val="10"/>
            <color rgb="FF000000"/>
            <rFont val="Aptos Narrow"/>
            <scheme val="minor"/>
          </rPr>
          <t>======
ID#AAABjx7qQdY
    (2025-05-21 11:33:25)
Alice:2019/04/30-銀行通知水單匯入USD1577-匯出手續費USD40=USD1537*30.85=NT47416</t>
        </r>
      </text>
    </comment>
    <comment ref="H448" authorId="0" shapeId="0" xr:uid="{7B5CF601-E7E4-E543-B95F-731084380B5B}">
      <text>
        <r>
          <rPr>
            <sz val="10"/>
            <color rgb="FF000000"/>
            <rFont val="Aptos Narrow"/>
            <scheme val="minor"/>
          </rPr>
          <t>======
ID#AAABjx7qRJE
    (2025-05-21 11:33:25)
ALICE:5/17收到銀行電文通知USD1668-11匯款手續費=USD1657</t>
        </r>
      </text>
    </comment>
    <comment ref="H449" authorId="0" shapeId="0" xr:uid="{02748D1A-2E77-134F-95B3-6B2D00417766}">
      <text>
        <r>
          <rPr>
            <sz val="10"/>
            <color rgb="FF000000"/>
            <rFont val="Aptos Narrow"/>
            <scheme val="minor"/>
          </rPr>
          <t>======
ID#AAABjx7qMzo
    (2025-05-21 11:33:23)
ALICE:5/17收到銀行電文通知USD1668-11匯款手續費=USD1657</t>
        </r>
      </text>
    </comment>
    <comment ref="H450" authorId="0" shapeId="0" xr:uid="{F989458F-2904-D445-A5D5-B52E8E93F6C6}">
      <text>
        <r>
          <rPr>
            <sz val="10"/>
            <color rgb="FF000000"/>
            <rFont val="Aptos Narrow"/>
            <scheme val="minor"/>
          </rPr>
          <t>======
ID#AAABjx7qNFo
    (2025-05-21 11:33:23)
Alice:6/17-水單匯入USD10046沖PI-201904096B.PI-20190418A.PI-20190422A.PI-20190307A</t>
        </r>
      </text>
    </comment>
    <comment ref="G451" authorId="0" shapeId="0" xr:uid="{0F1E1A36-7CEA-4F4C-A63B-A8EECF743B9D}">
      <text>
        <r>
          <rPr>
            <sz val="10"/>
            <color rgb="FF000000"/>
            <rFont val="Aptos Narrow"/>
            <scheme val="minor"/>
          </rPr>
          <t>======
ID#AAABjx7qMu4
    (2025-05-21 11:33:23)
180221 Tammy: project price for over 50pcs/lot</t>
        </r>
      </text>
    </comment>
    <comment ref="H451" authorId="0" shapeId="0" xr:uid="{795EA00C-C767-1F40-86AC-CB3EC78938BB}">
      <text>
        <r>
          <rPr>
            <sz val="10"/>
            <color rgb="FF000000"/>
            <rFont val="Aptos Narrow"/>
            <scheme val="minor"/>
          </rPr>
          <t>======
ID#AAABjx7qRtY
    (2025-05-21 11:33:25)
Alice:6/17-水單匯入USD10046沖PI-201904096B.PI-20190418A.PI-20190422A.PI-20190307A</t>
        </r>
      </text>
    </comment>
    <comment ref="H452" authorId="0" shapeId="0" xr:uid="{8827A25F-A0C3-F644-A0EE-EC8EF132749F}">
      <text>
        <r>
          <rPr>
            <sz val="10"/>
            <color rgb="FF000000"/>
            <rFont val="Aptos Narrow"/>
            <scheme val="minor"/>
          </rPr>
          <t>======
ID#AAABjx7qTNA
    (2025-05-21 11:33:26)
alice:7/4-水單匯入USD4316.9沖PI-20190422B.沖PI-20190507B.沖PI-20190513A</t>
        </r>
      </text>
    </comment>
    <comment ref="M452" authorId="0" shapeId="0" xr:uid="{866ADEF2-8E40-A24A-A150-05A40EA726B7}">
      <text>
        <r>
          <rPr>
            <sz val="10"/>
            <color rgb="FF000000"/>
            <rFont val="Aptos Narrow"/>
            <scheme val="minor"/>
          </rPr>
          <t>======
ID#AAABjx7qSvE
    (2025-05-21 11:33:26)
0422 Tammy 告知 與4/29貨一起走</t>
        </r>
      </text>
    </comment>
    <comment ref="O452" authorId="0" shapeId="0" xr:uid="{A9F9D214-A681-6E48-AD70-272827BBE972}">
      <text>
        <r>
          <rPr>
            <sz val="10"/>
            <color rgb="FF000000"/>
            <rFont val="Aptos Narrow"/>
            <scheme val="minor"/>
          </rPr>
          <t>======
ID#AAABjx7qQpw
    (2025-05-21 11:33:25)
0422 Cathy 下單</t>
        </r>
      </text>
    </comment>
    <comment ref="H453" authorId="0" shapeId="0" xr:uid="{9B157166-220C-1744-B1EB-F828348DD6AF}">
      <text>
        <r>
          <rPr>
            <sz val="10"/>
            <color rgb="FF000000"/>
            <rFont val="Aptos Narrow"/>
            <scheme val="minor"/>
          </rPr>
          <t>======
ID#AAABjx7qO8o
    (2025-05-21 11:33:24)
alice:7/4-水單匯入USD4316.9沖PI-20190422B.沖PI-20190507B.沖PI-20190513A</t>
        </r>
      </text>
    </comment>
    <comment ref="M453" authorId="0" shapeId="0" xr:uid="{A48B6012-E4CF-E44C-B307-60141A73761D}">
      <text>
        <r>
          <rPr>
            <sz val="10"/>
            <color rgb="FF000000"/>
            <rFont val="Aptos Narrow"/>
            <scheme val="minor"/>
          </rPr>
          <t>======
ID#AAABjx7qRLI
    (2025-05-21 11:33:25)
0422 Tammy 告知 與4/29貨一起走</t>
        </r>
      </text>
    </comment>
    <comment ref="O453" authorId="0" shapeId="0" xr:uid="{006AECDC-FD8A-9041-9D58-022B2DB828E1}">
      <text>
        <r>
          <rPr>
            <sz val="10"/>
            <color rgb="FF000000"/>
            <rFont val="Aptos Narrow"/>
            <scheme val="minor"/>
          </rPr>
          <t>======
ID#AAABjx7qM64
    (2025-05-21 11:33:23)
0422 Cathy 下單</t>
        </r>
      </text>
    </comment>
    <comment ref="H454" authorId="0" shapeId="0" xr:uid="{DEC7935A-4784-F146-92F9-2E5D57F44172}">
      <text>
        <r>
          <rPr>
            <sz val="10"/>
            <color rgb="FF000000"/>
            <rFont val="Aptos Narrow"/>
            <scheme val="minor"/>
          </rPr>
          <t>======
ID#AAABjx7qVi4
    (2025-05-21 11:33:27)
alice:7/4-水單匯入USD4316.9沖PI-20190422B.沖PI-20190507B.沖PI-20190513A</t>
        </r>
      </text>
    </comment>
    <comment ref="M454" authorId="0" shapeId="0" xr:uid="{85302AC1-8819-C94C-ACE3-AD49ABC188AB}">
      <text>
        <r>
          <rPr>
            <sz val="10"/>
            <color rgb="FF000000"/>
            <rFont val="Aptos Narrow"/>
            <scheme val="minor"/>
          </rPr>
          <t>======
ID#AAABjx7qWag
    (2025-05-21 11:33:27)
0422 Tammy 告知 與4/29貨一起走</t>
        </r>
      </text>
    </comment>
    <comment ref="O454" authorId="0" shapeId="0" xr:uid="{CE1C4DA6-E239-664F-B2CA-AE1BC771A1AA}">
      <text>
        <r>
          <rPr>
            <sz val="10"/>
            <color rgb="FF000000"/>
            <rFont val="Aptos Narrow"/>
            <scheme val="minor"/>
          </rPr>
          <t>======
ID#AAABjx7qN4E
    (2025-05-21 11:33:23)
0422 Cathy 下單</t>
        </r>
      </text>
    </comment>
    <comment ref="H455" authorId="0" shapeId="0" xr:uid="{3BFC6EDF-3825-C34F-9A59-6ABAE393CE5A}">
      <text>
        <r>
          <rPr>
            <sz val="10"/>
            <color rgb="FF000000"/>
            <rFont val="Aptos Narrow"/>
            <scheme val="minor"/>
          </rPr>
          <t>======
ID#AAABjx7qN5w
    (2025-05-21 11:33:23)
alice:7/4-水單匯入USD4316.9沖PI-20190422B.沖PI-20190507B.沖PI-20190513A</t>
        </r>
      </text>
    </comment>
    <comment ref="M455" authorId="0" shapeId="0" xr:uid="{1CC6C517-8FD7-C24B-9F79-E5096A6C88E0}">
      <text>
        <r>
          <rPr>
            <sz val="10"/>
            <color rgb="FF000000"/>
            <rFont val="Aptos Narrow"/>
            <scheme val="minor"/>
          </rPr>
          <t>======
ID#AAABjx7qSMM
    (2025-05-21 11:33:26)
0422 Tammy 告知 與4/29貨一起走</t>
        </r>
      </text>
    </comment>
    <comment ref="O455" authorId="0" shapeId="0" xr:uid="{C510BB78-1345-B840-9FC7-320EC0B4EBF2}">
      <text>
        <r>
          <rPr>
            <sz val="10"/>
            <color rgb="FF000000"/>
            <rFont val="Aptos Narrow"/>
            <scheme val="minor"/>
          </rPr>
          <t>======
ID#AAABjx7qRdQ
    (2025-05-21 11:33:25)
0422 Cathy 下單</t>
        </r>
      </text>
    </comment>
    <comment ref="H456" authorId="0" shapeId="0" xr:uid="{8C66167F-EBAA-0648-8AD9-BFA80D2CEA8E}">
      <text>
        <r>
          <rPr>
            <sz val="10"/>
            <color rgb="FF000000"/>
            <rFont val="Aptos Narrow"/>
            <scheme val="minor"/>
          </rPr>
          <t>======
ID#AAABjx7qNWc
    (2025-05-21 11:33:23)
ALICE:5/6-銀行電文通知USD12495.8(沖PI-20190422C.PI-20190424A)</t>
        </r>
      </text>
    </comment>
    <comment ref="H457" authorId="0" shapeId="0" xr:uid="{5262D7AC-5B68-A24C-A3C3-395D5DF8D104}">
      <text>
        <r>
          <rPr>
            <sz val="10"/>
            <color rgb="FF000000"/>
            <rFont val="Aptos Narrow"/>
            <scheme val="minor"/>
          </rPr>
          <t>======
ID#AAABjx7qTA4
    (2025-05-21 11:33:26)
ALICE:5/6-銀行電文通知USD12495.8(沖PI-20190422C.PI-20190424A)</t>
        </r>
      </text>
    </comment>
    <comment ref="H458" authorId="0" shapeId="0" xr:uid="{14C0CD08-668E-1A4E-8925-0F44ADD27423}">
      <text>
        <r>
          <rPr>
            <sz val="10"/>
            <color rgb="FF000000"/>
            <rFont val="Aptos Narrow"/>
            <scheme val="minor"/>
          </rPr>
          <t>======
ID#AAABjx7qSog
    (2025-05-21 11:33:26)
ALICE:6/19-合庫匯入NT188769元整</t>
        </r>
      </text>
    </comment>
    <comment ref="H459" authorId="0" shapeId="0" xr:uid="{CE1B6A58-6848-754C-8DDE-5D91CBCC3C94}">
      <text>
        <r>
          <rPr>
            <sz val="10"/>
            <color rgb="FF000000"/>
            <rFont val="Aptos Narrow"/>
            <scheme val="minor"/>
          </rPr>
          <t>======
ID#AAABjx7qUuQ
    (2025-05-21 11:33:26)
ALICE:5/6-銀行電文通知USD12495.8(沖PI-20190422C.PI-20190424A)</t>
        </r>
      </text>
    </comment>
    <comment ref="O459" authorId="0" shapeId="0" xr:uid="{AAC067C7-C5D2-DA47-8890-392465C8A8D1}">
      <text>
        <r>
          <rPr>
            <sz val="10"/>
            <color rgb="FF000000"/>
            <rFont val="Aptos Narrow"/>
            <scheme val="minor"/>
          </rPr>
          <t>======
ID#AAABjx7qM54
    (2025-05-21 11:33:23)
0424 Cathy下單</t>
        </r>
      </text>
    </comment>
    <comment ref="H460" authorId="0" shapeId="0" xr:uid="{72D36749-65A0-4746-A5FE-3243DD79B70D}">
      <text>
        <r>
          <rPr>
            <sz val="10"/>
            <color rgb="FF000000"/>
            <rFont val="Aptos Narrow"/>
            <scheme val="minor"/>
          </rPr>
          <t>======
ID#AAABjx7qQVE
    (2025-05-21 11:33:25)
ALICE:5/6-銀行電文通知USD12495.8(沖PI-20190422C.PI-20190424A)</t>
        </r>
      </text>
    </comment>
    <comment ref="O460" authorId="0" shapeId="0" xr:uid="{7CD26592-5AE6-5649-85CC-666AA5B4090B}">
      <text>
        <r>
          <rPr>
            <sz val="10"/>
            <color rgb="FF000000"/>
            <rFont val="Aptos Narrow"/>
            <scheme val="minor"/>
          </rPr>
          <t>======
ID#AAABjx7qTMs
    (2025-05-21 11:33:26)
0424 Cathy下單</t>
        </r>
      </text>
    </comment>
    <comment ref="H461" authorId="0" shapeId="0" xr:uid="{798D0ED8-BC2D-5942-A14F-1A7ACB0AC865}">
      <text>
        <r>
          <rPr>
            <sz val="10"/>
            <color rgb="FF000000"/>
            <rFont val="Aptos Narrow"/>
            <scheme val="minor"/>
          </rPr>
          <t>======
ID#AAABjx7qOHY
    (2025-05-21 11:33:24)
alice:2019/05/17水單通知USD19768沖3/4A $1995.3/4A-1$4152.3/4A-1-F $232.3/8B-F $57.12/21A-2-F $144.3/4A-1 $189.10/22C-2 $10227.12/21A-1 $2772.如上總計共USD19768</t>
        </r>
      </text>
    </comment>
    <comment ref="O461" authorId="0" shapeId="0" xr:uid="{8DB32C94-B27D-464E-980C-BC4BCD38E6C5}">
      <text>
        <r>
          <rPr>
            <sz val="10"/>
            <color rgb="FF000000"/>
            <rFont val="Aptos Narrow"/>
            <scheme val="minor"/>
          </rPr>
          <t>======
ID#AAABjx7qOW8
    (2025-05-21 11:33:24)
0325 Cathy 下單</t>
        </r>
      </text>
    </comment>
    <comment ref="D462" authorId="0" shapeId="0" xr:uid="{7AD45D1B-F8EC-144D-B871-4B9691811657}">
      <text>
        <r>
          <rPr>
            <sz val="10"/>
            <color rgb="FF000000"/>
            <rFont val="Aptos Narrow"/>
            <scheme val="minor"/>
          </rPr>
          <t>======
ID#AAABjx7qVzw
    (2025-05-21 11:33:27)
0426 Cathy 通知Tammy 下單</t>
        </r>
      </text>
    </comment>
    <comment ref="H462" authorId="0" shapeId="0" xr:uid="{4922E86A-51F6-7745-9571-1E22F754E67A}">
      <text>
        <r>
          <rPr>
            <sz val="10"/>
            <color rgb="FF000000"/>
            <rFont val="Aptos Narrow"/>
            <scheme val="minor"/>
          </rPr>
          <t>======
ID#AAABjx7qSuY
    (2025-05-21 11:33:26)
5/28-收到芳慎支票 5/30-AK4244782台銀松江  金額3541元整</t>
        </r>
      </text>
    </comment>
    <comment ref="D463" authorId="0" shapeId="0" xr:uid="{689F5772-331D-8143-9349-343289F9708F}">
      <text>
        <r>
          <rPr>
            <sz val="10"/>
            <color rgb="FF000000"/>
            <rFont val="Aptos Narrow"/>
            <scheme val="minor"/>
          </rPr>
          <t>======
ID#AAABjx7qSyk
    (2025-05-21 11:33:26)
0426 已mail倉管提供物料</t>
        </r>
      </text>
    </comment>
    <comment ref="H463" authorId="0" shapeId="0" xr:uid="{C3355412-0F3B-F049-B08E-FF1ABD4D9963}">
      <text>
        <r>
          <rPr>
            <sz val="10"/>
            <color rgb="FF000000"/>
            <rFont val="Aptos Narrow"/>
            <scheme val="minor"/>
          </rPr>
          <t>======
ID#AAABjx7qRqI
    (2025-05-21 11:33:25)
5/28-收到芳慎支票 5/30-AK4244782台銀松江  金額3541元整</t>
        </r>
      </text>
    </comment>
    <comment ref="M463" authorId="0" shapeId="0" xr:uid="{70FD3D3A-DB02-8C44-ADA1-BDC1BCFD9BAF}">
      <text>
        <r>
          <rPr>
            <sz val="10"/>
            <color rgb="FF000000"/>
            <rFont val="Aptos Narrow"/>
            <scheme val="minor"/>
          </rPr>
          <t>======
ID#AAABjx7qPbE
    (2025-05-21 11:33:24)
0426已提供給yvonne</t>
        </r>
      </text>
    </comment>
    <comment ref="D464" authorId="0" shapeId="0" xr:uid="{0A59278E-A14E-9A47-BD10-720D5B1F9306}">
      <text>
        <r>
          <rPr>
            <sz val="10"/>
            <color rgb="FF000000"/>
            <rFont val="Aptos Narrow"/>
            <scheme val="minor"/>
          </rPr>
          <t>======
ID#AAABjx7qOQA
    (2025-05-21 11:33:24)
190429 給TPOLE的PI號RMA-20190307A</t>
        </r>
      </text>
    </comment>
    <comment ref="H464" authorId="0" shapeId="0" xr:uid="{EB20D887-B0ED-5C40-88EC-F3A92484BD52}">
      <text>
        <r>
          <rPr>
            <sz val="10"/>
            <color rgb="FF000000"/>
            <rFont val="Aptos Narrow"/>
            <scheme val="minor"/>
          </rPr>
          <t>======
ID#AAABjx7qP2M
    (2025-05-21 11:33:24)
Alice:6/17-水單匯入USD10046沖PI-201904096B.PI-20190418A.PI-20190422A.PI-20190307A</t>
        </r>
      </text>
    </comment>
    <comment ref="U464" authorId="0" shapeId="0" xr:uid="{3FD784A2-1518-CF43-9916-66846BA7A64E}">
      <text>
        <r>
          <rPr>
            <sz val="10"/>
            <color rgb="FF000000"/>
            <rFont val="Aptos Narrow"/>
            <scheme val="minor"/>
          </rPr>
          <t>======
ID#AAABjx7qPrI
    (2025-05-21 11:33:24)
廣積維修成本(含稅)</t>
        </r>
      </text>
    </comment>
    <comment ref="H465" authorId="0" shapeId="0" xr:uid="{AF2ACB47-50DC-0442-8714-6188F66B703A}">
      <text>
        <r>
          <rPr>
            <sz val="10"/>
            <color rgb="FF000000"/>
            <rFont val="Aptos Narrow"/>
            <scheme val="minor"/>
          </rPr>
          <t>======
ID#AAABjx7qWVM
    (2025-05-21 11:33:27)
ALICE:5/27-水單匯入USD4578*31.43</t>
        </r>
      </text>
    </comment>
    <comment ref="O465" authorId="0" shapeId="0" xr:uid="{B6C402F1-723E-514E-817E-DF58D2556C71}">
      <text>
        <r>
          <rPr>
            <sz val="10"/>
            <color rgb="FF000000"/>
            <rFont val="Aptos Narrow"/>
            <scheme val="minor"/>
          </rPr>
          <t>======
ID#AAABjx7qNbQ
    (2025-05-21 11:33:23)
0502 Cathy 下單</t>
        </r>
      </text>
    </comment>
    <comment ref="H466" authorId="0" shapeId="0" xr:uid="{914C16F2-B4C5-F54D-B3D6-8CA19553998E}">
      <text>
        <r>
          <rPr>
            <sz val="10"/>
            <color rgb="FF000000"/>
            <rFont val="Aptos Narrow"/>
            <scheme val="minor"/>
          </rPr>
          <t>======
ID#AAABjx7qRCg
    (2025-05-21 11:33:25)
ALICE:5/27-水單匯入USD4578*31.43</t>
        </r>
      </text>
    </comment>
    <comment ref="O466" authorId="0" shapeId="0" xr:uid="{FFBF59AD-C3FA-9F40-9B04-BA7946B70CE1}">
      <text>
        <r>
          <rPr>
            <sz val="10"/>
            <color rgb="FF000000"/>
            <rFont val="Aptos Narrow"/>
            <scheme val="minor"/>
          </rPr>
          <t>======
ID#AAABjx7qUwY
    (2025-05-21 11:33:26)
0502 Cathy 下單</t>
        </r>
      </text>
    </comment>
    <comment ref="H467" authorId="0" shapeId="0" xr:uid="{EA79D655-1AFC-224B-AC02-E3877D66843B}">
      <text>
        <r>
          <rPr>
            <sz val="10"/>
            <color rgb="FF000000"/>
            <rFont val="Aptos Narrow"/>
            <scheme val="minor"/>
          </rPr>
          <t>======
ID#AAABjx7qPT4
    (2025-05-21 11:33:24)
ALICE:5/27-水單匯入USD4578*31.43</t>
        </r>
      </text>
    </comment>
    <comment ref="O467" authorId="0" shapeId="0" xr:uid="{5BEF1BA5-8E81-644D-9DF0-ADD57F66B710}">
      <text>
        <r>
          <rPr>
            <sz val="10"/>
            <color rgb="FF000000"/>
            <rFont val="Aptos Narrow"/>
            <scheme val="minor"/>
          </rPr>
          <t>======
ID#AAABjx7qSRs
    (2025-05-21 11:33:26)
0503 Cathy 下單</t>
        </r>
      </text>
    </comment>
    <comment ref="E468" authorId="0" shapeId="0" xr:uid="{4990C74E-6F41-2E46-A572-E01FB6993924}">
      <text>
        <r>
          <rPr>
            <sz val="10"/>
            <color rgb="FF000000"/>
            <rFont val="Aptos Narrow"/>
            <scheme val="minor"/>
          </rPr>
          <t>======
ID#AAABjx7qN-A
    (2025-05-21 11:33:23)
24"Panel PC &amp; VESA 裝入同一外箱</t>
        </r>
      </text>
    </comment>
    <comment ref="H468" authorId="0" shapeId="0" xr:uid="{3338F186-1EAA-544B-92C6-6D8D2A1D388B}">
      <text>
        <r>
          <rPr>
            <sz val="10"/>
            <color rgb="FF000000"/>
            <rFont val="Aptos Narrow"/>
            <scheme val="minor"/>
          </rPr>
          <t>======
ID#AAABjx7qV8c
    (2025-05-21 11:33:27)
ALICE:5/27-水單匯入USD4578*31.43</t>
        </r>
      </text>
    </comment>
    <comment ref="H469" authorId="0" shapeId="0" xr:uid="{7287F0AE-E97E-704E-AF93-5E7ED4B16414}">
      <text>
        <r>
          <rPr>
            <sz val="10"/>
            <color rgb="FF000000"/>
            <rFont val="Aptos Narrow"/>
            <scheme val="minor"/>
          </rPr>
          <t>======
ID#AAABjx7qN0c
    (2025-05-21 11:33:23)
ALICE:5/27-水單匯入USD4578*31.43</t>
        </r>
      </text>
    </comment>
    <comment ref="D472" authorId="0" shapeId="0" xr:uid="{837FB3EF-051F-2149-B590-95A62B4B7B34}">
      <text>
        <r>
          <rPr>
            <sz val="10"/>
            <color rgb="FF000000"/>
            <rFont val="Aptos Narrow"/>
            <scheme val="minor"/>
          </rPr>
          <t>======
ID#AAABjx7qV3E
    (2025-05-21 11:33:27)
0502 mail請Tammy 下單</t>
        </r>
      </text>
    </comment>
    <comment ref="H472" authorId="0" shapeId="0" xr:uid="{7969698A-25CB-9A4A-BFE7-3B25BD036A66}">
      <text>
        <r>
          <rPr>
            <sz val="10"/>
            <color rgb="FF000000"/>
            <rFont val="Aptos Narrow"/>
            <scheme val="minor"/>
          </rPr>
          <t>======
ID#AAABjx7qPdU
    (2025-05-21 11:33:24)
Alice:2019/05/16-收到銀行合庫匯入通知NT194,325元整(沖PI-20190502C.PI-20190507A)手續費0</t>
        </r>
      </text>
    </comment>
    <comment ref="K472" authorId="0" shapeId="0" xr:uid="{38A851D7-E90A-604F-986C-A4CD6E740F38}">
      <text>
        <r>
          <rPr>
            <sz val="10"/>
            <color rgb="FF000000"/>
            <rFont val="Aptos Narrow"/>
            <scheme val="minor"/>
          </rPr>
          <t>======
ID#AAABjx7qWJw
    (2025-05-21 11:33:27)
貨交台灣
新北市汐止市合順街18巷23弄11號5摟</t>
        </r>
      </text>
    </comment>
    <comment ref="AK472" authorId="0" shapeId="0" xr:uid="{9E1CD995-398D-3A47-8A7B-915EB8E28C59}">
      <text>
        <r>
          <rPr>
            <sz val="10"/>
            <color rgb="FF000000"/>
            <rFont val="Aptos Narrow"/>
            <scheme val="minor"/>
          </rPr>
          <t>======
ID#AAABjx7qOa4
    (2025-05-21 11:33:24)
Alice:2019/05/16-收到銀行合庫匯入通知NT194,325元整(沖PI-20190502C.PI-20190507A)手續費0</t>
        </r>
      </text>
    </comment>
    <comment ref="D473" authorId="0" shapeId="0" xr:uid="{E5B50C4B-025B-774E-AD89-15144937131A}">
      <text>
        <r>
          <rPr>
            <sz val="10"/>
            <color rgb="FF000000"/>
            <rFont val="Aptos Narrow"/>
            <scheme val="minor"/>
          </rPr>
          <t>======
ID#AAABjx7qTl8
    (2025-05-21 11:33:26)
0502 mail請Tammy 下單</t>
        </r>
      </text>
    </comment>
    <comment ref="H473" authorId="0" shapeId="0" xr:uid="{7F36280F-57A1-7443-A7B0-595AD4464FC8}">
      <text>
        <r>
          <rPr>
            <sz val="10"/>
            <color rgb="FF000000"/>
            <rFont val="Aptos Narrow"/>
            <scheme val="minor"/>
          </rPr>
          <t>======
ID#AAABjx7qUss
    (2025-05-21 11:33:26)
Alice:2019/05/16-收到銀行合庫匯入通知NT194,325元整(沖PI-20190502C.PI-20190507A)手續費0</t>
        </r>
      </text>
    </comment>
    <comment ref="K473" authorId="0" shapeId="0" xr:uid="{3F57BD66-6840-794B-89DD-39052E651EEF}">
      <text>
        <r>
          <rPr>
            <sz val="10"/>
            <color rgb="FF000000"/>
            <rFont val="Aptos Narrow"/>
            <scheme val="minor"/>
          </rPr>
          <t>======
ID#AAABjx7qOXc
    (2025-05-21 11:33:24)
貨交台灣
新北市汐止市合順街18巷23弄11號5摟</t>
        </r>
      </text>
    </comment>
    <comment ref="AK473" authorId="0" shapeId="0" xr:uid="{158CBD00-98B2-AF4C-8A51-6A64D001419E}">
      <text>
        <r>
          <rPr>
            <sz val="10"/>
            <color rgb="FF000000"/>
            <rFont val="Aptos Narrow"/>
            <scheme val="minor"/>
          </rPr>
          <t>======
ID#AAABjx7qTkc
    (2025-05-21 11:33:26)
Alice:2019/05/16-收到銀行合庫匯入通知NT194,325元整(沖PI-20190502C.PI-20190507A)手續費0</t>
        </r>
      </text>
    </comment>
    <comment ref="F475" authorId="0" shapeId="0" xr:uid="{5F8D4740-DFC5-2A4E-A12B-D1CCE85D6346}">
      <text>
        <r>
          <rPr>
            <sz val="10"/>
            <color rgb="FF000000"/>
            <rFont val="Aptos Narrow"/>
            <scheme val="minor"/>
          </rPr>
          <t>======
ID#AAABjx7qPc4
    (2025-05-21 11:33:24)
在此輸入
7/15 30 pcs ADVANTECH INFORM EOL CANCEL ORDER</t>
        </r>
      </text>
    </comment>
    <comment ref="K475" authorId="0" shapeId="0" xr:uid="{6B67082D-F7E4-B348-8821-545B31A51FDC}">
      <text>
        <r>
          <rPr>
            <sz val="10"/>
            <color rgb="FF000000"/>
            <rFont val="Aptos Narrow"/>
            <scheme val="minor"/>
          </rPr>
          <t>======
ID#AAABjx7qOzM
    (2025-05-21 11:33:24)
EOL Confirmed</t>
        </r>
      </text>
    </comment>
    <comment ref="M475" authorId="0" shapeId="0" xr:uid="{C6A0C94D-1BF9-B04C-9A0D-2638DAB32C9A}">
      <text>
        <r>
          <rPr>
            <sz val="10"/>
            <color rgb="FF000000"/>
            <rFont val="Aptos Narrow"/>
            <scheme val="minor"/>
          </rPr>
          <t>======
ID#AAABjx7qU_s
    (2025-05-21 11:33:27)
6/6 IC EOL</t>
        </r>
      </text>
    </comment>
    <comment ref="O475" authorId="0" shapeId="0" xr:uid="{65E8041B-6A1A-054E-9236-0D4B836102A9}">
      <text>
        <r>
          <rPr>
            <sz val="10"/>
            <color rgb="FF000000"/>
            <rFont val="Aptos Narrow"/>
            <scheme val="minor"/>
          </rPr>
          <t>======
ID#AAABjx7qSiY
    (2025-05-21 11:33:26)
在此輸入
在此輸入
0503 Cathy 下單
0610 kevin 告知ic EOL 故預計於6月中提供通知書給AMY 與客人解釋，沒有Solution</t>
        </r>
      </text>
    </comment>
    <comment ref="H476" authorId="0" shapeId="0" xr:uid="{496672EE-BF29-9544-8E63-891FF97FAF9B}">
      <text>
        <r>
          <rPr>
            <sz val="10"/>
            <color rgb="FF000000"/>
            <rFont val="Aptos Narrow"/>
            <scheme val="minor"/>
          </rPr>
          <t>======
ID#AAABjx7qSuQ
    (2025-05-21 11:33:26)
Alice:2019/05/16-收到銀行合庫匯入通知NT194,325元整(沖PI-20190502C.PI-20190507A)手續費0</t>
        </r>
      </text>
    </comment>
    <comment ref="K476" authorId="0" shapeId="0" xr:uid="{7806EA29-C065-4143-AE97-5F02411224CC}">
      <text>
        <r>
          <rPr>
            <sz val="10"/>
            <color rgb="FF000000"/>
            <rFont val="Aptos Narrow"/>
            <scheme val="minor"/>
          </rPr>
          <t>======
ID#AAABjx7qSX0
    (2025-05-21 11:33:26)
貨交台灣
新北市汐止市合順街18巷23弄11號5摟</t>
        </r>
      </text>
    </comment>
    <comment ref="M476" authorId="0" shapeId="0" xr:uid="{77C70D74-8873-3140-8FE5-3436821519AC}">
      <text>
        <r>
          <rPr>
            <sz val="10"/>
            <color rgb="FF000000"/>
            <rFont val="Aptos Narrow"/>
            <scheme val="minor"/>
          </rPr>
          <t>======
ID#AAABjx7qOB4
    (2025-05-21 11:33:24)
貨交台灣
新北市汐止市合順街18巷23弄11號5摟</t>
        </r>
      </text>
    </comment>
    <comment ref="AK476" authorId="0" shapeId="0" xr:uid="{6BB0F3DC-7DAD-C945-B67F-5C8082B6998C}">
      <text>
        <r>
          <rPr>
            <sz val="10"/>
            <color rgb="FF000000"/>
            <rFont val="Aptos Narrow"/>
            <scheme val="minor"/>
          </rPr>
          <t>======
ID#AAABj82dpKo
    (2025-05-21 11:33:23)
Alice:2019/05/16-收到銀行合庫匯入通知NT194,325元整(沖PI-20190502C.PI-20190507A)手續費0</t>
        </r>
      </text>
    </comment>
    <comment ref="H477" authorId="0" shapeId="0" xr:uid="{355B3607-06F5-D446-B709-324CF569BB25}">
      <text>
        <r>
          <rPr>
            <sz val="10"/>
            <color rgb="FF000000"/>
            <rFont val="Aptos Narrow"/>
            <scheme val="minor"/>
          </rPr>
          <t>======
ID#AAABjx7qSR8
    (2025-05-21 11:33:26)
alice:7/4-水單匯入USD4316.9沖PI-20190422B.沖PI-20190507B.沖PI-20190513A</t>
        </r>
      </text>
    </comment>
    <comment ref="O477" authorId="0" shapeId="0" xr:uid="{B8C3A054-8443-F64B-987F-EA8AB9B8E9E8}">
      <text>
        <r>
          <rPr>
            <sz val="10"/>
            <color rgb="FF000000"/>
            <rFont val="Aptos Narrow"/>
            <scheme val="minor"/>
          </rPr>
          <t>======
ID#AAABjx7qPa4
    (2025-05-21 11:33:24)
0507 Cathy下單</t>
        </r>
      </text>
    </comment>
    <comment ref="H478" authorId="0" shapeId="0" xr:uid="{AF260190-8E1B-AC40-9704-57CBBA0EDBD7}">
      <text>
        <r>
          <rPr>
            <sz val="10"/>
            <color rgb="FF000000"/>
            <rFont val="Aptos Narrow"/>
            <scheme val="minor"/>
          </rPr>
          <t>======
ID#AAABjx7qPpA
    (2025-05-21 11:33:24)
alice:7/4-水單匯入USD4316.9沖PI-20190422B.沖PI-20190507B.沖PI-20190513A</t>
        </r>
      </text>
    </comment>
    <comment ref="O478" authorId="0" shapeId="0" xr:uid="{87319A85-0B3A-2149-A09A-EC4DDB6E5CEE}">
      <text>
        <r>
          <rPr>
            <sz val="10"/>
            <color rgb="FF000000"/>
            <rFont val="Aptos Narrow"/>
            <scheme val="minor"/>
          </rPr>
          <t>======
ID#AAABjx7qWEk
    (2025-05-21 11:33:27)
0507 Cathy下單</t>
        </r>
      </text>
    </comment>
    <comment ref="E479" authorId="0" shapeId="0" xr:uid="{9D205177-1A36-EF42-AAC7-81A22C73CF39}">
      <text>
        <r>
          <rPr>
            <sz val="10"/>
            <color rgb="FF000000"/>
            <rFont val="Aptos Narrow"/>
            <scheme val="minor"/>
          </rPr>
          <t>======
ID#AAABjx7qTjg
    (2025-05-21 11:33:26)
下單請用FPM2150GR3B1601E-T
出貨文件上秀:
FPM-2150G-R3BE
(FPM2150GRB1601E-T)</t>
        </r>
      </text>
    </comment>
    <comment ref="H479" authorId="0" shapeId="0" xr:uid="{4895E7D8-0D5F-D44C-84FC-1699FCB609B1}">
      <text>
        <r>
          <rPr>
            <sz val="10"/>
            <color rgb="FF000000"/>
            <rFont val="Aptos Narrow"/>
            <scheme val="minor"/>
          </rPr>
          <t>======
ID#AAABjx7qQEA
    (2025-05-21 11:33:25)
alice:7/4-水單匯入USD4316.9沖PI-20190422B.沖PI-20190507B.沖PI-20190513A</t>
        </r>
      </text>
    </comment>
    <comment ref="O479" authorId="0" shapeId="0" xr:uid="{5CB45D7E-6A25-CC40-99D1-1A8F3BB8FEB7}">
      <text>
        <r>
          <rPr>
            <sz val="10"/>
            <color rgb="FF000000"/>
            <rFont val="Aptos Narrow"/>
            <scheme val="minor"/>
          </rPr>
          <t>======
ID#AAABjx7qSF0
    (2025-05-21 11:33:26)
0507 Cathy下單</t>
        </r>
      </text>
    </comment>
    <comment ref="U479" authorId="0" shapeId="0" xr:uid="{33E70622-B885-F941-B54D-6404C4B82165}">
      <text>
        <r>
          <rPr>
            <sz val="10"/>
            <color rgb="FF000000"/>
            <rFont val="Aptos Narrow"/>
            <scheme val="minor"/>
          </rPr>
          <t>======
ID#AAABjx7qQq4
    (2025-05-21 11:33:25)
15824</t>
        </r>
      </text>
    </comment>
    <comment ref="H480" authorId="0" shapeId="0" xr:uid="{0945ECFE-506B-DF43-B394-431F0AF8AD2A}">
      <text>
        <r>
          <rPr>
            <sz val="10"/>
            <color rgb="FF000000"/>
            <rFont val="Aptos Narrow"/>
            <scheme val="minor"/>
          </rPr>
          <t>======
ID#AAABjx7qR_U
    (2025-05-21 11:33:25)
alice:7/4-水單匯入USD4316.9沖PI-20190422B.沖PI-20190507B.沖PI-20190513A</t>
        </r>
      </text>
    </comment>
    <comment ref="O480" authorId="0" shapeId="0" xr:uid="{27659739-C34B-854D-92AA-2335B2BC538D}">
      <text>
        <r>
          <rPr>
            <sz val="10"/>
            <color rgb="FF000000"/>
            <rFont val="Aptos Narrow"/>
            <scheme val="minor"/>
          </rPr>
          <t>======
ID#AAABjx7qQGU
    (2025-05-21 11:33:25)
0507 Cathy下單</t>
        </r>
      </text>
    </comment>
    <comment ref="F481" authorId="0" shapeId="0" xr:uid="{8E7EC94B-E2B6-D04D-95F4-586CC60A3FBE}">
      <text>
        <r>
          <rPr>
            <sz val="10"/>
            <color rgb="FF000000"/>
            <rFont val="Aptos Narrow"/>
            <scheme val="minor"/>
          </rPr>
          <t>======
ID#AAABjx7qWZI
    (2025-05-21 11:33:27)
0513 santi 告知修改數量</t>
        </r>
      </text>
    </comment>
    <comment ref="H481" authorId="0" shapeId="0" xr:uid="{9041A8AE-67E1-6241-B67A-0769A31EF588}">
      <text>
        <r>
          <rPr>
            <sz val="10"/>
            <color rgb="FF000000"/>
            <rFont val="Aptos Narrow"/>
            <scheme val="minor"/>
          </rPr>
          <t>======
ID#AAABj82dpOs
    (2025-05-21 11:33:23)
ALICE:6/17-玉山匯入17810沖PI-20190508A.沖PI-20190604C</t>
        </r>
      </text>
    </comment>
    <comment ref="O481" authorId="0" shapeId="0" xr:uid="{881BB045-2359-9148-B733-4DBFFE2ACEBE}">
      <text>
        <r>
          <rPr>
            <sz val="10"/>
            <color rgb="FF000000"/>
            <rFont val="Aptos Narrow"/>
            <scheme val="minor"/>
          </rPr>
          <t>======
ID#AAABjx7qV_c
    (2025-05-21 11:33:27)
0508 Cathy下單 
0513 詢問可否</t>
        </r>
      </text>
    </comment>
    <comment ref="AK481" authorId="0" shapeId="0" xr:uid="{F477EBBF-F375-CE40-91C5-DC86058FCBD3}">
      <text>
        <r>
          <rPr>
            <sz val="10"/>
            <color rgb="FF000000"/>
            <rFont val="Aptos Narrow"/>
            <scheme val="minor"/>
          </rPr>
          <t>======
ID#AAABjx7qMvg
    (2025-05-21 11:33:23)
ALICE:6/17-玉山匯入17810沖PI-20190508A.沖PI-20190604C</t>
        </r>
      </text>
    </comment>
    <comment ref="H482" authorId="0" shapeId="0" xr:uid="{DFF7DA29-BCF9-174B-9050-507BCD4C2E7B}">
      <text>
        <r>
          <rPr>
            <sz val="10"/>
            <color rgb="FF000000"/>
            <rFont val="Aptos Narrow"/>
            <scheme val="minor"/>
          </rPr>
          <t>======
ID#AAABj82dpFU
    (2025-05-21 11:33:23)
alice:6/20銀行水單匯入USD4462 沖PI20190107A.PI-20190318B.PI-20190508B.PI-20181022C-2-F</t>
        </r>
      </text>
    </comment>
    <comment ref="O482" authorId="0" shapeId="0" xr:uid="{FC66628E-91E3-6F4D-BA4E-39361BE588CC}">
      <text>
        <r>
          <rPr>
            <sz val="10"/>
            <color rgb="FF000000"/>
            <rFont val="Aptos Narrow"/>
            <scheme val="minor"/>
          </rPr>
          <t>======
ID#AAABjx7qWcQ
    (2025-05-21 11:33:27)
0508 Cathy 下單</t>
        </r>
      </text>
    </comment>
    <comment ref="H483" authorId="0" shapeId="0" xr:uid="{87E69977-8FAD-E644-A400-664F1DA0AFF4}">
      <text>
        <r>
          <rPr>
            <sz val="10"/>
            <color rgb="FF000000"/>
            <rFont val="Aptos Narrow"/>
            <scheme val="minor"/>
          </rPr>
          <t>======
ID#AAABjx7qNdM
    (2025-05-21 11:33:23)
alice:6/20銀行水單匯入USD4462 沖PI20190107A.PI-20190318B.PI-20190508B.PI-20181022C-2-F</t>
        </r>
      </text>
    </comment>
    <comment ref="H484" authorId="0" shapeId="0" xr:uid="{CF22FFB1-9DB9-034B-AFDC-36EE2EC18E3C}">
      <text>
        <r>
          <rPr>
            <sz val="10"/>
            <color rgb="FF000000"/>
            <rFont val="Aptos Narrow"/>
            <scheme val="minor"/>
          </rPr>
          <t>======
ID#AAABjx7qRik
    (2025-05-21 11:33:25)
alice:6/20銀行水單匯入USD4462 沖PI20190107A.PI-20190318B.PI-20190508B.PI-20181022C-2-F</t>
        </r>
      </text>
    </comment>
    <comment ref="O484" authorId="0" shapeId="0" xr:uid="{623248CC-7F63-5649-8ED7-55106A4DCBD2}">
      <text>
        <r>
          <rPr>
            <sz val="10"/>
            <color rgb="FF000000"/>
            <rFont val="Aptos Narrow"/>
            <scheme val="minor"/>
          </rPr>
          <t>======
ID#AAABjx7qTF0
    (2025-05-21 11:33:26)
0508 Cathy 下單</t>
        </r>
      </text>
    </comment>
    <comment ref="H485" authorId="0" shapeId="0" xr:uid="{468527E9-AA63-424F-B0D7-97350A0EB0C7}">
      <text>
        <r>
          <rPr>
            <sz val="10"/>
            <color rgb="FF000000"/>
            <rFont val="Aptos Narrow"/>
            <scheme val="minor"/>
          </rPr>
          <t>======
ID#AAABjx7qNpA
    (2025-05-21 11:33:23)
alice:6/20銀行水單匯入USD4462 沖PI20190107A.PI-20190318B.PI-20190508B.PI-20181022C-2-F</t>
        </r>
      </text>
    </comment>
    <comment ref="O485" authorId="0" shapeId="0" xr:uid="{93DDE0C5-8422-0748-B862-DB233FC3ED3F}">
      <text>
        <r>
          <rPr>
            <sz val="10"/>
            <color rgb="FF000000"/>
            <rFont val="Aptos Narrow"/>
            <scheme val="minor"/>
          </rPr>
          <t>======
ID#AAABjx7qSaI
    (2025-05-21 11:33:26)
0508 Cathy 下單</t>
        </r>
      </text>
    </comment>
    <comment ref="H486" authorId="0" shapeId="0" xr:uid="{616D1207-8352-7B47-A3A9-81187E1B6F25}">
      <text>
        <r>
          <rPr>
            <sz val="10"/>
            <color rgb="FF000000"/>
            <rFont val="Aptos Narrow"/>
            <scheme val="minor"/>
          </rPr>
          <t>======
ID#AAABjx7qSKQ
    (2025-05-21 11:33:26)
alice:6/20銀行水單匯入USD4462 沖PI20190107A.PI-20190318B.PI-20190508B.PI-20181022C-2-F</t>
        </r>
      </text>
    </comment>
    <comment ref="O486" authorId="0" shapeId="0" xr:uid="{F88DE272-57E4-694A-874F-9A0B33152163}">
      <text>
        <r>
          <rPr>
            <sz val="10"/>
            <color rgb="FF000000"/>
            <rFont val="Aptos Narrow"/>
            <scheme val="minor"/>
          </rPr>
          <t>======
ID#AAABjx7qQQM
    (2025-05-21 11:33:25)
0508 Cathy 下單</t>
        </r>
      </text>
    </comment>
    <comment ref="H487" authorId="0" shapeId="0" xr:uid="{36F36834-93DA-E643-9152-DFF1B18AB1AE}">
      <text>
        <r>
          <rPr>
            <sz val="10"/>
            <color rgb="FF000000"/>
            <rFont val="Aptos Narrow"/>
            <scheme val="minor"/>
          </rPr>
          <t>======
ID#AAABjx7qTDg
    (2025-05-21 11:33:26)
alice:6/20銀行水單匯入USD4462 沖PI20190107A.PI-20190318B.PI-20190508B.PI-20181022C-2-F</t>
        </r>
      </text>
    </comment>
    <comment ref="O487" authorId="0" shapeId="0" xr:uid="{9DFE57AD-CF77-3F48-9C95-2987F1E246F9}">
      <text>
        <r>
          <rPr>
            <sz val="10"/>
            <color rgb="FF000000"/>
            <rFont val="Aptos Narrow"/>
            <scheme val="minor"/>
          </rPr>
          <t>======
ID#AAABjx7qQeQ
    (2025-05-21 11:33:25)
0508 Cathy 下單</t>
        </r>
      </text>
    </comment>
    <comment ref="H488" authorId="0" shapeId="0" xr:uid="{471A8EC8-722B-7944-87C5-12CA7D9A7A40}">
      <text>
        <r>
          <rPr>
            <sz val="10"/>
            <color rgb="FF000000"/>
            <rFont val="Aptos Narrow"/>
            <scheme val="minor"/>
          </rPr>
          <t>======
ID#AAABjx7qRV8
    (2025-05-21 11:33:25)
ALICE:7/17水單匯入USD9362沖PI-20190508B-F 92元.PI-20190508B-1 130元. PI-20190509C 9140元整</t>
        </r>
      </text>
    </comment>
    <comment ref="F489" authorId="0" shapeId="0" xr:uid="{60ABC51D-F166-014B-8BB1-5A221E40A748}">
      <text>
        <r>
          <rPr>
            <sz val="10"/>
            <color rgb="FF000000"/>
            <rFont val="Aptos Narrow"/>
            <scheme val="minor"/>
          </rPr>
          <t>======
ID#AAABjx7qPNo
    (2025-05-21 11:33:24)
5/21 Amy: change to 16G Dram instead of 8 G Dram</t>
        </r>
      </text>
    </comment>
    <comment ref="G489" authorId="0" shapeId="0" xr:uid="{C5DA0C63-7A37-684D-8B08-6CF2490DBE3E}">
      <text>
        <r>
          <rPr>
            <sz val="10"/>
            <color rgb="FF000000"/>
            <rFont val="Aptos Narrow"/>
            <scheme val="minor"/>
          </rPr>
          <t>======
ID#AAABjx7qUrc
    (2025-05-21 11:33:26)
6/4 Amy: Aantiago agree to offer Special price following local low price.  請尋低價能用即可</t>
        </r>
      </text>
    </comment>
    <comment ref="H489" authorId="0" shapeId="0" xr:uid="{FC7814B2-C5F1-D54A-8A18-D70164408244}">
      <text>
        <r>
          <rPr>
            <sz val="10"/>
            <color rgb="FF000000"/>
            <rFont val="Aptos Narrow"/>
            <scheme val="minor"/>
          </rPr>
          <t>======
ID#AAABjx7qV9s
    (2025-05-21 11:33:27)
ALICE:6/27水單匯入USD8652.87沖PI20190515C 1394.5.PI-20190625C 46.37.PI-20190508C 6408.PI-20190619B 804共四張PI合計8652.87</t>
        </r>
      </text>
    </comment>
    <comment ref="K489" authorId="0" shapeId="0" xr:uid="{2C30ACEB-4B71-AD44-BD16-31980EC899E1}">
      <text>
        <r>
          <rPr>
            <sz val="10"/>
            <color rgb="FF000000"/>
            <rFont val="Aptos Narrow"/>
            <scheme val="minor"/>
          </rPr>
          <t>======
ID#AAABjx7qSqo
    (2025-05-21 11:33:26)
Customer request shipment asap.  Please help what we can do.  Thanks.</t>
        </r>
      </text>
    </comment>
    <comment ref="M489" authorId="0" shapeId="0" xr:uid="{11BADFE2-9D84-8940-98DF-33DBD5425577}">
      <text>
        <r>
          <rPr>
            <sz val="10"/>
            <color rgb="FF000000"/>
            <rFont val="Aptos Narrow"/>
            <scheme val="minor"/>
          </rPr>
          <t>======
ID#AAABjx7qMuI
    (2025-05-21 11:33:23)
5/10 chloe 下單
●貨到請交給Bank
●發票請交由採購-chloe
5/21 chloe:修正 16G DRAM 待敏博給交期</t>
        </r>
      </text>
    </comment>
    <comment ref="G490" authorId="0" shapeId="0" xr:uid="{2404352E-E3F3-A14F-9376-433D3AA228BB}">
      <text>
        <r>
          <rPr>
            <sz val="10"/>
            <color rgb="FF000000"/>
            <rFont val="Aptos Narrow"/>
            <scheme val="minor"/>
          </rPr>
          <t>======
ID#AAABjx7qQJk
    (2025-05-21 11:33:25)
6/4 Amy: Aantiago agree to offer Special price following local low price.  請尋低價能用即可</t>
        </r>
      </text>
    </comment>
    <comment ref="H490" authorId="0" shapeId="0" xr:uid="{B8EEDBFF-084B-8F4A-B776-623887991705}">
      <text>
        <r>
          <rPr>
            <sz val="10"/>
            <color rgb="FF000000"/>
            <rFont val="Aptos Narrow"/>
            <scheme val="minor"/>
          </rPr>
          <t>======
ID#AAABjx7qNmk
    (2025-05-21 11:33:23)
ALICE:6/27水單匯入USD8652.87沖PI20190515C 1394.5.PI-20190625C 46.37.PI-20190508C 6408.PI-20190619B 804共四張PI合計8652.87</t>
        </r>
      </text>
    </comment>
    <comment ref="K490" authorId="0" shapeId="0" xr:uid="{A8F67420-73F7-BB4B-8D38-CA928E00836B}">
      <text>
        <r>
          <rPr>
            <sz val="10"/>
            <color rgb="FF000000"/>
            <rFont val="Aptos Narrow"/>
            <scheme val="minor"/>
          </rPr>
          <t>======
ID#AAABjx7qRpw
    (2025-05-21 11:33:25)
Customer request shipment asap.  Please help what we can do.  Thanks.</t>
        </r>
      </text>
    </comment>
    <comment ref="M490" authorId="0" shapeId="0" xr:uid="{379CC912-6415-B24F-9D0D-0066DA8800CA}">
      <text>
        <r>
          <rPr>
            <sz val="10"/>
            <color rgb="FF000000"/>
            <rFont val="Aptos Narrow"/>
            <scheme val="minor"/>
          </rPr>
          <t>======
ID#AAABjx7qWW8
    (2025-05-21 11:33:27)
5/10 chloe 下單
●貨到請交給chloe
●發票請交由採購-chloe</t>
        </r>
      </text>
    </comment>
    <comment ref="B491" authorId="0" shapeId="0" xr:uid="{7D968113-66E0-8B4C-8AF3-8CD281D3E3A1}">
      <text>
        <r>
          <rPr>
            <sz val="10"/>
            <color rgb="FF000000"/>
            <rFont val="Aptos Narrow"/>
            <scheme val="minor"/>
          </rPr>
          <t>======
ID#AAABjx7qP5k
    (2025-05-21 11:33:24)
5/21 Amy: change quantity to 6 ( previous is 3)</t>
        </r>
      </text>
    </comment>
    <comment ref="H491" authorId="0" shapeId="0" xr:uid="{7A71215A-8327-CD40-96C7-14E21FA8DA82}">
      <text>
        <r>
          <rPr>
            <sz val="10"/>
            <color rgb="FF000000"/>
            <rFont val="Aptos Narrow"/>
            <scheme val="minor"/>
          </rPr>
          <t>======
ID#AAABjx7qPKI
    (2025-05-21 11:33:24)
ALICE:6/27水單匯入USD8652.87沖PI20190515C 1394.5.PI-20190625C 46.37.PI-20190508C 6408.PI-20190619B 804共四張PI合計8652.87</t>
        </r>
      </text>
    </comment>
    <comment ref="K491" authorId="0" shapeId="0" xr:uid="{B4B75649-E37E-7F44-8A84-A7ED0E1BC4D0}">
      <text>
        <r>
          <rPr>
            <sz val="10"/>
            <color rgb="FF000000"/>
            <rFont val="Aptos Narrow"/>
            <scheme val="minor"/>
          </rPr>
          <t>======
ID#AAABjx7qSbs
    (2025-05-21 11:33:26)
Customer request shipment asap.  Please help what we can do.  Thanks.</t>
        </r>
      </text>
    </comment>
    <comment ref="M491" authorId="0" shapeId="0" xr:uid="{E901A3A3-7A40-C246-B35B-57823FAACEA2}">
      <text>
        <r>
          <rPr>
            <sz val="10"/>
            <color rgb="FF000000"/>
            <rFont val="Aptos Narrow"/>
            <scheme val="minor"/>
          </rPr>
          <t>======
ID#AAABjx7qRSg
    (2025-05-21 11:33:25)
5/21 Amy: 1. need COC by Elgens
2. All shipping document w/ PO No.
3 Above documents attached with the goods</t>
        </r>
      </text>
    </comment>
    <comment ref="U491" authorId="0" shapeId="0" xr:uid="{49E08271-9E53-7C48-8610-904CA848FCB0}">
      <text>
        <r>
          <rPr>
            <sz val="10"/>
            <color rgb="FF000000"/>
            <rFont val="Aptos Narrow"/>
            <scheme val="minor"/>
          </rPr>
          <t>======
ID#AAABjx7qWDY
    (2025-05-21 11:33:27)
0813 chloe OK</t>
        </r>
      </text>
    </comment>
    <comment ref="B492" authorId="0" shapeId="0" xr:uid="{6CBDEA78-8EC1-F347-9DBC-C52300856387}">
      <text>
        <r>
          <rPr>
            <sz val="10"/>
            <color rgb="FF000000"/>
            <rFont val="Aptos Narrow"/>
            <scheme val="minor"/>
          </rPr>
          <t>======
ID#AAABjx7qSBw
    (2025-05-21 11:33:25)
5/21 Amy: change quantity to 6 ( previous is 3)</t>
        </r>
      </text>
    </comment>
    <comment ref="E492" authorId="0" shapeId="0" xr:uid="{D76895B5-BEBB-DD48-91E7-E1077ACB1D03}">
      <text>
        <r>
          <rPr>
            <sz val="10"/>
            <color rgb="FF000000"/>
            <rFont val="Aptos Narrow"/>
            <scheme val="minor"/>
          </rPr>
          <t>======
ID#AAABjx7qOjI
    (2025-05-21 11:33:24)
7/23 Amy: M12 using PLASTIC  type instead of Metal type, cost difference $257/pc ( Credit note: 20190723)</t>
        </r>
      </text>
    </comment>
    <comment ref="H492" authorId="0" shapeId="0" xr:uid="{D9E13196-67F8-054C-868A-076D7068C144}">
      <text>
        <r>
          <rPr>
            <sz val="10"/>
            <color rgb="FF000000"/>
            <rFont val="Aptos Narrow"/>
            <scheme val="minor"/>
          </rPr>
          <t>======
ID#AAABjx7qNpE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493" authorId="0" shapeId="0" xr:uid="{76FCB041-E0A7-9842-B1FF-987F084F6D06}">
      <text>
        <r>
          <rPr>
            <sz val="10"/>
            <color rgb="FF000000"/>
            <rFont val="Aptos Narrow"/>
            <scheme val="minor"/>
          </rPr>
          <t>======
ID#AAABjx7qQdA
    (2025-05-21 11:33:25)
0508請TAMMY 下單</t>
        </r>
      </text>
    </comment>
    <comment ref="H493" authorId="0" shapeId="0" xr:uid="{8CA93AE9-CF9C-784A-BFAD-6CC6EDDDCA84}">
      <text>
        <r>
          <rPr>
            <sz val="10"/>
            <color rgb="FF000000"/>
            <rFont val="Aptos Narrow"/>
            <scheme val="minor"/>
          </rPr>
          <t>======
ID#AAABjx7qOc0
    (2025-05-21 11:33:24)
ALICE:7/3收到支票 6/30即期票，票號CP0072748 金額30489元整，沖PI-20190508D 16425元，沖PI-20190520A 14092元。(原PI-20190520A退貨，故應收2114手續費) 多收部份轉預收11978元整</t>
        </r>
      </text>
    </comment>
    <comment ref="K493" authorId="0" shapeId="0" xr:uid="{6B8E9C65-4A59-354F-9192-2B085669D590}">
      <text>
        <r>
          <rPr>
            <sz val="10"/>
            <color rgb="FF000000"/>
            <rFont val="Aptos Narrow"/>
            <scheme val="minor"/>
          </rPr>
          <t>======
ID#AAABjx7qQXI
    (2025-05-21 11:33:25)
需5/21到客戶</t>
        </r>
      </text>
    </comment>
    <comment ref="D494" authorId="0" shapeId="0" xr:uid="{FDE564DE-FC64-CA48-9A04-90D0FBDCC360}">
      <text>
        <r>
          <rPr>
            <sz val="10"/>
            <color rgb="FF000000"/>
            <rFont val="Aptos Narrow"/>
            <scheme val="minor"/>
          </rPr>
          <t>======
ID#AAABjx7qTYs
    (2025-05-21 11:33:26)
在此輸入
0508 Vilas promise will give another 50pcs end of this year.
1001 告知改為Aditech 付款</t>
        </r>
      </text>
    </comment>
    <comment ref="O495" authorId="0" shapeId="0" xr:uid="{85C4492F-7A98-2A4F-91B0-A5950ED28A3D}">
      <text>
        <r>
          <rPr>
            <sz val="10"/>
            <color rgb="FF000000"/>
            <rFont val="Aptos Narrow"/>
            <scheme val="minor"/>
          </rPr>
          <t>======
ID#AAABjx7qV-Q
    (2025-05-21 11:33:27)
0513 Cathy 下單</t>
        </r>
      </text>
    </comment>
    <comment ref="H496" authorId="0" shapeId="0" xr:uid="{D72C8119-E5F3-7E42-A494-3A53E67EF852}">
      <text>
        <r>
          <rPr>
            <sz val="10"/>
            <color rgb="FF000000"/>
            <rFont val="Aptos Narrow"/>
            <scheme val="minor"/>
          </rPr>
          <t>======
ID#AAABjx7qN0s
    (2025-05-21 11:33:23)
ALICE:5/27-水單匯入USD4578*31.43</t>
        </r>
      </text>
    </comment>
    <comment ref="O496" authorId="0" shapeId="0" xr:uid="{749DFC21-2E01-C043-8EDD-7BBAA49AA371}">
      <text>
        <r>
          <rPr>
            <sz val="10"/>
            <color rgb="FF000000"/>
            <rFont val="Aptos Narrow"/>
            <scheme val="minor"/>
          </rPr>
          <t>======
ID#AAABjx7qTLs
    (2025-05-21 11:33:26)
0513 Cathy 下單</t>
        </r>
      </text>
    </comment>
    <comment ref="H497" authorId="0" shapeId="0" xr:uid="{409DF724-E094-C445-B72F-F3DFB172FBFF}">
      <text>
        <r>
          <rPr>
            <sz val="10"/>
            <color rgb="FF000000"/>
            <rFont val="Aptos Narrow"/>
            <scheme val="minor"/>
          </rPr>
          <t>======
ID#AAABjx7qRvM
    (2025-05-21 11:33:25)
ALICE:5/27-水單匯入USD4578*31.43</t>
        </r>
      </text>
    </comment>
    <comment ref="E498" authorId="0" shapeId="0" xr:uid="{48C3C81F-B88F-A543-9241-E8DA26B4F9DB}">
      <text>
        <r>
          <rPr>
            <sz val="10"/>
            <color rgb="FF000000"/>
            <rFont val="Aptos Narrow"/>
            <scheme val="minor"/>
          </rPr>
          <t>======
ID#AAABjx7qNXs
    (2025-05-21 11:33:23)
24"Panel PC &amp; VESA 裝入同一外箱</t>
        </r>
      </text>
    </comment>
    <comment ref="H498" authorId="0" shapeId="0" xr:uid="{92B74F25-F300-C944-AD3D-0F65F8236CD2}">
      <text>
        <r>
          <rPr>
            <sz val="10"/>
            <color rgb="FF000000"/>
            <rFont val="Aptos Narrow"/>
            <scheme val="minor"/>
          </rPr>
          <t>======
ID#AAABjx7qV-w
    (2025-05-21 11:33:27)
ALICE:5/27-水單匯入USD4578*31.43</t>
        </r>
      </text>
    </comment>
    <comment ref="H499" authorId="0" shapeId="0" xr:uid="{23708902-22D5-EC4C-91D6-F0111B344044}">
      <text>
        <r>
          <rPr>
            <sz val="10"/>
            <color rgb="FF000000"/>
            <rFont val="Aptos Narrow"/>
            <scheme val="minor"/>
          </rPr>
          <t>======
ID#AAABjx7qQoo
    (2025-05-21 11:33:25)
ALICE:5/27-水單匯入USD4578*31.43</t>
        </r>
      </text>
    </comment>
    <comment ref="H500" authorId="0" shapeId="0" xr:uid="{03EB34CF-22BD-744A-A375-18E6A1F085D4}">
      <text>
        <r>
          <rPr>
            <sz val="10"/>
            <color rgb="FF000000"/>
            <rFont val="Aptos Narrow"/>
            <scheme val="minor"/>
          </rPr>
          <t>======
ID#AAABjx7qOoI
    (2025-05-21 11:33:24)
ALICE:7/17水單匯入USD9362沖PI-20190508B-F 92元.PI-20190508B-1 130元. PI-20190509C 9140元整</t>
        </r>
      </text>
    </comment>
    <comment ref="H501" authorId="0" shapeId="0" xr:uid="{61F178D8-D72B-804E-B7E4-EB2EA0E0DDF3}">
      <text>
        <r>
          <rPr>
            <sz val="10"/>
            <color rgb="FF000000"/>
            <rFont val="Aptos Narrow"/>
            <scheme val="minor"/>
          </rPr>
          <t>======
ID#AAABjx7qM3Y
    (2025-05-21 11:33:23)
ALICE:7/17水單匯入USD9362沖PI-20190508B-F 92元.PI-20190508B-1 130元. PI-20190509C 9140元整</t>
        </r>
      </text>
    </comment>
    <comment ref="H502" authorId="0" shapeId="0" xr:uid="{5AC574B9-04A0-8348-931E-79EA579207EC}">
      <text>
        <r>
          <rPr>
            <sz val="10"/>
            <color rgb="FF000000"/>
            <rFont val="Aptos Narrow"/>
            <scheme val="minor"/>
          </rPr>
          <t>======
ID#AAABjx7qQeY
    (2025-05-21 11:33:25)
ALICE:7/17水單匯入USD9362沖PI-20190508B-F 92元.PI-20190508B-1 130元. PI-20190509C 9140元整</t>
        </r>
      </text>
    </comment>
    <comment ref="H503" authorId="0" shapeId="0" xr:uid="{9AF343F5-AE4D-C14B-88D2-64120DBB8501}">
      <text>
        <r>
          <rPr>
            <sz val="10"/>
            <color rgb="FF000000"/>
            <rFont val="Aptos Narrow"/>
            <scheme val="minor"/>
          </rPr>
          <t>======
ID#AAABjx7qRvk
    (2025-05-21 11:33:25)
ALICE:7/17水單匯入USD9362沖PI-20190508B-F 92元.PI-20190508B-1 130元. PI-20190509C 9140元整</t>
        </r>
      </text>
    </comment>
    <comment ref="K503" authorId="0" shapeId="0" xr:uid="{4C6BCBEC-604F-CD4A-8FE2-E4371E279F0D}">
      <text>
        <r>
          <rPr>
            <sz val="10"/>
            <color rgb="FF000000"/>
            <rFont val="Aptos Narrow"/>
            <scheme val="minor"/>
          </rPr>
          <t>======
ID#AAABjx7qVSo
    (2025-05-21 11:33:27)
5/23 Amy: please inform sales for pick up from Vecow, need shipment on 6/6</t>
        </r>
      </text>
    </comment>
    <comment ref="M503" authorId="0" shapeId="0" xr:uid="{D7479F84-C19B-E245-BFB8-10F8652208DD}">
      <text>
        <r>
          <rPr>
            <sz val="10"/>
            <color rgb="FF000000"/>
            <rFont val="Aptos Narrow"/>
            <scheme val="minor"/>
          </rPr>
          <t>======
ID#AAABjx7qTF4
    (2025-05-21 11:33:26)
0527:6/6 Eric pick up
0522 超恩Bruce 原交期6/3 告知交期變更為6/11 (intel  CPU 可到超恩時間6/9)  
超恩明確交期需要一週1W</t>
        </r>
      </text>
    </comment>
    <comment ref="O503" authorId="0" shapeId="0" xr:uid="{3B686476-F1B2-1846-8B02-21FAEFA7113C}">
      <text>
        <r>
          <rPr>
            <sz val="10"/>
            <color rgb="FF000000"/>
            <rFont val="Aptos Narrow"/>
            <scheme val="minor"/>
          </rPr>
          <t>======
ID#AAABjx7qP50
    (2025-05-21 11:33:24)
0510 CATHY 下單</t>
        </r>
      </text>
    </comment>
    <comment ref="H504" authorId="0" shapeId="0" xr:uid="{C22791CF-F345-424A-9C80-C6648072F978}">
      <text>
        <r>
          <rPr>
            <sz val="10"/>
            <color rgb="FF000000"/>
            <rFont val="Aptos Narrow"/>
            <scheme val="minor"/>
          </rPr>
          <t>======
ID#AAABjx7qO4U
    (2025-05-21 11:33:24)
ALICE:7/17水單匯入USD9362沖PI-20190508B-F 92元.PI-20190508B-1 130元. PI-20190509C 9140元整</t>
        </r>
      </text>
    </comment>
    <comment ref="K504" authorId="0" shapeId="0" xr:uid="{A4BD1F51-684B-2A4B-AAE6-4FBE401C3232}">
      <text>
        <r>
          <rPr>
            <sz val="10"/>
            <color rgb="FF000000"/>
            <rFont val="Aptos Narrow"/>
            <scheme val="minor"/>
          </rPr>
          <t>======
ID#AAABjx7qRP8
    (2025-05-21 11:33:25)
5/23 Amy: please inform sales for pick up from Vecow, need shipment on 6/6</t>
        </r>
      </text>
    </comment>
    <comment ref="M504" authorId="0" shapeId="0" xr:uid="{09722F17-BABA-ED4E-84E8-A0EFC8F5B65D}">
      <text>
        <r>
          <rPr>
            <sz val="10"/>
            <color rgb="FF000000"/>
            <rFont val="Aptos Narrow"/>
            <scheme val="minor"/>
          </rPr>
          <t>======
ID#AAABjx7qOnU
    (2025-05-21 11:33:24)
0527:6/6 Eric pick up
0522 超恩Bruce 原交期6/3 告知交期變更為6/11 (intel  CPU 可到超恩時間6/9)  
超恩明確交期需要一週1W</t>
        </r>
      </text>
    </comment>
    <comment ref="O504" authorId="0" shapeId="0" xr:uid="{34314C36-320C-B448-8CE3-0ADE339A51AE}">
      <text>
        <r>
          <rPr>
            <sz val="10"/>
            <color rgb="FF000000"/>
            <rFont val="Aptos Narrow"/>
            <scheme val="minor"/>
          </rPr>
          <t>======
ID#AAABjx7qSFo
    (2025-05-21 11:33:26)
0510 CATHY 下單</t>
        </r>
      </text>
    </comment>
    <comment ref="H505" authorId="0" shapeId="0" xr:uid="{5B0C5B4D-1FBC-BC4A-B46D-30A2BED1C89B}">
      <text>
        <r>
          <rPr>
            <sz val="10"/>
            <color rgb="FF000000"/>
            <rFont val="Aptos Narrow"/>
            <scheme val="minor"/>
          </rPr>
          <t>======
ID#AAABjx7qTrk
    (2025-05-21 11:33:26)
ALICE:7/17水單匯入USD9362沖PI-20190508B-F 92元.PI-20190508B-1 130元. PI-20190509C 9140元整</t>
        </r>
      </text>
    </comment>
    <comment ref="M505" authorId="0" shapeId="0" xr:uid="{384C7FC8-F7A2-4747-AF62-FCDEA7503825}">
      <text>
        <r>
          <rPr>
            <sz val="10"/>
            <color rgb="FF000000"/>
            <rFont val="Aptos Narrow"/>
            <scheme val="minor"/>
          </rPr>
          <t>======
ID#AAABjx7qPWs
    (2025-05-21 11:33:24)
5/10 交由Cathy</t>
        </r>
      </text>
    </comment>
    <comment ref="H506" authorId="0" shapeId="0" xr:uid="{085CCB29-43B3-AA42-9548-71784B840A55}">
      <text>
        <r>
          <rPr>
            <sz val="10"/>
            <color rgb="FF000000"/>
            <rFont val="Aptos Narrow"/>
            <scheme val="minor"/>
          </rPr>
          <t>======
ID#AAABjx7qUxo
    (2025-05-21 11:33:26)
alice:7/4-水單匯入USD4316.9沖PI-20190422B.沖PI-20190507B.沖PI-20190513A</t>
        </r>
      </text>
    </comment>
    <comment ref="O506" authorId="0" shapeId="0" xr:uid="{67FAC40D-D8F9-6F4E-9349-04AF5F4DC9F6}">
      <text>
        <r>
          <rPr>
            <sz val="10"/>
            <color rgb="FF000000"/>
            <rFont val="Aptos Narrow"/>
            <scheme val="minor"/>
          </rPr>
          <t>======
ID#AAABjx7qP0w
    (2025-05-21 11:33:24)
0514 Cathy 下單</t>
        </r>
      </text>
    </comment>
    <comment ref="H507" authorId="0" shapeId="0" xr:uid="{B05C6A81-2E3C-D547-89B0-E6F444C6C61F}">
      <text>
        <r>
          <rPr>
            <sz val="10"/>
            <color rgb="FF000000"/>
            <rFont val="Aptos Narrow"/>
            <scheme val="minor"/>
          </rPr>
          <t>======
ID#AAABjx7qQig
    (2025-05-21 11:33:25)
alice:7/4-水單匯入USD4316.9沖PI-20190422B.沖PI-20190507B.沖PI-20190513A</t>
        </r>
      </text>
    </comment>
    <comment ref="O507" authorId="0" shapeId="0" xr:uid="{C50A86C3-9453-2249-A5A9-96929F75C09A}">
      <text>
        <r>
          <rPr>
            <sz val="10"/>
            <color rgb="FF000000"/>
            <rFont val="Aptos Narrow"/>
            <scheme val="minor"/>
          </rPr>
          <t>======
ID#AAABjx7qVPU
    (2025-05-21 11:33:27)
0514 Cathy 下單</t>
        </r>
      </text>
    </comment>
    <comment ref="Z507" authorId="0" shapeId="0" xr:uid="{2FD93FFA-2318-8C48-8F3B-6FCE248901E4}">
      <text>
        <r>
          <rPr>
            <sz val="10"/>
            <color rgb="FF000000"/>
            <rFont val="Aptos Narrow"/>
            <scheme val="minor"/>
          </rPr>
          <t>======
ID#AAABjx7qQeo
    (2025-05-21 11:33:25)
0514 Cathy 下單</t>
        </r>
      </text>
    </comment>
    <comment ref="H508" authorId="0" shapeId="0" xr:uid="{E7F8F3DE-C08D-C24D-A398-F0F654D49041}">
      <text>
        <r>
          <rPr>
            <sz val="10"/>
            <color rgb="FF000000"/>
            <rFont val="Aptos Narrow"/>
            <scheme val="minor"/>
          </rPr>
          <t>======
ID#AAABjx7qVfo
    (2025-05-21 11:33:27)
alice:7/4-水單匯入USD4316.9沖PI-20190422B.沖PI-20190507B.沖PI-20190513A</t>
        </r>
      </text>
    </comment>
    <comment ref="O508" authorId="0" shapeId="0" xr:uid="{60DC6C05-AFDA-4042-B5DC-48859D27645B}">
      <text>
        <r>
          <rPr>
            <sz val="10"/>
            <color rgb="FF000000"/>
            <rFont val="Aptos Narrow"/>
            <scheme val="minor"/>
          </rPr>
          <t>======
ID#AAABjx7qTLY
    (2025-05-21 11:33:26)
0514 Cathy 下單</t>
        </r>
      </text>
    </comment>
    <comment ref="Z508" authorId="0" shapeId="0" xr:uid="{23448FDE-56DE-3548-BAAB-734041BFAAD0}">
      <text>
        <r>
          <rPr>
            <sz val="10"/>
            <color rgb="FF000000"/>
            <rFont val="Aptos Narrow"/>
            <scheme val="minor"/>
          </rPr>
          <t>======
ID#AAABjx7qPcg
    (2025-05-21 11:33:24)
0514 Cathy 下單</t>
        </r>
      </text>
    </comment>
    <comment ref="H509" authorId="0" shapeId="0" xr:uid="{6130137C-12D8-1143-A86A-694DEA51D2F0}">
      <text>
        <r>
          <rPr>
            <sz val="10"/>
            <color rgb="FF000000"/>
            <rFont val="Aptos Narrow"/>
            <scheme val="minor"/>
          </rPr>
          <t>======
ID#AAABjx7qNvY
    (2025-05-21 11:33:23)
alice:7/4-水單匯入USD4316.9沖PI-20190422B.沖PI-20190507B.沖PI-20190513A</t>
        </r>
      </text>
    </comment>
    <comment ref="O509" authorId="0" shapeId="0" xr:uid="{3C9FCC05-1A5D-2249-824D-C04B992E0617}">
      <text>
        <r>
          <rPr>
            <sz val="10"/>
            <color rgb="FF000000"/>
            <rFont val="Aptos Narrow"/>
            <scheme val="minor"/>
          </rPr>
          <t>======
ID#AAABjx7qNGE
    (2025-05-21 11:33:23)
0514 Cathy 下單</t>
        </r>
      </text>
    </comment>
    <comment ref="Z509" authorId="0" shapeId="0" xr:uid="{7920488C-5124-E14E-979D-6F9980F9DE44}">
      <text>
        <r>
          <rPr>
            <sz val="10"/>
            <color rgb="FF000000"/>
            <rFont val="Aptos Narrow"/>
            <scheme val="minor"/>
          </rPr>
          <t>======
ID#AAABjx7qOw4
    (2025-05-21 11:33:24)
0514 Cathy 下單</t>
        </r>
      </text>
    </comment>
    <comment ref="G510" authorId="0" shapeId="0" xr:uid="{326E7F73-D46B-8948-B939-6719855D54C5}">
      <text>
        <r>
          <rPr>
            <sz val="10"/>
            <color rgb="FF000000"/>
            <rFont val="Aptos Narrow"/>
            <scheme val="minor"/>
          </rPr>
          <t>======
ID#AAABjx7qQMs
    (2025-05-21 11:33:25)
190513 w/ 5%VAT</t>
        </r>
      </text>
    </comment>
    <comment ref="H510" authorId="0" shapeId="0" xr:uid="{251F3F3E-0DF6-E545-8976-CEE6873B629F}">
      <text>
        <r>
          <rPr>
            <sz val="10"/>
            <color rgb="FF000000"/>
            <rFont val="Aptos Narrow"/>
            <scheme val="minor"/>
          </rPr>
          <t>======
ID#AAABjx7qVrU
    (2025-05-21 11:33:27)
ALICE:7/1電文通知匯入USD3717</t>
        </r>
      </text>
    </comment>
    <comment ref="G511" authorId="0" shapeId="0" xr:uid="{026BEBF6-8EF3-D04C-B31E-ABA83A6FD2DB}">
      <text>
        <r>
          <rPr>
            <sz val="10"/>
            <color rgb="FF000000"/>
            <rFont val="Aptos Narrow"/>
            <scheme val="minor"/>
          </rPr>
          <t>======
ID#AAABjx7qTQ0
    (2025-05-21 11:33:26)
190513 w/ 5%VAT</t>
        </r>
      </text>
    </comment>
    <comment ref="H511" authorId="0" shapeId="0" xr:uid="{BE5A6166-6F7F-384F-BF67-17ADBD335A30}">
      <text>
        <r>
          <rPr>
            <sz val="10"/>
            <color rgb="FF000000"/>
            <rFont val="Aptos Narrow"/>
            <scheme val="minor"/>
          </rPr>
          <t>======
ID#AAABjx7qP3I
    (2025-05-21 11:33:24)
ALICE:8/23-水單匯入USD3717沖PI-20190513C USD3717</t>
        </r>
      </text>
    </comment>
    <comment ref="H512" authorId="0" shapeId="0" xr:uid="{4B9627D3-E9CA-9246-BA80-8CBD81CFE3E6}">
      <text>
        <r>
          <rPr>
            <sz val="10"/>
            <color rgb="FF000000"/>
            <rFont val="Aptos Narrow"/>
            <scheme val="minor"/>
          </rPr>
          <t>======
ID#AAABjx7qS3Q
    (2025-05-21 11:33:26)
ALICE:7/11水單匯入USD14058沖PI-20190515A</t>
        </r>
      </text>
    </comment>
    <comment ref="O512" authorId="0" shapeId="0" xr:uid="{BF605FE8-31FC-3C49-9FA0-037E5F693F58}">
      <text>
        <r>
          <rPr>
            <sz val="10"/>
            <color rgb="FF000000"/>
            <rFont val="Aptos Narrow"/>
            <scheme val="minor"/>
          </rPr>
          <t>======
ID#AAABjx7qSWM
    (2025-05-21 11:33:26)
0524 CATHY 下單</t>
        </r>
      </text>
    </comment>
    <comment ref="H513" authorId="0" shapeId="0" xr:uid="{57A8D2D6-DD79-A047-9D45-55C5E9D7E457}">
      <text>
        <r>
          <rPr>
            <sz val="10"/>
            <color rgb="FF000000"/>
            <rFont val="Aptos Narrow"/>
            <scheme val="minor"/>
          </rPr>
          <t>======
ID#AAABjx7qRT4
    (2025-05-21 11:33:25)
alice:5/30-銀行水單USD3750</t>
        </r>
      </text>
    </comment>
    <comment ref="K513" authorId="0" shapeId="0" xr:uid="{9CC8BEA5-D474-BE49-8198-7E494387F55F}">
      <text>
        <r>
          <rPr>
            <sz val="10"/>
            <color rgb="FF000000"/>
            <rFont val="Aptos Narrow"/>
            <scheme val="minor"/>
          </rPr>
          <t>======
ID#AAABjx7qMzc
    (2025-05-21 11:33:23)
0530 San: 客戶已匯款. 下週三款項會到, 可先出</t>
        </r>
      </text>
    </comment>
    <comment ref="M513" authorId="0" shapeId="0" xr:uid="{95F94DD0-D41D-0B4D-ABC7-438B7D895CA8}">
      <text>
        <r>
          <rPr>
            <sz val="10"/>
            <color rgb="FF000000"/>
            <rFont val="Aptos Narrow"/>
            <scheme val="minor"/>
          </rPr>
          <t>======
ID#AAABj82dpHc
    (2025-05-21 11:33:23)
0516 chloe 下單</t>
        </r>
      </text>
    </comment>
    <comment ref="AK513" authorId="0" shapeId="0" xr:uid="{447109C7-85EB-CB45-9238-9949EB3A2A39}">
      <text>
        <r>
          <rPr>
            <sz val="10"/>
            <color rgb="FF000000"/>
            <rFont val="Aptos Narrow"/>
            <scheme val="minor"/>
          </rPr>
          <t>======
ID#AAABjx7qS2o
    (2025-05-21 11:33:26)
ALICE:5/30水單匯入USD3743.66*31.57 (手續費USD6.34*31.57)</t>
        </r>
      </text>
    </comment>
    <comment ref="AL513" authorId="0" shapeId="0" xr:uid="{814EF378-4D1A-044D-ABDB-691818DC0DCE}">
      <text>
        <r>
          <rPr>
            <sz val="10"/>
            <color rgb="FF000000"/>
            <rFont val="Aptos Narrow"/>
            <scheme val="minor"/>
          </rPr>
          <t>======
ID#AAABjx7qQbM
    (2025-05-21 11:33:25)
ALICE:5/30水單匯入USD3743.66*31.57 (手續費USD6.34*31.57)</t>
        </r>
      </text>
    </comment>
    <comment ref="E514" authorId="0" shapeId="0" xr:uid="{2C472813-4FD8-A148-BF46-30BBCA4F9A7D}">
      <text>
        <r>
          <rPr>
            <sz val="10"/>
            <color rgb="FF000000"/>
            <rFont val="Aptos Narrow"/>
            <scheme val="minor"/>
          </rPr>
          <t>======
ID#AAABjx7qPXg
    (2025-05-21 11:33:24)
190517 Karen: w/EU adapter</t>
        </r>
      </text>
    </comment>
    <comment ref="H514" authorId="0" shapeId="0" xr:uid="{A086B40E-7DC5-E740-B94E-77411151EDB4}">
      <text>
        <r>
          <rPr>
            <sz val="10"/>
            <color rgb="FF000000"/>
            <rFont val="Aptos Narrow"/>
            <scheme val="minor"/>
          </rPr>
          <t>======
ID#AAABjx7qR7g
    (2025-05-21 11:33:25)
ALICE:6/27水單匯入USD8652.87沖PI20190515C 1394.5.PI-20190625C 46.37.PI-20190508C 6408.PI-20190619B 804共四張PI合計8652.87</t>
        </r>
      </text>
    </comment>
    <comment ref="M514" authorId="0" shapeId="0" xr:uid="{A1086334-B347-254A-8869-6A9EA8061931}">
      <text>
        <r>
          <rPr>
            <sz val="10"/>
            <color rgb="FF000000"/>
            <rFont val="Aptos Narrow"/>
            <scheme val="minor"/>
          </rPr>
          <t>======
ID#AAABjx7qVj0
    (2025-05-21 11:33:27)
5/16 Amy
1. need COC (自我認證產證with shipment)
2. invoice &amp; P/L with PO#19000180
3. invoice &amp; P/L together with shipment</t>
        </r>
      </text>
    </comment>
    <comment ref="F515" authorId="0" shapeId="0" xr:uid="{E34B02DE-ACE2-164B-BBD5-BCF7341529A5}">
      <text>
        <r>
          <rPr>
            <sz val="10"/>
            <color rgb="FF000000"/>
            <rFont val="Aptos Narrow"/>
            <scheme val="minor"/>
          </rPr>
          <t>======
ID#AAABjx7qTdw
    (2025-05-21 11:33:26)
在此輸入</t>
        </r>
      </text>
    </comment>
    <comment ref="H515" authorId="0" shapeId="0" xr:uid="{14D2BDAE-6EB7-0740-8091-B300B28E0522}">
      <text>
        <r>
          <rPr>
            <sz val="10"/>
            <color rgb="FF000000"/>
            <rFont val="Aptos Narrow"/>
            <scheme val="minor"/>
          </rPr>
          <t>======
ID#AAABjx7qSOk
    (2025-05-21 11:33:26)
ALICE:6/27水單匯入USD8652.87沖PI20190515C 1394.5.PI-20190625C 46.37.PI-20190508C 6408.PI-20190619B 804共四張PI合計8652.87</t>
        </r>
      </text>
    </comment>
    <comment ref="M515" authorId="0" shapeId="0" xr:uid="{B2F1857A-D236-114F-8799-CFBC76118EF7}">
      <text>
        <r>
          <rPr>
            <sz val="10"/>
            <color rgb="FF000000"/>
            <rFont val="Aptos Narrow"/>
            <scheme val="minor"/>
          </rPr>
          <t>======
ID#AAABjx7qPhg
    (2025-05-21 11:33:24)
5/16 Amy
1. need COC (自我認證產證with shipment)
2. invoice &amp; P/L with PO#19000180
3. invoice &amp; P/L together with shipment</t>
        </r>
      </text>
    </comment>
    <comment ref="E516" authorId="0" shapeId="0" xr:uid="{C8D87D48-9DED-9143-9EF2-4F44C98125C9}">
      <text>
        <r>
          <rPr>
            <sz val="10"/>
            <color rgb="FF000000"/>
            <rFont val="Aptos Narrow"/>
            <scheme val="minor"/>
          </rPr>
          <t>======
ID#AAABjx7qSOY
    (2025-05-21 11:33:26)
190517 Karen: w/o adapter</t>
        </r>
      </text>
    </comment>
    <comment ref="H516" authorId="0" shapeId="0" xr:uid="{8F220F6C-9AFD-EE4C-BB27-9DC83E639851}">
      <text>
        <r>
          <rPr>
            <sz val="10"/>
            <color rgb="FF000000"/>
            <rFont val="Aptos Narrow"/>
            <scheme val="minor"/>
          </rPr>
          <t>======
ID#AAABjx7qSO8
    (2025-05-21 11:33:26)
ALICE:6/27水單匯入USD8652.87沖PI20190515C 1394.5.PI-20190625C 46.37.PI-20190508C 6408.PI-20190619B 804共四張PI合計8652.87</t>
        </r>
      </text>
    </comment>
    <comment ref="M516" authorId="0" shapeId="0" xr:uid="{CEFCD9CB-1B41-6A4D-A1C2-8E4E1F691F97}">
      <text>
        <r>
          <rPr>
            <sz val="10"/>
            <color rgb="FF000000"/>
            <rFont val="Aptos Narrow"/>
            <scheme val="minor"/>
          </rPr>
          <t>======
ID#AAABjx7qQo0
    (2025-05-21 11:33:25)
5/16 Amy
1. need COC (自我認證產證with shipment)
2. invoice &amp; P/L with PO#19000180
3. invoice &amp; P/L together with shipment</t>
        </r>
      </text>
    </comment>
    <comment ref="H517" authorId="0" shapeId="0" xr:uid="{EC86BD18-C4B8-9A4B-9428-C620F21DA154}">
      <text>
        <r>
          <rPr>
            <sz val="10"/>
            <color rgb="FF000000"/>
            <rFont val="Aptos Narrow"/>
            <scheme val="minor"/>
          </rPr>
          <t>======
ID#AAABjx7qNVc
    (2025-05-21 11:33:23)
ALICE:6/27水單匯入USD8652.87沖PI20190515C 1394.5.PI-20190625C 46.37.PI-20190508C 6408.PI-20190619B 804共四張PI合計8652.87</t>
        </r>
      </text>
    </comment>
    <comment ref="M517" authorId="0" shapeId="0" xr:uid="{DF1620D0-4930-404C-9A7F-568F6EF7A9D5}">
      <text>
        <r>
          <rPr>
            <sz val="10"/>
            <color rgb="FF000000"/>
            <rFont val="Aptos Narrow"/>
            <scheme val="minor"/>
          </rPr>
          <t>======
ID#AAABjx7qNLQ
    (2025-05-21 11:33:23)
5/16 Amy
1. need COC (自我認證產證with shipment)
2. invoice &amp; P/L with PO#19000180
3. invoice &amp; P/L together with shipment</t>
        </r>
      </text>
    </comment>
    <comment ref="H518" authorId="0" shapeId="0" xr:uid="{4BA2D419-DEE8-2545-A864-ECB30F028138}">
      <text>
        <r>
          <rPr>
            <sz val="10"/>
            <color rgb="FF000000"/>
            <rFont val="Aptos Narrow"/>
            <scheme val="minor"/>
          </rPr>
          <t>======
ID#AAABjx7qVB8
    (2025-05-21 11:33:27)
ALICE:6/27水單匯入USD8652.87沖PI20190515C 1394.5.PI-20190625C 46.37.PI-20190508C 6408.PI-20190619B 804共四張PI合計8652.87</t>
        </r>
      </text>
    </comment>
    <comment ref="M518" authorId="0" shapeId="0" xr:uid="{1D2AC22E-1210-A840-BB05-102197F188EC}">
      <text>
        <r>
          <rPr>
            <sz val="10"/>
            <color rgb="FF000000"/>
            <rFont val="Aptos Narrow"/>
            <scheme val="minor"/>
          </rPr>
          <t>======
ID#AAABjx7qO6Q
    (2025-05-21 11:33:24)
5/16 Amy
1. need COC (自我認證產證with shipment)
2. invoice &amp; P/L with PO#19000180
3. invoice &amp; P/L together with shipment</t>
        </r>
      </text>
    </comment>
    <comment ref="H519" authorId="0" shapeId="0" xr:uid="{C94F054E-9979-D24E-B347-0F63F69789D0}">
      <text>
        <r>
          <rPr>
            <sz val="10"/>
            <color rgb="FF000000"/>
            <rFont val="Aptos Narrow"/>
            <scheme val="minor"/>
          </rPr>
          <t>======
ID#AAABjx7qR6U
    (2025-05-21 11:33:25)
alice:5/30-銀行水單USD3750</t>
        </r>
      </text>
    </comment>
    <comment ref="K519" authorId="0" shapeId="0" xr:uid="{965156E2-DBA4-7744-999B-C7F217185981}">
      <text>
        <r>
          <rPr>
            <sz val="10"/>
            <color rgb="FF000000"/>
            <rFont val="Aptos Narrow"/>
            <scheme val="minor"/>
          </rPr>
          <t>======
ID#AAABjx7qNaE
    (2025-05-21 11:33:23)
0530 San: 客戶已匯款. 下週三款項會到, 可先出</t>
        </r>
      </text>
    </comment>
    <comment ref="M519" authorId="0" shapeId="0" xr:uid="{6F7264A1-D656-9C4F-8FA2-D205C9D85DE1}">
      <text>
        <r>
          <rPr>
            <sz val="10"/>
            <color rgb="FF000000"/>
            <rFont val="Aptos Narrow"/>
            <scheme val="minor"/>
          </rPr>
          <t>======
ID#AAABjx7qOO8
    (2025-05-21 11:33:24)
0516 chloe 下單</t>
        </r>
      </text>
    </comment>
    <comment ref="AK519" authorId="0" shapeId="0" xr:uid="{E5AEBD66-D242-A742-A937-14F1063BC0BD}">
      <text>
        <r>
          <rPr>
            <sz val="10"/>
            <color rgb="FF000000"/>
            <rFont val="Aptos Narrow"/>
            <scheme val="minor"/>
          </rPr>
          <t>======
ID#AAABjx7qNVA
    (2025-05-21 11:33:23)
ALICE:5/30水單匯入USD3743.66*31.57 (手續費USD6.34*31.57)</t>
        </r>
      </text>
    </comment>
    <comment ref="AL519" authorId="0" shapeId="0" xr:uid="{E3BD1FF4-7915-F342-BB38-03A5ED664362}">
      <text>
        <r>
          <rPr>
            <sz val="10"/>
            <color rgb="FF000000"/>
            <rFont val="Aptos Narrow"/>
            <scheme val="minor"/>
          </rPr>
          <t>======
ID#AAABjx7qNaU
    (2025-05-21 11:33:23)
ALICE:5/30水單匯入USD3743.66*31.57 (手續費USD6.34*31.57)</t>
        </r>
      </text>
    </comment>
    <comment ref="B520" authorId="0" shapeId="0" xr:uid="{852E7E6B-3B1A-4946-984A-CEF1E03EB980}">
      <text>
        <r>
          <rPr>
            <sz val="10"/>
            <color rgb="FF000000"/>
            <rFont val="Aptos Narrow"/>
            <scheme val="minor"/>
          </rPr>
          <t>======
ID#AAABjx7qM30
    (2025-05-21 11:33:23)
月結30天</t>
        </r>
      </text>
    </comment>
    <comment ref="H520" authorId="0" shapeId="0" xr:uid="{1912AE51-DEC4-D34D-8E57-A0CA0B77FDDF}">
      <text>
        <r>
          <rPr>
            <sz val="10"/>
            <color rgb="FF000000"/>
            <rFont val="Aptos Narrow"/>
            <scheme val="minor"/>
          </rPr>
          <t>======
ID#AAABjx7qTQU
    (2025-05-21 11:33:26)
ALICE:5月應付77875-應收4900對沖=故應付予閎亮72975</t>
        </r>
      </text>
    </comment>
    <comment ref="M520" authorId="0" shapeId="0" xr:uid="{54F13D25-E9D4-F94F-9004-C1F4DC04664C}">
      <text>
        <r>
          <rPr>
            <sz val="10"/>
            <color rgb="FF000000"/>
            <rFont val="Aptos Narrow"/>
            <scheme val="minor"/>
          </rPr>
          <t>======
ID#AAABjx7qSUI
    (2025-05-21 11:33:26)
0521 chloe : 交由Yvonne</t>
        </r>
      </text>
    </comment>
    <comment ref="AK520" authorId="0" shapeId="0" xr:uid="{EFE7064D-A5E1-534B-8A1B-A2FE7AB9D6B2}">
      <text>
        <r>
          <rPr>
            <sz val="10"/>
            <color rgb="FF000000"/>
            <rFont val="Aptos Narrow"/>
            <scheme val="minor"/>
          </rPr>
          <t>======
ID#AAABjx7qVxg
    (2025-05-21 11:33:27)
ALICE:5月應付77875-應收4900對沖=故應付予閎亮72975</t>
        </r>
      </text>
    </comment>
    <comment ref="D521" authorId="0" shapeId="0" xr:uid="{A3F88EC3-FA37-8C4C-B4CA-203709233928}">
      <text>
        <r>
          <rPr>
            <sz val="10"/>
            <color rgb="FF000000"/>
            <rFont val="Aptos Narrow"/>
            <scheme val="minor"/>
          </rPr>
          <t>======
ID#AAABjx7qTTo
    (2025-05-21 11:33:26)
0612 通知要核銷
0521 通知Tammy 下單
0520 亞郁已給PO單
0614  物料寄回Elgens  
0617 請Yvonne 寄回moxa nicky(貨&amp; 折讓單)</t>
        </r>
      </text>
    </comment>
    <comment ref="E521" authorId="0" shapeId="0" xr:uid="{F0812167-52B6-B64B-BAD0-82C997887728}">
      <text>
        <r>
          <rPr>
            <sz val="10"/>
            <color rgb="FF000000"/>
            <rFont val="Aptos Narrow"/>
            <scheme val="minor"/>
          </rPr>
          <t>======
ID#AAABjx7qQew
    (2025-05-21 11:33:25)
客戶告知美規
0618  (客戶下單錯誤，核銷。酌收退貨手續費15%)  NTD2114</t>
        </r>
      </text>
    </comment>
    <comment ref="H521" authorId="0" shapeId="0" xr:uid="{4D3E5D6B-2579-694C-91C3-2B48DD518E7A}">
      <text>
        <r>
          <rPr>
            <sz val="10"/>
            <color rgb="FF000000"/>
            <rFont val="Aptos Narrow"/>
            <scheme val="minor"/>
          </rPr>
          <t>======
ID#AAABjx7qUxs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  </r>
      </text>
    </comment>
    <comment ref="U521" authorId="0" shapeId="0" xr:uid="{A9CA3C7A-D9D0-134B-824E-F832916600E0}">
      <text>
        <r>
          <rPr>
            <sz val="10"/>
            <color rgb="FF000000"/>
            <rFont val="Aptos Narrow"/>
            <scheme val="minor"/>
          </rPr>
          <t>======
ID#AAABjx7qTKY
    (2025-05-21 11:33:26)
ALICE:原成本5/23-QS18393167 $12617(含稅)
因客戶退換貨，故此筆與客戶取消
6/18-與MOXA辦理整筆退貨，再開立15%退貨手續費6/18-QS18394028 金額1909含稅</t>
        </r>
      </text>
    </comment>
    <comment ref="Z521" authorId="0" shapeId="0" xr:uid="{488F110E-AA28-D44A-8D9E-1A41DA633E3C}">
      <text>
        <r>
          <rPr>
            <sz val="10"/>
            <color rgb="FF000000"/>
            <rFont val="Aptos Narrow"/>
            <scheme val="minor"/>
          </rPr>
          <t>======
ID#AAABjx7qVK4
    (2025-05-21 11:33:27)
ALICE:原成本5/23-QS18393167 $12617(含稅)
因客戶退換貨，故此筆與客戶取消
6/18-與MOXA辦理整筆退貨，再開立15%退貨手續費6/18-QS18394028 金額1909含稅</t>
        </r>
      </text>
    </comment>
    <comment ref="AB521" authorId="0" shapeId="0" xr:uid="{8CF6F8B2-BEFE-ED4C-85E1-A65EA88FA236}">
      <text>
        <r>
          <rPr>
            <sz val="10"/>
            <color rgb="FF000000"/>
            <rFont val="Aptos Narrow"/>
            <scheme val="minor"/>
          </rPr>
          <t>======
ID#AAABjx7qRek
    (2025-05-21 11:33:25)
消退，原發票號碼:PS36525714</t>
        </r>
      </text>
    </comment>
    <comment ref="AC521" authorId="0" shapeId="0" xr:uid="{67E8D9A5-A33D-044A-8B62-55B24D53772F}">
      <text>
        <r>
          <rPr>
            <sz val="10"/>
            <color rgb="FF000000"/>
            <rFont val="Aptos Narrow"/>
            <scheme val="minor"/>
          </rPr>
          <t>======
ID#AAABjx7qOds
    (2025-05-21 11:33:24)
原寄出單號:94408522006910116008</t>
        </r>
      </text>
    </comment>
    <comment ref="AE521" authorId="0" shapeId="0" xr:uid="{442EF89B-8EE3-3440-8CCB-45AEEB132FFB}">
      <text>
        <r>
          <rPr>
            <sz val="10"/>
            <color rgb="FF000000"/>
            <rFont val="Aptos Narrow"/>
            <scheme val="minor"/>
          </rPr>
          <t>======
ID#AAABjx7qPhQ
    (2025-05-21 11:33:24)
原發票金額:14092</t>
        </r>
      </text>
    </comment>
    <comment ref="AF521" authorId="0" shapeId="0" xr:uid="{3DEF6C0C-3C55-1645-8ECA-B9DE220C3CE1}">
      <text>
        <r>
          <rPr>
            <sz val="10"/>
            <color rgb="FF000000"/>
            <rFont val="Aptos Narrow"/>
            <scheme val="minor"/>
          </rPr>
          <t>======
ID#AAABjx7qQaM
    (2025-05-21 11:33:25)
原寄出日期:2019/05/27</t>
        </r>
      </text>
    </comment>
    <comment ref="H522" authorId="0" shapeId="0" xr:uid="{F616E97F-7999-7642-902A-80BE3BE8A3BF}">
      <text>
        <r>
          <rPr>
            <sz val="10"/>
            <color rgb="FF000000"/>
            <rFont val="Aptos Narrow"/>
            <scheme val="minor"/>
          </rPr>
          <t>======
ID#AAABjx7qO8U
    (2025-05-21 11:33:24)
ALICE:7/17水單匯入USD9362沖PI-20190508B-F 92元.PI-20190508B-1 130元. PI-20190509C 9140元整</t>
        </r>
      </text>
    </comment>
    <comment ref="H523" authorId="0" shapeId="0" xr:uid="{4E2710F4-4434-0849-95A0-E3C4C0AEA70D}">
      <text>
        <r>
          <rPr>
            <sz val="10"/>
            <color rgb="FF000000"/>
            <rFont val="Aptos Narrow"/>
            <scheme val="minor"/>
          </rPr>
          <t>======
ID#AAABjx7qM0w
    (2025-05-21 11:33:23)
Alice:7/3-水單匯入USD135</t>
        </r>
      </text>
    </comment>
    <comment ref="H524" authorId="0" shapeId="0" xr:uid="{E2481765-129A-4C45-869D-4DB24569B3C8}">
      <text>
        <r>
          <rPr>
            <sz val="10"/>
            <color rgb="FF000000"/>
            <rFont val="Aptos Narrow"/>
            <scheme val="minor"/>
          </rPr>
          <t>======
ID#AAABjx7qQb0
    (2025-05-21 11:33:25)
13,800.00</t>
        </r>
      </text>
    </comment>
    <comment ref="O524" authorId="0" shapeId="0" xr:uid="{FA9CA097-61A0-EE49-A1AA-FFDCD3A11966}">
      <text>
        <r>
          <rPr>
            <sz val="10"/>
            <color rgb="FF000000"/>
            <rFont val="Aptos Narrow"/>
            <scheme val="minor"/>
          </rPr>
          <t>======
ID#AAABjx7qSZs
    (2025-05-21 11:33:26)
0524 CATHY 下單</t>
        </r>
      </text>
    </comment>
    <comment ref="H525" authorId="0" shapeId="0" xr:uid="{473CC390-BAFA-FD4C-AA2E-F3CB00D3F84E}">
      <text>
        <r>
          <rPr>
            <sz val="10"/>
            <color rgb="FF000000"/>
            <rFont val="Aptos Narrow"/>
            <scheme val="minor"/>
          </rPr>
          <t>======
ID#AAABjx7qNEc
    (2025-05-21 11:33:23)
Alice:7/8匯入NT170334 
Alice:8/6匯入NT186707
Alice:8/6匯入NT32231
總計389272+匯款手續費30=389302沖PI-20190523A 202565.沖PI20190702A 186737元整</t>
        </r>
      </text>
    </comment>
    <comment ref="E526" authorId="0" shapeId="0" xr:uid="{27551298-75BE-8F43-A703-4D821D7AD427}">
      <text>
        <r>
          <rPr>
            <sz val="10"/>
            <color rgb="FF000000"/>
            <rFont val="Aptos Narrow"/>
            <scheme val="minor"/>
          </rPr>
          <t>======
ID#AAABjx7qROg
    (2025-05-21 11:33:25)
20170104 Santiago: 和之前訂單一樣, w/o adapter</t>
        </r>
      </text>
    </comment>
    <comment ref="H526" authorId="0" shapeId="0" xr:uid="{998EE588-7B18-0B4E-A426-22F119A057CC}">
      <text>
        <r>
          <rPr>
            <sz val="10"/>
            <color rgb="FF000000"/>
            <rFont val="Aptos Narrow"/>
            <scheme val="minor"/>
          </rPr>
          <t>======
ID#AAABjx7qRu0
    (2025-05-21 11:33:25)
Alice:7/8匯入NT170334 
Alice:8/6匯入NT186707
Alice:8/6匯入NT32231
總計389272+匯款手續費30=389302沖PI-20190523A 202565.沖PI20190702A 186737元整</t>
        </r>
      </text>
    </comment>
    <comment ref="H527" authorId="0" shapeId="0" xr:uid="{C51E4DCE-EF1F-DB4B-ABF9-50F355D9BC48}">
      <text>
        <r>
          <rPr>
            <sz val="10"/>
            <color rgb="FF000000"/>
            <rFont val="Aptos Narrow"/>
            <scheme val="minor"/>
          </rPr>
          <t>======
ID#AAABjx7qS5g
    (2025-05-21 11:33:26)
alice:6/14-玉山匯入USD1346-手續費31.36=USD1314.64*31.47</t>
        </r>
      </text>
    </comment>
    <comment ref="O527" authorId="0" shapeId="0" xr:uid="{B88EBA22-1951-9246-BB12-A2C40012C320}">
      <text>
        <r>
          <rPr>
            <sz val="10"/>
            <color rgb="FF000000"/>
            <rFont val="Aptos Narrow"/>
            <scheme val="minor"/>
          </rPr>
          <t>======
ID#AAABjx7qQAA
    (2025-05-21 11:33:25)
0528 Cathy 下單</t>
        </r>
      </text>
    </comment>
    <comment ref="H528" authorId="0" shapeId="0" xr:uid="{CE2635E3-B877-3649-A2DB-8030359B5CB5}">
      <text>
        <r>
          <rPr>
            <sz val="10"/>
            <color rgb="FF000000"/>
            <rFont val="Aptos Narrow"/>
            <scheme val="minor"/>
          </rPr>
          <t>======
ID#AAABjx7qN4Y
    (2025-05-21 11:33:23)
alice:6/14-玉山匯入USD1346-手續費31.36=USD1314.64*31.47</t>
        </r>
      </text>
    </comment>
    <comment ref="O528" authorId="0" shapeId="0" xr:uid="{FCF892D8-541D-7E43-A0CA-327AC247F56F}">
      <text>
        <r>
          <rPr>
            <sz val="10"/>
            <color rgb="FF000000"/>
            <rFont val="Aptos Narrow"/>
            <scheme val="minor"/>
          </rPr>
          <t>======
ID#AAABjx7qVoQ
    (2025-05-21 11:33:27)
0528 Cathy 下單</t>
        </r>
      </text>
    </comment>
    <comment ref="H529" authorId="0" shapeId="0" xr:uid="{602B41E2-4166-334E-9A76-6DE475F8FADD}">
      <text>
        <r>
          <rPr>
            <sz val="10"/>
            <color rgb="FF000000"/>
            <rFont val="Aptos Narrow"/>
            <scheme val="minor"/>
          </rPr>
          <t>======
ID#AAABjx7qO0g
    (2025-05-21 11:33:24)
alice:6/14-玉山匯入USD1346-手續費31.36=USD1314.64*31.47</t>
        </r>
      </text>
    </comment>
    <comment ref="O529" authorId="0" shapeId="0" xr:uid="{3AA4AE29-2378-1240-8E78-ED3DB7249E39}">
      <text>
        <r>
          <rPr>
            <sz val="10"/>
            <color rgb="FF000000"/>
            <rFont val="Aptos Narrow"/>
            <scheme val="minor"/>
          </rPr>
          <t>======
ID#AAABjx7qQxE
    (2025-05-21 11:33:25)
0528 Cathy 下單</t>
        </r>
      </text>
    </comment>
    <comment ref="H530" authorId="0" shapeId="0" xr:uid="{8C1F3FB5-D959-7649-B5FB-EA7CAED449A1}">
      <text>
        <r>
          <rPr>
            <sz val="10"/>
            <color rgb="FF000000"/>
            <rFont val="Aptos Narrow"/>
            <scheme val="minor"/>
          </rPr>
          <t>======
ID#AAABjx7qV14
    (2025-05-21 11:33:27)
alice:6/14-玉山匯入USD1346-手續費31.36=USD1314.64*31.47</t>
        </r>
      </text>
    </comment>
    <comment ref="O530" authorId="0" shapeId="0" xr:uid="{6732AFCA-63E4-E84B-991D-F853032AF083}">
      <text>
        <r>
          <rPr>
            <sz val="10"/>
            <color rgb="FF000000"/>
            <rFont val="Aptos Narrow"/>
            <scheme val="minor"/>
          </rPr>
          <t>======
ID#AAABjx7qQHw
    (2025-05-21 11:33:25)
0528 Cathy 下單</t>
        </r>
      </text>
    </comment>
    <comment ref="H531" authorId="0" shapeId="0" xr:uid="{92A71BF8-10B3-6245-B663-9C9F420A626D}">
      <text>
        <r>
          <rPr>
            <sz val="10"/>
            <color rgb="FF000000"/>
            <rFont val="Aptos Narrow"/>
            <scheme val="minor"/>
          </rPr>
          <t>======
ID#AAABjx7qRPo
    (2025-05-21 11:33:25)
alice:6/14-玉山匯入USD1346-手續費31.36=USD1314.64*31.47</t>
        </r>
      </text>
    </comment>
    <comment ref="P531" authorId="0" shapeId="0" xr:uid="{565E0853-332A-EF4C-B085-9E3557ADF9AE}">
      <text>
        <r>
          <rPr>
            <sz val="10"/>
            <color rgb="FF000000"/>
            <rFont val="Aptos Narrow"/>
            <scheme val="minor"/>
          </rPr>
          <t>======
ID#AAABjx7qPdo
    (2025-05-21 11:33:24)
0618 chloe:銀行手續費</t>
        </r>
      </text>
    </comment>
    <comment ref="Q531" authorId="0" shapeId="0" xr:uid="{752D273C-E7E0-0C49-9340-F4C064DD693F}">
      <text>
        <r>
          <rPr>
            <sz val="10"/>
            <color rgb="FF000000"/>
            <rFont val="Aptos Narrow"/>
            <scheme val="minor"/>
          </rPr>
          <t>======
ID#AAABjx7qTWo
    (2025-05-21 11:33:26)
0618 chloe:銀行手續費</t>
        </r>
      </text>
    </comment>
    <comment ref="H532" authorId="0" shapeId="0" xr:uid="{87685F41-AC99-154D-9AD1-B530CFFF6918}">
      <text>
        <r>
          <rPr>
            <sz val="10"/>
            <color rgb="FF000000"/>
            <rFont val="Aptos Narrow"/>
            <scheme val="minor"/>
          </rPr>
          <t>======
ID#AAABjx7qUus
    (2025-05-21 11:33:26)
ALICE:5/28-銀行電文通知匯入USD916</t>
        </r>
      </text>
    </comment>
    <comment ref="J532" authorId="0" shapeId="0" xr:uid="{963D70AE-0873-7D49-8930-AA86F9D68849}">
      <text>
        <r>
          <rPr>
            <sz val="10"/>
            <color rgb="FF000000"/>
            <rFont val="Aptos Narrow"/>
            <scheme val="minor"/>
          </rPr>
          <t>======
ID#AAABjx7qWWM
    (2025-05-21 11:33:27)
客人自行安排取貨 
0527待客人確認</t>
        </r>
      </text>
    </comment>
    <comment ref="O532" authorId="0" shapeId="0" xr:uid="{F4AD0D4D-3C05-4540-82BE-D7A4596140FA}">
      <text>
        <r>
          <rPr>
            <sz val="10"/>
            <color rgb="FF000000"/>
            <rFont val="Aptos Narrow"/>
            <scheme val="minor"/>
          </rPr>
          <t>======
ID#AAABjx7qWYw
    (2025-05-21 11:33:27)
0524 CATHY下單</t>
        </r>
      </text>
    </comment>
    <comment ref="H533" authorId="0" shapeId="0" xr:uid="{770FB63E-CC08-4D48-A52B-5EF54A6E4CC5}">
      <text>
        <r>
          <rPr>
            <sz val="10"/>
            <color rgb="FF000000"/>
            <rFont val="Aptos Narrow"/>
            <scheme val="minor"/>
          </rPr>
          <t>======
ID#AAABjx7qN4o
    (2025-05-21 11:33:23)
ALICE:5/28-銀行電文通知匯入USD916</t>
        </r>
      </text>
    </comment>
    <comment ref="J533" authorId="0" shapeId="0" xr:uid="{2D3891A9-818C-DC4B-BD1F-1A07B306BCFA}">
      <text>
        <r>
          <rPr>
            <sz val="10"/>
            <color rgb="FF000000"/>
            <rFont val="Aptos Narrow"/>
            <scheme val="minor"/>
          </rPr>
          <t>======
ID#AAABjx7qOmw
    (2025-05-21 11:33:24)
客人自行安排取貨 
0527待客人確認</t>
        </r>
      </text>
    </comment>
    <comment ref="O533" authorId="0" shapeId="0" xr:uid="{5F1559BF-CE6A-5C4C-BA60-A3EEA47029B7}">
      <text>
        <r>
          <rPr>
            <sz val="10"/>
            <color rgb="FF000000"/>
            <rFont val="Aptos Narrow"/>
            <scheme val="minor"/>
          </rPr>
          <t>======
ID#AAABjx7qO1I
    (2025-05-21 11:33:24)
0524 CATHY下單</t>
        </r>
      </text>
    </comment>
    <comment ref="H534" authorId="0" shapeId="0" xr:uid="{07617EF0-0A5B-5843-8882-56C702C09332}">
      <text>
        <r>
          <rPr>
            <sz val="10"/>
            <color rgb="FF000000"/>
            <rFont val="Aptos Narrow"/>
            <scheme val="minor"/>
          </rPr>
          <t>======
ID#AAABjx7qPrY
    (2025-05-21 11:33:24)
ALICE:5/28-銀行電文通知匯入USD916</t>
        </r>
      </text>
    </comment>
    <comment ref="J534" authorId="0" shapeId="0" xr:uid="{FCE79090-A92B-9F4F-BC03-9E50830E2894}">
      <text>
        <r>
          <rPr>
            <sz val="10"/>
            <color rgb="FF000000"/>
            <rFont val="Aptos Narrow"/>
            <scheme val="minor"/>
          </rPr>
          <t>======
ID#AAABjx7qTJQ
    (2025-05-21 11:33:26)
客人自行安排取貨 
0527待客人確認</t>
        </r>
      </text>
    </comment>
    <comment ref="O534" authorId="0" shapeId="0" xr:uid="{E506EC6A-C874-2C44-9A55-70B991364932}">
      <text>
        <r>
          <rPr>
            <sz val="10"/>
            <color rgb="FF000000"/>
            <rFont val="Aptos Narrow"/>
            <scheme val="minor"/>
          </rPr>
          <t>======
ID#AAABj82dpHQ
    (2025-05-21 11:33:23)
0524 CATHY下單</t>
        </r>
      </text>
    </comment>
    <comment ref="H535" authorId="0" shapeId="0" xr:uid="{9DD4C491-DCA7-AC45-82CB-41221BF20385}">
      <text>
        <r>
          <rPr>
            <sz val="10"/>
            <color rgb="FF000000"/>
            <rFont val="Aptos Narrow"/>
            <scheme val="minor"/>
          </rPr>
          <t>======
ID#AAABjx7qNwc
    (2025-05-21 11:33:23)
ALICE:7/26玉山銀行水單通知匯入USD9754沖PI-20190524B(2000+350).沖PI20190524B-1(3010).沖PI-20190703A(60+70).沖PI20190719B-1 228+1600 PI-20190719B-2 304  PI-20190719B-5 532. PI-20190719B-3 1600</t>
        </r>
      </text>
    </comment>
    <comment ref="E536" authorId="0" shapeId="0" xr:uid="{8F595DCE-5E86-5A40-992B-F89833A6BB0E}">
      <text>
        <r>
          <rPr>
            <sz val="10"/>
            <color rgb="FF000000"/>
            <rFont val="Aptos Narrow"/>
            <scheme val="minor"/>
          </rPr>
          <t>======
ID#AAABjx7qM9o
    (2025-05-21 11:33:23)
供應商NRE費用
NRE to develop AR coating fixture + Customized 1 black color cover lens</t>
        </r>
      </text>
    </comment>
    <comment ref="H536" authorId="0" shapeId="0" xr:uid="{918A7798-9698-2242-8B4D-4DD39D22F2C2}">
      <text>
        <r>
          <rPr>
            <sz val="10"/>
            <color rgb="FF000000"/>
            <rFont val="Aptos Narrow"/>
            <scheme val="minor"/>
          </rPr>
          <t>======
ID#AAABjx7qUvg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E537" authorId="0" shapeId="0" xr:uid="{DE45DB7E-C02A-9A4A-9F69-CCADEBD258CF}">
      <text>
        <r>
          <rPr>
            <sz val="10"/>
            <color rgb="FF000000"/>
            <rFont val="Aptos Narrow"/>
            <scheme val="minor"/>
          </rPr>
          <t>======
ID#AAABjx7qNU0
    (2025-05-21 11:33:23)
在此輸入
20190603 San: RTPC150-H0006U (標準品)+AR coating,→供應商料號:
RTPC150-H0006U
20190828 Cathy: notice client LCD*2PCS defect -&gt; accept</t>
        </r>
      </text>
    </comment>
    <comment ref="H537" authorId="0" shapeId="0" xr:uid="{155DC687-D11D-5C4F-B577-A8F99B66B7DE}">
      <text>
        <r>
          <rPr>
            <sz val="10"/>
            <color rgb="FF000000"/>
            <rFont val="Aptos Narrow"/>
            <scheme val="minor"/>
          </rPr>
          <t>======
ID#AAABjx7qSPM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M537" authorId="0" shapeId="0" xr:uid="{EDF5C044-4D97-1448-90D2-29E534DDE978}">
      <text>
        <r>
          <rPr>
            <sz val="10"/>
            <color rgb="FF000000"/>
            <rFont val="Aptos Narrow"/>
            <scheme val="minor"/>
          </rPr>
          <t>======
ID#AAABjx7qVr0
    (2025-05-21 11:33:27)
0604 chloe: 下單→0711 追料交期待下周告知
※貨到請通知Chloe</t>
        </r>
      </text>
    </comment>
    <comment ref="M538" authorId="0" shapeId="0" xr:uid="{FCD2F1DE-6C90-A047-AAB8-19AFBD9CB065}">
      <text>
        <r>
          <rPr>
            <sz val="10"/>
            <color rgb="FF000000"/>
            <rFont val="Aptos Narrow"/>
            <scheme val="minor"/>
          </rPr>
          <t>======
ID#AAABjx7qM1U
    (2025-05-21 11:33:23)
0807 chloe: 將會先行到貨 8 PCS</t>
        </r>
      </text>
    </comment>
    <comment ref="K539" authorId="0" shapeId="0" xr:uid="{9517B9B2-BF69-C744-A534-4345369C6561}">
      <text>
        <r>
          <rPr>
            <sz val="10"/>
            <color rgb="FF000000"/>
            <rFont val="Aptos Narrow"/>
            <scheme val="minor"/>
          </rPr>
          <t>======
ID#AAABjx7qTJw
    (2025-05-21 11:33:26)
0819YVONNE:大榮15595542162</t>
        </r>
      </text>
    </comment>
    <comment ref="M539" authorId="0" shapeId="0" xr:uid="{D3A64B49-D847-4449-8CB1-5284E2B7E744}">
      <text>
        <r>
          <rPr>
            <sz val="10"/>
            <color rgb="FF000000"/>
            <rFont val="Aptos Narrow"/>
            <scheme val="minor"/>
          </rPr>
          <t>======
ID#AAABjx7qUs0
    (2025-05-21 11:33:26)
0708chloe: 1 PCS 曦立告知出現亮點</t>
        </r>
      </text>
    </comment>
    <comment ref="T539" authorId="0" shapeId="0" xr:uid="{2CB2A065-0BDC-534B-8938-48CAD6405518}">
      <text>
        <r>
          <rPr>
            <sz val="10"/>
            <color rgb="FF000000"/>
            <rFont val="Aptos Narrow"/>
            <scheme val="minor"/>
          </rPr>
          <t>======
ID#AAABjx7qVvk
0604 chloe    (2025-05-21 11:33:27)
客供料，無成本</t>
        </r>
      </text>
    </comment>
    <comment ref="U539" authorId="0" shapeId="0" xr:uid="{C2200195-2031-1F45-B0BA-B7446A642AF6}">
      <text>
        <r>
          <rPr>
            <sz val="10"/>
            <color rgb="FF000000"/>
            <rFont val="Aptos Narrow"/>
            <scheme val="minor"/>
          </rPr>
          <t>======
ID#AAABjx7qVDA
0604 chloe    (2025-05-21 11:33:27)
客供料，無成本</t>
        </r>
      </text>
    </comment>
    <comment ref="E540" authorId="0" shapeId="0" xr:uid="{1FB282A5-720A-5A46-9D60-DFF47ABD753E}">
      <text>
        <r>
          <rPr>
            <sz val="10"/>
            <color rgb="FF000000"/>
            <rFont val="Aptos Narrow"/>
            <scheme val="minor"/>
          </rPr>
          <t>======
ID#AAABjx7qOVM
    (2025-05-21 11:33:24)
在此輸入
20190603 San: RTPC150-H0006U (標準品)+AR coating,→供應商料號:
RTPC150-H0006U
20190828 Cathy: notice client LCD*2PCS defect -&gt; accept</t>
        </r>
      </text>
    </comment>
    <comment ref="H540" authorId="0" shapeId="0" xr:uid="{FD1975C1-741B-3E46-9BF5-6182AB2790F5}">
      <text>
        <r>
          <rPr>
            <sz val="10"/>
            <color rgb="FF000000"/>
            <rFont val="Aptos Narrow"/>
            <scheme val="minor"/>
          </rPr>
          <t>======
ID#AAABjx7qNBo
    (2025-05-21 11:33:23)
ALICE:8/30-玉山銀行水單通知USD3464沖PI20190524B-2 USD3010.沖PI-20190524B-F USD454合計共USD3464元整</t>
        </r>
      </text>
    </comment>
    <comment ref="M540" authorId="0" shapeId="0" xr:uid="{BA312A3A-108B-1D43-B66F-C8FF0520BA7C}">
      <text>
        <r>
          <rPr>
            <sz val="10"/>
            <color rgb="FF000000"/>
            <rFont val="Aptos Narrow"/>
            <scheme val="minor"/>
          </rPr>
          <t>======
ID#AAABjx7qP88
    (2025-05-21 11:33:25)
0604 chloe: 下單→0711 追料交期待下周告知
※貨到請通知Chloe</t>
        </r>
      </text>
    </comment>
    <comment ref="O540" authorId="0" shapeId="0" xr:uid="{B7BFFA6C-F5B6-894A-8C01-CC1681B8768C}">
      <text>
        <r>
          <rPr>
            <sz val="10"/>
            <color rgb="FF000000"/>
            <rFont val="Aptos Narrow"/>
            <scheme val="minor"/>
          </rPr>
          <t>======
ID#AAABjx7qQZE
    (2025-05-21 11:33:25)
0802 chloe:兩片有點狀物問題，退回
重工
客戶確定OK，故允收</t>
        </r>
      </text>
    </comment>
    <comment ref="H542" authorId="0" shapeId="0" xr:uid="{019EB457-4D6C-8648-AA62-A523B0BBE585}">
      <text>
        <r>
          <rPr>
            <sz val="10"/>
            <color rgb="FF000000"/>
            <rFont val="Aptos Narrow"/>
            <scheme val="minor"/>
          </rPr>
          <t>======
ID#AAABjx7qQH0
    (2025-05-21 11:33:25)
ALICE:8/30-玉山銀行水單通知USD3464沖PI20190524B-2 USD3010.沖PI-20190524B-F USD454合計共USD3464元整</t>
        </r>
      </text>
    </comment>
    <comment ref="T542" authorId="0" shapeId="0" xr:uid="{F3135AD7-36A9-7C47-A8C1-837574C31F1F}">
      <text>
        <r>
          <rPr>
            <sz val="10"/>
            <color rgb="FF000000"/>
            <rFont val="Aptos Narrow"/>
            <scheme val="minor"/>
          </rPr>
          <t>======
ID#AAABjx7qSK0
0604 chloe    (2025-05-21 11:33:26)
客供料，無成本</t>
        </r>
      </text>
    </comment>
    <comment ref="U542" authorId="0" shapeId="0" xr:uid="{F16B25CD-349F-984F-B227-171A8506AD94}">
      <text>
        <r>
          <rPr>
            <sz val="10"/>
            <color rgb="FF000000"/>
            <rFont val="Aptos Narrow"/>
            <scheme val="minor"/>
          </rPr>
          <t>======
ID#AAABjx7qOuI
0604 chloe    (2025-05-21 11:33:24)
客供料，無成本</t>
        </r>
      </text>
    </comment>
    <comment ref="D543" authorId="0" shapeId="0" xr:uid="{FB041ED8-9EF2-CF41-A946-DB70CB7B0B16}">
      <text>
        <r>
          <rPr>
            <sz val="10"/>
            <color rgb="FF000000"/>
            <rFont val="Aptos Narrow"/>
            <scheme val="minor"/>
          </rPr>
          <t>======
ID#AAABjx7qSU8
    (2025-05-21 11:33:26)
在此輸入
0530 已請Tammy 下單 ，客戶告知預計 5/31 匯款</t>
        </r>
      </text>
    </comment>
    <comment ref="H543" authorId="0" shapeId="0" xr:uid="{07795345-4176-BE44-AB76-9BA19F37617F}">
      <text>
        <r>
          <rPr>
            <sz val="10"/>
            <color rgb="FF000000"/>
            <rFont val="Aptos Narrow"/>
            <scheme val="minor"/>
          </rPr>
          <t>======
ID#AAABjx7qWSc
    (2025-05-21 11:33:27)
ALICE:5/31銀行電文通知匯入款USD531+匯出手續費USD11=USD542</t>
        </r>
      </text>
    </comment>
    <comment ref="J543" authorId="0" shapeId="0" xr:uid="{CC66F967-C17B-8C4F-837D-30BF5D383C2A}">
      <text>
        <r>
          <rPr>
            <sz val="10"/>
            <color rgb="FF000000"/>
            <rFont val="Aptos Narrow"/>
            <scheme val="minor"/>
          </rPr>
          <t>======
ID#AAABjx7qNRM
    (2025-05-21 11:33:23)
DHL Account Number : 956287207 for Freight ( AVIHS Technologies )</t>
        </r>
      </text>
    </comment>
    <comment ref="H544" authorId="0" shapeId="0" xr:uid="{6D5AEF59-AE22-5543-949E-7037D1053F89}">
      <text>
        <r>
          <rPr>
            <sz val="10"/>
            <color rgb="FF000000"/>
            <rFont val="Aptos Narrow"/>
            <scheme val="minor"/>
          </rPr>
          <t>======
ID#AAABjx7qRB8
    (2025-05-21 11:33:25)
ALICE:5/31銀行電文通知匯入款USD531+匯出手續費USD11=USD542</t>
        </r>
      </text>
    </comment>
    <comment ref="J544" authorId="0" shapeId="0" xr:uid="{365CB47A-A005-3C4F-9D0B-C5E7E380EB54}">
      <text>
        <r>
          <rPr>
            <sz val="10"/>
            <color rgb="FF000000"/>
            <rFont val="Aptos Narrow"/>
            <scheme val="minor"/>
          </rPr>
          <t>======
ID#AAABjx7qWTI
    (2025-05-21 11:33:27)
DHL Account Number : 956287207 for Freight ( AVIHS Technologies )</t>
        </r>
      </text>
    </comment>
    <comment ref="E545" authorId="0" shapeId="0" xr:uid="{E5C32A1A-1351-E44B-8322-FA26C627E16D}">
      <text>
        <r>
          <rPr>
            <sz val="10"/>
            <color rgb="FF000000"/>
            <rFont val="Aptos Narrow"/>
            <scheme val="minor"/>
          </rPr>
          <t>======
ID#AAABjx7qPiw
    (2025-05-21 11:33:24)
客戶下單: 719_MT8070iE  
廠商實際進貨:  719_MT8071iE (客人接受此料,不換料)</t>
        </r>
      </text>
    </comment>
    <comment ref="H545" authorId="0" shapeId="0" xr:uid="{18CA0817-9F5C-144F-838C-9260EFDF05A7}">
      <text>
        <r>
          <rPr>
            <sz val="10"/>
            <color rgb="FF000000"/>
            <rFont val="Aptos Narrow"/>
            <scheme val="minor"/>
          </rPr>
          <t>======
ID#AAABjx7qTQw
    (2025-05-21 11:33:26)
alice:6/3銀行電文通知匯入USD795待水單結匯</t>
        </r>
      </text>
    </comment>
    <comment ref="J545" authorId="0" shapeId="0" xr:uid="{706EDF07-A1B9-2D40-8DD4-59EC826FBB6D}">
      <text>
        <r>
          <rPr>
            <sz val="10"/>
            <color rgb="FF000000"/>
            <rFont val="Aptos Narrow"/>
            <scheme val="minor"/>
          </rPr>
          <t>======
ID#AAABjx7qVaM
    (2025-05-21 11:33:27)
客人自行安排取貨 
0527待客人確認</t>
        </r>
      </text>
    </comment>
    <comment ref="O545" authorId="0" shapeId="0" xr:uid="{DB0BA989-F556-2845-896C-1913B5ACC4EA}">
      <text>
        <r>
          <rPr>
            <sz val="10"/>
            <color rgb="FF000000"/>
            <rFont val="Aptos Narrow"/>
            <scheme val="minor"/>
          </rPr>
          <t>======
ID#AAABjx7qPFA
    (2025-05-21 11:33:24)
0531 Cathy 下單</t>
        </r>
      </text>
    </comment>
    <comment ref="U545" authorId="0" shapeId="0" xr:uid="{2820AA0F-D578-6A40-AC8D-6A1A0A186962}">
      <text>
        <r>
          <rPr>
            <sz val="10"/>
            <color rgb="FF000000"/>
            <rFont val="Aptos Narrow"/>
            <scheme val="minor"/>
          </rPr>
          <t>======
ID#AAABjx7qPPo
    (2025-05-21 11:33:24)
MT8070iE @ 7000 , TOTAL : 22050
原進貨22050(含稅)，因廠商出錯貨，故7/16-進折5040(含稅)，故22050-5040=17010 待贊翔匯回5040元整</t>
        </r>
      </text>
    </comment>
    <comment ref="D546" authorId="0" shapeId="0" xr:uid="{C339F966-59AB-5A41-AD66-2C940423C90C}">
      <text>
        <r>
          <rPr>
            <sz val="10"/>
            <color rgb="FF000000"/>
            <rFont val="Aptos Narrow"/>
            <scheme val="minor"/>
          </rPr>
          <t>======
ID#AAABjx7qQck
    (2025-05-21 11:33:25)
0531 請TAMMY下單</t>
        </r>
      </text>
    </comment>
    <comment ref="H546" authorId="0" shapeId="0" xr:uid="{B5BBE0A1-8D86-D84A-AA1A-6759675478E6}">
      <text>
        <r>
          <rPr>
            <sz val="10"/>
            <color rgb="FF000000"/>
            <rFont val="Aptos Narrow"/>
            <scheme val="minor"/>
          </rPr>
          <t>======
ID#AAABjx7qSYc
    (2025-05-21 11:33:26)
ALICE:8/5收到應收票據:到期日108/07/31票號CP0073500 金額26066元整+ 7/3預收11978元整=38044
沖PI-20190531B 25268+沖PI-20190613A 12804=38072 差額28元為寄支票郵資</t>
        </r>
      </text>
    </comment>
    <comment ref="D547" authorId="0" shapeId="0" xr:uid="{CF28E93B-D416-674C-A40B-A74A5320C8F8}">
      <text>
        <r>
          <rPr>
            <sz val="10"/>
            <color rgb="FF000000"/>
            <rFont val="Aptos Narrow"/>
            <scheme val="minor"/>
          </rPr>
          <t>======
ID#AAABjx7qM3Q
    (2025-05-21 11:33:23)
0603 通知Tammy下單</t>
        </r>
      </text>
    </comment>
    <comment ref="H547" authorId="0" shapeId="0" xr:uid="{38554E10-10EB-3D49-B358-EC9E135ADB55}">
      <text>
        <r>
          <rPr>
            <sz val="10"/>
            <color rgb="FF000000"/>
            <rFont val="Aptos Narrow"/>
            <scheme val="minor"/>
          </rPr>
          <t>======
ID#AAABjx7qQEs
    (2025-05-21 11:33:25)
ALICE:7/19-電文匯入USD16000元整，沖PI-20190603A USD10450+236+2308+3006(4850中的)
alice:8/19匯入USD16000沖PI-20190730A 10500，沖PI20190603A 1844(4850)，沖PI20190603A 3656(7040)</t>
        </r>
      </text>
    </comment>
    <comment ref="K547" authorId="0" shapeId="0" xr:uid="{397FD1B7-1C46-554A-BFE2-D269F4CD03E9}">
      <text>
        <r>
          <rPr>
            <sz val="10"/>
            <color rgb="FF000000"/>
            <rFont val="Aptos Narrow"/>
            <scheme val="minor"/>
          </rPr>
          <t>======
ID#AAABjx7qQjY
    (2025-05-21 11:33:25)
0722 Santiago同意先出貨。</t>
        </r>
      </text>
    </comment>
    <comment ref="D548" authorId="0" shapeId="0" xr:uid="{0BA1409B-CFFF-774F-A928-8C3FC4C174C3}">
      <text>
        <r>
          <rPr>
            <sz val="10"/>
            <color rgb="FF000000"/>
            <rFont val="Aptos Narrow"/>
            <scheme val="minor"/>
          </rPr>
          <t>======
ID#AAABjx7qRBI
    (2025-05-21 11:33:25)
0603 通知Tammy下單</t>
        </r>
      </text>
    </comment>
    <comment ref="H548" authorId="0" shapeId="0" xr:uid="{702CEAAD-75A4-BC43-B699-FFB0F28A6C4A}">
      <text>
        <r>
          <rPr>
            <sz val="10"/>
            <color rgb="FF000000"/>
            <rFont val="Aptos Narrow"/>
            <scheme val="minor"/>
          </rPr>
          <t>======
ID#AAABjx7qQao
    (2025-05-21 11:33:25)
alice:8/19匯入USD16000沖PI-20190730A 10500，沖PI20190603A 1844(4850)，沖PI20190603A 3656(7040)
ALICE:9/16玉山水單匯入USD14454沖PI-20190603A USD14454</t>
        </r>
      </text>
    </comment>
    <comment ref="K548" authorId="0" shapeId="0" xr:uid="{681E5863-BAAD-7347-8F16-98A9EE85CB5E}">
      <text>
        <r>
          <rPr>
            <sz val="10"/>
            <color rgb="FF000000"/>
            <rFont val="Aptos Narrow"/>
            <scheme val="minor"/>
          </rPr>
          <t>======
ID#AAABjx7qWDI
    (2025-05-21 11:33:27)
0722 Santiago同意先出貨。
0701 詢問預計7/11匯款&amp; 運輸方式</t>
        </r>
      </text>
    </comment>
    <comment ref="D549" authorId="0" shapeId="0" xr:uid="{4393ED6A-31DB-6445-86A4-626D051F7129}">
      <text>
        <r>
          <rPr>
            <sz val="10"/>
            <color rgb="FF000000"/>
            <rFont val="Aptos Narrow"/>
            <scheme val="minor"/>
          </rPr>
          <t>======
ID#AAABjx7qVUM
    (2025-05-21 11:33:27)
0603 通知Tammy下單</t>
        </r>
      </text>
    </comment>
    <comment ref="H549" authorId="0" shapeId="0" xr:uid="{59CEE170-EC3F-E64C-B4C7-45F3231FAF9B}">
      <text>
        <r>
          <rPr>
            <sz val="10"/>
            <color rgb="FF000000"/>
            <rFont val="Aptos Narrow"/>
            <scheme val="minor"/>
          </rPr>
          <t>======
ID#AAABjx7qQrQ
    (2025-05-21 11:33:25)
ALICE:7/19-電文匯入USD16000元整，沖PI-20190603A USD10450+236+2308+3006(4850中的)</t>
        </r>
      </text>
    </comment>
    <comment ref="K549" authorId="0" shapeId="0" xr:uid="{92733242-55C8-2143-B7CE-35CC2449D48A}">
      <text>
        <r>
          <rPr>
            <sz val="10"/>
            <color rgb="FF000000"/>
            <rFont val="Aptos Narrow"/>
            <scheme val="minor"/>
          </rPr>
          <t>======
ID#AAABjx7qTKA
    (2025-05-21 11:33:26)
0722 Santiago同意先出貨。
0701 詢問預計7/11匯款&amp; 運輸方式</t>
        </r>
      </text>
    </comment>
    <comment ref="D550" authorId="0" shapeId="0" xr:uid="{7406D903-1830-5A4F-A3A8-4C80535B8BC4}">
      <text>
        <r>
          <rPr>
            <sz val="10"/>
            <color rgb="FF000000"/>
            <rFont val="Aptos Narrow"/>
            <scheme val="minor"/>
          </rPr>
          <t>======
ID#AAABjx7qShM
    (2025-05-21 11:33:26)
0603 通知Tammy下單</t>
        </r>
      </text>
    </comment>
    <comment ref="H550" authorId="0" shapeId="0" xr:uid="{AFDFD7E7-F091-604F-BCDD-2F2155F531CF}">
      <text>
        <r>
          <rPr>
            <sz val="10"/>
            <color rgb="FF000000"/>
            <rFont val="Aptos Narrow"/>
            <scheme val="minor"/>
          </rPr>
          <t>======
ID#AAABjx7qSc0
    (2025-05-21 11:33:26)
ALICE:7/19-電文匯入USD16000元整，沖PI-20190603A USD10450+236+2308+3006(4850中的)</t>
        </r>
      </text>
    </comment>
    <comment ref="K550" authorId="0" shapeId="0" xr:uid="{A131EC67-87DF-C44A-8229-63D283B8B3B1}">
      <text>
        <r>
          <rPr>
            <sz val="10"/>
            <color rgb="FF000000"/>
            <rFont val="Aptos Narrow"/>
            <scheme val="minor"/>
          </rPr>
          <t>======
ID#AAABjx7qPBo
    (2025-05-21 11:33:24)
0722 Santiago同意先出貨。
0701 詢問預計7/11匯款&amp; 運輸方式</t>
        </r>
      </text>
    </comment>
    <comment ref="D551" authorId="0" shapeId="0" xr:uid="{46D5C305-620E-964E-91D2-91CCF04DAC62}">
      <text>
        <r>
          <rPr>
            <sz val="10"/>
            <color rgb="FF000000"/>
            <rFont val="Aptos Narrow"/>
            <scheme val="minor"/>
          </rPr>
          <t>======
ID#AAABjx7qRpo
    (2025-05-21 11:33:25)
0603 通知Tammy下單</t>
        </r>
      </text>
    </comment>
    <comment ref="H551" authorId="0" shapeId="0" xr:uid="{F9760019-E954-9D43-9BA7-3036093F3B74}">
      <text>
        <r>
          <rPr>
            <sz val="10"/>
            <color rgb="FF000000"/>
            <rFont val="Aptos Narrow"/>
            <scheme val="minor"/>
          </rPr>
          <t>======
ID#AAABjx7qNJQ
    (2025-05-21 11:33:23)
ALICE:7/19-電文匯入USD16000元整，沖PI-20190603A USD10450+236+2308+3006(4850中的)</t>
        </r>
      </text>
    </comment>
    <comment ref="K551" authorId="0" shapeId="0" xr:uid="{6EBA30FF-00E1-204F-86C9-26B0D94E74B8}">
      <text>
        <r>
          <rPr>
            <sz val="10"/>
            <color rgb="FF000000"/>
            <rFont val="Aptos Narrow"/>
            <scheme val="minor"/>
          </rPr>
          <t>======
ID#AAABjx7qO5I
    (2025-05-21 11:33:24)
0722 Santiago同意先出貨。
0701 詢問預計7/11匯款&amp; 運輸方式</t>
        </r>
      </text>
    </comment>
    <comment ref="D552" authorId="0" shapeId="0" xr:uid="{FCCCF778-20B8-1843-8CF9-6748B3499BC0}">
      <text>
        <r>
          <rPr>
            <sz val="10"/>
            <color rgb="FF000000"/>
            <rFont val="Aptos Narrow"/>
            <scheme val="minor"/>
          </rPr>
          <t>======
ID#AAABjx7qU54
    (2025-05-21 11:33:27)
0603 通知Tammy下單</t>
        </r>
      </text>
    </comment>
    <comment ref="H552" authorId="0" shapeId="0" xr:uid="{C416E3FA-1FFB-9243-8DE0-C9E450AE873E}">
      <text>
        <r>
          <rPr>
            <sz val="10"/>
            <color rgb="FF000000"/>
            <rFont val="Aptos Narrow"/>
            <scheme val="minor"/>
          </rPr>
          <t>======
ID#AAABjx7qM5A
    (2025-05-21 11:33:23)
ALICE:9/16玉山水單匯入USD14454沖PI-20190603A USD14454</t>
        </r>
      </text>
    </comment>
    <comment ref="K552" authorId="0" shapeId="0" xr:uid="{2BB069B9-3572-B44C-9DD6-569A684BC0F0}">
      <text>
        <r>
          <rPr>
            <sz val="10"/>
            <color rgb="FF000000"/>
            <rFont val="Aptos Narrow"/>
            <scheme val="minor"/>
          </rPr>
          <t>======
ID#AAABjx7qRj8
    (2025-05-21 11:33:25)
0722 Santiago同意先出貨。
0701 詢問預計7/11匯款&amp; 運輸方式</t>
        </r>
      </text>
    </comment>
    <comment ref="H553" authorId="0" shapeId="0" xr:uid="{4DF20892-30A7-D844-A92B-6E4C3079BF94}">
      <text>
        <r>
          <rPr>
            <sz val="10"/>
            <color rgb="FF000000"/>
            <rFont val="Aptos Narrow"/>
            <scheme val="minor"/>
          </rPr>
          <t>======
ID#AAABjx7qQvE
    (2025-05-21 11:33:25)
ALICE:8/27玉山銀行匯入USD9443沖PI-20190604A.PI-20190628A.PI-20190604A-F合計共USD9443元整</t>
        </r>
      </text>
    </comment>
    <comment ref="J553" authorId="0" shapeId="0" xr:uid="{66AA33A3-0EE2-9F47-8758-C64460DCE7B0}">
      <text>
        <r>
          <rPr>
            <sz val="10"/>
            <color rgb="FF000000"/>
            <rFont val="Aptos Narrow"/>
            <scheme val="minor"/>
          </rPr>
          <t>======
ID#AAABjx7qPR4
SHIPPING  AS BELOW    (2025-05-21 11:33:24)
103A Mary Street, Richmond, VIC, 3121, Australia
Contact: Jim MacDouall
Phone: +61 417 714 528</t>
        </r>
      </text>
    </comment>
    <comment ref="M553" authorId="0" shapeId="0" xr:uid="{D51E3B9E-FCE7-EE46-8CCB-744D1AFA80C1}">
      <text>
        <r>
          <rPr>
            <sz val="10"/>
            <color rgb="FF000000"/>
            <rFont val="Aptos Narrow"/>
            <scheme val="minor"/>
          </rPr>
          <t>======
ID#AAABjx7qN_4
    (2025-05-21 11:33:24)
0624 chloe: 閎亮到貨時間，不含場內測試</t>
        </r>
      </text>
    </comment>
    <comment ref="O553" authorId="0" shapeId="0" xr:uid="{F060B8B3-01A6-7147-ADF7-85185AF0311C}">
      <text>
        <r>
          <rPr>
            <sz val="10"/>
            <color rgb="FF000000"/>
            <rFont val="Aptos Narrow"/>
            <scheme val="minor"/>
          </rPr>
          <t>======
ID#AAABjx7qMsc
    (2025-05-21 11:33:23)
見BOM</t>
        </r>
      </text>
    </comment>
    <comment ref="H554" authorId="0" shapeId="0" xr:uid="{87C3E038-E098-0C4D-ABE1-1A4763601BFF}">
      <text>
        <r>
          <rPr>
            <sz val="10"/>
            <color rgb="FF000000"/>
            <rFont val="Aptos Narrow"/>
            <scheme val="minor"/>
          </rPr>
          <t>======
ID#AAABjx7qRRo
    (2025-05-21 11:33:25)
ALICE:8/27玉山銀行匯入USD9443沖PI-20190604A.PI-20190628A.PI-20190604A-F合計共USD9443元整</t>
        </r>
      </text>
    </comment>
    <comment ref="J554" authorId="0" shapeId="0" xr:uid="{A97B5D9E-DE18-6341-9B58-74DBC48A34AA}">
      <text>
        <r>
          <rPr>
            <sz val="10"/>
            <color rgb="FF000000"/>
            <rFont val="Aptos Narrow"/>
            <scheme val="minor"/>
          </rPr>
          <t>======
ID#AAABjx7qM7c
SHIPPING  AS BELOW    (2025-05-21 11:33:23)
103A Mary Street, Richmond, VIC, 3121, Australia
Contact: Jim MacDouall
Phone: +61 417 714 528</t>
        </r>
      </text>
    </comment>
    <comment ref="T554" authorId="0" shapeId="0" xr:uid="{A62048A5-CD54-F640-BA73-AE71E4517251}">
      <text>
        <r>
          <rPr>
            <sz val="10"/>
            <color rgb="FF000000"/>
            <rFont val="Aptos Narrow"/>
            <scheme val="minor"/>
          </rPr>
          <t>======
ID#AAABjx7qSWc
    (2025-05-21 11:33:26)
PD-20190605A-2</t>
        </r>
      </text>
    </comment>
    <comment ref="E555" authorId="0" shapeId="0" xr:uid="{AD7EFAAE-98DA-F84F-B8A5-243ADFD675BD}">
      <text>
        <r>
          <rPr>
            <sz val="10"/>
            <color rgb="FF000000"/>
            <rFont val="Aptos Narrow"/>
            <scheme val="minor"/>
          </rPr>
          <t>======
ID#AAABjx7qWEw
    (2025-05-21 11:33:27)
6/10 Amy: MI3EM5125602EN (原舊訂單料號)或 MI3MB1125604SN (目前敏博報價單料號)
256G SSD Normal Temp.</t>
        </r>
      </text>
    </comment>
    <comment ref="H555" authorId="0" shapeId="0" xr:uid="{1F2CF8A8-5B7A-9E4D-AE92-26EAA0EF9830}">
      <text>
        <r>
          <rPr>
            <sz val="10"/>
            <color rgb="FF000000"/>
            <rFont val="Aptos Narrow"/>
            <scheme val="minor"/>
          </rPr>
          <t>======
ID#AAABjx7qOvE
    (2025-05-21 11:33:24)
ALICE:8/27玉山銀行匯入USD9443沖PI-20190604A.PI-20190628A.PI-20190604A-F合計共USD9443元整</t>
        </r>
      </text>
    </comment>
    <comment ref="J555" authorId="0" shapeId="0" xr:uid="{057F52E2-685F-D641-A8A4-84378B1AC2D1}">
      <text>
        <r>
          <rPr>
            <sz val="10"/>
            <color rgb="FF000000"/>
            <rFont val="Aptos Narrow"/>
            <scheme val="minor"/>
          </rPr>
          <t>======
ID#AAABjx7qQnQ
SHIPPING  AS BELOW    (2025-05-21 11:33:25)
103A Mary Street, Richmond, VIC, 3121, Australia
Contact: Jim MacDouall
Phone: +61 417 714 528</t>
        </r>
      </text>
    </comment>
    <comment ref="T555" authorId="0" shapeId="0" xr:uid="{F9AB6314-2BBE-A543-BE65-1C92EC405427}">
      <text>
        <r>
          <rPr>
            <sz val="10"/>
            <color rgb="FF000000"/>
            <rFont val="Aptos Narrow"/>
            <scheme val="minor"/>
          </rPr>
          <t>======
ID#AAABjx7qNsE
    (2025-05-21 11:33:23)
戎克庫存價格</t>
        </r>
      </text>
    </comment>
    <comment ref="H556" authorId="0" shapeId="0" xr:uid="{DC532704-24C8-0242-AFDE-5A4744013023}">
      <text>
        <r>
          <rPr>
            <sz val="10"/>
            <color rgb="FF000000"/>
            <rFont val="Aptos Narrow"/>
            <scheme val="minor"/>
          </rPr>
          <t>======
ID#AAABjx7qRHw
    (2025-05-21 11:33:25)
ALICE:8/27玉山銀行匯入USD9443沖PI-20190604A.PI-20190628A.PI-20190604A-F合計共USD9443元整</t>
        </r>
      </text>
    </comment>
    <comment ref="J556" authorId="0" shapeId="0" xr:uid="{F21DC0AD-7E83-144F-BFE9-59916832CAAC}">
      <text>
        <r>
          <rPr>
            <sz val="10"/>
            <color rgb="FF000000"/>
            <rFont val="Aptos Narrow"/>
            <scheme val="minor"/>
          </rPr>
          <t>======
ID#AAABjx7qUrQ
SHIPPING  AS BELOW    (2025-05-21 11:33:26)
103A Mary Street, Richmond, VIC, 3121, Australia
Contact: Jim MacDouall
Phone: +61 417 714 528</t>
        </r>
      </text>
    </comment>
    <comment ref="T556" authorId="0" shapeId="0" xr:uid="{B6F51C4E-43CA-B94F-A5BF-D602A16CAAF0}">
      <text>
        <r>
          <rPr>
            <sz val="10"/>
            <color rgb="FF000000"/>
            <rFont val="Aptos Narrow"/>
            <scheme val="minor"/>
          </rPr>
          <t>======
ID#AAABjx7qWUE
    (2025-05-21 11:33:27)
戎克庫存成本</t>
        </r>
      </text>
    </comment>
    <comment ref="H557" authorId="0" shapeId="0" xr:uid="{D5591ED4-CC9C-D646-BCEC-F32DAA8AF908}">
      <text>
        <r>
          <rPr>
            <sz val="10"/>
            <color rgb="FF000000"/>
            <rFont val="Aptos Narrow"/>
            <scheme val="minor"/>
          </rPr>
          <t>======
ID#AAABjx7qNTg
    (2025-05-21 11:33:23)
ALICE:8/27玉山銀行匯入USD9443沖PI-20190604A.PI-20190628A.PI-20190604A-F合計共USD9443元整</t>
        </r>
      </text>
    </comment>
    <comment ref="J557" authorId="0" shapeId="0" xr:uid="{E9E3D3DA-E95F-1D49-9834-3D8910498571}">
      <text>
        <r>
          <rPr>
            <sz val="10"/>
            <color rgb="FF000000"/>
            <rFont val="Aptos Narrow"/>
            <scheme val="minor"/>
          </rPr>
          <t>======
ID#AAABjx7qSPc
SHIPPING  AS BELOW    (2025-05-21 11:33:26)
103A Mary Street, Richmond, VIC, 3121, Australia
Contact: Jim MacDouall
Phone: +61 417 714 528</t>
        </r>
      </text>
    </comment>
    <comment ref="T557" authorId="0" shapeId="0" xr:uid="{207997DE-77B7-2C4C-AC90-97F9EDD8E47E}">
      <text>
        <r>
          <rPr>
            <sz val="10"/>
            <color rgb="FF000000"/>
            <rFont val="Aptos Narrow"/>
            <scheme val="minor"/>
          </rPr>
          <t>======
ID#AAABjx7qVpY
    (2025-05-21 11:33:27)
戎克庫存成本</t>
        </r>
      </text>
    </comment>
    <comment ref="H558" authorId="0" shapeId="0" xr:uid="{A4D5D5A9-1092-D241-AA4E-F41D5ED79A49}">
      <text>
        <r>
          <rPr>
            <sz val="10"/>
            <color rgb="FF000000"/>
            <rFont val="Aptos Narrow"/>
            <scheme val="minor"/>
          </rPr>
          <t>======
ID#AAABjx7qU-Y
    (2025-05-21 11:33:27)
ALICE:8/27玉山銀行匯入USD9443沖PI-20190604A.PI-20190628A.PI-20190604A-F合計共USD9443元整</t>
        </r>
      </text>
    </comment>
    <comment ref="J558" authorId="0" shapeId="0" xr:uid="{E40A514B-630D-1141-85EE-7E2C4C2C9780}">
      <text>
        <r>
          <rPr>
            <sz val="10"/>
            <color rgb="FF000000"/>
            <rFont val="Aptos Narrow"/>
            <scheme val="minor"/>
          </rPr>
          <t>======
ID#AAABjx7qOEA
SHIPPING  AS BELOW    (2025-05-21 11:33:24)
103A Mary Street, Richmond, VIC, 3121, Australia
Contact: Jim MacDouall
Phone: +61 417 714 528</t>
        </r>
      </text>
    </comment>
    <comment ref="T558" authorId="0" shapeId="0" xr:uid="{CE0110B0-3B0E-D047-99E7-6BFACBDF006A}">
      <text>
        <r>
          <rPr>
            <sz val="10"/>
            <color rgb="FF000000"/>
            <rFont val="Aptos Narrow"/>
            <scheme val="minor"/>
          </rPr>
          <t>======
ID#AAABjx7qQ1A
    (2025-05-21 11:33:25)
PD-20190605A-4</t>
        </r>
      </text>
    </comment>
    <comment ref="H559" authorId="0" shapeId="0" xr:uid="{3FA3594B-D404-A042-B1EA-53724E464ABC}">
      <text>
        <r>
          <rPr>
            <sz val="10"/>
            <color rgb="FF000000"/>
            <rFont val="Aptos Narrow"/>
            <scheme val="minor"/>
          </rPr>
          <t>======
ID#AAABj82dpMo
    (2025-05-21 11:33:23)
0823 chloe 查詢  7/5 已沖銷
應收應付對沖</t>
        </r>
      </text>
    </comment>
    <comment ref="M559" authorId="0" shapeId="0" xr:uid="{D18E1AF0-99E1-C94C-A01E-09D6C536A810}">
      <text>
        <r>
          <rPr>
            <sz val="10"/>
            <color rgb="FF000000"/>
            <rFont val="Aptos Narrow"/>
            <scheme val="minor"/>
          </rPr>
          <t>======
ID#AAABjx7qTL0
    (2025-05-21 11:33:26)
0604 chloe :領出給Yvonne</t>
        </r>
      </text>
    </comment>
    <comment ref="T559" authorId="0" shapeId="0" xr:uid="{484263FD-F0D7-DD4F-816B-4E4892875EAF}">
      <text>
        <r>
          <rPr>
            <sz val="10"/>
            <color rgb="FF000000"/>
            <rFont val="Aptos Narrow"/>
            <scheme val="minor"/>
          </rPr>
          <t>======
ID#AAABjx7qSm8
    (2025-05-21 11:33:26)
0604 chloe:參考庫存表0522平均庫存成本</t>
        </r>
      </text>
    </comment>
    <comment ref="U559" authorId="0" shapeId="0" xr:uid="{323383E3-C060-5140-AE59-B3C687761776}">
      <text>
        <r>
          <rPr>
            <sz val="10"/>
            <color rgb="FF000000"/>
            <rFont val="Aptos Narrow"/>
            <scheme val="minor"/>
          </rPr>
          <t>======
ID#AAABjx7qQKY
    (2025-05-21 11:33:25)
0604 chloe:參考庫存表0522平均庫存成本</t>
        </r>
      </text>
    </comment>
    <comment ref="H560" authorId="0" shapeId="0" xr:uid="{DCCEE097-0CCD-5A43-AD15-0734B103B48A}">
      <text>
        <r>
          <rPr>
            <sz val="10"/>
            <color rgb="FF000000"/>
            <rFont val="Aptos Narrow"/>
            <scheme val="minor"/>
          </rPr>
          <t>======
ID#AAABjx7qQkc
    (2025-05-21 11:33:25)
ALICE:6/17-玉山匯入17810沖PI-20190508A.沖PI-20190604C</t>
        </r>
      </text>
    </comment>
    <comment ref="O560" authorId="0" shapeId="0" xr:uid="{A5D1B1E7-F98C-A84F-89DD-495C2FFCBD75}">
      <text>
        <r>
          <rPr>
            <sz val="10"/>
            <color rgb="FF000000"/>
            <rFont val="Aptos Narrow"/>
            <scheme val="minor"/>
          </rPr>
          <t>======
ID#AAABjx7qRiI
    (2025-05-21 11:33:25)
0604 Cathy 下單</t>
        </r>
      </text>
    </comment>
    <comment ref="AK560" authorId="0" shapeId="0" xr:uid="{A89E2E78-EA5A-C246-9117-E6072B76C513}">
      <text>
        <r>
          <rPr>
            <sz val="10"/>
            <color rgb="FF000000"/>
            <rFont val="Aptos Narrow"/>
            <scheme val="minor"/>
          </rPr>
          <t>======
ID#AAABjx7qOrI
    (2025-05-21 11:33:24)
ALICE:6/17-玉山匯入17810沖PI-20190508A.沖PI-20190604C</t>
        </r>
      </text>
    </comment>
    <comment ref="D561" authorId="0" shapeId="0" xr:uid="{923F4400-BBE6-B94B-A063-DD6009218280}">
      <text>
        <r>
          <rPr>
            <sz val="10"/>
            <color rgb="FF000000"/>
            <rFont val="Aptos Narrow"/>
            <scheme val="minor"/>
          </rPr>
          <t>======
ID#AAABjx7qUsA
    (2025-05-21 11:33:26)
0605 請TAMMY 下單</t>
        </r>
      </text>
    </comment>
    <comment ref="H561" authorId="0" shapeId="0" xr:uid="{1AC65D35-CD08-D74D-B511-3D8680E2C6FB}">
      <text>
        <r>
          <rPr>
            <sz val="10"/>
            <color rgb="FF000000"/>
            <rFont val="Aptos Narrow"/>
            <scheme val="minor"/>
          </rPr>
          <t>======
ID#AAABjx7qWLM
    (2025-05-21 11:33:27)
ALICE:7/8-電文通知USD2300沖PI-20190604D.PI-20190611A</t>
        </r>
      </text>
    </comment>
    <comment ref="D562" authorId="0" shapeId="0" xr:uid="{318CA6DD-D6F5-444F-A81C-4E0365DF6AF4}">
      <text>
        <r>
          <rPr>
            <sz val="10"/>
            <color rgb="FF000000"/>
            <rFont val="Aptos Narrow"/>
            <scheme val="minor"/>
          </rPr>
          <t>======
ID#AAABjx7qOZQ
    (2025-05-21 11:33:24)
0605 請TAMMY 下單</t>
        </r>
      </text>
    </comment>
    <comment ref="H562" authorId="0" shapeId="0" xr:uid="{52A4DED8-F38A-454E-948A-710D5959B57F}">
      <text>
        <r>
          <rPr>
            <sz val="10"/>
            <color rgb="FF000000"/>
            <rFont val="Aptos Narrow"/>
            <scheme val="minor"/>
          </rPr>
          <t>======
ID#AAABjx7qU20
    (2025-05-21 11:33:26)
ALICE:7/8-電文通知USD2300沖PI-20190604D.PI-20190611A</t>
        </r>
      </text>
    </comment>
    <comment ref="D563" authorId="0" shapeId="0" xr:uid="{64B56157-0FE9-184A-B258-561CB6C21EDC}">
      <text>
        <r>
          <rPr>
            <sz val="10"/>
            <color rgb="FF000000"/>
            <rFont val="Aptos Narrow"/>
            <scheme val="minor"/>
          </rPr>
          <t>======
ID#AAABjx7qTkQ
    (2025-05-21 11:33:26)
0605 請TAMMY 下單</t>
        </r>
      </text>
    </comment>
    <comment ref="H563" authorId="0" shapeId="0" xr:uid="{53D4ECF2-AE9D-B142-A43B-8F07F10399BD}">
      <text>
        <r>
          <rPr>
            <sz val="10"/>
            <color rgb="FF000000"/>
            <rFont val="Aptos Narrow"/>
            <scheme val="minor"/>
          </rPr>
          <t>======
ID#AAABjx7qQ-g
    (2025-05-21 11:33:25)
ALICE:7/8-電文通知USD2300沖PI-20190604D.PI-20190611A</t>
        </r>
      </text>
    </comment>
    <comment ref="D564" authorId="0" shapeId="0" xr:uid="{A8E5AE0D-4AD7-B344-837C-766B7A300591}">
      <text>
        <r>
          <rPr>
            <sz val="10"/>
            <color rgb="FF000000"/>
            <rFont val="Aptos Narrow"/>
            <scheme val="minor"/>
          </rPr>
          <t>======
ID#AAABjx7qU4c
    (2025-05-21 11:33:26)
0605 請TAMMY 下單</t>
        </r>
      </text>
    </comment>
    <comment ref="H564" authorId="0" shapeId="0" xr:uid="{8D4689CD-A08D-7446-B1C1-40CD19644915}">
      <text>
        <r>
          <rPr>
            <sz val="10"/>
            <color rgb="FF000000"/>
            <rFont val="Aptos Narrow"/>
            <scheme val="minor"/>
          </rPr>
          <t>======
ID#AAABjx7qQ8w
    (2025-05-21 11:33:25)
ALICE:7/8-電文通知USD2300沖PI-20190604D.PI-20190611A</t>
        </r>
      </text>
    </comment>
    <comment ref="H565" authorId="0" shapeId="0" xr:uid="{EE344C58-B41D-DC47-8810-A88E977EA692}">
      <text>
        <r>
          <rPr>
            <sz val="10"/>
            <color rgb="FF000000"/>
            <rFont val="Aptos Narrow"/>
            <scheme val="minor"/>
          </rPr>
          <t>======
ID#AAABjx7qPt0
    (2025-05-21 11:33:24)
alice:6/10-銀行匯入USD754-手續費USD17.37=USD736.63*31.373</t>
        </r>
      </text>
    </comment>
    <comment ref="J565" authorId="0" shapeId="0" xr:uid="{C531B896-79A0-8B4F-881A-98548592D307}">
      <text>
        <r>
          <rPr>
            <sz val="10"/>
            <color rgb="FF000000"/>
            <rFont val="Aptos Narrow"/>
            <scheme val="minor"/>
          </rPr>
          <t>======
ID#AAABjx7qNY8
    (2025-05-21 11:33:23)
客人自行安排取貨 
0527待客人確認</t>
        </r>
      </text>
    </comment>
    <comment ref="O565" authorId="0" shapeId="0" xr:uid="{44A36642-3CCF-6E4F-A1A1-E1EDCC4535A0}">
      <text>
        <r>
          <rPr>
            <sz val="10"/>
            <color rgb="FF000000"/>
            <rFont val="Aptos Narrow"/>
            <scheme val="minor"/>
          </rPr>
          <t>======
ID#AAABjx7qSwo
    (2025-05-21 11:33:26)
6/5 cathy 下單</t>
        </r>
      </text>
    </comment>
    <comment ref="W565" authorId="0" shapeId="0" xr:uid="{534F6036-DFBA-7C48-8518-F9E3FD4F0FA2}">
      <text>
        <r>
          <rPr>
            <sz val="10"/>
            <color rgb="FF000000"/>
            <rFont val="Aptos Narrow"/>
            <scheme val="minor"/>
          </rPr>
          <t>======
ID#AAABjx7qObI
    (2025-05-21 11:33:24)
0606 chloe:備註</t>
        </r>
      </text>
    </comment>
    <comment ref="H566" authorId="0" shapeId="0" xr:uid="{8C07139A-0908-F944-98DE-54BF1C035629}">
      <text>
        <r>
          <rPr>
            <sz val="10"/>
            <color rgb="FF000000"/>
            <rFont val="Aptos Narrow"/>
            <scheme val="minor"/>
          </rPr>
          <t>======
ID#AAABjx7qMy4
    (2025-05-21 11:33:23)
alice:6/10-銀行匯入USD754-手續費USD17.37=USD736.63*31.373</t>
        </r>
      </text>
    </comment>
    <comment ref="J566" authorId="0" shapeId="0" xr:uid="{C8056F43-6782-5F49-8AC9-747A6A01FCE3}">
      <text>
        <r>
          <rPr>
            <sz val="10"/>
            <color rgb="FF000000"/>
            <rFont val="Aptos Narrow"/>
            <scheme val="minor"/>
          </rPr>
          <t>======
ID#AAABjx7qVk0
    (2025-05-21 11:33:27)
客人自行安排取貨 
0527待客人確認</t>
        </r>
      </text>
    </comment>
    <comment ref="O566" authorId="0" shapeId="0" xr:uid="{5E7C71A6-FF24-D041-A375-CC91A18C4927}">
      <text>
        <r>
          <rPr>
            <sz val="10"/>
            <color rgb="FF000000"/>
            <rFont val="Aptos Narrow"/>
            <scheme val="minor"/>
          </rPr>
          <t>======
ID#AAABjx7qTas
    (2025-05-21 11:33:26)
在此輸入
6/5 Cathy 下單
6/10 REVISE PO</t>
        </r>
      </text>
    </comment>
    <comment ref="H567" authorId="0" shapeId="0" xr:uid="{125976D1-F984-104D-B880-B7E7A6F413D5}">
      <text>
        <r>
          <rPr>
            <sz val="10"/>
            <color rgb="FF000000"/>
            <rFont val="Aptos Narrow"/>
            <scheme val="minor"/>
          </rPr>
          <t>======
ID#AAABjx7qVf0
    (2025-05-21 11:33:27)
alice:6/10-銀行匯入USD754-手續費USD17.37=USD736.63*31.373</t>
        </r>
      </text>
    </comment>
    <comment ref="J567" authorId="0" shapeId="0" xr:uid="{8FE6F15E-3CA8-4647-A065-4FE7A4DABA85}">
      <text>
        <r>
          <rPr>
            <sz val="10"/>
            <color rgb="FF000000"/>
            <rFont val="Aptos Narrow"/>
            <scheme val="minor"/>
          </rPr>
          <t>======
ID#AAABjx7qPO0
    (2025-05-21 11:33:24)
客人自行安排取貨 
0527待客人確認</t>
        </r>
      </text>
    </comment>
    <comment ref="O567" authorId="0" shapeId="0" xr:uid="{6D0D831C-D938-204D-8EE3-FD882AA9B77D}">
      <text>
        <r>
          <rPr>
            <sz val="10"/>
            <color rgb="FF000000"/>
            <rFont val="Aptos Narrow"/>
            <scheme val="minor"/>
          </rPr>
          <t>======
ID#AAABjx7qV9Q
    (2025-05-21 11:33:27)
在此輸入
6/5 Cathy 下單
6/10 REVISE PO</t>
        </r>
      </text>
    </comment>
    <comment ref="H568" authorId="0" shapeId="0" xr:uid="{EB018153-068B-1A4E-8DA9-ACB6AF1094C0}">
      <text>
        <r>
          <rPr>
            <sz val="10"/>
            <color rgb="FF000000"/>
            <rFont val="Aptos Narrow"/>
            <scheme val="minor"/>
          </rPr>
          <t>======
ID#AAABjx7qU-8
    (2025-05-21 11:33:27)
ALICE:7/18-收到應收票據 票號AK4244790 到期日108/7/30 支票總額54452元整</t>
        </r>
      </text>
    </comment>
    <comment ref="O568" authorId="0" shapeId="0" xr:uid="{CC464B6A-E893-4445-8719-88FCBF7E16AF}">
      <text>
        <r>
          <rPr>
            <sz val="10"/>
            <color rgb="FF000000"/>
            <rFont val="Aptos Narrow"/>
            <scheme val="minor"/>
          </rPr>
          <t>======
ID#AAABjx7qTbw
    (2025-05-21 11:33:26)
0606 CATHY下單</t>
        </r>
      </text>
    </comment>
    <comment ref="D569" authorId="0" shapeId="0" xr:uid="{5CC3D7F3-70CE-3740-B265-0F692DEC1EE2}">
      <text>
        <r>
          <rPr>
            <sz val="10"/>
            <color rgb="FF000000"/>
            <rFont val="Aptos Narrow"/>
            <scheme val="minor"/>
          </rPr>
          <t>======
ID#AAABjx7qPBY
    (2025-05-21 11:33:24)
在此輸入
在此輸入
0606 客人說要再確認
0610 通知Tammy 下單,客人有急需
0709 客人無法提供水單，取消寄回MOXA</t>
        </r>
      </text>
    </comment>
    <comment ref="F569" authorId="0" shapeId="0" xr:uid="{C32E80C6-BDD2-D849-B26D-7BB61AD8D131}">
      <text>
        <r>
          <rPr>
            <sz val="10"/>
            <color rgb="FF000000"/>
            <rFont val="Aptos Narrow"/>
            <scheme val="minor"/>
          </rPr>
          <t>======
ID#AAABjx7qRDk
    (2025-05-21 11:33:25)
6pcs</t>
        </r>
      </text>
    </comment>
    <comment ref="H569" authorId="0" shapeId="0" xr:uid="{2DC1648F-1529-6245-9D94-8BEBCEEDBED7}">
      <text>
        <r>
          <rPr>
            <sz val="10"/>
            <color rgb="FF000000"/>
            <rFont val="Aptos Narrow"/>
            <scheme val="minor"/>
          </rPr>
          <t>======
ID#AAABj82dpOE
    (2025-05-21 11:33:23)
ALICE:7/10-水單匯入USD646沖PI-20190606B</t>
        </r>
      </text>
    </comment>
    <comment ref="K569" authorId="0" shapeId="0" xr:uid="{9769550D-0981-AE42-813C-FAC4FC0A4AE0}">
      <text>
        <r>
          <rPr>
            <sz val="10"/>
            <color rgb="FF000000"/>
            <rFont val="Aptos Narrow"/>
            <scheme val="minor"/>
          </rPr>
          <t>======
ID#AAABjx7qOis
    (2025-05-21 11:33:24)
0701 確認客人有需要此貨，待這兩天匯款&amp;Shipping info.</t>
        </r>
      </text>
    </comment>
    <comment ref="M569" authorId="0" shapeId="0" xr:uid="{3040DF9A-9F8A-4547-ACA0-90B3838AF3AB}">
      <text>
        <r>
          <rPr>
            <sz val="10"/>
            <color rgb="FF000000"/>
            <rFont val="Aptos Narrow"/>
            <scheme val="minor"/>
          </rPr>
          <t>======
ID#AAABjx7qU9I
    (2025-05-21 11:33:27)
0709 chloe:7/9已完成退貨，無須收取15%
0709 chloe: 退回</t>
        </r>
      </text>
    </comment>
    <comment ref="O569" authorId="0" shapeId="0" xr:uid="{09F9FF5A-5DF0-FD49-87BF-EAD89B4B2041}">
      <text>
        <r>
          <rPr>
            <sz val="10"/>
            <color rgb="FF000000"/>
            <rFont val="Aptos Narrow"/>
            <scheme val="minor"/>
          </rPr>
          <t>======
ID#AAABjx7qQw4
    (2025-05-21 11:33:25)
0702 chloe:MOXA貨７天可以不付額外費用退回，
２０１９０６０６Ｂ　７／２ＭＯＸＡ出貨，７／３貨到戎克，
但此單有退回的可能，請再和ＭＯＸＡ確認，最晚的退貨時間，
以避免被扣１５％的費用，謝謝。</t>
        </r>
      </text>
    </comment>
    <comment ref="D570" authorId="0" shapeId="0" xr:uid="{FB965584-1B17-2740-AC94-F064EC499F8A}">
      <text>
        <r>
          <rPr>
            <sz val="10"/>
            <color rgb="FF000000"/>
            <rFont val="Aptos Narrow"/>
            <scheme val="minor"/>
          </rPr>
          <t>======
ID#AAABjx7qOYc
    (2025-05-21 11:33:24)
在此輸入
0606 客人說要再確認
0610 通知Tammy 下單,客人有急需</t>
        </r>
      </text>
    </comment>
    <comment ref="F570" authorId="0" shapeId="0" xr:uid="{F189282F-15CA-3D48-8EB1-305220A2245C}">
      <text>
        <r>
          <rPr>
            <sz val="10"/>
            <color rgb="FF000000"/>
            <rFont val="Aptos Narrow"/>
            <scheme val="minor"/>
          </rPr>
          <t>======
ID#AAABjx7qU2Q
    (2025-05-21 11:33:26)
1 pcs</t>
        </r>
      </text>
    </comment>
    <comment ref="H570" authorId="0" shapeId="0" xr:uid="{6E01789D-6A43-8E4E-94F4-5D6D7B30C0E3}">
      <text>
        <r>
          <rPr>
            <sz val="10"/>
            <color rgb="FF000000"/>
            <rFont val="Aptos Narrow"/>
            <scheme val="minor"/>
          </rPr>
          <t>======
ID#AAABjx7qVeE
    (2025-05-21 11:33:27)
ALICE:7/10-水單匯入USD646沖PI-20190606B</t>
        </r>
      </text>
    </comment>
    <comment ref="K570" authorId="0" shapeId="0" xr:uid="{5213BA40-B010-4B4F-B174-7DE80974FB6A}">
      <text>
        <r>
          <rPr>
            <sz val="10"/>
            <color rgb="FF000000"/>
            <rFont val="Aptos Narrow"/>
            <scheme val="minor"/>
          </rPr>
          <t>======
ID#AAABjx7qOsY
    (2025-05-21 11:33:24)
0701 確認客人有需要此貨，待這兩天匯款&amp;Shipping info.</t>
        </r>
      </text>
    </comment>
    <comment ref="T570" authorId="0" shapeId="0" xr:uid="{1F3519AB-D26E-1F4C-B6B1-6182882F47EE}">
      <text>
        <r>
          <rPr>
            <sz val="10"/>
            <color rgb="FF000000"/>
            <rFont val="Aptos Narrow"/>
            <scheme val="minor"/>
          </rPr>
          <t>======
ID#AAABjx7qSuo
    (2025-05-21 11:33:26)
銀行手續費</t>
        </r>
      </text>
    </comment>
    <comment ref="U570" authorId="0" shapeId="0" xr:uid="{A9911236-DA68-D745-A453-03F1ECB92574}">
      <text>
        <r>
          <rPr>
            <sz val="10"/>
            <color rgb="FF000000"/>
            <rFont val="Aptos Narrow"/>
            <scheme val="minor"/>
          </rPr>
          <t>======
ID#AAABjx7qQT0
    (2025-05-21 11:33:25)
銀行手續費</t>
        </r>
      </text>
    </comment>
    <comment ref="D571" authorId="0" shapeId="0" xr:uid="{7F806E05-81F1-A248-88D5-A2605BC64876}">
      <text>
        <r>
          <rPr>
            <sz val="10"/>
            <color rgb="FF000000"/>
            <rFont val="Aptos Narrow"/>
            <scheme val="minor"/>
          </rPr>
          <t>======
ID#AAABjx7qRj4
    (2025-05-21 11:33:25)
0606請Tammy 下單</t>
        </r>
      </text>
    </comment>
    <comment ref="H571" authorId="0" shapeId="0" xr:uid="{7953EA77-FBE4-FD41-9194-E0FD35E0153A}">
      <text>
        <r>
          <rPr>
            <sz val="10"/>
            <color rgb="FF000000"/>
            <rFont val="Aptos Narrow"/>
            <scheme val="minor"/>
          </rPr>
          <t>======
ID#AAABjx7qTb0
    (2025-05-21 11:33:26)
0829 chloe: 貨款尚未收到，因應ERP 先計算獎金
alice:11/1玉山銀行收入SA匯入款10500沖PI-20190606C 10500</t>
        </r>
      </text>
    </comment>
    <comment ref="K571" authorId="0" shapeId="0" xr:uid="{D297D131-E1B2-7048-8FFA-7AB2DA6C30A1}">
      <text>
        <r>
          <rPr>
            <sz val="10"/>
            <color rgb="FF000000"/>
            <rFont val="Aptos Narrow"/>
            <scheme val="minor"/>
          </rPr>
          <t>======
ID#AAABjx7qPA8
    (2025-05-21 11:33:24)
0722 Santiago同意先出貨。
0701 詢問預計7/11匯款&amp; 運輸方式</t>
        </r>
      </text>
    </comment>
    <comment ref="H572" authorId="0" shapeId="0" xr:uid="{8894E782-7940-D349-9159-ED104C4C0B86}">
      <text>
        <r>
          <rPr>
            <sz val="10"/>
            <color rgb="FF000000"/>
            <rFont val="Aptos Narrow"/>
            <scheme val="minor"/>
          </rPr>
          <t>======
ID#AAABjx7qVK0
    (2025-05-21 11:33:27)
ALICE:8/2-水單匯入USD541元整，沖PI-20190606D USD416+沖PI-20190617A USD125</t>
        </r>
      </text>
    </comment>
    <comment ref="H573" authorId="0" shapeId="0" xr:uid="{7F9FC080-1FF1-FB4D-BD9F-DAB39545D7BD}">
      <text>
        <r>
          <rPr>
            <sz val="10"/>
            <color rgb="FF000000"/>
            <rFont val="Aptos Narrow"/>
            <scheme val="minor"/>
          </rPr>
          <t>======
ID#AAABjx7qPg0
    (2025-05-21 11:33:24)
ALICE:8/2-水單匯入USD541元整，沖PI-20190606D USD416+沖PI-20190617A USD125</t>
        </r>
      </text>
    </comment>
    <comment ref="T573" authorId="0" shapeId="0" xr:uid="{AC32BD16-E8EA-2D4B-9B6F-14345962E1F9}">
      <text>
        <r>
          <rPr>
            <sz val="10"/>
            <color rgb="FF000000"/>
            <rFont val="Aptos Narrow"/>
            <scheme val="minor"/>
          </rPr>
          <t>======
ID#AAABjx7qVPM
    (2025-05-21 11:33:27)
庫存金額</t>
        </r>
      </text>
    </comment>
    <comment ref="H574" authorId="0" shapeId="0" xr:uid="{6AAB1F68-6AA5-D442-9476-0F1C7B63E366}">
      <text>
        <r>
          <rPr>
            <sz val="10"/>
            <color rgb="FF000000"/>
            <rFont val="Aptos Narrow"/>
            <scheme val="minor"/>
          </rPr>
          <t>======
ID#AAABjx7qV3w
    (2025-05-21 11:33:27)
ALICE:8/2-水單匯入USD541元整，沖PI-20190606D USD416+沖PI-20190617A USD125</t>
        </r>
      </text>
    </comment>
    <comment ref="T574" authorId="0" shapeId="0" xr:uid="{445C352E-23E9-EE4A-91DE-1329CFB4540A}">
      <text>
        <r>
          <rPr>
            <sz val="10"/>
            <color rgb="FF000000"/>
            <rFont val="Aptos Narrow"/>
            <scheme val="minor"/>
          </rPr>
          <t>======
ID#AAABjx7qO8g
    (2025-05-21 11:33:24)
庫存金額</t>
        </r>
      </text>
    </comment>
    <comment ref="H575" authorId="0" shapeId="0" xr:uid="{B75240A4-AD9E-054E-95FE-E4204CE75358}">
      <text>
        <r>
          <rPr>
            <sz val="10"/>
            <color rgb="FF000000"/>
            <rFont val="Aptos Narrow"/>
            <scheme val="minor"/>
          </rPr>
          <t>======
ID#AAABjx7qOhc
    (2025-05-21 11:33:24)
ALICE:8/2-水單匯入USD541元整，沖PI-20190606D USD416+沖PI-20190617A USD125</t>
        </r>
      </text>
    </comment>
    <comment ref="H576" authorId="0" shapeId="0" xr:uid="{FF4F0136-DEDC-9D44-9B6A-508A25428AC6}">
      <text>
        <r>
          <rPr>
            <sz val="10"/>
            <color rgb="FF000000"/>
            <rFont val="Aptos Narrow"/>
            <scheme val="minor"/>
          </rPr>
          <t>======
ID#AAABjx7qV74
    (2025-05-21 11:33:27)
ALICE:8/2-水單匯入USD541元整，沖PI-20190606D USD416+沖PI-20190617A USD125</t>
        </r>
      </text>
    </comment>
    <comment ref="H577" authorId="0" shapeId="0" xr:uid="{E2965993-2657-0D47-9E14-284F991500D2}">
      <text>
        <r>
          <rPr>
            <sz val="10"/>
            <color rgb="FF000000"/>
            <rFont val="Aptos Narrow"/>
            <scheme val="minor"/>
          </rPr>
          <t>======
ID#AAABjx7qOnI
    (2025-05-21 11:33:24)
ALICE:8/2-水單匯入USD541元整，沖PI-20190606D USD416+沖PI-20190617A USD125</t>
        </r>
      </text>
    </comment>
    <comment ref="H578" authorId="0" shapeId="0" xr:uid="{E496623A-AF97-9142-A4C4-B3C8A942B8A8}">
      <text>
        <r>
          <rPr>
            <sz val="10"/>
            <color rgb="FF000000"/>
            <rFont val="Aptos Narrow"/>
            <scheme val="minor"/>
          </rPr>
          <t>======
ID#AAABjx7qWN4
    (2025-05-21 11:33:27)
ALICE:8/2-水單匯入USD541元整，沖PI-20190606D USD416+沖PI-20190617A USD125</t>
        </r>
      </text>
    </comment>
    <comment ref="E579" authorId="0" shapeId="0" xr:uid="{CB483BD7-5385-C442-B412-4049E22E2CAB}">
      <text>
        <r>
          <rPr>
            <sz val="10"/>
            <color rgb="FF000000"/>
            <rFont val="Aptos Narrow"/>
            <scheme val="minor"/>
          </rPr>
          <t>======
ID#AAABjx7qPgY
    (2025-05-21 11:33:24)
0313 chloe: 戎克備有庫存，見半成品庫存表</t>
        </r>
      </text>
    </comment>
    <comment ref="H579" authorId="0" shapeId="0" xr:uid="{6B49655C-2E1A-E342-A67D-AA0EFF351F48}">
      <text>
        <r>
          <rPr>
            <sz val="10"/>
            <color rgb="FF000000"/>
            <rFont val="Aptos Narrow"/>
            <scheme val="minor"/>
          </rPr>
          <t>======
ID#AAABjx7qV6g
    (2025-05-21 11:33:27)
ALICE:8/2-水單匯入USD541元整，沖PI-20190606D USD416+沖PI-20190617A USD125</t>
        </r>
      </text>
    </comment>
    <comment ref="T579" authorId="0" shapeId="0" xr:uid="{B5D9FA66-85B8-C14E-88D5-9DDE74667FE5}">
      <text>
        <r>
          <rPr>
            <sz val="10"/>
            <color rgb="FF000000"/>
            <rFont val="Aptos Narrow"/>
            <scheme val="minor"/>
          </rPr>
          <t>======
ID#AAABjx7qPhI
    (2025-05-21 11:33:24)
庫存金額</t>
        </r>
      </text>
    </comment>
    <comment ref="H580" authorId="0" shapeId="0" xr:uid="{39A6239C-22AA-DC44-80E4-CCB6BEF14046}">
      <text>
        <r>
          <rPr>
            <sz val="10"/>
            <color rgb="FF000000"/>
            <rFont val="Aptos Narrow"/>
            <scheme val="minor"/>
          </rPr>
          <t>======
ID#AAABjx7qPGo
    (2025-05-21 11:33:24)
alice:7/31-水單匯入USD2124沖PI-20190131D-2 857.沖PI-20190610A 565.沖PI-20190607A 444.沖PI-20190612A 258</t>
        </r>
      </text>
    </comment>
    <comment ref="O580" authorId="0" shapeId="0" xr:uid="{62F910C9-5C18-324B-A524-280E1A1EAE3C}">
      <text>
        <r>
          <rPr>
            <sz val="10"/>
            <color rgb="FF000000"/>
            <rFont val="Aptos Narrow"/>
            <scheme val="minor"/>
          </rPr>
          <t>======
ID#AAABjx7qSSQ
    (2025-05-21 11:33:26)
0610 cathy 下單</t>
        </r>
      </text>
    </comment>
    <comment ref="E581" authorId="0" shapeId="0" xr:uid="{B4D80F26-6AED-1545-B95F-E2C983707A8B}">
      <text>
        <r>
          <rPr>
            <sz val="10"/>
            <color rgb="FF000000"/>
            <rFont val="Aptos Narrow"/>
            <scheme val="minor"/>
          </rPr>
          <t>======
ID#AAABjx7qR-U
    (2025-05-21 11:33:25)
下單請用FPM2150GR3B1601E-T
出貨文件上秀:
FPM-2150G-R3BE
(FPM2150GRB1601E-T)</t>
        </r>
      </text>
    </comment>
    <comment ref="H581" authorId="0" shapeId="0" xr:uid="{8078E5EE-450D-9547-BA4B-EEEE61F43502}">
      <text>
        <r>
          <rPr>
            <sz val="10"/>
            <color rgb="FF000000"/>
            <rFont val="Aptos Narrow"/>
            <scheme val="minor"/>
          </rPr>
          <t>======
ID#AAABjx7qP9Q
    (2025-05-21 11:33:25)
alice:7/31-水單匯入USD2124沖PI-20190131D-2 857.沖PI-20190610A 565.沖PI-20190607A 444.沖PI-20190612A 258</t>
        </r>
      </text>
    </comment>
    <comment ref="O581" authorId="0" shapeId="0" xr:uid="{089ABA51-99E3-A940-9ED9-23927D02C005}">
      <text>
        <r>
          <rPr>
            <sz val="10"/>
            <color rgb="FF000000"/>
            <rFont val="Aptos Narrow"/>
            <scheme val="minor"/>
          </rPr>
          <t>======
ID#AAABjx7qPf4
    (2025-05-21 11:33:24)
0613 Cathy 下單</t>
        </r>
      </text>
    </comment>
    <comment ref="H582" authorId="0" shapeId="0" xr:uid="{99F66838-540C-CB48-A639-7791786794CD}">
      <text>
        <r>
          <rPr>
            <sz val="10"/>
            <color rgb="FF000000"/>
            <rFont val="Aptos Narrow"/>
            <scheme val="minor"/>
          </rPr>
          <t>======
ID#AAABjx7qOO4
    (2025-05-21 11:33:24)
ALICE:6/13-玉山匯入USD4942-應付3539=1403轉預收貨款   銀行淨收4895.64*31.47</t>
        </r>
      </text>
    </comment>
    <comment ref="M582" authorId="0" shapeId="0" xr:uid="{63D45D65-B3ED-CB48-8E75-3B54F7EAB16F}">
      <text>
        <r>
          <rPr>
            <sz val="10"/>
            <color rgb="FF000000"/>
            <rFont val="Aptos Narrow"/>
            <scheme val="minor"/>
          </rPr>
          <t>======
ID#AAABjx7qNSg
0617 chloe    (2025-05-21 11:33:23)
貨到請交由chloe
0708 chloe:已交由生管</t>
        </r>
      </text>
    </comment>
    <comment ref="U582" authorId="0" shapeId="0" xr:uid="{ED404517-A1F5-6342-B3CF-9F95A67A8C74}">
      <text>
        <r>
          <rPr>
            <sz val="10"/>
            <color rgb="FF000000"/>
            <rFont val="Aptos Narrow"/>
            <scheme val="minor"/>
          </rPr>
          <t>======
ID#AAABjx7qOVs
    (2025-05-21 11:33:24)
0813 chloe OK</t>
        </r>
      </text>
    </comment>
    <comment ref="H583" authorId="0" shapeId="0" xr:uid="{F11F4C72-0854-9D4E-87F2-6166BE6A4E88}">
      <text>
        <r>
          <rPr>
            <sz val="10"/>
            <color rgb="FF000000"/>
            <rFont val="Aptos Narrow"/>
            <scheme val="minor"/>
          </rPr>
          <t>======
ID#AAABjx7qRUk
    (2025-05-21 11:33:25)
ALICE:6/13-玉山匯入USD4942-應付3539=1403轉預收貨款   銀行淨收4895.64*31.47</t>
        </r>
      </text>
    </comment>
    <comment ref="M583" authorId="0" shapeId="0" xr:uid="{7301BF08-CD13-254D-8804-6A651443DD83}">
      <text>
        <r>
          <rPr>
            <sz val="10"/>
            <color rgb="FF000000"/>
            <rFont val="Aptos Narrow"/>
            <scheme val="minor"/>
          </rPr>
          <t>======
ID#AAABjx7qN7k
0617 chloe    (2025-05-21 11:33:23)
貨到請交由chloe
0708 chloe:已交由生管</t>
        </r>
      </text>
    </comment>
    <comment ref="U583" authorId="0" shapeId="0" xr:uid="{2226445D-58DD-2447-BBDA-66A762728B31}">
      <text>
        <r>
          <rPr>
            <sz val="10"/>
            <color rgb="FF000000"/>
            <rFont val="Aptos Narrow"/>
            <scheme val="minor"/>
          </rPr>
          <t>======
ID#AAABjx7qP4c
    (2025-05-21 11:33:24)
8/15 chloe 核對OK</t>
        </r>
      </text>
    </comment>
    <comment ref="H584" authorId="0" shapeId="0" xr:uid="{58060BE0-2736-1F43-A000-DD4A576C5F96}">
      <text>
        <r>
          <rPr>
            <sz val="10"/>
            <color rgb="FF000000"/>
            <rFont val="Aptos Narrow"/>
            <scheme val="minor"/>
          </rPr>
          <t>======
ID#AAABjx7qPDM
    (2025-05-21 11:33:24)
ALICE:6/13-玉山匯入USD4942-應付3539=1403轉預收貨款   銀行淨收4895.64*31.47</t>
        </r>
      </text>
    </comment>
    <comment ref="M584" authorId="0" shapeId="0" xr:uid="{D7B2CB8C-3704-C145-8A1B-1A698E35AE4D}">
      <text>
        <r>
          <rPr>
            <sz val="10"/>
            <color rgb="FF000000"/>
            <rFont val="Aptos Narrow"/>
            <scheme val="minor"/>
          </rPr>
          <t>======
ID#AAABjx7qPYk
0617 chloe    (2025-05-21 11:33:24)
貨到請交由chloe
0708 chloe:已交由生管</t>
        </r>
      </text>
    </comment>
    <comment ref="H585" authorId="0" shapeId="0" xr:uid="{13C2E7D8-0FD7-8849-8BED-67168528C089}">
      <text>
        <r>
          <rPr>
            <sz val="10"/>
            <color rgb="FF000000"/>
            <rFont val="Aptos Narrow"/>
            <scheme val="minor"/>
          </rPr>
          <t>======
ID#AAABjx7qRMA
    (2025-05-21 11:33:25)
ALICE:6/13-玉山匯入USD4942-應付3539=1403轉預收貨款   銀行淨收4895.64*31.47</t>
        </r>
      </text>
    </comment>
    <comment ref="AK585" authorId="0" shapeId="0" xr:uid="{9EF9822B-3132-E14E-9CB2-F969B2008F43}">
      <text>
        <r>
          <rPr>
            <sz val="10"/>
            <color rgb="FF000000"/>
            <rFont val="Aptos Narrow"/>
            <scheme val="minor"/>
          </rPr>
          <t>======
ID#AAABjx7qRRs
    (2025-05-21 11:33:25)
6/13-玉山匯入USD4942-應付3539=1403轉預收貨款   銀行淨收4895.64*31.47</t>
        </r>
      </text>
    </comment>
    <comment ref="H586" authorId="0" shapeId="0" xr:uid="{E8C8813D-1DFE-0A47-9CAC-1BC6374786B6}">
      <text>
        <r>
          <rPr>
            <sz val="10"/>
            <color rgb="FF000000"/>
            <rFont val="Aptos Narrow"/>
            <scheme val="minor"/>
          </rPr>
          <t>======
ID#AAABjx7qWS0
    (2025-05-21 11:33:27)
ALICE:7/8-電文通知USD2300沖PI-20190604D.PI-20190611A</t>
        </r>
      </text>
    </comment>
    <comment ref="H587" authorId="0" shapeId="0" xr:uid="{0420B361-32E6-1C4C-8AEF-86A4E0AABBF7}">
      <text>
        <r>
          <rPr>
            <sz val="10"/>
            <color rgb="FF000000"/>
            <rFont val="Aptos Narrow"/>
            <scheme val="minor"/>
          </rPr>
          <t>======
ID#AAABjx7qWZc
    (2025-05-21 11:33:27)
ALICE:6/20銀行匯入USD328</t>
        </r>
      </text>
    </comment>
    <comment ref="O587" authorId="0" shapeId="0" xr:uid="{26B9874E-E7FA-984E-9CE7-5EAD3A228E64}">
      <text>
        <r>
          <rPr>
            <sz val="10"/>
            <color rgb="FF000000"/>
            <rFont val="Aptos Narrow"/>
            <scheme val="minor"/>
          </rPr>
          <t>======
ID#AAABjx7qTmk
    (2025-05-21 11:33:26)
0617 Cathy 下單</t>
        </r>
      </text>
    </comment>
    <comment ref="H588" authorId="0" shapeId="0" xr:uid="{EC925EEC-94E4-3341-9FB8-CC3A65FCBED2}">
      <text>
        <r>
          <rPr>
            <sz val="10"/>
            <color rgb="FF000000"/>
            <rFont val="Aptos Narrow"/>
            <scheme val="minor"/>
          </rPr>
          <t>======
ID#AAABjx7qR34
    (2025-05-21 11:33:25)
alice:7/31-水單匯入USD2124沖PI-20190131D-2 857.沖PI-20190610A 565.沖PI-20190607A 444.沖PI-20190612A 258</t>
        </r>
      </text>
    </comment>
    <comment ref="O588" authorId="0" shapeId="0" xr:uid="{C4B15C42-AA76-034B-9EAA-5EF572D8025C}">
      <text>
        <r>
          <rPr>
            <sz val="10"/>
            <color rgb="FF000000"/>
            <rFont val="Aptos Narrow"/>
            <scheme val="minor"/>
          </rPr>
          <t>======
ID#AAABjx7qSjQ
    (2025-05-21 11:33:26)
0614 Cathy 下單</t>
        </r>
      </text>
    </comment>
    <comment ref="H589" authorId="0" shapeId="0" xr:uid="{330CBFE1-3DE7-D042-9515-0BEA15A0AF9A}">
      <text>
        <r>
          <rPr>
            <sz val="10"/>
            <color rgb="FF000000"/>
            <rFont val="Aptos Narrow"/>
            <scheme val="minor"/>
          </rPr>
          <t>======
ID#AAABjx7qSi4
    (2025-05-21 11:33:26)
ALICE:6/20銀行匯入USD328</t>
        </r>
      </text>
    </comment>
    <comment ref="D590" authorId="0" shapeId="0" xr:uid="{60E4058B-E499-D848-9539-AFE4B4D56ACD}">
      <text>
        <r>
          <rPr>
            <sz val="10"/>
            <color rgb="FF000000"/>
            <rFont val="Aptos Narrow"/>
            <scheme val="minor"/>
          </rPr>
          <t>======
ID#AAABjx7qRxY
    (2025-05-21 11:33:25)
0613 請TAMMY 下單</t>
        </r>
      </text>
    </comment>
    <comment ref="H590" authorId="0" shapeId="0" xr:uid="{C029BC43-02EA-9C42-89E2-60E3E807CE56}">
      <text>
        <r>
          <rPr>
            <sz val="10"/>
            <color rgb="FF000000"/>
            <rFont val="Aptos Narrow"/>
            <scheme val="minor"/>
          </rPr>
          <t>======
ID#AAABjx7qQ4w
    (2025-05-21 11:33:25)
ALICE:8/5收到應收票據:到期日108/07/31票號CP0073500 金額26066元整+ 7/3預收11978元整=38044
沖PI-20190531B 25268+沖PI-20190613A 12804=38072 差額28元為寄支票郵資</t>
        </r>
      </text>
    </comment>
    <comment ref="H591" authorId="0" shapeId="0" xr:uid="{B7E5D7F2-E433-9B4B-B058-66C8B6BE7784}">
      <text>
        <r>
          <rPr>
            <sz val="10"/>
            <color rgb="FF000000"/>
            <rFont val="Aptos Narrow"/>
            <scheme val="minor"/>
          </rPr>
          <t>======
ID#AAABjx7qOQY
    (2025-05-21 11:33:24)
ALICE:8/2-水單匯入USD541元整，沖PI-20190606D USD416+沖PI-20190617A USD125</t>
        </r>
      </text>
    </comment>
    <comment ref="E592" authorId="0" shapeId="0" xr:uid="{43CDAD7F-6E16-0440-8E40-6E6D06FABA8E}">
      <text>
        <r>
          <rPr>
            <sz val="10"/>
            <color rgb="FF000000"/>
            <rFont val="Aptos Narrow"/>
            <scheme val="minor"/>
          </rPr>
          <t>======
ID#AAABjx7qRA4
    (2025-05-21 11:33:25)
190620 Karen: EU ADAPTER</t>
        </r>
      </text>
    </comment>
    <comment ref="H592" authorId="0" shapeId="0" xr:uid="{50EF74C6-A880-4147-9524-965383BB9EEF}">
      <text>
        <r>
          <rPr>
            <sz val="10"/>
            <color rgb="FF000000"/>
            <rFont val="Aptos Narrow"/>
            <scheme val="minor"/>
          </rPr>
          <t>======
ID#AAABjx7qVI4
    (2025-05-21 11:33:27)
ALICE:6/27水單匯入USD8652.87沖PI20190515C 1394.5.PI-20190625C 46.37.PI-20190508C 6408.PI-20190619B 804共四張PI合計8652.87</t>
        </r>
      </text>
    </comment>
    <comment ref="E593" authorId="0" shapeId="0" xr:uid="{4D90628D-47DD-3F45-BE29-863A601CD1AD}">
      <text>
        <r>
          <rPr>
            <sz val="10"/>
            <color rgb="FF000000"/>
            <rFont val="Aptos Narrow"/>
            <scheme val="minor"/>
          </rPr>
          <t>======
ID#AAABjx7qOGY
0620 Santiago    (2025-05-21 11:33:24)
-&gt; 待客戶將 7' LCD (AA070ME01)寄來後， 寄曦立光電做貼合</t>
        </r>
      </text>
    </comment>
    <comment ref="H593" authorId="0" shapeId="0" xr:uid="{A6EE653A-BC26-E74B-8CBD-FB57C813D949}">
      <text>
        <r>
          <rPr>
            <sz val="10"/>
            <color rgb="FF000000"/>
            <rFont val="Aptos Narrow"/>
            <scheme val="minor"/>
          </rPr>
          <t>======
ID#AAABjx7qPlI
    (2025-05-21 11:33:24)
ALICE:9/3玉山銀行水單通知USD5580沖PI-20190620A-1</t>
        </r>
      </text>
    </comment>
    <comment ref="K593" authorId="0" shapeId="0" xr:uid="{A3399724-2BF4-174F-A836-65F7E679A084}">
      <text>
        <r>
          <rPr>
            <sz val="10"/>
            <color rgb="FF000000"/>
            <rFont val="Aptos Narrow"/>
            <scheme val="minor"/>
          </rPr>
          <t>======
ID#AAABjx7qU7M
    (2025-05-21 11:33:27)
O/A超支，已通知業務。</t>
        </r>
      </text>
    </comment>
    <comment ref="O593" authorId="0" shapeId="0" xr:uid="{09FE47B2-A57C-7C41-BDF2-82CEFA8C7432}">
      <text>
        <r>
          <rPr>
            <sz val="10"/>
            <color rgb="FF000000"/>
            <rFont val="Aptos Narrow"/>
            <scheme val="minor"/>
          </rPr>
          <t>======
ID#AAABjx7qNqQ
    (2025-05-21 11:33:23)
0621 chloe: 一次性下單400 PCS  價格NT1358
0701 告知 7/24 PULL IN中</t>
        </r>
      </text>
    </comment>
    <comment ref="AC593" authorId="0" shapeId="0" xr:uid="{802BB9C8-3CC3-A44D-9993-876629912C29}">
      <text>
        <r>
          <rPr>
            <sz val="10"/>
            <color rgb="FF000000"/>
            <rFont val="Aptos Narrow"/>
            <scheme val="minor"/>
          </rPr>
          <t>======
ID#AAABjx7qQVk
    (2025-05-21 11:33:25)
1Z1913EE0492122142
1Z1913EE0492858358
 新增說明</t>
        </r>
      </text>
    </comment>
    <comment ref="E594" authorId="0" shapeId="0" xr:uid="{29680EFB-AF57-964E-A129-B01173B5F26F}">
      <text>
        <r>
          <rPr>
            <sz val="10"/>
            <color rgb="FF000000"/>
            <rFont val="Aptos Narrow"/>
            <scheme val="minor"/>
          </rPr>
          <t>======
ID#AAABjx7qWUg
    (2025-05-21 11:33:27)
20190620
 Santiago:
-&gt; 待客戶將 7' LCD (AA070ME01)寄來後， 寄曦立光電做貼合</t>
        </r>
      </text>
    </comment>
    <comment ref="K594" authorId="0" shapeId="0" xr:uid="{E2A7FCA4-8877-624A-81FC-83C98DCCBE52}">
      <text>
        <r>
          <rPr>
            <sz val="10"/>
            <color rgb="FF000000"/>
            <rFont val="Aptos Narrow"/>
            <scheme val="minor"/>
          </rPr>
          <t>======
ID#AAABjx7qSis
    (2025-05-21 11:33:26)
O/A超支，已通知業務。</t>
        </r>
      </text>
    </comment>
    <comment ref="M594" authorId="0" shapeId="0" xr:uid="{7AF7C01D-6273-5040-9618-14000C0CAE8E}">
      <text>
        <r>
          <rPr>
            <sz val="10"/>
            <color rgb="FF000000"/>
            <rFont val="Aptos Narrow"/>
            <scheme val="minor"/>
          </rPr>
          <t>======
ID#AAABjx7qM9M
    (2025-05-21 11:33:23)
0621  chloe:已通知Shipping留意客供料進口時間
0621 chloe:收到入關通知 100 PCS</t>
        </r>
      </text>
    </comment>
    <comment ref="Q594" authorId="0" shapeId="0" xr:uid="{DE5A3347-2760-4744-BD80-32F02A40057F}">
      <text>
        <r>
          <rPr>
            <sz val="10"/>
            <color rgb="FF000000"/>
            <rFont val="Aptos Narrow"/>
            <scheme val="minor"/>
          </rPr>
          <t>======
ID#AAABjx7qNSk
    (2025-05-21 11:33:23)
0621
chloe:客供料，無成本價</t>
        </r>
      </text>
    </comment>
    <comment ref="U594" authorId="0" shapeId="0" xr:uid="{93E6869F-C35E-9E46-8B3C-8D4829AC6FBE}">
      <text>
        <r>
          <rPr>
            <sz val="10"/>
            <color rgb="FF000000"/>
            <rFont val="Aptos Narrow"/>
            <scheme val="minor"/>
          </rPr>
          <t>======
ID#AAABjx7qM_w
    (2025-05-21 11:33:23)
0621
chloe:客供料，無成本價</t>
        </r>
      </text>
    </comment>
    <comment ref="E595" authorId="0" shapeId="0" xr:uid="{F0F66C62-1035-5846-8D48-AFF6EAE88089}">
      <text>
        <r>
          <rPr>
            <sz val="10"/>
            <color rgb="FF000000"/>
            <rFont val="Aptos Narrow"/>
            <scheme val="minor"/>
          </rPr>
          <t>======
ID#AAABjx7qO0k
0620 Santiago    (2025-05-21 11:33:24)
-&gt; 待客戶將 7' LCD (AA070ME01)寄來後， 寄曦立光電做貼合</t>
        </r>
      </text>
    </comment>
    <comment ref="F595" authorId="0" shapeId="0" xr:uid="{2840586C-D6BD-FB4B-B90E-AA7F706A742F}">
      <text>
        <r>
          <rPr>
            <sz val="10"/>
            <color rgb="FF000000"/>
            <rFont val="Aptos Narrow"/>
            <scheme val="minor"/>
          </rPr>
          <t>======
ID#AAABjx7qQYY
    (2025-05-21 11:33:25)
0820 cathy: 客人revise 提供數量</t>
        </r>
      </text>
    </comment>
    <comment ref="H595" authorId="0" shapeId="0" xr:uid="{FC9312AB-6181-DC46-84DE-676BB675BAC0}">
      <text>
        <r>
          <rPr>
            <sz val="10"/>
            <color rgb="FF000000"/>
            <rFont val="Aptos Narrow"/>
            <scheme val="minor"/>
          </rPr>
          <t>======
ID#AAABjx7qPlc
    (2025-05-21 11:33:24)
ALICE:11/6-玉山銀行收到Hectronic匯入款USD19840沖PI-20190620A-3 USD7440.PI-20190620A-2 USD12400</t>
        </r>
      </text>
    </comment>
    <comment ref="I595" authorId="0" shapeId="0" xr:uid="{F59F5E7B-1DA1-F04B-9580-6C7E8968776A}">
      <text>
        <r>
          <rPr>
            <sz val="10"/>
            <color rgb="FF000000"/>
            <rFont val="Aptos Narrow"/>
            <scheme val="minor"/>
          </rPr>
          <t>======
ID#AAABjx7qVRE
    (2025-05-21 11:33:27)
Cathy/Santiago</t>
        </r>
      </text>
    </comment>
    <comment ref="M595" authorId="0" shapeId="0" xr:uid="{D863CB4A-0DEE-C141-BCC8-9F149F3DC6C4}">
      <text>
        <r>
          <rPr>
            <sz val="10"/>
            <color rgb="FF000000"/>
            <rFont val="Aptos Narrow"/>
            <scheme val="minor"/>
          </rPr>
          <t>======
ID#AAABjx7qSAQ
    (2025-05-21 11:33:25)
1007 chloe: 告知曦立期望交期
1018 Nancy: 告知11/8 應該沒問題</t>
        </r>
      </text>
    </comment>
    <comment ref="O595" authorId="0" shapeId="0" xr:uid="{BD9B3577-439C-F147-8B4E-AA667A81405E}">
      <text>
        <r>
          <rPr>
            <sz val="10"/>
            <color rgb="FF000000"/>
            <rFont val="Aptos Narrow"/>
            <scheme val="minor"/>
          </rPr>
          <t>======
ID#AAABjx7qUrE
    (2025-05-21 11:33:26)
0621 chloe: 一次性下單400 PCS  價格NT1358</t>
        </r>
      </text>
    </comment>
    <comment ref="E596" authorId="0" shapeId="0" xr:uid="{51FA1F90-3D86-5E46-9A5F-53F79B5F78EB}">
      <text>
        <r>
          <rPr>
            <sz val="10"/>
            <color rgb="FF000000"/>
            <rFont val="Aptos Narrow"/>
            <scheme val="minor"/>
          </rPr>
          <t>======
ID#AAABjx7qQDg
    (2025-05-21 11:33:25)
20190620
 Santiago:
-&gt; 待客戶將 7' LCD (AA070ME01)寄來後， 寄曦立光電做貼合</t>
        </r>
      </text>
    </comment>
    <comment ref="F596" authorId="0" shapeId="0" xr:uid="{54E831EC-8BAE-814D-9329-632FF02FEE5D}">
      <text>
        <r>
          <rPr>
            <sz val="10"/>
            <color rgb="FF000000"/>
            <rFont val="Aptos Narrow"/>
            <scheme val="minor"/>
          </rPr>
          <t>======
ID#AAABjx7qON0
    (2025-05-21 11:33:24)
0820 cathy: 客人revise 提供數量</t>
        </r>
      </text>
    </comment>
    <comment ref="I596" authorId="0" shapeId="0" xr:uid="{56241A64-9CF8-CF4E-B26A-E3749B647486}">
      <text>
        <r>
          <rPr>
            <sz val="10"/>
            <color rgb="FF000000"/>
            <rFont val="Aptos Narrow"/>
            <scheme val="minor"/>
          </rPr>
          <t>======
ID#AAABjx7qQsc
    (2025-05-21 11:33:25)
Cathy/Santiago</t>
        </r>
      </text>
    </comment>
    <comment ref="M596" authorId="0" shapeId="0" xr:uid="{2E79D9B8-EAF0-FB4E-9309-3470E1EE561F}">
      <text>
        <r>
          <rPr>
            <sz val="10"/>
            <color rgb="FF000000"/>
            <rFont val="Aptos Narrow"/>
            <scheme val="minor"/>
          </rPr>
          <t>======
ID#AAABjx7qOD4
    (2025-05-21 11:33:24)
0621  chloe:已通知Shipping留意客供料進口時間
0718 chloe: 告知曦立預計8月初
0820 Cathy: 客人告知display delay</t>
        </r>
      </text>
    </comment>
    <comment ref="Q596" authorId="0" shapeId="0" xr:uid="{5E256144-A285-8243-85F4-B2E18AFBE70A}">
      <text>
        <r>
          <rPr>
            <sz val="10"/>
            <color rgb="FF000000"/>
            <rFont val="Aptos Narrow"/>
            <scheme val="minor"/>
          </rPr>
          <t>======
ID#AAABjx7qPvc
    (2025-05-21 11:33:24)
0621
chloe:客供料，無成本價</t>
        </r>
      </text>
    </comment>
    <comment ref="U596" authorId="0" shapeId="0" xr:uid="{146C1ABA-226F-4B4E-9C41-22DEBC1C74AF}">
      <text>
        <r>
          <rPr>
            <sz val="10"/>
            <color rgb="FF000000"/>
            <rFont val="Aptos Narrow"/>
            <scheme val="minor"/>
          </rPr>
          <t>======
ID#AAABjx7qPDo
    (2025-05-21 11:33:24)
0621
chloe:客供料，無成本價</t>
        </r>
      </text>
    </comment>
    <comment ref="E597" authorId="0" shapeId="0" xr:uid="{90F6A48E-FFBD-F64B-A709-32A6A4DD7A55}">
      <text>
        <r>
          <rPr>
            <sz val="10"/>
            <color rgb="FF000000"/>
            <rFont val="Aptos Narrow"/>
            <scheme val="minor"/>
          </rPr>
          <t>======
ID#AAABjx7qVwc
    (2025-05-21 11:33:27)
20190620
 Santiago:
-&gt; 待客戶將 7' LCD (AA070ME01)寄來後， 寄曦立光電做貼合</t>
        </r>
      </text>
    </comment>
    <comment ref="F597" authorId="0" shapeId="0" xr:uid="{BF17DC82-885F-4C42-9D16-CA80C5658A33}">
      <text>
        <r>
          <rPr>
            <sz val="10"/>
            <color rgb="FF000000"/>
            <rFont val="Aptos Narrow"/>
            <scheme val="minor"/>
          </rPr>
          <t>======
ID#AAABjx7qNXY
    (2025-05-21 11:33:23)
8/20 cathy: 客人revise 客供數量</t>
        </r>
      </text>
    </comment>
    <comment ref="I597" authorId="0" shapeId="0" xr:uid="{064A15F8-1EFC-A046-8054-2724907EF68C}">
      <text>
        <r>
          <rPr>
            <sz val="10"/>
            <color rgb="FF000000"/>
            <rFont val="Aptos Narrow"/>
            <scheme val="minor"/>
          </rPr>
          <t>======
ID#AAABjx7qRjM
    (2025-05-21 11:33:25)
Cathy/Santiago</t>
        </r>
      </text>
    </comment>
    <comment ref="M597" authorId="0" shapeId="0" xr:uid="{E0AF4FDF-A026-2449-9D0B-4AA5E3F2DDD7}">
      <text>
        <r>
          <rPr>
            <sz val="10"/>
            <color rgb="FF000000"/>
            <rFont val="Aptos Narrow"/>
            <scheme val="minor"/>
          </rPr>
          <t>======
ID#AAABjx7qS04
    (2025-05-21 11:33:26)
0621  chloe:已通知Shipping留意客供料進口時間
0718 chloe: 告知曦立預計8月初
0820 Cathy: 客人告知display delay</t>
        </r>
      </text>
    </comment>
    <comment ref="Q597" authorId="0" shapeId="0" xr:uid="{D03211FC-F5C2-5347-8E25-55CF3AA4AF41}">
      <text>
        <r>
          <rPr>
            <sz val="10"/>
            <color rgb="FF000000"/>
            <rFont val="Aptos Narrow"/>
            <scheme val="minor"/>
          </rPr>
          <t>======
ID#AAABjx7qVpw
    (2025-05-21 11:33:27)
0621
chloe:客供料，無成本價</t>
        </r>
      </text>
    </comment>
    <comment ref="U597" authorId="0" shapeId="0" xr:uid="{0E188B31-984D-DC46-B8AC-8B7717818DA6}">
      <text>
        <r>
          <rPr>
            <sz val="10"/>
            <color rgb="FF000000"/>
            <rFont val="Aptos Narrow"/>
            <scheme val="minor"/>
          </rPr>
          <t>======
ID#AAABjx7qM4E
    (2025-05-21 11:33:23)
0621
chloe:客供料，無成本價</t>
        </r>
      </text>
    </comment>
    <comment ref="E598" authorId="0" shapeId="0" xr:uid="{44706CE3-75DA-004A-AC60-35B823C43529}">
      <text>
        <r>
          <rPr>
            <sz val="10"/>
            <color rgb="FF000000"/>
            <rFont val="Aptos Narrow"/>
            <scheme val="minor"/>
          </rPr>
          <t>======
ID#AAABjx7qTi4
0620 Santiago    (2025-05-21 11:33:26)
-&gt; 待客戶將 7' LCD (AA070ME01)寄來後， 寄曦立光電做貼合</t>
        </r>
      </text>
    </comment>
    <comment ref="F598" authorId="0" shapeId="0" xr:uid="{F3B0A8B6-7B81-664D-A646-7C79BD0E347F}">
      <text>
        <r>
          <rPr>
            <sz val="10"/>
            <color rgb="FF000000"/>
            <rFont val="Aptos Narrow"/>
            <scheme val="minor"/>
          </rPr>
          <t>======
ID#AAABjx7qSOI
    (2025-05-21 11:33:26)
8/20 cathy: 客人revise 客供數量</t>
        </r>
      </text>
    </comment>
    <comment ref="H598" authorId="0" shapeId="0" xr:uid="{59FB10C6-B740-6F4D-9790-F6B8D76D93E6}">
      <text>
        <r>
          <rPr>
            <sz val="10"/>
            <color rgb="FF000000"/>
            <rFont val="Aptos Narrow"/>
            <scheme val="minor"/>
          </rPr>
          <t>======
ID#AAABjx7qODI
    (2025-05-21 11:33:24)
ALICE:11/6-玉山銀行收到Hectronic匯入款USD19840沖PI-20190620A-3 USD7440.PI-20190620A-2 USD12400</t>
        </r>
      </text>
    </comment>
    <comment ref="I598" authorId="0" shapeId="0" xr:uid="{74708002-989C-EE4B-AE3D-DA941DA9CF5E}">
      <text>
        <r>
          <rPr>
            <sz val="10"/>
            <color rgb="FF000000"/>
            <rFont val="Aptos Narrow"/>
            <scheme val="minor"/>
          </rPr>
          <t>======
ID#AAABjx7qP9U
    (2025-05-21 11:33:25)
Cathy/Santiago</t>
        </r>
      </text>
    </comment>
    <comment ref="M598" authorId="0" shapeId="0" xr:uid="{711174A5-DED9-AF44-8382-5EBB2EABDEBE}">
      <text>
        <r>
          <rPr>
            <sz val="10"/>
            <color rgb="FF000000"/>
            <rFont val="Aptos Narrow"/>
            <scheme val="minor"/>
          </rPr>
          <t>======
ID#AAABjx7qOWA
    (2025-05-21 11:33:24)
1007 chloe: 告知曦立期望交期
1018 Nancy: 告知11/8 應該沒問題</t>
        </r>
      </text>
    </comment>
    <comment ref="O598" authorId="0" shapeId="0" xr:uid="{3C8005CB-6D8F-A44F-A1CD-51E836092239}">
      <text>
        <r>
          <rPr>
            <sz val="10"/>
            <color rgb="FF000000"/>
            <rFont val="Aptos Narrow"/>
            <scheme val="minor"/>
          </rPr>
          <t>======
ID#AAABjx7qN_U
    (2025-05-21 11:33:24)
0621 chloe: 一次性下單400 PCS  價格NT1358</t>
        </r>
      </text>
    </comment>
    <comment ref="H599" authorId="0" shapeId="0" xr:uid="{62B59CEA-8C6C-1940-9C6C-8999E44A7855}">
      <text>
        <r>
          <rPr>
            <sz val="10"/>
            <color rgb="FF000000"/>
            <rFont val="Aptos Narrow"/>
            <scheme val="minor"/>
          </rPr>
          <t>======
ID#AAABjx7qWTs
    (2025-05-21 11:33:27)
ALICE:10/1玉山水單匯入USD12075沖PI20190625A USD12075</t>
        </r>
      </text>
    </comment>
    <comment ref="M599" authorId="0" shapeId="0" xr:uid="{ECD129D6-DF2A-8A46-A27F-32473E24008B}">
      <text>
        <r>
          <rPr>
            <sz val="10"/>
            <color rgb="FF000000"/>
            <rFont val="Aptos Narrow"/>
            <scheme val="minor"/>
          </rPr>
          <t>======
ID#AAABjx7qV3s
    (2025-05-21 11:33:27)
0801Tammy通知更改</t>
        </r>
      </text>
    </comment>
    <comment ref="O599" authorId="0" shapeId="0" xr:uid="{81D3A79E-1E4C-FB4A-A797-41C2EB419A23}">
      <text>
        <r>
          <rPr>
            <sz val="10"/>
            <color rgb="FF000000"/>
            <rFont val="Aptos Narrow"/>
            <scheme val="minor"/>
          </rPr>
          <t>======
ID#AAABjx7qP2s
    (2025-05-21 11:33:24)
0626下單</t>
        </r>
      </text>
    </comment>
    <comment ref="G600" authorId="0" shapeId="0" xr:uid="{E14E564F-078B-0B4D-84E4-2C1FD4599B91}">
      <text>
        <r>
          <rPr>
            <sz val="10"/>
            <color rgb="FF000000"/>
            <rFont val="Aptos Narrow"/>
            <scheme val="minor"/>
          </rPr>
          <t>======
ID#AAABjx7qPRc
    (2025-05-21 11:33:24)
180221 Tammy: project price for over 50pcs/lot</t>
        </r>
      </text>
    </comment>
    <comment ref="H600" authorId="0" shapeId="0" xr:uid="{39B73C05-A5EB-A445-BC90-909777344528}">
      <text>
        <r>
          <rPr>
            <sz val="10"/>
            <color rgb="FF000000"/>
            <rFont val="Aptos Narrow"/>
            <scheme val="minor"/>
          </rPr>
          <t>======
ID#AAABjx7qOk0
    (2025-05-21 11:33:24)
ALICE:10/1玉山水單匯入USD12075沖PI20190625A USD12075</t>
        </r>
      </text>
    </comment>
    <comment ref="M600" authorId="0" shapeId="0" xr:uid="{3C9E2198-03BE-9942-A070-9E1F72145111}">
      <text>
        <r>
          <rPr>
            <sz val="10"/>
            <color rgb="FF000000"/>
            <rFont val="Aptos Narrow"/>
            <scheme val="minor"/>
          </rPr>
          <t>======
ID#AAABjx7qPwY
    (2025-05-21 11:33:24)
0801Tammy通知更改</t>
        </r>
      </text>
    </comment>
    <comment ref="O600" authorId="0" shapeId="0" xr:uid="{8CD7B562-7B6C-AE48-981D-59BDBAA80A81}">
      <text>
        <r>
          <rPr>
            <sz val="10"/>
            <color rgb="FF000000"/>
            <rFont val="Aptos Narrow"/>
            <scheme val="minor"/>
          </rPr>
          <t>======
ID#AAABjx7qOmU
    (2025-05-21 11:33:24)
0626下單</t>
        </r>
      </text>
    </comment>
    <comment ref="H601" authorId="0" shapeId="0" xr:uid="{4AB5A754-B8BA-4F45-AA1F-C3D46948FF85}">
      <text>
        <r>
          <rPr>
            <sz val="10"/>
            <color rgb="FF000000"/>
            <rFont val="Aptos Narrow"/>
            <scheme val="minor"/>
          </rPr>
          <t>======
ID#AAABjx7qSyU
    (2025-05-21 11:33:26)
6/14-預收USD1403
6/28-銀行匯入USD6257 與6/14合計共7660，PI為7670故尚餘USD10元未收與chloe確認轉手續費處理</t>
        </r>
      </text>
    </comment>
    <comment ref="M601" authorId="0" shapeId="0" xr:uid="{DDBA85F3-74B7-0740-99E1-DB423E8CBDB6}">
      <text>
        <r>
          <rPr>
            <sz val="10"/>
            <color rgb="FF000000"/>
            <rFont val="Aptos Narrow"/>
            <scheme val="minor"/>
          </rPr>
          <t>======
ID#AAABjx7qTlw
0617 chloe    (2025-05-21 11:33:26)
貨到請交由chloe
0708 chloe:已交由生管</t>
        </r>
      </text>
    </comment>
    <comment ref="E602" authorId="0" shapeId="0" xr:uid="{CE3B5749-633A-9C49-A99A-8709EC17A41C}">
      <text>
        <r>
          <rPr>
            <sz val="10"/>
            <color rgb="FF000000"/>
            <rFont val="Aptos Narrow"/>
            <scheme val="minor"/>
          </rPr>
          <t>======
ID#AAABjx7qVHA
    (2025-05-21 11:33:27)
4/19 w/Optical Bonding, High Bridhtness 1000 nits, 9-36V PB-409,
Additional 2 USB port, SSD Key</t>
        </r>
      </text>
    </comment>
    <comment ref="H602" authorId="0" shapeId="0" xr:uid="{37A74AF9-4CD5-2140-8007-C6BD50F2819E}">
      <text>
        <r>
          <rPr>
            <sz val="10"/>
            <color rgb="FF000000"/>
            <rFont val="Aptos Narrow"/>
            <scheme val="minor"/>
          </rPr>
          <t>======
ID#AAABjx7qReM
    (2025-05-21 11:33:25)
6/14-預收USD1403
6/28-銀行匯入USD6257 與6/14合計共7660，PI為7670故尚餘USD10元未收與chloe確認轉手續費處理</t>
        </r>
      </text>
    </comment>
    <comment ref="H603" authorId="0" shapeId="0" xr:uid="{749A8B11-3D93-D64B-BC02-E395D5FF5E50}">
      <text>
        <r>
          <rPr>
            <sz val="10"/>
            <color rgb="FF000000"/>
            <rFont val="Aptos Narrow"/>
            <scheme val="minor"/>
          </rPr>
          <t>======
ID#AAABjx7qTf8
    (2025-05-21 11:33:26)
6/14-預收USD1403
6/28-銀行匯入USD6257 與6/14合計共7660，PI為7670故尚餘USD10元未收與chloe確認轉手續費處理</t>
        </r>
      </text>
    </comment>
    <comment ref="M603" authorId="0" shapeId="0" xr:uid="{46C926A3-5D3A-1B4F-A310-7CFA7563735D}">
      <text>
        <r>
          <rPr>
            <sz val="10"/>
            <color rgb="FF000000"/>
            <rFont val="Aptos Narrow"/>
            <scheme val="minor"/>
          </rPr>
          <t>======
ID#AAABjx7qRoM
0617 chloe    (2025-05-21 11:33:25)
貨到請交由chloe
0708 chloe:已交由生管</t>
        </r>
      </text>
    </comment>
    <comment ref="E604" authorId="0" shapeId="0" xr:uid="{D7BDB0E9-7FED-1640-BED5-A7D7B8F9AB91}">
      <text>
        <r>
          <rPr>
            <sz val="10"/>
            <color rgb="FF000000"/>
            <rFont val="Aptos Narrow"/>
            <scheme val="minor"/>
          </rPr>
          <t>======
ID#AAABjx7qRfc
    (2025-05-21 11:33:25)
4/19 w/Optical Bonding, High Bridhtness 1000 nits, 9-36V PB-409,
Additional 2 USB port, SSD Key</t>
        </r>
      </text>
    </comment>
    <comment ref="H604" authorId="0" shapeId="0" xr:uid="{9F68C982-4BCD-3641-BF67-B1495E13580B}">
      <text>
        <r>
          <rPr>
            <sz val="10"/>
            <color rgb="FF000000"/>
            <rFont val="Aptos Narrow"/>
            <scheme val="minor"/>
          </rPr>
          <t>======
ID#AAABjx7qR60
    (2025-05-21 11:33:25)
6/14-預收USD1403
6/28-銀行匯入USD6257 與6/14合計共7660，PI為7670故尚餘USD10元未收與chloe確認轉手續費處理</t>
        </r>
      </text>
    </comment>
    <comment ref="H605" authorId="0" shapeId="0" xr:uid="{DD9F094A-28A1-7A46-8A5B-F40551409BA7}">
      <text>
        <r>
          <rPr>
            <sz val="10"/>
            <color rgb="FF000000"/>
            <rFont val="Aptos Narrow"/>
            <scheme val="minor"/>
          </rPr>
          <t>======
ID#AAABjx7qQjQ
    (2025-05-21 11:33:25)
ALICE:6/27水單匯入USD8652.87沖PI20190515C 1394.5.PI-20190625C 46.37.PI-20190508C 6408.PI-20190619B 804共四張PI合計8652.87</t>
        </r>
      </text>
    </comment>
    <comment ref="H606" authorId="0" shapeId="0" xr:uid="{BB3AF841-5A3C-DA44-9C74-8F45082F4F7A}">
      <text>
        <r>
          <rPr>
            <sz val="10"/>
            <color rgb="FF000000"/>
            <rFont val="Aptos Narrow"/>
            <scheme val="minor"/>
          </rPr>
          <t>======
ID#AAABjx7qPjw
    (2025-05-21 11:33:24)
ALICE:9/23玉山銀行水單通知匯入USD14587沖PI-20190626A 334.5 沖PI-20190703B 8550.沖PI20190719C 5212.5.沖PI-20190722A 210.沖PI-20190801C 280 合計總沖USD14587元整</t>
        </r>
      </text>
    </comment>
    <comment ref="H607" authorId="0" shapeId="0" xr:uid="{9674457A-8F92-5B4A-8C5F-D429D7FE7953}">
      <text>
        <r>
          <rPr>
            <sz val="10"/>
            <color rgb="FF000000"/>
            <rFont val="Aptos Narrow"/>
            <scheme val="minor"/>
          </rPr>
          <t>======
ID#AAABj82dpEQ
    (2025-05-21 11:33:23)
ALICE:9/23玉山銀行水單通知匯入USD14587沖PI-20190626A 334.5 沖PI-20190703B 8550.沖PI20190719C 5212.5.沖PI-20190722A 210.沖PI-20190801C 280 合計總沖USD14587元整</t>
        </r>
      </text>
    </comment>
    <comment ref="O607" authorId="0" shapeId="0" xr:uid="{0CFD4D91-B8AA-AA44-82ED-F121DB6A4C90}">
      <text>
        <r>
          <rPr>
            <sz val="10"/>
            <color rgb="FF000000"/>
            <rFont val="Aptos Narrow"/>
            <scheme val="minor"/>
          </rPr>
          <t>======
ID#AAABjx7qQ5s
    (2025-05-21 11:33:25)
0628 Cathy 下單</t>
        </r>
      </text>
    </comment>
    <comment ref="D608" authorId="0" shapeId="0" xr:uid="{82FF4117-3CAA-8F4F-A6F1-6A1C04131772}">
      <text>
        <r>
          <rPr>
            <sz val="10"/>
            <color rgb="FF000000"/>
            <rFont val="Aptos Narrow"/>
            <scheme val="minor"/>
          </rPr>
          <t>======
ID#AAABjx7qSu4
    (2025-05-21 11:33:26)
0626 通知Tammy 下單</t>
        </r>
      </text>
    </comment>
    <comment ref="H608" authorId="0" shapeId="0" xr:uid="{65EAAA6D-25D0-694A-899D-10CC4140B87B}">
      <text>
        <r>
          <rPr>
            <sz val="10"/>
            <color rgb="FF000000"/>
            <rFont val="Aptos Narrow"/>
            <scheme val="minor"/>
          </rPr>
          <t>======
ID#AAABjx7qWb0
    (2025-05-21 11:33:27)
ALICE:8/6-玉山匯入55253元整，沖PI-20190626B 17487.沖PI-20190701A 32692.沖PI-20190716A 5089</t>
        </r>
      </text>
    </comment>
    <comment ref="H609" authorId="0" shapeId="0" xr:uid="{F00C745D-8DB8-4742-8ACA-6769BEC3EFDE}">
      <text>
        <r>
          <rPr>
            <sz val="10"/>
            <color rgb="FF000000"/>
            <rFont val="Aptos Narrow"/>
            <scheme val="minor"/>
          </rPr>
          <t>======
ID#AAABjx7qS3M
    (2025-05-21 11:33:26)
ALICE:8/27玉山銀行匯入USD9443沖PI-20190604A.PI-20190628A.PI-20190604A-F合計共USD9443元整</t>
        </r>
      </text>
    </comment>
    <comment ref="M609" authorId="0" shapeId="0" xr:uid="{39821D6B-6ADB-7E4F-A2D7-388415E8F68C}">
      <text>
        <r>
          <rPr>
            <sz val="10"/>
            <color rgb="FF000000"/>
            <rFont val="Aptos Narrow"/>
            <scheme val="minor"/>
          </rPr>
          <t>======
ID#AAABjx7qPRM
    (2025-05-21 11:33:24)
在此輸入
7/3  Amy 希望交期 7/18  
7/5 與廠商確認可否提前</t>
        </r>
      </text>
    </comment>
    <comment ref="O609" authorId="0" shapeId="0" xr:uid="{674D2527-98ED-CB48-8262-5A42259C86E9}">
      <text>
        <r>
          <rPr>
            <sz val="10"/>
            <color rgb="FF000000"/>
            <rFont val="Aptos Narrow"/>
            <scheme val="minor"/>
          </rPr>
          <t>======
ID#AAABjx7qO6g
    (2025-05-21 11:33:24)
0701 Cathy 下單</t>
        </r>
      </text>
    </comment>
    <comment ref="F610" authorId="0" shapeId="0" xr:uid="{D498D196-9A60-7140-888F-7545C154163F}">
      <text>
        <r>
          <rPr>
            <sz val="10"/>
            <color rgb="FF000000"/>
            <rFont val="Aptos Narrow"/>
            <scheme val="minor"/>
          </rPr>
          <t>======
ID#AAABjx7qMyQ
    (2025-05-21 11:33:23)
7/29 AMY: Order 28 pcs but ADVANTECH CANCELLED ORDER DUE TO EOL</t>
        </r>
      </text>
    </comment>
    <comment ref="H610" authorId="0" shapeId="0" xr:uid="{4F2648FC-EF3E-CB45-BE56-E333A26A4DDF}">
      <text>
        <r>
          <rPr>
            <sz val="10"/>
            <color rgb="FF000000"/>
            <rFont val="Aptos Narrow"/>
            <scheme val="minor"/>
          </rPr>
          <t>======
ID#AAABjx7qU7Q
    (2025-05-21 11:33:27)
ALICE:8/8水單匯入USD2240沖PI-20190628B</t>
        </r>
      </text>
    </comment>
    <comment ref="K610" authorId="0" shapeId="0" xr:uid="{A614474B-C16C-9D40-A52F-D7B608915001}">
      <text>
        <r>
          <rPr>
            <sz val="10"/>
            <color rgb="FF000000"/>
            <rFont val="Aptos Narrow"/>
            <scheme val="minor"/>
          </rPr>
          <t>======
ID#AAABj82dpKs
    (2025-05-21 11:33:23)
Yvonne:原訂7/4出口116950876，收走後退回更換文件，改新提單出口。</t>
        </r>
      </text>
    </comment>
    <comment ref="O610" authorId="0" shapeId="0" xr:uid="{BE97D594-2BB3-1E48-8358-F86FD176C1FD}">
      <text>
        <r>
          <rPr>
            <sz val="10"/>
            <color rgb="FF000000"/>
            <rFont val="Aptos Narrow"/>
            <scheme val="minor"/>
          </rPr>
          <t>======
ID#AAABjx7qNJE
    (2025-05-21 11:33:23)
0701 告知下單，急單處理</t>
        </r>
      </text>
    </comment>
    <comment ref="D611" authorId="0" shapeId="0" xr:uid="{72FF7D72-31CF-424C-9961-849D14A809F9}">
      <text>
        <r>
          <rPr>
            <sz val="10"/>
            <color rgb="FF000000"/>
            <rFont val="Aptos Narrow"/>
            <scheme val="minor"/>
          </rPr>
          <t>======
ID#AAABjx7qSN0
    (2025-05-21 11:33:26)
0701 通知Chloe 協助下單</t>
        </r>
      </text>
    </comment>
    <comment ref="M611" authorId="0" shapeId="0" xr:uid="{D850BFB0-E8FE-3D45-923F-C20255E5C73D}">
      <text>
        <r>
          <rPr>
            <sz val="10"/>
            <color rgb="FF000000"/>
            <rFont val="Aptos Narrow"/>
            <scheme val="minor"/>
          </rPr>
          <t>======
ID#AAABjx7qM5I
    (2025-05-21 11:33:23)
0703 chloe: 原7/23 出貨，修正交期7/11</t>
        </r>
      </text>
    </comment>
    <comment ref="O611" authorId="0" shapeId="0" xr:uid="{9F832E5A-19C6-AE49-BF17-FB84AFF2F31F}">
      <text>
        <r>
          <rPr>
            <sz val="10"/>
            <color rgb="FF000000"/>
            <rFont val="Aptos Narrow"/>
            <scheme val="minor"/>
          </rPr>
          <t>======
ID#AAABjx7qWK0
    (2025-05-21 11:33:27)
20190703143500</t>
        </r>
      </text>
    </comment>
    <comment ref="P611" authorId="0" shapeId="0" xr:uid="{A3835B68-097D-C74F-9733-1B73438C8C2E}">
      <text>
        <r>
          <rPr>
            <sz val="10"/>
            <color rgb="FF000000"/>
            <rFont val="Aptos Narrow"/>
            <scheme val="minor"/>
          </rPr>
          <t>======
ID#AAABjx7qR7w
    (2025-05-21 11:33:25)
MOXA chloe給予 專案價格</t>
        </r>
      </text>
    </comment>
    <comment ref="H612" authorId="0" shapeId="0" xr:uid="{403317DB-E88D-F947-9369-10A9D048E949}">
      <text>
        <r>
          <rPr>
            <sz val="10"/>
            <color rgb="FF000000"/>
            <rFont val="Aptos Narrow"/>
            <scheme val="minor"/>
          </rPr>
          <t>======
ID#AAABjx7qS7A
    (2025-05-21 11:33:26)
ALICE:7/15-匯入28508沖17968元整，客戶多付10540(CATHY回覆沖之後的帳款)</t>
        </r>
      </text>
    </comment>
    <comment ref="O612" authorId="0" shapeId="0" xr:uid="{19EFD2CF-6D32-9740-8330-8E499E36D947}">
      <text>
        <r>
          <rPr>
            <sz val="10"/>
            <color rgb="FF000000"/>
            <rFont val="Aptos Narrow"/>
            <scheme val="minor"/>
          </rPr>
          <t>======
ID#AAABjx7qVSM
    (2025-05-21 11:33:27)
0701 Cathy 下單</t>
        </r>
      </text>
    </comment>
    <comment ref="H613" authorId="0" shapeId="0" xr:uid="{E813F6DB-2944-C24D-85B6-F989AF205723}">
      <text>
        <r>
          <rPr>
            <sz val="10"/>
            <color rgb="FF000000"/>
            <rFont val="Aptos Narrow"/>
            <scheme val="minor"/>
          </rPr>
          <t>======
ID#AAABjx7qPV4
    (2025-05-21 11:33:24)
Alice:7/8匯入NT170334 
Alice:8/6匯入NT186707
Alice:8/6匯入NT32231
總計389272+匯款手續費30=389302沖PI-20190523A 202565.沖PI20190702A 186737元整</t>
        </r>
      </text>
    </comment>
    <comment ref="O613" authorId="0" shapeId="0" xr:uid="{979DC436-5F95-9843-8B97-6DBCBA146A04}">
      <text>
        <r>
          <rPr>
            <sz val="10"/>
            <color rgb="FF000000"/>
            <rFont val="Aptos Narrow"/>
            <scheme val="minor"/>
          </rPr>
          <t>======
ID#AAABjx7qVvY
    (2025-05-21 11:33:27)
20190703143513-0001</t>
        </r>
      </text>
    </comment>
    <comment ref="E614" authorId="0" shapeId="0" xr:uid="{C7E701C5-34B3-5F42-85A9-24BE5925E86A}">
      <text>
        <r>
          <rPr>
            <sz val="10"/>
            <color rgb="FF000000"/>
            <rFont val="Aptos Narrow"/>
            <scheme val="minor"/>
          </rPr>
          <t>======
ID#AAABjx7qWEo
    (2025-05-21 11:33:27)
20170104 Santiago: 和之前訂單一樣, w/o adapter</t>
        </r>
      </text>
    </comment>
    <comment ref="H614" authorId="0" shapeId="0" xr:uid="{2D0C03BA-ADDD-9240-AE5F-48810356DD21}">
      <text>
        <r>
          <rPr>
            <sz val="10"/>
            <color rgb="FF000000"/>
            <rFont val="Aptos Narrow"/>
            <scheme val="minor"/>
          </rPr>
          <t>======
ID#AAABjx7qRhY
    (2025-05-21 11:33:25)
Alice:7/8匯入NT170334 
Alice:8/6匯入NT186707
Alice:8/6匯入NT32231
總計389272+匯款手續費30=389302沖PI-20190523A 202565.沖PI20190702A 186737元整</t>
        </r>
      </text>
    </comment>
    <comment ref="O614" authorId="0" shapeId="0" xr:uid="{A45A36A8-07DC-5645-A1B7-F250B0066B92}">
      <text>
        <r>
          <rPr>
            <sz val="10"/>
            <color rgb="FF000000"/>
            <rFont val="Aptos Narrow"/>
            <scheme val="minor"/>
          </rPr>
          <t>======
ID#AAABjx7qSgQ
    (2025-05-21 11:33:26)
20190703143513-0001</t>
        </r>
      </text>
    </comment>
    <comment ref="H615" authorId="0" shapeId="0" xr:uid="{CADBD294-6274-7840-A48F-718C30BB5FF1}">
      <text>
        <r>
          <rPr>
            <sz val="10"/>
            <color rgb="FF000000"/>
            <rFont val="Aptos Narrow"/>
            <scheme val="minor"/>
          </rPr>
          <t>======
ID#AAABjx7qOAs
    (2025-05-21 11:33:24)
Alice:7/8匯入NT170334 
Alice:8/6匯入NT186707
Alice:8/6匯入NT32231
總計389272+匯款手續費30=389302沖PI-20190523A 202565.沖PI20190702A 186737元整</t>
        </r>
      </text>
    </comment>
    <comment ref="O615" authorId="0" shapeId="0" xr:uid="{2E6BEBC8-9705-CA4D-9DEC-4587815956BF}">
      <text>
        <r>
          <rPr>
            <sz val="10"/>
            <color rgb="FF000000"/>
            <rFont val="Aptos Narrow"/>
            <scheme val="minor"/>
          </rPr>
          <t>======
ID#AAABjx7qVcA
    (2025-05-21 11:33:27)
20190703143513-0001</t>
        </r>
      </text>
    </comment>
    <comment ref="E616" authorId="0" shapeId="0" xr:uid="{0CD6B6AC-56DD-1542-B3DD-AAF40966004B}">
      <text>
        <r>
          <rPr>
            <sz val="10"/>
            <color rgb="FF000000"/>
            <rFont val="Aptos Narrow"/>
            <scheme val="minor"/>
          </rPr>
          <t>======
ID#AAABjx7qRLA
    (2025-05-21 11:33:25)
AB-6810404112111210850</t>
        </r>
      </text>
    </comment>
    <comment ref="H616" authorId="0" shapeId="0" xr:uid="{60024E16-BEB4-F140-9935-53F61231F919}">
      <text>
        <r>
          <rPr>
            <sz val="10"/>
            <color rgb="FF000000"/>
            <rFont val="Aptos Narrow"/>
            <scheme val="minor"/>
          </rPr>
          <t>======
ID#AAABjx7qO9Y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617" authorId="0" shapeId="0" xr:uid="{B24A93C6-2F18-F643-BC8E-E0B6146571C0}">
      <text>
        <r>
          <rPr>
            <sz val="10"/>
            <color rgb="FF000000"/>
            <rFont val="Aptos Narrow"/>
            <scheme val="minor"/>
          </rPr>
          <t>======
ID#AAABjx7qVgU
    (2025-05-21 11:33:27)
AB-3815004012111210850</t>
        </r>
      </text>
    </comment>
    <comment ref="H617" authorId="0" shapeId="0" xr:uid="{AFBDE5A8-285E-2548-8EE4-806EEE3AEBD2}">
      <text>
        <r>
          <rPr>
            <sz val="10"/>
            <color rgb="FF000000"/>
            <rFont val="Aptos Narrow"/>
            <scheme val="minor"/>
          </rPr>
          <t>======
ID#AAABjx7qNeY
    (2025-05-21 11:33:23)
ALICE:7/26玉山銀行水單通知匯入USD9754沖PI-20190524B(2000+350).沖PI20190524B-1(3010).沖PI-20190703A(60+70).沖PI20190719B-1 228+1600 PI-20190719B-2 304  PI-20190719B-5 532. PI-20190719B-3 1600</t>
        </r>
      </text>
    </comment>
    <comment ref="H618" authorId="0" shapeId="0" xr:uid="{97EB7581-8426-C34F-BFA9-3A05DE6E961D}">
      <text>
        <r>
          <rPr>
            <sz val="10"/>
            <color rgb="FF000000"/>
            <rFont val="Aptos Narrow"/>
            <scheme val="minor"/>
          </rPr>
          <t>======
ID#AAABjx7qPDU
    (2025-05-21 11:33:24)
ALICE:9/23玉山銀行水單通知匯入USD14587沖PI-20190626A 334.5 沖PI-20190703B 8550.沖PI20190719C 5212.5.沖PI-20190722A 210.沖PI-20190801C 280 合計總沖USD14587元整</t>
        </r>
      </text>
    </comment>
    <comment ref="O618" authorId="0" shapeId="0" xr:uid="{847191C2-0111-6D4D-8651-C54069E6E35D}">
      <text>
        <r>
          <rPr>
            <sz val="10"/>
            <color rgb="FF000000"/>
            <rFont val="Aptos Narrow"/>
            <scheme val="minor"/>
          </rPr>
          <t>======
ID#AAABjx7qNsM
    (2025-05-21 11:33:23)
Yvonne0710下單</t>
        </r>
      </text>
    </comment>
    <comment ref="D619" authorId="0" shapeId="0" xr:uid="{AC874B73-8DBA-2E48-AE98-40726EA997F3}">
      <text>
        <r>
          <rPr>
            <sz val="10"/>
            <color rgb="FF000000"/>
            <rFont val="Aptos Narrow"/>
            <scheme val="minor"/>
          </rPr>
          <t>======
ID#AAABjx7qNzM
    (2025-05-21 11:33:23)
9/2 補填 (不知誰誤刪)</t>
        </r>
      </text>
    </comment>
    <comment ref="H619" authorId="0" shapeId="0" xr:uid="{E0400F88-30AC-1542-B114-DE5EFEECA7E2}">
      <text>
        <r>
          <rPr>
            <sz val="10"/>
            <color rgb="FF000000"/>
            <rFont val="Aptos Narrow"/>
            <scheme val="minor"/>
          </rPr>
          <t>======
ID#AAABjx7qNvI
    (2025-05-21 11:33:23)
ALICE:9/26玉山水單匯入USD16657沖PI-20190704A USD655.沖PI-20190704A-F USD96.沖PI20190717E USD11479.沖PI-20190726B USD4245.沖PI-20190726B-F 182總沖16657</t>
        </r>
      </text>
    </comment>
    <comment ref="H620" authorId="0" shapeId="0" xr:uid="{7E780D72-A824-5245-B7D3-30381891D286}">
      <text>
        <r>
          <rPr>
            <sz val="10"/>
            <color rgb="FF000000"/>
            <rFont val="Aptos Narrow"/>
            <scheme val="minor"/>
          </rPr>
          <t>======
ID#AAABjx7qOJY
    (2025-05-21 11:33:24)
alice:7/23水單匯入USD1020</t>
        </r>
      </text>
    </comment>
    <comment ref="J620" authorId="0" shapeId="0" xr:uid="{2472D2DF-50F5-744A-8AF7-C3AD0DD750EA}">
      <text>
        <r>
          <rPr>
            <sz val="10"/>
            <color rgb="FF000000"/>
            <rFont val="Aptos Narrow"/>
            <scheme val="minor"/>
          </rPr>
          <t>======
ID#AAABjx7qVKw
    (2025-05-21 11:33:27)
AMY:EORI-Number DE7019688, on Shipping Mark</t>
        </r>
      </text>
    </comment>
    <comment ref="O620" authorId="0" shapeId="0" xr:uid="{EF9FBF79-7A93-6A48-9870-E12D140F5D2B}">
      <text>
        <r>
          <rPr>
            <sz val="10"/>
            <color rgb="FF000000"/>
            <rFont val="Aptos Narrow"/>
            <scheme val="minor"/>
          </rPr>
          <t>======
ID#AAABjx7qPq8
    (2025-05-21 11:33:24)
0704 CATHY 下單</t>
        </r>
      </text>
    </comment>
    <comment ref="H621" authorId="0" shapeId="0" xr:uid="{BEA10AEE-DF31-3342-96CE-BCE6A31F581E}">
      <text>
        <r>
          <rPr>
            <sz val="10"/>
            <color rgb="FF000000"/>
            <rFont val="Aptos Narrow"/>
            <scheme val="minor"/>
          </rPr>
          <t>======
ID#AAABjx7qVmI
    (2025-05-21 11:33:27)
ALICE:8/27玉山銀行匯入USD9443沖PI-20190604A.PI-20190628A.PI-20190604A-F合計共USD9443元整</t>
        </r>
      </text>
    </comment>
    <comment ref="J621" authorId="0" shapeId="0" xr:uid="{F76771E9-2F56-B947-98F6-E25C78379254}">
      <text>
        <r>
          <rPr>
            <sz val="10"/>
            <color rgb="FF000000"/>
            <rFont val="Aptos Narrow"/>
            <scheme val="minor"/>
          </rPr>
          <t>======
ID#AAABjx7qRvY
SHIPPING  AS BELOW    (2025-05-21 11:33:25)
103A Mary Street, Richmond, VIC, 3121, Australia
Contact: Jim MacDouall
Phone: +61 417 714 528</t>
        </r>
      </text>
    </comment>
    <comment ref="D622" authorId="0" shapeId="0" xr:uid="{A0176B3A-9CEE-AE45-B9AC-42044607C6EC}">
      <text>
        <r>
          <rPr>
            <sz val="10"/>
            <color rgb="FF000000"/>
            <rFont val="Aptos Narrow"/>
            <scheme val="minor"/>
          </rPr>
          <t>======
ID#AAABjx7qV4k
    (2025-05-21 11:33:27)
7/8請 chloe 協助下單</t>
        </r>
      </text>
    </comment>
    <comment ref="H622" authorId="0" shapeId="0" xr:uid="{7BE62EC6-B2A4-134D-9419-1934BDE046F9}">
      <text>
        <r>
          <rPr>
            <sz val="10"/>
            <color rgb="FF000000"/>
            <rFont val="Aptos Narrow"/>
            <scheme val="minor"/>
          </rPr>
          <t>======
ID#AAABjx7qREQ
    (2025-05-21 11:33:25)
Alice:8/8-水單匯入USD4555元整，沖PI-20190708A 2540.PI-20190711A 1355.PI-20190712A 660</t>
        </r>
      </text>
    </comment>
    <comment ref="K622" authorId="0" shapeId="0" xr:uid="{5EE02CB9-65D9-FD42-A5AE-15A38504F40E}">
      <text>
        <r>
          <rPr>
            <sz val="10"/>
            <color rgb="FF000000"/>
            <rFont val="Aptos Narrow"/>
            <scheme val="minor"/>
          </rPr>
          <t>======
ID#AAABjx7qOOg
    (2025-05-21 11:33:24)
0722 Santiago同意先出貨。</t>
        </r>
      </text>
    </comment>
    <comment ref="P622" authorId="0" shapeId="0" xr:uid="{1B738FE1-EFAF-364D-A7F9-97F79E6F70FC}">
      <text>
        <r>
          <rPr>
            <sz val="10"/>
            <color rgb="FF000000"/>
            <rFont val="Aptos Narrow"/>
            <scheme val="minor"/>
          </rPr>
          <t>======
ID#AAABjx7qOdA
    (2025-05-21 11:33:24)
用專案價</t>
        </r>
      </text>
    </comment>
    <comment ref="D623" authorId="0" shapeId="0" xr:uid="{32AB8573-A2FA-D44B-89A2-C9D2135F85E0}">
      <text>
        <r>
          <rPr>
            <sz val="10"/>
            <color rgb="FF000000"/>
            <rFont val="Aptos Narrow"/>
            <scheme val="minor"/>
          </rPr>
          <t>======
ID#AAABjx7qR_E
    (2025-05-21 11:33:25)
7/8請 chloe 協助下單</t>
        </r>
      </text>
    </comment>
    <comment ref="H623" authorId="0" shapeId="0" xr:uid="{12EAD5B8-87B3-544E-A7C8-F6FF8BBAF5E8}">
      <text>
        <r>
          <rPr>
            <sz val="10"/>
            <color rgb="FF000000"/>
            <rFont val="Aptos Narrow"/>
            <scheme val="minor"/>
          </rPr>
          <t>======
ID#AAABjx7qTbc
    (2025-05-21 11:33:26)
Alice:8/8-水單匯入USD4555元整，沖PI-20190708A 2540.PI-20190711A 1355.PI-20190712A 660</t>
        </r>
      </text>
    </comment>
    <comment ref="K623" authorId="0" shapeId="0" xr:uid="{B6260D22-542A-614F-94F8-C6A0ACEEB8D9}">
      <text>
        <r>
          <rPr>
            <sz val="10"/>
            <color rgb="FF000000"/>
            <rFont val="Aptos Narrow"/>
            <scheme val="minor"/>
          </rPr>
          <t>======
ID#AAABjx7qN1g
    (2025-05-21 11:33:23)
0722 Santiago同意先出貨。</t>
        </r>
      </text>
    </comment>
    <comment ref="D624" authorId="0" shapeId="0" xr:uid="{5066FA55-CB4E-9845-902D-8CAE8CA57648}">
      <text>
        <r>
          <rPr>
            <sz val="10"/>
            <color rgb="FF000000"/>
            <rFont val="Aptos Narrow"/>
            <scheme val="minor"/>
          </rPr>
          <t>======
ID#AAABjx7qQAE
    (2025-05-21 11:33:25)
7/8請 chloe 協助下單</t>
        </r>
      </text>
    </comment>
    <comment ref="H624" authorId="0" shapeId="0" xr:uid="{0217E050-317A-0B4C-BCF0-D4B3321E5C1C}">
      <text>
        <r>
          <rPr>
            <sz val="10"/>
            <color rgb="FF000000"/>
            <rFont val="Aptos Narrow"/>
            <scheme val="minor"/>
          </rPr>
          <t>======
ID#AAABjx7qPcw
    (2025-05-21 11:33:24)
Alice:8/8-水單匯入USD4555元整，沖PI-20190708A 2540.PI-20190711A 1355.PI-20190712A 660</t>
        </r>
      </text>
    </comment>
    <comment ref="K624" authorId="0" shapeId="0" xr:uid="{54DEE5AA-9362-9843-B219-0735B09303F3}">
      <text>
        <r>
          <rPr>
            <sz val="10"/>
            <color rgb="FF000000"/>
            <rFont val="Aptos Narrow"/>
            <scheme val="minor"/>
          </rPr>
          <t>======
ID#AAABjx7qRr4
    (2025-05-21 11:33:25)
0722 Santiago同意先出貨。</t>
        </r>
      </text>
    </comment>
    <comment ref="H625" authorId="0" shapeId="0" xr:uid="{2497027C-4B94-CE45-9F88-AF9AD1273331}">
      <text>
        <r>
          <rPr>
            <sz val="10"/>
            <color rgb="FF000000"/>
            <rFont val="Aptos Narrow"/>
            <scheme val="minor"/>
          </rPr>
          <t>======
ID#AAABjx7qQJc
    (2025-05-21 11:33:25)
ALICE:7/9玉山銀行通知水單匯入USD40</t>
        </r>
      </text>
    </comment>
    <comment ref="U625" authorId="0" shapeId="0" xr:uid="{1E407A8F-BD2D-8C4E-A440-3C42962523C2}">
      <text>
        <r>
          <rPr>
            <sz val="10"/>
            <color rgb="FF000000"/>
            <rFont val="Aptos Narrow"/>
            <scheme val="minor"/>
          </rPr>
          <t>======
ID#AAABjx7qTAk
    (2025-05-21 11:33:26)
0813 chloe修正</t>
        </r>
      </text>
    </comment>
    <comment ref="H626" authorId="0" shapeId="0" xr:uid="{942A6BAC-36AB-694F-AAE0-27A4755A1907}">
      <text>
        <r>
          <rPr>
            <sz val="10"/>
            <color rgb="FF000000"/>
            <rFont val="Aptos Narrow"/>
            <scheme val="minor"/>
          </rPr>
          <t>======
ID#AAABjx7qRNM
    (2025-05-21 11:33:25)
alice:7/12-水單匯入USD831沖PI-20190710B</t>
        </r>
      </text>
    </comment>
    <comment ref="D627" authorId="0" shapeId="0" xr:uid="{F2F81461-0FE1-1F42-927D-61EEC8715C96}">
      <text>
        <r>
          <rPr>
            <sz val="10"/>
            <color rgb="FF000000"/>
            <rFont val="Aptos Narrow"/>
            <scheme val="minor"/>
          </rPr>
          <t>======
ID#AAABjx7qQOo
    (2025-05-21 11:33:25)
0711 請Chloe協助下單</t>
        </r>
      </text>
    </comment>
    <comment ref="H627" authorId="0" shapeId="0" xr:uid="{218E1818-B18E-DC47-A030-EBF269279308}">
      <text>
        <r>
          <rPr>
            <sz val="10"/>
            <color rgb="FF000000"/>
            <rFont val="Aptos Narrow"/>
            <scheme val="minor"/>
          </rPr>
          <t>======
ID#AAABjx7qNt0
    (2025-05-21 11:33:23)
Alice:8/8-水單匯入USD4555元整，沖PI-20190708A 2540.PI-20190711A 1355.PI-20190712A 660</t>
        </r>
      </text>
    </comment>
    <comment ref="K627" authorId="0" shapeId="0" xr:uid="{36BB527F-A8CB-A04A-B822-44796EDC5C58}">
      <text>
        <r>
          <rPr>
            <sz val="10"/>
            <color rgb="FF000000"/>
            <rFont val="Aptos Narrow"/>
            <scheme val="minor"/>
          </rPr>
          <t>======
ID#AAABjx7qQ58
    (2025-05-21 11:33:25)
0722 Santiago同意先出貨。</t>
        </r>
      </text>
    </comment>
    <comment ref="O627" authorId="0" shapeId="0" xr:uid="{2ED94A74-E2CB-8042-A1C9-ED625DC187C9}">
      <text>
        <r>
          <rPr>
            <sz val="10"/>
            <color rgb="FF000000"/>
            <rFont val="Aptos Narrow"/>
            <scheme val="minor"/>
          </rPr>
          <t>======
ID#AAABjx7qU_w
    (2025-05-21 11:33:27)
0711 下單，交期待回覆</t>
        </r>
      </text>
    </comment>
    <comment ref="D628" authorId="0" shapeId="0" xr:uid="{57C221A4-D2DA-DB4A-ACA0-D4C0D3C6AE33}">
      <text>
        <r>
          <rPr>
            <sz val="10"/>
            <color rgb="FF000000"/>
            <rFont val="Aptos Narrow"/>
            <scheme val="minor"/>
          </rPr>
          <t>======
ID#AAABjx7qQ4M
    (2025-05-21 11:33:25)
0711 請Chloe協助下單</t>
        </r>
      </text>
    </comment>
    <comment ref="H628" authorId="0" shapeId="0" xr:uid="{FF2EA46F-9ABB-8D45-947B-B4ED282E63EE}">
      <text>
        <r>
          <rPr>
            <sz val="10"/>
            <color rgb="FF000000"/>
            <rFont val="Aptos Narrow"/>
            <scheme val="minor"/>
          </rPr>
          <t>======
ID#AAABjx7qRO4
    (2025-05-21 11:33:25)
Alice:8/8-水單匯入USD4555元整，沖PI-20190708A 2540.PI-20190711A 1355.PI-20190712A 660</t>
        </r>
      </text>
    </comment>
    <comment ref="K628" authorId="0" shapeId="0" xr:uid="{94AA4371-5DA2-CC4D-A155-6461E893759C}">
      <text>
        <r>
          <rPr>
            <sz val="10"/>
            <color rgb="FF000000"/>
            <rFont val="Aptos Narrow"/>
            <scheme val="minor"/>
          </rPr>
          <t>======
ID#AAABjx7qSTQ
    (2025-05-21 11:33:26)
0722 Santiago同意先出貨。</t>
        </r>
      </text>
    </comment>
    <comment ref="O628" authorId="0" shapeId="0" xr:uid="{B99A02F7-FAE7-A947-AF32-182391721CE0}">
      <text>
        <r>
          <rPr>
            <sz val="10"/>
            <color rgb="FF000000"/>
            <rFont val="Aptos Narrow"/>
            <scheme val="minor"/>
          </rPr>
          <t>======
ID#AAABjx7qV3Q
    (2025-05-21 11:33:27)
0711 下單，交期待回覆</t>
        </r>
      </text>
    </comment>
    <comment ref="D629" authorId="0" shapeId="0" xr:uid="{B09AEE31-D667-A84E-AA2B-B09F3733993C}">
      <text>
        <r>
          <rPr>
            <sz val="10"/>
            <color rgb="FF000000"/>
            <rFont val="Aptos Narrow"/>
            <scheme val="minor"/>
          </rPr>
          <t>======
ID#AAABjx7qVe0
    (2025-05-21 11:33:27)
0711 請Chloe協助下單</t>
        </r>
      </text>
    </comment>
    <comment ref="H629" authorId="0" shapeId="0" xr:uid="{5AFF3695-8CB4-6442-BA72-1E33029A8457}">
      <text>
        <r>
          <rPr>
            <sz val="10"/>
            <color rgb="FF000000"/>
            <rFont val="Aptos Narrow"/>
            <scheme val="minor"/>
          </rPr>
          <t>======
ID#AAABjx7qMwM
    (2025-05-21 11:33:23)
Alice:8/8-水單匯入USD4555元整，沖PI-20190708A 2540.PI-20190711A 1355.PI-20190712A 660</t>
        </r>
      </text>
    </comment>
    <comment ref="K629" authorId="0" shapeId="0" xr:uid="{6C661B0E-9A68-334B-8D92-E95CBFB8C863}">
      <text>
        <r>
          <rPr>
            <sz val="10"/>
            <color rgb="FF000000"/>
            <rFont val="Aptos Narrow"/>
            <scheme val="minor"/>
          </rPr>
          <t>======
ID#AAABjx7qVxs
    (2025-05-21 11:33:27)
0722 Santiago同意先出貨。</t>
        </r>
      </text>
    </comment>
    <comment ref="O629" authorId="0" shapeId="0" xr:uid="{A547B949-5B4A-E247-A754-7F54174E1E9D}">
      <text>
        <r>
          <rPr>
            <sz val="10"/>
            <color rgb="FF000000"/>
            <rFont val="Aptos Narrow"/>
            <scheme val="minor"/>
          </rPr>
          <t>======
ID#AAABjx7qQHA
    (2025-05-21 11:33:25)
0711 下單，交期待回覆</t>
        </r>
      </text>
    </comment>
    <comment ref="H630" authorId="0" shapeId="0" xr:uid="{331EC4CF-8F86-2B4E-8203-A60C16C5B94B}">
      <text>
        <r>
          <rPr>
            <sz val="10"/>
            <color rgb="FF000000"/>
            <rFont val="Aptos Narrow"/>
            <scheme val="minor"/>
          </rPr>
          <t>======
ID#AAABjx7qRi4
    (2025-05-21 11:33:25)
ALICE:2019/08/14匯入USD60</t>
        </r>
      </text>
    </comment>
    <comment ref="D631" authorId="0" shapeId="0" xr:uid="{D58BEC65-1FAF-C244-B6A0-5FBCB0994189}">
      <text>
        <r>
          <rPr>
            <sz val="10"/>
            <color rgb="FF000000"/>
            <rFont val="Aptos Narrow"/>
            <scheme val="minor"/>
          </rPr>
          <t>======
ID#AAABjx7qNp8
    (2025-05-21 11:33:23)
0712 請chloe協助下單</t>
        </r>
      </text>
    </comment>
    <comment ref="H631" authorId="0" shapeId="0" xr:uid="{AFC23A84-A09B-0E4B-9629-E23E49309FA6}">
      <text>
        <r>
          <rPr>
            <sz val="10"/>
            <color rgb="FF000000"/>
            <rFont val="Aptos Narrow"/>
            <scheme val="minor"/>
          </rPr>
          <t>======
ID#AAABjx7qVS4
    (2025-05-21 11:33:27)
Alice:8/8-水單匯入USD4555元整，沖PI-20190708A 2540.PI-20190711A 1355.PI-20190712A 660</t>
        </r>
      </text>
    </comment>
    <comment ref="K631" authorId="0" shapeId="0" xr:uid="{AF3B55B6-ADB1-C34D-9D0D-05526F0B9522}">
      <text>
        <r>
          <rPr>
            <sz val="10"/>
            <color rgb="FF000000"/>
            <rFont val="Aptos Narrow"/>
            <scheme val="minor"/>
          </rPr>
          <t>======
ID#AAABjx7qVOQ
    (2025-05-21 11:33:27)
0722 Santiago同意先出貨。</t>
        </r>
      </text>
    </comment>
    <comment ref="H632" authorId="0" shapeId="0" xr:uid="{30E66254-0A63-F749-969D-380E6DBCC7B6}">
      <text>
        <r>
          <rPr>
            <sz val="10"/>
            <color rgb="FF000000"/>
            <rFont val="Aptos Narrow"/>
            <scheme val="minor"/>
          </rPr>
          <t>======
ID#AAABjx7qMws
    (2025-05-21 11:33:23)
ALICE:8/30玉山銀行水單匯入USD603元整，沖PI-20190715A USD135+沖PI-20190722D USD468=合計總沖USD603元整</t>
        </r>
      </text>
    </comment>
    <comment ref="O632" authorId="0" shapeId="0" xr:uid="{13AF8CC9-CABB-5D48-BFE7-5736524E0960}">
      <text>
        <r>
          <rPr>
            <sz val="10"/>
            <color rgb="FF000000"/>
            <rFont val="Aptos Narrow"/>
            <scheme val="minor"/>
          </rPr>
          <t>======
ID#AAABjx7qTdA
    (2025-05-21 11:33:26)
0716 YVONNE下單</t>
        </r>
      </text>
    </comment>
    <comment ref="E633" authorId="0" shapeId="0" xr:uid="{69344583-C2EC-9740-972E-1E85350E4A7E}">
      <text>
        <r>
          <rPr>
            <sz val="10"/>
            <color rgb="FF000000"/>
            <rFont val="Aptos Narrow"/>
            <scheme val="minor"/>
          </rPr>
          <t>======
ID#AAABjx7qNYI
    (2025-05-21 11:33:23)
下單請用FPM2150GR3B1601E-T
出貨文件上秀:
FPM-2150G-R3BE
(FPM2150GRB1601E-T)</t>
        </r>
      </text>
    </comment>
    <comment ref="H633" authorId="0" shapeId="0" xr:uid="{59CA58D4-B293-0945-80F0-3D88391B7498}">
      <text>
        <r>
          <rPr>
            <sz val="10"/>
            <color rgb="FF000000"/>
            <rFont val="Aptos Narrow"/>
            <scheme val="minor"/>
          </rPr>
          <t>======
ID#AAABjx7qTSM
    (2025-05-21 11:33:26)
ALICE:9/25玉山水單USD652沖PI-20190805A USD652元整</t>
        </r>
      </text>
    </comment>
    <comment ref="M633" authorId="0" shapeId="0" xr:uid="{229A271B-0DB7-F243-88F7-57A6120FC3DE}">
      <text>
        <r>
          <rPr>
            <sz val="10"/>
            <color rgb="FF000000"/>
            <rFont val="Aptos Narrow"/>
            <scheme val="minor"/>
          </rPr>
          <t>======
ID#AAABjx7qNcA
    (2025-05-21 11:33:23)
0812yvonne:因颱風延誤至8/13</t>
        </r>
      </text>
    </comment>
    <comment ref="O633" authorId="0" shapeId="0" xr:uid="{D119E4DC-5BBB-0841-969C-B10523C52C85}">
      <text>
        <r>
          <rPr>
            <sz val="10"/>
            <color rgb="FF000000"/>
            <rFont val="Aptos Narrow"/>
            <scheme val="minor"/>
          </rPr>
          <t>======
ID#AAABjx7qPUo
    (2025-05-21 11:33:24)
YVONNE0808下單</t>
        </r>
      </text>
    </comment>
    <comment ref="H634" authorId="0" shapeId="0" xr:uid="{2F488CF0-C3EC-0646-B726-D752A564133F}">
      <text>
        <r>
          <rPr>
            <sz val="10"/>
            <color rgb="FF000000"/>
            <rFont val="Aptos Narrow"/>
            <scheme val="minor"/>
          </rPr>
          <t>======
ID#AAABjx7qNBI
    (2025-05-21 11:33:23)
ALICE:9/25玉山水單USD652沖PI-20190805A USD652元整</t>
        </r>
      </text>
    </comment>
    <comment ref="M634" authorId="0" shapeId="0" xr:uid="{AA7AF9CB-1B98-7F40-B32B-6BDAF785E376}">
      <text>
        <r>
          <rPr>
            <sz val="10"/>
            <color rgb="FF000000"/>
            <rFont val="Aptos Narrow"/>
            <scheme val="minor"/>
          </rPr>
          <t>======
ID#AAABjx7qTn4
    (2025-05-21 11:33:26)
0812yvonne:因颱風延誤至8/13</t>
        </r>
      </text>
    </comment>
    <comment ref="O634" authorId="0" shapeId="0" xr:uid="{1829D4A1-B197-3642-95D2-E6D12A7E3487}">
      <text>
        <r>
          <rPr>
            <sz val="10"/>
            <color rgb="FF000000"/>
            <rFont val="Aptos Narrow"/>
            <scheme val="minor"/>
          </rPr>
          <t>======
ID#AAABj82dpHo
    (2025-05-21 11:33:23)
YVONNE0808下單</t>
        </r>
      </text>
    </comment>
    <comment ref="H636" authorId="0" shapeId="0" xr:uid="{F5269743-BDC5-5847-ABAA-AF19C0D0F05A}">
      <text>
        <r>
          <rPr>
            <sz val="10"/>
            <color rgb="FF000000"/>
            <rFont val="Aptos Narrow"/>
            <scheme val="minor"/>
          </rPr>
          <t>======
ID#AAABjx7qQNI
    (2025-05-21 11:33:25)
alice:11/19-一銀Hatteland電文通知匯入USD58800 沖PI-20190717A USD58800</t>
        </r>
      </text>
    </comment>
    <comment ref="J636" authorId="0" shapeId="0" xr:uid="{45BF82C8-0E05-634E-98B4-602D5BB4F47C}">
      <text>
        <r>
          <rPr>
            <sz val="10"/>
            <color rgb="FF000000"/>
            <rFont val="Aptos Narrow"/>
            <scheme val="minor"/>
          </rPr>
          <t>======
ID#AAABjx7qOvk
    (2025-05-21 11:33:24)
190717 Tammy: 收到貨款後, 才出貨</t>
        </r>
      </text>
    </comment>
    <comment ref="O636" authorId="0" shapeId="0" xr:uid="{D6A79849-BD0A-F14B-BE5F-245A9C763D4A}">
      <text>
        <r>
          <rPr>
            <sz val="10"/>
            <color rgb="FF000000"/>
            <rFont val="Aptos Narrow"/>
            <scheme val="minor"/>
          </rPr>
          <t>======
ID#AAABjx7qMtQ
    (2025-05-21 11:33:23)
0717:YVONNE下單</t>
        </r>
      </text>
    </comment>
    <comment ref="H637" authorId="0" shapeId="0" xr:uid="{E23F6360-A0E3-0B4C-9B0E-C6A9697EB820}">
      <text>
        <r>
          <rPr>
            <sz val="10"/>
            <color rgb="FF000000"/>
            <rFont val="Aptos Narrow"/>
            <scheme val="minor"/>
          </rPr>
          <t>======
ID#AAABjx7qOZ8
    (2025-05-21 11:33:24)
alice:11/19-一銀Hatteland電文通知匯入USD58800 沖PI-20190717A USD58800</t>
        </r>
      </text>
    </comment>
    <comment ref="J637" authorId="0" shapeId="0" xr:uid="{068457A4-B3AE-1748-A593-639850ECAA7F}">
      <text>
        <r>
          <rPr>
            <sz val="10"/>
            <color rgb="FF000000"/>
            <rFont val="Aptos Narrow"/>
            <scheme val="minor"/>
          </rPr>
          <t>======
ID#AAABjx7qQ9o
    (2025-05-21 11:33:25)
190717 Tammy: 收到貨款後, 才出貨</t>
        </r>
      </text>
    </comment>
    <comment ref="M637" authorId="0" shapeId="0" xr:uid="{1764B49B-7CEE-7842-8257-7D403CB764CB}">
      <text>
        <r>
          <rPr>
            <sz val="10"/>
            <color rgb="FF000000"/>
            <rFont val="Aptos Narrow"/>
            <scheme val="minor"/>
          </rPr>
          <t>======
ID#AAABjx7qSiE
    (2025-05-21 11:33:26)
1104yvonne:tammy通知客戶急需，提前至11/15到我司。</t>
        </r>
      </text>
    </comment>
    <comment ref="O637" authorId="0" shapeId="0" xr:uid="{1BB1A874-7717-6A4A-8B58-54C48FD77858}">
      <text>
        <r>
          <rPr>
            <sz val="10"/>
            <color rgb="FF000000"/>
            <rFont val="Aptos Narrow"/>
            <scheme val="minor"/>
          </rPr>
          <t>======
ID#AAABjx7qMzI
    (2025-05-21 11:33:23)
0717:YVONNE下單</t>
        </r>
      </text>
    </comment>
    <comment ref="H638" authorId="0" shapeId="0" xr:uid="{DE68C679-42CD-5C42-87DA-1DF9D0994EB5}">
      <text>
        <r>
          <rPr>
            <sz val="10"/>
            <color rgb="FF000000"/>
            <rFont val="Aptos Narrow"/>
            <scheme val="minor"/>
          </rPr>
          <t>======
ID#AAABjx7qSOg
    (2025-05-21 11:33:26)
alice:11/19-一銀Hatteland電文通知匯入USD58800 沖PI-20190717A USD58800</t>
        </r>
      </text>
    </comment>
    <comment ref="J638" authorId="0" shapeId="0" xr:uid="{3AA96408-0B40-1D49-BD47-63C62994BCD8}">
      <text>
        <r>
          <rPr>
            <sz val="10"/>
            <color rgb="FF000000"/>
            <rFont val="Aptos Narrow"/>
            <scheme val="minor"/>
          </rPr>
          <t>======
ID#AAABjx7qNP0
    (2025-05-21 11:33:23)
190717 Tammy: 收到貨款後, 才出貨</t>
        </r>
      </text>
    </comment>
    <comment ref="M638" authorId="0" shapeId="0" xr:uid="{F8A925A9-40AC-4347-866C-990A4A998456}">
      <text>
        <r>
          <rPr>
            <sz val="10"/>
            <color rgb="FF000000"/>
            <rFont val="Aptos Narrow"/>
            <scheme val="minor"/>
          </rPr>
          <t>======
ID#AAABj82dpHM
    (2025-05-21 11:33:23)
1104yvonne:tammy通知客戶急需，提前至11/15到我司。</t>
        </r>
      </text>
    </comment>
    <comment ref="O638" authorId="0" shapeId="0" xr:uid="{D57D3FD1-8D90-E24F-8E6B-BDE537CAD844}">
      <text>
        <r>
          <rPr>
            <sz val="10"/>
            <color rgb="FF000000"/>
            <rFont val="Aptos Narrow"/>
            <scheme val="minor"/>
          </rPr>
          <t>======
ID#AAABjx7qTsM
    (2025-05-21 11:33:26)
0717:YVONNE下單</t>
        </r>
      </text>
    </comment>
    <comment ref="D639" authorId="0" shapeId="0" xr:uid="{CECDEBE6-C935-DE45-8CE9-C47AEFA0621C}">
      <text>
        <r>
          <rPr>
            <sz val="10"/>
            <color rgb="FF000000"/>
            <rFont val="Aptos Narrow"/>
            <scheme val="minor"/>
          </rPr>
          <t>======
ID#AAABjx7qNzQ
    (2025-05-21 11:33:23)
190109 Tammy: 抽驗即可, 謝謝</t>
        </r>
      </text>
    </comment>
    <comment ref="H639" authorId="0" shapeId="0" xr:uid="{2BA190A6-47A8-A347-B7C3-EB4E561B5EC3}">
      <text>
        <r>
          <rPr>
            <sz val="10"/>
            <color rgb="FF000000"/>
            <rFont val="Aptos Narrow"/>
            <scheme val="minor"/>
          </rPr>
          <t>======
ID#AAABjx7qWMY
    (2025-05-21 11:33:27)
alice:11/19-一銀Hatteland電文通知匯入USD58800 沖PI-20190717A USD58800</t>
        </r>
      </text>
    </comment>
    <comment ref="J639" authorId="0" shapeId="0" xr:uid="{608C8B35-E968-A64C-93BA-1AFE163CFA89}">
      <text>
        <r>
          <rPr>
            <sz val="10"/>
            <color rgb="FF000000"/>
            <rFont val="Aptos Narrow"/>
            <scheme val="minor"/>
          </rPr>
          <t>======
ID#AAABjx7qTSc
    (2025-05-21 11:33:26)
190717 Tammy: 收到貨款後, 才出貨</t>
        </r>
      </text>
    </comment>
    <comment ref="M639" authorId="0" shapeId="0" xr:uid="{DC50E316-23F4-4348-B266-2A0F5B27AE07}">
      <text>
        <r>
          <rPr>
            <sz val="10"/>
            <color rgb="FF000000"/>
            <rFont val="Aptos Narrow"/>
            <scheme val="minor"/>
          </rPr>
          <t>======
ID#AAABjx7qS0Y
    (2025-05-21 11:33:26)
1104yvonne:tammy通知客戶急需，提前至11/15到我司。</t>
        </r>
      </text>
    </comment>
    <comment ref="O639" authorId="0" shapeId="0" xr:uid="{B2E8A58C-A260-0A4B-909D-91EAF7537ACA}">
      <text>
        <r>
          <rPr>
            <sz val="10"/>
            <color rgb="FF000000"/>
            <rFont val="Aptos Narrow"/>
            <scheme val="minor"/>
          </rPr>
          <t>======
ID#AAABjx7qVhU
    (2025-05-21 11:33:27)
0717:YVONNE下單</t>
        </r>
      </text>
    </comment>
    <comment ref="G640" authorId="0" shapeId="0" xr:uid="{FFF183C6-3773-594F-B252-D4E38440AC06}">
      <text>
        <r>
          <rPr>
            <sz val="10"/>
            <color rgb="FF000000"/>
            <rFont val="Aptos Narrow"/>
            <scheme val="minor"/>
          </rPr>
          <t>======
ID#AAABjx7qNQQ
    (2025-05-21 11:33:23)
190718 Tammy: w/5%</t>
        </r>
      </text>
    </comment>
    <comment ref="H640" authorId="0" shapeId="0" xr:uid="{285FC823-8A74-B74D-8A4F-B6440BE2EFF4}">
      <text>
        <r>
          <rPr>
            <sz val="10"/>
            <color rgb="FF000000"/>
            <rFont val="Aptos Narrow"/>
            <scheme val="minor"/>
          </rPr>
          <t>======
ID#AAABjx7qPAM
    (2025-05-21 11:33:24)
ALICE:8/22玉山銀行匯入NT1,596,000+NT1,978=NT1,597,978元整，沖PI-20190717C NT1,586,124 ，沖PI-20190813C NT11,854</t>
        </r>
      </text>
    </comment>
    <comment ref="K640" authorId="0" shapeId="0" xr:uid="{601C862B-B98A-3148-B545-D280A2683D49}">
      <text>
        <r>
          <rPr>
            <sz val="10"/>
            <color rgb="FF000000"/>
            <rFont val="Aptos Narrow"/>
            <scheme val="minor"/>
          </rPr>
          <t>======
ID#AAABjx7qUuk
    (2025-05-21 11:33:26)
190718 Tammy: 發票寄出前，請先提供確認，謝謝。</t>
        </r>
      </text>
    </comment>
    <comment ref="Q640" authorId="0" shapeId="0" xr:uid="{39B91BA8-16EC-2942-ACF7-85492D792F26}">
      <text>
        <r>
          <rPr>
            <sz val="10"/>
            <color rgb="FF000000"/>
            <rFont val="Aptos Narrow"/>
            <scheme val="minor"/>
          </rPr>
          <t>======
ID#AAABjx7qRMk
    (2025-05-21 11:33:25)
無成本</t>
        </r>
      </text>
    </comment>
    <comment ref="G641" authorId="0" shapeId="0" xr:uid="{CC8B251D-7701-3D43-90B5-FE922954E69C}">
      <text>
        <r>
          <rPr>
            <sz val="10"/>
            <color rgb="FF000000"/>
            <rFont val="Aptos Narrow"/>
            <scheme val="minor"/>
          </rPr>
          <t>======
ID#AAABjx7qQys
    (2025-05-21 11:33:25)
190718 Tammy: w/5%</t>
        </r>
      </text>
    </comment>
    <comment ref="H641" authorId="0" shapeId="0" xr:uid="{FD7A1D8C-436A-5A4A-B427-7389A82C6E9F}">
      <text>
        <r>
          <rPr>
            <sz val="10"/>
            <color rgb="FF000000"/>
            <rFont val="Aptos Narrow"/>
            <scheme val="minor"/>
          </rPr>
          <t>======
ID#AAABjx7qR_g
    (2025-05-21 11:33:25)
ALICE:8/22玉山銀行匯入NT1,596,000+NT1,978=NT1,597,978元整，沖PI-20190717C NT1,586,124 ，沖PI-20190813C NT11,854</t>
        </r>
      </text>
    </comment>
    <comment ref="K641" authorId="0" shapeId="0" xr:uid="{07053D1F-166B-1C4A-A4A0-BBB6AD500C9D}">
      <text>
        <r>
          <rPr>
            <sz val="10"/>
            <color rgb="FF000000"/>
            <rFont val="Aptos Narrow"/>
            <scheme val="minor"/>
          </rPr>
          <t>======
ID#AAABjx7qNdk
    (2025-05-21 11:33:23)
190718 Tammy: 發票寄出前，請先提供確認，謝謝。</t>
        </r>
      </text>
    </comment>
    <comment ref="O641" authorId="0" shapeId="0" xr:uid="{872A43B1-7E0F-EA4F-8140-DAFD7DEC1DE2}">
      <text>
        <r>
          <rPr>
            <sz val="10"/>
            <color rgb="FF000000"/>
            <rFont val="Aptos Narrow"/>
            <scheme val="minor"/>
          </rPr>
          <t>======
ID#AAABjx7qPUQ
    (2025-05-21 11:33:24)
取消PO-20190717C，分批下單
用下採購單日期當作虛擬PI</t>
        </r>
      </text>
    </comment>
    <comment ref="G642" authorId="0" shapeId="0" xr:uid="{32A76D3B-AB40-8544-AC67-1F6EE280CED1}">
      <text>
        <r>
          <rPr>
            <sz val="10"/>
            <color rgb="FF000000"/>
            <rFont val="Aptos Narrow"/>
            <scheme val="minor"/>
          </rPr>
          <t>======
ID#AAABjx7qO6A
    (2025-05-21 11:33:24)
190718 Tammy: w/5%</t>
        </r>
      </text>
    </comment>
    <comment ref="H642" authorId="0" shapeId="0" xr:uid="{48918A9F-A65A-F94A-8185-EF4C728EF840}">
      <text>
        <r>
          <rPr>
            <sz val="10"/>
            <color rgb="FF000000"/>
            <rFont val="Aptos Narrow"/>
            <scheme val="minor"/>
          </rPr>
          <t>======
ID#AAABjx7qOdE
    (2025-05-21 11:33:24)
ALICE:8/22玉山銀行匯入NT1,596,000+NT1,978=NT1,597,978元整，沖PI-20190717C NT1,586,124 ，沖PI-20190813C NT11,854</t>
        </r>
      </text>
    </comment>
    <comment ref="K642" authorId="0" shapeId="0" xr:uid="{EABA2190-606F-D745-A572-2AB8F0615087}">
      <text>
        <r>
          <rPr>
            <sz val="10"/>
            <color rgb="FF000000"/>
            <rFont val="Aptos Narrow"/>
            <scheme val="minor"/>
          </rPr>
          <t>======
ID#AAABjx7qM-w
    (2025-05-21 11:33:23)
190718 Tammy: 發票寄出前，請先提供確認，謝謝。</t>
        </r>
      </text>
    </comment>
    <comment ref="O642" authorId="0" shapeId="0" xr:uid="{56F19D79-EBE9-7048-95F0-25AD6E08D62F}">
      <text>
        <r>
          <rPr>
            <sz val="10"/>
            <color rgb="FF000000"/>
            <rFont val="Aptos Narrow"/>
            <scheme val="minor"/>
          </rPr>
          <t>======
ID#AAABjx7qPZA
    (2025-05-21 11:33:24)
取消PO-20190717C，分批下單
用下採購單日期當作虛擬PI</t>
        </r>
      </text>
    </comment>
    <comment ref="G643" authorId="0" shapeId="0" xr:uid="{7EE2025D-7E26-F34B-86EC-594F959AB29C}">
      <text>
        <r>
          <rPr>
            <sz val="10"/>
            <color rgb="FF000000"/>
            <rFont val="Aptos Narrow"/>
            <scheme val="minor"/>
          </rPr>
          <t>======
ID#AAABjx7qNPY
    (2025-05-21 11:33:23)
190718 Tammy: w/5%</t>
        </r>
      </text>
    </comment>
    <comment ref="H643" authorId="0" shapeId="0" xr:uid="{B2CE5B37-2CEE-CC48-BC59-BD042A7C9867}">
      <text>
        <r>
          <rPr>
            <sz val="10"/>
            <color rgb="FF000000"/>
            <rFont val="Aptos Narrow"/>
            <scheme val="minor"/>
          </rPr>
          <t>======
ID#AAABjx7qTUU
    (2025-05-21 11:33:26)
ALICE:8/22玉山銀行匯入NT1,596,000+NT1,978=NT1,597,978元整，沖PI-20190717C NT1,586,124 ，沖PI-20190813C NT11,854</t>
        </r>
      </text>
    </comment>
    <comment ref="K643" authorId="0" shapeId="0" xr:uid="{5856B068-F9B7-5A4A-A184-906AAC505499}">
      <text>
        <r>
          <rPr>
            <sz val="10"/>
            <color rgb="FF000000"/>
            <rFont val="Aptos Narrow"/>
            <scheme val="minor"/>
          </rPr>
          <t>======
ID#AAABjx7qShE
    (2025-05-21 11:33:26)
190718 Tammy: 發票寄出前，請先提供確認，謝謝。</t>
        </r>
      </text>
    </comment>
    <comment ref="O643" authorId="0" shapeId="0" xr:uid="{5B2316A3-35A8-4D45-B775-3C0D4F698F6F}">
      <text>
        <r>
          <rPr>
            <sz val="10"/>
            <color rgb="FF000000"/>
            <rFont val="Aptos Narrow"/>
            <scheme val="minor"/>
          </rPr>
          <t>======
ID#AAABjx7qM5Q
    (2025-05-21 11:33:23)
取消PO-20190717C，分批下單
用下採購單日期當作虛擬PI</t>
        </r>
      </text>
    </comment>
    <comment ref="G644" authorId="0" shapeId="0" xr:uid="{79671266-981A-1244-8D24-00EF2BC62A91}">
      <text>
        <r>
          <rPr>
            <sz val="10"/>
            <color rgb="FF000000"/>
            <rFont val="Aptos Narrow"/>
            <scheme val="minor"/>
          </rPr>
          <t>======
ID#AAABjx7qR14
    (2025-05-21 11:33:25)
190718 Tammy: w/5%</t>
        </r>
      </text>
    </comment>
    <comment ref="H644" authorId="0" shapeId="0" xr:uid="{B137FD68-D200-754E-8B99-9149F8F65AAF}">
      <text>
        <r>
          <rPr>
            <sz val="10"/>
            <color rgb="FF000000"/>
            <rFont val="Aptos Narrow"/>
            <scheme val="minor"/>
          </rPr>
          <t>======
ID#AAABjx7qRMY
    (2025-05-21 11:33:25)
ALICE:8/22玉山銀行匯入NT1,596,000+NT1,978=NT1,597,978元整，沖PI-20190717C NT1,586,124 ，沖PI-20190813C NT11,854</t>
        </r>
      </text>
    </comment>
    <comment ref="K644" authorId="0" shapeId="0" xr:uid="{41270DED-26BD-6443-BDE6-948A360F0B91}">
      <text>
        <r>
          <rPr>
            <sz val="10"/>
            <color rgb="FF000000"/>
            <rFont val="Aptos Narrow"/>
            <scheme val="minor"/>
          </rPr>
          <t>======
ID#AAABjx7qTRE
    (2025-05-21 11:33:26)
190718 Tammy: 發票寄出前，請先提供確認，謝謝。</t>
        </r>
      </text>
    </comment>
    <comment ref="O644" authorId="0" shapeId="0" xr:uid="{C705FA08-1C4A-9E43-94BC-1D14E8FA91C0}">
      <text>
        <r>
          <rPr>
            <sz val="10"/>
            <color rgb="FF000000"/>
            <rFont val="Aptos Narrow"/>
            <scheme val="minor"/>
          </rPr>
          <t>======
ID#AAABjx7qVi8
    (2025-05-21 11:33:27)
取消PO-20190717C，分批下單
用下採購單日期當作虛擬PI</t>
        </r>
      </text>
    </comment>
    <comment ref="G645" authorId="0" shapeId="0" xr:uid="{BC2F8BE5-31D8-914A-BE19-325A41C84274}">
      <text>
        <r>
          <rPr>
            <sz val="10"/>
            <color rgb="FF000000"/>
            <rFont val="Aptos Narrow"/>
            <scheme val="minor"/>
          </rPr>
          <t>======
ID#AAABjx7qREI
    (2025-05-21 11:33:25)
190718 Tammy: w/5%</t>
        </r>
      </text>
    </comment>
    <comment ref="H645" authorId="0" shapeId="0" xr:uid="{428725E4-FD07-C842-AB3D-A23974A75F7C}">
      <text>
        <r>
          <rPr>
            <sz val="10"/>
            <color rgb="FF000000"/>
            <rFont val="Aptos Narrow"/>
            <scheme val="minor"/>
          </rPr>
          <t>======
ID#AAABjx7qTgw
    (2025-05-21 11:33:26)
ALICE:8/22玉山銀行匯入NT1,596,000+NT1,978=NT1,597,978元整，沖PI-20190717C NT1,586,124 ，沖PI-20190813C NT11,854</t>
        </r>
      </text>
    </comment>
    <comment ref="K645" authorId="0" shapeId="0" xr:uid="{97007A64-AD01-FC43-9053-7E4687D5CA2C}">
      <text>
        <r>
          <rPr>
            <sz val="10"/>
            <color rgb="FF000000"/>
            <rFont val="Aptos Narrow"/>
            <scheme val="minor"/>
          </rPr>
          <t>======
ID#AAABjx7qQAI
    (2025-05-21 11:33:25)
190718 Tammy: 發票寄出前，請先提供確認，謝謝。</t>
        </r>
      </text>
    </comment>
    <comment ref="O645" authorId="0" shapeId="0" xr:uid="{48C1B0CC-A631-6E49-B8E8-A580F717A7E1}">
      <text>
        <r>
          <rPr>
            <sz val="10"/>
            <color rgb="FF000000"/>
            <rFont val="Aptos Narrow"/>
            <scheme val="minor"/>
          </rPr>
          <t>======
ID#AAABjx7qNG4
    (2025-05-21 11:33:23)
取消PO-20190717C，分批下單
用下採購單日期當作虛擬PI</t>
        </r>
      </text>
    </comment>
    <comment ref="G646" authorId="0" shapeId="0" xr:uid="{87C301DB-8919-7A40-BAE6-913FF0547962}">
      <text>
        <r>
          <rPr>
            <sz val="10"/>
            <color rgb="FF000000"/>
            <rFont val="Aptos Narrow"/>
            <scheme val="minor"/>
          </rPr>
          <t>======
ID#AAABjx7qSk4
    (2025-05-21 11:33:26)
190718 Tammy: w/5%</t>
        </r>
      </text>
    </comment>
    <comment ref="H646" authorId="0" shapeId="0" xr:uid="{5DB4B7FC-B64C-3C4E-A8CE-91BB761122A3}">
      <text>
        <r>
          <rPr>
            <sz val="10"/>
            <color rgb="FF000000"/>
            <rFont val="Aptos Narrow"/>
            <scheme val="minor"/>
          </rPr>
          <t>======
ID#AAABjx7qR_I
    (2025-05-21 11:33:25)
ALICE:8/22玉山銀行匯入NT1,596,000+NT1,978=NT1,597,978元整，沖PI-20190717C NT1,586,124 ，沖PI-20190813C NT11,854</t>
        </r>
      </text>
    </comment>
    <comment ref="K646" authorId="0" shapeId="0" xr:uid="{A91560EC-0625-C64B-BBC4-C6401B74774B}">
      <text>
        <r>
          <rPr>
            <sz val="10"/>
            <color rgb="FF000000"/>
            <rFont val="Aptos Narrow"/>
            <scheme val="minor"/>
          </rPr>
          <t>======
ID#AAABjx7qQKI
    (2025-05-21 11:33:25)
190718 Tammy: 發票寄出前，請先提供確認，謝謝。</t>
        </r>
      </text>
    </comment>
    <comment ref="O646" authorId="0" shapeId="0" xr:uid="{85ED311D-6E5D-EE42-BB0B-66B2C3A56D1F}">
      <text>
        <r>
          <rPr>
            <sz val="10"/>
            <color rgb="FF000000"/>
            <rFont val="Aptos Narrow"/>
            <scheme val="minor"/>
          </rPr>
          <t>======
ID#AAABjx7qP4k
    (2025-05-21 11:33:24)
取消PO-20190717C，分批下單
用下採購單日期當作虛擬PI</t>
        </r>
      </text>
    </comment>
    <comment ref="G647" authorId="0" shapeId="0" xr:uid="{6E742862-07DE-F843-9697-310F8FA09546}">
      <text>
        <r>
          <rPr>
            <sz val="10"/>
            <color rgb="FF000000"/>
            <rFont val="Aptos Narrow"/>
            <scheme val="minor"/>
          </rPr>
          <t>======
ID#AAABjx7qTAo
    (2025-05-21 11:33:26)
190718 Tammy: w/5%</t>
        </r>
      </text>
    </comment>
    <comment ref="H647" authorId="0" shapeId="0" xr:uid="{28DE06F0-8462-4941-AE0B-EB637E64B8F8}">
      <text>
        <r>
          <rPr>
            <sz val="10"/>
            <color rgb="FF000000"/>
            <rFont val="Aptos Narrow"/>
            <scheme val="minor"/>
          </rPr>
          <t>======
ID#AAABjx7qVFY
    (2025-05-21 11:33:27)
ALICE:8/22玉山銀行匯入NT1,596,000+NT1,978=NT1,597,978元整，沖PI-20190717C NT1,586,124 ，沖PI-20190813C NT11,854</t>
        </r>
      </text>
    </comment>
    <comment ref="K647" authorId="0" shapeId="0" xr:uid="{38C30112-AEF8-0C4E-9380-F247DBB4DA16}">
      <text>
        <r>
          <rPr>
            <sz val="10"/>
            <color rgb="FF000000"/>
            <rFont val="Aptos Narrow"/>
            <scheme val="minor"/>
          </rPr>
          <t>======
ID#AAABjx7qPsw
    (2025-05-21 11:33:24)
190718 Tammy: 發票寄出前，請先提供確認，謝謝。</t>
        </r>
      </text>
    </comment>
    <comment ref="O647" authorId="0" shapeId="0" xr:uid="{1CC4930C-988D-A449-B77E-00ED05B04EF0}">
      <text>
        <r>
          <rPr>
            <sz val="10"/>
            <color rgb="FF000000"/>
            <rFont val="Aptos Narrow"/>
            <scheme val="minor"/>
          </rPr>
          <t>======
ID#AAABjx7qV30
    (2025-05-21 11:33:27)
取消PO-20190717C，分批下單
用下採購單日期當作虛擬PI</t>
        </r>
      </text>
    </comment>
    <comment ref="G648" authorId="0" shapeId="0" xr:uid="{F0763211-6D3F-8744-A5B4-0A7A102E4865}">
      <text>
        <r>
          <rPr>
            <sz val="10"/>
            <color rgb="FF000000"/>
            <rFont val="Aptos Narrow"/>
            <scheme val="minor"/>
          </rPr>
          <t>======
ID#AAABjx7qM2o
    (2025-05-21 11:33:23)
190718 Tammy: w/5%</t>
        </r>
      </text>
    </comment>
    <comment ref="H648" authorId="0" shapeId="0" xr:uid="{1EFE8E86-C06D-AD43-9028-53336D8C06B3}">
      <text>
        <r>
          <rPr>
            <sz val="10"/>
            <color rgb="FF000000"/>
            <rFont val="Aptos Narrow"/>
            <scheme val="minor"/>
          </rPr>
          <t>======
ID#AAABjx7qVO4
    (2025-05-21 11:33:27)
ALICE:8/22玉山銀行匯入NT1,596,000+NT1,978=NT1,597,978元整，沖PI-20190717C NT1,586,124 ，沖PI-20190813C NT11,854</t>
        </r>
      </text>
    </comment>
    <comment ref="K648" authorId="0" shapeId="0" xr:uid="{AA90BBA9-D98F-A54F-A097-E20939A3D3CD}">
      <text>
        <r>
          <rPr>
            <sz val="10"/>
            <color rgb="FF000000"/>
            <rFont val="Aptos Narrow"/>
            <scheme val="minor"/>
          </rPr>
          <t>======
ID#AAABjx7qNIo
    (2025-05-21 11:33:23)
190718 Tammy: 發票寄出前，請先提供確認，謝謝。</t>
        </r>
      </text>
    </comment>
    <comment ref="M648" authorId="0" shapeId="0" xr:uid="{2D47B97F-09CA-BE4A-873F-C3E6D478101C}">
      <text>
        <r>
          <rPr>
            <sz val="10"/>
            <color rgb="FF000000"/>
            <rFont val="Aptos Narrow"/>
            <scheme val="minor"/>
          </rPr>
          <t>======
ID#AAABjx7qWXI
0724 chloe    (2025-05-21 11:33:27)
貨到請通知Chloe及生管，需更換標籤
謝謝</t>
        </r>
      </text>
    </comment>
    <comment ref="G649" authorId="0" shapeId="0" xr:uid="{F02791B0-B4BB-794D-A3CB-29FA8039A7F0}">
      <text>
        <r>
          <rPr>
            <sz val="10"/>
            <color rgb="FF000000"/>
            <rFont val="Aptos Narrow"/>
            <scheme val="minor"/>
          </rPr>
          <t>======
ID#AAABjx7qOcc
    (2025-05-21 11:33:24)
190718 Tammy: w/5%</t>
        </r>
      </text>
    </comment>
    <comment ref="H649" authorId="0" shapeId="0" xr:uid="{5AF39144-B5EB-BB4B-990B-E18133E04D82}">
      <text>
        <r>
          <rPr>
            <sz val="10"/>
            <color rgb="FF000000"/>
            <rFont val="Aptos Narrow"/>
            <scheme val="minor"/>
          </rPr>
          <t>======
ID#AAABjx7qPHg
    (2025-05-21 11:33:24)
ALICE:8/22玉山銀行匯入NT1,596,000+NT1,978=NT1,597,978元整，沖PI-20190717C NT1,586,124 ，沖PI-20190813C NT11,854</t>
        </r>
      </text>
    </comment>
    <comment ref="K649" authorId="0" shapeId="0" xr:uid="{7570B63A-57DD-9D45-A7E7-5F6B48C72AE1}">
      <text>
        <r>
          <rPr>
            <sz val="10"/>
            <color rgb="FF000000"/>
            <rFont val="Aptos Narrow"/>
            <scheme val="minor"/>
          </rPr>
          <t>======
ID#AAABjx7qPH0
    (2025-05-21 11:33:24)
190718 Tammy: 發票寄出前，請先提供確認，謝謝。</t>
        </r>
      </text>
    </comment>
    <comment ref="M649" authorId="0" shapeId="0" xr:uid="{13D1D00B-E33D-7146-870A-6EF643F8AE8D}">
      <text>
        <r>
          <rPr>
            <sz val="10"/>
            <color rgb="FF000000"/>
            <rFont val="Aptos Narrow"/>
            <scheme val="minor"/>
          </rPr>
          <t>======
ID#AAABjx7qNh0
0724 chloe    (2025-05-21 11:33:23)
貨到請通知Chloe及生管，需更換標籤
謝謝</t>
        </r>
      </text>
    </comment>
    <comment ref="G650" authorId="0" shapeId="0" xr:uid="{2040E0FA-E077-EC49-B1BF-A3C82E3EA7E3}">
      <text>
        <r>
          <rPr>
            <sz val="10"/>
            <color rgb="FF000000"/>
            <rFont val="Aptos Narrow"/>
            <scheme val="minor"/>
          </rPr>
          <t>======
ID#AAABjx7qV1s
    (2025-05-21 11:33:27)
190718 Tammy: w/5%</t>
        </r>
      </text>
    </comment>
    <comment ref="H650" authorId="0" shapeId="0" xr:uid="{BAF5C164-DF20-D64D-A3EC-246B2D6C5068}">
      <text>
        <r>
          <rPr>
            <sz val="10"/>
            <color rgb="FF000000"/>
            <rFont val="Aptos Narrow"/>
            <scheme val="minor"/>
          </rPr>
          <t>======
ID#AAABjx7qTQE
    (2025-05-21 11:33:26)
ALICE:8/22玉山銀行匯入NT1,596,000+NT1,978=NT1,597,978元整，沖PI-20190717C NT1,586,124 ，沖PI-20190813C NT11,854</t>
        </r>
      </text>
    </comment>
    <comment ref="K650" authorId="0" shapeId="0" xr:uid="{84B4E029-4130-2B41-9130-0234F958E7EC}">
      <text>
        <r>
          <rPr>
            <sz val="10"/>
            <color rgb="FF000000"/>
            <rFont val="Aptos Narrow"/>
            <scheme val="minor"/>
          </rPr>
          <t>======
ID#AAABjx7qSRY
    (2025-05-21 11:33:26)
190718 Tammy: 發票寄出前，請先提供確認，謝謝。</t>
        </r>
      </text>
    </comment>
    <comment ref="O650" authorId="0" shapeId="0" xr:uid="{DA2AECC7-CE85-7245-B3B6-49A2B946A286}">
      <text>
        <r>
          <rPr>
            <sz val="10"/>
            <color rgb="FF000000"/>
            <rFont val="Aptos Narrow"/>
            <scheme val="minor"/>
          </rPr>
          <t>======
ID#AAABjx7qPs0
    (2025-05-21 11:33:24)
取消PO-20190717C，分批下單</t>
        </r>
      </text>
    </comment>
    <comment ref="G651" authorId="0" shapeId="0" xr:uid="{E08D2295-3F7B-2048-A97B-E6D2E5B3C873}">
      <text>
        <r>
          <rPr>
            <sz val="10"/>
            <color rgb="FF000000"/>
            <rFont val="Aptos Narrow"/>
            <scheme val="minor"/>
          </rPr>
          <t>======
ID#AAABjx7qVMU
    (2025-05-21 11:33:27)
190718 Tammy: w/5%</t>
        </r>
      </text>
    </comment>
    <comment ref="H651" authorId="0" shapeId="0" xr:uid="{BF5768FB-844B-F442-B3FC-B3B515C7C250}">
      <text>
        <r>
          <rPr>
            <sz val="10"/>
            <color rgb="FF000000"/>
            <rFont val="Aptos Narrow"/>
            <scheme val="minor"/>
          </rPr>
          <t>======
ID#AAABjx7qM24
    (2025-05-21 11:33:23)
ALICE:8/22玉山銀行匯入NT1,596,000+NT1,978=NT1,597,978元整，沖PI-20190717C NT1,586,124 ，沖PI-20190813C NT11,854</t>
        </r>
      </text>
    </comment>
    <comment ref="K651" authorId="0" shapeId="0" xr:uid="{14F91CBF-FCE9-7C49-87DC-3B2591BA86C3}">
      <text>
        <r>
          <rPr>
            <sz val="10"/>
            <color rgb="FF000000"/>
            <rFont val="Aptos Narrow"/>
            <scheme val="minor"/>
          </rPr>
          <t>======
ID#AAABjx7qN0U
    (2025-05-21 11:33:23)
190718 Tammy: 發票寄出前，請先提供確認，謝謝。</t>
        </r>
      </text>
    </comment>
    <comment ref="O651" authorId="0" shapeId="0" xr:uid="{0A014229-2B9A-634F-A07D-E5BC694F873B}">
      <text>
        <r>
          <rPr>
            <sz val="10"/>
            <color rgb="FF000000"/>
            <rFont val="Aptos Narrow"/>
            <scheme val="minor"/>
          </rPr>
          <t>======
ID#AAABjx7qOok
    (2025-05-21 11:33:24)
取消PO-20190717C，分批下單</t>
        </r>
      </text>
    </comment>
    <comment ref="H653" authorId="0" shapeId="0" xr:uid="{FF6577E2-AE76-CF4B-BA22-FEA80ADDE52D}">
      <text>
        <r>
          <rPr>
            <sz val="10"/>
            <color rgb="FF000000"/>
            <rFont val="Aptos Narrow"/>
            <scheme val="minor"/>
          </rPr>
          <t>======
ID#AAABjx7qOKM
    (2025-05-21 11:33:24)
ALICE:9/26玉山水單匯入USD16657沖PI-20190704A USD655.沖PI-20190704A-F USD96.沖PI20190717E USD11479.沖PI-20190726B USD4245.沖PI-20190726B-F 182總沖16657</t>
        </r>
      </text>
    </comment>
    <comment ref="O653" authorId="0" shapeId="0" xr:uid="{F3B1C243-348B-EA4A-A84F-DB48C0B6B1B3}">
      <text>
        <r>
          <rPr>
            <sz val="10"/>
            <color rgb="FF000000"/>
            <rFont val="Aptos Narrow"/>
            <scheme val="minor"/>
          </rPr>
          <t>======
ID#AAABjx7qQjc
    (2025-05-21 11:33:25)
0718YVONNE下單</t>
        </r>
      </text>
    </comment>
    <comment ref="H654" authorId="0" shapeId="0" xr:uid="{300FEC20-6B05-354E-971C-D9461DA3D9A6}">
      <text>
        <r>
          <rPr>
            <sz val="10"/>
            <color rgb="FF000000"/>
            <rFont val="Aptos Narrow"/>
            <scheme val="minor"/>
          </rPr>
          <t>======
ID#AAABjx7qQmI
    (2025-05-21 11:33:25)
ALICE:9/26玉山水單匯入USD16657沖PI-20190704A USD655.沖PI-20190704A-F USD96.沖PI20190717E USD11479.沖PI-20190726B USD4245.沖PI-20190726B-F 182總沖16657</t>
        </r>
      </text>
    </comment>
    <comment ref="O654" authorId="0" shapeId="0" xr:uid="{A56D84F8-5193-354B-B28A-782883825789}">
      <text>
        <r>
          <rPr>
            <sz val="10"/>
            <color rgb="FF000000"/>
            <rFont val="Aptos Narrow"/>
            <scheme val="minor"/>
          </rPr>
          <t>======
ID#AAABjx7qM0g
    (2025-05-21 11:33:23)
0718YVONNE下單</t>
        </r>
      </text>
    </comment>
    <comment ref="H655" authorId="0" shapeId="0" xr:uid="{E1A24B80-4A99-B048-B2C2-D17AAFAB1B07}">
      <text>
        <r>
          <rPr>
            <sz val="10"/>
            <color rgb="FF000000"/>
            <rFont val="Aptos Narrow"/>
            <scheme val="minor"/>
          </rPr>
          <t>======
ID#AAABjx7qQJs
    (2025-05-21 11:33:25)
ALICE:9/26玉山水單匯入USD16657沖PI-20190704A USD655.沖PI-20190704A-F USD96.沖PI20190717E USD11479.沖PI-20190726B USD4245.沖PI-20190726B-F 182總沖16657</t>
        </r>
      </text>
    </comment>
    <comment ref="M655" authorId="0" shapeId="0" xr:uid="{7D1CA41C-4F4A-E149-A783-7004D46DCC6C}">
      <text>
        <r>
          <rPr>
            <sz val="10"/>
            <color rgb="FF000000"/>
            <rFont val="Aptos Narrow"/>
            <scheme val="minor"/>
          </rPr>
          <t>======
ID#AAABjx7qNck
    (2025-05-21 11:33:23)
0722:Jesse送來戎克0723(沛勁寄到超恩)</t>
        </r>
      </text>
    </comment>
    <comment ref="O655" authorId="0" shapeId="0" xr:uid="{660BD2D7-9933-404F-B606-FFB4C10FF749}">
      <text>
        <r>
          <rPr>
            <sz val="10"/>
            <color rgb="FF000000"/>
            <rFont val="Aptos Narrow"/>
            <scheme val="minor"/>
          </rPr>
          <t>======
ID#AAABjx7qRPA
    (2025-05-21 11:33:25)
0718YVONNE下單</t>
        </r>
      </text>
    </comment>
    <comment ref="H656" authorId="0" shapeId="0" xr:uid="{3251378B-C00C-384A-8058-9DA0BDD8BF07}">
      <text>
        <r>
          <rPr>
            <sz val="10"/>
            <color rgb="FF000000"/>
            <rFont val="Aptos Narrow"/>
            <scheme val="minor"/>
          </rPr>
          <t>======
ID#AAABjx7qVSU
    (2025-05-21 11:33:27)
ALICE:8/27玉山銀行匯入USD9443沖PI-20190604A.PI-20190628A.PI-20190604A-F合計共USD9443元整</t>
        </r>
      </text>
    </comment>
    <comment ref="D657" authorId="0" shapeId="0" xr:uid="{7598A179-C3B6-ED49-BA0A-FAA49ECC1CE3}">
      <text>
        <r>
          <rPr>
            <sz val="10"/>
            <color rgb="FF000000"/>
            <rFont val="Aptos Narrow"/>
            <scheme val="minor"/>
          </rPr>
          <t>======
ID#AAABjx7qRrg
    (2025-05-21 11:33:25)
0719 請chloe 協助下單</t>
        </r>
      </text>
    </comment>
    <comment ref="H657" authorId="0" shapeId="0" xr:uid="{B080C520-3A20-0C4C-A293-606A579FDDC0}">
      <text>
        <r>
          <rPr>
            <sz val="10"/>
            <color rgb="FF000000"/>
            <rFont val="Aptos Narrow"/>
            <scheme val="minor"/>
          </rPr>
          <t>======
ID#AAABjx7qSIU
    (2025-05-21 11:33:26)
ALICE:9/10玉山匯入NT108650沖PI20190719A.PI-20190722B.PI-20190725A.PI20190813B</t>
        </r>
      </text>
    </comment>
    <comment ref="D658" authorId="0" shapeId="0" xr:uid="{CF4FAAA9-98C7-7741-A809-0A74554CE674}">
      <text>
        <r>
          <rPr>
            <sz val="10"/>
            <color rgb="FF000000"/>
            <rFont val="Aptos Narrow"/>
            <scheme val="minor"/>
          </rPr>
          <t>======
ID#AAABjx7qODY
    (2025-05-21 11:33:24)
0719 請chloe 協助下單</t>
        </r>
      </text>
    </comment>
    <comment ref="H658" authorId="0" shapeId="0" xr:uid="{BA31EB8F-6255-D647-BC21-28AACBC359F0}">
      <text>
        <r>
          <rPr>
            <sz val="10"/>
            <color rgb="FF000000"/>
            <rFont val="Aptos Narrow"/>
            <scheme val="minor"/>
          </rPr>
          <t>======
ID#AAABjx7qUsQ
    (2025-05-21 11:33:26)
ALICE:9/10玉山匯入NT108650沖PI20190719A.PI-20190722B.PI-20190725A.PI20190813B</t>
        </r>
      </text>
    </comment>
    <comment ref="D659" authorId="0" shapeId="0" xr:uid="{32D8F493-7C98-E641-A941-AFD2A1C69F88}">
      <text>
        <r>
          <rPr>
            <sz val="10"/>
            <color rgb="FF000000"/>
            <rFont val="Aptos Narrow"/>
            <scheme val="minor"/>
          </rPr>
          <t>======
ID#AAABjx7qQSs
    (2025-05-21 11:33:25)
20190604 Robin accept W/O AG、AR treatment this time</t>
        </r>
      </text>
    </comment>
    <comment ref="I659" authorId="0" shapeId="0" xr:uid="{294FF2B1-CF5C-604F-B540-038670173A14}">
      <text>
        <r>
          <rPr>
            <sz val="10"/>
            <color rgb="FF000000"/>
            <rFont val="Aptos Narrow"/>
            <scheme val="minor"/>
          </rPr>
          <t>======
ID#AAABjx7qQXM
    (2025-05-21 11:33:25)
Cathy/Santiago</t>
        </r>
      </text>
    </comment>
    <comment ref="M659" authorId="0" shapeId="0" xr:uid="{8AD51640-F960-DD4A-A394-40DAD4CF3944}">
      <text>
        <r>
          <rPr>
            <sz val="10"/>
            <color rgb="FF000000"/>
            <rFont val="Aptos Narrow"/>
            <scheme val="minor"/>
          </rPr>
          <t>======
ID#AAABjx7qTOI
    (2025-05-21 11:33:26)
0724 chloe:貨到請通知Chloe
0904 Cathy : 客人告知預計10/4 &amp;10/18。但也非確定時間
0906 Cathy: 客人告知可能時間
0916 Vivian 檢驗外觀ok
0925YVONNE:大榮寄出15995542754</t>
        </r>
      </text>
    </comment>
    <comment ref="Q659" authorId="0" shapeId="0" xr:uid="{993E9B53-99D1-0640-8025-D4F979D8AE6F}">
      <text>
        <r>
          <rPr>
            <sz val="10"/>
            <color rgb="FF000000"/>
            <rFont val="Aptos Narrow"/>
            <scheme val="minor"/>
          </rPr>
          <t>======
ID#AAABjx7qNPg
    (2025-05-21 11:33:23)
客供料，無成本</t>
        </r>
      </text>
    </comment>
    <comment ref="U659" authorId="0" shapeId="0" xr:uid="{CC95930D-BC20-DB4E-8506-4D76C413081D}">
      <text>
        <r>
          <rPr>
            <sz val="10"/>
            <color rgb="FF000000"/>
            <rFont val="Aptos Narrow"/>
            <scheme val="minor"/>
          </rPr>
          <t>======
ID#AAABjx7qPU0
    (2025-05-21 11:33:24)
客供料，無成本</t>
        </r>
      </text>
    </comment>
    <comment ref="D660" authorId="0" shapeId="0" xr:uid="{C7CDB58B-06C9-C745-ABF3-C22B882E9E17}">
      <text>
        <r>
          <rPr>
            <sz val="10"/>
            <color rgb="FF000000"/>
            <rFont val="Aptos Narrow"/>
            <scheme val="minor"/>
          </rPr>
          <t>======
ID#AAABjx7qQas
    (2025-05-21 11:33:25)
20190604 Robin accept W/O AG、AR treatment this time</t>
        </r>
      </text>
    </comment>
    <comment ref="H660" authorId="0" shapeId="0" xr:uid="{F856222F-1492-224C-A5C2-E9C4F690B59D}">
      <text>
        <r>
          <rPr>
            <sz val="10"/>
            <color rgb="FF000000"/>
            <rFont val="Aptos Narrow"/>
            <scheme val="minor"/>
          </rPr>
          <t>======
ID#AAABjx7qVlA
    (2025-05-21 11:33:27)
ALICE:7/26玉山銀行水單通知匯入USD9754沖PI-20190524B(2000+350).沖PI20190524B-1(3010).沖PI-20190703A(60+70).沖PI20190719B-1 228+1600 PI-20190719B-2 304  PI-20190719B-5 532. PI-20190719B-3 1600</t>
        </r>
      </text>
    </comment>
    <comment ref="I660" authorId="0" shapeId="0" xr:uid="{CCF940E4-0B37-1945-943B-86B7EBCAF20D}">
      <text>
        <r>
          <rPr>
            <sz val="10"/>
            <color rgb="FF000000"/>
            <rFont val="Aptos Narrow"/>
            <scheme val="minor"/>
          </rPr>
          <t>======
ID#AAABjx7qOhk
    (2025-05-21 11:33:24)
Cathy/Santiago</t>
        </r>
      </text>
    </comment>
    <comment ref="M660" authorId="0" shapeId="0" xr:uid="{BBA65E80-50A1-8E4C-81BC-1F34C4DD2530}">
      <text>
        <r>
          <rPr>
            <sz val="10"/>
            <color rgb="FF000000"/>
            <rFont val="Aptos Narrow"/>
            <scheme val="minor"/>
          </rPr>
          <t>======
ID#AAABjx7qSao
    (2025-05-21 11:33:26)
0724 chloe:貨到請通知Chloe
(準備送曦立貼合)
→0923 chloe: IQC告知只有 1PCS OK，其餘送回亞磊重工
0925YVONNE:大榮寄出15995542754 1PCS
10/18 cathy: Alan告知交期</t>
        </r>
      </text>
    </comment>
    <comment ref="O660" authorId="0" shapeId="0" xr:uid="{B8BB1DED-C508-6E4B-B2A4-843327DB1768}">
      <text>
        <r>
          <rPr>
            <sz val="10"/>
            <color rgb="FF000000"/>
            <rFont val="Aptos Narrow"/>
            <scheme val="minor"/>
          </rPr>
          <t>======
ID#AAABjx7qQo4
    (2025-05-21 11:33:25)
0801 chloe: 0731 開案</t>
        </r>
      </text>
    </comment>
    <comment ref="U660" authorId="0" shapeId="0" xr:uid="{78F38288-CD7B-AF4A-9340-DF38F076AEF7}">
      <text>
        <r>
          <rPr>
            <sz val="10"/>
            <color rgb="FF000000"/>
            <rFont val="Aptos Narrow"/>
            <scheme val="minor"/>
          </rPr>
          <t>======
ID#AAABjx7qTfY
    (2025-05-21 11:33:26)
發票3 PCS(TL53407799)
發票8 PCS(TL53407800)</t>
        </r>
      </text>
    </comment>
    <comment ref="D661" authorId="0" shapeId="0" xr:uid="{C2D8943E-147B-5D42-930F-DB25D7F66EB3}">
      <text>
        <r>
          <rPr>
            <sz val="10"/>
            <color rgb="FF000000"/>
            <rFont val="Aptos Narrow"/>
            <scheme val="minor"/>
          </rPr>
          <t>======
ID#AAABjx7qPPc
    (2025-05-21 11:33:24)
20190604 Robin accept W/O AG、AR treatment this time</t>
        </r>
      </text>
    </comment>
    <comment ref="H661" authorId="0" shapeId="0" xr:uid="{6CE71A89-27A0-0F46-8C33-FF5CC1467772}">
      <text>
        <r>
          <rPr>
            <sz val="10"/>
            <color rgb="FF000000"/>
            <rFont val="Aptos Narrow"/>
            <scheme val="minor"/>
          </rPr>
          <t>======
ID#AAABjx7qN6w
    (2025-05-21 11:33:23)
ALICE:1/7第一銀行USD3228 沖PI-20191007006 1501+PI-20191007007 USD1727+PI-20191128002 USD20總沖USD3248</t>
        </r>
      </text>
    </comment>
    <comment ref="I661" authorId="0" shapeId="0" xr:uid="{AD17DFC3-2142-A642-925D-BC52F2F8B6AB}">
      <text>
        <r>
          <rPr>
            <sz val="10"/>
            <color rgb="FF000000"/>
            <rFont val="Aptos Narrow"/>
            <scheme val="minor"/>
          </rPr>
          <t>======
ID#AAABjx7qSzg
    (2025-05-21 11:33:26)
Cathy/Santiago</t>
        </r>
      </text>
    </comment>
    <comment ref="M661" authorId="0" shapeId="0" xr:uid="{F1A0297C-EC31-F144-867C-113031E65E9E}">
      <text>
        <r>
          <rPr>
            <sz val="10"/>
            <color rgb="FF000000"/>
            <rFont val="Aptos Narrow"/>
            <scheme val="minor"/>
          </rPr>
          <t>======
ID#AAABjx7qNsU
    (2025-05-21 11:33:23)
1002 chloe: 9 PCS可出貨</t>
        </r>
      </text>
    </comment>
    <comment ref="O661" authorId="0" shapeId="0" xr:uid="{7A20F60C-EFDA-2D43-BCAA-544EA746DA46}">
      <text>
        <r>
          <rPr>
            <sz val="10"/>
            <color rgb="FF000000"/>
            <rFont val="Aptos Narrow"/>
            <scheme val="minor"/>
          </rPr>
          <t>======
ID#AAABjx7qWb4
    (2025-05-21 11:33:27)
0917 chloe:已先告知曦立排單</t>
        </r>
      </text>
    </comment>
    <comment ref="H662" authorId="0" shapeId="0" xr:uid="{B1E1E1A9-232A-F544-BA0A-C848C9F553AE}">
      <text>
        <r>
          <rPr>
            <sz val="10"/>
            <color rgb="FF000000"/>
            <rFont val="Aptos Narrow"/>
            <scheme val="minor"/>
          </rPr>
          <t>======
ID#AAABjx7qOmM
    (2025-05-21 11:33:24)
ALICE:1/7第一銀行USD3228 沖PI-20191007006 1501+PI-20191007007 USD1727+PI-20191128002 USD20總沖USD3248</t>
        </r>
      </text>
    </comment>
    <comment ref="I662" authorId="0" shapeId="0" xr:uid="{6E69D05C-F9AF-D841-A701-5FD9946FB101}">
      <text>
        <r>
          <rPr>
            <sz val="10"/>
            <color rgb="FF000000"/>
            <rFont val="Aptos Narrow"/>
            <scheme val="minor"/>
          </rPr>
          <t>======
ID#AAABjx7qRv8
    (2025-05-21 11:33:25)
Cathy/Santiago</t>
        </r>
      </text>
    </comment>
    <comment ref="M662" authorId="0" shapeId="0" xr:uid="{1F372928-763D-B649-8F93-12564871F7BD}">
      <text>
        <r>
          <rPr>
            <sz val="10"/>
            <color rgb="FF000000"/>
            <rFont val="Aptos Narrow"/>
            <scheme val="minor"/>
          </rPr>
          <t>======
ID#AAABjx7qMqI
    (2025-05-21 11:33:23)
10/18 CATHY : alan告知交期</t>
        </r>
      </text>
    </comment>
    <comment ref="D663" authorId="0" shapeId="0" xr:uid="{BB3218C5-10DF-BC44-93D4-9237C247B39F}">
      <text>
        <r>
          <rPr>
            <sz val="10"/>
            <color rgb="FF000000"/>
            <rFont val="Aptos Narrow"/>
            <scheme val="minor"/>
          </rPr>
          <t>======
ID#AAABjx7qWDw
    (2025-05-21 11:33:27)
20190604 Robin accept W/O AG、AR treatment this time</t>
        </r>
      </text>
    </comment>
    <comment ref="H663" authorId="0" shapeId="0" xr:uid="{8E101EF6-9428-5440-B35F-3F98EFF21511}">
      <text>
        <r>
          <rPr>
            <sz val="10"/>
            <color rgb="FF000000"/>
            <rFont val="Aptos Narrow"/>
            <scheme val="minor"/>
          </rPr>
          <t>======
ID#AAABjx7qTTY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663" authorId="0" shapeId="0" xr:uid="{064B398A-06E0-DE42-B3A1-D2A15958360D}">
      <text>
        <r>
          <rPr>
            <sz val="10"/>
            <color rgb="FF000000"/>
            <rFont val="Aptos Narrow"/>
            <scheme val="minor"/>
          </rPr>
          <t>======
ID#AAABjx7qN5o
    (2025-05-21 11:33:23)
Cathy/Santiago</t>
        </r>
      </text>
    </comment>
    <comment ref="M663" authorId="0" shapeId="0" xr:uid="{0EE7E8B8-7A31-A849-9DB6-CD2CB96B76D7}">
      <text>
        <r>
          <rPr>
            <sz val="10"/>
            <color rgb="FF000000"/>
            <rFont val="Aptos Narrow"/>
            <scheme val="minor"/>
          </rPr>
          <t>======
ID#AAABjx7qRJU
    (2025-05-21 11:33:25)
0724 chloe:貨到請通知Chloe
(準備送曦立貼合)</t>
        </r>
      </text>
    </comment>
    <comment ref="O663" authorId="0" shapeId="0" xr:uid="{42B35ACA-59E5-3346-836E-A369C54E7235}">
      <text>
        <r>
          <rPr>
            <sz val="10"/>
            <color rgb="FF000000"/>
            <rFont val="Aptos Narrow"/>
            <scheme val="minor"/>
          </rPr>
          <t>======
ID#AAABjx7qSW0
    (2025-05-21 11:33:26)
0801 chloe: 0731 開案</t>
        </r>
      </text>
    </comment>
    <comment ref="D664" authorId="0" shapeId="0" xr:uid="{9C9947AC-DAD0-B840-BB29-F1238F0F10A3}">
      <text>
        <r>
          <rPr>
            <sz val="10"/>
            <color rgb="FF000000"/>
            <rFont val="Aptos Narrow"/>
            <scheme val="minor"/>
          </rPr>
          <t>======
ID#AAABjx7qTYw
    (2025-05-21 11:33:26)
20190604 Robin accept W/O AG、AR treatment this time</t>
        </r>
      </text>
    </comment>
    <comment ref="H664" authorId="0" shapeId="0" xr:uid="{89253204-BF44-6044-BC97-CFC98393EC39}">
      <text>
        <r>
          <rPr>
            <sz val="10"/>
            <color rgb="FF000000"/>
            <rFont val="Aptos Narrow"/>
            <scheme val="minor"/>
          </rPr>
          <t>======
ID#AAABjx7qUwk
    (2025-05-21 11:33:26)
ALICE:11/8玉山銀行收款USD2137沖PI-20190719B-3 USD1737+沖PI-20190719B-2 USD400=USD2137元整</t>
        </r>
      </text>
    </comment>
    <comment ref="I664" authorId="0" shapeId="0" xr:uid="{3B45B139-1E94-6A47-9F19-4EB865D6DC4E}">
      <text>
        <r>
          <rPr>
            <sz val="10"/>
            <color rgb="FF000000"/>
            <rFont val="Aptos Narrow"/>
            <scheme val="minor"/>
          </rPr>
          <t>======
ID#AAABjx7qVnc
    (2025-05-21 11:33:27)
Cathy/Santiago</t>
        </r>
      </text>
    </comment>
    <comment ref="K664" authorId="0" shapeId="0" xr:uid="{C4C8F0E5-6A6E-484F-BF7F-B34FC092347C}">
      <text>
        <r>
          <rPr>
            <sz val="10"/>
            <color rgb="FF000000"/>
            <rFont val="Aptos Narrow"/>
            <scheme val="minor"/>
          </rPr>
          <t>======
ID#AAABjx7qQaA
    (2025-05-21 11:33:25)
cathy: 10/15已回覆客人交期</t>
        </r>
      </text>
    </comment>
    <comment ref="M664" authorId="0" shapeId="0" xr:uid="{ABFADE0B-C0FC-934D-B8A5-BB6FBB0EF278}">
      <text>
        <r>
          <rPr>
            <sz val="10"/>
            <color rgb="FF000000"/>
            <rFont val="Aptos Narrow"/>
            <scheme val="minor"/>
          </rPr>
          <t>======
ID#AAABjx7qPSM
    (2025-05-21 11:33:24)
1002 chloe: 9 PCS可出貨
1022YVONNE:到貨4PCS</t>
        </r>
      </text>
    </comment>
    <comment ref="O664" authorId="0" shapeId="0" xr:uid="{02ACF123-093E-2342-939F-6DFD8EBE5416}">
      <text>
        <r>
          <rPr>
            <sz val="10"/>
            <color rgb="FF000000"/>
            <rFont val="Aptos Narrow"/>
            <scheme val="minor"/>
          </rPr>
          <t>======
ID#AAABjx7qOHc
    (2025-05-21 11:33:24)
0917 chloe:已先告知曦立排單</t>
        </r>
      </text>
    </comment>
    <comment ref="D665" authorId="0" shapeId="0" xr:uid="{76E434B7-B6E9-3946-BDE9-B1FCF46B2779}">
      <text>
        <r>
          <rPr>
            <sz val="10"/>
            <color rgb="FF000000"/>
            <rFont val="Aptos Narrow"/>
            <scheme val="minor"/>
          </rPr>
          <t>======
ID#AAABjx7qOgo
    (2025-05-21 11:33:24)
20190604 Robin accept W/O AG、AR treatment this time</t>
        </r>
      </text>
    </comment>
    <comment ref="I665" authorId="0" shapeId="0" xr:uid="{1C0E646E-1D4A-0146-9A53-D9000AF5F414}">
      <text>
        <r>
          <rPr>
            <sz val="10"/>
            <color rgb="FF000000"/>
            <rFont val="Aptos Narrow"/>
            <scheme val="minor"/>
          </rPr>
          <t>======
ID#AAABjx7qVyo
    (2025-05-21 11:33:27)
Cathy/Santiago</t>
        </r>
      </text>
    </comment>
    <comment ref="K665" authorId="0" shapeId="0" xr:uid="{E6B0FD5F-DA9A-224E-9F87-717575CC9194}">
      <text>
        <r>
          <rPr>
            <sz val="10"/>
            <color rgb="FF000000"/>
            <rFont val="Aptos Narrow"/>
            <scheme val="minor"/>
          </rPr>
          <t>======
ID#AAABjx7qQxA
    (2025-05-21 11:33:25)
cathy: 10/15已回覆客人交期</t>
        </r>
      </text>
    </comment>
    <comment ref="M665" authorId="0" shapeId="0" xr:uid="{A16CFE49-43BB-E54F-B609-E41F69BEDC45}">
      <text>
        <r>
          <rPr>
            <sz val="10"/>
            <color rgb="FF000000"/>
            <rFont val="Aptos Narrow"/>
            <scheme val="minor"/>
          </rPr>
          <t>======
ID#AAABjx7qRQs
    (2025-05-21 11:33:25)
0724 chloe:貨到請通知Chloe
0904 Cathy : 客人告知預計10/4 &amp;10/18。但也非確定時間
0906 Cathy: 客人告知可能時間
0916 Vivian 檢驗外觀ok
0925YVONNE:大榮寄出15995542754</t>
        </r>
      </text>
    </comment>
    <comment ref="Q665" authorId="0" shapeId="0" xr:uid="{1414ED36-9B46-D84A-9B70-FF662E99C3FA}">
      <text>
        <r>
          <rPr>
            <sz val="10"/>
            <color rgb="FF000000"/>
            <rFont val="Aptos Narrow"/>
            <scheme val="minor"/>
          </rPr>
          <t>======
ID#AAABjx7qRUs
    (2025-05-21 11:33:25)
客供料，無成本</t>
        </r>
      </text>
    </comment>
    <comment ref="U665" authorId="0" shapeId="0" xr:uid="{B98AE6CC-269A-5E43-B34F-483F0F2ACA5A}">
      <text>
        <r>
          <rPr>
            <sz val="10"/>
            <color rgb="FF000000"/>
            <rFont val="Aptos Narrow"/>
            <scheme val="minor"/>
          </rPr>
          <t>======
ID#AAABjx7qWEs
    (2025-05-21 11:33:27)
客供料，無成本</t>
        </r>
      </text>
    </comment>
    <comment ref="D666" authorId="0" shapeId="0" xr:uid="{ACDB5A88-AF6D-9547-9FE6-10B1D3C683A1}">
      <text>
        <r>
          <rPr>
            <sz val="10"/>
            <color rgb="FF000000"/>
            <rFont val="Aptos Narrow"/>
            <scheme val="minor"/>
          </rPr>
          <t>======
ID#AAABjx7qVqg
    (2025-05-21 11:33:27)
20190604 Robin accept W/O AG、AR treatment this time</t>
        </r>
      </text>
    </comment>
    <comment ref="H666" authorId="0" shapeId="0" xr:uid="{C3049329-CAFE-0645-B90B-74CA35535502}">
      <text>
        <r>
          <rPr>
            <sz val="10"/>
            <color rgb="FF000000"/>
            <rFont val="Aptos Narrow"/>
            <scheme val="minor"/>
          </rPr>
          <t>======
ID#AAABjx7qOtE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666" authorId="0" shapeId="0" xr:uid="{3577814D-DC2B-7340-A52E-11671647283E}">
      <text>
        <r>
          <rPr>
            <sz val="10"/>
            <color rgb="FF000000"/>
            <rFont val="Aptos Narrow"/>
            <scheme val="minor"/>
          </rPr>
          <t>======
ID#AAABjx7qPFQ
    (2025-05-21 11:33:24)
Cathy/Santiago</t>
        </r>
      </text>
    </comment>
    <comment ref="K666" authorId="0" shapeId="0" xr:uid="{90E10B19-5B48-A74F-BDF7-4A88FF1A37E9}">
      <text>
        <r>
          <rPr>
            <sz val="10"/>
            <color rgb="FF000000"/>
            <rFont val="Aptos Narrow"/>
            <scheme val="minor"/>
          </rPr>
          <t>======
ID#AAABjx7qN6Q
    (2025-05-21 11:33:23)
cathy: 10/15已回覆客人交期</t>
        </r>
      </text>
    </comment>
    <comment ref="M666" authorId="0" shapeId="0" xr:uid="{06051E08-4F28-C94D-A818-19ABD3B8EFE3}">
      <text>
        <r>
          <rPr>
            <sz val="10"/>
            <color rgb="FF000000"/>
            <rFont val="Aptos Narrow"/>
            <scheme val="minor"/>
          </rPr>
          <t>======
ID#AAABjx7qRFQ
    (2025-05-21 11:33:25)
0724 chloe:貨到請通知Chloe
(準備送曦立貼合)
0927 chloe: 確定 10/9，PULL IN 中</t>
        </r>
      </text>
    </comment>
    <comment ref="O666" authorId="0" shapeId="0" xr:uid="{0AFE2DF3-88BF-D64C-A988-D168DB62AC16}">
      <text>
        <r>
          <rPr>
            <sz val="10"/>
            <color rgb="FF000000"/>
            <rFont val="Aptos Narrow"/>
            <scheme val="minor"/>
          </rPr>
          <t>======
ID#AAABjx7qWPQ
    (2025-05-21 11:33:27)
0801 chloe: 0731 開案</t>
        </r>
      </text>
    </comment>
    <comment ref="U666" authorId="0" shapeId="0" xr:uid="{6E8D1EDD-C9D0-1A4E-A890-09607AB43733}">
      <text>
        <r>
          <rPr>
            <sz val="10"/>
            <color rgb="FF000000"/>
            <rFont val="Aptos Narrow"/>
            <scheme val="minor"/>
          </rPr>
          <t>======
ID#AAABjx7qVIw
    (2025-05-21 11:33:27)
發票3 PCS(TL53407799)
發票8 PCS(TL53407800)</t>
        </r>
      </text>
    </comment>
    <comment ref="H667" authorId="0" shapeId="0" xr:uid="{FE5F9166-44B1-0045-8651-B22AF9FFDC36}">
      <text>
        <r>
          <rPr>
            <sz val="10"/>
            <color rgb="FF000000"/>
            <rFont val="Aptos Narrow"/>
            <scheme val="minor"/>
          </rPr>
          <t>======
ID#AAABjx7qObc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667" authorId="0" shapeId="0" xr:uid="{03FFDD62-4FD9-314B-AA6F-DF41AE7A2A74}">
      <text>
        <r>
          <rPr>
            <sz val="10"/>
            <color rgb="FF000000"/>
            <rFont val="Aptos Narrow"/>
            <scheme val="minor"/>
          </rPr>
          <t>======
ID#AAABjx7qWRA
    (2025-05-21 11:33:27)
Cathy/Santiago</t>
        </r>
      </text>
    </comment>
    <comment ref="K667" authorId="0" shapeId="0" xr:uid="{E020B08D-0971-6349-B9EE-D640941F6EDA}">
      <text>
        <r>
          <rPr>
            <sz val="10"/>
            <color rgb="FF000000"/>
            <rFont val="Aptos Narrow"/>
            <scheme val="minor"/>
          </rPr>
          <t>======
ID#AAABjx7qQyg
    (2025-05-21 11:33:25)
1004跟客人確認交期 
10/14客人希望星期四收到</t>
        </r>
      </text>
    </comment>
    <comment ref="M667" authorId="0" shapeId="0" xr:uid="{28E25B0A-6703-D847-9E9F-535652B932D7}">
      <text>
        <r>
          <rPr>
            <sz val="10"/>
            <color rgb="FF000000"/>
            <rFont val="Aptos Narrow"/>
            <scheme val="minor"/>
          </rPr>
          <t>======
ID#AAABjx7qNtY
    (2025-05-21 11:33:23)
0724 chloe:貨到請通知Chloe
(準備送曦立貼合)
0925YVONNE:大榮寄出15995542754</t>
        </r>
      </text>
    </comment>
    <comment ref="O667" authorId="0" shapeId="0" xr:uid="{85E976D8-9C88-9F46-BDE7-745AFF797152}">
      <text>
        <r>
          <rPr>
            <sz val="10"/>
            <color rgb="FF000000"/>
            <rFont val="Aptos Narrow"/>
            <scheme val="minor"/>
          </rPr>
          <t>======
ID#AAABjx7qQ9A
    (2025-05-21 11:33:25)
0801 chloe: 0731 開案</t>
        </r>
      </text>
    </comment>
    <comment ref="D668" authorId="0" shapeId="0" xr:uid="{B9B81526-A0CD-834E-B63D-527BB5AA98B3}">
      <text>
        <r>
          <rPr>
            <sz val="10"/>
            <color rgb="FF000000"/>
            <rFont val="Aptos Narrow"/>
            <scheme val="minor"/>
          </rPr>
          <t>======
ID#AAABjx7qP5U
    (2025-05-21 11:33:24)
20190604 Robin accept W/O AG、AR treatment this time</t>
        </r>
      </text>
    </comment>
    <comment ref="H668" authorId="0" shapeId="0" xr:uid="{95662E2C-C877-A146-AA6A-A3B22F809BD4}">
      <text>
        <r>
          <rPr>
            <sz val="10"/>
            <color rgb="FF000000"/>
            <rFont val="Aptos Narrow"/>
            <scheme val="minor"/>
          </rPr>
          <t>======
ID#AAABjx7qSYA
    (2025-05-21 11:33:26)
ALICE:11/8玉山銀行收款USD2137沖PI-20190719B-3 USD1737+沖PI-20190719B-2 USD400=USD2137元整</t>
        </r>
      </text>
    </comment>
    <comment ref="I668" authorId="0" shapeId="0" xr:uid="{94FA9A08-6405-CC43-AE2D-9F58D14F2393}">
      <text>
        <r>
          <rPr>
            <sz val="10"/>
            <color rgb="FF000000"/>
            <rFont val="Aptos Narrow"/>
            <scheme val="minor"/>
          </rPr>
          <t>======
ID#AAABjx7qRwc
    (2025-05-21 11:33:25)
Cathy/Santiago</t>
        </r>
      </text>
    </comment>
    <comment ref="K668" authorId="0" shapeId="0" xr:uid="{028750C5-D6FF-E34C-8BB7-EE1A24C03F55}">
      <text>
        <r>
          <rPr>
            <sz val="10"/>
            <color rgb="FF000000"/>
            <rFont val="Aptos Narrow"/>
            <scheme val="minor"/>
          </rPr>
          <t>======
ID#AAABjx7qSk8
    (2025-05-21 11:33:26)
1004跟客人確認交期 
10/14客人希望星期四收到</t>
        </r>
      </text>
    </comment>
    <comment ref="M668" authorId="0" shapeId="0" xr:uid="{F0577A4F-D865-8847-AFE1-11BD6125865A}">
      <text>
        <r>
          <rPr>
            <sz val="10"/>
            <color rgb="FF000000"/>
            <rFont val="Aptos Narrow"/>
            <scheme val="minor"/>
          </rPr>
          <t>======
ID#AAABjx7qN_8
    (2025-05-21 11:33:24)
0724 chloe: 曦立會送回10.4" LCD(貼合TOUCH)，送回請通知Chloe
0927  送曦立11 PCS， PULL IN 中</t>
        </r>
      </text>
    </comment>
    <comment ref="O668" authorId="0" shapeId="0" xr:uid="{A3A64B7F-21A3-C748-B04C-C4412C825FD3}">
      <text>
        <r>
          <rPr>
            <sz val="10"/>
            <color rgb="FF000000"/>
            <rFont val="Aptos Narrow"/>
            <scheme val="minor"/>
          </rPr>
          <t>======
ID#AAABjx7qSvg
    (2025-05-21 11:33:26)
0917 chloe:已先告知曦立排單</t>
        </r>
      </text>
    </comment>
    <comment ref="D669" authorId="0" shapeId="0" xr:uid="{032DD640-52A4-104A-88C1-F92F9F64D4F4}">
      <text>
        <r>
          <rPr>
            <sz val="10"/>
            <color rgb="FF000000"/>
            <rFont val="Aptos Narrow"/>
            <scheme val="minor"/>
          </rPr>
          <t>======
ID#AAABjx7qR48
    (2025-05-21 11:33:25)
20190604 Robin accept W/O AG、AR treatment this time</t>
        </r>
      </text>
    </comment>
    <comment ref="I669" authorId="0" shapeId="0" xr:uid="{8A0DA34B-604C-AB49-8EB4-4E87F26E1735}">
      <text>
        <r>
          <rPr>
            <sz val="10"/>
            <color rgb="FF000000"/>
            <rFont val="Aptos Narrow"/>
            <scheme val="minor"/>
          </rPr>
          <t>======
ID#AAABjx7qPgA
    (2025-05-21 11:33:24)
Cathy/Santiago</t>
        </r>
      </text>
    </comment>
    <comment ref="K669" authorId="0" shapeId="0" xr:uid="{82E1F7ED-10FB-AE44-AC6D-7CC560AB2BD3}">
      <text>
        <r>
          <rPr>
            <sz val="10"/>
            <color rgb="FF000000"/>
            <rFont val="Aptos Narrow"/>
            <scheme val="minor"/>
          </rPr>
          <t>======
ID#AAABjx7qQIA
    (2025-05-21 11:33:25)
1004跟客人確認交期 
10/14客人希望星期四收到</t>
        </r>
      </text>
    </comment>
    <comment ref="M669" authorId="0" shapeId="0" xr:uid="{AEBFCD7C-40D1-754F-B701-20A057A9C1B3}">
      <text>
        <r>
          <rPr>
            <sz val="10"/>
            <color rgb="FF000000"/>
            <rFont val="Aptos Narrow"/>
            <scheme val="minor"/>
          </rPr>
          <t>======
ID#AAABjx7qRdA
    (2025-05-21 11:33:25)
在此輸入
0724 chloe:貨到請通知Chloe
0904 Cathy : 客人告知預計10/4 &amp;10/18。但也非確定時間
0906 Cathy: 客人告知可能時間
0920 Cathy:客人告知已收到,預計9/20寄出
0925YVONNE:大榮寄出15995542754</t>
        </r>
      </text>
    </comment>
    <comment ref="Q669" authorId="0" shapeId="0" xr:uid="{CA359F11-1E27-9148-98E7-8BC30A32B3A3}">
      <text>
        <r>
          <rPr>
            <sz val="10"/>
            <color rgb="FF000000"/>
            <rFont val="Aptos Narrow"/>
            <scheme val="minor"/>
          </rPr>
          <t>======
ID#AAABjx7qN1A
    (2025-05-21 11:33:23)
客供料，無成本</t>
        </r>
      </text>
    </comment>
    <comment ref="U669" authorId="0" shapeId="0" xr:uid="{39A6765A-A8C4-FF4C-A25F-BD5E7967B585}">
      <text>
        <r>
          <rPr>
            <sz val="10"/>
            <color rgb="FF000000"/>
            <rFont val="Aptos Narrow"/>
            <scheme val="minor"/>
          </rPr>
          <t>======
ID#AAABjx7qODg
    (2025-05-21 11:33:24)
客供料，無成本</t>
        </r>
      </text>
    </comment>
    <comment ref="AC669" authorId="0" shapeId="0" xr:uid="{2ABC4519-509D-A547-9ACB-4A91FA3F1D77}">
      <text>
        <r>
          <rPr>
            <sz val="10"/>
            <color rgb="FF000000"/>
            <rFont val="Aptos Narrow"/>
            <scheme val="minor"/>
          </rPr>
          <t>======
ID#AAABjx7qTcI
    (2025-05-21 11:33:26)
0920 客人寄Tracking NO 
1Z7365590444025689 1Z7365590444025698</t>
        </r>
      </text>
    </comment>
    <comment ref="D670" authorId="0" shapeId="0" xr:uid="{A2151229-22F7-D54E-BEA4-4A335CCC005A}">
      <text>
        <r>
          <rPr>
            <sz val="10"/>
            <color rgb="FF000000"/>
            <rFont val="Aptos Narrow"/>
            <scheme val="minor"/>
          </rPr>
          <t>======
ID#AAABjx7qUxY
    (2025-05-21 11:33:26)
20190604 Robin accept W/O AG、AR treatment this time</t>
        </r>
      </text>
    </comment>
    <comment ref="H670" authorId="0" shapeId="0" xr:uid="{CA9328CF-A5CE-0F42-95B2-915FE616E409}">
      <text>
        <r>
          <rPr>
            <sz val="10"/>
            <color rgb="FF000000"/>
            <rFont val="Aptos Narrow"/>
            <scheme val="minor"/>
          </rPr>
          <t>======
ID#AAABjx7qTcg
    (2025-05-21 11:33:26)
ALICE:11/8玉山銀行收款USD2137沖PI-20190719B-3 USD1737+沖PI-20190719B-2 USD400=USD2137元整 (註:PI-20190719B-3尚餘117未收)
ALICE:11/14-Hectronic匯入USD254(內含手續費USD16.57)沖PI-20190910B USD137 + 沖PI-20190719B-3 USD117</t>
        </r>
      </text>
    </comment>
    <comment ref="I670" authorId="0" shapeId="0" xr:uid="{C8B0ED57-8AF9-4E47-964E-BE72D16C4C7B}">
      <text>
        <r>
          <rPr>
            <sz val="10"/>
            <color rgb="FF000000"/>
            <rFont val="Aptos Narrow"/>
            <scheme val="minor"/>
          </rPr>
          <t>======
ID#AAABjx7qPEY
    (2025-05-21 11:33:24)
Cathy/Santiago</t>
        </r>
      </text>
    </comment>
    <comment ref="K670" authorId="0" shapeId="0" xr:uid="{44004F2E-46FC-C74C-B412-18CD06DBDCE6}">
      <text>
        <r>
          <rPr>
            <sz val="10"/>
            <color rgb="FF000000"/>
            <rFont val="Aptos Narrow"/>
            <scheme val="minor"/>
          </rPr>
          <t>======
ID#AAABjx7qP9g
    (2025-05-21 11:33:25)
1004跟客人確認交期 
10/14客人希望星期四收到</t>
        </r>
      </text>
    </comment>
    <comment ref="M670" authorId="0" shapeId="0" xr:uid="{CB962FA2-5BE0-B845-B0E5-52CBA4E88340}">
      <text>
        <r>
          <rPr>
            <sz val="10"/>
            <color rgb="FF000000"/>
            <rFont val="Aptos Narrow"/>
            <scheme val="minor"/>
          </rPr>
          <t>======
ID#AAABjx7qVDg
    (2025-05-21 11:33:27)
0724 chloe:貨到請通知Chloe
(準備送曦立貼合)
0925YVONNE:大榮寄出15995542754</t>
        </r>
      </text>
    </comment>
    <comment ref="O670" authorId="0" shapeId="0" xr:uid="{EDAB0EAB-F348-334C-8162-EF27D86B4C7F}">
      <text>
        <r>
          <rPr>
            <sz val="10"/>
            <color rgb="FF000000"/>
            <rFont val="Aptos Narrow"/>
            <scheme val="minor"/>
          </rPr>
          <t>======
ID#AAABjx7qU3I
    (2025-05-21 11:33:26)
0801 chloe: 0731 開案</t>
        </r>
      </text>
    </comment>
    <comment ref="U670" authorId="0" shapeId="0" xr:uid="{17D94E9E-4CAD-C74D-9023-6C2BE8572340}">
      <text>
        <r>
          <rPr>
            <sz val="10"/>
            <color rgb="FF000000"/>
            <rFont val="Aptos Narrow"/>
            <scheme val="minor"/>
          </rPr>
          <t>======
ID#AAABjx7qQEY
    (2025-05-21 11:33:25)
發票3 PCS(TL53407799)</t>
        </r>
      </text>
    </comment>
    <comment ref="D671" authorId="0" shapeId="0" xr:uid="{A1D4739C-E842-DC45-BC19-C0F0D97F16DB}">
      <text>
        <r>
          <rPr>
            <sz val="10"/>
            <color rgb="FF000000"/>
            <rFont val="Aptos Narrow"/>
            <scheme val="minor"/>
          </rPr>
          <t>======
ID#AAABjx7qNdU
    (2025-05-21 11:33:23)
20190604 Robin accept W/O AG、AR treatment this time</t>
        </r>
      </text>
    </comment>
    <comment ref="I671" authorId="0" shapeId="0" xr:uid="{BFDC7A4E-84DF-6746-ADAB-E0E359C35318}">
      <text>
        <r>
          <rPr>
            <sz val="10"/>
            <color rgb="FF000000"/>
            <rFont val="Aptos Narrow"/>
            <scheme val="minor"/>
          </rPr>
          <t>======
ID#AAABjx7qNJY
    (2025-05-21 11:33:23)
Cathy/Santiago</t>
        </r>
      </text>
    </comment>
    <comment ref="M671" authorId="0" shapeId="0" xr:uid="{28AEB984-EB48-784B-868A-E43C071911BC}">
      <text>
        <r>
          <rPr>
            <sz val="10"/>
            <color rgb="FF000000"/>
            <rFont val="Aptos Narrow"/>
            <scheme val="minor"/>
          </rPr>
          <t>======
ID#AAABjx7qOLg
    (2025-05-21 11:33:24)
在此輸入
0724 chloe:貨到請通知Chloe
0904 Cathy : 客人告知預計10/4 &amp;10/18。但也非確定時間
0906 Cathy: 客人告知可能時間
0920 Cathy:客人告知已收到,預計9/20寄出
0925YVONNE:大榮寄出15995542754</t>
        </r>
      </text>
    </comment>
    <comment ref="Q671" authorId="0" shapeId="0" xr:uid="{CE1C467D-3948-FE46-953F-F9D8E0D716B1}">
      <text>
        <r>
          <rPr>
            <sz val="10"/>
            <color rgb="FF000000"/>
            <rFont val="Aptos Narrow"/>
            <scheme val="minor"/>
          </rPr>
          <t>======
ID#AAABjx7qPQI
    (2025-05-21 11:33:24)
客供料，無成本</t>
        </r>
      </text>
    </comment>
    <comment ref="U671" authorId="0" shapeId="0" xr:uid="{646EA354-AC89-9443-B946-4595B879E2B0}">
      <text>
        <r>
          <rPr>
            <sz val="10"/>
            <color rgb="FF000000"/>
            <rFont val="Aptos Narrow"/>
            <scheme val="minor"/>
          </rPr>
          <t>======
ID#AAABjx7qSwk
    (2025-05-21 11:33:26)
客供料，無成本</t>
        </r>
      </text>
    </comment>
    <comment ref="D672" authorId="0" shapeId="0" xr:uid="{15014370-A999-A04E-A7DD-B960F8D6FC2B}">
      <text>
        <r>
          <rPr>
            <sz val="10"/>
            <color rgb="FF000000"/>
            <rFont val="Aptos Narrow"/>
            <scheme val="minor"/>
          </rPr>
          <t>======
ID#AAABjx7qOgY
    (2025-05-21 11:33:24)
20190604 Robin accept W/O AG、AR treatment this time</t>
        </r>
      </text>
    </comment>
    <comment ref="H672" authorId="0" shapeId="0" xr:uid="{62041575-BC2A-6545-A463-500DADD5E9CF}">
      <text>
        <r>
          <rPr>
            <sz val="10"/>
            <color rgb="FF000000"/>
            <rFont val="Aptos Narrow"/>
            <scheme val="minor"/>
          </rPr>
          <t>======
ID#AAABjx7qQDs
    (2025-05-21 11:33:25)
ALICE:1/7第一銀行USD3228 沖PI-20191007006 1501+PI-20191007007 USD1727+PI-20191128002 USD20總沖USD3248</t>
        </r>
      </text>
    </comment>
    <comment ref="I672" authorId="0" shapeId="0" xr:uid="{3647E3E7-3EA6-D94D-9A24-670958B60FE2}">
      <text>
        <r>
          <rPr>
            <sz val="10"/>
            <color rgb="FF000000"/>
            <rFont val="Aptos Narrow"/>
            <scheme val="minor"/>
          </rPr>
          <t>======
ID#AAABjx7qU0w
    (2025-05-21 11:33:26)
Cathy/Santiago</t>
        </r>
      </text>
    </comment>
    <comment ref="M672" authorId="0" shapeId="0" xr:uid="{56678D29-3F2B-974E-ADD5-37E147772C17}">
      <text>
        <r>
          <rPr>
            <sz val="10"/>
            <color rgb="FF000000"/>
            <rFont val="Aptos Narrow"/>
            <scheme val="minor"/>
          </rPr>
          <t>======
ID#AAABjx7qNIA
    (2025-05-21 11:33:23)
0724 chloe:貨到請通知Chloe
(準備送曦立貼合)
0927 chloe: 確定 10/9，PULL IN 中</t>
        </r>
      </text>
    </comment>
    <comment ref="O672" authorId="0" shapeId="0" xr:uid="{81CF8E33-6B4D-D941-8CF5-078766B1FA21}">
      <text>
        <r>
          <rPr>
            <sz val="10"/>
            <color rgb="FF000000"/>
            <rFont val="Aptos Narrow"/>
            <scheme val="minor"/>
          </rPr>
          <t>======
ID#AAABjx7qOaE
    (2025-05-21 11:33:24)
0801 chloe: 0731 開案</t>
        </r>
      </text>
    </comment>
    <comment ref="D673" authorId="0" shapeId="0" xr:uid="{C63B75CF-1DFC-1649-827D-157518CC4320}">
      <text>
        <r>
          <rPr>
            <sz val="10"/>
            <color rgb="FF000000"/>
            <rFont val="Aptos Narrow"/>
            <scheme val="minor"/>
          </rPr>
          <t>======
ID#AAABjx7qM-4
    (2025-05-21 11:33:23)
20190604 Robin accept W/O AG、AR treatment this time</t>
        </r>
      </text>
    </comment>
    <comment ref="H673" authorId="0" shapeId="0" xr:uid="{9743AE7A-BE4D-5D46-90BC-2AA372054D42}">
      <text>
        <r>
          <rPr>
            <sz val="10"/>
            <color rgb="FF000000"/>
            <rFont val="Aptos Narrow"/>
            <scheme val="minor"/>
          </rPr>
          <t>======
ID#AAABjx7qR_0
    (2025-05-21 11:33:25)
ALICE:1/7第一銀行USD3228 沖PI-20191007006 1501+PI-20191007007 USD1727+PI-20191128002 USD20總沖USD3248</t>
        </r>
      </text>
    </comment>
    <comment ref="I673" authorId="0" shapeId="0" xr:uid="{A1C1D33B-0512-2642-A849-E49902A218D2}">
      <text>
        <r>
          <rPr>
            <sz val="10"/>
            <color rgb="FF000000"/>
            <rFont val="Aptos Narrow"/>
            <scheme val="minor"/>
          </rPr>
          <t>======
ID#AAABjx7qN_A
    (2025-05-21 11:33:24)
Cathy/Santiago</t>
        </r>
      </text>
    </comment>
    <comment ref="G674" authorId="0" shapeId="0" xr:uid="{1B3DE790-0E98-6348-96C2-13ED391FBFF4}">
      <text>
        <r>
          <rPr>
            <sz val="10"/>
            <color rgb="FF000000"/>
            <rFont val="Aptos Narrow"/>
            <scheme val="minor"/>
          </rPr>
          <t>======
ID#AAABjx7qQLg
    (2025-05-21 11:33:25)
180221 Tammy: project price for over 50pcs/lot</t>
        </r>
      </text>
    </comment>
    <comment ref="H674" authorId="0" shapeId="0" xr:uid="{4E674394-04BA-1E49-A32E-8CA85B90F30C}">
      <text>
        <r>
          <rPr>
            <sz val="10"/>
            <color rgb="FF000000"/>
            <rFont val="Aptos Narrow"/>
            <scheme val="minor"/>
          </rPr>
          <t>======
ID#AAABjx7qRgo
    (2025-05-21 11:33:25)
ALICE:9/23玉山銀行水單通知匯入USD14587沖PI-20190626A 334.5 沖PI-20190703B 8550.沖PI20190719C 5212.5.沖PI-20190722A 210.沖PI-20190801C 280 合計總沖USD14587元整</t>
        </r>
      </text>
    </comment>
    <comment ref="M674" authorId="0" shapeId="0" xr:uid="{10B6E7D1-BED6-3041-A49E-F7B4B3EC39E5}">
      <text>
        <r>
          <rPr>
            <sz val="10"/>
            <color rgb="FF000000"/>
            <rFont val="Aptos Narrow"/>
            <scheme val="minor"/>
          </rPr>
          <t>======
ID#AAABjx7qTjs
    (2025-05-21 11:33:26)
0801Tammy通知更改</t>
        </r>
      </text>
    </comment>
    <comment ref="O674" authorId="0" shapeId="0" xr:uid="{D12FF7BE-850B-6248-B1D5-F8540E900A64}">
      <text>
        <r>
          <rPr>
            <sz val="10"/>
            <color rgb="FF000000"/>
            <rFont val="Aptos Narrow"/>
            <scheme val="minor"/>
          </rPr>
          <t>======
ID#AAABjx7qUyQ
    (2025-05-21 11:33:26)
0723YVONNE下單</t>
        </r>
      </text>
    </comment>
    <comment ref="H675" authorId="0" shapeId="0" xr:uid="{DF21053E-91E2-D140-9090-3728B9D67CE7}">
      <text>
        <r>
          <rPr>
            <sz val="10"/>
            <color rgb="FF000000"/>
            <rFont val="Aptos Narrow"/>
            <scheme val="minor"/>
          </rPr>
          <t>======
ID#AAABjx7qTQ4
    (2025-05-21 11:33:26)
ALICE:9/23玉山銀行水單通知匯入USD14587沖PI-20190626A 334.5 沖PI-20190703B 8550.沖PI20190719C 5212.5.沖PI-20190722A 210.沖PI-20190801C 280 合計總沖USD14587元整</t>
        </r>
      </text>
    </comment>
    <comment ref="P675" authorId="0" shapeId="0" xr:uid="{55D2618C-2774-8149-99D0-5E7764A33DD2}">
      <text>
        <r>
          <rPr>
            <sz val="10"/>
            <color rgb="FF000000"/>
            <rFont val="Aptos Narrow"/>
            <scheme val="minor"/>
          </rPr>
          <t>======
ID#AAABjx7qSVc
    (2025-05-21 11:33:26)
20190522 戎克庫存平均成本</t>
        </r>
      </text>
    </comment>
    <comment ref="Q675" authorId="0" shapeId="0" xr:uid="{6C37F5C7-DFD1-2248-A3A8-5987CA2C47FA}">
      <text>
        <r>
          <rPr>
            <sz val="10"/>
            <color rgb="FF000000"/>
            <rFont val="Aptos Narrow"/>
            <scheme val="minor"/>
          </rPr>
          <t>======
ID#AAABjx7qQGM
    (2025-05-21 11:33:25)
20190522 戎克庫存平均成本</t>
        </r>
      </text>
    </comment>
    <comment ref="G676" authorId="0" shapeId="0" xr:uid="{26ACC70E-1F42-104E-984D-8A2BED51984C}">
      <text>
        <r>
          <rPr>
            <sz val="10"/>
            <color rgb="FF000000"/>
            <rFont val="Aptos Narrow"/>
            <scheme val="minor"/>
          </rPr>
          <t>======
ID#AAABjx7qQD4
    (2025-05-21 11:33:25)
10/18 san告知本次不會收molding fee,但會加收labor fee(usd 20)+AG film (usd 26)</t>
        </r>
      </text>
    </comment>
    <comment ref="H676" authorId="0" shapeId="0" xr:uid="{A4E1E5DC-C140-1F4C-A617-C047E68161CD}">
      <text>
        <r>
          <rPr>
            <sz val="10"/>
            <color rgb="FF000000"/>
            <rFont val="Aptos Narrow"/>
            <scheme val="minor"/>
          </rPr>
          <t>======
ID#AAABjx7qR_Q
    (2025-05-21 11:33:25)
ALICE:1/7第一銀行USD3228 沖PI-20191007006 1501+PI-20191007007 USD1727+PI-20191128002 USD20總沖USD3248</t>
        </r>
      </text>
    </comment>
    <comment ref="I676" authorId="0" shapeId="0" xr:uid="{39EAA156-35DF-7C48-A43C-00E7843FA559}">
      <text>
        <r>
          <rPr>
            <sz val="10"/>
            <color rgb="FF000000"/>
            <rFont val="Aptos Narrow"/>
            <scheme val="minor"/>
          </rPr>
          <t>======
ID#AAABjx7qSi8
    (2025-05-21 11:33:26)
Cathy/Santiago</t>
        </r>
      </text>
    </comment>
    <comment ref="N676" authorId="0" shapeId="0" xr:uid="{F4D0A51C-44F4-EF4E-B980-8E9891FC5C95}">
      <text>
        <r>
          <rPr>
            <sz val="10"/>
            <color rgb="FF000000"/>
            <rFont val="Aptos Narrow"/>
            <scheme val="minor"/>
          </rPr>
          <t>======
ID#AAABj82dpKQ
    (2025-05-21 11:33:23)
10/21 eric下單25pcs　</t>
        </r>
      </text>
    </comment>
    <comment ref="O676" authorId="0" shapeId="0" xr:uid="{9EF5FA3D-E039-514E-B6BC-74BF2E3542D5}">
      <text>
        <r>
          <rPr>
            <sz val="10"/>
            <color rgb="FF000000"/>
            <rFont val="Aptos Narrow"/>
            <scheme val="minor"/>
          </rPr>
          <t>======
ID#AAABjx7qSyI
    (2025-05-21 11:33:26)
Chloe 1111 : 20(訂貨數量)
-4(實際貼膜)=16
※此單 (4 PCS*350)*1.05=1470</t>
        </r>
      </text>
    </comment>
    <comment ref="H677" authorId="0" shapeId="0" xr:uid="{6408339F-3100-EF4B-86E8-A65AACC295F2}">
      <text>
        <r>
          <rPr>
            <sz val="10"/>
            <color rgb="FF000000"/>
            <rFont val="Aptos Narrow"/>
            <scheme val="minor"/>
          </rPr>
          <t>======
ID#AAABjx7qO3o
    (2025-05-21 11:33:24)
ALICE:1/7第一銀行USD3228 沖PI-20191007006 1501+PI-20191007007 USD1727+PI-20191128002 USD20總沖USD3248</t>
        </r>
      </text>
    </comment>
    <comment ref="I677" authorId="0" shapeId="0" xr:uid="{2EC2AC16-3308-3C48-8C88-B51DC1661314}">
      <text>
        <r>
          <rPr>
            <sz val="10"/>
            <color rgb="FF000000"/>
            <rFont val="Aptos Narrow"/>
            <scheme val="minor"/>
          </rPr>
          <t>======
ID#AAABjx7qWSw
    (2025-05-21 11:33:27)
Cathy/Santiago</t>
        </r>
      </text>
    </comment>
    <comment ref="H678" authorId="0" shapeId="0" xr:uid="{F1927FAD-8185-B248-BAC6-9489A643262B}">
      <text>
        <r>
          <rPr>
            <sz val="10"/>
            <color rgb="FF000000"/>
            <rFont val="Aptos Narrow"/>
            <scheme val="minor"/>
          </rPr>
          <t>======
ID#AAABjx7qVmE
    (2025-05-21 11:33:27)
ALICE:9/23玉山銀行水單通知匯入USD14587沖PI-20190626A 334.5 沖PI-20190703B 8550.沖PI20190719C 5212.5.沖PI-20190722A 210.沖PI-20190801C 280 合計總沖USD14587元整</t>
        </r>
      </text>
    </comment>
    <comment ref="T678" authorId="0" shapeId="0" xr:uid="{A67F5FF9-C981-FD47-81B3-375217CA6A47}">
      <text>
        <r>
          <rPr>
            <sz val="10"/>
            <color rgb="FF000000"/>
            <rFont val="Aptos Narrow"/>
            <scheme val="minor"/>
          </rPr>
          <t>======
ID#AAABjx7qR5U
    (2025-05-21 11:33:25)
04-JX0-BFPF156-001A 金額 2400+烤漆無報價</t>
        </r>
      </text>
    </comment>
    <comment ref="H679" authorId="0" shapeId="0" xr:uid="{31A6A749-4BAD-C546-853E-FD5935CE6FCA}">
      <text>
        <r>
          <rPr>
            <sz val="10"/>
            <color rgb="FF000000"/>
            <rFont val="Aptos Narrow"/>
            <scheme val="minor"/>
          </rPr>
          <t>======
ID#AAABjx7qQl0
    (2025-05-21 11:33:25)
ALICE:9/23玉山銀行水單通知匯入USD14587沖PI-20190626A 334.5 沖PI-20190703B 8550.沖PI20190719C 5212.5.沖PI-20190722A 210.沖PI-20190801C 280 合計總沖USD14587元整</t>
        </r>
      </text>
    </comment>
    <comment ref="H680" authorId="0" shapeId="0" xr:uid="{299FA993-2390-4644-86E9-F47765158914}">
      <text>
        <r>
          <rPr>
            <sz val="10"/>
            <color rgb="FF000000"/>
            <rFont val="Aptos Narrow"/>
            <scheme val="minor"/>
          </rPr>
          <t>======
ID#AAABjx7qN0E
    (2025-05-21 11:33:23)
ALICE:9/23玉山銀行水單通知匯入USD14587沖PI-20190626A 334.5 沖PI-20190703B 8550.沖PI20190719C 5212.5.沖PI-20190722A 210.沖PI-20190801C 280 合計總沖USD14587元整</t>
        </r>
      </text>
    </comment>
    <comment ref="D681" authorId="0" shapeId="0" xr:uid="{BAB67DA0-E2DC-DA4F-B3CF-81EF2F1220FA}">
      <text>
        <r>
          <rPr>
            <sz val="10"/>
            <color rgb="FF000000"/>
            <rFont val="Aptos Narrow"/>
            <scheme val="minor"/>
          </rPr>
          <t>======
ID#AAABj82dpIQ
    (2025-05-21 11:33:23)
0722 請chloe下單</t>
        </r>
      </text>
    </comment>
    <comment ref="H681" authorId="0" shapeId="0" xr:uid="{62DBDF93-2F87-AC44-B3A1-B7FFAC96D55F}">
      <text>
        <r>
          <rPr>
            <sz val="10"/>
            <color rgb="FF000000"/>
            <rFont val="Aptos Narrow"/>
            <scheme val="minor"/>
          </rPr>
          <t>======
ID#AAABjx7qSJc
    (2025-05-21 11:33:26)
ALICE:9/10玉山匯入NT108650沖PI20190719A.PI-20190722B.PI-20190725A.PI20190813B</t>
        </r>
      </text>
    </comment>
    <comment ref="D682" authorId="0" shapeId="0" xr:uid="{2FA21EA3-17C7-644E-857B-09045C09F80D}">
      <text>
        <r>
          <rPr>
            <sz val="10"/>
            <color rgb="FF000000"/>
            <rFont val="Aptos Narrow"/>
            <scheme val="minor"/>
          </rPr>
          <t>======
ID#AAABjx7qRME
    (2025-05-21 11:33:25)
0722 請chloe下單</t>
        </r>
      </text>
    </comment>
    <comment ref="H682" authorId="0" shapeId="0" xr:uid="{D5151C37-79D3-6548-B09A-917A755830B0}">
      <text>
        <r>
          <rPr>
            <sz val="10"/>
            <color rgb="FF000000"/>
            <rFont val="Aptos Narrow"/>
            <scheme val="minor"/>
          </rPr>
          <t>======
ID#AAABjx7qTjI
    (2025-05-21 11:33:26)
ALICE:8/27-玉山匯入USD1544元整，沖PI-20190722C USD1544</t>
        </r>
      </text>
    </comment>
    <comment ref="K682" authorId="0" shapeId="0" xr:uid="{9A934EA7-B634-6646-A0D3-1B8B97428FAC}">
      <text>
        <r>
          <rPr>
            <sz val="10"/>
            <color rgb="FF000000"/>
            <rFont val="Aptos Narrow"/>
            <scheme val="minor"/>
          </rPr>
          <t>======
ID#AAABjx7qP_o
    (2025-05-21 11:33:25)
0722 客人告知急，但也同時告知款項要先來</t>
        </r>
      </text>
    </comment>
    <comment ref="M682" authorId="0" shapeId="0" xr:uid="{6A3BF98D-13D3-8141-A055-C6B895EFD1DB}">
      <text>
        <r>
          <rPr>
            <sz val="10"/>
            <color rgb="FF000000"/>
            <rFont val="Aptos Narrow"/>
            <scheme val="minor"/>
          </rPr>
          <t>======
ID#AAABjx7qOpQ
    (2025-05-21 11:33:24)
0722 客人告知急，但也同時告知款項要先來</t>
        </r>
      </text>
    </comment>
    <comment ref="D683" authorId="0" shapeId="0" xr:uid="{1F39ED56-C1F1-154A-A6AC-B65545EEFFC6}">
      <text>
        <r>
          <rPr>
            <sz val="10"/>
            <color rgb="FF000000"/>
            <rFont val="Aptos Narrow"/>
            <scheme val="minor"/>
          </rPr>
          <t>======
ID#AAABjx7qVvE
    (2025-05-21 11:33:27)
0723 請chloe下單</t>
        </r>
      </text>
    </comment>
    <comment ref="H683" authorId="0" shapeId="0" xr:uid="{977DE87A-5BBD-A240-A724-8A93D89F398F}">
      <text>
        <r>
          <rPr>
            <sz val="10"/>
            <color rgb="FF000000"/>
            <rFont val="Aptos Narrow"/>
            <scheme val="minor"/>
          </rPr>
          <t>======
ID#AAABjx7qSxU
    (2025-05-21 11:33:26)
ALICE:8/27-玉山匯入USD1544元整，沖PI-20190722C USD1544</t>
        </r>
      </text>
    </comment>
    <comment ref="K683" authorId="0" shapeId="0" xr:uid="{0BCC74B9-FA47-3445-82AB-71C2EBB2C69E}">
      <text>
        <r>
          <rPr>
            <sz val="10"/>
            <color rgb="FF000000"/>
            <rFont val="Aptos Narrow"/>
            <scheme val="minor"/>
          </rPr>
          <t>======
ID#AAABjx7qTqc
    (2025-05-21 11:33:26)
0722 客人告知急，但也同時告知款項要先來</t>
        </r>
      </text>
    </comment>
    <comment ref="M683" authorId="0" shapeId="0" xr:uid="{A164DE16-C6D1-AD40-B3EE-D1745AF4A550}">
      <text>
        <r>
          <rPr>
            <sz val="10"/>
            <color rgb="FF000000"/>
            <rFont val="Aptos Narrow"/>
            <scheme val="minor"/>
          </rPr>
          <t>======
ID#AAABjx7qNRI
    (2025-05-21 11:33:23)
0722 客人告知急，但也同時告知款項要先來</t>
        </r>
      </text>
    </comment>
    <comment ref="D684" authorId="0" shapeId="0" xr:uid="{03CFD7F3-FB03-464D-B1B8-3BA4230C35EB}">
      <text>
        <r>
          <rPr>
            <sz val="10"/>
            <color rgb="FF000000"/>
            <rFont val="Aptos Narrow"/>
            <scheme val="minor"/>
          </rPr>
          <t>======
ID#AAABjx7qPLM
    (2025-05-21 11:33:24)
0723 請chloe下單</t>
        </r>
      </text>
    </comment>
    <comment ref="H684" authorId="0" shapeId="0" xr:uid="{14422BC4-094E-404D-9EEC-ACCFBBBFF4A8}">
      <text>
        <r>
          <rPr>
            <sz val="10"/>
            <color rgb="FF000000"/>
            <rFont val="Aptos Narrow"/>
            <scheme val="minor"/>
          </rPr>
          <t>======
ID#AAABjx7qO_c
    (2025-05-21 11:33:24)
ALICE:8/27-玉山匯入USD1544元整，沖PI-20190722C USD1544</t>
        </r>
      </text>
    </comment>
    <comment ref="K684" authorId="0" shapeId="0" xr:uid="{8D5287A3-75B5-824D-A9C4-D3AE325A2091}">
      <text>
        <r>
          <rPr>
            <sz val="10"/>
            <color rgb="FF000000"/>
            <rFont val="Aptos Narrow"/>
            <scheme val="minor"/>
          </rPr>
          <t>======
ID#AAABjx7qNyg
    (2025-05-21 11:33:23)
0722 客人告知急，但也同時告知款項要先來</t>
        </r>
      </text>
    </comment>
    <comment ref="M684" authorId="0" shapeId="0" xr:uid="{11E0B13B-59F9-5741-A671-1A752C973C3A}">
      <text>
        <r>
          <rPr>
            <sz val="10"/>
            <color rgb="FF000000"/>
            <rFont val="Aptos Narrow"/>
            <scheme val="minor"/>
          </rPr>
          <t>======
ID#AAABjx7qM0o
    (2025-05-21 11:33:23)
0722 客人告知急，但也同時告知款項要先來</t>
        </r>
      </text>
    </comment>
    <comment ref="H685" authorId="0" shapeId="0" xr:uid="{6EDD8181-F544-DC46-B6A7-81E31E717B78}">
      <text>
        <r>
          <rPr>
            <sz val="10"/>
            <color rgb="FF000000"/>
            <rFont val="Aptos Narrow"/>
            <scheme val="minor"/>
          </rPr>
          <t>======
ID#AAABjx7qTiI
    (2025-05-21 11:33:26)
ALICE:8/30玉山銀行水單匯入USD603元整，沖PI-20190715A USD135+沖PI-20190722D USD468=合計總沖USD603元整</t>
        </r>
      </text>
    </comment>
    <comment ref="O685" authorId="0" shapeId="0" xr:uid="{D9349182-13D1-4E47-9598-81D4456C3795}">
      <text>
        <r>
          <rPr>
            <sz val="10"/>
            <color rgb="FF000000"/>
            <rFont val="Aptos Narrow"/>
            <scheme val="minor"/>
          </rPr>
          <t>======
ID#AAABjx7qO-g
    (2025-05-21 11:33:24)
0723yvonne下單</t>
        </r>
      </text>
    </comment>
    <comment ref="D686" authorId="0" shapeId="0" xr:uid="{67BA3AC4-678D-9A43-B20A-616668BFAA1B}">
      <text>
        <r>
          <rPr>
            <sz val="10"/>
            <color rgb="FF000000"/>
            <rFont val="Aptos Narrow"/>
            <scheme val="minor"/>
          </rPr>
          <t>======
ID#AAABjx7qRP4
    (2025-05-21 11:33:25)
7/23 Amy: COC requested together with shipment/ PO Number indicated on each shipping documents / Invoice &amp; Packing list together with shipment</t>
        </r>
      </text>
    </comment>
    <comment ref="E686" authorId="0" shapeId="0" xr:uid="{FCFAD87B-E08A-3E41-B5FD-328866E81C2B}">
      <text>
        <r>
          <rPr>
            <sz val="10"/>
            <color rgb="FF000000"/>
            <rFont val="Aptos Narrow"/>
            <scheme val="minor"/>
          </rPr>
          <t>======
ID#AAABjx7qS1U
    (2025-05-21 11:33:26)
0724  chloe: w/o adapter</t>
        </r>
      </text>
    </comment>
    <comment ref="H686" authorId="0" shapeId="0" xr:uid="{EBA56D52-5B2D-0948-8A6D-EC33FB854911}">
      <text>
        <r>
          <rPr>
            <sz val="10"/>
            <color rgb="FF000000"/>
            <rFont val="Aptos Narrow"/>
            <scheme val="minor"/>
          </rPr>
          <t>======
ID#AAABjx7qSfs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7" authorId="0" shapeId="0" xr:uid="{CFB20605-100A-6742-A55A-2F8792DD1807}">
      <text>
        <r>
          <rPr>
            <sz val="10"/>
            <color rgb="FF000000"/>
            <rFont val="Aptos Narrow"/>
            <scheme val="minor"/>
          </rPr>
          <t>======
ID#AAABjx7qSmI
    (2025-05-21 11:33:26)
7/23 Amy: COC requested together with shipment/ PO Number indicated on each shipping documents / Invoice &amp; Packing list together with shipment</t>
        </r>
      </text>
    </comment>
    <comment ref="E687" authorId="0" shapeId="0" xr:uid="{F9BB9DF3-072F-3640-8078-B3CF5C386993}">
      <text>
        <r>
          <rPr>
            <sz val="10"/>
            <color rgb="FF000000"/>
            <rFont val="Aptos Narrow"/>
            <scheme val="minor"/>
          </rPr>
          <t>======
ID#AAABjx7qTq8
    (2025-05-21 11:33:26)
0724 chloe:EU ADAPTER</t>
        </r>
      </text>
    </comment>
    <comment ref="H687" authorId="0" shapeId="0" xr:uid="{A2BAC828-AD31-DF44-AE13-752D9DA7D077}">
      <text>
        <r>
          <rPr>
            <sz val="10"/>
            <color rgb="FF000000"/>
            <rFont val="Aptos Narrow"/>
            <scheme val="minor"/>
          </rPr>
          <t>======
ID#AAABjx7qQzs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8" authorId="0" shapeId="0" xr:uid="{10492D95-EC6C-124A-BADA-A34607284ED9}">
      <text>
        <r>
          <rPr>
            <sz val="10"/>
            <color rgb="FF000000"/>
            <rFont val="Aptos Narrow"/>
            <scheme val="minor"/>
          </rPr>
          <t>======
ID#AAABjx7qQJQ
    (2025-05-21 11:33:25)
7/23 Amy: COC requested together with shipment/ PO Number indicated on each shipping documents / Invoice &amp; Packing list together with shipment</t>
        </r>
      </text>
    </comment>
    <comment ref="H688" authorId="0" shapeId="0" xr:uid="{3CC18F2A-0ACB-2542-A012-356EB79E4D46}">
      <text>
        <r>
          <rPr>
            <sz val="10"/>
            <color rgb="FF000000"/>
            <rFont val="Aptos Narrow"/>
            <scheme val="minor"/>
          </rPr>
          <t>======
ID#AAABjx7qTEo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689" authorId="0" shapeId="0" xr:uid="{A0DA2D0A-6ED3-9A4D-9A9C-0FB5C1FB5355}">
      <text>
        <r>
          <rPr>
            <sz val="10"/>
            <color rgb="FF000000"/>
            <rFont val="Aptos Narrow"/>
            <scheme val="minor"/>
          </rPr>
          <t>======
ID#AAABjx7qVQA
    (2025-05-21 11:33:27)
7/23 Amy: COC requested together with shipment/ PO Number indicated on each shipping documents / Invoice &amp; Packing list together with shipment</t>
        </r>
      </text>
    </comment>
    <comment ref="H689" authorId="0" shapeId="0" xr:uid="{2CFFE5D3-858D-9B44-9237-D269F07BC4CD}">
      <text>
        <r>
          <rPr>
            <sz val="10"/>
            <color rgb="FF000000"/>
            <rFont val="Aptos Narrow"/>
            <scheme val="minor"/>
          </rPr>
          <t>======
ID#AAABjx7qS4I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T689" authorId="0" shapeId="0" xr:uid="{DAEC68FE-C52D-9B44-982B-1A750AE13C9C}">
      <text>
        <r>
          <rPr>
            <sz val="10"/>
            <color rgb="FF000000"/>
            <rFont val="Aptos Narrow"/>
            <scheme val="minor"/>
          </rPr>
          <t>======
ID#AAABjx7qQko
    (2025-05-21 11:33:25)
戎克庫存成本</t>
        </r>
      </text>
    </comment>
    <comment ref="U689" authorId="0" shapeId="0" xr:uid="{C43956B7-AB8A-7247-9D6F-08F4926A8434}">
      <text>
        <r>
          <rPr>
            <sz val="10"/>
            <color rgb="FF000000"/>
            <rFont val="Aptos Narrow"/>
            <scheme val="minor"/>
          </rPr>
          <t>======
ID#AAABjx7qNr4
    (2025-05-21 11:33:23)
戎克庫存成本</t>
        </r>
      </text>
    </comment>
    <comment ref="H690" authorId="0" shapeId="0" xr:uid="{70DB6AF9-DC04-7A40-8617-C8D329519B18}">
      <text>
        <r>
          <rPr>
            <sz val="10"/>
            <color rgb="FF000000"/>
            <rFont val="Aptos Narrow"/>
            <scheme val="minor"/>
          </rPr>
          <t>======
ID#AAABjx7qVQg
    (2025-05-21 11:33:27)
ALICE:7/29玉山銀行水單匯入USD17325</t>
        </r>
      </text>
    </comment>
    <comment ref="D691" authorId="0" shapeId="0" xr:uid="{103C4FF7-2AEF-144E-AC86-B27FF742D793}">
      <text>
        <r>
          <rPr>
            <sz val="10"/>
            <color rgb="FF000000"/>
            <rFont val="Aptos Narrow"/>
            <scheme val="minor"/>
          </rPr>
          <t>======
ID#AAABjx7qRjQ
    (2025-05-21 11:33:25)
0725 請chole協助下單</t>
        </r>
      </text>
    </comment>
    <comment ref="H691" authorId="0" shapeId="0" xr:uid="{CE70C91F-2749-0542-8EF8-32887B7334AF}">
      <text>
        <r>
          <rPr>
            <sz val="10"/>
            <color rgb="FF000000"/>
            <rFont val="Aptos Narrow"/>
            <scheme val="minor"/>
          </rPr>
          <t>======
ID#AAABjx7qPMg
    (2025-05-21 11:33:24)
ALICE:9/10玉山匯入NT108650沖PI20190719A.PI-20190722B.PI-20190725A.PI20190813B</t>
        </r>
      </text>
    </comment>
    <comment ref="D692" authorId="0" shapeId="0" xr:uid="{8B151F72-F8C2-5D4A-AA58-C28ACE20CED9}">
      <text>
        <r>
          <rPr>
            <sz val="10"/>
            <color rgb="FF000000"/>
            <rFont val="Aptos Narrow"/>
            <scheme val="minor"/>
          </rPr>
          <t>======
ID#AAABjx7qSKU
    (2025-05-21 11:33:26)
1. 用溢收款項扣除
2. 7/26 信件通知超恩先Booking , 待請Yvonne 下單</t>
        </r>
      </text>
    </comment>
    <comment ref="H692" authorId="0" shapeId="0" xr:uid="{E68FB90F-9B87-C540-95F1-7B8205D60B32}">
      <text>
        <r>
          <rPr>
            <sz val="10"/>
            <color rgb="FF000000"/>
            <rFont val="Aptos Narrow"/>
            <scheme val="minor"/>
          </rPr>
          <t>======
ID#AAABjx7qSGo
    (2025-05-21 11:33:26)
ALICE:7/15-客戶多付NT10540元沖PI-20190726A金額NT2995(故結餘預收貨款NT7545元整)</t>
        </r>
      </text>
    </comment>
    <comment ref="H693" authorId="0" shapeId="0" xr:uid="{AD6AB0C7-67D0-5E4B-A12E-0B6EEFF8B561}">
      <text>
        <r>
          <rPr>
            <sz val="10"/>
            <color rgb="FF000000"/>
            <rFont val="Aptos Narrow"/>
            <scheme val="minor"/>
          </rPr>
          <t>======
ID#AAABjx7qPus
    (2025-05-21 11:33:24)
ALICE:9/26玉山水單匯入USD16657沖PI-20190704A USD655.沖PI-20190704A-F USD96.沖PI20190717E USD11479.沖PI-20190726B USD4245.沖PI-20190726B-F 182總沖16657</t>
        </r>
      </text>
    </comment>
    <comment ref="M693" authorId="0" shapeId="0" xr:uid="{D353F769-66EB-9F42-847B-BBC5CA9D861C}">
      <text>
        <r>
          <rPr>
            <sz val="10"/>
            <color rgb="FF000000"/>
            <rFont val="Aptos Narrow"/>
            <scheme val="minor"/>
          </rPr>
          <t>======
ID#AAABjx7qNcw
    (2025-05-21 11:33:23)
YVONNE0808:交給VIVIAN如庫等安裝</t>
        </r>
      </text>
    </comment>
    <comment ref="H694" authorId="0" shapeId="0" xr:uid="{F0B3ED4C-89B2-6D48-B990-4AD6284C5580}">
      <text>
        <r>
          <rPr>
            <sz val="10"/>
            <color rgb="FF000000"/>
            <rFont val="Aptos Narrow"/>
            <scheme val="minor"/>
          </rPr>
          <t>======
ID#AAABjx7qOL8
    (2025-05-21 11:33:24)
ALICE:9/26玉山水單匯入USD16657沖PI-20190704A USD655.沖PI-20190704A-F USD96.沖PI20190717E USD11479.沖PI-20190726B USD4245.沖PI-20190726B-F 182總沖16657</t>
        </r>
      </text>
    </comment>
    <comment ref="M694" authorId="0" shapeId="0" xr:uid="{8C3E8E67-1B60-7A43-8E65-85E9E2210E7A}">
      <text>
        <r>
          <rPr>
            <sz val="10"/>
            <color rgb="FF000000"/>
            <rFont val="Aptos Narrow"/>
            <scheme val="minor"/>
          </rPr>
          <t>======
ID#AAABjx7qVVc
    (2025-05-21 11:33:27)
0801:致電BRUCE回覆8/5才能確認交期。
0805:BRUCE回覆8/12出貨。</t>
        </r>
      </text>
    </comment>
    <comment ref="H695" authorId="0" shapeId="0" xr:uid="{952D52C7-2F22-7943-94A9-B3175A3EBB01}">
      <text>
        <r>
          <rPr>
            <sz val="10"/>
            <color rgb="FF000000"/>
            <rFont val="Aptos Narrow"/>
            <scheme val="minor"/>
          </rPr>
          <t>======
ID#AAABjx7qNIQ
    (2025-05-21 11:33:23)
ALICE:9/26玉山水單匯入USD16657沖PI-20190704A USD655.沖PI-20190704A-F USD96.沖PI20190717E USD11479.沖PI-20190726B USD4245.沖PI-20190726B-F 182總沖16657</t>
        </r>
      </text>
    </comment>
    <comment ref="M695" authorId="0" shapeId="0" xr:uid="{29C2452A-82F3-0C46-94E9-5C9E3A6D98B2}">
      <text>
        <r>
          <rPr>
            <sz val="10"/>
            <color rgb="FF000000"/>
            <rFont val="Aptos Narrow"/>
            <scheme val="minor"/>
          </rPr>
          <t>======
ID#AAABjx7qV9c
    (2025-05-21 11:33:27)
YVONNE;交給VIVIAN入庫等安裝</t>
        </r>
      </text>
    </comment>
    <comment ref="D696" authorId="0" shapeId="0" xr:uid="{83D8CCD5-1942-404E-A1C2-0BCFB0FADC52}">
      <text>
        <r>
          <rPr>
            <sz val="10"/>
            <color rgb="FF000000"/>
            <rFont val="Aptos Narrow"/>
            <scheme val="minor"/>
          </rPr>
          <t>======
ID#AAABjx7qV9M
    (2025-05-21 11:33:27)
0730 CATHY 通知客人待款項來才會幫下單</t>
        </r>
      </text>
    </comment>
    <comment ref="H696" authorId="0" shapeId="0" xr:uid="{54E01C6A-E63C-BD4F-BFB6-95300BB415DD}">
      <text>
        <r>
          <rPr>
            <sz val="10"/>
            <color rgb="FF000000"/>
            <rFont val="Aptos Narrow"/>
            <scheme val="minor"/>
          </rPr>
          <t>======
ID#AAABjx7qNlk
    (2025-05-21 11:33:23)
alice:8/19匯入USD16000沖PI-20190730A 10500，沖PI20190603A 1844(4850)，沖PI20190603A 3656(7040)</t>
        </r>
      </text>
    </comment>
    <comment ref="K696" authorId="0" shapeId="0" xr:uid="{B8A8B27F-B4B1-6143-B615-EA20780D0FDE}">
      <text>
        <r>
          <rPr>
            <sz val="10"/>
            <color rgb="FF000000"/>
            <rFont val="Aptos Narrow"/>
            <scheme val="minor"/>
          </rPr>
          <t>======
ID#AAABjx7qToY
    (2025-05-21 11:33:26)
0830 Cathy: Tejinder 告知9/2那週會匯款
0903 Cathy: Chloe告知目前先將進貨日改為9/20，待收到款項在pull in MOXA 
0924:CHLOE同意出200PCS</t>
        </r>
      </text>
    </comment>
    <comment ref="M696" authorId="0" shapeId="0" xr:uid="{C3BE842B-1214-D748-B9E0-B0B2A4203E0A}">
      <text>
        <r>
          <rPr>
            <sz val="10"/>
            <color rgb="FF000000"/>
            <rFont val="Aptos Narrow"/>
            <scheme val="minor"/>
          </rPr>
          <t>======
ID#AAABjx7qMqg
    (2025-05-21 11:33:23)
待貨款匯入方可拉貨進入</t>
        </r>
      </text>
    </comment>
    <comment ref="H697" authorId="0" shapeId="0" xr:uid="{57CBA84D-CDC5-434C-90AA-AF09E9EDFD12}">
      <text>
        <r>
          <rPr>
            <sz val="10"/>
            <color rgb="FF000000"/>
            <rFont val="Aptos Narrow"/>
            <scheme val="minor"/>
          </rPr>
          <t>======
ID#AAABjx7qTXA
    (2025-05-21 11:33:26)
ALICE:9/26玉山水單匯入USD16657沖PI-20190704A USD655.沖PI-20190704A-F USD96.沖PI20190717E USD11479.沖PI-20190726B USD4245.沖PI-20190726B-F 182總沖16657</t>
        </r>
      </text>
    </comment>
    <comment ref="H698" authorId="0" shapeId="0" xr:uid="{0C3152CA-1D4F-4442-8713-B071CE1264BC}">
      <text>
        <r>
          <rPr>
            <sz val="10"/>
            <color rgb="FF000000"/>
            <rFont val="Aptos Narrow"/>
            <scheme val="minor"/>
          </rPr>
          <t>======
ID#AAABjx7qTI4
    (2025-05-21 11:33:26)
ALICE:8/1銀行水單通知匯入USD8538.6沖PI-20190731A</t>
        </r>
      </text>
    </comment>
    <comment ref="H699" authorId="0" shapeId="0" xr:uid="{01C9B519-0FB1-B54E-BF7A-CC0EC9CDB58A}">
      <text>
        <r>
          <rPr>
            <sz val="10"/>
            <color rgb="FF000000"/>
            <rFont val="Aptos Narrow"/>
            <scheme val="minor"/>
          </rPr>
          <t>======
ID#AAABjx7qPzg
    (2025-05-21 11:33:24)
ALICE:8/1銀行水單通知匯入USD8538.6沖PI-20190731A</t>
        </r>
      </text>
    </comment>
    <comment ref="P699" authorId="0" shapeId="0" xr:uid="{E586466E-504C-B247-B6ED-BD33B14C4AB5}">
      <text>
        <r>
          <rPr>
            <sz val="10"/>
            <color rgb="FF000000"/>
            <rFont val="Aptos Narrow"/>
            <scheme val="minor"/>
          </rPr>
          <t>======
ID#AAABjx7qSvc
    (2025-05-21 11:33:26)
專案價</t>
        </r>
      </text>
    </comment>
    <comment ref="H700" authorId="0" shapeId="0" xr:uid="{B00EB272-E983-2643-8CD0-D2904B58AE01}">
      <text>
        <r>
          <rPr>
            <sz val="10"/>
            <color rgb="FF000000"/>
            <rFont val="Aptos Narrow"/>
            <scheme val="minor"/>
          </rPr>
          <t>======
ID#AAABjx7qVgM
    (2025-05-21 11:33:27)
ALICE:8/1銀行水單通知匯入USD8538.6沖PI-20190731A</t>
        </r>
      </text>
    </comment>
    <comment ref="H701" authorId="0" shapeId="0" xr:uid="{CD8E2CB3-36B1-1D40-BBB9-EF61CB4A6550}">
      <text>
        <r>
          <rPr>
            <sz val="10"/>
            <color rgb="FF000000"/>
            <rFont val="Aptos Narrow"/>
            <scheme val="minor"/>
          </rPr>
          <t>======
ID#AAABjx7qPE4
    (2025-05-21 11:33:24)
ALICE:8/1銀行水單通知匯入USD8538.6沖PI-20190731A</t>
        </r>
      </text>
    </comment>
    <comment ref="G702" authorId="0" shapeId="0" xr:uid="{87ED4B78-D43C-FD41-8C40-E4BC00C38893}">
      <text>
        <r>
          <rPr>
            <sz val="10"/>
            <color rgb="FF000000"/>
            <rFont val="Aptos Narrow"/>
            <scheme val="minor"/>
          </rPr>
          <t>======
ID#AAABjx7qQOw
    (2025-05-21 11:33:25)
w/5%VAT</t>
        </r>
      </text>
    </comment>
    <comment ref="H702" authorId="0" shapeId="0" xr:uid="{A105BDCD-3584-5445-B035-3CDC9699C3F9}">
      <text>
        <r>
          <rPr>
            <sz val="10"/>
            <color rgb="FF000000"/>
            <rFont val="Aptos Narrow"/>
            <scheme val="minor"/>
          </rPr>
          <t>======
ID#AAABjx7qPU8
    (2025-05-21 11:33:24)
ALICE:9/25合庫匯入USD47081沖PI-20190731B 47096</t>
        </r>
      </text>
    </comment>
    <comment ref="O702" authorId="0" shapeId="0" xr:uid="{B36FD2AC-2F84-3A43-835C-D80CF8EE8F7B}">
      <text>
        <r>
          <rPr>
            <sz val="10"/>
            <color rgb="FF000000"/>
            <rFont val="Aptos Narrow"/>
            <scheme val="minor"/>
          </rPr>
          <t>======
ID#AAABjx7qWFU
    (2025-05-21 11:33:27)
0801 chloe下單
請Nicky提供 S/N</t>
        </r>
      </text>
    </comment>
    <comment ref="D703" authorId="0" shapeId="0" xr:uid="{0EF8BD48-1719-E547-8E9E-640B384AD535}">
      <text>
        <r>
          <rPr>
            <sz val="10"/>
            <color rgb="FF000000"/>
            <rFont val="Aptos Narrow"/>
            <scheme val="minor"/>
          </rPr>
          <t>======
ID#AAABjx7qM2Q
    (2025-05-21 11:33:23)
0806 詢問客人
0820 請Chole 協助下單</t>
        </r>
      </text>
    </comment>
    <comment ref="H703" authorId="0" shapeId="0" xr:uid="{922EC27E-7369-7C4A-97D9-5FFC3B121721}">
      <text>
        <r>
          <rPr>
            <sz val="10"/>
            <color rgb="FF000000"/>
            <rFont val="Aptos Narrow"/>
            <scheme val="minor"/>
          </rPr>
          <t>======
ID#AAABjx7qVGA
    (2025-05-21 11:33:27)
ALICE:8/21-銀行匯入USD374沖PI-20190801A USD334.沖PI-20190801A-1 USD40</t>
        </r>
      </text>
    </comment>
    <comment ref="K703" authorId="0" shapeId="0" xr:uid="{C29CF17A-3219-4140-8131-39CB18804F2D}">
      <text>
        <r>
          <rPr>
            <sz val="10"/>
            <color rgb="FF000000"/>
            <rFont val="Aptos Narrow"/>
            <scheme val="minor"/>
          </rPr>
          <t>======
ID#AAABjx7qR9Q
    (2025-05-21 11:33:25)
8/22 Cathy: mail 請Yvonne 出貨時依照客人需要invoice</t>
        </r>
      </text>
    </comment>
    <comment ref="O703" authorId="0" shapeId="0" xr:uid="{46EFC0F0-FBAC-9144-AE10-49558E801847}">
      <text>
        <r>
          <rPr>
            <sz val="10"/>
            <color rgb="FF000000"/>
            <rFont val="Aptos Narrow"/>
            <scheme val="minor"/>
          </rPr>
          <t>======
ID#AAABjx7qQKk
    (2025-05-21 11:33:25)
chloe: 0820 告知可下單</t>
        </r>
      </text>
    </comment>
    <comment ref="D704" authorId="0" shapeId="0" xr:uid="{8CC7F19A-DAE2-9040-A8EF-B5E7178611AC}">
      <text>
        <r>
          <rPr>
            <sz val="10"/>
            <color rgb="FF000000"/>
            <rFont val="Aptos Narrow"/>
            <scheme val="minor"/>
          </rPr>
          <t>======
ID#AAABjx7qNxk
    (2025-05-21 11:33:23)
0806 詢問客人
0820 請Chole 協助下單</t>
        </r>
      </text>
    </comment>
    <comment ref="H704" authorId="0" shapeId="0" xr:uid="{6164DA69-1954-FC4E-A4E5-47C011C1DCEF}">
      <text>
        <r>
          <rPr>
            <sz val="10"/>
            <color rgb="FF000000"/>
            <rFont val="Aptos Narrow"/>
            <scheme val="minor"/>
          </rPr>
          <t>======
ID#AAABjx7qOxc
    (2025-05-21 11:33:24)
ALICE:8/21-銀行匯入USD374沖PI-20190801A USD334.沖PI-20190801A-1 USD40</t>
        </r>
      </text>
    </comment>
    <comment ref="D705" authorId="0" shapeId="0" xr:uid="{FD36F7E5-2804-A94E-B899-C704285E49C5}">
      <text>
        <r>
          <rPr>
            <sz val="10"/>
            <color rgb="FF000000"/>
            <rFont val="Aptos Narrow"/>
            <scheme val="minor"/>
          </rPr>
          <t>======
ID#AAABjx7qOq4
    (2025-05-21 11:33:24)
0806 詢問客人</t>
        </r>
      </text>
    </comment>
    <comment ref="H705" authorId="0" shapeId="0" xr:uid="{7371EA10-CAB8-6147-B956-8C360443ED52}">
      <text>
        <r>
          <rPr>
            <sz val="10"/>
            <color rgb="FF000000"/>
            <rFont val="Aptos Narrow"/>
            <scheme val="minor"/>
          </rPr>
          <t>======
ID#AAABjx7qWNI
    (2025-05-21 11:33:27)
ALICE:8/21-銀行匯入USD374沖PI-20190801A USD334.沖PI-20190801A-1 USD40</t>
        </r>
      </text>
    </comment>
    <comment ref="H706" authorId="0" shapeId="0" xr:uid="{0110342D-D817-C744-AF64-B1559A4BDB36}">
      <text>
        <r>
          <rPr>
            <sz val="10"/>
            <color rgb="FF000000"/>
            <rFont val="Aptos Narrow"/>
            <scheme val="minor"/>
          </rPr>
          <t>======
ID#AAABjx7qV0Q
    (2025-05-21 11:33:27)
ALICE:8/2-水單匯入USD1529.4沖PI-20190801B USD1529.4</t>
        </r>
      </text>
    </comment>
    <comment ref="E707" authorId="0" shapeId="0" xr:uid="{BE2CB0EF-F656-5C42-AEEB-F7F1F2BBACD1}">
      <text>
        <r>
          <rPr>
            <sz val="10"/>
            <color rgb="FF000000"/>
            <rFont val="Aptos Narrow"/>
            <scheme val="minor"/>
          </rPr>
          <t>======
ID#AAABjx7qM9w
    (2025-05-21 11:33:23)
0802 chloe: EU Adaper</t>
        </r>
      </text>
    </comment>
    <comment ref="H707" authorId="0" shapeId="0" xr:uid="{59151FE6-9E17-5343-B999-AD07A3B347D2}">
      <text>
        <r>
          <rPr>
            <sz val="10"/>
            <color rgb="FF000000"/>
            <rFont val="Aptos Narrow"/>
            <scheme val="minor"/>
          </rPr>
          <t>======
ID#AAABjx7qRRg
    (2025-05-21 11:33:25)
ALICE:8/2-水單匯入USD1529.4沖PI-20190801B USD1529.4</t>
        </r>
      </text>
    </comment>
    <comment ref="H708" authorId="0" shapeId="0" xr:uid="{D7DA495E-9FC0-D447-97D8-4A11DBFDA4CA}">
      <text>
        <r>
          <rPr>
            <sz val="10"/>
            <color rgb="FF000000"/>
            <rFont val="Aptos Narrow"/>
            <scheme val="minor"/>
          </rPr>
          <t>======
ID#AAABjx7qNWI
    (2025-05-21 11:33:23)
ALICE:8/2-水單匯入USD1529.4沖PI-20190801B USD1529.4</t>
        </r>
      </text>
    </comment>
    <comment ref="H709" authorId="0" shapeId="0" xr:uid="{F755F39F-EA68-7646-BD7A-8D0D417A7F3C}">
      <text>
        <r>
          <rPr>
            <sz val="10"/>
            <color rgb="FF000000"/>
            <rFont val="Aptos Narrow"/>
            <scheme val="minor"/>
          </rPr>
          <t>======
ID#AAABjx7qOo8
    (2025-05-21 11:33:24)
ALICE:9/23玉山銀行水單通知匯入USD14587沖PI-20190626A 334.5 沖PI-20190703B 8550.沖PI20190719C 5212.5.沖PI-20190722A 210.沖PI-20190801C 280 合計總沖USD14587元整</t>
        </r>
      </text>
    </comment>
    <comment ref="O709" authorId="0" shapeId="0" xr:uid="{B29538C1-937F-A14E-8E90-38818B871F8C}">
      <text>
        <r>
          <rPr>
            <sz val="10"/>
            <color rgb="FF000000"/>
            <rFont val="Aptos Narrow"/>
            <scheme val="minor"/>
          </rPr>
          <t>======
ID#AAABjx7qU1w
    (2025-05-21 11:33:26)
0805yvonne下單</t>
        </r>
      </text>
    </comment>
    <comment ref="D710" authorId="0" shapeId="0" xr:uid="{71418853-F2F2-D542-860A-30E1FEFB1D66}">
      <text>
        <r>
          <rPr>
            <sz val="10"/>
            <color rgb="FF000000"/>
            <rFont val="Aptos Narrow"/>
            <scheme val="minor"/>
          </rPr>
          <t>======
ID#AAABjx7qNLA
    (2025-05-21 11:33:23)
0730 CATHY 通知客人待款項來才會幫下單</t>
        </r>
      </text>
    </comment>
    <comment ref="H710" authorId="0" shapeId="0" xr:uid="{59ADE84B-DB9F-7E48-A7D4-C01BE0C4AEEE}">
      <text>
        <r>
          <rPr>
            <sz val="10"/>
            <color rgb="FF000000"/>
            <rFont val="Aptos Narrow"/>
            <scheme val="minor"/>
          </rPr>
          <t>======
ID#AAABjx7qQ2w
    (2025-05-21 11:33:25)
alice:9/18玉山銀行水單匯入USD11500沖PI-20190801D USD11500</t>
        </r>
      </text>
    </comment>
    <comment ref="K710" authorId="0" shapeId="0" xr:uid="{74C2065B-D752-AF41-A1C4-EC46D135FE70}">
      <text>
        <r>
          <rPr>
            <sz val="10"/>
            <color rgb="FF000000"/>
            <rFont val="Aptos Narrow"/>
            <scheme val="minor"/>
          </rPr>
          <t>======
ID#AAABjx7qNDw
    (2025-05-21 11:33:23)
0830 Cathy: Tejinder 告知9/2那週會匯款
0903 Cathy: Chloe告知目前先將進貨日改為9/20，待收到款項在pull in MOXA 
0924:CHLOE同意出200PCS</t>
        </r>
      </text>
    </comment>
    <comment ref="M710" authorId="0" shapeId="0" xr:uid="{3DBCF650-DFD9-2542-80D0-1D9763F4DDC9}">
      <text>
        <r>
          <rPr>
            <sz val="10"/>
            <color rgb="FF000000"/>
            <rFont val="Aptos Narrow"/>
            <scheme val="minor"/>
          </rPr>
          <t>======
ID#AAABjx7qS3w
    (2025-05-21 11:33:26)
待貨款匯入方可拉貨進入</t>
        </r>
      </text>
    </comment>
    <comment ref="D711" authorId="0" shapeId="0" xr:uid="{9A5F5180-FA27-C741-AB0E-B64203D448B6}">
      <text>
        <r>
          <rPr>
            <sz val="10"/>
            <color rgb="FF000000"/>
            <rFont val="Aptos Narrow"/>
            <scheme val="minor"/>
          </rPr>
          <t>======
ID#AAABjx7qNMU
    (2025-05-21 11:33:23)
8/1請chole 提供庫存給yvonne寄出</t>
        </r>
      </text>
    </comment>
    <comment ref="H711" authorId="0" shapeId="0" xr:uid="{4C912A1A-6146-5649-956D-930A5552D8AD}">
      <text>
        <r>
          <rPr>
            <sz val="10"/>
            <color rgb="FF000000"/>
            <rFont val="Aptos Narrow"/>
            <scheme val="minor"/>
          </rPr>
          <t>======
ID#AAABjx7qTQk
    (2025-05-21 11:33:26)
ALICE:10/1玉山收到閎亮匯入款NT14645(手續費15)沖PI-20190801E.沖PI-20190820B 合計共NT14660元整</t>
        </r>
      </text>
    </comment>
    <comment ref="K711" authorId="0" shapeId="0" xr:uid="{186AE08F-8680-4B44-B9BA-A648C222FEBA}">
      <text>
        <r>
          <rPr>
            <sz val="10"/>
            <color rgb="FF000000"/>
            <rFont val="Aptos Narrow"/>
            <scheme val="minor"/>
          </rPr>
          <t>======
ID#AAABjx7qOQQ
    (2025-05-21 11:33:24)
沛勁:895256寄出</t>
        </r>
      </text>
    </comment>
    <comment ref="M711" authorId="0" shapeId="0" xr:uid="{202BF9B9-F740-B448-BF8B-383B01786B8A}">
      <text>
        <r>
          <rPr>
            <sz val="10"/>
            <color rgb="FF000000"/>
            <rFont val="Aptos Narrow"/>
            <scheme val="minor"/>
          </rPr>
          <t>======
ID#AAABjx7qVf4
    (2025-05-21 11:33:27)
20190802放置Yvonne桌上</t>
        </r>
      </text>
    </comment>
    <comment ref="T711" authorId="0" shapeId="0" xr:uid="{1DF62F42-F8A7-7F43-A9C1-14CE9CBB01CD}">
      <text>
        <r>
          <rPr>
            <sz val="10"/>
            <color rgb="FF000000"/>
            <rFont val="Aptos Narrow"/>
            <scheme val="minor"/>
          </rPr>
          <t>======
ID#AAABjx7qR08
    (2025-05-21 11:33:25)
0604 chloe:參考庫存表0522平均庫存成本</t>
        </r>
      </text>
    </comment>
    <comment ref="U711" authorId="0" shapeId="0" xr:uid="{B7A0FA8C-F23A-F84E-A14A-09033FC2F5F8}">
      <text>
        <r>
          <rPr>
            <sz val="10"/>
            <color rgb="FF000000"/>
            <rFont val="Aptos Narrow"/>
            <scheme val="minor"/>
          </rPr>
          <t>======
ID#AAABjx7qS54
    (2025-05-21 11:33:26)
0604 chloe:參考庫存表0522平均庫存成本</t>
        </r>
      </text>
    </comment>
    <comment ref="G713" authorId="0" shapeId="0" xr:uid="{AD674A68-852D-BC4B-A622-3EB2863A4FE8}">
      <text>
        <r>
          <rPr>
            <sz val="10"/>
            <color rgb="FF000000"/>
            <rFont val="Aptos Narrow"/>
            <scheme val="minor"/>
          </rPr>
          <t>======
ID#AAABjx7qPtc
    (2025-05-21 11:33:24)
8/6 Amy EXCHAGE REATE: 31.57</t>
        </r>
      </text>
    </comment>
    <comment ref="H713" authorId="0" shapeId="0" xr:uid="{57819073-DB7E-F847-95D1-366234B76AE9}">
      <text>
        <r>
          <rPr>
            <sz val="10"/>
            <color rgb="FF000000"/>
            <rFont val="Aptos Narrow"/>
            <scheme val="minor"/>
          </rPr>
          <t>======
ID#AAABjx7qSOA
    (2025-05-21 11:33:26)
8/6 Amy EXCHAGE REATE: 31.57
8/28玉山銀行已收到台灣脈動匯入款NT59,621(含手續費10)</t>
        </r>
      </text>
    </comment>
    <comment ref="E714" authorId="0" shapeId="0" xr:uid="{57E0CC1D-C447-F14D-8388-B503E54CD47E}">
      <text>
        <r>
          <rPr>
            <sz val="10"/>
            <color rgb="FF000000"/>
            <rFont val="Aptos Narrow"/>
            <scheme val="minor"/>
          </rPr>
          <t>======
ID#AAABjx7qQ9g
    (2025-05-21 11:33:25)
0814 chloe :w/o Cable</t>
        </r>
      </text>
    </comment>
    <comment ref="H714" authorId="0" shapeId="0" xr:uid="{EF56C78A-DB05-C84C-82B5-785FA3CAF7C3}">
      <text>
        <r>
          <rPr>
            <sz val="10"/>
            <color rgb="FF000000"/>
            <rFont val="Aptos Narrow"/>
            <scheme val="minor"/>
          </rPr>
          <t>======
ID#AAABjx7qU8A
    (2025-05-21 11:33:27)
ALICE:9/9電文通知ALCOM PI-20190808A匯入USD1180</t>
        </r>
      </text>
    </comment>
    <comment ref="P714" authorId="0" shapeId="0" xr:uid="{2CB4F338-B363-0644-8D2D-29D109F067DE}">
      <text>
        <r>
          <rPr>
            <sz val="10"/>
            <color rgb="FF000000"/>
            <rFont val="Aptos Narrow"/>
            <scheme val="minor"/>
          </rPr>
          <t>======
ID#AAABjx7qQm4
    (2025-05-21 11:33:25)
For Alcom 私下談妥價格，無法用於其他專案</t>
        </r>
      </text>
    </comment>
    <comment ref="H715" authorId="0" shapeId="0" xr:uid="{DFA08CC5-3A83-504D-B669-B1686845C4FD}">
      <text>
        <r>
          <rPr>
            <sz val="10"/>
            <color rgb="FF000000"/>
            <rFont val="Aptos Narrow"/>
            <scheme val="minor"/>
          </rPr>
          <t>======
ID#AAABjx7qQRU
    (2025-05-21 11:33:25)
ALICE:9/9電文通知ALCOM PI-20190808A匯入USD1180</t>
        </r>
      </text>
    </comment>
    <comment ref="E716" authorId="0" shapeId="0" xr:uid="{32DC06F0-92AE-3C42-B23D-4F8AE3F41C27}">
      <text>
        <r>
          <rPr>
            <sz val="10"/>
            <color rgb="FF000000"/>
            <rFont val="Aptos Narrow"/>
            <scheme val="minor"/>
          </rPr>
          <t>======
ID#AAABjx7qNHw
    (2025-05-21 11:33:23)
0802 chloe: EU Adaper</t>
        </r>
      </text>
    </comment>
    <comment ref="H716" authorId="0" shapeId="0" xr:uid="{2FE8C973-4188-464F-B0B6-54E3574CA9E2}">
      <text>
        <r>
          <rPr>
            <sz val="10"/>
            <color rgb="FF000000"/>
            <rFont val="Aptos Narrow"/>
            <scheme val="minor"/>
          </rPr>
          <t>======
ID#AAABjx7qVys
    (2025-05-21 11:33:27)
Alice:2019/08/13水單匯入USD2968沖PI-20190812A</t>
        </r>
      </text>
    </comment>
    <comment ref="D717" authorId="0" shapeId="0" xr:uid="{C8F22718-07E6-044C-8C4E-B587A2D910FB}">
      <text>
        <r>
          <rPr>
            <sz val="10"/>
            <color rgb="FF000000"/>
            <rFont val="Aptos Narrow"/>
            <scheme val="minor"/>
          </rPr>
          <t>======
ID#AAABjx7qP3Y
    (2025-05-21 11:33:24)
在此輸入
需要分兩次出貨
8/21請yvonne 協助下單
9/3 告知會再這兩日匯款</t>
        </r>
      </text>
    </comment>
    <comment ref="H717" authorId="0" shapeId="0" xr:uid="{E4133707-D5E1-DA4E-B155-7382A68E9D08}">
      <text>
        <r>
          <rPr>
            <sz val="10"/>
            <color rgb="FF000000"/>
            <rFont val="Aptos Narrow"/>
            <scheme val="minor"/>
          </rPr>
          <t>======
ID#AAABjx7qNj8
    (2025-05-21 11:33:23)
ALICE:9/10玉山水單匯入USD5607元，沖PI-20190813A USD5147.沖PI-20190813A-1 460，合計總沖USD5607元整</t>
        </r>
      </text>
    </comment>
    <comment ref="K717" authorId="0" shapeId="0" xr:uid="{BEAC00FD-032E-694B-8A6A-8F208411240F}">
      <text>
        <r>
          <rPr>
            <sz val="10"/>
            <color rgb="FF000000"/>
            <rFont val="Aptos Narrow"/>
            <scheme val="minor"/>
          </rPr>
          <t>======
ID#AAABjx7qS2s
    (2025-05-21 11:33:26)
在此輸入
0821 CATHY : 客人希望2W交貨(不然可能canel order)，待交期確認後，就請客人先匯款
0826 Cathy : 客人告知預計9/2匯款，請如期出貨 
0902YVONNE:待客戶匯款後出貨</t>
        </r>
      </text>
    </comment>
    <comment ref="O717" authorId="0" shapeId="0" xr:uid="{DDC9B43A-D68E-7249-9276-A4F1B783B433}">
      <text>
        <r>
          <rPr>
            <sz val="10"/>
            <color rgb="FF000000"/>
            <rFont val="Aptos Narrow"/>
            <scheme val="minor"/>
          </rPr>
          <t>======
ID#AAABjx7qVVQ
    (2025-05-21 11:33:27)
yvonne下單</t>
        </r>
      </text>
    </comment>
    <comment ref="D718" authorId="0" shapeId="0" xr:uid="{DD9D56FA-0F88-184B-829B-DDE2B4B55135}">
      <text>
        <r>
          <rPr>
            <sz val="10"/>
            <color rgb="FF000000"/>
            <rFont val="Aptos Narrow"/>
            <scheme val="minor"/>
          </rPr>
          <t>======
ID#AAABjx7qRUo
    (2025-05-21 11:33:25)
在此輸入
需要分兩次出貨
8/21請yvonne 協助下單
9/3 告知會再這兩日匯款</t>
        </r>
      </text>
    </comment>
    <comment ref="E718" authorId="0" shapeId="0" xr:uid="{7A4202FE-9569-F947-B7D6-6B0AB9A50BAB}">
      <text>
        <r>
          <rPr>
            <sz val="10"/>
            <color rgb="FF000000"/>
            <rFont val="Aptos Narrow"/>
            <scheme val="minor"/>
          </rPr>
          <t>======
ID#AAABjx7qPk0
    (2025-05-21 11:33:24)
下單Nport W2150A-EU BAND w/EU adaptor</t>
        </r>
      </text>
    </comment>
    <comment ref="H718" authorId="0" shapeId="0" xr:uid="{9774275F-1A89-1949-9929-120F739D54E4}">
      <text>
        <r>
          <rPr>
            <sz val="10"/>
            <color rgb="FF000000"/>
            <rFont val="Aptos Narrow"/>
            <scheme val="minor"/>
          </rPr>
          <t>======
ID#AAABjx7qNKw
    (2025-05-21 11:33:23)
ALICE:9/10玉山水單匯入USD5607元，沖PI-20190813A USD5147.沖PI-20190813A-1 460，合計總沖USD5607元整</t>
        </r>
      </text>
    </comment>
    <comment ref="K718" authorId="0" shapeId="0" xr:uid="{E5F6E586-996B-B543-B2DD-1853830F4E3F}">
      <text>
        <r>
          <rPr>
            <sz val="10"/>
            <color rgb="FF000000"/>
            <rFont val="Aptos Narrow"/>
            <scheme val="minor"/>
          </rPr>
          <t>======
ID#AAABjx7qR1A
    (2025-05-21 11:33:25)
0821 CATHY : 客人希望2W交貨(不然可能canel order)，待交期確認後，就請客人先匯款
0826 Cathy : 客人告知預計9/2匯款，請如期出貨</t>
        </r>
      </text>
    </comment>
    <comment ref="D719" authorId="0" shapeId="0" xr:uid="{66ED326E-38D0-5749-B75B-FCD91899320A}">
      <text>
        <r>
          <rPr>
            <sz val="10"/>
            <color rgb="FF000000"/>
            <rFont val="Aptos Narrow"/>
            <scheme val="minor"/>
          </rPr>
          <t>======
ID#AAABjx7qQp8
    (2025-05-21 11:33:25)
在此輸入
需要分兩次出貨
8/21請yvonne 協助下單
9/3 告知會再這兩日匯款</t>
        </r>
      </text>
    </comment>
    <comment ref="H719" authorId="0" shapeId="0" xr:uid="{54AA04F8-FF67-FC4F-8A20-C19C5DFF675F}">
      <text>
        <r>
          <rPr>
            <sz val="10"/>
            <color rgb="FF000000"/>
            <rFont val="Aptos Narrow"/>
            <scheme val="minor"/>
          </rPr>
          <t>======
ID#AAABjx7qQQY
    (2025-05-21 11:33:25)
ALICE:9/10玉山水單匯入USD5607元，沖PI-20190813A USD5147.沖PI-20190813A-1 460，合計總沖USD5607元整</t>
        </r>
      </text>
    </comment>
    <comment ref="K719" authorId="0" shapeId="0" xr:uid="{CCD731FA-1264-874C-94C7-C4D08EA73C20}">
      <text>
        <r>
          <rPr>
            <sz val="10"/>
            <color rgb="FF000000"/>
            <rFont val="Aptos Narrow"/>
            <scheme val="minor"/>
          </rPr>
          <t>======
ID#AAABjx7qN5Q
    (2025-05-21 11:33:23)
0821 CATHY : 客人希望2W交貨(不然可能canel order)，待交期確認後，就請客人先匯款
0826 Cathy : 客人告知預計9/2匯款，請如期出貨 
0909 YVONNE:待客戶付款安排
出貨</t>
        </r>
      </text>
    </comment>
    <comment ref="D720" authorId="0" shapeId="0" xr:uid="{09C31ED7-227B-DA49-9067-6C7B41477D01}">
      <text>
        <r>
          <rPr>
            <sz val="10"/>
            <color rgb="FF000000"/>
            <rFont val="Aptos Narrow"/>
            <scheme val="minor"/>
          </rPr>
          <t>======
ID#AAABjx7qRzg
    (2025-05-21 11:33:25)
0813 請chloe 協助下單</t>
        </r>
      </text>
    </comment>
    <comment ref="H720" authorId="0" shapeId="0" xr:uid="{322A9F52-3935-1A4B-AD7F-35B136EF382C}">
      <text>
        <r>
          <rPr>
            <sz val="10"/>
            <color rgb="FF000000"/>
            <rFont val="Aptos Narrow"/>
            <scheme val="minor"/>
          </rPr>
          <t>======
ID#AAABjx7qVeI
    (2025-05-21 11:33:27)
ALICE:9/10玉山匯入NT108650沖PI20190719A.PI-20190722B.PI-20190725A.PI20190813B</t>
        </r>
      </text>
    </comment>
    <comment ref="D721" authorId="0" shapeId="0" xr:uid="{9D0D8CFF-68EB-4B4C-99A3-06013D60FD51}">
      <text>
        <r>
          <rPr>
            <sz val="10"/>
            <color rgb="FF000000"/>
            <rFont val="Aptos Narrow"/>
            <scheme val="minor"/>
          </rPr>
          <t>======
ID#AAABjx7qR54
    (2025-05-21 11:33:25)
0813 請chloe 協助下單</t>
        </r>
      </text>
    </comment>
    <comment ref="E721" authorId="0" shapeId="0" xr:uid="{BDE272D1-F6B8-2C45-B6E8-03BF78C9D313}">
      <text>
        <r>
          <rPr>
            <sz val="10"/>
            <color rgb="FF000000"/>
            <rFont val="Aptos Narrow"/>
            <scheme val="minor"/>
          </rPr>
          <t>======
ID#AAABjx7qQ2c
    (2025-05-21 11:33:25)
US Adaptor</t>
        </r>
      </text>
    </comment>
    <comment ref="H721" authorId="0" shapeId="0" xr:uid="{D9BC7688-E71F-A446-BCB1-6FC410381A93}">
      <text>
        <r>
          <rPr>
            <sz val="10"/>
            <color rgb="FF000000"/>
            <rFont val="Aptos Narrow"/>
            <scheme val="minor"/>
          </rPr>
          <t>======
ID#AAABjx7qQCA
    (2025-05-21 11:33:25)
ALICE:9/10玉山匯入NT108650沖PI20190719A.PI-20190722B.PI-20190725A.PI20190813B</t>
        </r>
      </text>
    </comment>
    <comment ref="G722" authorId="0" shapeId="0" xr:uid="{7313B420-B424-0949-9E5E-C60FFABE8E64}">
      <text>
        <r>
          <rPr>
            <sz val="10"/>
            <color rgb="FF000000"/>
            <rFont val="Aptos Narrow"/>
            <scheme val="minor"/>
          </rPr>
          <t>======
ID#AAABjx7qQ_Q
    (2025-05-21 11:33:25)
190718 Tammy: w/5%</t>
        </r>
      </text>
    </comment>
    <comment ref="H722" authorId="0" shapeId="0" xr:uid="{882A7AB6-87BF-0945-AACC-F188F4255E0C}">
      <text>
        <r>
          <rPr>
            <sz val="10"/>
            <color rgb="FF000000"/>
            <rFont val="Aptos Narrow"/>
            <scheme val="minor"/>
          </rPr>
          <t>======
ID#AAABjx7qNKI
    (2025-05-21 11:33:23)
ALICE:8/22玉山銀行匯入NT1,596,000+NT1,978=NT1,597,978元整，沖PI-20190717C NT1,586,124 ，沖PI-20190813C NT11,854</t>
        </r>
      </text>
    </comment>
    <comment ref="H723" authorId="0" shapeId="0" xr:uid="{82D7F76F-B6A4-C64D-8450-49172591801E}">
      <text>
        <r>
          <rPr>
            <sz val="10"/>
            <color rgb="FF000000"/>
            <rFont val="Aptos Narrow"/>
            <scheme val="minor"/>
          </rPr>
          <t>======
ID#AAABjx7qU50
    (2025-05-21 11:33:27)
alice:10/3合庫匯入NT303467(手續費30)沖PI-20190814A 303497元整</t>
        </r>
      </text>
    </comment>
    <comment ref="H724" authorId="0" shapeId="0" xr:uid="{D0000E63-D428-6047-B448-BF37D2712DEE}">
      <text>
        <r>
          <rPr>
            <sz val="10"/>
            <color rgb="FF000000"/>
            <rFont val="Aptos Narrow"/>
            <scheme val="minor"/>
          </rPr>
          <t>======
ID#AAABjx7qRAY
    (2025-05-21 11:33:25)
ALICE:9/26玉山銀行匯入USD1212元整，沖PI-20190819A USD1092，沖PI-20190814C USD120</t>
        </r>
      </text>
    </comment>
    <comment ref="M724" authorId="0" shapeId="0" xr:uid="{CD4AD941-E3D3-9942-A464-ED0D202EE377}">
      <text>
        <r>
          <rPr>
            <sz val="10"/>
            <color rgb="FF000000"/>
            <rFont val="Aptos Narrow"/>
            <scheme val="minor"/>
          </rPr>
          <t>======
ID#AAABjx7qPOk
    (2025-05-21 11:33:24)
0819YVONNE:AMY詢價ADAM-4012但7/31已停止下單，寄來的是ADAM-4017。目前正與客戶規格書中。</t>
        </r>
      </text>
    </comment>
    <comment ref="H725" authorId="0" shapeId="0" xr:uid="{198A45FE-E542-1B48-BF5E-551F59C56A27}">
      <text>
        <r>
          <rPr>
            <sz val="10"/>
            <color rgb="FF000000"/>
            <rFont val="Aptos Narrow"/>
            <scheme val="minor"/>
          </rPr>
          <t>======
ID#AAABjx7qQoY
    (2025-05-21 11:33:25)
ALICE:9/26玉山水單匯入USD16657沖PI-20190704A USD655.沖PI-20190704A-F USD96.沖PI20190717E USD11479.沖PI-20190726B USD4245.沖PI-20190726B-F 182總沖16657</t>
        </r>
      </text>
    </comment>
    <comment ref="H726" authorId="0" shapeId="0" xr:uid="{729DC7DB-E5AE-314E-B105-89652C29DEAA}">
      <text>
        <r>
          <rPr>
            <sz val="10"/>
            <color rgb="FF000000"/>
            <rFont val="Aptos Narrow"/>
            <scheme val="minor"/>
          </rPr>
          <t>======
ID#AAABjx7qQ94
    (2025-05-21 11:33:25)
ALICE:8/22玉山匯入USD4512.6沖PI-20190815A USD4512.6</t>
        </r>
      </text>
    </comment>
    <comment ref="O726" authorId="0" shapeId="0" xr:uid="{F19B3465-1986-7F42-AF1B-7E16F76B928A}">
      <text>
        <r>
          <rPr>
            <sz val="10"/>
            <color rgb="FF000000"/>
            <rFont val="Aptos Narrow"/>
            <scheme val="minor"/>
          </rPr>
          <t>======
ID#AAABjx7qU_U
    (2025-05-21 11:33:27)
0822 告知急單
0822 下單
0822 通知業務交期變更 8/30</t>
        </r>
      </text>
    </comment>
    <comment ref="H727" authorId="0" shapeId="0" xr:uid="{B77D480B-947E-D44F-BB79-6774891EFBEA}">
      <text>
        <r>
          <rPr>
            <sz val="10"/>
            <color rgb="FF000000"/>
            <rFont val="Aptos Narrow"/>
            <scheme val="minor"/>
          </rPr>
          <t>======
ID#AAABjx7qO9o
    (2025-05-21 11:33:24)
ALICE:8/22玉山匯入USD4512.6沖PI-20190815A USD4512.6</t>
        </r>
      </text>
    </comment>
    <comment ref="O727" authorId="0" shapeId="0" xr:uid="{30DA1A15-2557-A347-9A23-0ADA74903E6C}">
      <text>
        <r>
          <rPr>
            <sz val="10"/>
            <color rgb="FF000000"/>
            <rFont val="Aptos Narrow"/>
            <scheme val="minor"/>
          </rPr>
          <t>======
ID#AAABjx7qQpg
    (2025-05-21 11:33:25)
0822 告知急單
0822 下單</t>
        </r>
      </text>
    </comment>
    <comment ref="E728" authorId="0" shapeId="0" xr:uid="{891BB397-B173-DD4D-A433-00823118B75A}">
      <text>
        <r>
          <rPr>
            <sz val="10"/>
            <color rgb="FF000000"/>
            <rFont val="Aptos Narrow"/>
            <scheme val="minor"/>
          </rPr>
          <t>======
ID#AAABjx7qMx0
    (2025-05-21 11:33:23)
1003Kishore: 告知需要加Gasket</t>
        </r>
      </text>
    </comment>
    <comment ref="H728" authorId="0" shapeId="0" xr:uid="{5F2BB71D-7BB1-094C-81FE-3C0F8842B511}">
      <text>
        <r>
          <rPr>
            <sz val="10"/>
            <color rgb="FF000000"/>
            <rFont val="Aptos Narrow"/>
            <scheme val="minor"/>
          </rPr>
          <t>======
ID#AAABjx7qSig
    (2025-05-21 11:33:26)
ALICE:8/23玉山銀行匯入USD1245沖PI-20190815B USD1245元整</t>
        </r>
      </text>
    </comment>
    <comment ref="K728" authorId="0" shapeId="0" xr:uid="{8C3155FC-509F-A947-AB38-8D78FF120457}">
      <text>
        <r>
          <rPr>
            <sz val="10"/>
            <color rgb="FF000000"/>
            <rFont val="Aptos Narrow"/>
            <scheme val="minor"/>
          </rPr>
          <t>======
ID#AAABjx7qTqI
    (2025-05-21 11:33:26)
0910 cathy:與san確認可否於10/9 or 10/11 出貨 -&gt;  chloe approve 可於10/9出貨 
1001 :出貨前請Santiago拍照</t>
        </r>
      </text>
    </comment>
    <comment ref="M728" authorId="0" shapeId="0" xr:uid="{8D02FEC0-3C91-ED42-A5DF-8024D9D49D08}">
      <text>
        <r>
          <rPr>
            <sz val="10"/>
            <color rgb="FF000000"/>
            <rFont val="Aptos Narrow"/>
            <scheme val="minor"/>
          </rPr>
          <t>======
ID#AAABjx7qSiA
    (2025-05-21 11:33:26)
0926 chloe: 回覆10/7 ，Pull IN 中</t>
        </r>
      </text>
    </comment>
    <comment ref="N728" authorId="0" shapeId="0" xr:uid="{28341998-D0BB-904A-9A0F-2901052D62F1}">
      <text>
        <r>
          <rPr>
            <sz val="10"/>
            <color rgb="FF000000"/>
            <rFont val="Aptos Narrow"/>
            <scheme val="minor"/>
          </rPr>
          <t>======
ID#AAABjx7qNlE
    (2025-05-21 11:33:23)
0816 Bank 告知貼合需4-8 weeks</t>
        </r>
      </text>
    </comment>
    <comment ref="D729" authorId="0" shapeId="0" xr:uid="{29B652AE-622C-1741-8F7A-5175793C4519}">
      <text>
        <r>
          <rPr>
            <sz val="10"/>
            <color rgb="FF000000"/>
            <rFont val="Aptos Narrow"/>
            <scheme val="minor"/>
          </rPr>
          <t>======
ID#AAABjx7qPJc
    (2025-05-21 11:33:24)
0827:BANK通知此票進貨檢驗由曦立代驗</t>
        </r>
      </text>
    </comment>
    <comment ref="E729" authorId="0" shapeId="0" xr:uid="{72EED0B2-041E-1E40-8F63-89CF2E2B2FCB}">
      <text>
        <r>
          <rPr>
            <sz val="10"/>
            <color rgb="FF000000"/>
            <rFont val="Aptos Narrow"/>
            <scheme val="minor"/>
          </rPr>
          <t>======
ID#AAABjx7qVfg
    (2025-05-21 11:33:27)
0815 進料時有含三條線
0827 發現來料異常 進AA150XT01</t>
        </r>
      </text>
    </comment>
    <comment ref="H729" authorId="0" shapeId="0" xr:uid="{ED40AA7D-166C-DD4D-AA4C-9E5070C1404E}">
      <text>
        <r>
          <rPr>
            <sz val="10"/>
            <color rgb="FF000000"/>
            <rFont val="Aptos Narrow"/>
            <scheme val="minor"/>
          </rPr>
          <t>======
ID#AAABjx7qMs0
    (2025-05-21 11:33:23)
ALICE:8/23玉山銀行匯入USD1245沖PI-20190815B USD1245元整</t>
        </r>
      </text>
    </comment>
    <comment ref="K729" authorId="0" shapeId="0" xr:uid="{8B44CCBA-BDFE-1942-B25A-E951E8B5D31C}">
      <text>
        <r>
          <rPr>
            <sz val="10"/>
            <color rgb="FF000000"/>
            <rFont val="Aptos Narrow"/>
            <scheme val="minor"/>
          </rPr>
          <t>======
ID#AAABjx7qNpM
    (2025-05-21 11:33:23)
0910 cathy:與san確認可否於10/9 or 10/11 出貨 -&gt;  chloe approve 可於10/9出貨 
1001 :出貨前請Santiago拍照</t>
        </r>
      </text>
    </comment>
    <comment ref="M729" authorId="0" shapeId="0" xr:uid="{E4688A42-8087-EA41-84A1-6DA04C63BCC7}">
      <text>
        <r>
          <rPr>
            <sz val="10"/>
            <color rgb="FF000000"/>
            <rFont val="Aptos Narrow"/>
            <scheme val="minor"/>
          </rPr>
          <t>======
ID#AAABjx7qVFo
    (2025-05-21 11:33:27)
0815YVONNE:進口營業稅1011，出口時須做"外貨轉售出口"，抵銷營業稅金。須付上進口報單CX08709MP3UU</t>
        </r>
      </text>
    </comment>
    <comment ref="H730" authorId="0" shapeId="0" xr:uid="{FDDE33F8-791F-1445-9575-584AE3D0CC24}">
      <text>
        <r>
          <rPr>
            <sz val="10"/>
            <color rgb="FF000000"/>
            <rFont val="Aptos Narrow"/>
            <scheme val="minor"/>
          </rPr>
          <t>======
ID#AAABjx7qPqM
    (2025-05-21 11:33:24)
ALICE:8/30-玉山銀行水單通知USD3464沖PI20190524B-2 USD3010.沖PI-20190524B-F USD454合計共USD3464元整</t>
        </r>
      </text>
    </comment>
    <comment ref="I730" authorId="0" shapeId="0" xr:uid="{05EF130D-7EBC-7B42-BA7D-63A74C47ADD6}">
      <text>
        <r>
          <rPr>
            <sz val="10"/>
            <color rgb="FF000000"/>
            <rFont val="Aptos Narrow"/>
            <scheme val="minor"/>
          </rPr>
          <t>======
ID#AAABjx7qU5U
    (2025-05-21 11:33:27)
Cathy/Santiago</t>
        </r>
      </text>
    </comment>
    <comment ref="H731" authorId="0" shapeId="0" xr:uid="{0273C867-D99E-7A47-87DE-02111E76B218}">
      <text>
        <r>
          <rPr>
            <sz val="10"/>
            <color rgb="FF000000"/>
            <rFont val="Aptos Narrow"/>
            <scheme val="minor"/>
          </rPr>
          <t>======
ID#AAABjx7qOXw
    (2025-05-21 11:33:24)
ALICE:9/26玉山銀行匯入USD1212元整，沖PI-20190819A USD1092，沖PI-20190814C USD120</t>
        </r>
      </text>
    </comment>
    <comment ref="P731" authorId="0" shapeId="0" xr:uid="{98D886A9-E5C8-D049-8A07-57C5B5F48CAE}">
      <text>
        <r>
          <rPr>
            <sz val="10"/>
            <color rgb="FF000000"/>
            <rFont val="Aptos Narrow"/>
            <scheme val="minor"/>
          </rPr>
          <t>======
ID#AAABjx7qP08
    (2025-05-21 11:33:24)
0820 chloe:專案價</t>
        </r>
      </text>
    </comment>
    <comment ref="H732" authorId="0" shapeId="0" xr:uid="{373D83EC-A986-8243-A22D-D86F4AE9AE04}">
      <text>
        <r>
          <rPr>
            <sz val="10"/>
            <color rgb="FF000000"/>
            <rFont val="Aptos Narrow"/>
            <scheme val="minor"/>
          </rPr>
          <t>======
ID#AAABjx7qSyY
    (2025-05-21 11:33:26)
ALICE:9/26玉山銀行匯入USD1212元整，沖PI-20190819A USD1092，沖PI-20190814C USD120</t>
        </r>
      </text>
    </comment>
    <comment ref="P732" authorId="0" shapeId="0" xr:uid="{BB45ACA0-C019-1543-AEE9-4516C41A8BC4}">
      <text>
        <r>
          <rPr>
            <sz val="10"/>
            <color rgb="FF000000"/>
            <rFont val="Aptos Narrow"/>
            <scheme val="minor"/>
          </rPr>
          <t>======
ID#AAABjx7qOoA
    (2025-05-21 11:33:24)
0820 chloe:專案價</t>
        </r>
      </text>
    </comment>
    <comment ref="H733" authorId="0" shapeId="0" xr:uid="{79ECE995-044A-CF4D-BC93-8DD43D1A1F8B}">
      <text>
        <r>
          <rPr>
            <sz val="10"/>
            <color rgb="FF000000"/>
            <rFont val="Aptos Narrow"/>
            <scheme val="minor"/>
          </rPr>
          <t>======
ID#AAABjx7qPM0
    (2025-05-21 11:33:24)
ALICE:9/26玉山銀行匯入USD1212元整，沖PI-20190819A USD1092，沖PI-20190814C USD120</t>
        </r>
      </text>
    </comment>
    <comment ref="P733" authorId="0" shapeId="0" xr:uid="{66ADFDAC-161A-4E41-AD1E-22F220CE38A0}">
      <text>
        <r>
          <rPr>
            <sz val="10"/>
            <color rgb="FF000000"/>
            <rFont val="Aptos Narrow"/>
            <scheme val="minor"/>
          </rPr>
          <t>======
ID#AAABjx7qQzM
    (2025-05-21 11:33:25)
0820 chloe:專案價</t>
        </r>
      </text>
    </comment>
    <comment ref="H734" authorId="0" shapeId="0" xr:uid="{401445D6-7323-DF48-A3C5-50950D2C9518}">
      <text>
        <r>
          <rPr>
            <sz val="10"/>
            <color rgb="FF000000"/>
            <rFont val="Aptos Narrow"/>
            <scheme val="minor"/>
          </rPr>
          <t>======
ID#AAABjx7qPYc
    (2025-05-21 11:33:24)
ALICE:10/17玉山匯入款usd1332沖PI-20190819A USD1332</t>
        </r>
      </text>
    </comment>
    <comment ref="M734" authorId="0" shapeId="0" xr:uid="{45059B23-1F28-754C-8B81-501673796A7E}">
      <text>
        <r>
          <rPr>
            <sz val="10"/>
            <color rgb="FF000000"/>
            <rFont val="Aptos Narrow"/>
            <scheme val="minor"/>
          </rPr>
          <t>======
ID#AAABjx7qVeQ
    (2025-05-21 11:33:27)
0822 PULL IN 中</t>
        </r>
      </text>
    </comment>
    <comment ref="P734" authorId="0" shapeId="0" xr:uid="{62486BB6-3375-1F48-8FBE-8D09235E213F}">
      <text>
        <r>
          <rPr>
            <sz val="10"/>
            <color rgb="FF000000"/>
            <rFont val="Aptos Narrow"/>
            <scheme val="minor"/>
          </rPr>
          <t>======
ID#AAABjx7qR9k
    (2025-05-21 11:33:25)
0820 chloe:專案價</t>
        </r>
      </text>
    </comment>
    <comment ref="H735" authorId="0" shapeId="0" xr:uid="{7E3E7082-3A2E-1542-82EE-B5ACC2E2B241}">
      <text>
        <r>
          <rPr>
            <sz val="10"/>
            <color rgb="FF000000"/>
            <rFont val="Aptos Narrow"/>
            <scheme val="minor"/>
          </rPr>
          <t>======
ID#AAABjx7qM04
    (2025-05-21 11:33:23)
ALICE:10/1玉山收到閎亮匯入款NT14645(手續費15)沖PI-20190801E.沖PI-20190820B 合計共NT14660元整</t>
        </r>
      </text>
    </comment>
    <comment ref="T735" authorId="0" shapeId="0" xr:uid="{1BF1BECE-CB86-1241-9A4B-45AF054EA67E}">
      <text>
        <r>
          <rPr>
            <sz val="10"/>
            <color rgb="FF000000"/>
            <rFont val="Aptos Narrow"/>
            <scheme val="minor"/>
          </rPr>
          <t>======
ID#AAABjx7qM9Y
    (2025-05-21 11:33:23)
0604 chloe:參考庫存表0522平均庫存成本</t>
        </r>
      </text>
    </comment>
    <comment ref="U735" authorId="0" shapeId="0" xr:uid="{B4512BF1-A2AE-E244-92B1-8A860C60E8C1}">
      <text>
        <r>
          <rPr>
            <sz val="10"/>
            <color rgb="FF000000"/>
            <rFont val="Aptos Narrow"/>
            <scheme val="minor"/>
          </rPr>
          <t>======
ID#AAABjx7qSec
    (2025-05-21 11:33:26)
0604 chloe:參考庫存表0522平均庫存成本</t>
        </r>
      </text>
    </comment>
    <comment ref="D736" authorId="0" shapeId="0" xr:uid="{CCC10E37-269E-BD41-97AD-C676E60C4923}">
      <text>
        <r>
          <rPr>
            <sz val="10"/>
            <color rgb="FF000000"/>
            <rFont val="Aptos Narrow"/>
            <scheme val="minor"/>
          </rPr>
          <t>======
ID#AAABjx7qMyw
    (2025-05-21 11:33:23)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6" authorId="0" shapeId="0" xr:uid="{6A7C4CC4-84B2-7948-AE15-CDE3635E057F}">
      <text>
        <r>
          <rPr>
            <sz val="10"/>
            <color rgb="FF000000"/>
            <rFont val="Aptos Narrow"/>
            <scheme val="minor"/>
          </rPr>
          <t>======
ID#AAABjx7qV1c
    (2025-05-21 11:33:27)
ALICE:9/27玉山銀行匯入USD3962元整，沖PI-2190820A 應收USD3962實收3922差額USD40元(手續費)</t>
        </r>
      </text>
    </comment>
    <comment ref="J736" authorId="0" shapeId="0" xr:uid="{35B153F4-AAA0-D844-A247-F321B59B8EAC}">
      <text>
        <r>
          <rPr>
            <sz val="10"/>
            <color rgb="FF000000"/>
            <rFont val="Aptos Narrow"/>
            <scheme val="minor"/>
          </rPr>
          <t>======
ID#AAABjx7qTIE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6" authorId="0" shapeId="0" xr:uid="{C2EB0D51-2EAB-C848-BB20-EC49E5516200}">
      <text>
        <r>
          <rPr>
            <sz val="10"/>
            <color rgb="FF000000"/>
            <rFont val="Aptos Narrow"/>
            <scheme val="minor"/>
          </rPr>
          <t>======
ID#AAABjx7qV2g
    (2025-05-21 11:33:27)
1028 cathy 告知客人交期要延到12月底 
0920 請客人確認moxa交期可否接受</t>
        </r>
      </text>
    </comment>
    <comment ref="M736" authorId="0" shapeId="0" xr:uid="{02BFB91C-9654-774E-A0E4-405D8F794CEE}">
      <text>
        <r>
          <rPr>
            <sz val="10"/>
            <color rgb="FF000000"/>
            <rFont val="Aptos Narrow"/>
            <scheme val="minor"/>
          </rPr>
          <t>======
ID#AAABjx7qWUk
    (2025-05-21 11:33:27)
chloe: 1107 Pull in 12/27 那週交貨→廠商尚未回覆</t>
        </r>
      </text>
    </comment>
    <comment ref="D737" authorId="0" shapeId="0" xr:uid="{05828736-6797-E14D-B7A5-1546E19AC2E3}">
      <text>
        <r>
          <rPr>
            <sz val="10"/>
            <color rgb="FF000000"/>
            <rFont val="Aptos Narrow"/>
            <scheme val="minor"/>
          </rPr>
          <t>======
ID#AAABjx7qQts
    (2025-05-21 11:33:25)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7" authorId="0" shapeId="0" xr:uid="{D1E36098-DD1D-5F46-831A-C5A1C1D65B22}">
      <text>
        <r>
          <rPr>
            <sz val="10"/>
            <color rgb="FF000000"/>
            <rFont val="Aptos Narrow"/>
            <scheme val="minor"/>
          </rPr>
          <t>======
ID#AAABjx7qM6I
    (2025-05-21 11:33:23)
ALICE:9/27玉山銀行匯入USD3962元整，沖PI-2190820A 應收USD3962實收3922差額USD40元(手續費)</t>
        </r>
      </text>
    </comment>
    <comment ref="J737" authorId="0" shapeId="0" xr:uid="{2CB6D405-69C6-154B-837E-E7779B6A9D2C}">
      <text>
        <r>
          <rPr>
            <sz val="10"/>
            <color rgb="FF000000"/>
            <rFont val="Aptos Narrow"/>
            <scheme val="minor"/>
          </rPr>
          <t>======
ID#AAABjx7qS_g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7" authorId="0" shapeId="0" xr:uid="{D8C4B14B-4298-F14B-9C93-7A627723EBBA}">
      <text>
        <r>
          <rPr>
            <sz val="10"/>
            <color rgb="FF000000"/>
            <rFont val="Aptos Narrow"/>
            <scheme val="minor"/>
          </rPr>
          <t>======
ID#AAABjx7qV04
    (2025-05-21 11:33:27)
1028 cathy 告知客人交期要延到12月底 
0920 請客人確認moxa交期可否接受</t>
        </r>
      </text>
    </comment>
    <comment ref="M737" authorId="0" shapeId="0" xr:uid="{5C9700E2-70B1-3144-BC47-F9D90F7ADA13}">
      <text>
        <r>
          <rPr>
            <sz val="10"/>
            <color rgb="FF000000"/>
            <rFont val="Aptos Narrow"/>
            <scheme val="minor"/>
          </rPr>
          <t>======
ID#AAABjx7qNLY
    (2025-05-21 11:33:23)
chloe: 1107 Pull in 12/27 那週交貨→廠商尚未回覆</t>
        </r>
      </text>
    </comment>
    <comment ref="D738" authorId="0" shapeId="0" xr:uid="{ECEA6A8C-214A-034F-B58F-E9F989F6F89B}">
      <text>
        <r>
          <rPr>
            <sz val="10"/>
            <color rgb="FF000000"/>
            <rFont val="Aptos Narrow"/>
            <scheme val="minor"/>
          </rPr>
          <t>======
ID#AAABjx7qUvc
    (2025-05-21 11:33:26)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8" authorId="0" shapeId="0" xr:uid="{AFBBA6A8-5C60-7145-ADDB-60D593EB1F37}">
      <text>
        <r>
          <rPr>
            <sz val="10"/>
            <color rgb="FF000000"/>
            <rFont val="Aptos Narrow"/>
            <scheme val="minor"/>
          </rPr>
          <t>======
ID#AAABjx7qSmU
    (2025-05-21 11:33:26)
ALICE:9/27玉山銀行匯入USD3962元整，沖PI-2190820A 應收USD3962實收3922差額USD40元(手續費)</t>
        </r>
      </text>
    </comment>
    <comment ref="J738" authorId="0" shapeId="0" xr:uid="{B68DCCA4-C416-3149-8994-16AD90D0FEE6}">
      <text>
        <r>
          <rPr>
            <sz val="10"/>
            <color rgb="FF000000"/>
            <rFont val="Aptos Narrow"/>
            <scheme val="minor"/>
          </rPr>
          <t>======
ID#AAABjx7qVLQ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8" authorId="0" shapeId="0" xr:uid="{AA7ED4D6-1B00-AF46-B0D8-0D3E2206FC6D}">
      <text>
        <r>
          <rPr>
            <sz val="10"/>
            <color rgb="FF000000"/>
            <rFont val="Aptos Narrow"/>
            <scheme val="minor"/>
          </rPr>
          <t>======
ID#AAABjx7qOAw
    (2025-05-21 11:33:24)
1028 cathy 告知客人交期要延到12月底 
0920 請客人確認moxa交期可否接受</t>
        </r>
      </text>
    </comment>
    <comment ref="M738" authorId="0" shapeId="0" xr:uid="{A4FEA669-F373-9B4B-9E2B-ADC69AD728AD}">
      <text>
        <r>
          <rPr>
            <sz val="10"/>
            <color rgb="FF000000"/>
            <rFont val="Aptos Narrow"/>
            <scheme val="minor"/>
          </rPr>
          <t>======
ID#AAABjx7qREA
    (2025-05-21 11:33:25)
chloe: 1107 Pull in 12/27 那週交貨→廠商尚未回覆</t>
        </r>
      </text>
    </comment>
    <comment ref="D739" authorId="0" shapeId="0" xr:uid="{7BFDDF49-75A8-7E4E-87E7-2433C09185C8}">
      <text>
        <r>
          <rPr>
            <sz val="10"/>
            <color rgb="FF000000"/>
            <rFont val="Aptos Narrow"/>
            <scheme val="minor"/>
          </rPr>
          <t>======
ID#AAABjx7qPuQ
    (2025-05-21 11:33:24)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739" authorId="0" shapeId="0" xr:uid="{CFA3A266-1695-2647-A8AB-B687BDFB3B99}">
      <text>
        <r>
          <rPr>
            <sz val="10"/>
            <color rgb="FF000000"/>
            <rFont val="Aptos Narrow"/>
            <scheme val="minor"/>
          </rPr>
          <t>======
ID#AAABjx7qPYE
    (2025-05-21 11:33:24)
ALICE:9/27玉山銀行匯入USD3962元整，沖PI-2190820A 應收USD3962實收3922差額USD40元(手續費)</t>
        </r>
      </text>
    </comment>
    <comment ref="J739" authorId="0" shapeId="0" xr:uid="{5A38A989-F4F2-EA4D-8471-481F77933E7F}">
      <text>
        <r>
          <rPr>
            <sz val="10"/>
            <color rgb="FF000000"/>
            <rFont val="Aptos Narrow"/>
            <scheme val="minor"/>
          </rPr>
          <t>======
ID#AAABjx7qWYQ
    (2025-05-21 11:33:27)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739" authorId="0" shapeId="0" xr:uid="{39287B68-0A6D-7642-98CB-D8EDAFBCAD03}">
      <text>
        <r>
          <rPr>
            <sz val="10"/>
            <color rgb="FF000000"/>
            <rFont val="Aptos Narrow"/>
            <scheme val="minor"/>
          </rPr>
          <t>======
ID#AAABjx7qNdY
    (2025-05-21 11:33:23)
1028 cathy 告知客人交期要延到12月底 
0920 請客人確認moxa交期可否接受</t>
        </r>
      </text>
    </comment>
    <comment ref="M739" authorId="0" shapeId="0" xr:uid="{C1FE091D-CB8B-4E47-BF2A-099696132313}">
      <text>
        <r>
          <rPr>
            <sz val="10"/>
            <color rgb="FF000000"/>
            <rFont val="Aptos Narrow"/>
            <scheme val="minor"/>
          </rPr>
          <t>======
ID#AAABjx7qOBI
    (2025-05-21 11:33:24)
chloe: 1107 Pull in 12/27 那週交貨→廠商尚未回覆</t>
        </r>
      </text>
    </comment>
    <comment ref="H740" authorId="0" shapeId="0" xr:uid="{7CA25737-A70F-D04B-8967-6A45F4D691D2}">
      <text>
        <r>
          <rPr>
            <sz val="10"/>
            <color rgb="FF000000"/>
            <rFont val="Aptos Narrow"/>
            <scheme val="minor"/>
          </rPr>
          <t>======
ID#AAABjx7qS0c
    (2025-05-21 11:33:26)
ALICE:10/9-玉山匯入USD700-手續費USD24.49=USD673.51沖PI-20190821A USD700元整</t>
        </r>
      </text>
    </comment>
    <comment ref="O740" authorId="0" shapeId="0" xr:uid="{BEA91BBB-A288-3742-B073-7E53964388FC}">
      <text>
        <r>
          <rPr>
            <sz val="10"/>
            <color rgb="FF000000"/>
            <rFont val="Aptos Narrow"/>
            <scheme val="minor"/>
          </rPr>
          <t>======
ID#AAABjx7qR4U
    (2025-05-21 11:33:25)
0823YVONNE下單</t>
        </r>
      </text>
    </comment>
    <comment ref="H741" authorId="0" shapeId="0" xr:uid="{469B6821-E799-CB4B-B490-219706E28829}">
      <text>
        <r>
          <rPr>
            <sz val="10"/>
            <color rgb="FF000000"/>
            <rFont val="Aptos Narrow"/>
            <scheme val="minor"/>
          </rPr>
          <t>======
ID#AAABjx7qU30
    (2025-05-21 11:33:26)
ALICE:10/9-玉山匯入USD700-手續費USD24.49=USD673.51沖PI-20190821A USD700元整</t>
        </r>
      </text>
    </comment>
    <comment ref="O741" authorId="0" shapeId="0" xr:uid="{70B37DD2-B582-564E-AB21-81AE8449C7B6}">
      <text>
        <r>
          <rPr>
            <sz val="10"/>
            <color rgb="FF000000"/>
            <rFont val="Aptos Narrow"/>
            <scheme val="minor"/>
          </rPr>
          <t>======
ID#AAABjx7qVTg
    (2025-05-21 11:33:27)
0823YVONNE下單</t>
        </r>
      </text>
    </comment>
    <comment ref="G742" authorId="0" shapeId="0" xr:uid="{327249BB-56E0-1740-8FD7-EC8C6645648B}">
      <text>
        <r>
          <rPr>
            <sz val="10"/>
            <color rgb="FF000000"/>
            <rFont val="Aptos Narrow"/>
            <scheme val="minor"/>
          </rPr>
          <t>======
ID#AAABjx7qSWQ
    (2025-05-21 11:33:26)
w/5%VAT</t>
        </r>
      </text>
    </comment>
    <comment ref="H742" authorId="0" shapeId="0" xr:uid="{6BDAD39F-33A8-C644-A3E7-3682A8CD1350}">
      <text>
        <r>
          <rPr>
            <sz val="10"/>
            <color rgb="FF000000"/>
            <rFont val="Aptos Narrow"/>
            <scheme val="minor"/>
          </rPr>
          <t>======
ID#AAABjx7qSoM
    (2025-05-21 11:33:26)
ALICE:10/25-新漢匯入合庫NT46584手續費15</t>
        </r>
      </text>
    </comment>
    <comment ref="D743" authorId="0" shapeId="0" xr:uid="{8B95A87A-7F12-0443-A66D-B497F3C4027F}">
      <text>
        <r>
          <rPr>
            <sz val="10"/>
            <color rgb="FF000000"/>
            <rFont val="Aptos Narrow"/>
            <scheme val="minor"/>
          </rPr>
          <t>======
ID#AAABjx7qOYs
    (2025-05-21 11:33:24)
8/21 請chloe協助下單</t>
        </r>
      </text>
    </comment>
    <comment ref="H743" authorId="0" shapeId="0" xr:uid="{348A55BB-07D9-5847-8DE0-59C4AB7E5E78}">
      <text>
        <r>
          <rPr>
            <sz val="10"/>
            <color rgb="FF000000"/>
            <rFont val="Aptos Narrow"/>
            <scheme val="minor"/>
          </rPr>
          <t>======
ID#AAABjx7qVQ4
    (2025-05-21 11:33:27)
ALICE:10/5-玉山NT匯入59340沖PI20190821C.PI-20190829B.PI-20190906A合計共NT59355元整</t>
        </r>
      </text>
    </comment>
    <comment ref="D744" authorId="0" shapeId="0" xr:uid="{2E49A3D5-ED32-9346-B55F-A390622FB6B0}">
      <text>
        <r>
          <rPr>
            <sz val="10"/>
            <color rgb="FF000000"/>
            <rFont val="Aptos Narrow"/>
            <scheme val="minor"/>
          </rPr>
          <t>======
ID#AAABjx7qVlM
    (2025-05-21 11:33:27)
8/21 請chloe協助下單</t>
        </r>
      </text>
    </comment>
    <comment ref="E744" authorId="0" shapeId="0" xr:uid="{1937BBC1-147E-7243-8AE3-7F4AD72F0249}">
      <text>
        <r>
          <rPr>
            <sz val="10"/>
            <color rgb="FF000000"/>
            <rFont val="Aptos Narrow"/>
            <scheme val="minor"/>
          </rPr>
          <t>======
ID#AAABjx7qTbI
    (2025-05-21 11:33:26)
Chole 告知上次下單為US Adaptor</t>
        </r>
      </text>
    </comment>
    <comment ref="H744" authorId="0" shapeId="0" xr:uid="{634D7CF7-A79A-9D47-B22A-E81CF43CE683}">
      <text>
        <r>
          <rPr>
            <sz val="10"/>
            <color rgb="FF000000"/>
            <rFont val="Aptos Narrow"/>
            <scheme val="minor"/>
          </rPr>
          <t>======
ID#AAABjx7qOvg
    (2025-05-21 11:33:24)
ALICE:10/5-玉山NT匯入59340沖PI20190821C.PI-20190829B.PI-20190906A合計共NT59355元整</t>
        </r>
      </text>
    </comment>
    <comment ref="G745" authorId="0" shapeId="0" xr:uid="{C6E516E0-55C2-7B41-92BA-1E3F3BB48295}">
      <text>
        <r>
          <rPr>
            <sz val="10"/>
            <color rgb="FF000000"/>
            <rFont val="Aptos Narrow"/>
            <scheme val="minor"/>
          </rPr>
          <t>======
ID#AAABjx7qQ8o
    (2025-05-21 11:33:25)
190215 w/5% vat</t>
        </r>
      </text>
    </comment>
    <comment ref="H745" authorId="0" shapeId="0" xr:uid="{4EEB895F-EE0B-1F40-9715-43C2A2ABC4AE}">
      <text>
        <r>
          <rPr>
            <sz val="10"/>
            <color rgb="FF000000"/>
            <rFont val="Aptos Narrow"/>
            <scheme val="minor"/>
          </rPr>
          <t>======
ID#AAABjx7qVSE
    (2025-05-21 11:33:27)
ALICE:10/31-合庫匯入NT49350沖季宣49378</t>
        </r>
      </text>
    </comment>
    <comment ref="K745" authorId="0" shapeId="0" xr:uid="{067E3C09-B387-DE41-BD3D-87C19D7AE825}">
      <text>
        <r>
          <rPr>
            <sz val="10"/>
            <color rgb="FF000000"/>
            <rFont val="Aptos Narrow"/>
            <scheme val="minor"/>
          </rPr>
          <t>======
ID#AAABjx7qPUU
    (2025-05-21 11:33:24)
0903:TAMMY通知SAN同意先放貨後付款</t>
        </r>
      </text>
    </comment>
    <comment ref="G746" authorId="0" shapeId="0" xr:uid="{2939A339-B646-AE40-B20B-DC200677550F}">
      <text>
        <r>
          <rPr>
            <sz val="10"/>
            <color rgb="FF000000"/>
            <rFont val="Aptos Narrow"/>
            <scheme val="minor"/>
          </rPr>
          <t>======
ID#AAABjx7qTUE
    (2025-05-21 11:33:26)
190215 w/5% vat</t>
        </r>
      </text>
    </comment>
    <comment ref="H746" authorId="0" shapeId="0" xr:uid="{DD53DCF4-BE9A-BC41-98C9-D029D924CE88}">
      <text>
        <r>
          <rPr>
            <sz val="10"/>
            <color rgb="FF000000"/>
            <rFont val="Aptos Narrow"/>
            <scheme val="minor"/>
          </rPr>
          <t>======
ID#AAABjx7qN28
    (2025-05-21 11:33:23)
ALICE:10/31-合庫匯入NT49350沖季宣49378</t>
        </r>
      </text>
    </comment>
    <comment ref="K746" authorId="0" shapeId="0" xr:uid="{E10045B4-C78B-0240-8F96-023800C93620}">
      <text>
        <r>
          <rPr>
            <sz val="10"/>
            <color rgb="FF000000"/>
            <rFont val="Aptos Narrow"/>
            <scheme val="minor"/>
          </rPr>
          <t>======
ID#AAABjx7qORU
    (2025-05-21 11:33:24)
0903:TAMMY通知SAN同意先放貨後付款</t>
        </r>
      </text>
    </comment>
    <comment ref="G747" authorId="0" shapeId="0" xr:uid="{51623CC2-5F29-A34B-B0A9-BC7658991511}">
      <text>
        <r>
          <rPr>
            <sz val="10"/>
            <color rgb="FF000000"/>
            <rFont val="Aptos Narrow"/>
            <scheme val="minor"/>
          </rPr>
          <t>======
ID#AAABjx7qQNs
    (2025-05-21 11:33:25)
190215 w/5% vat</t>
        </r>
      </text>
    </comment>
    <comment ref="H747" authorId="0" shapeId="0" xr:uid="{A6746811-0ECB-014B-BB0D-428B5527909C}">
      <text>
        <r>
          <rPr>
            <sz val="10"/>
            <color rgb="FF000000"/>
            <rFont val="Aptos Narrow"/>
            <scheme val="minor"/>
          </rPr>
          <t>======
ID#AAABjx7qPIM
    (2025-05-21 11:33:24)
ALICE:10/31-合庫匯入NT49350沖季宣49378</t>
        </r>
      </text>
    </comment>
    <comment ref="K748" authorId="0" shapeId="0" xr:uid="{2BDB6C31-6524-7E41-BE41-21E64DEE050A}">
      <text>
        <r>
          <rPr>
            <sz val="10"/>
            <color rgb="FF000000"/>
            <rFont val="Aptos Narrow"/>
            <scheme val="minor"/>
          </rPr>
          <t>======
ID#AAABjx7qUvQ
    (2025-05-21 11:33:26)
0826YVONNE:寄出，g504樣品出口，簡易報關。</t>
        </r>
      </text>
    </comment>
    <comment ref="AB748" authorId="0" shapeId="0" xr:uid="{2D919516-FB56-894F-8DDA-6A73FA67EF48}">
      <text>
        <r>
          <rPr>
            <sz val="10"/>
            <color rgb="FF000000"/>
            <rFont val="Aptos Narrow"/>
            <scheme val="minor"/>
          </rPr>
          <t>======
ID#AAABjx7qPuY
    (2025-05-21 11:33:24)
簡易報關出口</t>
        </r>
      </text>
    </comment>
    <comment ref="K749" authorId="0" shapeId="0" xr:uid="{FA7A4FB5-8DFD-D74A-ABE7-20726C5292CA}">
      <text>
        <r>
          <rPr>
            <sz val="10"/>
            <color rgb="FF000000"/>
            <rFont val="Aptos Narrow"/>
            <scheme val="minor"/>
          </rPr>
          <t>======
ID#AAABjx7qV24
    (2025-05-21 11:33:27)
0826YVONNE:寄出，g504樣品出口，簡易報關。</t>
        </r>
      </text>
    </comment>
    <comment ref="I750" authorId="0" shapeId="0" xr:uid="{EECC72F9-621A-4340-BC71-2151A698EA0D}">
      <text>
        <r>
          <rPr>
            <sz val="10"/>
            <color rgb="FF000000"/>
            <rFont val="Aptos Narrow"/>
            <scheme val="minor"/>
          </rPr>
          <t>======
ID#AAABjx7qUro
    (2025-05-21 11:33:26)
Cathy/Santiago</t>
        </r>
      </text>
    </comment>
    <comment ref="K750" authorId="0" shapeId="0" xr:uid="{1114CF02-E688-1447-B217-96EBE7A9913B}">
      <text>
        <r>
          <rPr>
            <sz val="10"/>
            <color rgb="FF000000"/>
            <rFont val="Aptos Narrow"/>
            <scheme val="minor"/>
          </rPr>
          <t>======
ID#AAABjx7qNQk
    (2025-05-21 11:33:23)
1105 Cathy: 已有通知Armi客人可以吸收</t>
        </r>
      </text>
    </comment>
    <comment ref="O750" authorId="0" shapeId="0" xr:uid="{562AD4FC-9DCC-334C-AC5A-B9DC02022E34}">
      <text>
        <r>
          <rPr>
            <sz val="10"/>
            <color rgb="FF000000"/>
            <rFont val="Aptos Narrow"/>
            <scheme val="minor"/>
          </rPr>
          <t>======
ID#AAABjx7qWLQ
    (2025-05-21 11:33:27)
尚未下單，曦立告知或許有良率問題它們可能會吸收掉</t>
        </r>
      </text>
    </comment>
    <comment ref="D751" authorId="0" shapeId="0" xr:uid="{B3D31205-33F6-1F45-8F69-D547013985CB}">
      <text>
        <r>
          <rPr>
            <sz val="10"/>
            <color rgb="FF000000"/>
            <rFont val="Aptos Narrow"/>
            <scheme val="minor"/>
          </rPr>
          <t>======
ID#AAABjx7qTXU
    (2025-05-21 11:33:26)
0828 請chloe 協助下單</t>
        </r>
      </text>
    </comment>
    <comment ref="F751" authorId="0" shapeId="0" xr:uid="{98DC361A-E1A6-0141-A4C1-B4FD0D9C81F4}">
      <text>
        <r>
          <rPr>
            <sz val="10"/>
            <color rgb="FF000000"/>
            <rFont val="Aptos Narrow"/>
            <scheme val="minor"/>
          </rPr>
          <t>======
ID#AAABjx7qO2w
    (2025-05-21 11:33:24)
0829 Cathy: 客戶Revise 數量15-&gt; 10pcs</t>
        </r>
      </text>
    </comment>
    <comment ref="H751" authorId="0" shapeId="0" xr:uid="{5606C4BE-F153-F049-B5BC-480AC8C3A007}">
      <text>
        <r>
          <rPr>
            <sz val="10"/>
            <color rgb="FF000000"/>
            <rFont val="Aptos Narrow"/>
            <scheme val="minor"/>
          </rPr>
          <t>======
ID#AAABjx7qNtc
    (2025-05-21 11:33:23)
ALICE:10/8-玉山水單匯入USD1566沖PI-20190828A USD1566</t>
        </r>
      </text>
    </comment>
    <comment ref="P751" authorId="0" shapeId="0" xr:uid="{033789EE-DD4E-8D4D-88A1-4046C5DF66E0}">
      <text>
        <r>
          <rPr>
            <sz val="10"/>
            <color rgb="FF000000"/>
            <rFont val="Aptos Narrow"/>
            <scheme val="minor"/>
          </rPr>
          <t>======
ID#AAABjx7qOOw
    (2025-05-21 11:33:24)
往後使用以色列專案價</t>
        </r>
      </text>
    </comment>
    <comment ref="D752" authorId="0" shapeId="0" xr:uid="{15FDF58E-4C96-1541-A986-953E0DCD9B8D}">
      <text>
        <r>
          <rPr>
            <sz val="10"/>
            <color rgb="FF000000"/>
            <rFont val="Aptos Narrow"/>
            <scheme val="minor"/>
          </rPr>
          <t>======
ID#AAABjx7qSDU
    (2025-05-21 11:33:25)
0828 請chloe 協助下單</t>
        </r>
      </text>
    </comment>
    <comment ref="H752" authorId="0" shapeId="0" xr:uid="{2DEA785B-0393-0A47-906A-CE5CFD0DD1E6}">
      <text>
        <r>
          <rPr>
            <sz val="10"/>
            <color rgb="FF000000"/>
            <rFont val="Aptos Narrow"/>
            <scheme val="minor"/>
          </rPr>
          <t>======
ID#AAABjx7qO2Q
    (2025-05-21 11:33:24)
ALICE:10/8-玉山水單匯入USD1566沖PI-20190828A USD1566</t>
        </r>
      </text>
    </comment>
    <comment ref="P752" authorId="0" shapeId="0" xr:uid="{D2D2DE9A-1CD8-1F43-A6A0-0A35C6CFD2C4}">
      <text>
        <r>
          <rPr>
            <sz val="10"/>
            <color rgb="FF000000"/>
            <rFont val="Aptos Narrow"/>
            <scheme val="minor"/>
          </rPr>
          <t>======
ID#AAABjx7qQRw
    (2025-05-21 11:33:25)
往後使用以色列專案價</t>
        </r>
      </text>
    </comment>
    <comment ref="D753" authorId="0" shapeId="0" xr:uid="{619FD1BD-CE7B-6B49-92AE-578CCAAE1FAF}">
      <text>
        <r>
          <rPr>
            <sz val="10"/>
            <color rgb="FF000000"/>
            <rFont val="Aptos Narrow"/>
            <scheme val="minor"/>
          </rPr>
          <t>======
ID#AAABjx7qRKw
    (2025-05-21 11:33:25)
0828 請chloe 協助下單</t>
        </r>
      </text>
    </comment>
    <comment ref="H753" authorId="0" shapeId="0" xr:uid="{7465593A-D758-744C-970C-BD5830AA615D}">
      <text>
        <r>
          <rPr>
            <sz val="10"/>
            <color rgb="FF000000"/>
            <rFont val="Aptos Narrow"/>
            <scheme val="minor"/>
          </rPr>
          <t>======
ID#AAABjx7qVkU
    (2025-05-21 11:33:27)
ALICE:10/8-玉山水單匯入USD1566沖PI-20190828A USD1566</t>
        </r>
      </text>
    </comment>
    <comment ref="P753" authorId="0" shapeId="0" xr:uid="{400D6057-D39D-3C49-9E5C-0A7E60D8E523}">
      <text>
        <r>
          <rPr>
            <sz val="10"/>
            <color rgb="FF000000"/>
            <rFont val="Aptos Narrow"/>
            <scheme val="minor"/>
          </rPr>
          <t>======
ID#AAABj82dpQE
    (2025-05-21 11:33:23)
往後使用以色列專案價</t>
        </r>
      </text>
    </comment>
    <comment ref="D754" authorId="0" shapeId="0" xr:uid="{64C7AEE3-08AE-5D48-B785-F16F7FB20EBA}">
      <text>
        <r>
          <rPr>
            <sz val="10"/>
            <color rgb="FF000000"/>
            <rFont val="Aptos Narrow"/>
            <scheme val="minor"/>
          </rPr>
          <t>======
ID#AAABjx7qN5E
    (2025-05-21 11:33:23)
0828 請chloe 協助下單
0829 CATHY: 客戶新增項目</t>
        </r>
      </text>
    </comment>
    <comment ref="H754" authorId="0" shapeId="0" xr:uid="{F5139869-B553-0A4B-AB26-AA699AD2F349}">
      <text>
        <r>
          <rPr>
            <sz val="10"/>
            <color rgb="FF000000"/>
            <rFont val="Aptos Narrow"/>
            <scheme val="minor"/>
          </rPr>
          <t>======
ID#AAABjx7qQcA
    (2025-05-21 11:33:25)
ALICE:10/8-玉山水單匯入USD1566沖PI-20190828A USD1566</t>
        </r>
      </text>
    </comment>
    <comment ref="P754" authorId="0" shapeId="0" xr:uid="{8321FB51-BBEC-4249-9F9A-A0EC9B8C8471}">
      <text>
        <r>
          <rPr>
            <sz val="10"/>
            <color rgb="FF000000"/>
            <rFont val="Aptos Narrow"/>
            <scheme val="minor"/>
          </rPr>
          <t>======
ID#AAABjx7qRHQ
    (2025-05-21 11:33:25)
往後使用以色列專案價</t>
        </r>
      </text>
    </comment>
    <comment ref="H755" authorId="0" shapeId="0" xr:uid="{0406EE28-2548-0147-A739-EE43BD88CB4D}">
      <text>
        <r>
          <rPr>
            <sz val="10"/>
            <color rgb="FF000000"/>
            <rFont val="Aptos Narrow"/>
            <scheme val="minor"/>
          </rPr>
          <t>======
ID#AAABjx7qVf8
    (2025-05-21 11:33:27)
ALICE:8/30-玉山銀行匯入USD2236沖PI20190829A USD2236元整</t>
        </r>
      </text>
    </comment>
    <comment ref="H756" authorId="0" shapeId="0" xr:uid="{2DEFD142-D870-624C-AF0E-854287DFBD12}">
      <text>
        <r>
          <rPr>
            <sz val="10"/>
            <color rgb="FF000000"/>
            <rFont val="Aptos Narrow"/>
            <scheme val="minor"/>
          </rPr>
          <t>======
ID#AAABjx7qQIY
    (2025-05-21 11:33:25)
ALICE:8/30-玉山銀行匯入USD2236沖PI20190829A USD2236元整</t>
        </r>
      </text>
    </comment>
    <comment ref="O756" authorId="0" shapeId="0" xr:uid="{658AE23B-3BBA-384D-8385-D81C92033276}">
      <text>
        <r>
          <rPr>
            <sz val="10"/>
            <color rgb="FF000000"/>
            <rFont val="Aptos Narrow"/>
            <scheme val="minor"/>
          </rPr>
          <t>======
ID#AAABjx7qQ6c
    (2025-05-21 11:33:25)
0831 chloe 修改料號，待Nicky回覆</t>
        </r>
      </text>
    </comment>
    <comment ref="D757" authorId="0" shapeId="0" xr:uid="{C49A0537-B72D-2645-A4CB-0FEC8775731F}">
      <text>
        <r>
          <rPr>
            <sz val="10"/>
            <color rgb="FF000000"/>
            <rFont val="Aptos Narrow"/>
            <scheme val="minor"/>
          </rPr>
          <t>======
ID#AAABjx7qQVw
    (2025-05-21 11:33:25)
0829 Cathy: 請chloe協助下單</t>
        </r>
      </text>
    </comment>
    <comment ref="H757" authorId="0" shapeId="0" xr:uid="{E68EFEBA-6063-7F40-90A6-9E938E83935F}">
      <text>
        <r>
          <rPr>
            <sz val="10"/>
            <color rgb="FF000000"/>
            <rFont val="Aptos Narrow"/>
            <scheme val="minor"/>
          </rPr>
          <t>======
ID#AAABjx7qSJs
    (2025-05-21 11:33:26)
ALICE:10/5-玉山NT匯入59340沖PI20190821C.PI-20190829B.PI-20190906A合計共NT59355元整</t>
        </r>
      </text>
    </comment>
    <comment ref="H758" authorId="0" shapeId="0" xr:uid="{4505D272-27E7-FF4E-92C1-35D73CE5BEE6}">
      <text>
        <r>
          <rPr>
            <sz val="10"/>
            <color rgb="FF000000"/>
            <rFont val="Aptos Narrow"/>
            <scheme val="minor"/>
          </rPr>
          <t>======
ID#AAABjx7qTmw
    (2025-05-21 11:33:26)
ALICE:10/22玉山銀行匯入USD6469沖PI-20190905A USD495.PI-20190905A-F USD45.PI-20190902A 5929合計總沖USD6469</t>
        </r>
      </text>
    </comment>
    <comment ref="H759" authorId="0" shapeId="0" xr:uid="{F51397DE-C6FC-C04D-9214-EE7B73DC1DF1}">
      <text>
        <r>
          <rPr>
            <sz val="10"/>
            <color rgb="FF000000"/>
            <rFont val="Aptos Narrow"/>
            <scheme val="minor"/>
          </rPr>
          <t>======
ID#AAABjx7qSuI
    (2025-05-21 11:33:26)
ALICE:10/22玉山銀行匯入USD6469沖PI-20190905A USD495.PI-20190905A-F USD45.PI-20190902A 5929合計總沖USD6469</t>
        </r>
      </text>
    </comment>
    <comment ref="H760" authorId="0" shapeId="0" xr:uid="{8EB25814-DE1B-7F44-81A6-18DC1C41282D}">
      <text>
        <r>
          <rPr>
            <sz val="10"/>
            <color rgb="FF000000"/>
            <rFont val="Aptos Narrow"/>
            <scheme val="minor"/>
          </rPr>
          <t>======
ID#AAABjx7qPI0
    (2025-05-21 11:33:24)
ALICE:10/22玉山銀行匯入USD6469沖PI-20190905A USD495.PI-20190905A-F USD45.PI-20190902A 5929合計總沖USD6469</t>
        </r>
      </text>
    </comment>
    <comment ref="H761" authorId="0" shapeId="0" xr:uid="{38457204-FF74-9343-B35E-5833B108D6ED}">
      <text>
        <r>
          <rPr>
            <sz val="10"/>
            <color rgb="FF000000"/>
            <rFont val="Aptos Narrow"/>
            <scheme val="minor"/>
          </rPr>
          <t>======
ID#AAABjx7qNdw
    (2025-05-21 11:33:23)
ALICE:10/22玉山銀行匯入USD6469沖PI-20190905A USD495.PI-20190905A-F USD45.PI-20190902A 5929合計總沖USD6469</t>
        </r>
      </text>
    </comment>
    <comment ref="H762" authorId="0" shapeId="0" xr:uid="{7DB046E9-F8E0-3B4F-B900-910AE3B87033}">
      <text>
        <r>
          <rPr>
            <sz val="10"/>
            <color rgb="FF000000"/>
            <rFont val="Aptos Narrow"/>
            <scheme val="minor"/>
          </rPr>
          <t>======
ID#AAABjx7qPAY
    (2025-05-21 11:33:24)
ALICE:10/22玉山銀行匯入USD6469沖PI-20190905A USD495.PI-20190905A-F USD45.PI-20190902A 5929合計總沖USD6469</t>
        </r>
      </text>
    </comment>
    <comment ref="H763" authorId="0" shapeId="0" xr:uid="{BDCD4D32-2353-814D-9A98-366D3A566BCA}">
      <text>
        <r>
          <rPr>
            <sz val="10"/>
            <color rgb="FF000000"/>
            <rFont val="Aptos Narrow"/>
            <scheme val="minor"/>
          </rPr>
          <t>======
ID#AAABjx7qRCA
    (2025-05-21 11:33:25)
ALICE:10/22玉山銀行匯入USD6469沖PI-20190905A USD495.PI-20190905A-F USD45.PI-20190902A 5929合計總沖USD6469</t>
        </r>
      </text>
    </comment>
    <comment ref="H777" authorId="0" shapeId="0" xr:uid="{0FA855D1-E2F3-344B-8096-758AA0ED5412}">
      <text>
        <r>
          <rPr>
            <sz val="10"/>
            <color rgb="FF000000"/>
            <rFont val="Aptos Narrow"/>
            <scheme val="minor"/>
          </rPr>
          <t>======
ID#AAABjx7qVd8
    (2025-05-21 11:33:27)
alice:9/6玉山水單通知usd4763.4沖pi-20190904a usd4763.4</t>
        </r>
      </text>
    </comment>
    <comment ref="P777" authorId="0" shapeId="0" xr:uid="{9382244C-70EE-AA4C-99CB-7B08B19B987F}">
      <text>
        <r>
          <rPr>
            <sz val="10"/>
            <color rgb="FF000000"/>
            <rFont val="Aptos Narrow"/>
            <scheme val="minor"/>
          </rPr>
          <t>======
ID#AAABjx7qTU8
    (2025-05-21 11:33:26)
以色列專案價</t>
        </r>
      </text>
    </comment>
    <comment ref="H778" authorId="0" shapeId="0" xr:uid="{94E9271C-2DB5-634A-A134-A3BCC4FF52F1}">
      <text>
        <r>
          <rPr>
            <sz val="10"/>
            <color rgb="FF000000"/>
            <rFont val="Aptos Narrow"/>
            <scheme val="minor"/>
          </rPr>
          <t>======
ID#AAABjx7qPoo
    (2025-05-21 11:33:24)
alice:9/6玉山水單通知usd4763.4沖pi-20190904a usd4763.4</t>
        </r>
      </text>
    </comment>
    <comment ref="P778" authorId="0" shapeId="0" xr:uid="{323CE48F-8FBB-F246-8CC4-0DAC95EF23F7}">
      <text>
        <r>
          <rPr>
            <sz val="10"/>
            <color rgb="FF000000"/>
            <rFont val="Aptos Narrow"/>
            <scheme val="minor"/>
          </rPr>
          <t>======
ID#AAABjx7qQVM
    (2025-05-21 11:33:25)
以色列專案價</t>
        </r>
      </text>
    </comment>
    <comment ref="E779" authorId="0" shapeId="0" xr:uid="{74D3F133-3FF9-9442-B61A-706E57499B60}">
      <text>
        <r>
          <rPr>
            <sz val="10"/>
            <color rgb="FF000000"/>
            <rFont val="Aptos Narrow"/>
            <scheme val="minor"/>
          </rPr>
          <t>======
ID#AAABjx7qS78
    (2025-05-21 11:33:26)
EU電源</t>
        </r>
      </text>
    </comment>
    <comment ref="H779" authorId="0" shapeId="0" xr:uid="{0E0449BC-7CDB-B041-9B1B-8A554FD40722}">
      <text>
        <r>
          <rPr>
            <sz val="10"/>
            <color rgb="FF000000"/>
            <rFont val="Aptos Narrow"/>
            <scheme val="minor"/>
          </rPr>
          <t>======
ID#AAABjx7qRlQ
    (2025-05-21 11:33:25)
alice:9/6玉山水單通知usd4763.4沖pi-20190904a usd4763.4</t>
        </r>
      </text>
    </comment>
    <comment ref="M779" authorId="0" shapeId="0" xr:uid="{6B37D698-1BE1-1B40-87A4-D8DB6D7CDEB4}">
      <text>
        <r>
          <rPr>
            <sz val="10"/>
            <color rgb="FF000000"/>
            <rFont val="Aptos Narrow"/>
            <scheme val="minor"/>
          </rPr>
          <t>======
ID#AAABjx7qRWQ
    (2025-05-21 11:33:25)
待PULL IN中</t>
        </r>
      </text>
    </comment>
    <comment ref="P779" authorId="0" shapeId="0" xr:uid="{97A5338E-F7FA-8C47-BB95-C0ABA093E47E}">
      <text>
        <r>
          <rPr>
            <sz val="10"/>
            <color rgb="FF000000"/>
            <rFont val="Aptos Narrow"/>
            <scheme val="minor"/>
          </rPr>
          <t>======
ID#AAABjx7qWBg
    (2025-05-21 11:33:27)
以色列專案價</t>
        </r>
      </text>
    </comment>
    <comment ref="H780" authorId="0" shapeId="0" xr:uid="{97FA7894-DCF4-E944-B6A5-9B058BF902A0}">
      <text>
        <r>
          <rPr>
            <sz val="10"/>
            <color rgb="FF000000"/>
            <rFont val="Aptos Narrow"/>
            <scheme val="minor"/>
          </rPr>
          <t>======
ID#AAABjx7qS8A
    (2025-05-21 11:33:26)
ALICE:10/22玉山銀行匯入USD6469沖PI-20190905A USD495.PI-20190905A-F USD45.PI-20190902A 5929合計總沖USD6469</t>
        </r>
      </text>
    </comment>
    <comment ref="O780" authorId="0" shapeId="0" xr:uid="{9DB29162-9C12-6748-A3DC-E7230775497D}">
      <text>
        <r>
          <rPr>
            <sz val="10"/>
            <color rgb="FF000000"/>
            <rFont val="Aptos Narrow"/>
            <scheme val="minor"/>
          </rPr>
          <t>======
ID#AAABjx7qU8M
    (2025-05-21 11:33:27)
0905YVONNE下單</t>
        </r>
      </text>
    </comment>
    <comment ref="M781" authorId="0" shapeId="0" xr:uid="{8793CA98-B93A-D644-90E1-313FEEABE1AC}">
      <text>
        <r>
          <rPr>
            <sz val="10"/>
            <color rgb="FF000000"/>
            <rFont val="Aptos Narrow"/>
            <scheme val="minor"/>
          </rPr>
          <t>======
ID#AAABjx7qMqQ
    (2025-05-21 11:33:23)
0905YVONNE下單</t>
        </r>
      </text>
    </comment>
    <comment ref="O781" authorId="0" shapeId="0" xr:uid="{4966DD95-80AB-1546-9974-8CE019352591}">
      <text>
        <r>
          <rPr>
            <sz val="10"/>
            <color rgb="FF000000"/>
            <rFont val="Aptos Narrow"/>
            <scheme val="minor"/>
          </rPr>
          <t>======
ID#AAABjx7qSak
    (2025-05-21 11:33:26)
0905YVONNE下單</t>
        </r>
      </text>
    </comment>
    <comment ref="M782" authorId="0" shapeId="0" xr:uid="{51243A0A-5E3D-994E-A6A2-F32F96BA58FA}">
      <text>
        <r>
          <rPr>
            <sz val="10"/>
            <color rgb="FF000000"/>
            <rFont val="Aptos Narrow"/>
            <scheme val="minor"/>
          </rPr>
          <t>======
ID#AAABjx7qNcY
    (2025-05-21 11:33:23)
0905YVONNE下單</t>
        </r>
      </text>
    </comment>
    <comment ref="O782" authorId="0" shapeId="0" xr:uid="{5B6A95CD-594F-2F4D-A032-4DA458FAB66A}">
      <text>
        <r>
          <rPr>
            <sz val="10"/>
            <color rgb="FF000000"/>
            <rFont val="Aptos Narrow"/>
            <scheme val="minor"/>
          </rPr>
          <t>======
ID#AAABjx7qRPg
    (2025-05-21 11:33:25)
0905YVONNE下單</t>
        </r>
      </text>
    </comment>
    <comment ref="D784" authorId="0" shapeId="0" xr:uid="{4FAE15E4-4373-FD46-9A04-2774EF67B5F6}">
      <text>
        <r>
          <rPr>
            <sz val="10"/>
            <color rgb="FF000000"/>
            <rFont val="Aptos Narrow"/>
            <scheme val="minor"/>
          </rPr>
          <t>======
ID#AAABjx7qS9k
    (2025-05-21 11:33:26)
0906 請Chloe 協助下單</t>
        </r>
      </text>
    </comment>
    <comment ref="H784" authorId="0" shapeId="0" xr:uid="{218BE7CE-BB2D-114E-8555-E87036CAC8BC}">
      <text>
        <r>
          <rPr>
            <sz val="10"/>
            <color rgb="FF000000"/>
            <rFont val="Aptos Narrow"/>
            <scheme val="minor"/>
          </rPr>
          <t>======
ID#AAABjx7qR6o
    (2025-05-21 11:33:25)
ALICE:10/5-玉山NT匯入59340沖PI20190821C.PI-20190829B.PI-20190906A合計共NT59355元整</t>
        </r>
      </text>
    </comment>
    <comment ref="D785" authorId="0" shapeId="0" xr:uid="{20F9BB15-ABC4-5B47-BBE0-1B5A98F484B1}">
      <text>
        <r>
          <rPr>
            <sz val="10"/>
            <color rgb="FF000000"/>
            <rFont val="Aptos Narrow"/>
            <scheme val="minor"/>
          </rPr>
          <t>======
ID#AAABjx7qQqA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E785" authorId="0" shapeId="0" xr:uid="{0682E83E-29D8-4141-8CBA-7C1AACD9BEC2}">
      <text>
        <r>
          <rPr>
            <sz val="10"/>
            <color rgb="FF000000"/>
            <rFont val="Aptos Narrow"/>
            <scheme val="minor"/>
          </rPr>
          <t>======
ID#AAABjx7qQCc
    (2025-05-21 11:33:25)
20170104 Santiago: 和之前訂單一樣, w/o adapter</t>
        </r>
      </text>
    </comment>
    <comment ref="H785" authorId="0" shapeId="0" xr:uid="{F62F784F-5C06-524F-899D-DE41E0A16F86}">
      <text>
        <r>
          <rPr>
            <sz val="10"/>
            <color rgb="FF000000"/>
            <rFont val="Aptos Narrow"/>
            <scheme val="minor"/>
          </rPr>
          <t>======
ID#AAABjx7qTZ0
    (2025-05-21 11:33:26)
ALICE:9/24玉山銀行水單匯入USD5713沖PI-20190906B USD5713</t>
        </r>
      </text>
    </comment>
    <comment ref="J785" authorId="0" shapeId="0" xr:uid="{EC06A7ED-31DA-F04D-998A-C07A26DDB16F}">
      <text>
        <r>
          <rPr>
            <sz val="10"/>
            <color rgb="FF000000"/>
            <rFont val="Aptos Narrow"/>
            <scheme val="minor"/>
          </rPr>
          <t>======
ID#AAABjx7qS2A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O785" authorId="0" shapeId="0" xr:uid="{9EA5F9F9-092B-9D49-9C6C-C225F0BA7368}">
      <text>
        <r>
          <rPr>
            <sz val="10"/>
            <color rgb="FF000000"/>
            <rFont val="Aptos Narrow"/>
            <scheme val="minor"/>
          </rPr>
          <t>======
ID#AAABjx7qQ2U
    (2025-05-21 11:33:25)
0920 chloe:待凱西告知可下單
0923  chloe: Cathy通知下單</t>
        </r>
      </text>
    </comment>
    <comment ref="P785" authorId="0" shapeId="0" xr:uid="{234AF48D-31AB-FF4F-9832-2AB5194E5B8F}">
      <text>
        <r>
          <rPr>
            <sz val="10"/>
            <color rgb="FF000000"/>
            <rFont val="Aptos Narrow"/>
            <scheme val="minor"/>
          </rPr>
          <t>======
ID#AAABjx7qRwU
    (2025-05-21 11:33:25)
20190900279290  專案價格</t>
        </r>
      </text>
    </comment>
    <comment ref="D786" authorId="0" shapeId="0" xr:uid="{0E642799-A513-5943-848B-EED07D0ED9B2}">
      <text>
        <r>
          <rPr>
            <sz val="10"/>
            <color rgb="FF000000"/>
            <rFont val="Aptos Narrow"/>
            <scheme val="minor"/>
          </rPr>
          <t>======
ID#AAABjx7qWWY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786" authorId="0" shapeId="0" xr:uid="{AA0B97EC-6FC6-6C43-A404-9CD664986BD4}">
      <text>
        <r>
          <rPr>
            <sz val="10"/>
            <color rgb="FF000000"/>
            <rFont val="Aptos Narrow"/>
            <scheme val="minor"/>
          </rPr>
          <t>======
ID#AAABjx7qVAc
    (2025-05-21 11:33:27)
ALICE:9/24玉山銀行水單匯入USD5713沖PI-20190906B USD5713</t>
        </r>
      </text>
    </comment>
    <comment ref="J786" authorId="0" shapeId="0" xr:uid="{65D96077-77CF-8947-95C5-F4CF64998967}">
      <text>
        <r>
          <rPr>
            <sz val="10"/>
            <color rgb="FF000000"/>
            <rFont val="Aptos Narrow"/>
            <scheme val="minor"/>
          </rPr>
          <t>======
ID#AAABjx7qRTY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O786" authorId="0" shapeId="0" xr:uid="{69E7F22F-DF83-7C4A-BBD1-D2456F8C850D}">
      <text>
        <r>
          <rPr>
            <sz val="10"/>
            <color rgb="FF000000"/>
            <rFont val="Aptos Narrow"/>
            <scheme val="minor"/>
          </rPr>
          <t>======
ID#AAABjx7qRzU
    (2025-05-21 11:33:25)
0920 chloe:待凱西告知可下單
0923  chloe: Cathy通知下單</t>
        </r>
      </text>
    </comment>
    <comment ref="P786" authorId="0" shapeId="0" xr:uid="{B428C5E5-C805-2247-A175-98BB7DE3833F}">
      <text>
        <r>
          <rPr>
            <sz val="10"/>
            <color rgb="FF000000"/>
            <rFont val="Aptos Narrow"/>
            <scheme val="minor"/>
          </rPr>
          <t>======
ID#AAABjx7qR2c
    (2025-05-21 11:33:25)
20190900279290 專案價格</t>
        </r>
      </text>
    </comment>
    <comment ref="D787" authorId="0" shapeId="0" xr:uid="{463724F4-F86D-C240-A0DE-4CE79DE49A51}">
      <text>
        <r>
          <rPr>
            <sz val="10"/>
            <color rgb="FF000000"/>
            <rFont val="Aptos Narrow"/>
            <scheme val="minor"/>
          </rPr>
          <t>======
ID#AAABjx7qNo8
    (2025-05-21 11:33:23)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787" authorId="0" shapeId="0" xr:uid="{092C3751-3FE0-F74A-9B14-D91F3BC1BBDE}">
      <text>
        <r>
          <rPr>
            <sz val="10"/>
            <color rgb="FF000000"/>
            <rFont val="Aptos Narrow"/>
            <scheme val="minor"/>
          </rPr>
          <t>======
ID#AAABjx7qTdI
    (2025-05-21 11:33:26)
ALICE:9/24玉山銀行水單匯入USD5713沖PI-20190906B USD5713</t>
        </r>
      </text>
    </comment>
    <comment ref="J787" authorId="0" shapeId="0" xr:uid="{657CF898-347A-F741-AA58-FBAC1B675630}">
      <text>
        <r>
          <rPr>
            <sz val="10"/>
            <color rgb="FF000000"/>
            <rFont val="Aptos Narrow"/>
            <scheme val="minor"/>
          </rPr>
          <t>======
ID#AAABjx7qQFg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O787" authorId="0" shapeId="0" xr:uid="{3F24A3FE-BAE5-9A4A-A4AC-2AB0E1B5A9D9}">
      <text>
        <r>
          <rPr>
            <sz val="10"/>
            <color rgb="FF000000"/>
            <rFont val="Aptos Narrow"/>
            <scheme val="minor"/>
          </rPr>
          <t>======
ID#AAABjx7qNlA
    (2025-05-21 11:33:23)
0920 chloe:待凱西告知可下單
0923  chloe: Cathy通知下單</t>
        </r>
      </text>
    </comment>
    <comment ref="P787" authorId="0" shapeId="0" xr:uid="{1B80BB8C-D210-2F46-9EBF-1B8061458358}">
      <text>
        <r>
          <rPr>
            <sz val="10"/>
            <color rgb="FF000000"/>
            <rFont val="Aptos Narrow"/>
            <scheme val="minor"/>
          </rPr>
          <t>======
ID#AAABjx7qPmc
    (2025-05-21 11:33:24)
20190900279290 專案價格(3PCS)</t>
        </r>
      </text>
    </comment>
    <comment ref="D788" authorId="0" shapeId="0" xr:uid="{A49CED9B-6990-A24B-ABC0-F5E9206C753C}">
      <text>
        <r>
          <rPr>
            <sz val="10"/>
            <color rgb="FF000000"/>
            <rFont val="Aptos Narrow"/>
            <scheme val="minor"/>
          </rPr>
          <t>======
ID#AAABjx7qSwI
    (2025-05-21 11:33:26)
在此輸入
0909 客人待O/A肯放USD 10000 才要下單
1001 告知改由Aditeh付款</t>
        </r>
      </text>
    </comment>
    <comment ref="D789" authorId="0" shapeId="0" xr:uid="{44296C36-87C7-BA4C-A7A2-FAA3AA69FF07}">
      <text>
        <r>
          <rPr>
            <sz val="10"/>
            <color rgb="FF000000"/>
            <rFont val="Aptos Narrow"/>
            <scheme val="minor"/>
          </rPr>
          <t>======
ID#AAABjx7qPPY
    (2025-05-21 11:33:24)
在此輸入
0909 客人待O/A肯放USD 10000 才要下單
1001 告知改由Aditeh付款</t>
        </r>
      </text>
    </comment>
    <comment ref="P789" authorId="0" shapeId="0" xr:uid="{701B3A5A-C2C9-3E4A-B668-7D695CE2BDF8}">
      <text>
        <r>
          <rPr>
            <sz val="10"/>
            <color rgb="FF000000"/>
            <rFont val="Aptos Narrow"/>
            <scheme val="minor"/>
          </rPr>
          <t>======
ID#AAABjx7qPEU
    (2025-05-21 11:33:24)
0911 chloe:使用以色列專案價</t>
        </r>
      </text>
    </comment>
    <comment ref="D790" authorId="0" shapeId="0" xr:uid="{26A4D462-CFE5-F249-9A42-C1E6D13AA65C}">
      <text>
        <r>
          <rPr>
            <sz val="10"/>
            <color rgb="FF000000"/>
            <rFont val="Aptos Narrow"/>
            <scheme val="minor"/>
          </rPr>
          <t>======
ID#AAABj82dpP0
    (2025-05-21 11:33:23)
在此輸入
0909 客人待O/A肯放USD 10000 才要下單
1001 告知改由Aditeh付款</t>
        </r>
      </text>
    </comment>
    <comment ref="P790" authorId="0" shapeId="0" xr:uid="{B73E053D-2670-BA41-B01A-88F6659CEA57}">
      <text>
        <r>
          <rPr>
            <sz val="10"/>
            <color rgb="FF000000"/>
            <rFont val="Aptos Narrow"/>
            <scheme val="minor"/>
          </rPr>
          <t>======
ID#AAABjx7qMrg
    (2025-05-21 11:33:23)
0911 chloe:使用以色列專案價</t>
        </r>
      </text>
    </comment>
    <comment ref="D791" authorId="0" shapeId="0" xr:uid="{E158559D-A743-844A-B791-EFA502A503A4}">
      <text>
        <r>
          <rPr>
            <sz val="10"/>
            <color rgb="FF000000"/>
            <rFont val="Aptos Narrow"/>
            <scheme val="minor"/>
          </rPr>
          <t>======
ID#AAABjx7qR-E
    (2025-05-21 11:33:25)
在此輸入
0909 客人待O/A肯放USD 10000 才要下單
1001 告知改由Aditeh付款</t>
        </r>
      </text>
    </comment>
    <comment ref="P791" authorId="0" shapeId="0" xr:uid="{A51D43E9-A882-8F4C-872C-1DAAED0899D8}">
      <text>
        <r>
          <rPr>
            <sz val="10"/>
            <color rgb="FF000000"/>
            <rFont val="Aptos Narrow"/>
            <scheme val="minor"/>
          </rPr>
          <t>======
ID#AAABjx7qU8c
    (2025-05-21 11:33:27)
0911 chloe:使用以色列專案價</t>
        </r>
      </text>
    </comment>
    <comment ref="D792" authorId="0" shapeId="0" xr:uid="{33696E05-9D0D-5744-B0C4-41FAA690667E}">
      <text>
        <r>
          <rPr>
            <sz val="10"/>
            <color rgb="FF000000"/>
            <rFont val="Aptos Narrow"/>
            <scheme val="minor"/>
          </rPr>
          <t>======
ID#AAABjx7qV4Q
    (2025-05-21 11:33:27)
在此輸入
0909 客人待O/A肯放USD 10000 才要下單
1001 告知改由Aditeh付款</t>
        </r>
      </text>
    </comment>
    <comment ref="D793" authorId="0" shapeId="0" xr:uid="{38F9639F-D67D-3247-8951-901225A08746}">
      <text>
        <r>
          <rPr>
            <sz val="10"/>
            <color rgb="FF000000"/>
            <rFont val="Aptos Narrow"/>
            <scheme val="minor"/>
          </rPr>
          <t>======
ID#AAABjx7qOVw
    (2025-05-21 11:33:24)
Transfer from PI-20190412A  Accview</t>
        </r>
      </text>
    </comment>
    <comment ref="K793" authorId="0" shapeId="0" xr:uid="{64490DA5-30CA-0140-9BD5-CF96103644C3}">
      <text>
        <r>
          <rPr>
            <sz val="10"/>
            <color rgb="FF000000"/>
            <rFont val="Aptos Narrow"/>
            <scheme val="minor"/>
          </rPr>
          <t>======
ID#AAABjx7qPr0
    (2025-05-21 11:33:24)
ACCUVIEW  SEND TO CAPTEC</t>
        </r>
      </text>
    </comment>
    <comment ref="H794" authorId="0" shapeId="0" xr:uid="{08C0DBE2-4749-3640-A954-A22BFF198C82}">
      <text>
        <r>
          <rPr>
            <sz val="10"/>
            <color rgb="FF000000"/>
            <rFont val="Aptos Narrow"/>
            <scheme val="minor"/>
          </rPr>
          <t>======
ID#AAABjx7qPfI
    (2025-05-21 11:33:24)
ALICE:10/22玉山銀行匯入USD6469沖PI-20190905A USD495.PI-20190905A-F USD45.PI-20190902A 5929合計總沖USD6469</t>
        </r>
      </text>
    </comment>
    <comment ref="Z794" authorId="0" shapeId="0" xr:uid="{FF8A969E-780C-0C4E-B477-9CA45C8C6BED}">
      <text>
        <r>
          <rPr>
            <sz val="10"/>
            <color rgb="FF000000"/>
            <rFont val="Aptos Narrow"/>
            <scheme val="minor"/>
          </rPr>
          <t>======
ID#AAABjx7qWXs
    (2025-05-21 11:33:27)
ALICE: TI2 PI-20190905A-F 運費998
             Santiago寄目錄到NEw era運費1385
             Santiago寄目錄到captec 運費1385</t>
        </r>
      </text>
    </comment>
    <comment ref="D795" authorId="0" shapeId="0" xr:uid="{7E464E7F-E38E-6343-92B6-DBFB23EB6434}">
      <text>
        <r>
          <rPr>
            <sz val="10"/>
            <color rgb="FF000000"/>
            <rFont val="Aptos Narrow"/>
            <scheme val="minor"/>
          </rPr>
          <t>======
ID#AAABjx7qM18
    (2025-05-21 11:33:23)
0910 Cathy: 已請chloe &amp; Bank 協助</t>
        </r>
      </text>
    </comment>
    <comment ref="H795" authorId="0" shapeId="0" xr:uid="{A0198382-816A-8A48-BAE1-B81AE55CC1F9}">
      <text>
        <r>
          <rPr>
            <sz val="10"/>
            <color rgb="FF000000"/>
            <rFont val="Aptos Narrow"/>
            <scheme val="minor"/>
          </rPr>
          <t>======
ID#AAABjx7qV4M
    (2025-05-21 11:33:27)
ALICE:11/14-Hectronic匯入USD244(內含手續費USD6.57)沖PI-20190910B USD137 + 沖PI-20190719B-3 USD107</t>
        </r>
      </text>
    </comment>
    <comment ref="M795" authorId="0" shapeId="0" xr:uid="{2506EBFE-924C-D847-9263-17734F6EA825}">
      <text>
        <r>
          <rPr>
            <sz val="10"/>
            <color rgb="FF000000"/>
            <rFont val="Aptos Narrow"/>
            <scheme val="minor"/>
          </rPr>
          <t>======
ID#AAABjx7qMro
    (2025-05-21 11:33:23)
0912YVONNE:CHLOE通知，貨到讓BANK確認後在出。</t>
        </r>
      </text>
    </comment>
    <comment ref="D796" authorId="0" shapeId="0" xr:uid="{389A086E-92C8-7B40-BC36-5C037BA379E2}">
      <text>
        <r>
          <rPr>
            <sz val="10"/>
            <color rgb="FF000000"/>
            <rFont val="Aptos Narrow"/>
            <scheme val="minor"/>
          </rPr>
          <t>======
ID#AAABjx7qWPg
    (2025-05-21 11:33:27)
0910 Cathy: 已請chloe &amp; Bank 協助</t>
        </r>
      </text>
    </comment>
    <comment ref="H796" authorId="0" shapeId="0" xr:uid="{DB4FF07B-FA1C-AD47-BF17-0F1879F82429}">
      <text>
        <r>
          <rPr>
            <sz val="10"/>
            <color rgb="FF000000"/>
            <rFont val="Aptos Narrow"/>
            <scheme val="minor"/>
          </rPr>
          <t>======
ID#AAABjx7qQz0
    (2025-05-21 11:33:25)
ALICE:11/14-Hectronic匯入USD244(內含手續費USD6.57)沖PI-20190910B USD137 + 沖PI-20190719B-3 USD107</t>
        </r>
      </text>
    </comment>
    <comment ref="M796" authorId="0" shapeId="0" xr:uid="{2CCD4447-DA28-5E4D-9F59-FAF22B67665D}">
      <text>
        <r>
          <rPr>
            <sz val="10"/>
            <color rgb="FF000000"/>
            <rFont val="Aptos Narrow"/>
            <scheme val="minor"/>
          </rPr>
          <t>======
ID#AAABjx7qQus
    (2025-05-21 11:33:25)
0912YVONNE:CHLOE通知，貨到讓BANK確認後在出。
0925YVONNE:已由VIVIAN代確認。</t>
        </r>
      </text>
    </comment>
    <comment ref="T796" authorId="0" shapeId="0" xr:uid="{278D9A44-205D-214D-9194-5A5C0020DB74}">
      <text>
        <r>
          <rPr>
            <sz val="10"/>
            <color rgb="FF000000"/>
            <rFont val="Aptos Narrow"/>
            <scheme val="minor"/>
          </rPr>
          <t>======
ID#AAABjx7qVI8
    (2025-05-21 11:33:27)
0911 chloe:廠商贈送樣品</t>
        </r>
      </text>
    </comment>
    <comment ref="U796" authorId="0" shapeId="0" xr:uid="{D2FA508F-6F2E-0E42-822F-19F27627B5DA}">
      <text>
        <r>
          <rPr>
            <sz val="10"/>
            <color rgb="FF000000"/>
            <rFont val="Aptos Narrow"/>
            <scheme val="minor"/>
          </rPr>
          <t>======
ID#AAABjx7qPsI
    (2025-05-21 11:33:24)
0911 chloe:廠商贈送樣品</t>
        </r>
      </text>
    </comment>
    <comment ref="D797" authorId="0" shapeId="0" xr:uid="{04F33F7E-EDE6-664D-9001-A3DF8533403D}">
      <text>
        <r>
          <rPr>
            <sz val="10"/>
            <color rgb="FF000000"/>
            <rFont val="Aptos Narrow"/>
            <scheme val="minor"/>
          </rPr>
          <t>======
ID#AAABjx7qTY8
    (2025-05-21 11:33:26)
0910 Cathy: 已請chloe &amp; Bank 協助</t>
        </r>
      </text>
    </comment>
    <comment ref="H797" authorId="0" shapeId="0" xr:uid="{47D1A2E0-79E8-FE4C-AE3F-BA3F558B290F}">
      <text>
        <r>
          <rPr>
            <sz val="10"/>
            <color rgb="FF000000"/>
            <rFont val="Aptos Narrow"/>
            <scheme val="minor"/>
          </rPr>
          <t>======
ID#AAABjx7qRzw
    (2025-05-21 11:33:25)
ALICE:11/14-Hectronic匯入USD244(內含手續費USD6.57)沖PI-20190910B USD137 + 沖PI-20190719B-3 USD107</t>
        </r>
      </text>
    </comment>
    <comment ref="M797" authorId="0" shapeId="0" xr:uid="{00B6B88E-5539-AF42-80BC-56E4C9B23379}">
      <text>
        <r>
          <rPr>
            <sz val="10"/>
            <color rgb="FF000000"/>
            <rFont val="Aptos Narrow"/>
            <scheme val="minor"/>
          </rPr>
          <t>======
ID#AAABjx7qOjA
    (2025-05-21 11:33:24)
0912YVONNE:CHLOE通知，貨到讓BANK確認後在出。</t>
        </r>
      </text>
    </comment>
    <comment ref="O797" authorId="0" shapeId="0" xr:uid="{75EE8E5A-7121-D442-87A6-EF7C78DB5624}">
      <text>
        <r>
          <rPr>
            <sz val="10"/>
            <color rgb="FF000000"/>
            <rFont val="Aptos Narrow"/>
            <scheme val="minor"/>
          </rPr>
          <t>======
ID#AAABjx7qVHc
    (2025-05-21 11:33:27)
0917 Bank告知，後續會換成10.1"給戎克(因17"的有問題)</t>
        </r>
      </text>
    </comment>
    <comment ref="B798" authorId="0" shapeId="0" xr:uid="{069106E3-32EE-8349-8054-E9D2704DE4F0}">
      <text>
        <r>
          <rPr>
            <sz val="10"/>
            <color rgb="FF000000"/>
            <rFont val="Aptos Narrow"/>
            <scheme val="minor"/>
          </rPr>
          <t>======
ID#AAABj82dpNA
    (2025-05-21 11:33:23)
新開發客戶</t>
        </r>
      </text>
    </comment>
    <comment ref="H798" authorId="0" shapeId="0" xr:uid="{26116AF7-BC10-9D44-B16F-71FA425A0A25}">
      <text>
        <r>
          <rPr>
            <sz val="10"/>
            <color rgb="FF000000"/>
            <rFont val="Aptos Narrow"/>
            <scheme val="minor"/>
          </rPr>
          <t>======
ID#AAABjx7qP64
    (2025-05-21 11:33:24)
ALICE:9/12玉山水單匯入USD1463沖PI-20190910C USD1463元整</t>
        </r>
      </text>
    </comment>
    <comment ref="K798" authorId="0" shapeId="0" xr:uid="{0D199953-2A27-2B40-AB3D-07488F377D7A}">
      <text>
        <r>
          <rPr>
            <sz val="10"/>
            <color rgb="FF000000"/>
            <rFont val="Aptos Narrow"/>
            <scheme val="minor"/>
          </rPr>
          <t>======
ID#AAABjx7qVEk
    (2025-05-21 11:33:27)
0916 cathy : revise 交期&amp;通知客人</t>
        </r>
      </text>
    </comment>
    <comment ref="P798" authorId="0" shapeId="0" xr:uid="{10CFC20B-0609-6747-A0B3-ADF28046AED2}">
      <text>
        <r>
          <rPr>
            <sz val="10"/>
            <color rgb="FF000000"/>
            <rFont val="Aptos Narrow"/>
            <scheme val="minor"/>
          </rPr>
          <t>======
ID#AAABjx7qNEw
    (2025-05-21 11:33:23)
0911 chloe :使用以色列專案價</t>
        </r>
      </text>
    </comment>
    <comment ref="B799" authorId="0" shapeId="0" xr:uid="{12A7EED4-DB9A-9F41-995F-67BF690BF396}">
      <text>
        <r>
          <rPr>
            <sz val="10"/>
            <color rgb="FF000000"/>
            <rFont val="Aptos Narrow"/>
            <scheme val="minor"/>
          </rPr>
          <t>======
ID#AAABjx7qSKo
    (2025-05-21 11:33:26)
新開發客戶</t>
        </r>
      </text>
    </comment>
    <comment ref="H799" authorId="0" shapeId="0" xr:uid="{3E4AC6A2-1E26-5E47-A07D-4068B9D17A78}">
      <text>
        <r>
          <rPr>
            <sz val="10"/>
            <color rgb="FF000000"/>
            <rFont val="Aptos Narrow"/>
            <scheme val="minor"/>
          </rPr>
          <t>======
ID#AAABjx7qNyA
    (2025-05-21 11:33:23)
ALICE:9/12玉山水單匯入USD1463沖PI-20190910C USD1463元整</t>
        </r>
      </text>
    </comment>
    <comment ref="P799" authorId="0" shapeId="0" xr:uid="{0AE3DECF-4BDF-3E40-BD5B-156E31A0B921}">
      <text>
        <r>
          <rPr>
            <sz val="10"/>
            <color rgb="FF000000"/>
            <rFont val="Aptos Narrow"/>
            <scheme val="minor"/>
          </rPr>
          <t>======
ID#AAABjx7qNMM
    (2025-05-21 11:33:23)
0911 chloe :使用以色列專案價</t>
        </r>
      </text>
    </comment>
    <comment ref="B800" authorId="0" shapeId="0" xr:uid="{B9ACD449-E72B-FF47-85A4-39E911A4CD23}">
      <text>
        <r>
          <rPr>
            <sz val="10"/>
            <color rgb="FF000000"/>
            <rFont val="Aptos Narrow"/>
            <scheme val="minor"/>
          </rPr>
          <t>======
ID#AAABjx7qPfw
    (2025-05-21 11:33:24)
新開發客戶</t>
        </r>
      </text>
    </comment>
    <comment ref="H800" authorId="0" shapeId="0" xr:uid="{13A13ECF-8BDC-6A4F-B9C3-E57B15F76ABA}">
      <text>
        <r>
          <rPr>
            <sz val="10"/>
            <color rgb="FF000000"/>
            <rFont val="Aptos Narrow"/>
            <scheme val="minor"/>
          </rPr>
          <t>======
ID#AAABjx7qPZU
    (2025-05-21 11:33:24)
ALICE:9/12玉山水單匯入USD1463沖PI-20190910C USD1463元整</t>
        </r>
      </text>
    </comment>
    <comment ref="B801" authorId="0" shapeId="0" xr:uid="{AC24A0DD-15EF-C045-91A9-61DB7F10EBAF}">
      <text>
        <r>
          <rPr>
            <sz val="10"/>
            <color rgb="FF000000"/>
            <rFont val="Aptos Narrow"/>
            <scheme val="minor"/>
          </rPr>
          <t>======
ID#AAABjx7qPuA
    (2025-05-21 11:33:24)
新開發客戶</t>
        </r>
      </text>
    </comment>
    <comment ref="H801" authorId="0" shapeId="0" xr:uid="{F0BC63D3-193F-D540-B1D3-3D29DD966426}">
      <text>
        <r>
          <rPr>
            <sz val="10"/>
            <color rgb="FF000000"/>
            <rFont val="Aptos Narrow"/>
            <scheme val="minor"/>
          </rPr>
          <t>======
ID#AAABjx7qNzc
    (2025-05-21 11:33:23)
ALICE:9/12玉山水單匯入USD1463沖PI-20190910C USD1463元整</t>
        </r>
      </text>
    </comment>
    <comment ref="P801" authorId="0" shapeId="0" xr:uid="{8710F32D-934C-0E48-B9C8-1601CC411A0A}">
      <text>
        <r>
          <rPr>
            <sz val="10"/>
            <color rgb="FF000000"/>
            <rFont val="Aptos Narrow"/>
            <scheme val="minor"/>
          </rPr>
          <t>======
ID#AAABjx7qQZY
    (2025-05-21 11:33:25)
0911 chloe :使用以色列專案價</t>
        </r>
      </text>
    </comment>
    <comment ref="B802" authorId="0" shapeId="0" xr:uid="{E7858760-BDC3-C74B-9D9F-9EF90E056C61}">
      <text>
        <r>
          <rPr>
            <sz val="10"/>
            <color rgb="FF000000"/>
            <rFont val="Aptos Narrow"/>
            <scheme val="minor"/>
          </rPr>
          <t>======
ID#AAABjx7qQs4
    (2025-05-21 11:33:25)
新開發客戶</t>
        </r>
      </text>
    </comment>
    <comment ref="H802" authorId="0" shapeId="0" xr:uid="{76A73BD8-B16D-174B-B193-76365558D0FF}">
      <text>
        <r>
          <rPr>
            <sz val="10"/>
            <color rgb="FF000000"/>
            <rFont val="Aptos Narrow"/>
            <scheme val="minor"/>
          </rPr>
          <t>======
ID#AAABjx7qSz4
    (2025-05-21 11:33:26)
ALICE:9/12玉山水單匯入USD1463沖PI-20190910C USD1463元整</t>
        </r>
      </text>
    </comment>
    <comment ref="B803" authorId="0" shapeId="0" xr:uid="{17D838EC-A6A1-744C-8EA5-5115867B8A86}">
      <text>
        <r>
          <rPr>
            <sz val="10"/>
            <color rgb="FF000000"/>
            <rFont val="Aptos Narrow"/>
            <scheme val="minor"/>
          </rPr>
          <t>======
ID#AAABjx7qPtM
    (2025-05-21 11:33:24)
新開發客戶</t>
        </r>
      </text>
    </comment>
    <comment ref="H803" authorId="0" shapeId="0" xr:uid="{CAF1E5C0-EC84-A341-BA60-2591906236DC}">
      <text>
        <r>
          <rPr>
            <sz val="10"/>
            <color rgb="FF000000"/>
            <rFont val="Aptos Narrow"/>
            <scheme val="minor"/>
          </rPr>
          <t>======
ID#AAABjx7qSzY
    (2025-05-21 11:33:26)
ALICE:9/12玉山水單匯入USD1463沖PI-20190910C USD1463元整</t>
        </r>
      </text>
    </comment>
    <comment ref="B804" authorId="0" shapeId="0" xr:uid="{1F232BB3-BF05-6D42-80D2-4701A6150821}">
      <text>
        <r>
          <rPr>
            <sz val="10"/>
            <color rgb="FF000000"/>
            <rFont val="Aptos Narrow"/>
            <scheme val="minor"/>
          </rPr>
          <t>======
ID#AAABjx7qRLQ
    (2025-05-21 11:33:25)
新開發客戶</t>
        </r>
      </text>
    </comment>
    <comment ref="H804" authorId="0" shapeId="0" xr:uid="{679F319E-7F5E-5242-A537-2A94D3B55530}">
      <text>
        <r>
          <rPr>
            <sz val="10"/>
            <color rgb="FF000000"/>
            <rFont val="Aptos Narrow"/>
            <scheme val="minor"/>
          </rPr>
          <t>======
ID#AAABjx7qQ28
    (2025-05-21 11:33:25)
ALICE:9/12玉山水單匯入USD1463沖PI-20190910C USD1463元整</t>
        </r>
      </text>
    </comment>
    <comment ref="E805" authorId="0" shapeId="0" xr:uid="{1763FD3B-E39F-ED41-9739-83C507FC9B0B}">
      <text>
        <r>
          <rPr>
            <sz val="10"/>
            <color rgb="FF000000"/>
            <rFont val="Aptos Narrow"/>
            <scheme val="minor"/>
          </rPr>
          <t>======
ID#AAABj82dpPg
    (2025-05-21 11:33:23)
有做IEC60945</t>
        </r>
      </text>
    </comment>
    <comment ref="G805" authorId="0" shapeId="0" xr:uid="{489E7C8C-4F58-C444-841F-479C1528C835}">
      <text>
        <r>
          <rPr>
            <sz val="10"/>
            <color rgb="FF000000"/>
            <rFont val="Aptos Narrow"/>
            <scheme val="minor"/>
          </rPr>
          <t>======
ID#AAABjx7qN_Q
    (2025-05-21 11:33:24)
20191030客人告知想直接買入。</t>
        </r>
      </text>
    </comment>
    <comment ref="H806" authorId="0" shapeId="0" xr:uid="{82E5A156-B637-AF40-94E0-508051EF7176}">
      <text>
        <r>
          <rPr>
            <sz val="10"/>
            <color rgb="FF000000"/>
            <rFont val="Aptos Narrow"/>
            <scheme val="minor"/>
          </rPr>
          <t>======
ID#AAABjx7qU68
    (2025-05-21 11:33:27)
ALICE:10/24玉山水單匯入USD478沖PI-20190913A USD478</t>
        </r>
      </text>
    </comment>
    <comment ref="O806" authorId="0" shapeId="0" xr:uid="{FB007254-9976-C74A-B735-8E281C45AE0C}">
      <text>
        <r>
          <rPr>
            <sz val="10"/>
            <color rgb="FF000000"/>
            <rFont val="Aptos Narrow"/>
            <scheme val="minor"/>
          </rPr>
          <t>======
ID#AAABjx7qS4Y
    (2025-05-21 11:33:26)
0916YVONNE下單</t>
        </r>
      </text>
    </comment>
    <comment ref="H807" authorId="0" shapeId="0" xr:uid="{9EAF5AF1-83F4-634F-B22E-E6DCF1366AF5}">
      <text>
        <r>
          <rPr>
            <sz val="10"/>
            <color rgb="FF000000"/>
            <rFont val="Aptos Narrow"/>
            <scheme val="minor"/>
          </rPr>
          <t>======
ID#AAABjx7qO2Y
    (2025-05-21 11:33:24)
ALICE:10/24玉山水單匯入USD478沖PI-20190913A USD478</t>
        </r>
      </text>
    </comment>
    <comment ref="O807" authorId="0" shapeId="0" xr:uid="{278E53B8-FDCD-3548-A62B-4F0536AC3340}">
      <text>
        <r>
          <rPr>
            <sz val="10"/>
            <color rgb="FF000000"/>
            <rFont val="Aptos Narrow"/>
            <scheme val="minor"/>
          </rPr>
          <t>======
ID#AAABjx7qN9E
    (2025-05-21 11:33:23)
0916YVONNE下單</t>
        </r>
      </text>
    </comment>
    <comment ref="H808" authorId="0" shapeId="0" xr:uid="{6AEC696F-30C5-E54D-931C-7C09DB20B2B0}">
      <text>
        <r>
          <rPr>
            <sz val="10"/>
            <color rgb="FF000000"/>
            <rFont val="Aptos Narrow"/>
            <scheme val="minor"/>
          </rPr>
          <t>======
ID#AAABjx7qWBU
    (2025-05-21 11:33:27)
ALICE:10/24玉山水單匯入USD478沖PI-20190913A USD478</t>
        </r>
      </text>
    </comment>
    <comment ref="O808" authorId="0" shapeId="0" xr:uid="{A10311D2-0B6F-F04D-9D87-E38D0522D244}">
      <text>
        <r>
          <rPr>
            <sz val="10"/>
            <color rgb="FF000000"/>
            <rFont val="Aptos Narrow"/>
            <scheme val="minor"/>
          </rPr>
          <t>======
ID#AAABjx7qQrc
    (2025-05-21 11:33:25)
0916YVONNE下單</t>
        </r>
      </text>
    </comment>
    <comment ref="H809" authorId="0" shapeId="0" xr:uid="{CA66E95D-5C58-4347-A1A2-015A2C594166}">
      <text>
        <r>
          <rPr>
            <sz val="10"/>
            <color rgb="FF000000"/>
            <rFont val="Aptos Narrow"/>
            <scheme val="minor"/>
          </rPr>
          <t>======
ID#AAABj82dpNE
    (2025-05-21 11:33:23)
ALICE:10/22玉山匯入USD1405沖PI-20190913B USD1405</t>
        </r>
      </text>
    </comment>
    <comment ref="J809" authorId="0" shapeId="0" xr:uid="{3DFA81DB-71FF-2946-8F67-13CF36BCFBB1}">
      <text>
        <r>
          <rPr>
            <sz val="10"/>
            <color rgb="FF000000"/>
            <rFont val="Aptos Narrow"/>
            <scheme val="minor"/>
          </rPr>
          <t>======
ID#AAABjx7qM6M
    (2025-05-21 11:33:23)
190919 但未知FEDEX服務，出貨前再確認
191008 Economy service</t>
        </r>
      </text>
    </comment>
    <comment ref="T809" authorId="0" shapeId="0" xr:uid="{AF48D968-9E86-A34F-8C95-2DCDC63B7D7A}">
      <text>
        <r>
          <rPr>
            <sz val="10"/>
            <color rgb="FF000000"/>
            <rFont val="Aptos Narrow"/>
            <scheme val="minor"/>
          </rPr>
          <t>======
ID#AAABjx7qQyw
    (2025-05-21 11:33:25)
戎克庫存成本(2019/10/03查詢)</t>
        </r>
      </text>
    </comment>
    <comment ref="U809" authorId="0" shapeId="0" xr:uid="{3D40D93D-AB20-B74B-805B-D0B47CCAAB16}">
      <text>
        <r>
          <rPr>
            <sz val="10"/>
            <color rgb="FF000000"/>
            <rFont val="Aptos Narrow"/>
            <scheme val="minor"/>
          </rPr>
          <t>======
ID#AAABjx7qWIA
    (2025-05-21 11:33:27)
戎克庫存成本(2019/10/03查詢)</t>
        </r>
      </text>
    </comment>
    <comment ref="H810" authorId="0" shapeId="0" xr:uid="{E254EFB0-6059-5740-A7F6-B6DEEC963491}">
      <text>
        <r>
          <rPr>
            <sz val="10"/>
            <color rgb="FF000000"/>
            <rFont val="Aptos Narrow"/>
            <scheme val="minor"/>
          </rPr>
          <t>======
ID#AAABjx7qRkk
    (2025-05-21 11:33:25)
ALICE:10/22玉山匯入USD1405沖PI-20190913B USD1405</t>
        </r>
      </text>
    </comment>
    <comment ref="J810" authorId="0" shapeId="0" xr:uid="{8E2976E3-72C1-944D-BFF3-0C3C4845DD62}">
      <text>
        <r>
          <rPr>
            <sz val="10"/>
            <color rgb="FF000000"/>
            <rFont val="Aptos Narrow"/>
            <scheme val="minor"/>
          </rPr>
          <t>======
ID#AAABjx7qP-o
    (2025-05-21 11:33:25)
190919 但未知FEDEX服務，出貨前再確認
191008 Economy service</t>
        </r>
      </text>
    </comment>
    <comment ref="E811" authorId="0" shapeId="0" xr:uid="{5F7E48C5-8D95-1B4D-8C0D-D1D1BE9C1FFB}">
      <text>
        <r>
          <rPr>
            <sz val="10"/>
            <color rgb="FF000000"/>
            <rFont val="Aptos Narrow"/>
            <scheme val="minor"/>
          </rPr>
          <t>======
ID#AAABjx7qRE8
    (2025-05-21 11:33:25)
DG141005</t>
        </r>
      </text>
    </comment>
    <comment ref="H811" authorId="0" shapeId="0" xr:uid="{147C3508-CA06-AB4C-ADCA-0742096AC6A1}">
      <text>
        <r>
          <rPr>
            <sz val="10"/>
            <color rgb="FF000000"/>
            <rFont val="Aptos Narrow"/>
            <scheme val="minor"/>
          </rPr>
          <t>======
ID#AAABjx7qOvI
    (2025-05-21 11:33:24)
20190918 SAN同意讓客人於下次下單給款</t>
        </r>
      </text>
    </comment>
    <comment ref="T811" authorId="0" shapeId="0" xr:uid="{7FFAF3F3-1AFD-E942-A326-9630ED55E0ED}">
      <text>
        <r>
          <rPr>
            <sz val="10"/>
            <color rgb="FF000000"/>
            <rFont val="Aptos Narrow"/>
            <scheme val="minor"/>
          </rPr>
          <t>======
ID#AAABjx7qRDU
    (2025-05-21 11:33:25)
0916 chloe:樣品無下單</t>
        </r>
      </text>
    </comment>
    <comment ref="U811" authorId="0" shapeId="0" xr:uid="{B5A71BEA-9E2D-B14A-8074-D4778933C10C}">
      <text>
        <r>
          <rPr>
            <sz val="10"/>
            <color rgb="FF000000"/>
            <rFont val="Aptos Narrow"/>
            <scheme val="minor"/>
          </rPr>
          <t>======
ID#AAABjx7qOco
    (2025-05-21 11:33:24)
1029 chloe 樣品，無費用</t>
        </r>
      </text>
    </comment>
    <comment ref="E812" authorId="0" shapeId="0" xr:uid="{8A53634F-13EE-BD4F-8DF1-4010D7CA9409}">
      <text>
        <r>
          <rPr>
            <sz val="10"/>
            <color rgb="FF000000"/>
            <rFont val="Aptos Narrow"/>
            <scheme val="minor"/>
          </rPr>
          <t>======
ID#AAABjx7qTV4
    (2025-05-21 11:33:26)
9/18 CHLOE告知市面上已無庫存</t>
        </r>
      </text>
    </comment>
    <comment ref="H814" authorId="0" shapeId="0" xr:uid="{352ED695-0BFF-FA4F-B7F7-2E605F8BCAD6}">
      <text>
        <r>
          <rPr>
            <sz val="10"/>
            <color rgb="FF000000"/>
            <rFont val="Aptos Narrow"/>
            <scheme val="minor"/>
          </rPr>
          <t>======
ID#AAABjx7qNM0
    (2025-05-21 11:33:23)
20190918 SAN同意讓客人於下次下單給款</t>
        </r>
      </text>
    </comment>
    <comment ref="H815" authorId="0" shapeId="0" xr:uid="{227B7BCC-E20F-DE4B-807C-5DAB40C9F12B}">
      <text>
        <r>
          <rPr>
            <sz val="10"/>
            <color rgb="FF000000"/>
            <rFont val="Aptos Narrow"/>
            <scheme val="minor"/>
          </rPr>
          <t>======
ID#AAABjx7qOFU
    (2025-05-21 11:33:24)
ALICE:11/8-玉山銀行收款USD5775沖PI-20190917A 5775元整</t>
        </r>
      </text>
    </comment>
    <comment ref="K815" authorId="0" shapeId="0" xr:uid="{DFFCEAC1-0BB3-C045-986C-B8BE033D5338}">
      <text>
        <r>
          <rPr>
            <sz val="10"/>
            <color rgb="FF000000"/>
            <rFont val="Aptos Narrow"/>
            <scheme val="minor"/>
          </rPr>
          <t>======
ID#AAABjx7qM3k
    (2025-05-21 11:33:23)
1003:PGS告知客戶走周末班機，因此安排10/4收貨。</t>
        </r>
      </text>
    </comment>
    <comment ref="P815" authorId="0" shapeId="0" xr:uid="{1F04B754-2421-204C-BDC0-231635CBB7B4}">
      <text>
        <r>
          <rPr>
            <sz val="10"/>
            <color rgb="FF000000"/>
            <rFont val="Aptos Narrow"/>
            <scheme val="minor"/>
          </rPr>
          <t>======
ID#AAABjx7qVGw
    (2025-05-21 11:33:27)
專案價</t>
        </r>
      </text>
    </comment>
    <comment ref="H816" authorId="0" shapeId="0" xr:uid="{94CD8046-7B26-6E40-9572-75C8DDC194C9}">
      <text>
        <r>
          <rPr>
            <sz val="10"/>
            <color rgb="FF000000"/>
            <rFont val="Aptos Narrow"/>
            <scheme val="minor"/>
          </rPr>
          <t>======
ID#AAABjx7qM5s
    (2025-05-21 11:33:23)
ALICE:11/8-玉山銀行收款USD5775沖PI-20190917A 5775元整</t>
        </r>
      </text>
    </comment>
    <comment ref="K816" authorId="0" shapeId="0" xr:uid="{9351A40E-A40D-5B45-92C4-C7C0C4292EA5}">
      <text>
        <r>
          <rPr>
            <sz val="10"/>
            <color rgb="FF000000"/>
            <rFont val="Aptos Narrow"/>
            <scheme val="minor"/>
          </rPr>
          <t>======
ID#AAABjx7qM-Q
    (2025-05-21 11:33:23)
1003:PGS告知客戶走周末班機，因此安排10/4收貨。</t>
        </r>
      </text>
    </comment>
    <comment ref="P816" authorId="0" shapeId="0" xr:uid="{9387F22D-C380-3C4D-B55E-555CB01992AB}">
      <text>
        <r>
          <rPr>
            <sz val="10"/>
            <color rgb="FF000000"/>
            <rFont val="Aptos Narrow"/>
            <scheme val="minor"/>
          </rPr>
          <t>======
ID#AAABjx7qPK8
    (2025-05-21 11:33:24)
專案價</t>
        </r>
      </text>
    </comment>
    <comment ref="D817" authorId="0" shapeId="0" xr:uid="{5745E727-7F01-5A4B-AFC5-299539CF15A0}">
      <text>
        <r>
          <rPr>
            <sz val="10"/>
            <color rgb="FF000000"/>
            <rFont val="Aptos Narrow"/>
            <scheme val="minor"/>
          </rPr>
          <t>======
ID#AAABjx7qRpM
    (2025-05-21 11:33:25)
0820 確認客人，還在合併其他物料下單
0917 要求revise PI No.待PI 簽回
0920 cathy:客人突然告知已匯款，chloe下單，待需告知客人何時可以取貨</t>
        </r>
      </text>
    </comment>
    <comment ref="H817" authorId="0" shapeId="0" xr:uid="{3AEFCE03-0803-B14A-A227-B12826E7B8FD}">
      <text>
        <r>
          <rPr>
            <sz val="10"/>
            <color rgb="FF000000"/>
            <rFont val="Aptos Narrow"/>
            <scheme val="minor"/>
          </rPr>
          <t>======
ID#AAABjx7qQp0
    (2025-05-21 11:33:25)
ALICE:9/19玉山水單匯入USD440沖PI-20190917B 440</t>
        </r>
      </text>
    </comment>
    <comment ref="K817" authorId="0" shapeId="0" xr:uid="{621D02DC-3559-3547-B3DB-59DF656B5898}">
      <text>
        <r>
          <rPr>
            <sz val="10"/>
            <color rgb="FF000000"/>
            <rFont val="Aptos Narrow"/>
            <scheme val="minor"/>
          </rPr>
          <t>======
ID#AAABjx7qPnk
    (2025-05-21 11:33:24)
0926yvonne:0925收走</t>
        </r>
      </text>
    </comment>
    <comment ref="D818" authorId="0" shapeId="0" xr:uid="{C301D37B-6B9A-794D-A71B-5DBBDA3F8068}">
      <text>
        <r>
          <rPr>
            <sz val="10"/>
            <color rgb="FF000000"/>
            <rFont val="Aptos Narrow"/>
            <scheme val="minor"/>
          </rPr>
          <t>======
ID#AAABjx7qQEM
    (2025-05-21 11:33:25)
0820 確認客人，還在合併其他物料下單
0917 要求revise PI No.待PI 簽回
0920 cathy:客人突然告知已匯款，chloe下單，待需告知客人何時可以取貨</t>
        </r>
      </text>
    </comment>
    <comment ref="H818" authorId="0" shapeId="0" xr:uid="{6AACF8B2-4EC6-2E41-9CA1-D5EA42C6E532}">
      <text>
        <r>
          <rPr>
            <sz val="10"/>
            <color rgb="FF000000"/>
            <rFont val="Aptos Narrow"/>
            <scheme val="minor"/>
          </rPr>
          <t>======
ID#AAABjx7qOr0
    (2025-05-21 11:33:24)
ALICE:9/19玉山水單匯入USD440沖PI-20190917B 440</t>
        </r>
      </text>
    </comment>
    <comment ref="K818" authorId="0" shapeId="0" xr:uid="{DA53D2D2-596D-E441-8C50-4E0B8E9E7124}">
      <text>
        <r>
          <rPr>
            <sz val="10"/>
            <color rgb="FF000000"/>
            <rFont val="Aptos Narrow"/>
            <scheme val="minor"/>
          </rPr>
          <t>======
ID#AAABjx7qSZA
    (2025-05-21 11:33:26)
0926yvonne:0925收走</t>
        </r>
      </text>
    </comment>
    <comment ref="D819" authorId="0" shapeId="0" xr:uid="{E387CF88-94E4-BF46-B959-EA46DD72F64A}">
      <text>
        <r>
          <rPr>
            <sz val="10"/>
            <color rgb="FF000000"/>
            <rFont val="Aptos Narrow"/>
            <scheme val="minor"/>
          </rPr>
          <t>======
ID#AAABjx7qQBI
    (2025-05-21 11:33:25)
0820 確認客人，還在合併其他物料下單
0917 要求revise PI No.待PI 簽回
0920 cathy:客人突然告知已匯款，chloe下單，待需告知客人何時可以取貨</t>
        </r>
      </text>
    </comment>
    <comment ref="H819" authorId="0" shapeId="0" xr:uid="{856C29AF-3955-9E4E-A18D-767723D544DB}">
      <text>
        <r>
          <rPr>
            <sz val="10"/>
            <color rgb="FF000000"/>
            <rFont val="Aptos Narrow"/>
            <scheme val="minor"/>
          </rPr>
          <t>======
ID#AAABjx7qPOs
    (2025-05-21 11:33:24)
ALICE:9/19玉山水單匯入USD440沖PI-20190917B 440</t>
        </r>
      </text>
    </comment>
    <comment ref="I819" authorId="0" shapeId="0" xr:uid="{4A5770B4-2496-C943-BF27-C1017F5745AE}">
      <text>
        <r>
          <rPr>
            <sz val="10"/>
            <color rgb="FF000000"/>
            <rFont val="Aptos Narrow"/>
            <scheme val="minor"/>
          </rPr>
          <t>======
ID#AAABjx7qPow
    (2025-05-21 11:33:24)
原cathy</t>
        </r>
      </text>
    </comment>
    <comment ref="G820" authorId="0" shapeId="0" xr:uid="{AD469246-5098-A14F-9623-4F1225F0F264}">
      <text>
        <r>
          <rPr>
            <sz val="10"/>
            <color rgb="FF000000"/>
            <rFont val="Aptos Narrow"/>
            <scheme val="minor"/>
          </rPr>
          <t>======
ID#AAABjx7qPjs
    (2025-05-21 11:33:24)
190718 Tammy: w/5%</t>
        </r>
      </text>
    </comment>
    <comment ref="H820" authorId="0" shapeId="0" xr:uid="{F2B5C413-21C1-394C-9959-DCCAC08C79EA}">
      <text>
        <r>
          <rPr>
            <sz val="10"/>
            <color rgb="FF000000"/>
            <rFont val="Aptos Narrow"/>
            <scheme val="minor"/>
          </rPr>
          <t>======
ID#AAABjx7qVa0
    (2025-05-21 11:33:27)
ALICE:10/5玉山NT 思碩匯入NT66001元整，沖PI-20190917C 共NT66001元整</t>
        </r>
      </text>
    </comment>
    <comment ref="G821" authorId="0" shapeId="0" xr:uid="{8C05CBFE-D12D-0946-BE27-FB02757F848E}">
      <text>
        <r>
          <rPr>
            <sz val="10"/>
            <color rgb="FF000000"/>
            <rFont val="Aptos Narrow"/>
            <scheme val="minor"/>
          </rPr>
          <t>======
ID#AAABjx7qVyU
    (2025-05-21 11:33:27)
190718 Tammy: w/5%</t>
        </r>
      </text>
    </comment>
    <comment ref="H821" authorId="0" shapeId="0" xr:uid="{773C492B-4D54-394F-B05E-BE8A8F12620B}">
      <text>
        <r>
          <rPr>
            <sz val="10"/>
            <color rgb="FF000000"/>
            <rFont val="Aptos Narrow"/>
            <scheme val="minor"/>
          </rPr>
          <t>======
ID#AAABjx7qN_E
    (2025-05-21 11:33:24)
ALICE:10/5玉山NT 思碩匯入NT66001元整，沖PI-20190917C 共NT66001元整</t>
        </r>
      </text>
    </comment>
    <comment ref="H822" authorId="0" shapeId="0" xr:uid="{51623B38-FF23-BA45-B24D-AC72A82A0ACD}">
      <text>
        <r>
          <rPr>
            <sz val="10"/>
            <color rgb="FF000000"/>
            <rFont val="Aptos Narrow"/>
            <scheme val="minor"/>
          </rPr>
          <t>======
ID#AAABjx7qP4s
    (2025-05-21 11:33:24)
ALICE:11/4玉山銀行收到匯入款USD407沖PI-20190919A USD407元整</t>
        </r>
      </text>
    </comment>
    <comment ref="O822" authorId="0" shapeId="0" xr:uid="{D6967793-F331-6746-8B28-7732D175A56F}">
      <text>
        <r>
          <rPr>
            <sz val="10"/>
            <color rgb="FF000000"/>
            <rFont val="Aptos Narrow"/>
            <scheme val="minor"/>
          </rPr>
          <t>======
ID#AAABjx7qM3c
    (2025-05-21 11:33:23)
0923YVONNE下單</t>
        </r>
      </text>
    </comment>
    <comment ref="H823" authorId="0" shapeId="0" xr:uid="{D991DDBA-E654-CE44-B872-72576515D0FA}">
      <text>
        <r>
          <rPr>
            <sz val="10"/>
            <color rgb="FF000000"/>
            <rFont val="Aptos Narrow"/>
            <scheme val="minor"/>
          </rPr>
          <t>======
ID#AAABjx7qVHU
    (2025-05-21 11:33:27)
ALICE:11/4玉山銀行收到匯入款USD407沖PI-20190919A USD407元整</t>
        </r>
      </text>
    </comment>
    <comment ref="O823" authorId="0" shapeId="0" xr:uid="{CF32E0C9-567F-8D45-B087-614ED6621B82}">
      <text>
        <r>
          <rPr>
            <sz val="10"/>
            <color rgb="FF000000"/>
            <rFont val="Aptos Narrow"/>
            <scheme val="minor"/>
          </rPr>
          <t>======
ID#AAABjx7qOiU
    (2025-05-21 11:33:24)
0923YVONNE下單</t>
        </r>
      </text>
    </comment>
    <comment ref="H824" authorId="0" shapeId="0" xr:uid="{CF006FB3-97E3-814F-B5A5-573BC16343CC}">
      <text>
        <r>
          <rPr>
            <sz val="10"/>
            <color rgb="FF000000"/>
            <rFont val="Aptos Narrow"/>
            <scheme val="minor"/>
          </rPr>
          <t>======
ID#AAABjx7qWaI
    (2025-05-21 11:33:27)
ALICE:11/4玉山銀行收到匯入款USD407沖PI-20190919A USD407元整</t>
        </r>
      </text>
    </comment>
    <comment ref="O824" authorId="0" shapeId="0" xr:uid="{20F10F7F-33FC-6145-8788-266D137071D8}">
      <text>
        <r>
          <rPr>
            <sz val="10"/>
            <color rgb="FF000000"/>
            <rFont val="Aptos Narrow"/>
            <scheme val="minor"/>
          </rPr>
          <t>======
ID#AAABjx7qToA
    (2025-05-21 11:33:26)
0923YVONNE下單</t>
        </r>
      </text>
    </comment>
    <comment ref="H825" authorId="0" shapeId="0" xr:uid="{DCA3ADA4-4627-BC4C-91D7-D6531D03CB95}">
      <text>
        <r>
          <rPr>
            <sz val="10"/>
            <color rgb="FF000000"/>
            <rFont val="Aptos Narrow"/>
            <scheme val="minor"/>
          </rPr>
          <t>======
ID#AAABjx7qOmQ
    (2025-05-21 11:33:24)
ALICE:11/4玉山銀行收到匯入款USD407沖PI-20190919A USD407元整</t>
        </r>
      </text>
    </comment>
    <comment ref="O825" authorId="0" shapeId="0" xr:uid="{26998565-31E8-554F-BFD5-3B4035F747C2}">
      <text>
        <r>
          <rPr>
            <sz val="10"/>
            <color rgb="FF000000"/>
            <rFont val="Aptos Narrow"/>
            <scheme val="minor"/>
          </rPr>
          <t>======
ID#AAABjx7qPvs
    (2025-05-21 11:33:24)
0923YVONNE下單</t>
        </r>
      </text>
    </comment>
    <comment ref="H827" authorId="0" shapeId="0" xr:uid="{EF116D27-8526-444C-9B01-A4F35D873467}">
      <text>
        <r>
          <rPr>
            <sz val="10"/>
            <color rgb="FF000000"/>
            <rFont val="Aptos Narrow"/>
            <scheme val="minor"/>
          </rPr>
          <t>======
ID#AAABjx7qQS8
    (2025-05-21 11:33:25)
ALICE:9/24玉山水單通知USD1407.5沖PI-20190923A USD1407.5元整</t>
        </r>
      </text>
    </comment>
    <comment ref="M827" authorId="0" shapeId="0" xr:uid="{C39A0875-0321-3F4B-98EF-3B6F9F29E81B}">
      <text>
        <r>
          <rPr>
            <sz val="10"/>
            <color rgb="FF000000"/>
            <rFont val="Aptos Narrow"/>
            <scheme val="minor"/>
          </rPr>
          <t>======
ID#AAABjx7qPpI
    (2025-05-21 11:33:24)
Chloe 1106: MOXA回覆交期，有可能會延遲兩天</t>
        </r>
      </text>
    </comment>
    <comment ref="P827" authorId="0" shapeId="0" xr:uid="{73E35064-9B4E-1344-A29F-1353FFD31D04}">
      <text>
        <r>
          <rPr>
            <sz val="10"/>
            <color rgb="FF000000"/>
            <rFont val="Aptos Narrow"/>
            <scheme val="minor"/>
          </rPr>
          <t>======
ID#AAABjx7qOfA
    (2025-05-21 11:33:24)
以色列專案價</t>
        </r>
      </text>
    </comment>
    <comment ref="E828" authorId="0" shapeId="0" xr:uid="{7B256CF1-3E35-1444-BEBE-F09C530051DE}">
      <text>
        <r>
          <rPr>
            <sz val="10"/>
            <color rgb="FF000000"/>
            <rFont val="Aptos Narrow"/>
            <scheme val="minor"/>
          </rPr>
          <t>======
ID#AAABjx7qNRU
    (2025-05-21 11:33:23)
EU Adaper</t>
        </r>
      </text>
    </comment>
    <comment ref="H828" authorId="0" shapeId="0" xr:uid="{F8E9663F-576C-B246-BDEC-9C70426F8F66}">
      <text>
        <r>
          <rPr>
            <sz val="10"/>
            <color rgb="FF000000"/>
            <rFont val="Aptos Narrow"/>
            <scheme val="minor"/>
          </rPr>
          <t>======
ID#AAABjx7qOY4
    (2025-05-21 11:33:24)
ALICE:9/24玉山水單通知USD1407.5沖PI-20190923A USD1407.5元整</t>
        </r>
      </text>
    </comment>
    <comment ref="M828" authorId="0" shapeId="0" xr:uid="{2BABF821-D819-AE42-BACA-8995FCD9F5A1}">
      <text>
        <r>
          <rPr>
            <sz val="10"/>
            <color rgb="FF000000"/>
            <rFont val="Aptos Narrow"/>
            <scheme val="minor"/>
          </rPr>
          <t>======
ID#AAABj82dpQU
    (2025-05-21 11:33:23)
Chloe 1106: MOXA回覆交期，有可能會延遲兩天</t>
        </r>
      </text>
    </comment>
    <comment ref="H829" authorId="0" shapeId="0" xr:uid="{FE6EEAAB-F8D2-FF45-9C6D-4B97B08450E4}">
      <text>
        <r>
          <rPr>
            <sz val="10"/>
            <color rgb="FF000000"/>
            <rFont val="Aptos Narrow"/>
            <scheme val="minor"/>
          </rPr>
          <t>======
ID#AAABjx7qR9E
    (2025-05-21 11:33:25)
ALICE:9/24玉山水單通知USD1407.5沖PI-20190923A USD1407.5元整</t>
        </r>
      </text>
    </comment>
    <comment ref="M829" authorId="0" shapeId="0" xr:uid="{77A2B620-AFA9-2044-878E-F58162B0AED4}">
      <text>
        <r>
          <rPr>
            <sz val="10"/>
            <color rgb="FF000000"/>
            <rFont val="Aptos Narrow"/>
            <scheme val="minor"/>
          </rPr>
          <t>======
ID#AAABjx7qSnA
    (2025-05-21 11:33:26)
Chloe 1106: MOXA回覆交期，有可能會延遲兩天</t>
        </r>
      </text>
    </comment>
    <comment ref="H830" authorId="0" shapeId="0" xr:uid="{09D3987B-C140-1A49-AA8F-BE66710F7A3E}">
      <text>
        <r>
          <rPr>
            <sz val="10"/>
            <color rgb="FF000000"/>
            <rFont val="Aptos Narrow"/>
            <scheme val="minor"/>
          </rPr>
          <t>======
ID#AAABjx7qV54
    (2025-05-21 11:33:27)
ALICE:9/24玉山水單通知USD1407.5沖PI-20190923A USD1407.5元整</t>
        </r>
      </text>
    </comment>
    <comment ref="M830" authorId="0" shapeId="0" xr:uid="{FEAA40DC-98E7-F947-B402-18222B6B290C}">
      <text>
        <r>
          <rPr>
            <sz val="10"/>
            <color rgb="FF000000"/>
            <rFont val="Aptos Narrow"/>
            <scheme val="minor"/>
          </rPr>
          <t>======
ID#AAABjx7qWQ4
    (2025-05-21 11:33:27)
Chloe 1106: MOXA回覆交期，有可能會延遲兩天</t>
        </r>
      </text>
    </comment>
    <comment ref="H831" authorId="0" shapeId="0" xr:uid="{72C78733-7043-E040-BD77-E072CA92AF29}">
      <text>
        <r>
          <rPr>
            <sz val="10"/>
            <color rgb="FF000000"/>
            <rFont val="Aptos Narrow"/>
            <scheme val="minor"/>
          </rPr>
          <t>======
ID#AAABjx7qRPU
    (2025-05-21 11:33:25)
ALICE:12/4-TPOLE匯入一銀USD2242(全額到付)沖PI-20190923B 125+PI-20190930B USD1872+PI-20191014006 USD150+PI-20191026001 USD95合計總沖USD2242元整</t>
        </r>
      </text>
    </comment>
    <comment ref="O831" authorId="0" shapeId="0" xr:uid="{84BE2EF8-8180-E244-9889-33C3274F3155}">
      <text>
        <r>
          <rPr>
            <sz val="10"/>
            <color rgb="FF000000"/>
            <rFont val="Aptos Narrow"/>
            <scheme val="minor"/>
          </rPr>
          <t>======
ID#AAABjx7qSrk
    (2025-05-21 11:33:26)
0926 chloe Pull in 中</t>
        </r>
      </text>
    </comment>
    <comment ref="D832" authorId="0" shapeId="0" xr:uid="{2019B095-991E-F448-A0F4-88B0F4512212}">
      <text>
        <r>
          <rPr>
            <sz val="10"/>
            <color rgb="FF000000"/>
            <rFont val="Aptos Narrow"/>
            <scheme val="minor"/>
          </rPr>
          <t>======
ID#AAABjx7qO1U
    (2025-05-21 11:33:24)
0926 與vivian確認庫存or Yvonne 下單</t>
        </r>
      </text>
    </comment>
    <comment ref="H832" authorId="0" shapeId="0" xr:uid="{608B59B2-BD87-D444-971D-08481E8B5255}">
      <text>
        <r>
          <rPr>
            <sz val="10"/>
            <color rgb="FF000000"/>
            <rFont val="Aptos Narrow"/>
            <scheme val="minor"/>
          </rPr>
          <t>======
ID#AAABjx7qV94
    (2025-05-21 11:33:27)
alice:11/11收到芳慎支票 到期日108/11/30-an0560111 金額80622元整</t>
        </r>
      </text>
    </comment>
    <comment ref="M832" authorId="0" shapeId="0" xr:uid="{8619BA1F-C616-2E42-91E1-A0C6C81AA13E}">
      <text>
        <r>
          <rPr>
            <sz val="10"/>
            <color rgb="FF000000"/>
            <rFont val="Aptos Narrow"/>
            <scheme val="minor"/>
          </rPr>
          <t>======
ID#AAABjx7qQks
    (2025-05-21 11:33:25)
0926yvonne下單</t>
        </r>
      </text>
    </comment>
    <comment ref="O833" authorId="0" shapeId="0" xr:uid="{38CCB821-1BB8-004E-B117-0609BD801506}">
      <text>
        <r>
          <rPr>
            <sz val="10"/>
            <color rgb="FF000000"/>
            <rFont val="Aptos Narrow"/>
            <scheme val="minor"/>
          </rPr>
          <t>======
ID#AAABjx7qRzY
    (2025-05-21 11:33:25)
1025 chloe 詢問交期中→尚未能提前
Pull in 中，看11月初有沒有機會</t>
        </r>
      </text>
    </comment>
    <comment ref="O834" authorId="0" shapeId="0" xr:uid="{42F55386-65FD-3145-ADDE-417637D90ECB}">
      <text>
        <r>
          <rPr>
            <sz val="10"/>
            <color rgb="FF000000"/>
            <rFont val="Aptos Narrow"/>
            <scheme val="minor"/>
          </rPr>
          <t>======
ID#AAABjx7qM4A
    (2025-05-21 11:33:23)
※1007 chloe:依照Touch廠商交期，往後先粗抓
※1007 chloe:先告知曦立Touch寄出交期落在11/15那週</t>
        </r>
      </text>
    </comment>
    <comment ref="F835" authorId="0" shapeId="0" xr:uid="{A0406158-6A98-1541-B380-5457431BB1EF}">
      <text>
        <r>
          <rPr>
            <sz val="10"/>
            <color rgb="FF000000"/>
            <rFont val="Aptos Narrow"/>
            <scheme val="minor"/>
          </rPr>
          <t>======
ID#AAABjx7qTIQ
    (2025-05-21 11:33:26)
20191028 客人告知6pcs寄回
20191008 曦立有QC 有6PCS spot</t>
        </r>
      </text>
    </comment>
    <comment ref="N835" authorId="0" shapeId="0" xr:uid="{20BF3AFB-B492-A541-99C0-8FBB3E434421}">
      <text>
        <r>
          <rPr>
            <sz val="10"/>
            <color rgb="FF000000"/>
            <rFont val="Aptos Narrow"/>
            <scheme val="minor"/>
          </rPr>
          <t>======
ID#AAABjx7qSFU
    (2025-05-21 11:33:26)
tracking number:1Z7365590444032546.</t>
        </r>
      </text>
    </comment>
    <comment ref="D836" authorId="0" shapeId="0" xr:uid="{E37908D5-1A4B-0144-8D9F-961296AF9876}">
      <text>
        <r>
          <rPr>
            <sz val="10"/>
            <color rgb="FF000000"/>
            <rFont val="Aptos Narrow"/>
            <scheme val="minor"/>
          </rPr>
          <t>======
ID#AAABjx7qTEU
    (2025-05-21 11:33:26)
0927 Cathy 客人增加物料，想與PI-20190909A一起走 ,請chloe 協助下單
1001 告知改由Aditech付款</t>
        </r>
      </text>
    </comment>
    <comment ref="H837" authorId="0" shapeId="0" xr:uid="{DAE0B991-FBB6-F74F-83D9-3609C2D973EA}">
      <text>
        <r>
          <rPr>
            <sz val="10"/>
            <color rgb="FF000000"/>
            <rFont val="Aptos Narrow"/>
            <scheme val="minor"/>
          </rPr>
          <t>======
ID#AAABjx7qTqk
    (2025-05-21 11:33:26)
ALICE:11/20一銀匯入USD5837沖PI-20190930A USD3945+PI-20191003A USD137+PI-20191005A USD1755</t>
        </r>
      </text>
    </comment>
    <comment ref="K837" authorId="0" shapeId="0" xr:uid="{493E7C0D-D682-FA4E-9532-AE7A2BF2BAB5}">
      <text>
        <r>
          <rPr>
            <sz val="10"/>
            <color rgb="FF000000"/>
            <rFont val="Aptos Narrow"/>
            <scheme val="minor"/>
          </rPr>
          <t>======
ID#AAABjx7qNrg
    (2025-05-21 11:33:23)
1015YVONNE:隨貨寄目錄,並通知san</t>
        </r>
      </text>
    </comment>
    <comment ref="H838" authorId="0" shapeId="0" xr:uid="{26BBDFE2-906B-BA4E-9DCB-5E97077BFDD8}">
      <text>
        <r>
          <rPr>
            <sz val="10"/>
            <color rgb="FF000000"/>
            <rFont val="Aptos Narrow"/>
            <scheme val="minor"/>
          </rPr>
          <t>======
ID#AAABjx7qVpo
    (2025-05-21 11:33:27)
ALICE:11/20一銀匯入USD5837沖PI-20190930A USD3945+PI-20191003A USD137+PI-20191005A USD1755</t>
        </r>
      </text>
    </comment>
    <comment ref="K838" authorId="0" shapeId="0" xr:uid="{ACB8A69F-CC2A-6649-B99F-94543A6E910E}">
      <text>
        <r>
          <rPr>
            <sz val="10"/>
            <color rgb="FF000000"/>
            <rFont val="Aptos Narrow"/>
            <scheme val="minor"/>
          </rPr>
          <t>======
ID#AAABjx7qVnw
    (2025-05-21 11:33:27)
1015YVONNE:隨貨寄目錄,並通知san</t>
        </r>
      </text>
    </comment>
    <comment ref="H839" authorId="0" shapeId="0" xr:uid="{2B409C64-2B18-4543-86AC-93A3CC8223A8}">
      <text>
        <r>
          <rPr>
            <sz val="10"/>
            <color rgb="FF000000"/>
            <rFont val="Aptos Narrow"/>
            <scheme val="minor"/>
          </rPr>
          <t>======
ID#AAABjx7qOEQ
    (2025-05-21 11:33:24)
ALICE:11/20一銀匯入USD5837沖PI-20190930A USD3945+PI-20191003A USD137+PI-20191005A USD1755</t>
        </r>
      </text>
    </comment>
    <comment ref="K839" authorId="0" shapeId="0" xr:uid="{52028D06-C844-2F44-9935-FE0446E41438}">
      <text>
        <r>
          <rPr>
            <sz val="10"/>
            <color rgb="FF000000"/>
            <rFont val="Aptos Narrow"/>
            <scheme val="minor"/>
          </rPr>
          <t>======
ID#AAABjx7qPRw
    (2025-05-21 11:33:24)
1015YVONNE:隨貨寄目錄,並通知san</t>
        </r>
      </text>
    </comment>
    <comment ref="H840" authorId="0" shapeId="0" xr:uid="{809495AC-DFDE-C640-922F-0D9839F9E55C}">
      <text>
        <r>
          <rPr>
            <sz val="10"/>
            <color rgb="FF000000"/>
            <rFont val="Aptos Narrow"/>
            <scheme val="minor"/>
          </rPr>
          <t>======
ID#AAABjx7qVqw
    (2025-05-21 11:33:27)
ALICE:11/20一銀匯入USD5837沖PI-20190930A USD3945+PI-20191003A USD137+PI-20191005A USD1755</t>
        </r>
      </text>
    </comment>
    <comment ref="K840" authorId="0" shapeId="0" xr:uid="{FADB4731-B5AB-F749-9E9E-6FC2B4646D86}">
      <text>
        <r>
          <rPr>
            <sz val="10"/>
            <color rgb="FF000000"/>
            <rFont val="Aptos Narrow"/>
            <scheme val="minor"/>
          </rPr>
          <t>======
ID#AAABjx7qNZ0
    (2025-05-21 11:33:23)
1015YVONNE:隨貨寄目錄,並通知san</t>
        </r>
      </text>
    </comment>
    <comment ref="H841" authorId="0" shapeId="0" xr:uid="{D63C62FA-1DD9-B347-9314-0489F2B5552B}">
      <text>
        <r>
          <rPr>
            <sz val="10"/>
            <color rgb="FF000000"/>
            <rFont val="Aptos Narrow"/>
            <scheme val="minor"/>
          </rPr>
          <t>======
ID#AAABjx7qP9Y
    (2025-05-21 11:33:25)
ALICE:11/20一銀匯入USD5837沖PI-20190930A USD3945+PI-20191003A USD137+PI-20191005A USD1755</t>
        </r>
      </text>
    </comment>
    <comment ref="K841" authorId="0" shapeId="0" xr:uid="{DCEEEA6C-79C2-824E-927D-0F918D678A9E}">
      <text>
        <r>
          <rPr>
            <sz val="10"/>
            <color rgb="FF000000"/>
            <rFont val="Aptos Narrow"/>
            <scheme val="minor"/>
          </rPr>
          <t>======
ID#AAABjx7qTAQ
    (2025-05-21 11:33:26)
1015YVONNE:隨貨寄目錄,並通知san</t>
        </r>
      </text>
    </comment>
    <comment ref="H842" authorId="0" shapeId="0" xr:uid="{4EFAAE7A-2E54-3945-98DC-E76F52CED065}">
      <text>
        <r>
          <rPr>
            <sz val="10"/>
            <color rgb="FF000000"/>
            <rFont val="Aptos Narrow"/>
            <scheme val="minor"/>
          </rPr>
          <t>======
ID#AAABjx7qP18
    (2025-05-21 11:33:24)
ALICE:11/20一銀匯入USD5837沖PI-20190930A USD3945+PI-20191003A USD137+PI-20191005A USD1755</t>
        </r>
      </text>
    </comment>
    <comment ref="K842" authorId="0" shapeId="0" xr:uid="{6839618F-9354-7A4D-8C42-36BE8EDA8C1A}">
      <text>
        <r>
          <rPr>
            <sz val="10"/>
            <color rgb="FF000000"/>
            <rFont val="Aptos Narrow"/>
            <scheme val="minor"/>
          </rPr>
          <t>======
ID#AAABjx7qN5I
    (2025-05-21 11:33:23)
1015YVONNE:隨貨寄目錄,並通知san</t>
        </r>
      </text>
    </comment>
    <comment ref="H843" authorId="0" shapeId="0" xr:uid="{DD2F8C2C-66B0-C14E-A4E3-C88904FD3EC4}">
      <text>
        <r>
          <rPr>
            <sz val="10"/>
            <color rgb="FF000000"/>
            <rFont val="Aptos Narrow"/>
            <scheme val="minor"/>
          </rPr>
          <t>======
ID#AAABjx7qQVQ
    (2025-05-21 11:33:25)
ALICE:11/20一銀匯入USD5837沖PI-20190930A USD3945+PI-20191003A USD137+PI-20191005A USD1755</t>
        </r>
      </text>
    </comment>
    <comment ref="K843" authorId="0" shapeId="0" xr:uid="{A4FFF25D-58A5-7849-99F5-B97B53C61731}">
      <text>
        <r>
          <rPr>
            <sz val="10"/>
            <color rgb="FF000000"/>
            <rFont val="Aptos Narrow"/>
            <scheme val="minor"/>
          </rPr>
          <t>======
ID#AAABjx7qV0E
    (2025-05-21 11:33:27)
1015YVONNE:隨貨寄目錄,並通知san</t>
        </r>
      </text>
    </comment>
    <comment ref="H844" authorId="0" shapeId="0" xr:uid="{F92FD539-791A-C84F-8E18-5DC0481F4B4F}">
      <text>
        <r>
          <rPr>
            <sz val="10"/>
            <color rgb="FF000000"/>
            <rFont val="Aptos Narrow"/>
            <scheme val="minor"/>
          </rPr>
          <t>======
ID#AAABjx7qM6U
    (2025-05-21 11:33:23)
ALICE:11/20一銀匯入USD5837沖PI-20190930A USD3945+PI-20191003A USD137+PI-20191005A USD1755</t>
        </r>
      </text>
    </comment>
    <comment ref="K844" authorId="0" shapeId="0" xr:uid="{199420B1-B028-8C47-95A8-BA4D7DAF0662}">
      <text>
        <r>
          <rPr>
            <sz val="10"/>
            <color rgb="FF000000"/>
            <rFont val="Aptos Narrow"/>
            <scheme val="minor"/>
          </rPr>
          <t>======
ID#AAABjx7qTE8
    (2025-05-21 11:33:26)
1015YVONNE:隨貨寄目錄,並通知san</t>
        </r>
      </text>
    </comment>
    <comment ref="H845" authorId="0" shapeId="0" xr:uid="{BD079D01-EF5D-534E-B8F8-D6AFB70E697B}">
      <text>
        <r>
          <rPr>
            <sz val="10"/>
            <color rgb="FF000000"/>
            <rFont val="Aptos Narrow"/>
            <scheme val="minor"/>
          </rPr>
          <t>======
ID#AAABjx7qWAQ
    (2025-05-21 11:33:27)
ALICE:11/20一銀匯入USD5837沖PI-20190930A USD3945+PI-20191003A USD137+PI-20191005A USD1755</t>
        </r>
      </text>
    </comment>
    <comment ref="K845" authorId="0" shapeId="0" xr:uid="{7C060709-CB45-E74F-93FC-BAD9A4910E4B}">
      <text>
        <r>
          <rPr>
            <sz val="10"/>
            <color rgb="FF000000"/>
            <rFont val="Aptos Narrow"/>
            <scheme val="minor"/>
          </rPr>
          <t>======
ID#AAABjx7qNaI
    (2025-05-21 11:33:23)
1015YVONNE:隨貨寄目錄,並通知san</t>
        </r>
      </text>
    </comment>
    <comment ref="H846" authorId="0" shapeId="0" xr:uid="{A2C5A157-95A1-E548-BAB8-79975F283E36}">
      <text>
        <r>
          <rPr>
            <sz val="10"/>
            <color rgb="FF000000"/>
            <rFont val="Aptos Narrow"/>
            <scheme val="minor"/>
          </rPr>
          <t>======
ID#AAABjx7qOIE
    (2025-05-21 11:33:24)
A
ALICE:12/4-TPOLE匯入一銀USD2242(全額到付)沖PI-20190923B 125+PI-20190930B USD1872+PI-20191014006 USD150+PI-20191026001 USD95合計總沖USD2242元整</t>
        </r>
      </text>
    </comment>
    <comment ref="E851" authorId="0" shapeId="0" xr:uid="{35B69AE0-368F-5547-B972-9880C9E723C5}">
      <text>
        <r>
          <rPr>
            <sz val="10"/>
            <color rgb="FF000000"/>
            <rFont val="Aptos Narrow"/>
            <scheme val="minor"/>
          </rPr>
          <t>======
ID#AAABjx7qWb8
    (2025-05-21 11:33:27)
0313 chloe: 戎克備有庫存，見半成品庫存表</t>
        </r>
      </text>
    </comment>
    <comment ref="H852" authorId="0" shapeId="0" xr:uid="{7CED948F-7371-E44C-A1BD-1DFD3FA694E5}">
      <text>
        <r>
          <rPr>
            <sz val="10"/>
            <color rgb="FF000000"/>
            <rFont val="Aptos Narrow"/>
            <scheme val="minor"/>
          </rPr>
          <t>======
ID#AAABjx7qPfE
    (2025-05-21 11:33:24)
ALICE:12/4-TPOLE匯入一銀USD2242(全額到付)沖PI-20190923B 125+PI-20190930B USD1872+PI-20191014006 USD150+PI-20191026001 USD95合計總沖USD2242元整</t>
        </r>
      </text>
    </comment>
    <comment ref="H853" authorId="0" shapeId="0" xr:uid="{73C3F08C-6EF7-5647-8288-B14BD38A9E92}">
      <text>
        <r>
          <rPr>
            <sz val="10"/>
            <color rgb="FF000000"/>
            <rFont val="Aptos Narrow"/>
            <scheme val="minor"/>
          </rPr>
          <t>======
ID#AAABjx7qPtk
    (2025-05-21 11:33:24)
ALICE:12/4-TPOLE匯入一銀USD2242(全額到付)沖PI-20190923B 125+PI-20190930B USD1872+PI-20191014006 USD150+PI-20191026001 USD95合計總沖USD2242元整</t>
        </r>
      </text>
    </comment>
    <comment ref="E858" authorId="0" shapeId="0" xr:uid="{B98ACE90-4B1C-5244-87C8-B7E5D5B19B0A}">
      <text>
        <r>
          <rPr>
            <sz val="10"/>
            <color rgb="FF000000"/>
            <rFont val="Aptos Narrow"/>
            <scheme val="minor"/>
          </rPr>
          <t>======
ID#AAABjx7qPyU
    (2025-05-21 11:33:24)
0313 chloe: 戎克備有庫存，見半成品庫存表</t>
        </r>
      </text>
    </comment>
    <comment ref="H859" authorId="0" shapeId="0" xr:uid="{3CA00407-2F4A-7D41-A0D1-41129CDBD31F}">
      <text>
        <r>
          <rPr>
            <sz val="10"/>
            <color rgb="FF000000"/>
            <rFont val="Aptos Narrow"/>
            <scheme val="minor"/>
          </rPr>
          <t>======
ID#AAABjx7qTjA
    (2025-05-21 11:33:26)
ALICE:12/4-TPOLE匯入一銀USD2242(全額到付)沖PI-20190923B 125+PI-20190930B USD1872+PI-20191014006 USD150+PI-20191026001 USD95合計總沖USD2242元整</t>
        </r>
      </text>
    </comment>
    <comment ref="H860" authorId="0" shapeId="0" xr:uid="{29D537B5-5152-9842-ABE6-D93863B6C307}">
      <text>
        <r>
          <rPr>
            <sz val="10"/>
            <color rgb="FF000000"/>
            <rFont val="Aptos Narrow"/>
            <scheme val="minor"/>
          </rPr>
          <t>======
ID#AAABjx7qOj8
    (2025-05-21 11:33:24)
ALICE:12/4-TPOLE匯入一銀USD2242(全額到付)沖PI-20190923B 125+PI-20190930B USD1872+PI-20191014006 USD150+PI-20191026001 USD95合計總沖USD2242元整</t>
        </r>
      </text>
    </comment>
    <comment ref="H861" authorId="0" shapeId="0" xr:uid="{7363C116-81EA-4A45-8A5D-B157A51283F4}">
      <text>
        <r>
          <rPr>
            <sz val="10"/>
            <color rgb="FF000000"/>
            <rFont val="Aptos Narrow"/>
            <scheme val="minor"/>
          </rPr>
          <t>======
ID#AAABjx7qPOY
    (2025-05-21 11:33:24)
ALICE:12/4-TPOLE匯入一銀USD2242(全額到付)沖PI-20190923B 125+PI-20190930B USD1872+PI-20191014006 USD150+PI-20191026001 USD95合計總沖USD2242元整</t>
        </r>
      </text>
    </comment>
    <comment ref="H862" authorId="0" shapeId="0" xr:uid="{73AEAA97-878A-3943-BC70-4499BBB4D8DA}">
      <text>
        <r>
          <rPr>
            <sz val="10"/>
            <color rgb="FF000000"/>
            <rFont val="Aptos Narrow"/>
            <scheme val="minor"/>
          </rPr>
          <t>======
ID#AAABjx7qVuw
    (2025-05-21 11:33:27)
ALICE:12/2-合庫匯入NT328647(內含手續費NT30元整)沖PI-20191001A USD10084.2+PI-20191112006 USD714元整</t>
        </r>
      </text>
    </comment>
    <comment ref="E863" authorId="0" shapeId="0" xr:uid="{E37ACC02-9A30-2C4D-BDD3-195B098DDFB8}">
      <text>
        <r>
          <rPr>
            <sz val="10"/>
            <color rgb="FF000000"/>
            <rFont val="Aptos Narrow"/>
            <scheme val="minor"/>
          </rPr>
          <t>======
ID#AAABjx7qTVs
    (2025-05-21 11:33:26)
20170104 Santiago: 和之前訂單一樣, w/o adapter</t>
        </r>
      </text>
    </comment>
    <comment ref="H863" authorId="0" shapeId="0" xr:uid="{1B476B5F-E3B7-7042-A015-C2AFF047BC32}">
      <text>
        <r>
          <rPr>
            <sz val="10"/>
            <color rgb="FF000000"/>
            <rFont val="Aptos Narrow"/>
            <scheme val="minor"/>
          </rPr>
          <t>======
ID#AAABjx7qOKk
    (2025-05-21 11:33:24)
ALICE:12/2-合庫匯入NT328647(內含手續費NT30元整)沖PI-20191001A USD10084.2+PI-20191112006 USD714元整</t>
        </r>
      </text>
    </comment>
    <comment ref="H864" authorId="0" shapeId="0" xr:uid="{9B8F4A45-97EB-4042-A8D5-3E4E73E055D5}">
      <text>
        <r>
          <rPr>
            <sz val="10"/>
            <color rgb="FF000000"/>
            <rFont val="Aptos Narrow"/>
            <scheme val="minor"/>
          </rPr>
          <t>======
ID#AAABjx7qV7o
    (2025-05-21 11:33:27)
ALICE:12/2-合庫匯入NT328647(內含手續費NT30元整)沖PI-20191001A USD10084.2+PI-20191112006 USD714元整</t>
        </r>
      </text>
    </comment>
    <comment ref="H865" authorId="0" shapeId="0" xr:uid="{EBC6403A-B3B0-2C4E-894D-B599BB15F557}">
      <text>
        <r>
          <rPr>
            <sz val="10"/>
            <color rgb="FF000000"/>
            <rFont val="Aptos Narrow"/>
            <scheme val="minor"/>
          </rPr>
          <t>======
ID#AAABjx7qNjk
    (2025-05-21 11:33:23)
ALICE:2020/02/03合庫收款NT858362元整，沖PI-20191001A
 NT147153+PI-20191112006 NT711239元整</t>
        </r>
      </text>
    </comment>
    <comment ref="U865" authorId="0" shapeId="0" xr:uid="{9049BA46-5ED4-254B-A2A3-97E995FA13B2}">
      <text>
        <r>
          <rPr>
            <sz val="10"/>
            <color rgb="FF000000"/>
            <rFont val="Aptos Narrow"/>
            <scheme val="minor"/>
          </rPr>
          <t>======
ID#AAABjx7qPWQ
    (2025-05-21 11:33:24)
ALICE:2020/02/03合庫收款NT858362元整，沖PI-20191001A
 NT147153+PI-20191112006 NT711239元整</t>
        </r>
      </text>
    </comment>
    <comment ref="H866" authorId="0" shapeId="0" xr:uid="{8A1A2593-3D73-5B49-8FA2-0508F8BA5227}">
      <text>
        <r>
          <rPr>
            <sz val="10"/>
            <color rgb="FF000000"/>
            <rFont val="Aptos Narrow"/>
            <scheme val="minor"/>
          </rPr>
          <t>======
ID#AAABjx7qTPk
    (2025-05-21 11:33:26)
ALICE:10/9-匯入USD6974沖PI-20191001B USD6974元整</t>
        </r>
      </text>
    </comment>
    <comment ref="H867" authorId="0" shapeId="0" xr:uid="{EC5ACA5D-6D29-2140-850A-92509FB60397}">
      <text>
        <r>
          <rPr>
            <sz val="10"/>
            <color rgb="FF000000"/>
            <rFont val="Aptos Narrow"/>
            <scheme val="minor"/>
          </rPr>
          <t>======
ID#AAABjx7qPHM
    (2025-05-21 11:33:24)
ALICE:10/9-匯入USD6974沖PI-20191001B USD6974元整</t>
        </r>
      </text>
    </comment>
    <comment ref="H868" authorId="0" shapeId="0" xr:uid="{3A5C865C-9B6A-4444-A5E1-4C4A7A038701}">
      <text>
        <r>
          <rPr>
            <sz val="10"/>
            <color rgb="FF000000"/>
            <rFont val="Aptos Narrow"/>
            <scheme val="minor"/>
          </rPr>
          <t>======
ID#AAABjx7qPvE
    (2025-05-21 11:33:24)
ALICE:1/9-一銀水單USD1590沖PI-20191001E USD1590</t>
        </r>
      </text>
    </comment>
    <comment ref="K868" authorId="0" shapeId="0" xr:uid="{C14ABA00-A22B-3A4A-A800-26F0D5AD216D}">
      <text>
        <r>
          <rPr>
            <sz val="10"/>
            <color rgb="FF000000"/>
            <rFont val="Aptos Narrow"/>
            <scheme val="minor"/>
          </rPr>
          <t>======
ID#AAABjx7qUuU
    (2025-05-21 11:33:26)
1128yvonne:客戶通知要等ISD-1210-T*10pcs到貨一併出。</t>
        </r>
      </text>
    </comment>
    <comment ref="P868" authorId="0" shapeId="0" xr:uid="{061F3F38-96C4-9F49-9B93-8F227E8D9833}">
      <text>
        <r>
          <rPr>
            <sz val="10"/>
            <color rgb="FF000000"/>
            <rFont val="Aptos Narrow"/>
            <scheme val="minor"/>
          </rPr>
          <t>======
ID#AAABjx7qU6Q
    (2025-05-21 11:33:27)
專案報價(20191000280038 )</t>
        </r>
      </text>
    </comment>
    <comment ref="H869" authorId="0" shapeId="0" xr:uid="{893E570E-980B-AD44-BF0A-708A2338917A}">
      <text>
        <r>
          <rPr>
            <sz val="10"/>
            <color rgb="FF000000"/>
            <rFont val="Aptos Narrow"/>
            <scheme val="minor"/>
          </rPr>
          <t>======
ID#AAABjx7qQUo
    (2025-05-21 11:33:25)
ALICE:1/9-一銀水單USD1590沖PI-20191001E USD1590</t>
        </r>
      </text>
    </comment>
    <comment ref="K869" authorId="0" shapeId="0" xr:uid="{631D575E-114F-A44E-9CCA-B512A740A870}">
      <text>
        <r>
          <rPr>
            <sz val="10"/>
            <color rgb="FF000000"/>
            <rFont val="Aptos Narrow"/>
            <scheme val="minor"/>
          </rPr>
          <t>======
ID#AAABjx7qVBY
    (2025-05-21 11:33:27)
1128yvonne:客戶通知要等ISD-1210-T*10pcs到貨一併出。</t>
        </r>
      </text>
    </comment>
    <comment ref="P869" authorId="0" shapeId="0" xr:uid="{F486E105-D860-544C-86A9-CF0CE6DEB92F}">
      <text>
        <r>
          <rPr>
            <sz val="10"/>
            <color rgb="FF000000"/>
            <rFont val="Aptos Narrow"/>
            <scheme val="minor"/>
          </rPr>
          <t>======
ID#AAABjx7qVcs
    (2025-05-21 11:33:27)
專案報價(20191000280038 )</t>
        </r>
      </text>
    </comment>
    <comment ref="H870" authorId="0" shapeId="0" xr:uid="{7B274B8A-E312-5B47-8229-192E5D09112F}">
      <text>
        <r>
          <rPr>
            <sz val="10"/>
            <color rgb="FF000000"/>
            <rFont val="Aptos Narrow"/>
            <scheme val="minor"/>
          </rPr>
          <t>======
ID#AAABjx7qWAo
    (2025-05-21 11:33:27)
ALICE:1/9-一銀水單USD1590沖PI-20191001E USD1590</t>
        </r>
      </text>
    </comment>
    <comment ref="K870" authorId="0" shapeId="0" xr:uid="{FB987D23-2D64-3945-A776-B99342A9D168}">
      <text>
        <r>
          <rPr>
            <sz val="10"/>
            <color rgb="FF000000"/>
            <rFont val="Aptos Narrow"/>
            <scheme val="minor"/>
          </rPr>
          <t>======
ID#AAABjx7qQEw
    (2025-05-21 11:33:25)
1128yvonne:客戶通知要等ISD-1210-T*10pcs到貨一併出。</t>
        </r>
      </text>
    </comment>
    <comment ref="P870" authorId="0" shapeId="0" xr:uid="{F0469DCF-173B-D84F-945A-B1A1FC81DBE3}">
      <text>
        <r>
          <rPr>
            <sz val="10"/>
            <color rgb="FF000000"/>
            <rFont val="Aptos Narrow"/>
            <scheme val="minor"/>
          </rPr>
          <t>======
ID#AAABjx7qN8k
    (2025-05-21 11:33:23)
專案報價(20191000280038 )</t>
        </r>
      </text>
    </comment>
    <comment ref="D871" authorId="0" shapeId="0" xr:uid="{D88388C2-41E5-1648-827F-9F9D4170B383}">
      <text>
        <r>
          <rPr>
            <sz val="10"/>
            <color rgb="FF000000"/>
            <rFont val="Aptos Narrow"/>
            <scheme val="minor"/>
          </rPr>
          <t>======
ID#AAABjx7qSQw
    (2025-05-21 11:33:26)
10/3 請Chloe下單</t>
        </r>
      </text>
    </comment>
    <comment ref="H871" authorId="0" shapeId="0" xr:uid="{9344BD18-0B74-0B4B-AC77-FBB52B838B8F}">
      <text>
        <r>
          <rPr>
            <sz val="10"/>
            <color rgb="FF000000"/>
            <rFont val="Aptos Narrow"/>
            <scheme val="minor"/>
          </rPr>
          <t>======
ID#AAABjx7qQrs
    (2025-05-21 11:33:25)
ALICE:10/7-玉山銀行收到匯入款USD801-手續費USD6.48=USD794.52沖PI-20191002A USD801元整</t>
        </r>
      </text>
    </comment>
    <comment ref="J871" authorId="0" shapeId="0" xr:uid="{D350F810-2344-834B-B93C-AA2878E9149C}">
      <text>
        <r>
          <rPr>
            <sz val="10"/>
            <color rgb="FF000000"/>
            <rFont val="Aptos Narrow"/>
            <scheme val="minor"/>
          </rPr>
          <t>======
ID#AAABjx7qSxc
    (2025-05-21 11:33:26)
using UPS express then</t>
        </r>
      </text>
    </comment>
    <comment ref="K871" authorId="0" shapeId="0" xr:uid="{9E7AC021-4716-BC4C-8740-DD9650616F92}">
      <text>
        <r>
          <rPr>
            <sz val="10"/>
            <color rgb="FF000000"/>
            <rFont val="Aptos Narrow"/>
            <scheme val="minor"/>
          </rPr>
          <t>======
ID#AAABjx7qVno
    (2025-05-21 11:33:27)
10/30 cathy:通知客人交期</t>
        </r>
      </text>
    </comment>
    <comment ref="M871" authorId="0" shapeId="0" xr:uid="{6289014D-F3DE-DF4E-B3A4-3D1B0274179B}">
      <text>
        <r>
          <rPr>
            <sz val="10"/>
            <color rgb="FF000000"/>
            <rFont val="Aptos Narrow"/>
            <scheme val="minor"/>
          </rPr>
          <t>======
ID#AAABjx7qPaw
    (2025-05-21 11:33:24)
Chloe 1106: MOXA回覆交期，有可能會延遲兩天</t>
        </r>
      </text>
    </comment>
    <comment ref="D872" authorId="0" shapeId="0" xr:uid="{2B394D34-1E54-7648-A7E9-069E162F2387}">
      <text>
        <r>
          <rPr>
            <sz val="10"/>
            <color rgb="FF000000"/>
            <rFont val="Aptos Narrow"/>
            <scheme val="minor"/>
          </rPr>
          <t>======
ID#AAABjx7qO50
    (2025-05-21 11:33:24)
10/3 請Chloe下單</t>
        </r>
      </text>
    </comment>
    <comment ref="H872" authorId="0" shapeId="0" xr:uid="{B7F5FBB0-4C47-C04F-A352-9CF138B063AB}">
      <text>
        <r>
          <rPr>
            <sz val="10"/>
            <color rgb="FF000000"/>
            <rFont val="Aptos Narrow"/>
            <scheme val="minor"/>
          </rPr>
          <t>======
ID#AAABjx7qToE
    (2025-05-21 11:33:26)
ALICE:10/7-玉山銀行收到匯入款USD801-手續費USD6.48=USD794.52沖PI-20191002A USD801元整</t>
        </r>
      </text>
    </comment>
    <comment ref="J872" authorId="0" shapeId="0" xr:uid="{EBE1442A-8412-AF4D-B6D4-8B6B488AF191}">
      <text>
        <r>
          <rPr>
            <sz val="10"/>
            <color rgb="FF000000"/>
            <rFont val="Aptos Narrow"/>
            <scheme val="minor"/>
          </rPr>
          <t>======
ID#AAABjx7qPzM
    (2025-05-21 11:33:24)
using UPS express then</t>
        </r>
      </text>
    </comment>
    <comment ref="K872" authorId="0" shapeId="0" xr:uid="{45FA37D2-2F35-5749-90E5-FA4A7FA66746}">
      <text>
        <r>
          <rPr>
            <sz val="10"/>
            <color rgb="FF000000"/>
            <rFont val="Aptos Narrow"/>
            <scheme val="minor"/>
          </rPr>
          <t>======
ID#AAABjx7qVB0
    (2025-05-21 11:33:27)
10/30 cathy:通知客人交期</t>
        </r>
      </text>
    </comment>
    <comment ref="M872" authorId="0" shapeId="0" xr:uid="{2C26F0BF-2E1F-6A49-8705-014AAA6045B7}">
      <text>
        <r>
          <rPr>
            <sz val="10"/>
            <color rgb="FF000000"/>
            <rFont val="Aptos Narrow"/>
            <scheme val="minor"/>
          </rPr>
          <t>======
ID#AAABjx7qOF0
    (2025-05-21 11:33:24)
Chloe 1106: MOXA回覆交期，有可能會延遲兩天</t>
        </r>
      </text>
    </comment>
    <comment ref="D873" authorId="0" shapeId="0" xr:uid="{A03E7ACB-5760-A040-9BD6-FDF3A254EB36}">
      <text>
        <r>
          <rPr>
            <sz val="10"/>
            <color rgb="FF000000"/>
            <rFont val="Aptos Narrow"/>
            <scheme val="minor"/>
          </rPr>
          <t>======
ID#AAABjx7qTiM
    (2025-05-21 11:33:26)
10/3 請Chloe下單</t>
        </r>
      </text>
    </comment>
    <comment ref="H873" authorId="0" shapeId="0" xr:uid="{2516238A-8CD5-CB40-85CE-55016B1F5F8A}">
      <text>
        <r>
          <rPr>
            <sz val="10"/>
            <color rgb="FF000000"/>
            <rFont val="Aptos Narrow"/>
            <scheme val="minor"/>
          </rPr>
          <t>======
ID#AAABjx7qSE0
    (2025-05-21 11:33:26)
ALICE:10/7-玉山銀行收到匯入款USD801-手續費USD6.48=USD794.52沖PI-20191002A USD801元整</t>
        </r>
      </text>
    </comment>
    <comment ref="J873" authorId="0" shapeId="0" xr:uid="{E9E5723C-447F-4041-BA82-E89C0C8E694C}">
      <text>
        <r>
          <rPr>
            <sz val="10"/>
            <color rgb="FF000000"/>
            <rFont val="Aptos Narrow"/>
            <scheme val="minor"/>
          </rPr>
          <t>======
ID#AAABjx7qVq0
    (2025-05-21 11:33:27)
using UPS express then</t>
        </r>
      </text>
    </comment>
    <comment ref="K873" authorId="0" shapeId="0" xr:uid="{5765FD09-AFE4-624E-977F-CAD7E4612DFB}">
      <text>
        <r>
          <rPr>
            <sz val="10"/>
            <color rgb="FF000000"/>
            <rFont val="Aptos Narrow"/>
            <scheme val="minor"/>
          </rPr>
          <t>======
ID#AAABjx7qTdU
    (2025-05-21 11:33:26)
10/30 cathy:通知客人交期</t>
        </r>
      </text>
    </comment>
    <comment ref="M873" authorId="0" shapeId="0" xr:uid="{6E81571F-8281-4141-93D2-38F89066ACEA}">
      <text>
        <r>
          <rPr>
            <sz val="10"/>
            <color rgb="FF000000"/>
            <rFont val="Aptos Narrow"/>
            <scheme val="minor"/>
          </rPr>
          <t>======
ID#AAABj82dpP4
    (2025-05-21 11:33:23)
Chloe 1106: MOXA回覆交期，有可能會延遲兩天</t>
        </r>
      </text>
    </comment>
    <comment ref="D874" authorId="0" shapeId="0" xr:uid="{B6908416-2160-9749-80C1-4FFE8A87D34D}">
      <text>
        <r>
          <rPr>
            <sz val="10"/>
            <color rgb="FF000000"/>
            <rFont val="Aptos Narrow"/>
            <scheme val="minor"/>
          </rPr>
          <t>======
ID#AAABjx7qSfI
    (2025-05-21 11:33:26)
10/3 請Chloe下單</t>
        </r>
      </text>
    </comment>
    <comment ref="H874" authorId="0" shapeId="0" xr:uid="{88EBD7F8-6B96-704E-A072-BAFF150C9AD5}">
      <text>
        <r>
          <rPr>
            <sz val="10"/>
            <color rgb="FF000000"/>
            <rFont val="Aptos Narrow"/>
            <scheme val="minor"/>
          </rPr>
          <t>======
ID#AAABjx7qVj8
    (2025-05-21 11:33:27)
ALICE:10/7-玉山銀行收到匯入款USD801-手續費USD6.48=USD794.52沖PI-20191002A USD801元整</t>
        </r>
      </text>
    </comment>
    <comment ref="J874" authorId="0" shapeId="0" xr:uid="{95D5474E-A361-F94F-AE90-11699AE3703D}">
      <text>
        <r>
          <rPr>
            <sz val="10"/>
            <color rgb="FF000000"/>
            <rFont val="Aptos Narrow"/>
            <scheme val="minor"/>
          </rPr>
          <t>======
ID#AAABjx7qPb4
    (2025-05-21 11:33:24)
using UPS express then</t>
        </r>
      </text>
    </comment>
    <comment ref="K874" authorId="0" shapeId="0" xr:uid="{DDBEAE6B-6442-BF47-AB91-2BD69752CBBB}">
      <text>
        <r>
          <rPr>
            <sz val="10"/>
            <color rgb="FF000000"/>
            <rFont val="Aptos Narrow"/>
            <scheme val="minor"/>
          </rPr>
          <t>======
ID#AAABjx7qM9g
    (2025-05-21 11:33:23)
10/30 cathy:通知客人交期</t>
        </r>
      </text>
    </comment>
    <comment ref="H875" authorId="0" shapeId="0" xr:uid="{83BDF50C-3A0C-D74B-A570-4B7547EBE30A}">
      <text>
        <r>
          <rPr>
            <sz val="10"/>
            <color rgb="FF000000"/>
            <rFont val="Aptos Narrow"/>
            <scheme val="minor"/>
          </rPr>
          <t>======
ID#AAABjx7qWP4
    (2025-05-21 11:33:27)
ALICE:11/20一銀匯入USD5837沖PI-20190930A USD3945+PI-20191003A USD137+PI-20191005A USD1755</t>
        </r>
      </text>
    </comment>
    <comment ref="K875" authorId="0" shapeId="0" xr:uid="{9D4743E5-0173-E04A-AF9F-1E2F92B6E55C}">
      <text>
        <r>
          <rPr>
            <sz val="10"/>
            <color rgb="FF000000"/>
            <rFont val="Aptos Narrow"/>
            <scheme val="minor"/>
          </rPr>
          <t>======
ID#AAABjx7qU2I
    (2025-05-21 11:33:26)
1015YVONNE:隨貨寄目錄,並通知san</t>
        </r>
      </text>
    </comment>
    <comment ref="M875" authorId="0" shapeId="0" xr:uid="{C82E83FA-6D74-7C45-A7AA-FA34EBC4450F}">
      <text>
        <r>
          <rPr>
            <sz val="10"/>
            <color rgb="FF000000"/>
            <rFont val="Aptos Narrow"/>
            <scheme val="minor"/>
          </rPr>
          <t>======
ID#AAABjx7qPa0
    (2025-05-21 11:33:24)
1014YVONNE:廠商寄錯貨，已請他們從新出貨</t>
        </r>
      </text>
    </comment>
    <comment ref="H876" authorId="0" shapeId="0" xr:uid="{EDC197EA-1CBB-1F47-B2FB-B4C9520662E5}">
      <text>
        <r>
          <rPr>
            <sz val="10"/>
            <color rgb="FF000000"/>
            <rFont val="Aptos Narrow"/>
            <scheme val="minor"/>
          </rPr>
          <t>======
ID#AAABjx7qSVE
    (2025-05-21 11:33:26)
ALICE:11/20一銀匯入USD5837沖PI-20190930A USD3945+PI-20191003A USD137+PI-20191005A USD1755</t>
        </r>
      </text>
    </comment>
    <comment ref="K876" authorId="0" shapeId="0" xr:uid="{42BE9813-35A2-9246-BF8A-48B533CE3310}">
      <text>
        <r>
          <rPr>
            <sz val="10"/>
            <color rgb="FF000000"/>
            <rFont val="Aptos Narrow"/>
            <scheme val="minor"/>
          </rPr>
          <t>======
ID#AAABjx7qM5U
    (2025-05-21 11:33:23)
1015YVONNE:隨貨寄目錄,並通知san</t>
        </r>
      </text>
    </comment>
    <comment ref="H877" authorId="0" shapeId="0" xr:uid="{B477DAF3-4CAD-5D40-9D00-BD3A021514BE}">
      <text>
        <r>
          <rPr>
            <sz val="10"/>
            <color rgb="FF000000"/>
            <rFont val="Aptos Narrow"/>
            <scheme val="minor"/>
          </rPr>
          <t>======
ID#AAABjx7qQ-E
    (2025-05-21 11:33:25)
ALICE:11/20一銀匯入USD5837沖PI-20190930A USD3945+PI-20191003A USD137+PI-20191005A USD1755</t>
        </r>
      </text>
    </comment>
    <comment ref="K877" authorId="0" shapeId="0" xr:uid="{2325E026-56C3-8E49-943C-7FF21BBA5204}">
      <text>
        <r>
          <rPr>
            <sz val="10"/>
            <color rgb="FF000000"/>
            <rFont val="Aptos Narrow"/>
            <scheme val="minor"/>
          </rPr>
          <t>======
ID#AAABjx7qWCI
    (2025-05-21 11:33:27)
1015YVONNE:隨貨寄目錄,並通知san</t>
        </r>
      </text>
    </comment>
    <comment ref="H878" authorId="0" shapeId="0" xr:uid="{AD0755CC-8D4B-AC4C-BC25-344D46FD352A}">
      <text>
        <r>
          <rPr>
            <sz val="10"/>
            <color rgb="FF000000"/>
            <rFont val="Aptos Narrow"/>
            <scheme val="minor"/>
          </rPr>
          <t>======
ID#AAABjx7qQAM
    (2025-05-21 11:33:25)
ALICE:11/20一銀匯入USD5837沖PI-20190930A USD3945+PI-20191003A USD137+PI-20191005A USD1755</t>
        </r>
      </text>
    </comment>
    <comment ref="K878" authorId="0" shapeId="0" xr:uid="{D02C5E03-3672-C24D-962D-BB810F932678}">
      <text>
        <r>
          <rPr>
            <sz val="10"/>
            <color rgb="FF000000"/>
            <rFont val="Aptos Narrow"/>
            <scheme val="minor"/>
          </rPr>
          <t>======
ID#AAABjx7qPC0
    (2025-05-21 11:33:24)
1015YVONNE:隨貨寄目錄,並通知san</t>
        </r>
      </text>
    </comment>
    <comment ref="D879" authorId="0" shapeId="0" xr:uid="{EAD04AD6-DB5E-ED48-9E7D-3B3DDF697DE0}">
      <text>
        <r>
          <rPr>
            <sz val="10"/>
            <color rgb="FF000000"/>
            <rFont val="Aptos Narrow"/>
            <scheme val="minor"/>
          </rPr>
          <t>======
ID#AAABjx7qVuM
    (2025-05-21 11:33:27)
10/8 cathy
：貨運公司臨時告知產生</t>
        </r>
      </text>
    </comment>
    <comment ref="H879" authorId="0" shapeId="0" xr:uid="{3D8BD3F9-D365-AC45-B6E3-1296D46820ED}">
      <text>
        <r>
          <rPr>
            <sz val="10"/>
            <color rgb="FF000000"/>
            <rFont val="Aptos Narrow"/>
            <scheme val="minor"/>
          </rPr>
          <t>======
ID#AAABjx7qNvU
    (2025-05-21 11:33:23)
alice:10/28-玉山銀行收到Hectronic匯入USD52.59沖PI-20190620A-T</t>
        </r>
      </text>
    </comment>
    <comment ref="I879" authorId="0" shapeId="0" xr:uid="{5EB57017-A195-674F-AD81-687BE50BD52E}">
      <text>
        <r>
          <rPr>
            <sz val="10"/>
            <color rgb="FF000000"/>
            <rFont val="Aptos Narrow"/>
            <scheme val="minor"/>
          </rPr>
          <t>======
ID#AAABjx7qQ40
    (2025-05-21 11:33:25)
Cathy/Santiago</t>
        </r>
      </text>
    </comment>
    <comment ref="U879" authorId="0" shapeId="0" xr:uid="{BB3AACE9-3FFE-664A-B202-236E323109AC}">
      <text>
        <r>
          <rPr>
            <sz val="10"/>
            <color rgb="FF000000"/>
            <rFont val="Aptos Narrow"/>
            <scheme val="minor"/>
          </rPr>
          <t>======
ID#AAABjx7qVs0
    (2025-05-21 11:33:27)
發票3 PCS(TL53407799)
發票8 PCS(TL53407800)</t>
        </r>
      </text>
    </comment>
    <comment ref="H880" authorId="0" shapeId="0" xr:uid="{B0F40830-CA09-D140-BB4D-A27236216F7A}">
      <text>
        <r>
          <rPr>
            <sz val="10"/>
            <color rgb="FF000000"/>
            <rFont val="Aptos Narrow"/>
            <scheme val="minor"/>
          </rPr>
          <t>======
ID#AAABjx7qP7k
    (2025-05-21 11:33:24)
ALICE:10/24玉山水單匯入USD13256沖PI-20191007010 USD13256</t>
        </r>
      </text>
    </comment>
    <comment ref="E881" authorId="0" shapeId="0" xr:uid="{878BF872-9ADB-C444-845E-BF44649B82F3}">
      <text>
        <r>
          <rPr>
            <sz val="10"/>
            <color rgb="FF000000"/>
            <rFont val="Aptos Narrow"/>
            <scheme val="minor"/>
          </rPr>
          <t>======
ID#AAABjx7qQHQ
    (2025-05-21 11:33:25)
20191118 San: 補單</t>
        </r>
      </text>
    </comment>
    <comment ref="H881" authorId="0" shapeId="0" xr:uid="{3B90C57F-98CD-DD45-9E79-122528003168}">
      <text>
        <r>
          <rPr>
            <sz val="10"/>
            <color rgb="FF000000"/>
            <rFont val="Aptos Narrow"/>
            <scheme val="minor"/>
          </rPr>
          <t>======
ID#AAABjx7qTlM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882" authorId="0" shapeId="0" xr:uid="{4904ED7E-BA47-134F-907A-BD1727D445A6}">
      <text>
        <r>
          <rPr>
            <sz val="10"/>
            <color rgb="FF000000"/>
            <rFont val="Aptos Narrow"/>
            <scheme val="minor"/>
          </rPr>
          <t>======
ID#AAABjx7qTs0
    (2025-05-21 11:33:26)
ALICE:10/24玉山水單匯入USD13256沖PI-20191007010 USD13256</t>
        </r>
      </text>
    </comment>
    <comment ref="H883" authorId="0" shapeId="0" xr:uid="{44EBCEAD-269B-054B-96A8-12BE1B8585B3}">
      <text>
        <r>
          <rPr>
            <sz val="10"/>
            <color rgb="FF000000"/>
            <rFont val="Aptos Narrow"/>
            <scheme val="minor"/>
          </rPr>
          <t>======
ID#AAABjx7qTew
    (2025-05-21 11:33:26)
ALICE:10/24玉山水單匯入USD13256沖PI-20191007010 USD13256</t>
        </r>
      </text>
    </comment>
    <comment ref="H884" authorId="0" shapeId="0" xr:uid="{461A4E57-B6F4-DF41-958B-81E00248FF35}">
      <text>
        <r>
          <rPr>
            <sz val="10"/>
            <color rgb="FF000000"/>
            <rFont val="Aptos Narrow"/>
            <scheme val="minor"/>
          </rPr>
          <t>======
ID#AAABjx7qN9U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885" authorId="0" shapeId="0" xr:uid="{72C91C02-2C3B-144A-B74B-7903414182CC}">
      <text>
        <r>
          <rPr>
            <sz val="10"/>
            <color rgb="FF000000"/>
            <rFont val="Aptos Narrow"/>
            <scheme val="minor"/>
          </rPr>
          <t>======
ID#AAABjx7qNLI
    (2025-05-21 11:33:23)
ALICE:10/24玉山水單匯入USD13256沖PI-20191007010 USD13256</t>
        </r>
      </text>
    </comment>
    <comment ref="D886" authorId="0" shapeId="0" xr:uid="{294FCF09-0F30-594E-9511-5A3516EA997E}">
      <text>
        <r>
          <rPr>
            <sz val="10"/>
            <color rgb="FF000000"/>
            <rFont val="Aptos Narrow"/>
            <scheme val="minor"/>
          </rPr>
          <t>======
ID#AAABjx7qRIU
    (2025-05-21 11:33:25)
10/8 cathy: 通知下單</t>
        </r>
      </text>
    </comment>
    <comment ref="H886" authorId="0" shapeId="0" xr:uid="{E4C190A9-37A6-494B-8BED-15B8316F3947}">
      <text>
        <r>
          <rPr>
            <sz val="10"/>
            <color rgb="FF000000"/>
            <rFont val="Aptos Narrow"/>
            <scheme val="minor"/>
          </rPr>
          <t>======
ID#AAABjx7qNTA
    (2025-05-21 11:33:23)
ALICE:10/14匯入USD557-手續費USD17.53=USD539.47沖PI-20191008002 USD557元整</t>
        </r>
      </text>
    </comment>
    <comment ref="J886" authorId="0" shapeId="0" xr:uid="{AFFB3F7C-52B0-4843-AE48-7AB9E8A6BD48}">
      <text>
        <r>
          <rPr>
            <sz val="10"/>
            <color rgb="FF000000"/>
            <rFont val="Aptos Narrow"/>
            <scheme val="minor"/>
          </rPr>
          <t>======
ID#AAABjx7qSPA
    (2025-05-21 11:33:26)
客人自行安排取貨 
0527待客人確認</t>
        </r>
      </text>
    </comment>
    <comment ref="D887" authorId="0" shapeId="0" xr:uid="{30956794-FB09-9945-BE9E-D8377D5350F4}">
      <text>
        <r>
          <rPr>
            <sz val="10"/>
            <color rgb="FF000000"/>
            <rFont val="Aptos Narrow"/>
            <scheme val="minor"/>
          </rPr>
          <t>======
ID#AAABjx7qVwU
    (2025-05-21 11:33:27)
10/8 cathy: 通知下單</t>
        </r>
      </text>
    </comment>
    <comment ref="H887" authorId="0" shapeId="0" xr:uid="{2E704C52-55C4-4045-9925-902E66706F14}">
      <text>
        <r>
          <rPr>
            <sz val="10"/>
            <color rgb="FF000000"/>
            <rFont val="Aptos Narrow"/>
            <scheme val="minor"/>
          </rPr>
          <t>======
ID#AAABjx7qVHM
    (2025-05-21 11:33:27)
ALICE:10/14匯入USD557-手續費USD17.53=USD539.47沖PI-20191008002 USD557元整</t>
        </r>
      </text>
    </comment>
    <comment ref="J887" authorId="0" shapeId="0" xr:uid="{D7481F5C-3BE6-3B40-82B6-55051E2BB392}">
      <text>
        <r>
          <rPr>
            <sz val="10"/>
            <color rgb="FF000000"/>
            <rFont val="Aptos Narrow"/>
            <scheme val="minor"/>
          </rPr>
          <t>======
ID#AAABjx7qOZ0
    (2025-05-21 11:33:24)
客人自行安排取貨 
0527待客人確認</t>
        </r>
      </text>
    </comment>
    <comment ref="H888" authorId="0" shapeId="0" xr:uid="{A6EB55D2-4D04-B545-8B57-A9F8E5CCD122}">
      <text>
        <r>
          <rPr>
            <sz val="10"/>
            <color rgb="FF000000"/>
            <rFont val="Aptos Narrow"/>
            <scheme val="minor"/>
          </rPr>
          <t>======
ID#AAABjx7qWWw
    (2025-05-21 11:33:27)
ALICE:10/14匯入USD557-手續費USD17.53=USD539.47沖PI-20191008002 USD557元整</t>
        </r>
      </text>
    </comment>
    <comment ref="J888" authorId="0" shapeId="0" xr:uid="{7B8E5F47-FFBE-6843-899E-7710FF9A92DD}">
      <text>
        <r>
          <rPr>
            <sz val="10"/>
            <color rgb="FF000000"/>
            <rFont val="Aptos Narrow"/>
            <scheme val="minor"/>
          </rPr>
          <t>======
ID#AAABjx7qVeM
    (2025-05-21 11:33:27)
客人自行安排取貨 
0527待客人確認</t>
        </r>
      </text>
    </comment>
    <comment ref="H889" authorId="0" shapeId="0" xr:uid="{3171E874-5C0E-B04A-A093-AF9776D4642E}">
      <text>
        <r>
          <rPr>
            <sz val="10"/>
            <color rgb="FF000000"/>
            <rFont val="Aptos Narrow"/>
            <scheme val="minor"/>
          </rPr>
          <t>======
ID#AAABjx7qQ_o
    (2025-05-21 11:33:25)
ALICE:10/15玉山銀行收到匯入款USD2440(手續費USD)26.53沖PI-20191007012總計USD2440元整</t>
        </r>
      </text>
    </comment>
    <comment ref="H890" authorId="0" shapeId="0" xr:uid="{072DBFC7-4D2D-AD42-8D8E-9932818B87AB}">
      <text>
        <r>
          <rPr>
            <sz val="10"/>
            <color rgb="FF000000"/>
            <rFont val="Aptos Narrow"/>
            <scheme val="minor"/>
          </rPr>
          <t>======
ID#AAABjx7qTd8
    (2025-05-21 11:33:26)
ALICE:10/15玉山銀行收到匯入款USD2440(手續費USD)26.53沖PI-20191007012總計USD2440元整</t>
        </r>
      </text>
    </comment>
    <comment ref="H891" authorId="0" shapeId="0" xr:uid="{C6FA7D03-A728-5241-BD30-477D87C47D8A}">
      <text>
        <r>
          <rPr>
            <sz val="10"/>
            <color rgb="FF000000"/>
            <rFont val="Aptos Narrow"/>
            <scheme val="minor"/>
          </rPr>
          <t>======
ID#AAABjx7qNRQ
    (2025-05-21 11:33:23)
ALICE:10/15玉山銀行收到匯入款USD2440(手續費USD)26.53沖PI-20191007012總計USD2440元整</t>
        </r>
      </text>
    </comment>
    <comment ref="H892" authorId="0" shapeId="0" xr:uid="{9FBA2699-45B2-4949-9D69-4B8FF2D31C7D}">
      <text>
        <r>
          <rPr>
            <sz val="10"/>
            <color rgb="FF000000"/>
            <rFont val="Aptos Narrow"/>
            <scheme val="minor"/>
          </rPr>
          <t>======
ID#AAABjx7qQlo
    (2025-05-21 11:33:25)
ALICE:10/15玉山銀行收到匯入款USD2440(手續費USD)26.53沖PI-20191007012總計USD2440元整</t>
        </r>
      </text>
    </comment>
    <comment ref="D893" authorId="0" shapeId="0" xr:uid="{8C5AF62C-69BB-674A-924A-B4469A031A30}">
      <text>
        <r>
          <rPr>
            <sz val="10"/>
            <color rgb="FF000000"/>
            <rFont val="Aptos Narrow"/>
            <scheme val="minor"/>
          </rPr>
          <t>======
ID#AAABjx7qPD4
    (2025-05-21 11:33:24)
10/14 cathy: 請Tammy 下單</t>
        </r>
      </text>
    </comment>
    <comment ref="H893" authorId="0" shapeId="0" xr:uid="{0BCCCF07-CCA8-BC4B-A131-F9BB326F2F37}">
      <text>
        <r>
          <rPr>
            <sz val="10"/>
            <color rgb="FF000000"/>
            <rFont val="Aptos Narrow"/>
            <scheme val="minor"/>
          </rPr>
          <t>======
ID#AAABjx7qTcs
    (2025-05-21 11:33:26)
ALICE:10/16玉山銀行匯入USD1285沖PI-20191014001 USD1285元</t>
        </r>
      </text>
    </comment>
    <comment ref="J893" authorId="0" shapeId="0" xr:uid="{57B2203B-4324-BB4D-8700-738BDDDEB043}">
      <text>
        <r>
          <rPr>
            <sz val="10"/>
            <color rgb="FF000000"/>
            <rFont val="Aptos Narrow"/>
            <scheme val="minor"/>
          </rPr>
          <t>======
ID#AAABjx7qSCI
    (2025-05-21 11:33:25)
using UPS express then</t>
        </r>
      </text>
    </comment>
    <comment ref="K893" authorId="0" shapeId="0" xr:uid="{07363F44-D9C9-AB4B-A0C7-30CB271C055A}">
      <text>
        <r>
          <rPr>
            <sz val="10"/>
            <color rgb="FF000000"/>
            <rFont val="Aptos Narrow"/>
            <scheme val="minor"/>
          </rPr>
          <t>======
ID#AAABjx7qNB0
    (2025-05-21 11:33:23)
Chloe 1106: MOXA回覆交期，有可能會延遲兩天</t>
        </r>
      </text>
    </comment>
    <comment ref="M893" authorId="0" shapeId="0" xr:uid="{BF7E7F01-A632-E042-8904-1EABF9915272}">
      <text>
        <r>
          <rPr>
            <sz val="10"/>
            <color rgb="FF000000"/>
            <rFont val="Aptos Narrow"/>
            <scheme val="minor"/>
          </rPr>
          <t>======
ID#AAABjx7qSck
    (2025-05-21 11:33:26)
Chloe 1106: MOXA回覆交期，有可能會延遲兩天</t>
        </r>
      </text>
    </comment>
    <comment ref="D894" authorId="0" shapeId="0" xr:uid="{8FC491A9-F851-A448-BD47-419717930498}">
      <text>
        <r>
          <rPr>
            <sz val="10"/>
            <color rgb="FF000000"/>
            <rFont val="Aptos Narrow"/>
            <scheme val="minor"/>
          </rPr>
          <t>======
ID#AAABjx7qOsE
    (2025-05-21 11:33:24)
10/14 cathy: 請Tammy 下單</t>
        </r>
      </text>
    </comment>
    <comment ref="H894" authorId="0" shapeId="0" xr:uid="{1057CC3E-0C17-0447-86D7-0DDFE834F9F0}">
      <text>
        <r>
          <rPr>
            <sz val="10"/>
            <color rgb="FF000000"/>
            <rFont val="Aptos Narrow"/>
            <scheme val="minor"/>
          </rPr>
          <t>======
ID#AAABjx7qOxE
    (2025-05-21 11:33:24)
ALICE:10/16玉山銀行匯入USD1285沖PI-20191014001 USD1285元</t>
        </r>
      </text>
    </comment>
    <comment ref="J894" authorId="0" shapeId="0" xr:uid="{BA42B820-14F0-1042-9037-098D0FEB95E2}">
      <text>
        <r>
          <rPr>
            <sz val="10"/>
            <color rgb="FF000000"/>
            <rFont val="Aptos Narrow"/>
            <scheme val="minor"/>
          </rPr>
          <t>======
ID#AAABjx7qTRo
    (2025-05-21 11:33:26)
using UPS express then</t>
        </r>
      </text>
    </comment>
    <comment ref="K894" authorId="0" shapeId="0" xr:uid="{BE6AB0FF-BAB0-6B47-A01E-03CB0701AF88}">
      <text>
        <r>
          <rPr>
            <sz val="10"/>
            <color rgb="FF000000"/>
            <rFont val="Aptos Narrow"/>
            <scheme val="minor"/>
          </rPr>
          <t>======
ID#AAABjx7qR7E
    (2025-05-21 11:33:25)
Chloe 1106: MOXA回覆交期，有可能會延遲兩天</t>
        </r>
      </text>
    </comment>
    <comment ref="M894" authorId="0" shapeId="0" xr:uid="{B63A87AF-CD90-3A4A-A58A-271D409F3831}">
      <text>
        <r>
          <rPr>
            <sz val="10"/>
            <color rgb="FF000000"/>
            <rFont val="Aptos Narrow"/>
            <scheme val="minor"/>
          </rPr>
          <t>======
ID#AAABjx7qQ_4
    (2025-05-21 11:33:25)
Chloe 1106: MOXA回覆交期，有可能會延遲兩天</t>
        </r>
      </text>
    </comment>
    <comment ref="D895" authorId="0" shapeId="0" xr:uid="{D2E3398F-EA6F-6B47-8293-90DE65223335}">
      <text>
        <r>
          <rPr>
            <sz val="10"/>
            <color rgb="FF000000"/>
            <rFont val="Aptos Narrow"/>
            <scheme val="minor"/>
          </rPr>
          <t>======
ID#AAABjx7qRVQ
    (2025-05-21 11:33:25)
10/14 cathy: 請Tammy 下單</t>
        </r>
      </text>
    </comment>
    <comment ref="H895" authorId="0" shapeId="0" xr:uid="{697D8F08-BB24-EF4F-B288-52F0BD92DF49}">
      <text>
        <r>
          <rPr>
            <sz val="10"/>
            <color rgb="FF000000"/>
            <rFont val="Aptos Narrow"/>
            <scheme val="minor"/>
          </rPr>
          <t>======
ID#AAABjx7qQLk
    (2025-05-21 11:33:25)
ALICE:10/16玉山銀行匯入USD1285沖PI-20191014001 USD1285元</t>
        </r>
      </text>
    </comment>
    <comment ref="J895" authorId="0" shapeId="0" xr:uid="{67404521-1F0A-964D-A3B1-9377E1E49304}">
      <text>
        <r>
          <rPr>
            <sz val="10"/>
            <color rgb="FF000000"/>
            <rFont val="Aptos Narrow"/>
            <scheme val="minor"/>
          </rPr>
          <t>======
ID#AAABjx7qN2Q
    (2025-05-21 11:33:23)
using UPS express then</t>
        </r>
      </text>
    </comment>
    <comment ref="K895" authorId="0" shapeId="0" xr:uid="{A0312392-2C20-CD41-B87B-0F1B68ECFC53}">
      <text>
        <r>
          <rPr>
            <sz val="10"/>
            <color rgb="FF000000"/>
            <rFont val="Aptos Narrow"/>
            <scheme val="minor"/>
          </rPr>
          <t>======
ID#AAABjx7qTQo
    (2025-05-21 11:33:26)
Chloe 1106: MOXA回覆交期，有可能會延遲兩天</t>
        </r>
      </text>
    </comment>
    <comment ref="H896" authorId="0" shapeId="0" xr:uid="{5345139C-1E20-E943-A809-F00A934A9F53}">
      <text>
        <r>
          <rPr>
            <sz val="10"/>
            <color rgb="FF000000"/>
            <rFont val="Aptos Narrow"/>
            <scheme val="minor"/>
          </rPr>
          <t>======
ID#AAABjx7qVDk
    (2025-05-21 11:33:27)
ALICE:12/4-TPOLE匯入一銀USD2242(全額到付)沖PI-20190923B 125+PI-20190930B USD1872+PI-20191014006 USD150+PI-20191026001 USD95合計總沖USD2242元整</t>
        </r>
      </text>
    </comment>
    <comment ref="D897" authorId="0" shapeId="0" xr:uid="{3128655F-EA2F-C344-BE7E-D84103C5FD44}">
      <text>
        <r>
          <rPr>
            <sz val="10"/>
            <color rgb="FF000000"/>
            <rFont val="Aptos Narrow"/>
            <scheme val="minor"/>
          </rPr>
          <t>======
ID#AAABjx7qNCc
    (2025-05-21 11:33:23)
10/15 CATHY: 請YVONNE下單</t>
        </r>
      </text>
    </comment>
    <comment ref="H897" authorId="0" shapeId="0" xr:uid="{1926F09F-1236-5F4F-88AC-9C151504F3C8}">
      <text>
        <r>
          <rPr>
            <sz val="10"/>
            <color rgb="FF000000"/>
            <rFont val="Aptos Narrow"/>
            <scheme val="minor"/>
          </rPr>
          <t>======
ID#AAABjx7qOx0
    (2025-05-21 11:33:24)
ALICE:12/12收到應收票據，到期日108/12/30-AN0560117 NT132075(郵寄28元)沖PI-20191015001</t>
        </r>
      </text>
    </comment>
    <comment ref="K897" authorId="0" shapeId="0" xr:uid="{69B62928-A7E9-3D46-92D9-22D35474ED3D}">
      <text>
        <r>
          <rPr>
            <sz val="10"/>
            <color rgb="FF000000"/>
            <rFont val="Aptos Narrow"/>
            <scheme val="minor"/>
          </rPr>
          <t>======
ID#AAABjx7qPQs
    (2025-05-21 11:33:24)
11/12 芳慎需星期五中午前收到 
原交期 11/14</t>
        </r>
      </text>
    </comment>
    <comment ref="M897" authorId="0" shapeId="0" xr:uid="{6F7BEC9A-59C3-B14F-BDB4-B8AE76D464E6}">
      <text>
        <r>
          <rPr>
            <sz val="10"/>
            <color rgb="FF000000"/>
            <rFont val="Aptos Narrow"/>
            <scheme val="minor"/>
          </rPr>
          <t>======
ID#AAABjx7qPxQ
    (2025-05-21 11:33:24)
1104 Jimmy 告知交期改為 11/11
1023YVONNE:JIMMY告知要分批出貨。
1112yvonne:jimmy延遲出貨，改到11/14</t>
        </r>
      </text>
    </comment>
    <comment ref="D898" authorId="0" shapeId="0" xr:uid="{CF78A587-2147-FB47-B489-02934DFEE808}">
      <text>
        <r>
          <rPr>
            <sz val="10"/>
            <color rgb="FF000000"/>
            <rFont val="Aptos Narrow"/>
            <scheme val="minor"/>
          </rPr>
          <t>======
ID#AAABjx7qSGs
    (2025-05-21 11:33:26)
10/15 CATHY: 請YVONNE下單</t>
        </r>
      </text>
    </comment>
    <comment ref="H898" authorId="0" shapeId="0" xr:uid="{05E760AC-CE11-914C-A2B1-EC833B5D7AA7}">
      <text>
        <r>
          <rPr>
            <sz val="10"/>
            <color rgb="FF000000"/>
            <rFont val="Aptos Narrow"/>
            <scheme val="minor"/>
          </rPr>
          <t>======
ID#AAABjx7qWQg
    (2025-05-21 11:33:27)
ALICE:12/12收到應收票據，到期日108/12/30-AN0560117 NT132075(郵寄28元)沖PI-20191015001</t>
        </r>
      </text>
    </comment>
    <comment ref="K898" authorId="0" shapeId="0" xr:uid="{E06D7D9F-87E8-C94C-8A05-A450C446A81E}">
      <text>
        <r>
          <rPr>
            <sz val="10"/>
            <color rgb="FF000000"/>
            <rFont val="Aptos Narrow"/>
            <scheme val="minor"/>
          </rPr>
          <t>======
ID#AAABjx7qPbU
    (2025-05-21 11:33:24)
在此輸入
在此輸入
11/12 芳慎需星期五中午前收到 
原交期 11/14</t>
        </r>
      </text>
    </comment>
    <comment ref="M898" authorId="0" shapeId="0" xr:uid="{5FE31A57-39A8-2945-98BA-FAAFBB3EC5F8}">
      <text>
        <r>
          <rPr>
            <sz val="10"/>
            <color rgb="FF000000"/>
            <rFont val="Aptos Narrow"/>
            <scheme val="minor"/>
          </rPr>
          <t>======
ID#AAABjx7qSNI
    (2025-05-21 11:33:26)
1104 Jimmy 告知交期改為 11/11
1023YVONNE:JIMMY告知要分批出貨。
1112yvonne:jimmy延遲出貨，改到11/14</t>
        </r>
      </text>
    </comment>
    <comment ref="D899" authorId="0" shapeId="0" xr:uid="{588F0919-0F7F-2D4A-AE52-B48DFD9A9C7F}">
      <text>
        <r>
          <rPr>
            <sz val="10"/>
            <color rgb="FF000000"/>
            <rFont val="Aptos Narrow"/>
            <scheme val="minor"/>
          </rPr>
          <t>======
ID#AAABjx7qTms
    (2025-05-21 11:33:26)
10/23 cathy: 請chloe 下單</t>
        </r>
      </text>
    </comment>
    <comment ref="H899" authorId="0" shapeId="0" xr:uid="{DD0DFA84-E3CC-7341-8AC0-E276597C9B84}">
      <text>
        <r>
          <rPr>
            <sz val="10"/>
            <color rgb="FF000000"/>
            <rFont val="Aptos Narrow"/>
            <scheme val="minor"/>
          </rPr>
          <t>======
ID#AAABjx7qOqo
    (2025-05-21 11:33:24)
ALICE:11/28一銀通知客戶匯入USD6665沖PI-20191023001 USD660+PI-20191024001 USD6005合計共USD6665元整</t>
        </r>
      </text>
    </comment>
    <comment ref="K899" authorId="0" shapeId="0" xr:uid="{2C773391-1A9F-3D4B-B562-685333CC209C}">
      <text>
        <r>
          <rPr>
            <sz val="10"/>
            <color rgb="FF000000"/>
            <rFont val="Aptos Narrow"/>
            <scheme val="minor"/>
          </rPr>
          <t>======
ID#AAABjx7qTEY
    (2025-05-21 11:33:26)
10/28 cathy: 通知客人交期pending 
10/15 cathy: 10/22 需update 交期給客人</t>
        </r>
      </text>
    </comment>
    <comment ref="M899" authorId="0" shapeId="0" xr:uid="{2ED4DD07-55E8-DA41-AF99-1528A132CE56}">
      <text>
        <r>
          <rPr>
            <sz val="10"/>
            <color rgb="FF000000"/>
            <rFont val="Aptos Narrow"/>
            <scheme val="minor"/>
          </rPr>
          <t>======
ID#AAABjx7qUzs
    (2025-05-21 11:33:26)
Chloe 1106: MOXA回覆交期，有可能會延遲兩天</t>
        </r>
      </text>
    </comment>
    <comment ref="D900" authorId="0" shapeId="0" xr:uid="{0144D722-7AB4-F84D-B906-B1EE2DAED4CD}">
      <text>
        <r>
          <rPr>
            <sz val="10"/>
            <color rgb="FF000000"/>
            <rFont val="Aptos Narrow"/>
            <scheme val="minor"/>
          </rPr>
          <t>======
ID#AAABjx7qWHw
    (2025-05-21 11:33:27)
10/23 cathy: 請chloe 下單</t>
        </r>
      </text>
    </comment>
    <comment ref="H900" authorId="0" shapeId="0" xr:uid="{A498D3F6-35D8-184A-BC2E-8FE7DFEFE8AD}">
      <text>
        <r>
          <rPr>
            <sz val="10"/>
            <color rgb="FF000000"/>
            <rFont val="Aptos Narrow"/>
            <scheme val="minor"/>
          </rPr>
          <t>======
ID#AAABjx7qVcQ
    (2025-05-21 11:33:27)
ALICE:11/28一銀通知客戶匯入USD6665沖PI-20191023001 USD660+PI-20191024001 USD6005合計共USD6665元整</t>
        </r>
      </text>
    </comment>
    <comment ref="K900" authorId="0" shapeId="0" xr:uid="{048A90FB-8AC1-2A44-B0B3-892E8E5DA75F}">
      <text>
        <r>
          <rPr>
            <sz val="10"/>
            <color rgb="FF000000"/>
            <rFont val="Aptos Narrow"/>
            <scheme val="minor"/>
          </rPr>
          <t>======
ID#AAABjx7qTfs
    (2025-05-21 11:33:26)
10/28 cathy: 通知客人交期pending 
10/15 cathy: 10/22 需update 交期給客人</t>
        </r>
      </text>
    </comment>
    <comment ref="M900" authorId="0" shapeId="0" xr:uid="{80344F30-851E-8849-A830-07ED57A9BEED}">
      <text>
        <r>
          <rPr>
            <sz val="10"/>
            <color rgb="FF000000"/>
            <rFont val="Aptos Narrow"/>
            <scheme val="minor"/>
          </rPr>
          <t>======
ID#AAABjx7qUzI
    (2025-05-21 11:33:26)
Chloe 1106: MOXA回覆交期，有可能會延遲兩天</t>
        </r>
      </text>
    </comment>
    <comment ref="D901" authorId="0" shapeId="0" xr:uid="{EDBEC16C-E6B1-D044-A19C-0FE9E2ECA8CE}">
      <text>
        <r>
          <rPr>
            <sz val="10"/>
            <color rgb="FF000000"/>
            <rFont val="Aptos Narrow"/>
            <scheme val="minor"/>
          </rPr>
          <t>======
ID#AAABjx7qSws
    (2025-05-21 11:33:26)
10/16 cathy 請tammy 協助下單</t>
        </r>
      </text>
    </comment>
    <comment ref="H901" authorId="0" shapeId="0" xr:uid="{2BEA56EA-1B5D-A648-9248-B3C66491555C}">
      <text>
        <r>
          <rPr>
            <sz val="10"/>
            <color rgb="FF000000"/>
            <rFont val="Aptos Narrow"/>
            <scheme val="minor"/>
          </rPr>
          <t>======
ID#AAABjx7qRjE
    (2025-05-21 11:33:25)
ALICE:12/10-亞郁匯入NT86152沖PI-20191016001.PI-20191017001.PI-20191030002.PI-20191112005 USD270.9</t>
        </r>
      </text>
    </comment>
    <comment ref="K901" authorId="0" shapeId="0" xr:uid="{20D9D85D-10EA-0E43-B938-50811465958A}">
      <text>
        <r>
          <rPr>
            <sz val="10"/>
            <color rgb="FF000000"/>
            <rFont val="Aptos Narrow"/>
            <scheme val="minor"/>
          </rPr>
          <t>======
ID#AAABjx7qS00
    (2025-05-21 11:33:26)
10/30 cathy:通知客人交期11/4 or 11/5
1028 chloe: 原先告知10/30</t>
        </r>
      </text>
    </comment>
    <comment ref="M901" authorId="0" shapeId="0" xr:uid="{F420246A-6EA4-AD47-A2CA-834717562942}">
      <text>
        <r>
          <rPr>
            <sz val="10"/>
            <color rgb="FF000000"/>
            <rFont val="Aptos Narrow"/>
            <scheme val="minor"/>
          </rPr>
          <t>======
ID#AAABjx7qRB0
    (2025-05-21 11:33:25)
1030 cathy: 亞郁通知下班前收到貨
1028 chloe: 原先告知10/30</t>
        </r>
      </text>
    </comment>
    <comment ref="AB901" authorId="0" shapeId="0" xr:uid="{66FE0AFF-9265-B544-BD79-A013E5D4AC0B}">
      <text>
        <r>
          <rPr>
            <sz val="10"/>
            <color rgb="FF000000"/>
            <rFont val="Aptos Narrow"/>
            <scheme val="minor"/>
          </rPr>
          <t>======
ID#AAABjx7qQgI
    (2025-05-21 11:33:25)
1107yvonne:TL36541251作廢
發票日期Alice同意改開11月份</t>
        </r>
      </text>
    </comment>
    <comment ref="F902" authorId="0" shapeId="0" xr:uid="{097D3008-DA84-C84C-8346-FC648BE8AF13}">
      <text>
        <r>
          <rPr>
            <sz val="10"/>
            <color rgb="FF000000"/>
            <rFont val="Aptos Narrow"/>
            <scheme val="minor"/>
          </rPr>
          <t>======
ID#AAABjx7qOno
    (2025-05-21 11:33:24)
20191017 客人通知10/16寄出10pcs 備品(10/18到料，有請vivian QC外觀) 
20191018 客人告知良品先存於我司*4pcs 不良部分待確認處理方式
20191030 客人告知不良先寄回，良品放我司</t>
        </r>
      </text>
    </comment>
    <comment ref="M902" authorId="0" shapeId="0" xr:uid="{8940E1E2-E5A2-3846-9E1B-3138A68FBF83}">
      <text>
        <r>
          <rPr>
            <sz val="10"/>
            <color rgb="FF000000"/>
            <rFont val="Aptos Narrow"/>
            <scheme val="minor"/>
          </rPr>
          <t>======
ID#AAABjx7qRu4
    (2025-05-21 11:33:25)
1021yvonne:今日寄出</t>
        </r>
      </text>
    </comment>
    <comment ref="N902" authorId="0" shapeId="0" xr:uid="{13C5FEFA-3335-494F-8066-2FA8469CC142}">
      <text>
        <r>
          <rPr>
            <sz val="10"/>
            <color rgb="FF000000"/>
            <rFont val="Aptos Narrow"/>
            <scheme val="minor"/>
          </rPr>
          <t>======
ID#AAABjx7qWRU
    (2025-05-21 11:33:27)
1025 chloe: 因應 6 PCS 驗退；4 PCS 良品寄回</t>
        </r>
      </text>
    </comment>
    <comment ref="D903" authorId="0" shapeId="0" xr:uid="{2A5CDCC5-3486-D440-9B31-489DCA99E79A}">
      <text>
        <r>
          <rPr>
            <sz val="10"/>
            <color rgb="FF000000"/>
            <rFont val="Aptos Narrow"/>
            <scheme val="minor"/>
          </rPr>
          <t>======
ID#AAABjx7qPhk
    (2025-05-21 11:33:24)
10/17 CATHY:請Tammy 下單</t>
        </r>
      </text>
    </comment>
    <comment ref="H903" authorId="0" shapeId="0" xr:uid="{D0714594-9EEA-5646-9FB9-A925E9D15356}">
      <text>
        <r>
          <rPr>
            <sz val="10"/>
            <color rgb="FF000000"/>
            <rFont val="Aptos Narrow"/>
            <scheme val="minor"/>
          </rPr>
          <t>======
ID#AAABjx7qQD8
    (2025-05-21 11:33:25)
ALICE:12/10-亞郁匯入NT86152沖PI-20191016001.PI-20191017001.PI-20191030002.PI-20191112005 USD270.9</t>
        </r>
      </text>
    </comment>
    <comment ref="K903" authorId="0" shapeId="0" xr:uid="{927F578C-0AA4-E342-84A7-64601A4934CE}">
      <text>
        <r>
          <rPr>
            <sz val="10"/>
            <color rgb="FF000000"/>
            <rFont val="Aptos Narrow"/>
            <scheme val="minor"/>
          </rPr>
          <t>======
ID#AAABjx7qPks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M903" authorId="0" shapeId="0" xr:uid="{1FB47DEC-D871-9C48-B599-CE426BA93BB8}">
      <text>
        <r>
          <rPr>
            <sz val="10"/>
            <color rgb="FF000000"/>
            <rFont val="Aptos Narrow"/>
            <scheme val="minor"/>
          </rPr>
          <t>======
ID#AAABjx7qRd4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D904" authorId="0" shapeId="0" xr:uid="{D07ED1D7-4E55-424F-B6CE-EACF60A8B9E3}">
      <text>
        <r>
          <rPr>
            <sz val="10"/>
            <color rgb="FF000000"/>
            <rFont val="Aptos Narrow"/>
            <scheme val="minor"/>
          </rPr>
          <t>======
ID#AAABjx7qWX4
    (2025-05-21 11:33:27)
10/17 CATHY:請Tammy 下單</t>
        </r>
      </text>
    </comment>
    <comment ref="H904" authorId="0" shapeId="0" xr:uid="{DE7C7689-9867-2442-96AF-DE64A567514E}">
      <text>
        <r>
          <rPr>
            <sz val="10"/>
            <color rgb="FF000000"/>
            <rFont val="Aptos Narrow"/>
            <scheme val="minor"/>
          </rPr>
          <t>======
ID#AAABjx7qQMQ
    (2025-05-21 11:33:25)
ALICE:12/10-亞郁匯入NT86152沖PI-20191016001.PI-20191017001.PI-20191030002.PI-20191112005 USD270.9</t>
        </r>
      </text>
    </comment>
    <comment ref="K904" authorId="0" shapeId="0" xr:uid="{4BE66C54-57D0-4248-B5E6-57FCFBC9AC75}">
      <text>
        <r>
          <rPr>
            <sz val="10"/>
            <color rgb="FF000000"/>
            <rFont val="Aptos Narrow"/>
            <scheme val="minor"/>
          </rPr>
          <t>======
ID#AAABjx7qOT4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M904" authorId="0" shapeId="0" xr:uid="{EEEB4E89-5EED-FC4C-A4B2-C8CE88D54983}">
      <text>
        <r>
          <rPr>
            <sz val="10"/>
            <color rgb="FF000000"/>
            <rFont val="Aptos Narrow"/>
            <scheme val="minor"/>
          </rPr>
          <t>======
ID#AAABjx7qP8A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H905" authorId="0" shapeId="0" xr:uid="{9BF30302-2A87-524A-8E49-5D8D89F96AD8}">
      <text>
        <r>
          <rPr>
            <sz val="10"/>
            <color rgb="FF000000"/>
            <rFont val="Aptos Narrow"/>
            <scheme val="minor"/>
          </rPr>
          <t>======
ID#AAABjx7qQkY
    (2025-05-21 11:33:25)
ALICE:12/13一銀USD收到KH匯入USD1562.8(內含手續費USD28.61)沖PI-20191017004 USD1347+PI-20191030001 USD215.8合計總沖USD1562.8</t>
        </r>
      </text>
    </comment>
    <comment ref="H906" authorId="0" shapeId="0" xr:uid="{2F5D40DC-8669-764E-8098-691D985104BE}">
      <text>
        <r>
          <rPr>
            <sz val="10"/>
            <color rgb="FF000000"/>
            <rFont val="Aptos Narrow"/>
            <scheme val="minor"/>
          </rPr>
          <t>======
ID#AAABjx7qPHs
    (2025-05-21 11:33:24)
ALICE:12/13一銀USD收到KH匯入USD1562.8(內含手續費USD28.61)沖PI-20191017004 USD1347+PI-20191030001 USD215.8合計總沖USD1562.8</t>
        </r>
      </text>
    </comment>
    <comment ref="H907" authorId="0" shapeId="0" xr:uid="{7BB047FF-6F0F-8940-A1CD-F22AD19EA49B}">
      <text>
        <r>
          <rPr>
            <sz val="10"/>
            <color rgb="FF000000"/>
            <rFont val="Aptos Narrow"/>
            <scheme val="minor"/>
          </rPr>
          <t>======
ID#AAABjx7qRAg
    (2025-05-21 11:33:25)
ALICE:12/13一銀USD收到KH匯入USD1562.8(內含手續費USD28.61)沖PI-20191017004 USD1347+PI-20191030001 USD215.8合計總沖USD1562.8</t>
        </r>
      </text>
    </comment>
    <comment ref="U907" authorId="0" shapeId="0" xr:uid="{1863B79E-16F8-B84B-A580-4BB122087575}">
      <text>
        <r>
          <rPr>
            <sz val="10"/>
            <color rgb="FF000000"/>
            <rFont val="Aptos Narrow"/>
            <scheme val="minor"/>
          </rPr>
          <t>======
ID#AAABjx7qQ0U
    (2025-05-21 11:33:25)
Alice:成本已含在TM150TDSG71-MT-5W 盛仕組裝材料成本中</t>
        </r>
      </text>
    </comment>
    <comment ref="H908" authorId="0" shapeId="0" xr:uid="{15400D08-7CD4-B348-B277-44D67BA566AC}">
      <text>
        <r>
          <rPr>
            <sz val="10"/>
            <color rgb="FF000000"/>
            <rFont val="Aptos Narrow"/>
            <scheme val="minor"/>
          </rPr>
          <t>======
ID#AAABjx7qSSM
    (2025-05-21 11:33:26)
ALICE:12/13一銀USD收到KH匯入USD1562.8(內含手續費USD28.61)沖PI-20191017004 USD1347+PI-20191030001 USD215.8合計總沖USD1562.8</t>
        </r>
      </text>
    </comment>
    <comment ref="H909" authorId="0" shapeId="0" xr:uid="{44BD8168-D121-E848-BE72-4F559092EEA2}">
      <text>
        <r>
          <rPr>
            <sz val="10"/>
            <color rgb="FF000000"/>
            <rFont val="Aptos Narrow"/>
            <scheme val="minor"/>
          </rPr>
          <t>======
ID#AAABjx7qPnI
    (2025-05-21 11:33:24)
ALICE:12/13一銀USD收到KH匯入USD1562.8(內含手續費USD28.61)沖PI-20191017004 USD1347+PI-20191030001 USD215.8合計總沖USD1562.8</t>
        </r>
      </text>
    </comment>
    <comment ref="H910" authorId="0" shapeId="0" xr:uid="{966920B7-1A24-2E49-A3ED-0C3D9C8BA72B}">
      <text>
        <r>
          <rPr>
            <sz val="10"/>
            <color rgb="FF000000"/>
            <rFont val="Aptos Narrow"/>
            <scheme val="minor"/>
          </rPr>
          <t>======
ID#AAABjx7qN0I
    (2025-05-21 11:33:23)
ALICE:1/7第一銀行USD3228 沖PI-20191007006 1501+PI-20191007007 USD1727+PI-20191128002 USD20總沖USD3248</t>
        </r>
      </text>
    </comment>
    <comment ref="N910" authorId="0" shapeId="0" xr:uid="{1CB5E6F6-D212-9B4B-8D45-238C6AFAE4D1}">
      <text>
        <r>
          <rPr>
            <sz val="10"/>
            <color rgb="FF000000"/>
            <rFont val="Aptos Narrow"/>
            <scheme val="minor"/>
          </rPr>
          <t>======
ID#AAABjx7qPsY
    (2025-05-21 11:33:24)
10/21 eric下單40pcs　</t>
        </r>
      </text>
    </comment>
    <comment ref="O910" authorId="0" shapeId="0" xr:uid="{3A0465A5-DCBB-8D47-94E0-D8110D6ED7F5}">
      <text>
        <r>
          <rPr>
            <sz val="10"/>
            <color rgb="FF000000"/>
            <rFont val="Aptos Narrow"/>
            <scheme val="minor"/>
          </rPr>
          <t>======
ID#AAABjx7qVzY
    (2025-05-21 11:33:27)
Chloe 1111 : 20(訂貨數量)
-4(實際貼膜)=16
16-5(客戶另外自行購買)=11(入庫)
※此單 (5PCS*350)*1.05=1838</t>
        </r>
      </text>
    </comment>
    <comment ref="I911" authorId="0" shapeId="0" xr:uid="{28FFF55C-4BB4-344A-8B4D-4FDFC67DED76}">
      <text>
        <r>
          <rPr>
            <sz val="10"/>
            <color rgb="FF000000"/>
            <rFont val="Aptos Narrow"/>
            <scheme val="minor"/>
          </rPr>
          <t>======
ID#AAABjx7qVLg
    (2025-05-21 11:33:27)
Cathy/Santiago</t>
        </r>
      </text>
    </comment>
    <comment ref="M911" authorId="0" shapeId="0" xr:uid="{DA6F4B37-BB57-314F-9387-3EBFC188F2D0}">
      <text>
        <r>
          <rPr>
            <sz val="10"/>
            <color rgb="FF000000"/>
            <rFont val="Aptos Narrow"/>
            <scheme val="minor"/>
          </rPr>
          <t>======
ID#AAABjx7qVjQ
    (2025-05-21 11:33:27)
0724 chloe:貨到請通知Chloe
0904 Cathy : 客人告知預計10/4 &amp;10/18。但也非確定時間
0906 Cathy: 客人告知可能時間
0916 Vivian 檢驗外觀ok
0925YVONNE:大榮寄出15995542754</t>
        </r>
      </text>
    </comment>
    <comment ref="H912" authorId="0" shapeId="0" xr:uid="{F335069C-3382-9841-A758-EC398504FB36}">
      <text>
        <r>
          <rPr>
            <sz val="10"/>
            <color rgb="FF000000"/>
            <rFont val="Aptos Narrow"/>
            <scheme val="minor"/>
          </rPr>
          <t>======
ID#AAABjx7qOtA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912" authorId="0" shapeId="0" xr:uid="{AB9D3D83-6C43-BF4B-80B5-DFFC08C8EFF1}">
      <text>
        <r>
          <rPr>
            <sz val="10"/>
            <color rgb="FF000000"/>
            <rFont val="Aptos Narrow"/>
            <scheme val="minor"/>
          </rPr>
          <t>======
ID#AAABjx7qS8o
    (2025-05-21 11:33:26)
Cathy/Santiago</t>
        </r>
      </text>
    </comment>
    <comment ref="U912" authorId="0" shapeId="0" xr:uid="{4CA2E76C-9040-3A43-A934-9A112F3B5D7E}">
      <text>
        <r>
          <rPr>
            <sz val="10"/>
            <color rgb="FF000000"/>
            <rFont val="Aptos Narrow"/>
            <scheme val="minor"/>
          </rPr>
          <t>======
ID#AAABjx7qV_w
    (2025-05-21 11:33:27)
發票3 PCS(TL53407799)
發票8 PCS(TL53407800)</t>
        </r>
      </text>
    </comment>
    <comment ref="H913" authorId="0" shapeId="0" xr:uid="{357653CD-5DF0-FC4C-A7C3-E011D7D60F2F}">
      <text>
        <r>
          <rPr>
            <sz val="10"/>
            <color rgb="FF000000"/>
            <rFont val="Aptos Narrow"/>
            <scheme val="minor"/>
          </rPr>
          <t>======
ID#AAABjx7qTfo
    (2025-05-21 11:33:26)
ALICE:1/7第一銀行USD3228 沖PI-20191007006 1501+PI-20191007007 USD1727+PI-20191128002 USD20總沖USD3248</t>
        </r>
      </text>
    </comment>
    <comment ref="I913" authorId="0" shapeId="0" xr:uid="{8F4D430E-CC54-7840-B271-157FEF054E9B}">
      <text>
        <r>
          <rPr>
            <sz val="10"/>
            <color rgb="FF000000"/>
            <rFont val="Aptos Narrow"/>
            <scheme val="minor"/>
          </rPr>
          <t>======
ID#AAABjx7qTbk
    (2025-05-21 11:33:26)
Cathy/Santiago</t>
        </r>
      </text>
    </comment>
    <comment ref="G914" authorId="0" shapeId="0" xr:uid="{DDF702B5-B2CD-654C-948F-DBED5A739635}">
      <text>
        <r>
          <rPr>
            <sz val="10"/>
            <color rgb="FF000000"/>
            <rFont val="Aptos Narrow"/>
            <scheme val="minor"/>
          </rPr>
          <t>======
ID#AAABjx7qN7U
    (2025-05-21 11:33:23)
10/18 san告知本次不會收molding fee,但會加收labor fee(usd 20)+AG film (usd 26)</t>
        </r>
      </text>
    </comment>
    <comment ref="H914" authorId="0" shapeId="0" xr:uid="{80CB7F1C-3416-BF49-9E12-4AA38F6F4810}">
      <text>
        <r>
          <rPr>
            <sz val="10"/>
            <color rgb="FF000000"/>
            <rFont val="Aptos Narrow"/>
            <scheme val="minor"/>
          </rPr>
          <t>======
ID#AAABjx7qVTc
    (2025-05-21 11:33:27)
ALICE:1/7第一銀行USD3228 沖PI-20191007006 1501+PI-20191007007 USD1727+PI-20191128002 USD20總沖USD3248</t>
        </r>
      </text>
    </comment>
    <comment ref="I914" authorId="0" shapeId="0" xr:uid="{C3F9F8CD-22C7-4145-B441-E76DED0ADAA8}">
      <text>
        <r>
          <rPr>
            <sz val="10"/>
            <color rgb="FF000000"/>
            <rFont val="Aptos Narrow"/>
            <scheme val="minor"/>
          </rPr>
          <t>======
ID#AAABjx7qVYY
    (2025-05-21 11:33:27)
Cathy/Santiago</t>
        </r>
      </text>
    </comment>
    <comment ref="N914" authorId="0" shapeId="0" xr:uid="{343595D8-19AC-3A4E-848B-4D6C41DF937C}">
      <text>
        <r>
          <rPr>
            <sz val="10"/>
            <color rgb="FF000000"/>
            <rFont val="Aptos Narrow"/>
            <scheme val="minor"/>
          </rPr>
          <t>======
ID#AAABjx7qVgk
    (2025-05-21 11:33:27)
10/21 eric下單40pcs　</t>
        </r>
      </text>
    </comment>
    <comment ref="O914" authorId="0" shapeId="0" xr:uid="{7F8A7BFE-87C9-5842-B412-D2D15024BFA4}">
      <text>
        <r>
          <rPr>
            <sz val="10"/>
            <color rgb="FF000000"/>
            <rFont val="Aptos Narrow"/>
            <scheme val="minor"/>
          </rPr>
          <t>======
ID#AAABjx7qVgI
    (2025-05-21 11:33:27)
Chloe 1111 : 40(訂貨數量)
-7(實際貼膜)=33
33-2(損耗)=31PCS(入庫)
※此單 (9 PCS*300)*1.05=2835</t>
        </r>
      </text>
    </comment>
    <comment ref="U914" authorId="0" shapeId="0" xr:uid="{C465E1AB-80B0-294F-82A8-774893B37ADF}">
      <text>
        <r>
          <rPr>
            <sz val="10"/>
            <color rgb="FF000000"/>
            <rFont val="Aptos Narrow"/>
            <scheme val="minor"/>
          </rPr>
          <t>======
ID#AAABjx7qN_M
    (2025-05-21 11:33:24)
Chloe 1111 : 40(訂貨數量)
-7(實際貼膜)=33
33-2(損耗)=31PCS(入庫)
※此單 (9 PCS*300)*1.05=2835</t>
        </r>
      </text>
    </comment>
    <comment ref="H915" authorId="0" shapeId="0" xr:uid="{8BDB717C-BDBB-114B-B609-95F495E21FD1}">
      <text>
        <r>
          <rPr>
            <sz val="10"/>
            <color rgb="FF000000"/>
            <rFont val="Aptos Narrow"/>
            <scheme val="minor"/>
          </rPr>
          <t>======
ID#AAABjx7qWWs
    (2025-05-21 11:33:27)
ALICE:1/7第一銀行USD3228 沖PI-20191007006 1501+PI-20191007007 USD1727+PI-20191128002 USD20總沖USD3248</t>
        </r>
      </text>
    </comment>
    <comment ref="I915" authorId="0" shapeId="0" xr:uid="{C0F2801A-F0D5-FE47-940F-A5C15A9E11EB}">
      <text>
        <r>
          <rPr>
            <sz val="10"/>
            <color rgb="FF000000"/>
            <rFont val="Aptos Narrow"/>
            <scheme val="minor"/>
          </rPr>
          <t>======
ID#AAABjx7qM9E
    (2025-05-21 11:33:23)
Cathy/Santiago</t>
        </r>
      </text>
    </comment>
    <comment ref="I916" authorId="0" shapeId="0" xr:uid="{3271D138-E756-B747-8CF2-BDDBF09F16D1}">
      <text>
        <r>
          <rPr>
            <sz val="10"/>
            <color rgb="FF000000"/>
            <rFont val="Aptos Narrow"/>
            <scheme val="minor"/>
          </rPr>
          <t>======
ID#AAABjx7qNqU
    (2025-05-21 11:33:23)
Cathy/Santiago</t>
        </r>
      </text>
    </comment>
    <comment ref="H917" authorId="0" shapeId="0" xr:uid="{9CF73458-227F-534E-AA57-20F7ED8A63D6}">
      <text>
        <r>
          <rPr>
            <sz val="10"/>
            <color rgb="FF000000"/>
            <rFont val="Aptos Narrow"/>
            <scheme val="minor"/>
          </rPr>
          <t>======
ID#AAABjx7qVvA
    (2025-05-21 11:33:27)
ALICE:1/7第一銀行USD3228 沖PI-20191007006 1501+PI-20191007007 USD1727+PI-20191128002 USD20總沖USD3248</t>
        </r>
      </text>
    </comment>
    <comment ref="I917" authorId="0" shapeId="0" xr:uid="{8C0BBBD1-52D2-FA49-9F1B-648AA1A77CC2}">
      <text>
        <r>
          <rPr>
            <sz val="10"/>
            <color rgb="FF000000"/>
            <rFont val="Aptos Narrow"/>
            <scheme val="minor"/>
          </rPr>
          <t>======
ID#AAABjx7qQbs
    (2025-05-21 11:33:25)
Cathy/Santiago</t>
        </r>
      </text>
    </comment>
    <comment ref="H918" authorId="0" shapeId="0" xr:uid="{CAAA37B5-EBDD-9843-B224-6EB76D109C08}">
      <text>
        <r>
          <rPr>
            <sz val="10"/>
            <color rgb="FF000000"/>
            <rFont val="Aptos Narrow"/>
            <scheme val="minor"/>
          </rPr>
          <t>======
ID#AAABjx7qRgA
    (2025-05-21 11:33:25)
ALICE:1/7第一銀行USD3228 沖PI-20191007006 1501+PI-20191007007 USD1727+PI-20191128002 USD20總沖USD3248</t>
        </r>
      </text>
    </comment>
    <comment ref="I918" authorId="0" shapeId="0" xr:uid="{C7DCACDF-D612-2A42-BD98-6F5E7802792A}">
      <text>
        <r>
          <rPr>
            <sz val="10"/>
            <color rgb="FF000000"/>
            <rFont val="Aptos Narrow"/>
            <scheme val="minor"/>
          </rPr>
          <t>======
ID#AAABjx7qQS4
    (2025-05-21 11:33:25)
Cathy/Santiago</t>
        </r>
      </text>
    </comment>
    <comment ref="H919" authorId="0" shapeId="0" xr:uid="{8B5B82F9-A32A-694B-BFC1-58E3918B5970}">
      <text>
        <r>
          <rPr>
            <sz val="10"/>
            <color rgb="FF000000"/>
            <rFont val="Aptos Narrow"/>
            <scheme val="minor"/>
          </rPr>
          <t>======
ID#AAABjx7qRmg
    (2025-05-21 11:33:25)
ALICE:1/7第一銀行USD3228 沖PI-20191007006 1501+PI-20191007007 USD1727+PI-20191128002 USD20總沖USD3248</t>
        </r>
      </text>
    </comment>
    <comment ref="I919" authorId="0" shapeId="0" xr:uid="{7B0210F8-4549-0046-881E-491D0866465A}">
      <text>
        <r>
          <rPr>
            <sz val="10"/>
            <color rgb="FF000000"/>
            <rFont val="Aptos Narrow"/>
            <scheme val="minor"/>
          </rPr>
          <t>======
ID#AAABjx7qQAU
    (2025-05-21 11:33:25)
Cathy/Santiago</t>
        </r>
      </text>
    </comment>
    <comment ref="M919" authorId="0" shapeId="0" xr:uid="{C2779AF5-9C76-4B42-9FAF-85F92BA3B7E5}">
      <text>
        <r>
          <rPr>
            <sz val="10"/>
            <color rgb="FF000000"/>
            <rFont val="Aptos Narrow"/>
            <scheme val="minor"/>
          </rPr>
          <t>======
ID#AAABjx7qSmA
    (2025-05-21 11:33:26)
1119 chloe:  11/20 AG TOUCH 送曦立 IQC</t>
        </r>
      </text>
    </comment>
    <comment ref="H920" authorId="0" shapeId="0" xr:uid="{C877CA85-FC83-7B44-99FF-8177479A56BC}">
      <text>
        <r>
          <rPr>
            <sz val="10"/>
            <color rgb="FF000000"/>
            <rFont val="Aptos Narrow"/>
            <scheme val="minor"/>
          </rPr>
          <t>======
ID#AAABjx7qRng
    (2025-05-21 11:33:25)
ALICE:10/29玉山水單匯入USD4240沖PI-20191018001</t>
        </r>
      </text>
    </comment>
    <comment ref="M920" authorId="0" shapeId="0" xr:uid="{68B9C717-36D1-1A47-A710-C4C8E5E4AD82}">
      <text>
        <r>
          <rPr>
            <sz val="10"/>
            <color rgb="FF000000"/>
            <rFont val="Aptos Narrow"/>
            <scheme val="minor"/>
          </rPr>
          <t>======
ID#AAABjx7qV58
    (2025-05-21 11:33:27)
1021YVONNE:已通知超恩進速確認交期，明日給回覆。
1023YVONNE:超恩確認交期1029。</t>
        </r>
      </text>
    </comment>
    <comment ref="D921" authorId="0" shapeId="0" xr:uid="{65A1A08E-2DC2-FE42-B970-C66DA08EEC06}">
      <text>
        <r>
          <rPr>
            <sz val="10"/>
            <color rgb="FF000000"/>
            <rFont val="Aptos Narrow"/>
            <scheme val="minor"/>
          </rPr>
          <t>======
ID#AAABjx7qQZo
    (2025-05-21 11:33:25)
10/24 請chloe 下單</t>
        </r>
      </text>
    </comment>
    <comment ref="H921" authorId="0" shapeId="0" xr:uid="{39C154AB-C057-6F49-8DEB-6BDA78CCD2A9}">
      <text>
        <r>
          <rPr>
            <sz val="10"/>
            <color rgb="FF000000"/>
            <rFont val="Aptos Narrow"/>
            <scheme val="minor"/>
          </rPr>
          <t>======
ID#AAABjx7qVP4
    (2025-05-21 11:33:27)
ALICE:11/28一銀通知客戶匯入USD6665沖PI-20191023001 USD660+PI-20191024001 USD6005合計共USD6665元整</t>
        </r>
      </text>
    </comment>
    <comment ref="K921" authorId="0" shapeId="0" xr:uid="{15F3F858-7E3D-184A-B5AA-0369E087B644}">
      <text>
        <r>
          <rPr>
            <sz val="10"/>
            <color rgb="FF000000"/>
            <rFont val="Aptos Narrow"/>
            <scheme val="minor"/>
          </rPr>
          <t>======
ID#AAABjx7qM7o
    (2025-05-21 11:33:23)
10/28 cathy: 通知客人交期pending 
10/15 cathy: 10/22 需update 交期給客人</t>
        </r>
      </text>
    </comment>
    <comment ref="M921" authorId="0" shapeId="0" xr:uid="{D0449999-B6E3-9746-9B74-E8BE6F7CED23}">
      <text>
        <r>
          <rPr>
            <sz val="10"/>
            <color rgb="FF000000"/>
            <rFont val="Aptos Narrow"/>
            <scheme val="minor"/>
          </rPr>
          <t>======
ID#AAABjx7qTMo
    (2025-05-21 11:33:26)
Chloe 1106: MOXA回覆交期，有可能會延遲兩天</t>
        </r>
      </text>
    </comment>
    <comment ref="D922" authorId="0" shapeId="0" xr:uid="{72EE6197-C48E-434C-BD99-7BE8A1D870FF}">
      <text>
        <r>
          <rPr>
            <sz val="10"/>
            <color rgb="FF000000"/>
            <rFont val="Aptos Narrow"/>
            <scheme val="minor"/>
          </rPr>
          <t>======
ID#AAABjx7qOb0
    (2025-05-21 11:33:24)
10/24 請chloe 下單</t>
        </r>
      </text>
    </comment>
    <comment ref="H922" authorId="0" shapeId="0" xr:uid="{CF46A443-BDC8-3040-B490-E69E688C6227}">
      <text>
        <r>
          <rPr>
            <sz val="10"/>
            <color rgb="FF000000"/>
            <rFont val="Aptos Narrow"/>
            <scheme val="minor"/>
          </rPr>
          <t>======
ID#AAABjx7qM_I
    (2025-05-21 11:33:23)
ALICE:11/28一銀通知客戶匯入USD6665沖PI-20191023001 USD660+PI-20191024001 USD6005合計共USD6665元整</t>
        </r>
      </text>
    </comment>
    <comment ref="K922" authorId="0" shapeId="0" xr:uid="{4B792F10-3C08-8445-8AC3-8B3A047E05F2}">
      <text>
        <r>
          <rPr>
            <sz val="10"/>
            <color rgb="FF000000"/>
            <rFont val="Aptos Narrow"/>
            <scheme val="minor"/>
          </rPr>
          <t>======
ID#AAABjx7qQcY
    (2025-05-21 11:33:25)
10/28 cathy: 通知客人交期pending 
10/15 cathy: 10/22 需update 交期給客人</t>
        </r>
      </text>
    </comment>
    <comment ref="M922" authorId="0" shapeId="0" xr:uid="{36371DD8-3B29-B446-9D60-26D437BBBD28}">
      <text>
        <r>
          <rPr>
            <sz val="10"/>
            <color rgb="FF000000"/>
            <rFont val="Aptos Narrow"/>
            <scheme val="minor"/>
          </rPr>
          <t>======
ID#AAABjx7qSxE
    (2025-05-21 11:33:26)
Chloe 1106: MOXA回覆交期，有可能會延遲兩天</t>
        </r>
      </text>
    </comment>
    <comment ref="D923" authorId="0" shapeId="0" xr:uid="{AA4DAB62-2360-9042-B01E-3DD9411429A1}">
      <text>
        <r>
          <rPr>
            <sz val="10"/>
            <color rgb="FF000000"/>
            <rFont val="Aptos Narrow"/>
            <scheme val="minor"/>
          </rPr>
          <t>======
ID#AAABjx7qQv0
    (2025-05-21 11:33:25)
10/24 cathy:請yvonne 下單</t>
        </r>
      </text>
    </comment>
    <comment ref="H923" authorId="0" shapeId="0" xr:uid="{B6484CF3-9E59-9040-B73F-B4F53F655DA2}">
      <text>
        <r>
          <rPr>
            <sz val="10"/>
            <color rgb="FF000000"/>
            <rFont val="Aptos Narrow"/>
            <scheme val="minor"/>
          </rPr>
          <t>======
ID#AAABjx7qN9Q
    (2025-05-21 11:33:23)
ALICE:10/28-合庫收款USD2852(含手續費USD17.56) 沖PI-20191024002 USD2852</t>
        </r>
      </text>
    </comment>
    <comment ref="J923" authorId="0" shapeId="0" xr:uid="{D20B6FAA-0C2A-5148-A412-0EA26ADFE2EB}">
      <text>
        <r>
          <rPr>
            <sz val="10"/>
            <color rgb="FF000000"/>
            <rFont val="Aptos Narrow"/>
            <scheme val="minor"/>
          </rPr>
          <t>======
ID#AAABjx7qTD8
    (2025-05-21 11:33:26)
客人自取</t>
        </r>
      </text>
    </comment>
    <comment ref="K923" authorId="0" shapeId="0" xr:uid="{6A1489ED-4C99-EE43-9ED2-147C4B433F46}">
      <text>
        <r>
          <rPr>
            <sz val="10"/>
            <color rgb="FF000000"/>
            <rFont val="Aptos Narrow"/>
            <scheme val="minor"/>
          </rPr>
          <t>======
ID#AAABjx7qTVo
    (2025-05-21 11:33:26)
10/28 cathy:通知客人交期</t>
        </r>
      </text>
    </comment>
    <comment ref="M923" authorId="0" shapeId="0" xr:uid="{2A484FD5-C425-2D43-B4BD-4C43DBC7293D}">
      <text>
        <r>
          <rPr>
            <sz val="10"/>
            <color rgb="FF000000"/>
            <rFont val="Aptos Narrow"/>
            <scheme val="minor"/>
          </rPr>
          <t>======
ID#AAABjx7qNYE
    (2025-05-21 11:33:23)
1028YVONNE:交期確認</t>
        </r>
      </text>
    </comment>
    <comment ref="D924" authorId="0" shapeId="0" xr:uid="{A7690F17-6781-A34F-9DBB-9A4ECEFD8294}">
      <text>
        <r>
          <rPr>
            <sz val="10"/>
            <color rgb="FF000000"/>
            <rFont val="Aptos Narrow"/>
            <scheme val="minor"/>
          </rPr>
          <t>======
ID#AAABjx7qSbM
    (2025-05-21 11:33:26)
10/24 cathy:請yvonne 下單</t>
        </r>
      </text>
    </comment>
    <comment ref="H924" authorId="0" shapeId="0" xr:uid="{A52E67C0-E242-874E-9105-996D1E3465FD}">
      <text>
        <r>
          <rPr>
            <sz val="10"/>
            <color rgb="FF000000"/>
            <rFont val="Aptos Narrow"/>
            <scheme val="minor"/>
          </rPr>
          <t>======
ID#AAABjx7qOuM
    (2025-05-21 11:33:24)
ALICE:10/28-合庫收款USD2852(含手續費USD17.56) 沖PI-20191024002 USD2852</t>
        </r>
      </text>
    </comment>
    <comment ref="J924" authorId="0" shapeId="0" xr:uid="{54FFF14A-1D35-4347-96FC-786987C5A1C4}">
      <text>
        <r>
          <rPr>
            <sz val="10"/>
            <color rgb="FF000000"/>
            <rFont val="Aptos Narrow"/>
            <scheme val="minor"/>
          </rPr>
          <t>======
ID#AAABjx7qPps
    (2025-05-21 11:33:24)
客人自取</t>
        </r>
      </text>
    </comment>
    <comment ref="K924" authorId="0" shapeId="0" xr:uid="{E758FC65-D21A-4942-B3BD-02DE6FEEF011}">
      <text>
        <r>
          <rPr>
            <sz val="10"/>
            <color rgb="FF000000"/>
            <rFont val="Aptos Narrow"/>
            <scheme val="minor"/>
          </rPr>
          <t>======
ID#AAABjx7qPCU
    (2025-05-21 11:33:24)
10/28 cathy:通知客人交期</t>
        </r>
      </text>
    </comment>
    <comment ref="M924" authorId="0" shapeId="0" xr:uid="{60A77017-582F-B74B-ACA5-CE65B73CEC8B}">
      <text>
        <r>
          <rPr>
            <sz val="10"/>
            <color rgb="FF000000"/>
            <rFont val="Aptos Narrow"/>
            <scheme val="minor"/>
          </rPr>
          <t>======
ID#AAABjx7qPOw
    (2025-05-21 11:33:24)
1028YVONNE:交期確認</t>
        </r>
      </text>
    </comment>
    <comment ref="D925" authorId="0" shapeId="0" xr:uid="{9258CA15-ADB2-374A-A5AF-31C8E7CC377D}">
      <text>
        <r>
          <rPr>
            <sz val="10"/>
            <color rgb="FF000000"/>
            <rFont val="Aptos Narrow"/>
            <scheme val="minor"/>
          </rPr>
          <t>======
ID#AAABjx7qSXk
    (2025-05-21 11:33:26)
10/24 cathy:請yvonne 下單</t>
        </r>
      </text>
    </comment>
    <comment ref="H925" authorId="0" shapeId="0" xr:uid="{1E7A6EDB-8185-784D-90FA-D0A68F0703CC}">
      <text>
        <r>
          <rPr>
            <sz val="10"/>
            <color rgb="FF000000"/>
            <rFont val="Aptos Narrow"/>
            <scheme val="minor"/>
          </rPr>
          <t>======
ID#AAABjx7qPs8
    (2025-05-21 11:33:24)
ALICE:10/28-合庫收款USD2852(含手續費USD17.56) 沖PI-20191024002 USD2852</t>
        </r>
      </text>
    </comment>
    <comment ref="J925" authorId="0" shapeId="0" xr:uid="{74408604-F213-D849-82E1-6402CE9B632D}">
      <text>
        <r>
          <rPr>
            <sz val="10"/>
            <color rgb="FF000000"/>
            <rFont val="Aptos Narrow"/>
            <scheme val="minor"/>
          </rPr>
          <t>======
ID#AAABjx7qQKo
    (2025-05-21 11:33:25)
客人自取</t>
        </r>
      </text>
    </comment>
    <comment ref="K925" authorId="0" shapeId="0" xr:uid="{86C86642-046F-6D41-9411-8477AAFA09E0}">
      <text>
        <r>
          <rPr>
            <sz val="10"/>
            <color rgb="FF000000"/>
            <rFont val="Aptos Narrow"/>
            <scheme val="minor"/>
          </rPr>
          <t>======
ID#AAABj82dpH0
    (2025-05-21 11:33:23)
10/28 cathy:通知客人交期</t>
        </r>
      </text>
    </comment>
    <comment ref="M925" authorId="0" shapeId="0" xr:uid="{6CC9E91F-23B1-184E-83E0-062653DF658C}">
      <text>
        <r>
          <rPr>
            <sz val="10"/>
            <color rgb="FF000000"/>
            <rFont val="Aptos Narrow"/>
            <scheme val="minor"/>
          </rPr>
          <t>======
ID#AAABjx7qNE8
    (2025-05-21 11:33:23)
1028YVONNE:交期確認</t>
        </r>
      </text>
    </comment>
    <comment ref="D926" authorId="0" shapeId="0" xr:uid="{AF7EC1DD-9732-674C-998C-F0FDF1DD9927}">
      <text>
        <r>
          <rPr>
            <sz val="10"/>
            <color rgb="FF000000"/>
            <rFont val="Aptos Narrow"/>
            <scheme val="minor"/>
          </rPr>
          <t>======
ID#AAABjx7qWU0
    (2025-05-21 11:33:27)
1126yvonne:前人訂單編號KEY錯，幫忙修正20191025001</t>
        </r>
      </text>
    </comment>
    <comment ref="H926" authorId="0" shapeId="0" xr:uid="{55BA621E-9C93-1B42-90AD-DD14F6A33C61}">
      <text>
        <r>
          <rPr>
            <sz val="10"/>
            <color rgb="FF000000"/>
            <rFont val="Aptos Narrow"/>
            <scheme val="minor"/>
          </rPr>
          <t>======
ID#AAABjx7qSCM
    (2025-05-21 11:33:25)
2/15已收款</t>
        </r>
      </text>
    </comment>
    <comment ref="K926" authorId="0" shapeId="0" xr:uid="{A573E1EC-6EEE-5646-B602-D2D9D0DFEE48}">
      <text>
        <r>
          <rPr>
            <sz val="10"/>
            <color rgb="FF000000"/>
            <rFont val="Aptos Narrow"/>
            <scheme val="minor"/>
          </rPr>
          <t>======
ID#AAABjx7qS6U
    (2025-05-21 11:33:26)
1126 YVONNE:SAN同意先放貨</t>
        </r>
      </text>
    </comment>
    <comment ref="H927" authorId="0" shapeId="0" xr:uid="{0CEA7ECA-06F1-524F-903A-DCCF51B9F161}">
      <text>
        <r>
          <rPr>
            <sz val="10"/>
            <color rgb="FF000000"/>
            <rFont val="Aptos Narrow"/>
            <scheme val="minor"/>
          </rPr>
          <t>======
ID#AAABjx7qUt0
    (2025-05-21 11:33:26)
ALICE:12/4-TPOLE匯入一銀USD2242(全額到付)沖PI-20190923B 125+PI-20190930B USD1872+PI-20191014006 USD150+PI-20191026001 USD95合計總沖USD2242元整</t>
        </r>
      </text>
    </comment>
    <comment ref="H928" authorId="0" shapeId="0" xr:uid="{9A912A13-0B03-3746-9D32-D187A1C57B12}">
      <text>
        <r>
          <rPr>
            <sz val="10"/>
            <color rgb="FF000000"/>
            <rFont val="Aptos Narrow"/>
            <scheme val="minor"/>
          </rPr>
          <t>======
ID#AAABjx7qU5k
    (2025-05-21 11:33:27)
ALICE:12/9-一銀匯入USD4215(內含手續費USD6.57)沖PI-20191027001 USD4215元整</t>
        </r>
      </text>
    </comment>
    <comment ref="J928" authorId="0" shapeId="0" xr:uid="{B3ABD1A4-2853-3945-94E2-4B8174F82539}">
      <text>
        <r>
          <rPr>
            <sz val="10"/>
            <color rgb="FF000000"/>
            <rFont val="Aptos Narrow"/>
            <scheme val="minor"/>
          </rPr>
          <t>======
ID#AAABjx7qSGc
    (2025-05-21 11:33:26)
191027 UPS服務要和客人確認</t>
        </r>
      </text>
    </comment>
    <comment ref="H929" authorId="0" shapeId="0" xr:uid="{D1F6BCD5-9D30-9F44-AD3E-4E59C58C4C19}">
      <text>
        <r>
          <rPr>
            <sz val="10"/>
            <color rgb="FF000000"/>
            <rFont val="Aptos Narrow"/>
            <scheme val="minor"/>
          </rPr>
          <t>======
ID#AAABjx7qVII
    (2025-05-21 11:33:27)
ALICE:12/9-一銀匯入USD4215(內含手續費USD6.57)沖PI-20191027001 USD4215元整</t>
        </r>
      </text>
    </comment>
    <comment ref="J929" authorId="0" shapeId="0" xr:uid="{76B39C11-359F-694C-8BCB-90A862FA6543}">
      <text>
        <r>
          <rPr>
            <sz val="10"/>
            <color rgb="FF000000"/>
            <rFont val="Aptos Narrow"/>
            <scheme val="minor"/>
          </rPr>
          <t>======
ID#AAABjx7qM7w
    (2025-05-21 11:33:23)
191027 UPS服務要和客人確認</t>
        </r>
      </text>
    </comment>
    <comment ref="H930" authorId="0" shapeId="0" xr:uid="{0901DA79-7EBE-174C-8F37-135B9D131DFE}">
      <text>
        <r>
          <rPr>
            <sz val="10"/>
            <color rgb="FF000000"/>
            <rFont val="Aptos Narrow"/>
            <scheme val="minor"/>
          </rPr>
          <t>======
ID#AAABjx7qP9s
    (2025-05-21 11:33:25)
alice:12/6-一銀通知匯入款7090(內含手續費USD28.57)沖PI-20191029001</t>
        </r>
      </text>
    </comment>
    <comment ref="H931" authorId="0" shapeId="0" xr:uid="{D05C7758-C586-AF46-BD1C-FC5C41E88D07}">
      <text>
        <r>
          <rPr>
            <sz val="10"/>
            <color rgb="FF000000"/>
            <rFont val="Aptos Narrow"/>
            <scheme val="minor"/>
          </rPr>
          <t>======
ID#AAABjx7qWIU
    (2025-05-21 11:33:27)
ALICE:1/15一銀收到USD8853(內含手續費USD53.7)沖PI-20191029002 USD4275+PI-20191029003 USD2235+PI-20191029004 USD1988+PI-20191105002 USD355</t>
        </r>
      </text>
    </comment>
    <comment ref="M931" authorId="0" shapeId="0" xr:uid="{3483C546-BC95-CA4D-8673-D393BB765799}">
      <text>
        <r>
          <rPr>
            <sz val="10"/>
            <color rgb="FF000000"/>
            <rFont val="Aptos Narrow"/>
            <scheme val="minor"/>
          </rPr>
          <t>======
ID#AAABjx7qOqQ
    (2025-05-21 11:33:24)
1029YVONNE:未滿20PCS須拉回我司組裝</t>
        </r>
      </text>
    </comment>
    <comment ref="H932" authorId="0" shapeId="0" xr:uid="{86CDC3FC-9B35-6249-A966-EA8D207F745B}">
      <text>
        <r>
          <rPr>
            <sz val="10"/>
            <color rgb="FF000000"/>
            <rFont val="Aptos Narrow"/>
            <scheme val="minor"/>
          </rPr>
          <t>======
ID#AAABjx7qSSA
    (2025-05-21 11:33:26)
ALICE:1/15一銀收到USD8853(內含手續費USD53.7)沖PI-20191029002 USD4275+PI-20191029003 USD2235+PI-20191029004 USD1988+PI-20191105002 USD355</t>
        </r>
      </text>
    </comment>
    <comment ref="M932" authorId="0" shapeId="0" xr:uid="{E9947E00-DC08-B04F-B751-B0F1891A173F}">
      <text>
        <r>
          <rPr>
            <sz val="10"/>
            <color rgb="FF000000"/>
            <rFont val="Aptos Narrow"/>
            <scheme val="minor"/>
          </rPr>
          <t>======
ID#AAABjx7qVWg
    (2025-05-21 11:33:27)
1107YVONNE:致電超恩確認交期，但EVA回覆目前原廠還無法提供，已PUSH。
1111YVONNE:JAY確認11/15出貨。</t>
        </r>
      </text>
    </comment>
    <comment ref="H933" authorId="0" shapeId="0" xr:uid="{08883157-185B-6E40-969E-73689164C67E}">
      <text>
        <r>
          <rPr>
            <sz val="10"/>
            <color rgb="FF000000"/>
            <rFont val="Aptos Narrow"/>
            <scheme val="minor"/>
          </rPr>
          <t>======
ID#AAABjx7qTqE
    (2025-05-21 11:33:26)
ALICE:1/15一銀收到USD8853(內含手續費USD53.7)沖PI-20191029002 USD4275+PI-20191029003 USD2235+PI-20191029004 USD1988+PI-20191105002 USD355</t>
        </r>
      </text>
    </comment>
    <comment ref="O933" authorId="0" shapeId="0" xr:uid="{A24C5968-5F90-504B-8C09-321B57D27237}">
      <text>
        <r>
          <rPr>
            <sz val="10"/>
            <color rgb="FF000000"/>
            <rFont val="Aptos Narrow"/>
            <scheme val="minor"/>
          </rPr>
          <t>======
ID#AAABjx7qOxg
    (2025-05-21 11:33:24)
1101 chloe:已申請借轉銷，待發票給予</t>
        </r>
      </text>
    </comment>
    <comment ref="H934" authorId="0" shapeId="0" xr:uid="{2FEDCB4B-CEC6-D645-9417-198F1956AFE8}">
      <text>
        <r>
          <rPr>
            <sz val="10"/>
            <color rgb="FF000000"/>
            <rFont val="Aptos Narrow"/>
            <scheme val="minor"/>
          </rPr>
          <t>======
ID#AAABjx7qPSw
    (2025-05-21 11:33:24)
在此輸入ALICE:1/15一銀收到USD8853(內含手續費USD53.7)沖PI-20191029002 USD4275+PI-20191029003 USD2235+PI-20191029004 USD1988+PI-20191105002 USD355</t>
        </r>
      </text>
    </comment>
    <comment ref="M934" authorId="0" shapeId="0" xr:uid="{0E68681B-D530-0D4A-8754-F31C3C142501}">
      <text>
        <r>
          <rPr>
            <sz val="10"/>
            <color rgb="FF000000"/>
            <rFont val="Aptos Narrow"/>
            <scheme val="minor"/>
          </rPr>
          <t>======
ID#AAABjx7qOOM
    (2025-05-21 11:33:24)
1029YVONNE:未滿20PCS須拉回我司組裝</t>
        </r>
      </text>
    </comment>
    <comment ref="H935" authorId="0" shapeId="0" xr:uid="{DE84B870-DAA7-974C-84F5-BACE9BB25F74}">
      <text>
        <r>
          <rPr>
            <sz val="10"/>
            <color rgb="FF000000"/>
            <rFont val="Aptos Narrow"/>
            <scheme val="minor"/>
          </rPr>
          <t>======
ID#AAABjx7qPxs
    (2025-05-21 11:33:24)
ALICE:1/15一銀收到USD8853(內含手續費USD53.7)沖PI-20191029002 USD4275+PI-20191029003 USD2235+PI-20191029004 USD1988+PI-20191105002 USD355</t>
        </r>
      </text>
    </comment>
    <comment ref="M935" authorId="0" shapeId="0" xr:uid="{B908709C-AAFE-CE47-AA9A-4A5708A59FB5}">
      <text>
        <r>
          <rPr>
            <sz val="10"/>
            <color rgb="FF000000"/>
            <rFont val="Aptos Narrow"/>
            <scheme val="minor"/>
          </rPr>
          <t>======
ID#AAABjx7qREc
    (2025-05-21 11:33:25)
1029YVONNE:未滿20PCS須拉回我司組裝</t>
        </r>
      </text>
    </comment>
    <comment ref="H936" authorId="0" shapeId="0" xr:uid="{96494C88-D974-E044-87A7-8C9ED19FCDE3}">
      <text>
        <r>
          <rPr>
            <sz val="10"/>
            <color rgb="FF000000"/>
            <rFont val="Aptos Narrow"/>
            <scheme val="minor"/>
          </rPr>
          <t>======
ID#AAABjx7qQe0
    (2025-05-21 11:33:25)
ALICE:1/15一銀收到USD8853(內含手續費USD53.7)沖PI-20191029002 USD4275+PI-20191029003 USD2235+PI-20191029004 USD1988+PI-20191105002 USD355</t>
        </r>
      </text>
    </comment>
    <comment ref="O936" authorId="0" shapeId="0" xr:uid="{E726CD71-9C26-5049-B517-10106BEE49BB}">
      <text>
        <r>
          <rPr>
            <sz val="10"/>
            <color rgb="FF000000"/>
            <rFont val="Aptos Narrow"/>
            <scheme val="minor"/>
          </rPr>
          <t>======
ID#AAABjx7qPoY
    (2025-05-21 11:33:24)
1101 chloe:已申請借轉銷，待發票給予</t>
        </r>
      </text>
    </comment>
    <comment ref="H937" authorId="0" shapeId="0" xr:uid="{2D499B0C-5435-994E-9C46-B919913471C2}">
      <text>
        <r>
          <rPr>
            <sz val="10"/>
            <color rgb="FF000000"/>
            <rFont val="Aptos Narrow"/>
            <scheme val="minor"/>
          </rPr>
          <t>======
ID#AAABjx7qO4E
    (2025-05-21 11:33:24)
ALICE:1/15一銀收到USD8853(內含手續費USD53.7)沖PI-20191029002 USD4275+PI-20191029003 USD2235+PI-20191029004 USD1988+PI-20191105002 USD355</t>
        </r>
      </text>
    </comment>
    <comment ref="M937" authorId="0" shapeId="0" xr:uid="{D2173AAF-8469-334D-ABDA-70B1075CE4DD}">
      <text>
        <r>
          <rPr>
            <sz val="10"/>
            <color rgb="FF000000"/>
            <rFont val="Aptos Narrow"/>
            <scheme val="minor"/>
          </rPr>
          <t>======
ID#AAABjx7qPJ4
    (2025-05-21 11:33:24)
1030YVONNE:維田回覆1118，有請廠商協助提前1114</t>
        </r>
      </text>
    </comment>
    <comment ref="H938" authorId="0" shapeId="0" xr:uid="{35F4DB47-9341-A64E-A59E-15BFE88F6E6E}">
      <text>
        <r>
          <rPr>
            <sz val="10"/>
            <color rgb="FF000000"/>
            <rFont val="Aptos Narrow"/>
            <scheme val="minor"/>
          </rPr>
          <t>======
ID#AAABjx7qU4Q
    (2025-05-21 11:33:26)
ALICE:12/13一銀USD收到KH匯入USD1562.8(內含手續費USD28.61)沖PI-20191017004 USD1347+PI-20191030001 USD215.8合計總沖USD1562.8</t>
        </r>
      </text>
    </comment>
    <comment ref="H939" authorId="0" shapeId="0" xr:uid="{18FCEBD3-387F-1A4A-92B6-C1179CBA155C}">
      <text>
        <r>
          <rPr>
            <sz val="10"/>
            <color rgb="FF000000"/>
            <rFont val="Aptos Narrow"/>
            <scheme val="minor"/>
          </rPr>
          <t>======
ID#AAABjx7qOXk
    (2025-05-21 11:33:24)
ALICE:12/13一銀USD收到KH匯入USD1562.8(內含手續費USD28.61)沖PI-20191017004 USD1347+PI-20191030001 USD215.8合計總沖USD1562.8</t>
        </r>
      </text>
    </comment>
    <comment ref="D940" authorId="0" shapeId="0" xr:uid="{73EC8350-AD6E-7A45-B95A-0354CC0E5072}">
      <text>
        <r>
          <rPr>
            <sz val="10"/>
            <color rgb="FF000000"/>
            <rFont val="Aptos Narrow"/>
            <scheme val="minor"/>
          </rPr>
          <t>======
ID#AAABjx7qWCg
    (2025-05-21 11:33:27)
10/30 CATHY:請CHLOE協助下單</t>
        </r>
      </text>
    </comment>
    <comment ref="H940" authorId="0" shapeId="0" xr:uid="{04C22DB4-F896-6346-861B-0FACDD31DD63}">
      <text>
        <r>
          <rPr>
            <sz val="10"/>
            <color rgb="FF000000"/>
            <rFont val="Aptos Narrow"/>
            <scheme val="minor"/>
          </rPr>
          <t>======
ID#AAABjx7qM8g
    (2025-05-21 11:33:23)
ALICE:12/10-亞郁匯入NT86152沖PI-20191016001.PI-20191017001.PI-20191030002.PI-20191112005 USD270.9</t>
        </r>
      </text>
    </comment>
    <comment ref="K940" authorId="0" shapeId="0" xr:uid="{C272A5D7-0A2F-6C46-BBCD-FA52B295C5F6}">
      <text>
        <r>
          <rPr>
            <sz val="10"/>
            <color rgb="FF000000"/>
            <rFont val="Aptos Narrow"/>
            <scheme val="minor"/>
          </rPr>
          <t>======
ID#AAABjx7qVwY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M940" authorId="0" shapeId="0" xr:uid="{8EE3DC2A-08C6-5146-84D7-165E3B406177}">
      <text>
        <r>
          <rPr>
            <sz val="10"/>
            <color rgb="FF000000"/>
            <rFont val="Aptos Narrow"/>
            <scheme val="minor"/>
          </rPr>
          <t>======
ID#AAABjx7qS7w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O940" authorId="0" shapeId="0" xr:uid="{0ED29949-D6D2-7240-A1B6-00A37CA0A0E6}">
      <text>
        <r>
          <rPr>
            <sz val="10"/>
            <color rgb="FF000000"/>
            <rFont val="Aptos Narrow"/>
            <scheme val="minor"/>
          </rPr>
          <t>======
ID#AAABjx7qMzE
    (2025-05-21 11:33:23)
chloe 
1030 下單</t>
        </r>
      </text>
    </comment>
    <comment ref="D941" authorId="0" shapeId="0" xr:uid="{2F5D528D-5EA1-8747-AD0C-75233AD7E661}">
      <text>
        <r>
          <rPr>
            <sz val="10"/>
            <color rgb="FF000000"/>
            <rFont val="Aptos Narrow"/>
            <scheme val="minor"/>
          </rPr>
          <t>======
ID#AAABjx7qSLw
    (2025-05-21 11:33:26)
10/30 CATHY:請CHLOE協助下單</t>
        </r>
      </text>
    </comment>
    <comment ref="H941" authorId="0" shapeId="0" xr:uid="{5484F0F7-54DE-B14B-9B5B-F262737D5A95}">
      <text>
        <r>
          <rPr>
            <sz val="10"/>
            <color rgb="FF000000"/>
            <rFont val="Aptos Narrow"/>
            <scheme val="minor"/>
          </rPr>
          <t>======
ID#AAABjx7qVEM
    (2025-05-21 11:33:27)
ALICE:12/10-亞郁匯入NT86152沖PI-20191016001.PI-20191017001.PI-20191030002.PI-20191112005 USD270.9</t>
        </r>
      </text>
    </comment>
    <comment ref="K941" authorId="0" shapeId="0" xr:uid="{18CEB91C-DBFE-F048-B93A-94495000C2D4}">
      <text>
        <r>
          <rPr>
            <sz val="10"/>
            <color rgb="FF000000"/>
            <rFont val="Aptos Narrow"/>
            <scheme val="minor"/>
          </rPr>
          <t>======
ID#AAABjx7qTIU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M941" authorId="0" shapeId="0" xr:uid="{B8F2BE54-333C-A54E-88F7-217C210BCA90}">
      <text>
        <r>
          <rPr>
            <sz val="10"/>
            <color rgb="FF000000"/>
            <rFont val="Aptos Narrow"/>
            <scheme val="minor"/>
          </rPr>
          <t>======
ID#AAABjx7qN5M
    (2025-05-21 11:33:23)
chloe
1028: 原先告知10/30
1104: 尚未告知MOXA！！原倉庫(木新路)收貨至11/14止，11/15暫停收貨 ，
11/18之後送貨請送至新倉庫:新北市新店區寶橋路235巷118號2AF</t>
        </r>
      </text>
    </comment>
    <comment ref="O941" authorId="0" shapeId="0" xr:uid="{812D5882-1A1C-7048-9596-97B0EE268FCA}">
      <text>
        <r>
          <rPr>
            <sz val="10"/>
            <color rgb="FF000000"/>
            <rFont val="Aptos Narrow"/>
            <scheme val="minor"/>
          </rPr>
          <t>======
ID#AAABjx7qU0M
    (2025-05-21 11:33:26)
chloe 
1030 下單</t>
        </r>
      </text>
    </comment>
    <comment ref="D942" authorId="0" shapeId="0" xr:uid="{CDFA0CBE-F25E-D741-9B92-CDB57522E8CE}">
      <text>
        <r>
          <rPr>
            <sz val="10"/>
            <color rgb="FF000000"/>
            <rFont val="Aptos Narrow"/>
            <scheme val="minor"/>
          </rPr>
          <t>======
ID#AAABjx7qRYM
    (2025-05-21 11:33:25)
10/30 Cathy:請yvonne 協助下單</t>
        </r>
      </text>
    </comment>
    <comment ref="H942" authorId="0" shapeId="0" xr:uid="{64B4D531-F4B9-EA4D-B400-A32E075EDBFA}">
      <text>
        <r>
          <rPr>
            <sz val="10"/>
            <color rgb="FF000000"/>
            <rFont val="Aptos Narrow"/>
            <scheme val="minor"/>
          </rPr>
          <t>======
ID#AAABjx7qVOM
    (2025-05-21 11:33:27)
ALICE:11/4玉山銀行匯入USD1523沖PI-20191030004 USD1523</t>
        </r>
      </text>
    </comment>
    <comment ref="K942" authorId="0" shapeId="0" xr:uid="{1A3B1F3E-6241-2C42-A76C-F366AF57BD92}">
      <text>
        <r>
          <rPr>
            <sz val="10"/>
            <color rgb="FF000000"/>
            <rFont val="Aptos Narrow"/>
            <scheme val="minor"/>
          </rPr>
          <t>======
ID#AAABjx7qNaA
    (2025-05-21 11:33:23)
10/30 cathy:通知客人交期</t>
        </r>
      </text>
    </comment>
    <comment ref="D943" authorId="0" shapeId="0" xr:uid="{9D01141C-C5CE-2346-8503-A358130B0E2F}">
      <text>
        <r>
          <rPr>
            <sz val="10"/>
            <color rgb="FF000000"/>
            <rFont val="Aptos Narrow"/>
            <scheme val="minor"/>
          </rPr>
          <t>======
ID#AAABjx7qTf4
    (2025-05-21 11:33:26)
10/30 Cathy:請yvonne 協助下單</t>
        </r>
      </text>
    </comment>
    <comment ref="H943" authorId="0" shapeId="0" xr:uid="{492AF5BA-9298-254E-AB03-598E742E6058}">
      <text>
        <r>
          <rPr>
            <sz val="10"/>
            <color rgb="FF000000"/>
            <rFont val="Aptos Narrow"/>
            <scheme val="minor"/>
          </rPr>
          <t>======
ID#AAABjx7qNjg
    (2025-05-21 11:33:23)
ALICE:11/4玉山銀行匯入USD1523沖PI-20191030004 USD1523</t>
        </r>
      </text>
    </comment>
    <comment ref="K943" authorId="0" shapeId="0" xr:uid="{E5529166-8D22-984F-BB1B-76C1C2C65277}">
      <text>
        <r>
          <rPr>
            <sz val="10"/>
            <color rgb="FF000000"/>
            <rFont val="Aptos Narrow"/>
            <scheme val="minor"/>
          </rPr>
          <t>======
ID#AAABjx7qPX0
    (2025-05-21 11:33:24)
10/30 cathy:通知客人交期</t>
        </r>
      </text>
    </comment>
    <comment ref="D944" authorId="0" shapeId="0" xr:uid="{696A3C68-18C6-4940-9206-9FFE175BD3AF}">
      <text>
        <r>
          <rPr>
            <sz val="10"/>
            <color rgb="FF000000"/>
            <rFont val="Aptos Narrow"/>
            <scheme val="minor"/>
          </rPr>
          <t>======
ID#AAABjx7qNwU
    (2025-05-21 11:33:23)
10/30 Cathy:請yvonne 協助下單</t>
        </r>
      </text>
    </comment>
    <comment ref="H944" authorId="0" shapeId="0" xr:uid="{9ADC90C1-3B12-234C-B78D-25B0E9DAA83C}">
      <text>
        <r>
          <rPr>
            <sz val="10"/>
            <color rgb="FF000000"/>
            <rFont val="Aptos Narrow"/>
            <scheme val="minor"/>
          </rPr>
          <t>======
ID#AAABjx7qUx8
    (2025-05-21 11:33:26)
ALICE:11/4玉山銀行匯入USD1523沖PI-20191030004 USD1523</t>
        </r>
      </text>
    </comment>
    <comment ref="K944" authorId="0" shapeId="0" xr:uid="{0D1FE587-2E8A-884C-968F-7C8894FEE485}">
      <text>
        <r>
          <rPr>
            <sz val="10"/>
            <color rgb="FF000000"/>
            <rFont val="Aptos Narrow"/>
            <scheme val="minor"/>
          </rPr>
          <t>======
ID#AAABjx7qOeQ
    (2025-05-21 11:33:24)
10/30 cathy:通知客人交期</t>
        </r>
      </text>
    </comment>
    <comment ref="D945" authorId="0" shapeId="0" xr:uid="{84537F23-D9BF-9A4A-BDDD-B130654037FE}">
      <text>
        <r>
          <rPr>
            <sz val="10"/>
            <color rgb="FF000000"/>
            <rFont val="Aptos Narrow"/>
            <scheme val="minor"/>
          </rPr>
          <t>======
ID#AAABjx7qRlM
    (2025-05-21 11:33:25)
10/30 Cathy:請yvonne 協助下單</t>
        </r>
      </text>
    </comment>
    <comment ref="H945" authorId="0" shapeId="0" xr:uid="{1C0C1CD1-8E86-E447-8D66-A5D94706A7B9}">
      <text>
        <r>
          <rPr>
            <sz val="10"/>
            <color rgb="FF000000"/>
            <rFont val="Aptos Narrow"/>
            <scheme val="minor"/>
          </rPr>
          <t>======
ID#AAABjx7qSOo
    (2025-05-21 11:33:26)
ALICE:11/4玉山銀行匯入USD1523沖PI-20191030004 USD1523</t>
        </r>
      </text>
    </comment>
    <comment ref="K945" authorId="0" shapeId="0" xr:uid="{ADD312BE-4E5B-434C-8219-170AFF187F04}">
      <text>
        <r>
          <rPr>
            <sz val="10"/>
            <color rgb="FF000000"/>
            <rFont val="Aptos Narrow"/>
            <scheme val="minor"/>
          </rPr>
          <t>======
ID#AAABjx7qPJo
    (2025-05-21 11:33:24)
10/30 cathy:通知客人交期</t>
        </r>
      </text>
    </comment>
    <comment ref="H946" authorId="0" shapeId="0" xr:uid="{4AAFB6B4-EC94-A14A-8F9A-0A29E5CCB141}">
      <text>
        <r>
          <rPr>
            <sz val="10"/>
            <color rgb="FF000000"/>
            <rFont val="Aptos Narrow"/>
            <scheme val="minor"/>
          </rPr>
          <t>======
ID#AAABjx7qTmU
    (2025-05-21 11:33:26)
ALICE:1/3第一NT收到閎亮匯入NT14181沖PI-20191031001 USD466.2</t>
        </r>
      </text>
    </comment>
    <comment ref="I946" authorId="0" shapeId="0" xr:uid="{E0FCDF09-8772-3F47-9FA6-9CECC97ADCD0}">
      <text>
        <r>
          <rPr>
            <sz val="10"/>
            <color rgb="FF000000"/>
            <rFont val="Aptos Narrow"/>
            <scheme val="minor"/>
          </rPr>
          <t>======
ID#AAABjx7qNp4
    (2025-05-21 11:33:23)
原cathy</t>
        </r>
      </text>
    </comment>
    <comment ref="H947" authorId="0" shapeId="0" xr:uid="{544A9AAD-406A-2E47-9D97-9054B87694EF}">
      <text>
        <r>
          <rPr>
            <sz val="10"/>
            <color rgb="FF000000"/>
            <rFont val="Aptos Narrow"/>
            <scheme val="minor"/>
          </rPr>
          <t>======
ID#AAABjx7qTNc
    (2025-05-21 11:33:26)
ALICE:1/3第一NT收到閎亮匯入NT14181沖PI-20191031001 USD466.2</t>
        </r>
      </text>
    </comment>
    <comment ref="I947" authorId="0" shapeId="0" xr:uid="{153F070D-6653-C54A-A11D-C4A18C481452}">
      <text>
        <r>
          <rPr>
            <sz val="10"/>
            <color rgb="FF000000"/>
            <rFont val="Aptos Narrow"/>
            <scheme val="minor"/>
          </rPr>
          <t>======
ID#AAABjx7qQy4
    (2025-05-21 11:33:25)
原cathy</t>
        </r>
      </text>
    </comment>
    <comment ref="H948" authorId="0" shapeId="0" xr:uid="{25F14E89-533B-2649-8320-FB9415C18F49}">
      <text>
        <r>
          <rPr>
            <sz val="10"/>
            <color rgb="FF000000"/>
            <rFont val="Aptos Narrow"/>
            <scheme val="minor"/>
          </rPr>
          <t>======
ID#AAABjx7qPwA
    (2025-05-21 11:33:24)
ALICE:11/8-玉山銀行收到Dadasol匯入USD7021沖PI-20191101002 USD7021</t>
        </r>
      </text>
    </comment>
    <comment ref="J948" authorId="0" shapeId="0" xr:uid="{D91F8262-A92D-DF4A-AB0D-061DFD4E5CEF}">
      <text>
        <r>
          <rPr>
            <sz val="10"/>
            <color rgb="FF000000"/>
            <rFont val="Aptos Narrow"/>
            <scheme val="minor"/>
          </rPr>
          <t>======
ID#AAABjx7qRAQ
    (2025-05-21 11:33:25)
FOB 
代客人提供forwarder</t>
        </r>
      </text>
    </comment>
    <comment ref="K948" authorId="0" shapeId="0" xr:uid="{1AA86712-27B0-E447-8670-8484385F2736}">
      <text>
        <r>
          <rPr>
            <sz val="10"/>
            <color rgb="FF000000"/>
            <rFont val="Aptos Narrow"/>
            <scheme val="minor"/>
          </rPr>
          <t>======
ID#AAABjx7qWTM
    (2025-05-21 11:33:27)
1105 mail告知客人交期</t>
        </r>
      </text>
    </comment>
    <comment ref="E949" authorId="0" shapeId="0" xr:uid="{41E26858-0514-7F4E-962A-2B41CB4C2910}">
      <text>
        <r>
          <rPr>
            <sz val="10"/>
            <color rgb="FF000000"/>
            <rFont val="Aptos Narrow"/>
            <scheme val="minor"/>
          </rPr>
          <t>======
ID#AAABjx7qROs
    (2025-05-21 11:33:25)
10/31 san同意給客人兩年保固&amp;做FOB</t>
        </r>
      </text>
    </comment>
    <comment ref="H949" authorId="0" shapeId="0" xr:uid="{0AD0663C-071F-DF4F-9F9C-849C54EAF489}">
      <text>
        <r>
          <rPr>
            <sz val="10"/>
            <color rgb="FF000000"/>
            <rFont val="Aptos Narrow"/>
            <scheme val="minor"/>
          </rPr>
          <t>======
ID#AAABjx7qNiU
    (2025-05-21 11:33:23)
ALICE:11/8-玉山銀行收到Dadasol匯入USD7021沖PI-20191101002 USD7021</t>
        </r>
      </text>
    </comment>
    <comment ref="J949" authorId="0" shapeId="0" xr:uid="{986D71AC-0245-E443-9EA3-86ACD49DDAAD}">
      <text>
        <r>
          <rPr>
            <sz val="10"/>
            <color rgb="FF000000"/>
            <rFont val="Aptos Narrow"/>
            <scheme val="minor"/>
          </rPr>
          <t>======
ID#AAABj82dpOk
    (2025-05-21 11:33:23)
FOB 
代客人提供forwarder</t>
        </r>
      </text>
    </comment>
    <comment ref="K949" authorId="0" shapeId="0" xr:uid="{AD480CC9-220C-464B-B2FB-042276B068FA}">
      <text>
        <r>
          <rPr>
            <sz val="10"/>
            <color rgb="FF000000"/>
            <rFont val="Aptos Narrow"/>
            <scheme val="minor"/>
          </rPr>
          <t>======
ID#AAABjx7qM3M
    (2025-05-21 11:33:23)
1105 mail告知客人交期</t>
        </r>
      </text>
    </comment>
    <comment ref="D950" authorId="0" shapeId="0" xr:uid="{E9D7C2C3-FFBD-3941-9632-0DC316D5F53E}">
      <text>
        <r>
          <rPr>
            <sz val="10"/>
            <color rgb="FF000000"/>
            <rFont val="Aptos Narrow"/>
            <scheme val="minor"/>
          </rPr>
          <t>======
ID#AAABjx7qV7E
    (2025-05-21 11:33:27)
11/1 Cathy: 原Evaluation
PI-20190912A</t>
        </r>
      </text>
    </comment>
    <comment ref="G950" authorId="0" shapeId="0" xr:uid="{AC595E68-60D1-A24A-B278-B17B98973534}">
      <text>
        <r>
          <rPr>
            <sz val="10"/>
            <color rgb="FF000000"/>
            <rFont val="Aptos Narrow"/>
            <scheme val="minor"/>
          </rPr>
          <t>======
ID#AAABjx7qQZ4
    (2025-05-21 11:33:25)
20191109 san revise 價格1995-&gt;1450</t>
        </r>
      </text>
    </comment>
    <comment ref="H950" authorId="0" shapeId="0" xr:uid="{59677DAC-FD32-8C45-92BC-E4CA7309D530}">
      <text>
        <r>
          <rPr>
            <sz val="10"/>
            <color rgb="FF000000"/>
            <rFont val="Aptos Narrow"/>
            <scheme val="minor"/>
          </rPr>
          <t>======
ID#AAABjx7qVHs
    (2025-05-21 11:33:27)
ALICE:2020/01/02-第一USD匯入USD1450(內含手續費USD21.67)沖PI-20191101001 USD1450</t>
        </r>
      </text>
    </comment>
    <comment ref="H951" authorId="0" shapeId="0" xr:uid="{65143367-7CF6-6940-AEE1-609A702A1D62}">
      <text>
        <r>
          <rPr>
            <sz val="10"/>
            <color rgb="FF000000"/>
            <rFont val="Aptos Narrow"/>
            <scheme val="minor"/>
          </rPr>
          <t>======
ID#AAABjx7qSFA
    (2025-05-21 11:33:26)
alice:11/5-合庫收款USD960(內含手續費USD17.59)沖PI20191104002 USD960</t>
        </r>
      </text>
    </comment>
    <comment ref="J951" authorId="0" shapeId="0" xr:uid="{2228D5AB-1724-2E49-B1B8-CE8A1990A417}">
      <text>
        <r>
          <rPr>
            <sz val="10"/>
            <color rgb="FF000000"/>
            <rFont val="Aptos Narrow"/>
            <scheme val="minor"/>
          </rPr>
          <t>======
ID#AAABjx7qR2Q
    (2025-05-21 11:33:25)
客人自取</t>
        </r>
      </text>
    </comment>
    <comment ref="O951" authorId="0" shapeId="0" xr:uid="{EE1A8155-8761-D446-9328-C0B6944EA85A}">
      <text>
        <r>
          <rPr>
            <sz val="10"/>
            <color rgb="FF000000"/>
            <rFont val="Aptos Narrow"/>
            <scheme val="minor"/>
          </rPr>
          <t>======
ID#AAABjx7qVBo
    (2025-05-21 11:33:27)
1115 chloe: 修改為美金報價</t>
        </r>
      </text>
    </comment>
    <comment ref="D952" authorId="0" shapeId="0" xr:uid="{B167C505-D5E3-594E-9BF8-C34C2B0ED30F}">
      <text>
        <r>
          <rPr>
            <sz val="10"/>
            <color rgb="FF000000"/>
            <rFont val="Aptos Narrow"/>
            <scheme val="minor"/>
          </rPr>
          <t>======
ID#AAABjx7qOrk
    (2025-05-21 11:33:24)
11/5 Cathy: 客戶mail下訂單&amp; 請Yvonne 下單</t>
        </r>
      </text>
    </comment>
    <comment ref="H952" authorId="0" shapeId="0" xr:uid="{0C8745A4-E93A-3848-BA35-E71956691866}">
      <text>
        <r>
          <rPr>
            <sz val="10"/>
            <color rgb="FF000000"/>
            <rFont val="Aptos Narrow"/>
            <scheme val="minor"/>
          </rPr>
          <t>======
ID#AAABjx7qNnM
    (2025-05-21 11:33:23)
ALICE:2020/01/10收到芳慎應收票據，票號AN0560121 到期日109/01/30 金額NT100398沖PI-20191105001</t>
        </r>
      </text>
    </comment>
    <comment ref="K952" authorId="0" shapeId="0" xr:uid="{437CF4B3-3545-F14E-8E33-2D5269F5407E}">
      <text>
        <r>
          <rPr>
            <sz val="10"/>
            <color rgb="FF000000"/>
            <rFont val="Aptos Narrow"/>
            <scheme val="minor"/>
          </rPr>
          <t>======
ID#AAABjx7qU4w
    (2025-05-21 11:33:26)
11/12 芳慎需星期五中午前收到 
原交期 11/14</t>
        </r>
      </text>
    </comment>
    <comment ref="M952" authorId="0" shapeId="0" xr:uid="{E16C386D-8AC5-F64E-892B-53396DE96DA2}">
      <text>
        <r>
          <rPr>
            <sz val="10"/>
            <color rgb="FF000000"/>
            <rFont val="Aptos Narrow"/>
            <scheme val="minor"/>
          </rPr>
          <t>======
ID#AAABjx7qREs
    (2025-05-21 11:33:25)
11/4 Cathy: Jimmy 告知交期</t>
        </r>
      </text>
    </comment>
    <comment ref="H953" authorId="0" shapeId="0" xr:uid="{3092EDC9-0244-2F49-8FE2-10CEC839899A}">
      <text>
        <r>
          <rPr>
            <sz val="10"/>
            <color rgb="FF000000"/>
            <rFont val="Aptos Narrow"/>
            <scheme val="minor"/>
          </rPr>
          <t>======
ID#AAABjx7qSo4
    (2025-05-21 11:33:26)
ALICE:1/15一銀收到USD8853(內含手續費USD53.7)沖PI-20191029002 USD4275+PI-20191029003 USD2235+PI-20191029004 USD1988+PI-20191105002 USD355</t>
        </r>
      </text>
    </comment>
    <comment ref="M953" authorId="0" shapeId="0" xr:uid="{7416BADF-C58F-DB4A-972E-D6214D5B9D13}">
      <text>
        <r>
          <rPr>
            <sz val="10"/>
            <color rgb="FF000000"/>
            <rFont val="Aptos Narrow"/>
            <scheme val="minor"/>
          </rPr>
          <t>======
ID#AAABjx7qPSA
    (2025-05-21 11:33:24)
1029YVONNE:未滿20PCS須拉回我司組裝</t>
        </r>
      </text>
    </comment>
    <comment ref="D954" authorId="0" shapeId="0" xr:uid="{7241F351-8909-3F4F-9F10-FDFD8A2CF9C3}">
      <text>
        <r>
          <rPr>
            <sz val="10"/>
            <color rgb="FF000000"/>
            <rFont val="Aptos Narrow"/>
            <scheme val="minor"/>
          </rPr>
          <t>======
ID#AAABjx7qOjE
    (2025-05-21 11:33:24)
11/8 cathy: 請Chloe 請協助下單</t>
        </r>
      </text>
    </comment>
    <comment ref="H954" authorId="0" shapeId="0" xr:uid="{EBB1A3AB-1727-424D-B167-59C22E87FD50}">
      <text>
        <r>
          <rPr>
            <sz val="10"/>
            <color rgb="FF000000"/>
            <rFont val="Aptos Narrow"/>
            <scheme val="minor"/>
          </rPr>
          <t>======
ID#AAABjx7qNl8
    (2025-05-21 11:33:23)
ALICE:2020/01/10-SA匯入USD37024-沖PI-20191108001 (5904+2010+440+20104+950+6270)+1346(12600中的1346)=USD37024</t>
        </r>
      </text>
    </comment>
    <comment ref="I954" authorId="0" shapeId="0" xr:uid="{6F6F3E2B-854A-B442-BC9B-C11B3796A7E1}">
      <text>
        <r>
          <rPr>
            <sz val="10"/>
            <color rgb="FF000000"/>
            <rFont val="Aptos Narrow"/>
            <scheme val="minor"/>
          </rPr>
          <t>======
ID#AAABjx7qR-Y
    (2025-05-21 11:33:25)
Cathy/Yvonne</t>
        </r>
      </text>
    </comment>
    <comment ref="D955" authorId="0" shapeId="0" xr:uid="{78CC5EB1-AEDD-AE4F-B08E-D99BC95E95DB}">
      <text>
        <r>
          <rPr>
            <sz val="10"/>
            <color rgb="FF000000"/>
            <rFont val="Aptos Narrow"/>
            <scheme val="minor"/>
          </rPr>
          <t>======
ID#AAABjx7qNb4
    (2025-05-21 11:33:23)
11/8 cathy: 請Chloe 請協助下單</t>
        </r>
      </text>
    </comment>
    <comment ref="H955" authorId="0" shapeId="0" xr:uid="{9721A7CF-CD5B-2646-82AC-F53B6A3D13FE}">
      <text>
        <r>
          <rPr>
            <sz val="10"/>
            <color rgb="FF000000"/>
            <rFont val="Aptos Narrow"/>
            <scheme val="minor"/>
          </rPr>
          <t>======
ID#AAABjx7qRIg
    (2025-05-21 11:33:25)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  </r>
      </text>
    </comment>
    <comment ref="I955" authorId="0" shapeId="0" xr:uid="{8300F242-9BF5-E54D-B163-3569D8FDCDAA}">
      <text>
        <r>
          <rPr>
            <sz val="10"/>
            <color rgb="FF000000"/>
            <rFont val="Aptos Narrow"/>
            <scheme val="minor"/>
          </rPr>
          <t>======
ID#AAABjx7qSH8
    (2025-05-21 11:33:26)
Cathy/Yvonne</t>
        </r>
      </text>
    </comment>
    <comment ref="D956" authorId="0" shapeId="0" xr:uid="{9BC84A2B-07B3-9446-B72B-DF0737B58652}">
      <text>
        <r>
          <rPr>
            <sz val="10"/>
            <color rgb="FF000000"/>
            <rFont val="Aptos Narrow"/>
            <scheme val="minor"/>
          </rPr>
          <t>======
ID#AAABjx7qQ44
    (2025-05-21 11:33:25)
11/8 cathy: 請Chloe 請協助下單</t>
        </r>
      </text>
    </comment>
    <comment ref="H956" authorId="0" shapeId="0" xr:uid="{422DACD0-A487-B34C-83C8-0AEFB5D04B07}">
      <text>
        <r>
          <rPr>
            <sz val="10"/>
            <color rgb="FF000000"/>
            <rFont val="Aptos Narrow"/>
            <scheme val="minor"/>
          </rPr>
          <t>======
ID#AAABjx7qSp0
    (2025-05-21 11:33:26)
ALICE:2020/01/10-SA匯入USD37024-沖PI-20191108001 (5904+2010+440+20104+950+6270)+1346(12600中的1346)=USD37024</t>
        </r>
      </text>
    </comment>
    <comment ref="I956" authorId="0" shapeId="0" xr:uid="{622E54A8-7D3B-D84C-B121-1343E0E215F8}">
      <text>
        <r>
          <rPr>
            <sz val="10"/>
            <color rgb="FF000000"/>
            <rFont val="Aptos Narrow"/>
            <scheme val="minor"/>
          </rPr>
          <t>======
ID#AAABjx7qWDA
    (2025-05-21 11:33:27)
Cathy/Yvonne</t>
        </r>
      </text>
    </comment>
    <comment ref="D957" authorId="0" shapeId="0" xr:uid="{DE38D365-08B4-9643-8DAE-00680AFE6DF7}">
      <text>
        <r>
          <rPr>
            <sz val="10"/>
            <color rgb="FF000000"/>
            <rFont val="Aptos Narrow"/>
            <scheme val="minor"/>
          </rPr>
          <t>======
ID#AAABjx7qTHw
    (2025-05-21 11:33:26)
11/8 cathy: 請Chloe 請協助下單</t>
        </r>
      </text>
    </comment>
    <comment ref="H957" authorId="0" shapeId="0" xr:uid="{A6354185-38C0-1747-93F8-B24D2B2839C8}">
      <text>
        <r>
          <rPr>
            <sz val="10"/>
            <color rgb="FF000000"/>
            <rFont val="Aptos Narrow"/>
            <scheme val="minor"/>
          </rPr>
          <t>======
ID#AAABjx7qPgo
    (2025-05-21 11:33:24)
ALICE:2020/01/10-SA匯入USD37024-沖PI-20191108001 (5904+2010+440+20104+950+6270)+1346(12600中的1346)=USD37024</t>
        </r>
      </text>
    </comment>
    <comment ref="I957" authorId="0" shapeId="0" xr:uid="{76CF67BC-41FC-7945-9370-5CC3B7838DBF}">
      <text>
        <r>
          <rPr>
            <sz val="10"/>
            <color rgb="FF000000"/>
            <rFont val="Aptos Narrow"/>
            <scheme val="minor"/>
          </rPr>
          <t>======
ID#AAABjx7qTbM
    (2025-05-21 11:33:26)
Cathy/Yvonne</t>
        </r>
      </text>
    </comment>
    <comment ref="D958" authorId="0" shapeId="0" xr:uid="{F0DEF252-8F4D-574B-965D-2C805A488A45}">
      <text>
        <r>
          <rPr>
            <sz val="10"/>
            <color rgb="FF000000"/>
            <rFont val="Aptos Narrow"/>
            <scheme val="minor"/>
          </rPr>
          <t>======
ID#AAABjx7qN_k
    (2025-05-21 11:33:24)
11/8 cathy: 請Chloe 請協助下單</t>
        </r>
      </text>
    </comment>
    <comment ref="H958" authorId="0" shapeId="0" xr:uid="{87232E91-878B-8143-9AD5-4A6BB795E71A}">
      <text>
        <r>
          <rPr>
            <sz val="10"/>
            <color rgb="FF000000"/>
            <rFont val="Aptos Narrow"/>
            <scheme val="minor"/>
          </rPr>
          <t>======
ID#AAABjx7qR10
    (2025-05-21 11:33:25)
ALICE:2020/01/10-SA匯入USD37024-沖PI-20191108001 (5904+2010+440+20104+950+6270)+1346(12600中的1346)=USD37024</t>
        </r>
      </text>
    </comment>
    <comment ref="I958" authorId="0" shapeId="0" xr:uid="{4398B302-B641-5945-9049-17C96FC18F73}">
      <text>
        <r>
          <rPr>
            <sz val="10"/>
            <color rgb="FF000000"/>
            <rFont val="Aptos Narrow"/>
            <scheme val="minor"/>
          </rPr>
          <t>======
ID#AAABjx7qTcQ
    (2025-05-21 11:33:26)
Cathy/Yvonne</t>
        </r>
      </text>
    </comment>
    <comment ref="K958" authorId="0" shapeId="0" xr:uid="{F8DF860F-49C8-294E-BEE8-5CC16AAC1C69}">
      <text>
        <r>
          <rPr>
            <sz val="10"/>
            <color rgb="FF000000"/>
            <rFont val="Aptos Narrow"/>
            <scheme val="minor"/>
          </rPr>
          <t>======
ID#AAABjx7qO5c
    (2025-05-21 11:33:24)
11/8 cathy: 請告知可提供最快交期 
1223yvonne:Santiago同意放貨</t>
        </r>
      </text>
    </comment>
    <comment ref="D959" authorId="0" shapeId="0" xr:uid="{878175F4-5F3A-944F-9C80-B3DBBE7D3872}">
      <text>
        <r>
          <rPr>
            <sz val="10"/>
            <color rgb="FF000000"/>
            <rFont val="Aptos Narrow"/>
            <scheme val="minor"/>
          </rPr>
          <t>======
ID#AAABjx7qM8s
    (2025-05-21 11:33:23)
11/8 cathy: 請Chloe 請協助下單</t>
        </r>
      </text>
    </comment>
    <comment ref="H959" authorId="0" shapeId="0" xr:uid="{F2449C20-C65B-B94F-A26A-69DC64F10194}">
      <text>
        <r>
          <rPr>
            <sz val="10"/>
            <color rgb="FF000000"/>
            <rFont val="Aptos Narrow"/>
            <scheme val="minor"/>
          </rPr>
          <t>======
ID#AAABjx7qQRs
    (2025-05-21 11:33:25)
ALICE:2020/01/10-SA匯入USD37024-沖PI-20191108001 (5904+2010+440+20104+950+6270)+1346(12600中的1346)=USD37024</t>
        </r>
      </text>
    </comment>
    <comment ref="I959" authorId="0" shapeId="0" xr:uid="{C1A9B955-41AD-B449-9958-B2B507881CCF}">
      <text>
        <r>
          <rPr>
            <sz val="10"/>
            <color rgb="FF000000"/>
            <rFont val="Aptos Narrow"/>
            <scheme val="minor"/>
          </rPr>
          <t>======
ID#AAABjx7qPoE
    (2025-05-21 11:33:24)
Cathy/Yvonne</t>
        </r>
      </text>
    </comment>
    <comment ref="K959" authorId="0" shapeId="0" xr:uid="{27150ED8-6BFE-C042-9F45-B4FFC3BF885B}">
      <text>
        <r>
          <rPr>
            <sz val="10"/>
            <color rgb="FF000000"/>
            <rFont val="Aptos Narrow"/>
            <scheme val="minor"/>
          </rPr>
          <t>======
ID#AAABjx7qWIE
    (2025-05-21 11:33:27)
11/8 cathy: 請告知可提供最快交期 
1223yvonne:Santiago同意放貨</t>
        </r>
      </text>
    </comment>
    <comment ref="O959" authorId="0" shapeId="0" xr:uid="{44926B25-18C0-7447-9DA4-3CF8B19261A8}">
      <text>
        <r>
          <rPr>
            <sz val="10"/>
            <color rgb="FF000000"/>
            <rFont val="Aptos Narrow"/>
            <scheme val="minor"/>
          </rPr>
          <t>======
ID#AAABjx7qTSw
    (2025-05-21 11:33:26)
專案價申請中</t>
        </r>
      </text>
    </comment>
    <comment ref="D960" authorId="0" shapeId="0" xr:uid="{D08D89C7-97FA-1843-9B8E-013B333911F8}">
      <text>
        <r>
          <rPr>
            <sz val="10"/>
            <color rgb="FF000000"/>
            <rFont val="Aptos Narrow"/>
            <scheme val="minor"/>
          </rPr>
          <t>======
ID#AAABjx7qNK0
    (2025-05-21 11:33:23)
11/8 cathy: 請Chloe 請協助下單</t>
        </r>
      </text>
    </comment>
    <comment ref="H960" authorId="0" shapeId="0" xr:uid="{CCFB75AE-87D2-0645-A62D-39399EE0EBD3}">
      <text>
        <r>
          <rPr>
            <sz val="10"/>
            <color rgb="FF000000"/>
            <rFont val="Aptos Narrow"/>
            <scheme val="minor"/>
          </rPr>
          <t>======
ID#AAABjx7qU3Y
    (2025-05-21 11:33:26)
ALICE:2020/1/20一銀收款USD10000(沖PI-20191108001 此筆USD9700)結清</t>
        </r>
      </text>
    </comment>
    <comment ref="I960" authorId="0" shapeId="0" xr:uid="{FC740C08-B8CB-DF41-B797-7A30E76CD0B3}">
      <text>
        <r>
          <rPr>
            <sz val="10"/>
            <color rgb="FF000000"/>
            <rFont val="Aptos Narrow"/>
            <scheme val="minor"/>
          </rPr>
          <t>======
ID#AAABjx7qO0M
    (2025-05-21 11:33:24)
Cathy/Yvonne</t>
        </r>
      </text>
    </comment>
    <comment ref="K960" authorId="0" shapeId="0" xr:uid="{F8A37AA2-7318-CE43-8BDF-A7210CD13B1B}">
      <text>
        <r>
          <rPr>
            <sz val="10"/>
            <color rgb="FF000000"/>
            <rFont val="Aptos Narrow"/>
            <scheme val="minor"/>
          </rPr>
          <t>======
ID#AAABjx7qSWk
    (2025-05-21 11:33:26)
11/8 cathy: 請告知可提供最快交期 
1223yvonne:Santiago同意放貨</t>
        </r>
      </text>
    </comment>
    <comment ref="O960" authorId="0" shapeId="0" xr:uid="{65F44A6A-FF4C-8D4C-A500-71BCAEEDC113}">
      <text>
        <r>
          <rPr>
            <sz val="10"/>
            <color rgb="FF000000"/>
            <rFont val="Aptos Narrow"/>
            <scheme val="minor"/>
          </rPr>
          <t>======
ID#AAABjx7qTfE
    (2025-05-21 11:33:26)
專案價申請中</t>
        </r>
      </text>
    </comment>
    <comment ref="D961" authorId="0" shapeId="0" xr:uid="{7FDB420D-1A1D-9046-A48E-27A1FEA1DC31}">
      <text>
        <r>
          <rPr>
            <sz val="10"/>
            <color rgb="FF000000"/>
            <rFont val="Aptos Narrow"/>
            <scheme val="minor"/>
          </rPr>
          <t>======
ID#AAABjx7qNQI
    (2025-05-21 11:33:23)
11/8 cathy: 請Chloe 請協助下單</t>
        </r>
      </text>
    </comment>
    <comment ref="H961" authorId="0" shapeId="0" xr:uid="{0BB91BC3-1B28-FC4B-B93C-304A582F6D61}">
      <text>
        <r>
          <rPr>
            <sz val="10"/>
            <color rgb="FF000000"/>
            <rFont val="Aptos Narrow"/>
            <scheme val="minor"/>
          </rPr>
          <t>======
ID#AAABjx7qSww
    (2025-05-21 11:33:26)
ALICE:2020/01/10-SA匯入USD37024-沖PI-20191108001 (5904+2010+440+20104+950+6270)+1346(12600中的1346)=USD37024</t>
        </r>
      </text>
    </comment>
    <comment ref="I961" authorId="0" shapeId="0" xr:uid="{5A9C1F75-F3B6-CD41-8085-A0B322AD7CA0}">
      <text>
        <r>
          <rPr>
            <sz val="10"/>
            <color rgb="FF000000"/>
            <rFont val="Aptos Narrow"/>
            <scheme val="minor"/>
          </rPr>
          <t>======
ID#AAABj82dpJI
    (2025-05-21 11:33:23)
Cathy/Yvonne</t>
        </r>
      </text>
    </comment>
    <comment ref="K961" authorId="0" shapeId="0" xr:uid="{89535BBD-734B-CF44-A1EE-D1C6B16D67C1}">
      <text>
        <r>
          <rPr>
            <sz val="10"/>
            <color rgb="FF000000"/>
            <rFont val="Aptos Narrow"/>
            <scheme val="minor"/>
          </rPr>
          <t>======
ID#AAABjx7qVZ8
    (2025-05-21 11:33:27)
11/8 cathy: 請告知可提供最快交期 
1223yvonne:Santiago同意放貨</t>
        </r>
      </text>
    </comment>
    <comment ref="O961" authorId="0" shapeId="0" xr:uid="{1CB0A7B8-AF16-BE4A-83FA-844BAB0CFD88}">
      <text>
        <r>
          <rPr>
            <sz val="10"/>
            <color rgb="FF000000"/>
            <rFont val="Aptos Narrow"/>
            <scheme val="minor"/>
          </rPr>
          <t>======
ID#AAABjx7qSNE
    (2025-05-21 11:33:26)
專案價申請中</t>
        </r>
      </text>
    </comment>
    <comment ref="H962" authorId="0" shapeId="0" xr:uid="{E4B9CE1C-6485-9A49-9531-2191FE6454F6}">
      <text>
        <r>
          <rPr>
            <sz val="10"/>
            <color rgb="FF000000"/>
            <rFont val="Aptos Narrow"/>
            <scheme val="minor"/>
          </rPr>
          <t>======
ID#AAABjx7qSkI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3" authorId="0" shapeId="0" xr:uid="{B9815A80-275D-8047-9C48-A4708D219809}">
      <text>
        <r>
          <rPr>
            <sz val="10"/>
            <color rgb="FF000000"/>
            <rFont val="Aptos Narrow"/>
            <scheme val="minor"/>
          </rPr>
          <t>======
ID#AAABjx7qVjI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4" authorId="0" shapeId="0" xr:uid="{32B30C01-E6E0-7E4A-97A4-27C7AB909464}">
      <text>
        <r>
          <rPr>
            <sz val="10"/>
            <color rgb="FF000000"/>
            <rFont val="Aptos Narrow"/>
            <scheme val="minor"/>
          </rPr>
          <t>======
ID#AAABjx7qVAA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5" authorId="0" shapeId="0" xr:uid="{2BB124BF-26ED-1C45-A39F-2A0BAEDCC9C3}">
      <text>
        <r>
          <rPr>
            <sz val="10"/>
            <color rgb="FF000000"/>
            <rFont val="Aptos Narrow"/>
            <scheme val="minor"/>
          </rPr>
          <t>======
ID#AAABjx7qODM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6" authorId="0" shapeId="0" xr:uid="{2DE31113-66EB-4943-80E0-F9C1A8DCDAE1}">
      <text>
        <r>
          <rPr>
            <sz val="10"/>
            <color rgb="FF000000"/>
            <rFont val="Aptos Narrow"/>
            <scheme val="minor"/>
          </rPr>
          <t>======
ID#AAABjx7qSXE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967" authorId="0" shapeId="0" xr:uid="{EBC5FD1E-4117-BB4E-97FB-8145207676C5}">
      <text>
        <r>
          <rPr>
            <sz val="10"/>
            <color rgb="FF000000"/>
            <rFont val="Aptos Narrow"/>
            <scheme val="minor"/>
          </rPr>
          <t>======
ID#AAABjx7qSC8
    (2025-05-21 11:33:25)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K968" authorId="0" shapeId="0" xr:uid="{3DD16EFD-D25F-C64B-BB41-B9E5872EB566}">
      <text>
        <r>
          <rPr>
            <sz val="10"/>
            <color rgb="FF000000"/>
            <rFont val="Aptos Narrow"/>
            <scheme val="minor"/>
          </rPr>
          <t>======
ID#AAABjx7qPN0
    (2025-05-21 11:33:24)
1115YVONNE:SANTIAGO通知延遲一周出貨。</t>
        </r>
      </text>
    </comment>
    <comment ref="AB968" authorId="0" shapeId="0" xr:uid="{3217A36E-70AD-914B-8A1F-0F0B509D012D}">
      <text>
        <r>
          <rPr>
            <sz val="10"/>
            <color rgb="FF000000"/>
            <rFont val="Aptos Narrow"/>
            <scheme val="minor"/>
          </rPr>
          <t>======
ID#AAABjx7qV-c
    (2025-05-21 11:33:27)
11/20 cathy: 詢問Chole,告知走G502 正式報關</t>
        </r>
      </text>
    </comment>
    <comment ref="K969" authorId="0" shapeId="0" xr:uid="{45EA6E16-4C6A-AC43-B0FE-78D3F6BB5B61}">
      <text>
        <r>
          <rPr>
            <sz val="10"/>
            <color rgb="FF000000"/>
            <rFont val="Aptos Narrow"/>
            <scheme val="minor"/>
          </rPr>
          <t>======
ID#AAABjx7qQlE
    (2025-05-21 11:33:25)
1115YVONNE:SANTIAGO通知延遲一周出貨。
1127yvonne:bank通知補寄SSD給客戶</t>
        </r>
      </text>
    </comment>
    <comment ref="AB969" authorId="0" shapeId="0" xr:uid="{357C0C3F-E907-7B44-AD27-930257A6D8A5}">
      <text>
        <r>
          <rPr>
            <sz val="10"/>
            <color rgb="FF000000"/>
            <rFont val="Aptos Narrow"/>
            <scheme val="minor"/>
          </rPr>
          <t>======
ID#AAABjx7qO6o
    (2025-05-21 11:33:24)
11/20 cathy: 詢問Chole,告知走G502 正式報關</t>
        </r>
      </text>
    </comment>
    <comment ref="H970" authorId="0" shapeId="0" xr:uid="{8B247FD9-2D88-414B-BD9B-8EFB2419D2C2}">
      <text>
        <r>
          <rPr>
            <sz val="10"/>
            <color rgb="FF000000"/>
            <rFont val="Aptos Narrow"/>
            <scheme val="minor"/>
          </rPr>
          <t>======
ID#AAABjx7qObQ
    (2025-05-21 11:33:24)
ALICE:12/10-亞郁匯入NT86152沖PI-20191016001.PI-20191017001.PI-20191030002.PI-20191112005 USD270.9</t>
        </r>
      </text>
    </comment>
    <comment ref="M970" authorId="0" shapeId="0" xr:uid="{E77B8E2D-D3E3-CB42-AFDD-ADF9AF11C3FD}">
      <text>
        <r>
          <rPr>
            <sz val="10"/>
            <color rgb="FF000000"/>
            <rFont val="Aptos Narrow"/>
            <scheme val="minor"/>
          </rPr>
          <t>======
ID#AAABjx7qQvs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O970" authorId="0" shapeId="0" xr:uid="{A20409BB-A56E-7A45-8A8D-449154C1F74C}">
      <text>
        <r>
          <rPr>
            <sz val="10"/>
            <color rgb="FF000000"/>
            <rFont val="Aptos Narrow"/>
            <scheme val="minor"/>
          </rPr>
          <t>======
ID#AAABjx7qRBE
    (2025-05-21 11:33:25)
不含Adapter</t>
        </r>
      </text>
    </comment>
    <comment ref="H971" authorId="0" shapeId="0" xr:uid="{E6378F2F-4C9D-214C-AB90-84C42790A83C}">
      <text>
        <r>
          <rPr>
            <sz val="10"/>
            <color rgb="FF000000"/>
            <rFont val="Aptos Narrow"/>
            <scheme val="minor"/>
          </rPr>
          <t>======
ID#AAABjx7qV2Q
    (2025-05-21 11:33:27)
ALICE:2020/01/08亞郁匯入NT46486沖PI-20191112005 USD270.9+PI-20191205001 USD1169.7+PI-20191211002 USD97.65</t>
        </r>
      </text>
    </comment>
    <comment ref="K971" authorId="0" shapeId="0" xr:uid="{7F8AFD68-9108-6147-A138-E97E9F22C25A}">
      <text>
        <r>
          <rPr>
            <sz val="10"/>
            <color rgb="FF000000"/>
            <rFont val="Aptos Narrow"/>
            <scheme val="minor"/>
          </rPr>
          <t>======
ID#AAABjx7qSLI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M971" authorId="0" shapeId="0" xr:uid="{9C207754-E17D-3442-BE03-59B3932B11DD}">
      <text>
        <r>
          <rPr>
            <sz val="10"/>
            <color rgb="FF000000"/>
            <rFont val="Aptos Narrow"/>
            <scheme val="minor"/>
          </rPr>
          <t>======
ID#AAABjx7qPYo
    (2025-05-21 11:33:24)
chloe
1028: 原先告知10/30
1104: 尚未告知MOXA！！原倉庫(木新路)收貨至11/14止，11/15暫停收貨 ，
11/18之後送貨請送至新倉庫:新北市新店區寶橋路235巷118號2AF</t>
        </r>
      </text>
    </comment>
    <comment ref="O971" authorId="0" shapeId="0" xr:uid="{ECF42BFA-908A-8C46-ADDC-2370EABD5D01}">
      <text>
        <r>
          <rPr>
            <sz val="10"/>
            <color rgb="FF000000"/>
            <rFont val="Aptos Narrow"/>
            <scheme val="minor"/>
          </rPr>
          <t>======
ID#AAABjx7qV90
    (2025-05-21 11:33:27)
不含Adapter</t>
        </r>
      </text>
    </comment>
    <comment ref="E972" authorId="0" shapeId="0" xr:uid="{CD486B02-2710-A444-97BC-1E945E31CADB}">
      <text>
        <r>
          <rPr>
            <sz val="10"/>
            <color rgb="FF000000"/>
            <rFont val="Aptos Narrow"/>
            <scheme val="minor"/>
          </rPr>
          <t>======
ID#AAABjx7qPRE
    (2025-05-21 11:33:24)
20170104 Santiago: 和之前訂單一樣, w/o adapter</t>
        </r>
      </text>
    </comment>
    <comment ref="H972" authorId="0" shapeId="0" xr:uid="{9BA5C4BC-E1C9-3B4A-AFE6-E5F1F55D8D36}">
      <text>
        <r>
          <rPr>
            <sz val="10"/>
            <color rgb="FF000000"/>
            <rFont val="Aptos Narrow"/>
            <scheme val="minor"/>
          </rPr>
          <t>======
ID#AAABjx7qN64
    (2025-05-21 11:33:23)
ALICE:12/2-合庫匯入NT328647(內含手續費NT30元整)沖PI-20191001A USD10084.2+PI-20191112006 USD714元整</t>
        </r>
      </text>
    </comment>
    <comment ref="H973" authorId="0" shapeId="0" xr:uid="{793CACE3-CD84-7146-81B4-9FC40CA55BAC}">
      <text>
        <r>
          <rPr>
            <sz val="10"/>
            <color rgb="FF000000"/>
            <rFont val="Aptos Narrow"/>
            <scheme val="minor"/>
          </rPr>
          <t>======
ID#AAABjx7qNec
    (2025-05-21 11:33:23)
ALICE:12/2-合庫匯入NT328647(內含手續費NT30元整)沖PI-20191001A USD10084.2+PI-20191112006 USD714元整</t>
        </r>
      </text>
    </comment>
    <comment ref="H974" authorId="0" shapeId="0" xr:uid="{EC73824F-EFF7-AC4F-8C3F-2DFDBAE9311B}">
      <text>
        <r>
          <rPr>
            <sz val="10"/>
            <color rgb="FF000000"/>
            <rFont val="Aptos Narrow"/>
            <scheme val="minor"/>
          </rPr>
          <t>======
ID#AAABjx7qPXE
    (2025-05-21 11:33:24)
ALICE:2020/02/03合庫收款NT858362元整，沖PI-20191001A
 NT147153+PI-20191112006 NT711239元整</t>
        </r>
      </text>
    </comment>
    <comment ref="D978" authorId="0" shapeId="0" xr:uid="{814CC3AD-D3EC-E74B-89BD-A1E5E2EB878A}">
      <text>
        <r>
          <rPr>
            <sz val="10"/>
            <color rgb="FF000000"/>
            <rFont val="Aptos Narrow"/>
            <scheme val="minor"/>
          </rPr>
          <t>======
ID#AAABjx7qP10
    (2025-05-21 11:33:24)
1114 Cathy:請Yvonne 下單</t>
        </r>
      </text>
    </comment>
    <comment ref="H978" authorId="0" shapeId="0" xr:uid="{A90463D2-B42E-1548-84B9-66F41872D7C8}">
      <text>
        <r>
          <rPr>
            <sz val="10"/>
            <color rgb="FF000000"/>
            <rFont val="Aptos Narrow"/>
            <scheme val="minor"/>
          </rPr>
          <t>======
ID#AAABjx7qWCM
    (2025-05-21 11:33:27)
Alice:11/14電文通知匯入USD1676 沖PI-20191114002 USD1676 待銀行水單沖帳</t>
        </r>
      </text>
    </comment>
    <comment ref="J978" authorId="0" shapeId="0" xr:uid="{CDCC9BC8-B226-FF4A-ADB2-C51079D112F3}">
      <text>
        <r>
          <rPr>
            <sz val="10"/>
            <color rgb="FF000000"/>
            <rFont val="Aptos Narrow"/>
            <scheme val="minor"/>
          </rPr>
          <t>======
ID#AAABjx7qRFM
    (2025-05-21 11:33:25)
客人自取</t>
        </r>
      </text>
    </comment>
    <comment ref="D979" authorId="0" shapeId="0" xr:uid="{883317ED-808C-2947-BAF6-30789B63BBC2}">
      <text>
        <r>
          <rPr>
            <sz val="10"/>
            <color rgb="FF000000"/>
            <rFont val="Aptos Narrow"/>
            <scheme val="minor"/>
          </rPr>
          <t>======
ID#AAABjx7qOHg
    (2025-05-21 11:33:24)
1114 Cathy:請Yvonne 下單</t>
        </r>
      </text>
    </comment>
    <comment ref="H979" authorId="0" shapeId="0" xr:uid="{13D7ACF2-926C-2A41-BEF4-EBDA8B14A90F}">
      <text>
        <r>
          <rPr>
            <sz val="10"/>
            <color rgb="FF000000"/>
            <rFont val="Aptos Narrow"/>
            <scheme val="minor"/>
          </rPr>
          <t>======
ID#AAABjx7qNZs
    (2025-05-21 11:33:23)
Alice:11/14電文通知匯入USD1676 沖PI-20191114002 USD1676 待銀行水單沖帳</t>
        </r>
      </text>
    </comment>
    <comment ref="J979" authorId="0" shapeId="0" xr:uid="{54EF20EF-1257-CA49-8DD1-BEFF7DA83065}">
      <text>
        <r>
          <rPr>
            <sz val="10"/>
            <color rgb="FF000000"/>
            <rFont val="Aptos Narrow"/>
            <scheme val="minor"/>
          </rPr>
          <t>======
ID#AAABjx7qOS4
    (2025-05-21 11:33:24)
客人自取</t>
        </r>
      </text>
    </comment>
    <comment ref="K979" authorId="0" shapeId="0" xr:uid="{61911EE9-AE19-C443-9F60-A8335C5EC75A}">
      <text>
        <r>
          <rPr>
            <sz val="10"/>
            <color rgb="FF000000"/>
            <rFont val="Aptos Narrow"/>
            <scheme val="minor"/>
          </rPr>
          <t>======
ID#AAABj82dpFk
    (2025-05-21 11:33:23)
1114 cathy 客人指定出貨時間</t>
        </r>
      </text>
    </comment>
    <comment ref="D980" authorId="0" shapeId="0" xr:uid="{3A8FDFFF-12E3-0443-8287-394FC9928743}">
      <text>
        <r>
          <rPr>
            <sz val="10"/>
            <color rgb="FF000000"/>
            <rFont val="Aptos Narrow"/>
            <scheme val="minor"/>
          </rPr>
          <t>======
ID#AAABjx7qQwI
    (2025-05-21 11:33:25)
1114 Cathy:請Yvonne 下單
1119 Cathy: 客人告知取消此項，已與研華amy 告知</t>
        </r>
      </text>
    </comment>
    <comment ref="H980" authorId="0" shapeId="0" xr:uid="{A356E933-D76B-3E44-B2CD-02308CB521F4}">
      <text>
        <r>
          <rPr>
            <sz val="10"/>
            <color rgb="FF000000"/>
            <rFont val="Aptos Narrow"/>
            <scheme val="minor"/>
          </rPr>
          <t>======
ID#AAABjx7qSlg
    (2025-05-21 11:33:26)
Alice:11/14電文通知匯入USD1676 沖PI-20191114002 USD1676 待銀行水單沖帳</t>
        </r>
      </text>
    </comment>
    <comment ref="J980" authorId="0" shapeId="0" xr:uid="{6682A97C-2A78-3C44-8390-79A24989EE53}">
      <text>
        <r>
          <rPr>
            <sz val="10"/>
            <color rgb="FF000000"/>
            <rFont val="Aptos Narrow"/>
            <scheme val="minor"/>
          </rPr>
          <t>======
ID#AAABjx7qQZw
    (2025-05-21 11:33:25)
客人自取</t>
        </r>
      </text>
    </comment>
    <comment ref="K980" authorId="0" shapeId="0" xr:uid="{6A287C1B-307C-814B-B1E7-7CB8E6405D58}">
      <text>
        <r>
          <rPr>
            <sz val="10"/>
            <color rgb="FF000000"/>
            <rFont val="Aptos Narrow"/>
            <scheme val="minor"/>
          </rPr>
          <t>======
ID#AAABjx7qSd0
    (2025-05-21 11:33:26)
1114 cathy 客人指定出貨時間</t>
        </r>
      </text>
    </comment>
    <comment ref="D981" authorId="0" shapeId="0" xr:uid="{AD1EF223-6A40-2E41-B88D-6B01008C2344}">
      <text>
        <r>
          <rPr>
            <sz val="10"/>
            <color rgb="FF000000"/>
            <rFont val="Aptos Narrow"/>
            <scheme val="minor"/>
          </rPr>
          <t>======
ID#AAABjx7qUxw
    (2025-05-21 11:33:26)
1114 Cathy:請Yvonne 下單</t>
        </r>
      </text>
    </comment>
    <comment ref="H981" authorId="0" shapeId="0" xr:uid="{2284D2C0-025C-DC4C-90E8-813125F9142F}">
      <text>
        <r>
          <rPr>
            <sz val="10"/>
            <color rgb="FF000000"/>
            <rFont val="Aptos Narrow"/>
            <scheme val="minor"/>
          </rPr>
          <t>======
ID#AAABjx7qU2o
    (2025-05-21 11:33:26)
Alice:11/14電文通知匯入USD1676 沖PI-20191114002 USD1676 待銀行水單沖帳</t>
        </r>
      </text>
    </comment>
    <comment ref="J981" authorId="0" shapeId="0" xr:uid="{24F76F31-ED6E-074D-95F8-57726C94A065}">
      <text>
        <r>
          <rPr>
            <sz val="10"/>
            <color rgb="FF000000"/>
            <rFont val="Aptos Narrow"/>
            <scheme val="minor"/>
          </rPr>
          <t>======
ID#AAABjx7qMvc
    (2025-05-21 11:33:23)
客人自取</t>
        </r>
      </text>
    </comment>
    <comment ref="H982" authorId="0" shapeId="0" xr:uid="{60116AA8-98D2-E54D-B9B8-9092F88D3B28}">
      <text>
        <r>
          <rPr>
            <sz val="10"/>
            <color rgb="FF000000"/>
            <rFont val="Aptos Narrow"/>
            <scheme val="minor"/>
          </rPr>
          <t>======
ID#AAABjx7qSsA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H983" authorId="0" shapeId="0" xr:uid="{0BDBABFA-D068-0B48-98C5-3CB9BFAF435F}">
      <text>
        <r>
          <rPr>
            <sz val="10"/>
            <color rgb="FF000000"/>
            <rFont val="Aptos Narrow"/>
            <scheme val="minor"/>
          </rPr>
          <t>======
ID#AAABjx7qNV4
    (2025-05-21 11:33:23)
ALICE:1/30一銀收到KH匯入USD2352(內含手續費USD26.62)沖PI-20191115001 USD709+PI-20191115002 USD75+PI-20191120002 USD150+PI-20191123002 USD870+PI-20191224001 USD411+PI-20191216001 USD137)</t>
        </r>
      </text>
    </comment>
    <comment ref="D984" authorId="0" shapeId="0" xr:uid="{F8BDB1D5-1814-B342-88B7-85DCFD3B335D}">
      <text>
        <r>
          <rPr>
            <sz val="10"/>
            <color rgb="FF000000"/>
            <rFont val="Aptos Narrow"/>
            <scheme val="minor"/>
          </rPr>
          <t>======
ID#AAABjx7qNNo
    (2025-05-21 11:33:23)
CATHY: 20191119 客人新增項目 
11/19 請chloe 下單</t>
        </r>
      </text>
    </comment>
    <comment ref="H984" authorId="0" shapeId="0" xr:uid="{358B9DAC-BC31-2B4C-975F-997DCB33A49E}">
      <text>
        <r>
          <rPr>
            <sz val="10"/>
            <color rgb="FF000000"/>
            <rFont val="Aptos Narrow"/>
            <scheme val="minor"/>
          </rPr>
          <t>======
ID#AAABjx7qNb0
    (2025-05-21 11:33:23)
Alice:11/14電文通知匯入USD1676 沖PI-20191114002 USD1676 待銀行水單沖帳</t>
        </r>
      </text>
    </comment>
    <comment ref="J984" authorId="0" shapeId="0" xr:uid="{74E80FB0-9FE3-7344-BD25-8B2289F5B7ED}">
      <text>
        <r>
          <rPr>
            <sz val="10"/>
            <color rgb="FF000000"/>
            <rFont val="Aptos Narrow"/>
            <scheme val="minor"/>
          </rPr>
          <t>======
ID#AAABjx7qTEQ
    (2025-05-21 11:33:26)
客人自取</t>
        </r>
      </text>
    </comment>
    <comment ref="K984" authorId="0" shapeId="0" xr:uid="{4246036D-274D-EF4D-A25A-0D846EEB6BD7}">
      <text>
        <r>
          <rPr>
            <sz val="10"/>
            <color rgb="FF000000"/>
            <rFont val="Aptos Narrow"/>
            <scheme val="minor"/>
          </rPr>
          <t>======
ID#AAABjx7qPkk
    (2025-05-21 11:33:24)
1114 cathy 客人指定出貨時間</t>
        </r>
      </text>
    </comment>
    <comment ref="D985" authorId="0" shapeId="0" xr:uid="{FBFCAF16-77B0-5343-BA10-428D9C98DC2A}">
      <text>
        <r>
          <rPr>
            <sz val="10"/>
            <color rgb="FF000000"/>
            <rFont val="Aptos Narrow"/>
            <scheme val="minor"/>
          </rPr>
          <t>======
ID#AAABjx7qWbQ
    (2025-05-21 11:33:27)
CATHY: 20191119 客人新增項目 
11/19 請chloe 下單</t>
        </r>
      </text>
    </comment>
    <comment ref="H985" authorId="0" shapeId="0" xr:uid="{E5F0F24F-7813-4B4E-B6A6-6C85381A358C}">
      <text>
        <r>
          <rPr>
            <sz val="10"/>
            <color rgb="FF000000"/>
            <rFont val="Aptos Narrow"/>
            <scheme val="minor"/>
          </rPr>
          <t>======
ID#AAABjx7qNaY
    (2025-05-21 11:33:23)
Alice:11/14電文通知匯入USD1676 沖PI-20191114002 USD1676 待銀行水單沖帳</t>
        </r>
      </text>
    </comment>
    <comment ref="J985" authorId="0" shapeId="0" xr:uid="{BC419C5A-E133-6748-9FD3-7174399D2437}">
      <text>
        <r>
          <rPr>
            <sz val="10"/>
            <color rgb="FF000000"/>
            <rFont val="Aptos Narrow"/>
            <scheme val="minor"/>
          </rPr>
          <t>======
ID#AAABjx7qSpE
    (2025-05-21 11:33:26)
客人自取</t>
        </r>
      </text>
    </comment>
    <comment ref="K985" authorId="0" shapeId="0" xr:uid="{3DE1AE38-3529-7647-9148-A556329056A3}">
      <text>
        <r>
          <rPr>
            <sz val="10"/>
            <color rgb="FF000000"/>
            <rFont val="Aptos Narrow"/>
            <scheme val="minor"/>
          </rPr>
          <t>======
ID#AAABjx7qWBk
    (2025-05-21 11:33:27)
1114 cathy 客人指定出貨時間</t>
        </r>
      </text>
    </comment>
    <comment ref="D986" authorId="0" shapeId="0" xr:uid="{503871C9-3BCD-8F40-BA85-8857A9198068}">
      <text>
        <r>
          <rPr>
            <sz val="10"/>
            <color rgb="FF000000"/>
            <rFont val="Aptos Narrow"/>
            <scheme val="minor"/>
          </rPr>
          <t>======
ID#AAABjx7qNMY
    (2025-05-21 11:33:23)
CATHY: 20191119 客人新增項目 
11/19 請chloe 下單</t>
        </r>
      </text>
    </comment>
    <comment ref="H986" authorId="0" shapeId="0" xr:uid="{9A92EC8F-3CF9-1848-882F-3FB57A5DF7E6}">
      <text>
        <r>
          <rPr>
            <sz val="10"/>
            <color rgb="FF000000"/>
            <rFont val="Aptos Narrow"/>
            <scheme val="minor"/>
          </rPr>
          <t>======
ID#AAABjx7qRC4
    (2025-05-21 11:33:25)
Alice:11/14電文通知匯入USD1676 沖PI-20191114002 USD1676 待銀行水單沖帳</t>
        </r>
      </text>
    </comment>
    <comment ref="J986" authorId="0" shapeId="0" xr:uid="{9860DFB5-3C50-BC4B-9E3E-863C0F080270}">
      <text>
        <r>
          <rPr>
            <sz val="10"/>
            <color rgb="FF000000"/>
            <rFont val="Aptos Narrow"/>
            <scheme val="minor"/>
          </rPr>
          <t>======
ID#AAABjx7qWQE
    (2025-05-21 11:33:27)
客人自取</t>
        </r>
      </text>
    </comment>
    <comment ref="K986" authorId="0" shapeId="0" xr:uid="{C728E4F5-8212-5B4F-9881-C67F503A0A2F}">
      <text>
        <r>
          <rPr>
            <sz val="10"/>
            <color rgb="FF000000"/>
            <rFont val="Aptos Narrow"/>
            <scheme val="minor"/>
          </rPr>
          <t>======
ID#AAABjx7qOEI
    (2025-05-21 11:33:24)
1114 cathy 客人指定出貨時間</t>
        </r>
      </text>
    </comment>
    <comment ref="D987" authorId="0" shapeId="0" xr:uid="{1C2147F0-5EF3-9B46-B76B-97D6E99F0159}">
      <text>
        <r>
          <rPr>
            <sz val="10"/>
            <color rgb="FF000000"/>
            <rFont val="Aptos Narrow"/>
            <scheme val="minor"/>
          </rPr>
          <t>======
ID#AAABjx7qRmI
    (2025-05-21 11:33:25)
cathy: 11/19請chloe 下單</t>
        </r>
      </text>
    </comment>
    <comment ref="E987" authorId="0" shapeId="0" xr:uid="{2561435A-7866-334A-9A3E-5A96A8D167C0}">
      <text>
        <r>
          <rPr>
            <sz val="10"/>
            <color rgb="FF000000"/>
            <rFont val="Aptos Narrow"/>
            <scheme val="minor"/>
          </rPr>
          <t>======
ID#AAABjx7qPP4
    (2025-05-21 11:33:24)
w/o adapter</t>
        </r>
      </text>
    </comment>
    <comment ref="H987" authorId="0" shapeId="0" xr:uid="{5F5C6D04-0591-BD4B-9648-4D416851F4AC}">
      <text>
        <r>
          <rPr>
            <sz val="10"/>
            <color rgb="FF000000"/>
            <rFont val="Aptos Narrow"/>
            <scheme val="minor"/>
          </rPr>
          <t>======
ID#AAABjx7qPGY
    (2025-05-21 11:33:24)
ALICE:11/21一銀匯入USD1305(含銀行手續費)沖PI-20191119001 USD1305</t>
        </r>
      </text>
    </comment>
    <comment ref="J987" authorId="0" shapeId="0" xr:uid="{99A45552-1A44-CE41-8E8F-F8DEB827C154}">
      <text>
        <r>
          <rPr>
            <sz val="10"/>
            <color rgb="FF000000"/>
            <rFont val="Aptos Narrow"/>
            <scheme val="minor"/>
          </rPr>
          <t>======
ID#AAABjx7qQPk
    (2025-05-21 11:33:25)
DHL Account Number : 956287207 for Freight ( AVIHS Technologies )</t>
        </r>
      </text>
    </comment>
    <comment ref="D988" authorId="0" shapeId="0" xr:uid="{FAC85799-6FE1-3345-A476-148B0B310F22}">
      <text>
        <r>
          <rPr>
            <sz val="10"/>
            <color rgb="FF000000"/>
            <rFont val="Aptos Narrow"/>
            <scheme val="minor"/>
          </rPr>
          <t>======
ID#AAABjx7qTMU
    (2025-05-21 11:33:26)
cathy: 11/19請chloe 下單</t>
        </r>
      </text>
    </comment>
    <comment ref="H988" authorId="0" shapeId="0" xr:uid="{DE84C1E6-560D-4340-BACC-239F0AFF1E40}">
      <text>
        <r>
          <rPr>
            <sz val="10"/>
            <color rgb="FF000000"/>
            <rFont val="Aptos Narrow"/>
            <scheme val="minor"/>
          </rPr>
          <t>======
ID#AAABjx7qQr8
    (2025-05-21 11:33:25)
ALICE:11/21一銀匯入USD1305(含銀行手續費)沖PI-20191119001 USD1305</t>
        </r>
      </text>
    </comment>
    <comment ref="J988" authorId="0" shapeId="0" xr:uid="{C76369E3-6394-8644-9DAB-9273DD61C5B2}">
      <text>
        <r>
          <rPr>
            <sz val="10"/>
            <color rgb="FF000000"/>
            <rFont val="Aptos Narrow"/>
            <scheme val="minor"/>
          </rPr>
          <t>======
ID#AAABjx7qQiY
    (2025-05-21 11:33:25)
DHL Account Number : 956287207 for Freight ( AVIHS Technologies )</t>
        </r>
      </text>
    </comment>
    <comment ref="E989" authorId="0" shapeId="0" xr:uid="{0636BC10-86F9-304F-9E1D-5132DE14C0CA}">
      <text>
        <r>
          <rPr>
            <sz val="10"/>
            <color rgb="FF000000"/>
            <rFont val="Aptos Narrow"/>
            <scheme val="minor"/>
          </rPr>
          <t>======
ID#AAABjx7qViY
    (2025-05-21 11:33:27)
搭配歐規電源</t>
        </r>
      </text>
    </comment>
    <comment ref="H989" authorId="0" shapeId="0" xr:uid="{42A06F16-084F-C440-B62B-82D5E4454407}">
      <text>
        <r>
          <rPr>
            <sz val="10"/>
            <color rgb="FF000000"/>
            <rFont val="Aptos Narrow"/>
            <scheme val="minor"/>
          </rPr>
          <t>======
ID#AAABjx7qR7o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Q989" authorId="0" shapeId="0" xr:uid="{DCC75F23-90B7-DE41-9EEC-0519FEF0D72F}">
      <text>
        <r>
          <rPr>
            <sz val="10"/>
            <color rgb="FF000000"/>
            <rFont val="Aptos Narrow"/>
            <scheme val="minor"/>
          </rPr>
          <t>======
ID#AAABjx7qThc
    (2025-05-21 11:33:26)
國外下單(不含稅)</t>
        </r>
      </text>
    </comment>
    <comment ref="U989" authorId="0" shapeId="0" xr:uid="{7A0C3092-A451-B74C-A047-BF5A748F83B8}">
      <text>
        <r>
          <rPr>
            <sz val="10"/>
            <color rgb="FF000000"/>
            <rFont val="Aptos Narrow"/>
            <scheme val="minor"/>
          </rPr>
          <t>======
ID#AAABjx7qV8g
    (2025-05-21 11:33:27)
含手續費+郵電費共1000</t>
        </r>
      </text>
    </comment>
    <comment ref="H990" authorId="0" shapeId="0" xr:uid="{671FFC38-F9F5-5F41-8E4C-70B88421705F}">
      <text>
        <r>
          <rPr>
            <sz val="10"/>
            <color rgb="FF000000"/>
            <rFont val="Aptos Narrow"/>
            <scheme val="minor"/>
          </rPr>
          <t>======
ID#AAABjx7qVKA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  </r>
      </text>
    </comment>
    <comment ref="H991" authorId="0" shapeId="0" xr:uid="{192F35CD-668B-A54A-8317-BE91E0702FF1}">
      <text>
        <r>
          <rPr>
            <sz val="10"/>
            <color rgb="FF000000"/>
            <rFont val="Aptos Narrow"/>
            <scheme val="minor"/>
          </rPr>
          <t>======
ID#AAABjx7qS5w
    (2025-05-21 11:33:26)
在此輸入
12/12-因PI-20191112002原訂單總額USD4818後來改價為USD4686故多收的USD132拿來沖PI-20191122001 USD132 故USD61中餘尚USD44未收
12/25老大mail未收usd44直接手續費作掉沖銷</t>
        </r>
      </text>
    </comment>
    <comment ref="G992" authorId="0" shapeId="0" xr:uid="{3220A91B-DFDC-1F4B-AD54-47E7DE781A74}">
      <text>
        <r>
          <rPr>
            <sz val="10"/>
            <color rgb="FF000000"/>
            <rFont val="Aptos Narrow"/>
            <scheme val="minor"/>
          </rPr>
          <t>======
ID#AAABjx7qQmk
    (2025-05-21 11:33:25)
190718 Tammy: w/5%</t>
        </r>
      </text>
    </comment>
    <comment ref="H992" authorId="0" shapeId="0" xr:uid="{7BE79C37-4FEC-534D-8472-8A3867350E69}">
      <text>
        <r>
          <rPr>
            <sz val="10"/>
            <color rgb="FF000000"/>
            <rFont val="Aptos Narrow"/>
            <scheme val="minor"/>
          </rPr>
          <t>======
ID#AAABjx7qPyE
    (2025-05-21 11:33:24)
12/30-第一銀行收款NT43191</t>
        </r>
      </text>
    </comment>
    <comment ref="H993" authorId="0" shapeId="0" xr:uid="{662FBAD4-F08D-9D44-9E24-DE00116298A9}">
      <text>
        <r>
          <rPr>
            <sz val="10"/>
            <color rgb="FF000000"/>
            <rFont val="Aptos Narrow"/>
            <scheme val="minor"/>
          </rPr>
          <t>======
ID#AAABjx7qVGs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H994" authorId="0" shapeId="0" xr:uid="{67BDE0A4-296D-5F43-8F75-3C37141B4D8D}">
      <text>
        <r>
          <rPr>
            <sz val="10"/>
            <color rgb="FF000000"/>
            <rFont val="Aptos Narrow"/>
            <scheme val="minor"/>
          </rPr>
          <t>======
ID#AAABjx7qOYk
    (2025-05-21 11:33:24)
ALICE:1/30一銀收到KH匯入USD2352(內含手續費USD26.62)沖PI-20191115001 USD709+PI-20191115002 USD75+PI-20191120002 USD150+PI-20191123002 USD870+PI-20191224001 USD411+PI-20191216001 USD137)</t>
        </r>
      </text>
    </comment>
    <comment ref="H995" authorId="0" shapeId="0" xr:uid="{88D4954B-96A3-0240-8C28-B90672F295FF}">
      <text>
        <r>
          <rPr>
            <sz val="10"/>
            <color rgb="FF000000"/>
            <rFont val="Aptos Narrow"/>
            <scheme val="minor"/>
          </rPr>
          <t>======
ID#AAABjx7qM6Y
    (2025-05-21 11:33:23)
ALICE:2020/01/07合庫NT匯入NT37761沖PI-20191125001 NT16007+PI-20191001A NT21784(147153) 故PI-20191001A尚餘NT125369未收</t>
        </r>
      </text>
    </comment>
    <comment ref="E996" authorId="0" shapeId="0" xr:uid="{F78CFEA4-357A-CB4B-8871-EEBDA0DB3776}">
      <text>
        <r>
          <rPr>
            <sz val="10"/>
            <color rgb="FF000000"/>
            <rFont val="Aptos Narrow"/>
            <scheme val="minor"/>
          </rPr>
          <t>======
ID#AAABjx7qRhk
    (2025-05-21 11:33:25)
191128 內含的CBL-M25M9x2-50,要請Bank依客人的pin define重工</t>
        </r>
      </text>
    </comment>
    <comment ref="H996" authorId="0" shapeId="0" xr:uid="{8CA15842-9FF2-7E49-B3BD-855562E000F1}">
      <text>
        <r>
          <rPr>
            <sz val="10"/>
            <color rgb="FF000000"/>
            <rFont val="Aptos Narrow"/>
            <scheme val="minor"/>
          </rPr>
          <t>======
ID#AAABjx7qROQ
    (2025-05-21 11:33:25)
ALICE:1/20-第一USD收款USD1308(手續費0)沖PI-20191203001 USD77+PI-20191126001 USD1231 總計USD1308元整</t>
        </r>
      </text>
    </comment>
    <comment ref="M996" authorId="0" shapeId="0" xr:uid="{2CB512E8-5F75-544C-B8EA-58C03E848CE8}">
      <text>
        <r>
          <rPr>
            <sz val="10"/>
            <color rgb="FF000000"/>
            <rFont val="Aptos Narrow"/>
            <scheme val="minor"/>
          </rPr>
          <t>======
ID#AAABjx7qSs8
    (2025-05-21 11:33:26)
191128 內含的CBL-M25M9x2-50,要請Bank依客人的pin define重工
1206yvonne: 到貨已交給BANK。</t>
        </r>
      </text>
    </comment>
    <comment ref="H997" authorId="0" shapeId="0" xr:uid="{75228F91-F987-AD4B-BD93-1282C872FE83}">
      <text>
        <r>
          <rPr>
            <sz val="10"/>
            <color rgb="FF000000"/>
            <rFont val="Aptos Narrow"/>
            <scheme val="minor"/>
          </rPr>
          <t>======
ID#AAABjx7qR7Y
    (2025-05-21 11:33:25)
ALICE:1/20-第一USD收款USD1308(手續費0)沖PI-20191203001 USD77+PI-20191126001 USD1231 總計USD1308元整</t>
        </r>
      </text>
    </comment>
    <comment ref="H998" authorId="0" shapeId="0" xr:uid="{42BAB7D2-A698-324E-99C6-4CAAA1192468}">
      <text>
        <r>
          <rPr>
            <sz val="10"/>
            <color rgb="FF000000"/>
            <rFont val="Aptos Narrow"/>
            <scheme val="minor"/>
          </rPr>
          <t>======
ID#AAABjx7qOTI
    (2025-05-21 11:33:24)
ALICE:1/20-第一USD收款USD1308(手續費0)沖PI-20191203001 USD77+PI-20191126001 USD1231 總計USD1308元整</t>
        </r>
      </text>
    </comment>
    <comment ref="H999" authorId="0" shapeId="0" xr:uid="{83E586E7-12E5-E844-8DE1-9CC2772726DD}">
      <text>
        <r>
          <rPr>
            <sz val="10"/>
            <color rgb="FF000000"/>
            <rFont val="Aptos Narrow"/>
            <scheme val="minor"/>
          </rPr>
          <t>======
ID#AAABjx7qRHE
    (2025-05-21 11:33:25)
ALICE:1/20-第一USD收款USD1308(手續費0)沖PI-20191203001 USD77+PI-20191126001 USD1231 總計USD1308元整</t>
        </r>
      </text>
    </comment>
    <comment ref="H1000" authorId="0" shapeId="0" xr:uid="{0BE9CA74-A128-CE49-9210-0326C3DEC389}">
      <text>
        <r>
          <rPr>
            <sz val="10"/>
            <color rgb="FF000000"/>
            <rFont val="Aptos Narrow"/>
            <scheme val="minor"/>
          </rPr>
          <t>======
ID#AAABjx7qVGE
    (2025-05-21 11:33:27)
ALICE:1/20-第一USD收款USD1308(手續費0)沖PI-20191203001 USD77+PI-20191126001 USD1231 總計USD1308元整</t>
        </r>
      </text>
    </comment>
    <comment ref="H1001" authorId="0" shapeId="0" xr:uid="{18FB30D5-D596-9949-A9ED-2F24305B7C31}">
      <text>
        <r>
          <rPr>
            <sz val="10"/>
            <color rgb="FF000000"/>
            <rFont val="Aptos Narrow"/>
            <scheme val="minor"/>
          </rPr>
          <t>======
ID#AAABjx7qOgQ
    (2025-05-21 11:33:24)
ALICE:1/20-第一USD收款USD1308(手續費0)沖PI-20191203001 USD77+PI-20191126001 USD1231 總計USD1308元整</t>
        </r>
      </text>
    </comment>
    <comment ref="E1002" authorId="0" shapeId="0" xr:uid="{08CF0017-D2D0-4045-8815-27200D8F747F}">
      <text>
        <r>
          <rPr>
            <sz val="10"/>
            <color rgb="FF000000"/>
            <rFont val="Aptos Narrow"/>
            <scheme val="minor"/>
          </rPr>
          <t>======
ID#AAABjx7qO6s
    (2025-05-21 11:33:24)
0313 chloe: 戎克備有庫存，見半成品庫存表</t>
        </r>
      </text>
    </comment>
    <comment ref="H1002" authorId="0" shapeId="0" xr:uid="{48C77EB2-5FAC-594F-963C-00399E9800D0}">
      <text>
        <r>
          <rPr>
            <sz val="10"/>
            <color rgb="FF000000"/>
            <rFont val="Aptos Narrow"/>
            <scheme val="minor"/>
          </rPr>
          <t>======
ID#AAABjx7qOnY
    (2025-05-21 11:33:24)
ALICE:1/20-第一USD收款USD1308(手續費0)沖PI-20191203001 USD77+PI-20191126001 USD1231 總計USD1308元整</t>
        </r>
      </text>
    </comment>
    <comment ref="H1003" authorId="0" shapeId="0" xr:uid="{785B96DE-C24F-6244-B572-8C4E3B39CF5D}">
      <text>
        <r>
          <rPr>
            <sz val="10"/>
            <color rgb="FF000000"/>
            <rFont val="Aptos Narrow"/>
            <scheme val="minor"/>
          </rPr>
          <t>======
ID#AAABjx7qVas
    (2025-05-21 11:33:27)
ALICE:1/20-第一USD收款USD1308(手續費0)沖PI-20191203001 USD77+PI-20191126001 USD1231 總計USD1308元整</t>
        </r>
      </text>
    </comment>
    <comment ref="H1004" authorId="0" shapeId="0" xr:uid="{9901C698-1DF4-D14F-93A7-0DFB38CC431F}">
      <text>
        <r>
          <rPr>
            <sz val="10"/>
            <color rgb="FF000000"/>
            <rFont val="Aptos Narrow"/>
            <scheme val="minor"/>
          </rPr>
          <t>======
ID#AAABjx7qRdY
    (2025-05-21 11:33:25)
ALICE:1/20-第一USD收款USD1308(手續費0)沖PI-20191203001 USD77+PI-20191126001 USD1231 總計USD1308元整</t>
        </r>
      </text>
    </comment>
    <comment ref="H1005" authorId="0" shapeId="0" xr:uid="{3BDD89BA-E47E-0842-A483-08F6DB219BC2}">
      <text>
        <r>
          <rPr>
            <sz val="10"/>
            <color rgb="FF000000"/>
            <rFont val="Aptos Narrow"/>
            <scheme val="minor"/>
          </rPr>
          <t>======
ID#AAABjx7qS0Q
    (2025-05-21 11:33:26)
ALICE:2/24一銀收到USD12104沖PI-20191127001 USD6784+PI-20191104001 USD2014+PI-20191213001 USD3306</t>
        </r>
      </text>
    </comment>
    <comment ref="H1006" authorId="0" shapeId="0" xr:uid="{ECA1AD20-45FC-AD4B-92F6-98CE0AF59438}">
      <text>
        <r>
          <rPr>
            <sz val="10"/>
            <color rgb="FF000000"/>
            <rFont val="Aptos Narrow"/>
            <scheme val="minor"/>
          </rPr>
          <t>======
ID#AAABjx7qQMk
    (2025-05-21 11:33:25)
ALICE:2/24一銀收到USD12104沖PI-20191127001 USD6784+PI-20191104001 USD2014+PI-20191213001 USD3306</t>
        </r>
      </text>
    </comment>
    <comment ref="H1007" authorId="0" shapeId="0" xr:uid="{593F4B24-8233-4C4D-B016-B71CC5594CD3}">
      <text>
        <r>
          <rPr>
            <sz val="10"/>
            <color rgb="FF000000"/>
            <rFont val="Aptos Narrow"/>
            <scheme val="minor"/>
          </rPr>
          <t>======
ID#AAABjx7qU8Q
    (2025-05-21 11:33:27)
ALICE:2/24一銀收到USD12104沖PI-20191127001 USD6784+PI-20191104001 USD2014+PI-20191213001 USD3306</t>
        </r>
      </text>
    </comment>
    <comment ref="H1008" authorId="0" shapeId="0" xr:uid="{179F6FFB-9B60-6C49-AD62-E998C6A8A82F}">
      <text>
        <r>
          <rPr>
            <sz val="10"/>
            <color rgb="FF000000"/>
            <rFont val="Aptos Narrow"/>
            <scheme val="minor"/>
          </rPr>
          <t>======
ID#AAABjx7qVZ4
    (2025-05-21 11:33:27)
ALICE:2/24一銀收到USD12104沖PI-20191127001 USD6784+PI-20191104001 USD2014+PI-20191213001 USD3306</t>
        </r>
      </text>
    </comment>
    <comment ref="H1009" authorId="0" shapeId="0" xr:uid="{EEF9DB71-E803-1D49-B005-F614EC8459EE}">
      <text>
        <r>
          <rPr>
            <sz val="10"/>
            <color rgb="FF000000"/>
            <rFont val="Aptos Narrow"/>
            <scheme val="minor"/>
          </rPr>
          <t>======
ID#AAABjx7qVMI
    (2025-05-21 11:33:27)
ALICE:2/24一銀收到USD12104沖PI-20191127001 USD6784+PI-20191104001 USD2014+PI-20191213001 USD3306</t>
        </r>
      </text>
    </comment>
    <comment ref="E1010" authorId="0" shapeId="0" xr:uid="{B149B767-A80A-344E-B0CF-329ED29E6044}">
      <text>
        <r>
          <rPr>
            <sz val="10"/>
            <color rgb="FF000000"/>
            <rFont val="Aptos Narrow"/>
            <scheme val="minor"/>
          </rPr>
          <t>======
ID#AAABjx7qO9A
    (2025-05-21 11:33:24)
11/27 通知客人RMA品送貨地址不完整，酌收費NTD 389</t>
        </r>
      </text>
    </comment>
    <comment ref="H1010" authorId="0" shapeId="0" xr:uid="{12C691F1-1BC2-2549-8B37-7A23230FA0C7}">
      <text>
        <r>
          <rPr>
            <sz val="10"/>
            <color rgb="FF000000"/>
            <rFont val="Aptos Narrow"/>
            <scheme val="minor"/>
          </rPr>
          <t>======
ID#AAABjx7qRHk
    (2025-05-21 11:33:25)
ALICE:1/7第一銀行USD3228 沖PI-20191007006 1501+PI-20191007007 USD1727+PI-20191128002 USD20總沖USD3248</t>
        </r>
      </text>
    </comment>
    <comment ref="D1017" authorId="0" shapeId="0" xr:uid="{40D91E60-FBBB-5846-8553-A4058CC3EEA7}">
      <text>
        <r>
          <rPr>
            <sz val="10"/>
            <color rgb="FF000000"/>
            <rFont val="Aptos Narrow"/>
            <scheme val="minor"/>
          </rPr>
          <t>======
ID#AAABjx7qSTc
    (2025-05-21 11:33:26)
San: 只附3M 膠給客戶就好. 因為膠帶是要貼在LCD上. 非Touch</t>
        </r>
      </text>
    </comment>
    <comment ref="H1017" authorId="0" shapeId="0" xr:uid="{792ECE92-DE06-4E41-B2CD-5D43D393B467}">
      <text>
        <r>
          <rPr>
            <sz val="10"/>
            <color rgb="FF000000"/>
            <rFont val="Aptos Narrow"/>
            <scheme val="minor"/>
          </rPr>
          <t>======
ID#AAABjx7qTd4
    (2025-05-21 11:33:26)
ALICE:1/20-第一USD收款USD1308(手續費0)沖PI-20191203001 USD77+PI-20191126001 USD1231 總計USD1308元整</t>
        </r>
      </text>
    </comment>
    <comment ref="H1018" authorId="0" shapeId="0" xr:uid="{A70670F2-8FDE-FC41-A1D2-D1466F52F36B}">
      <text>
        <r>
          <rPr>
            <sz val="10"/>
            <color rgb="FF000000"/>
            <rFont val="Aptos Narrow"/>
            <scheme val="minor"/>
          </rPr>
          <t>======
ID#AAABjx7qVCk
    (2025-05-21 11:33:27)
ALICE:2020/01/08亞郁匯入NT46486沖PI-20191112005 USD270.9+PI-20191205001 USD1169.7+PI-20191211002 USD97.65</t>
        </r>
      </text>
    </comment>
    <comment ref="H1019" authorId="0" shapeId="0" xr:uid="{99324CB5-A8A6-6E49-A412-F2AD64A43960}">
      <text>
        <r>
          <rPr>
            <sz val="10"/>
            <color rgb="FF000000"/>
            <rFont val="Aptos Narrow"/>
            <scheme val="minor"/>
          </rPr>
          <t>======
ID#AAABjx7qTAg
    (2025-05-21 11:33:26)
ALICE:2020/01/08亞郁匯入NT46486沖PI-20191112005 USD270.9+PI-20191205001 USD1169.7+PI-20191211002 USD97.65</t>
        </r>
      </text>
    </comment>
    <comment ref="K1019" authorId="0" shapeId="0" xr:uid="{6C6F4A82-7CC5-6B44-AA7F-97D64BE9DF73}">
      <text>
        <r>
          <rPr>
            <sz val="10"/>
            <color rgb="FF000000"/>
            <rFont val="Aptos Narrow"/>
            <scheme val="minor"/>
          </rPr>
          <t>======
ID#AAABjx7qM1M
    (2025-05-21 11:33:23)
1223yvonne:CHLOE通知送戎克，在寄出給亞郁。</t>
        </r>
      </text>
    </comment>
    <comment ref="E1020" authorId="0" shapeId="0" xr:uid="{27756770-0E6B-4342-8CF1-A28F263F2303}">
      <text>
        <r>
          <rPr>
            <sz val="10"/>
            <color rgb="FF000000"/>
            <rFont val="Aptos Narrow"/>
            <scheme val="minor"/>
          </rPr>
          <t>======
ID#AAABjx7qOWE
    (2025-05-21 11:33:24)
2019年SPS合展</t>
        </r>
      </text>
    </comment>
    <comment ref="G1020" authorId="0" shapeId="0" xr:uid="{4087B58C-B00D-4D48-9ABB-7534A1150660}">
      <text>
        <r>
          <rPr>
            <sz val="10"/>
            <color rgb="FF000000"/>
            <rFont val="Aptos Narrow"/>
            <scheme val="minor"/>
          </rPr>
          <t>======
ID#AAABjx7qQ0A
Amy pass 資料    (2025-05-21 11:33:25)
NTD 19,213 (美金 Rate: 31.57)+ 52 歐 -2pcs 通行證 (rate: 34) NTD 1,768,
TOTAL 向TPM收 NTD21,069</t>
        </r>
      </text>
    </comment>
    <comment ref="H1020" authorId="0" shapeId="0" xr:uid="{229556CA-599B-ED47-A313-C5017E51B571}">
      <text>
        <r>
          <rPr>
            <sz val="10"/>
            <color rgb="FF000000"/>
            <rFont val="Aptos Narrow"/>
            <scheme val="minor"/>
          </rPr>
          <t>======
ID#AAABjx7qR-w
Amy pass 資料    (2025-05-21 11:33:25)
NTD 19,213 (美金 Rate: 31.57)+ 52 歐 -2pcs 通行證 (rate: 34) NTD 1,768,TOTAL NTD21,069
ALICE:12/20-匯入一銀65019+73332沖PI-20191211001+PI-20191213002</t>
        </r>
      </text>
    </comment>
    <comment ref="E1021" authorId="0" shapeId="0" xr:uid="{DE0F3F76-3635-8C4D-A2E0-8925D62E54E3}">
      <text>
        <r>
          <rPr>
            <sz val="10"/>
            <color rgb="FF000000"/>
            <rFont val="Aptos Narrow"/>
            <scheme val="minor"/>
          </rPr>
          <t>======
ID#AAABjx7qUzk
    (2025-05-21 11:33:26)
2019年SPS合展</t>
        </r>
      </text>
    </comment>
    <comment ref="G1021" authorId="0" shapeId="0" xr:uid="{6CE3AF1A-29A0-504A-BE6D-375B0FEA3EE6}">
      <text>
        <r>
          <rPr>
            <sz val="10"/>
            <color rgb="FF000000"/>
            <rFont val="Aptos Narrow"/>
            <scheme val="minor"/>
          </rPr>
          <t>======
ID#AAABjx7qPzU
    (2025-05-21 11:33:24)
TPM收NTD 43,950
出口 (USD rate 34.1)  ,NTD 22,116/34.1=USD 648.56
進口  (USD rate 34.37) , ,NTD 21,834/34.37=USD 635.26</t>
        </r>
      </text>
    </comment>
    <comment ref="H1021" authorId="0" shapeId="0" xr:uid="{BA60AB38-70B5-C34C-A1A1-A612253EFFF6}">
      <text>
        <r>
          <rPr>
            <sz val="10"/>
            <color rgb="FF000000"/>
            <rFont val="Aptos Narrow"/>
            <scheme val="minor"/>
          </rPr>
          <t>======
ID#AAABjx7qPmk
    (2025-05-21 11:33:24)
TPM收NTD 43,950
出口 (USD rate 34.1)  ,NTD 22,116/34.1=USD 648.56
進口  (USD rate 34.37) , ,NTD 21,834/34.37=USD 635.26
ALICE:12/20-匯入一銀65019+73332沖PI-20191211001+PI-20191213002</t>
        </r>
      </text>
    </comment>
    <comment ref="H1022" authorId="0" shapeId="0" xr:uid="{C384EB02-AE66-C44B-A432-14272D33CECD}">
      <text>
        <r>
          <rPr>
            <sz val="10"/>
            <color rgb="FF000000"/>
            <rFont val="Aptos Narrow"/>
            <scheme val="minor"/>
          </rPr>
          <t>======
ID#AAABjx7qTGQ
    (2025-05-21 11:33:26)
ALICE:2020/01/08亞郁匯入NT46486沖PI-20191112005 USD270.9+PI-20191205001 USD1169.7+PI-20191211002 USD97.65</t>
        </r>
      </text>
    </comment>
    <comment ref="K1022" authorId="0" shapeId="0" xr:uid="{D2F9B96E-78E7-0941-AFAB-8F4B4DB967DD}">
      <text>
        <r>
          <rPr>
            <sz val="10"/>
            <color rgb="FF000000"/>
            <rFont val="Aptos Narrow"/>
            <scheme val="minor"/>
          </rPr>
          <t>======
ID#AAABjx7qSdo
    (2025-05-21 11:33:26)
1213 chloe: 通知可能會到一月中出貨</t>
        </r>
      </text>
    </comment>
    <comment ref="M1022" authorId="0" shapeId="0" xr:uid="{24D24683-EA06-E945-8998-C17471CCD4CE}">
      <text>
        <r>
          <rPr>
            <sz val="10"/>
            <color rgb="FF000000"/>
            <rFont val="Aptos Narrow"/>
            <scheme val="minor"/>
          </rPr>
          <t>======
ID#AAABjx7qV1k
    (2025-05-21 11:33:27)
1213 chloe: 通知可能會到一月中出貨</t>
        </r>
      </text>
    </comment>
    <comment ref="H1023" authorId="0" shapeId="0" xr:uid="{4B18B3C9-B283-384F-BE94-FC2DCF0C8D35}">
      <text>
        <r>
          <rPr>
            <sz val="10"/>
            <color rgb="FF000000"/>
            <rFont val="Aptos Narrow"/>
            <scheme val="minor"/>
          </rPr>
          <t>======
ID#AAABjx7qQdo
    (2025-05-21 11:33:25)
ALICE:2/24一銀收到USD12104沖PI-20191127001 USD6784+PI-20191104001 USD2014+PI-20191213001 USD3306</t>
        </r>
      </text>
    </comment>
    <comment ref="H1024" authorId="0" shapeId="0" xr:uid="{3631BB73-21C3-9D43-8FFF-753FE42DEC1B}">
      <text>
        <r>
          <rPr>
            <sz val="10"/>
            <color rgb="FF000000"/>
            <rFont val="Aptos Narrow"/>
            <scheme val="minor"/>
          </rPr>
          <t>======
ID#AAABjx7qWSA
    (2025-05-21 11:33:27)
ALICE:2/24一銀收到USD12104沖PI-20191127001 USD6784+PI-20191104001 USD2014+PI-20191213001 USD3306</t>
        </r>
      </text>
    </comment>
    <comment ref="H1025" authorId="0" shapeId="0" xr:uid="{E909BA01-1B2B-6B48-9D74-1DC3B5D03954}">
      <text>
        <r>
          <rPr>
            <sz val="10"/>
            <color rgb="FF000000"/>
            <rFont val="Aptos Narrow"/>
            <scheme val="minor"/>
          </rPr>
          <t>======
ID#AAABjx7qNtE
    (2025-05-21 11:33:23)
ALICE:2/24一銀收到USD12104沖PI-20191127001 USD6784+PI-20191104001 USD2014+PI-20191213001 USD3306</t>
        </r>
      </text>
    </comment>
    <comment ref="E1026" authorId="0" shapeId="0" xr:uid="{7074CFFB-17F5-434B-90E1-106BC5915C9D}">
      <text>
        <r>
          <rPr>
            <sz val="10"/>
            <color rgb="FF000000"/>
            <rFont val="Aptos Narrow"/>
            <scheme val="minor"/>
          </rPr>
          <t>======
ID#AAABjx7qO_g
    (2025-05-21 11:33:24)
1216yvonne:跟宸曜買線請BANK做好要出貨的線。</t>
        </r>
      </text>
    </comment>
    <comment ref="H1026" authorId="0" shapeId="0" xr:uid="{56C60A40-F326-B046-82EC-9630C2EF43E6}">
      <text>
        <r>
          <rPr>
            <sz val="10"/>
            <color rgb="FF000000"/>
            <rFont val="Aptos Narrow"/>
            <scheme val="minor"/>
          </rPr>
          <t>======
ID#AAABjx7qNMo
    (2025-05-21 11:33:23)
ALICE:2/24一銀收到USD12104沖PI-20191127001 USD6784+PI-20191104001 USD2014+PI-20191213001 USD3306</t>
        </r>
      </text>
    </comment>
    <comment ref="M1026" authorId="0" shapeId="0" xr:uid="{2DDC3775-774F-C040-9FA0-7A9D7D19F7FA}">
      <text>
        <r>
          <rPr>
            <sz val="10"/>
            <color rgb="FF000000"/>
            <rFont val="Aptos Narrow"/>
            <scheme val="minor"/>
          </rPr>
          <t>======
ID#AAABjx7qPbg
    (2025-05-21 11:33:24)
1225YVONNE:已將線交給bank。</t>
        </r>
      </text>
    </comment>
    <comment ref="H1027" authorId="0" shapeId="0" xr:uid="{647891EB-155D-FF4B-B672-0105D2D46E5E}">
      <text>
        <r>
          <rPr>
            <sz val="10"/>
            <color rgb="FF000000"/>
            <rFont val="Aptos Narrow"/>
            <scheme val="minor"/>
          </rPr>
          <t>======
ID#AAABjx7qWV8
    (2025-05-21 11:33:27)
ALICE:2/24一銀收到USD12104沖PI-20191127001 USD6784+PI-20191104001 USD2014+PI-20191213001 USD3306</t>
        </r>
      </text>
    </comment>
    <comment ref="Q1027" authorId="0" shapeId="0" xr:uid="{6DB18CCF-2258-B34D-89DD-9F79A43247F3}">
      <text>
        <r>
          <rPr>
            <sz val="10"/>
            <color rgb="FF000000"/>
            <rFont val="Aptos Narrow"/>
            <scheme val="minor"/>
          </rPr>
          <t>======
ID#AAABjx7qTZM
    (2025-05-21 11:33:26)
廠商 2條樣品贈送，1條購買</t>
        </r>
      </text>
    </comment>
    <comment ref="U1027" authorId="0" shapeId="0" xr:uid="{4F425D0B-08F9-9649-8EE3-A680822A19CF}">
      <text>
        <r>
          <rPr>
            <sz val="10"/>
            <color rgb="FF000000"/>
            <rFont val="Aptos Narrow"/>
            <scheme val="minor"/>
          </rPr>
          <t>======
ID#AAABjx7qRzs
    (2025-05-21 11:33:25)
廠商 2條樣品贈送，1條購買</t>
        </r>
      </text>
    </comment>
    <comment ref="H1028" authorId="0" shapeId="0" xr:uid="{D3980699-30AC-B74E-87A6-9EC87D10CDD3}">
      <text>
        <r>
          <rPr>
            <sz val="10"/>
            <color rgb="FF000000"/>
            <rFont val="Aptos Narrow"/>
            <scheme val="minor"/>
          </rPr>
          <t>======
ID#AAABjx7qNBQ
    (2025-05-21 11:33:23)
ALICE:2/24一銀收到USD12104沖PI-20191127001 USD6784+PI-20191104001 USD2014+PI-20191213001 USD3306</t>
        </r>
      </text>
    </comment>
    <comment ref="H1029" authorId="0" shapeId="0" xr:uid="{3E342524-FEEB-6446-9AF6-9C0E719592AA}">
      <text>
        <r>
          <rPr>
            <sz val="10"/>
            <color rgb="FF000000"/>
            <rFont val="Aptos Narrow"/>
            <scheme val="minor"/>
          </rPr>
          <t>======
ID#AAABjx7qOAk
    (2025-05-21 11:33:24)
ALICE:2/24一銀收到USD12104沖PI-20191127001 USD6784+PI-20191104001 USD2014+PI-20191213001 USD3306</t>
        </r>
      </text>
    </comment>
    <comment ref="E1030" authorId="0" shapeId="0" xr:uid="{CF4FDE16-22D3-FD46-BF7C-67EB92D83407}">
      <text>
        <r>
          <rPr>
            <sz val="10"/>
            <color rgb="FF000000"/>
            <rFont val="Aptos Narrow"/>
            <scheme val="minor"/>
          </rPr>
          <t>======
ID#AAABjx7qQoU
    (2025-05-21 11:33:25)
2020 年 Embedded 攤位費用</t>
        </r>
      </text>
    </comment>
    <comment ref="G1030" authorId="0" shapeId="0" xr:uid="{AA512147-637A-2944-878F-FABC7EADC3BE}">
      <text>
        <r>
          <rPr>
            <sz val="10"/>
            <color rgb="FF000000"/>
            <rFont val="Aptos Narrow"/>
            <scheme val="minor"/>
          </rPr>
          <t>======
ID#AAABjx7qRS8
    (2025-05-21 11:33:25)
12/13
與TPM 實收NTD 73,332 (未稅2000歐元)
chloe 告知當時匯款匯率抓34.92</t>
        </r>
      </text>
    </comment>
    <comment ref="H1030" authorId="0" shapeId="0" xr:uid="{DFD2924C-7478-C444-9DF9-1AE98861EC84}">
      <text>
        <r>
          <rPr>
            <sz val="10"/>
            <color rgb="FF000000"/>
            <rFont val="Aptos Narrow"/>
            <scheme val="minor"/>
          </rPr>
          <t>======
ID#AAABjx7qTMc
    (2025-05-21 11:33:26)
12/13
與TPM 實收NTD 73,332 (未稅2000歐元)
chloe 告知當時匯款匯率抓34.92 
ALICE:12/20-匯入一銀65019+73332沖PI-20191211001+PI-20191213002</t>
        </r>
      </text>
    </comment>
    <comment ref="H1031" authorId="0" shapeId="0" xr:uid="{13C3BDEF-C7DA-E74E-9DF2-A61A7B0625D5}">
      <text>
        <r>
          <rPr>
            <sz val="10"/>
            <color rgb="FF000000"/>
            <rFont val="Aptos Narrow"/>
            <scheme val="minor"/>
          </rPr>
          <t>======
ID#AAABjx7qVKc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D1032" authorId="0" shapeId="0" xr:uid="{4B4C12C9-0FCF-4B4D-8B8D-3B551F737DEF}">
      <text>
        <r>
          <rPr>
            <sz val="10"/>
            <color rgb="FF000000"/>
            <rFont val="Aptos Narrow"/>
            <scheme val="minor"/>
          </rPr>
          <t>======
ID#AAABjx7qVac
    (2025-05-21 11:33:27)
20191218 請Yvonne 下單</t>
        </r>
      </text>
    </comment>
    <comment ref="H1032" authorId="0" shapeId="0" xr:uid="{3BE439C8-370F-EC4F-A44F-48197FBECE06}">
      <text>
        <r>
          <rPr>
            <sz val="10"/>
            <color rgb="FF000000"/>
            <rFont val="Aptos Narrow"/>
            <scheme val="minor"/>
          </rPr>
          <t>======
ID#AAABjx7qQH4
    (2025-05-21 11:33:25)
ALICE:12/24電文通知匯入款USD909(已內含手續費)沖PI20191218001 USD924故尚餘USD15元未收</t>
        </r>
      </text>
    </comment>
    <comment ref="D1033" authorId="0" shapeId="0" xr:uid="{CDD48C21-EF45-2046-B137-930982F0E26D}">
      <text>
        <r>
          <rPr>
            <sz val="10"/>
            <color rgb="FF000000"/>
            <rFont val="Aptos Narrow"/>
            <scheme val="minor"/>
          </rPr>
          <t>======
ID#AAABjx7qRrU
    (2025-05-21 11:33:25)
20191218 請Yvonne 下單</t>
        </r>
      </text>
    </comment>
    <comment ref="H1033" authorId="0" shapeId="0" xr:uid="{2391810A-5DE2-CD45-B5B8-6B199FF27005}">
      <text>
        <r>
          <rPr>
            <sz val="10"/>
            <color rgb="FF000000"/>
            <rFont val="Aptos Narrow"/>
            <scheme val="minor"/>
          </rPr>
          <t>======
ID#AAABjx7qVv0
    (2025-05-21 11:33:27)
ALICE:12/24電文通知匯入款USD909(已內含手續費)沖PI20191218001 USD924故尚餘USD15元未收</t>
        </r>
      </text>
    </comment>
    <comment ref="D1034" authorId="0" shapeId="0" xr:uid="{4B3960A7-6C91-AB4B-AA6A-3C9C0311FBAB}">
      <text>
        <r>
          <rPr>
            <sz val="10"/>
            <color rgb="FF000000"/>
            <rFont val="Aptos Narrow"/>
            <scheme val="minor"/>
          </rPr>
          <t>======
ID#AAABjx7qM2w
    (2025-05-21 11:33:23)
20191218 請Yvonne 下單</t>
        </r>
      </text>
    </comment>
    <comment ref="H1034" authorId="0" shapeId="0" xr:uid="{696ED803-9032-1F48-96D2-FE88B1969D02}">
      <text>
        <r>
          <rPr>
            <sz val="10"/>
            <color rgb="FF000000"/>
            <rFont val="Aptos Narrow"/>
            <scheme val="minor"/>
          </rPr>
          <t>======
ID#AAABjx7qV-A
    (2025-05-21 11:33:27)
ALICE:12/24電文通知匯入款USD909(已內含手續費)沖PI20191218001 USD924故尚餘USD15元未收</t>
        </r>
      </text>
    </comment>
    <comment ref="H1035" authorId="0" shapeId="0" xr:uid="{D30CF2E3-915F-9B44-A505-7A9F6621A620}">
      <text>
        <r>
          <rPr>
            <sz val="10"/>
            <color rgb="FF000000"/>
            <rFont val="Aptos Narrow"/>
            <scheme val="minor"/>
          </rPr>
          <t>======
ID#AAABjx7qScQ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H1036" authorId="0" shapeId="0" xr:uid="{B170A8BE-FC19-754D-8471-59FA3C3CEEA4}">
      <text>
        <r>
          <rPr>
            <sz val="10"/>
            <color rgb="FF000000"/>
            <rFont val="Aptos Narrow"/>
            <scheme val="minor"/>
          </rPr>
          <t>======
ID#AAABjx7qUwo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E1037" authorId="0" shapeId="0" xr:uid="{E9B62420-9104-F640-B870-9DDFA0FBB6C0}">
      <text>
        <r>
          <rPr>
            <sz val="10"/>
            <color rgb="FF000000"/>
            <rFont val="Aptos Narrow"/>
            <scheme val="minor"/>
          </rPr>
          <t>======
ID#AAABjx7qQhk
    (2025-05-21 11:33:25)
換更換鋁框、HDD Tray</t>
        </r>
      </text>
    </comment>
    <comment ref="H1037" authorId="0" shapeId="0" xr:uid="{C5A2CBD1-D087-9040-9077-6F1798F6F3A2}">
      <text>
        <r>
          <rPr>
            <sz val="10"/>
            <color rgb="FF000000"/>
            <rFont val="Aptos Narrow"/>
            <scheme val="minor"/>
          </rPr>
          <t>======
ID#AAABjx7qWBo
    (2025-05-21 11:33:27)
1110 chloe: 銀行通知戎克戶名錯誤，已通知客戶修改電文
1116 chloe:收到銀行通知US$1506</t>
        </r>
      </text>
    </comment>
    <comment ref="H1038" authorId="0" shapeId="0" xr:uid="{750236B4-F7B5-F645-B3A0-42DDA2235B5F}">
      <text>
        <r>
          <rPr>
            <sz val="10"/>
            <color rgb="FF000000"/>
            <rFont val="Aptos Narrow"/>
            <scheme val="minor"/>
          </rPr>
          <t>======
ID#AAABjx7qQfU
    (2025-05-21 11:33:25)
1110 chloe: 銀行通知戎克戶名錯誤，已通知客戶修改電文
1116 chloe:收到銀行通知US$1506</t>
        </r>
      </text>
    </comment>
    <comment ref="G1039" authorId="0" shapeId="0" xr:uid="{EE879482-0E66-B249-848C-E39E99F9E37F}">
      <text>
        <r>
          <rPr>
            <sz val="10"/>
            <color rgb="FF000000"/>
            <rFont val="Aptos Narrow"/>
            <scheme val="minor"/>
          </rPr>
          <t>======
ID#AAABjx7qSWU
    (2025-05-21 11:33:26)
170323 w/ 5%VAT</t>
        </r>
      </text>
    </comment>
    <comment ref="H1039" authorId="0" shapeId="0" xr:uid="{6995C7C3-A188-BA4B-95C8-C8CCAA9F2156}">
      <text>
        <r>
          <rPr>
            <sz val="10"/>
            <color rgb="FF000000"/>
            <rFont val="Aptos Narrow"/>
            <scheme val="minor"/>
          </rPr>
          <t>======
ID#AAABjx7qVV8
    (2025-05-21 11:33:27)
0226 chloe: 收到匯款US$2520</t>
        </r>
      </text>
    </comment>
    <comment ref="K1039" authorId="0" shapeId="0" xr:uid="{E431E054-B8CA-2040-A328-0A0B7D09DDDD}">
      <text>
        <r>
          <rPr>
            <sz val="10"/>
            <color rgb="FF000000"/>
            <rFont val="Aptos Narrow"/>
            <scheme val="minor"/>
          </rPr>
          <t>======
ID#AAABjx7qPu0
    (2025-05-21 11:33:24)
Santiago : 預計20180109</t>
        </r>
      </text>
    </comment>
    <comment ref="H1040" authorId="0" shapeId="0" xr:uid="{9251EED3-172B-BE4D-A800-B532F42E90B3}">
      <text>
        <r>
          <rPr>
            <sz val="10"/>
            <color rgb="FF000000"/>
            <rFont val="Aptos Narrow"/>
            <scheme val="minor"/>
          </rPr>
          <t>======
ID#AAABjx7qP1E
    (2025-05-21 11:33:24)
0306 chloe: 2/1 已收到匯款US$9120</t>
        </r>
      </text>
    </comment>
    <comment ref="M1040" authorId="0" shapeId="0" xr:uid="{38DF3FF1-416F-4047-B15F-BD868AF89F7F}">
      <text>
        <r>
          <rPr>
            <sz val="10"/>
            <color rgb="FF000000"/>
            <rFont val="Aptos Narrow"/>
            <scheme val="minor"/>
          </rPr>
          <t>======
ID#AAABjx7qM2A
    (2025-05-21 11:33:23)
預計12/22到貨</t>
        </r>
      </text>
    </comment>
    <comment ref="H1041" authorId="0" shapeId="0" xr:uid="{E28CFC01-EBBB-B449-AB61-74712F72EF5D}">
      <text>
        <r>
          <rPr>
            <sz val="10"/>
            <color rgb="FF000000"/>
            <rFont val="Aptos Narrow"/>
            <scheme val="minor"/>
          </rPr>
          <t>======
ID#AAABjx7qN8E
    (2025-05-21 11:33:23)
0306 chloe: 2/1 已收到匯款US$9120</t>
        </r>
      </text>
    </comment>
    <comment ref="H1042" authorId="0" shapeId="0" xr:uid="{F0F3B857-7A37-1941-BEFE-3514859C7AD1}">
      <text>
        <r>
          <rPr>
            <sz val="10"/>
            <color rgb="FF000000"/>
            <rFont val="Aptos Narrow"/>
            <scheme val="minor"/>
          </rPr>
          <t>======
ID#AAABjx7qOEs
    (2025-05-21 11:33:24)
0306 chloe: 2/1 已收到匯款US$9120</t>
        </r>
      </text>
    </comment>
    <comment ref="H1043" authorId="0" shapeId="0" xr:uid="{384209C1-8C02-A043-9324-AA3B8301318C}">
      <text>
        <r>
          <rPr>
            <sz val="10"/>
            <color rgb="FF000000"/>
            <rFont val="Aptos Narrow"/>
            <scheme val="minor"/>
          </rPr>
          <t>======
ID#AAABjx7qQHo
    (2025-05-21 11:33:25)
0306 chloe: 2/1 已收到匯款US$9120</t>
        </r>
      </text>
    </comment>
    <comment ref="H1044" authorId="0" shapeId="0" xr:uid="{72FD4801-8E21-AD41-9543-4C059A27F45A}">
      <text>
        <r>
          <rPr>
            <sz val="10"/>
            <color rgb="FF000000"/>
            <rFont val="Aptos Narrow"/>
            <scheme val="minor"/>
          </rPr>
          <t>======
ID#AAABjx7qVDc
    (2025-05-21 11:33:27)
0306 chloe: 2/1 已收到匯款US$9120</t>
        </r>
      </text>
    </comment>
    <comment ref="H1045" authorId="0" shapeId="0" xr:uid="{F58B68D2-6901-EC42-B1B6-D371350DC915}">
      <text>
        <r>
          <rPr>
            <sz val="10"/>
            <color rgb="FF000000"/>
            <rFont val="Aptos Narrow"/>
            <scheme val="minor"/>
          </rPr>
          <t>======
ID#AAABjx7qNDQ
    (2025-05-21 11:33:23)
0306 chloe: 2/1 已收到匯款US$9120</t>
        </r>
      </text>
    </comment>
    <comment ref="H1046" authorId="0" shapeId="0" xr:uid="{B5B21751-7723-8C4F-9C46-B6749B573008}">
      <text>
        <r>
          <rPr>
            <sz val="10"/>
            <color rgb="FF000000"/>
            <rFont val="Aptos Narrow"/>
            <scheme val="minor"/>
          </rPr>
          <t>======
ID#AAABjx7qNe0
    (2025-05-21 11:33:23)
0122 chloe:入帳USD75184.50</t>
        </r>
      </text>
    </comment>
    <comment ref="K1046" authorId="0" shapeId="0" xr:uid="{67855720-D483-3B43-BC7D-2F3E8FF2A3B6}">
      <text>
        <r>
          <rPr>
            <sz val="10"/>
            <color rgb="FF000000"/>
            <rFont val="Aptos Narrow"/>
            <scheme val="minor"/>
          </rPr>
          <t>======
ID#AAABjx7qQNY
    (2025-05-21 11:33:25)
併RMA-20171103A-1~10(獨立一箱)</t>
        </r>
      </text>
    </comment>
    <comment ref="M1046" authorId="0" shapeId="0" xr:uid="{E25FA80F-86F1-A947-9E87-0F9CB37EAFF6}">
      <text>
        <r>
          <rPr>
            <sz val="10"/>
            <color rgb="FF000000"/>
            <rFont val="Aptos Narrow"/>
            <scheme val="minor"/>
          </rPr>
          <t>======
ID#AAABjx7qQZs
    (2025-05-21 11:33:25)
171214 
100pcs --&gt; 12/27 已到貨
150pcs --&gt; 1/5 已到貨</t>
        </r>
      </text>
    </comment>
    <comment ref="Q1046" authorId="0" shapeId="0" xr:uid="{C692389C-D63A-6E4B-92A3-20B17B178F25}">
      <text>
        <r>
          <rPr>
            <sz val="10"/>
            <color rgb="FF000000"/>
            <rFont val="Aptos Narrow"/>
            <scheme val="minor"/>
          </rPr>
          <t>======
ID#AAABjx7qNnw
    (2025-05-21 11:33:23)
0123 chloe 特簽</t>
        </r>
      </text>
    </comment>
    <comment ref="Z1046" authorId="0" shapeId="0" xr:uid="{91EC85A5-4648-D54C-BB73-86EBA1D17DFD}">
      <text>
        <r>
          <rPr>
            <sz val="10"/>
            <color rgb="FF000000"/>
            <rFont val="Aptos Narrow"/>
            <scheme val="minor"/>
          </rPr>
          <t>======
ID#AAABjx7qP9w
    (2025-05-21 11:33:25)
開立兩張發票100+150</t>
        </r>
      </text>
    </comment>
    <comment ref="H1047" authorId="0" shapeId="0" xr:uid="{48E4FB9F-5FA7-504E-AC10-4D7C17F360C7}">
      <text>
        <r>
          <rPr>
            <sz val="10"/>
            <color rgb="FF000000"/>
            <rFont val="Aptos Narrow"/>
            <scheme val="minor"/>
          </rPr>
          <t>======
ID#AAABjx7qR-M
    (2025-05-21 11:33:25)
Santiago 0108 : 已收到US258</t>
        </r>
      </text>
    </comment>
    <comment ref="M1047" authorId="0" shapeId="0" xr:uid="{8F5EEDD2-5EFD-114C-8D20-43A4D2B22223}">
      <text>
        <r>
          <rPr>
            <sz val="10"/>
            <color rgb="FF000000"/>
            <rFont val="Aptos Narrow"/>
            <scheme val="minor"/>
          </rPr>
          <t>======
ID#AAABjx7qN-Y
    (2025-05-21 11:33:23)
預計12/15到貨</t>
        </r>
      </text>
    </comment>
    <comment ref="H1048" authorId="0" shapeId="0" xr:uid="{174C996F-095F-2B4C-BFF0-4BFCC46E8E7D}">
      <text>
        <r>
          <rPr>
            <sz val="10"/>
            <color rgb="FF000000"/>
            <rFont val="Aptos Narrow"/>
            <scheme val="minor"/>
          </rPr>
          <t>======
ID#AAABjx7qPQA
    (2025-05-21 11:33:24)
0122 chloe:入帳USD75184.50</t>
        </r>
      </text>
    </comment>
    <comment ref="K1048" authorId="0" shapeId="0" xr:uid="{A5D2BDAD-16D8-EB4F-9575-413B66D6CF16}">
      <text>
        <r>
          <rPr>
            <sz val="10"/>
            <color rgb="FF000000"/>
            <rFont val="Aptos Narrow"/>
            <scheme val="minor"/>
          </rPr>
          <t>======
ID#AAABjx7qVJY
    (2025-05-21 11:33:27)
併RMA-20171103A-1~10(獨立一箱)</t>
        </r>
      </text>
    </comment>
    <comment ref="H1049" authorId="0" shapeId="0" xr:uid="{6DC6311F-D248-174B-8DEB-DB440C41F6A4}">
      <text>
        <r>
          <rPr>
            <sz val="10"/>
            <color rgb="FF000000"/>
            <rFont val="Aptos Narrow"/>
            <scheme val="minor"/>
          </rPr>
          <t>======
ID#AAABjx7qU1s
    (2025-05-21 11:33:26)
0122 chloe:入帳USD75184.50</t>
        </r>
      </text>
    </comment>
    <comment ref="Q1049" authorId="0" shapeId="0" xr:uid="{D5BE97DE-1186-C240-815B-A63286A7EDBA}">
      <text>
        <r>
          <rPr>
            <sz val="10"/>
            <color rgb="FF000000"/>
            <rFont val="Aptos Narrow"/>
            <scheme val="minor"/>
          </rPr>
          <t>======
ID#AAABjx7qWX0
    (2025-05-21 11:33:27)
0123 chloe 特簽</t>
        </r>
      </text>
    </comment>
    <comment ref="H1050" authorId="0" shapeId="0" xr:uid="{E8A634AB-B053-6C46-81CD-A9C11869AD69}">
      <text>
        <r>
          <rPr>
            <sz val="10"/>
            <color rgb="FF000000"/>
            <rFont val="Aptos Narrow"/>
            <scheme val="minor"/>
          </rPr>
          <t>======
ID#AAABjx7qPpQ
    (2025-05-21 11:33:24)
0306 chloe: 2/1 已收到匯款US$9120</t>
        </r>
      </text>
    </comment>
    <comment ref="H1051" authorId="0" shapeId="0" xr:uid="{F66775F9-0403-3A48-8DC4-524ECD136517}">
      <text>
        <r>
          <rPr>
            <sz val="10"/>
            <color rgb="FF000000"/>
            <rFont val="Aptos Narrow"/>
            <scheme val="minor"/>
          </rPr>
          <t>======
ID#AAABjx7qOPw
    (2025-05-21 11:33:24)
0306 chloe: 2/1 已收到匯款US$9120</t>
        </r>
      </text>
    </comment>
    <comment ref="H1052" authorId="0" shapeId="0" xr:uid="{2EA9E567-09C2-014B-BC13-B592E84CD3BF}">
      <text>
        <r>
          <rPr>
            <sz val="10"/>
            <color rgb="FF000000"/>
            <rFont val="Aptos Narrow"/>
            <scheme val="minor"/>
          </rPr>
          <t>======
ID#AAABjx7qNXc
    (2025-05-21 11:33:23)
0305 chloe: 收到款項US$7411</t>
        </r>
      </text>
    </comment>
    <comment ref="H1053" authorId="0" shapeId="0" xr:uid="{05D8A40B-FA57-AF42-89DD-68CAFA7DFA0E}">
      <text>
        <r>
          <rPr>
            <sz val="10"/>
            <color rgb="FF000000"/>
            <rFont val="Aptos Narrow"/>
            <scheme val="minor"/>
          </rPr>
          <t>======
ID#AAABjx7qSSw
Santiago 20171225    (2025-05-21 11:33:26)
PI-20170621B Debit Note US$635
今日收到US$779
779+635=US$1414</t>
        </r>
      </text>
    </comment>
    <comment ref="M1053" authorId="0" shapeId="0" xr:uid="{5D4D7487-CD46-7A4C-AC69-54DCD0628A5F}">
      <text>
        <r>
          <rPr>
            <sz val="10"/>
            <color rgb="FF000000"/>
            <rFont val="Aptos Narrow"/>
            <scheme val="minor"/>
          </rPr>
          <t>======
ID#AAABjx7qMwk
    (2025-05-21 11:33:23)
預計1/8到貨</t>
        </r>
      </text>
    </comment>
    <comment ref="H1054" authorId="0" shapeId="0" xr:uid="{9BCA83C9-718C-0347-AED3-95B4FC7E859E}">
      <text>
        <r>
          <rPr>
            <sz val="10"/>
            <color rgb="FF000000"/>
            <rFont val="Aptos Narrow"/>
            <scheme val="minor"/>
          </rPr>
          <t>======
ID#AAABjx7qPDc
Santiago 20171225    (2025-05-21 11:33:24)
PI-20170621B Debit Note US$635
今日收到US$779
779+635=US$1414</t>
        </r>
      </text>
    </comment>
    <comment ref="H1055" authorId="0" shapeId="0" xr:uid="{217F75CD-6BC1-A14C-A0B3-42F9026DC8D0}">
      <text>
        <r>
          <rPr>
            <sz val="10"/>
            <color rgb="FF000000"/>
            <rFont val="Aptos Narrow"/>
            <scheme val="minor"/>
          </rPr>
          <t>======
ID#AAABjx7qPxo
    (2025-05-21 11:33:24)
0122 chloe:入帳USD75184.50</t>
        </r>
      </text>
    </comment>
    <comment ref="K1055" authorId="0" shapeId="0" xr:uid="{7F7EC640-AC76-C148-8A32-7DD9B97C3525}">
      <text>
        <r>
          <rPr>
            <sz val="10"/>
            <color rgb="FF000000"/>
            <rFont val="Aptos Narrow"/>
            <scheme val="minor"/>
          </rPr>
          <t>======
ID#AAABjx7qNrk
    (2025-05-21 11:33:23)
併RMA-20171103A-1~10(獨立一箱)</t>
        </r>
      </text>
    </comment>
    <comment ref="M1055" authorId="0" shapeId="0" xr:uid="{1BE7FF6C-69B2-224B-B2C0-E35A0DEE40DE}">
      <text>
        <r>
          <rPr>
            <sz val="10"/>
            <color rgb="FF000000"/>
            <rFont val="Aptos Narrow"/>
            <scheme val="minor"/>
          </rPr>
          <t>======
ID#AAABjx7qOh0
    (2025-05-21 11:33:24)
1221 Santiago : 希望交期</t>
        </r>
      </text>
    </comment>
    <comment ref="E1056" authorId="0" shapeId="0" xr:uid="{5A9E6A96-CC7F-9B40-95B3-C0AE148DD0BB}">
      <text>
        <r>
          <rPr>
            <sz val="10"/>
            <color rgb="FF000000"/>
            <rFont val="Aptos Narrow"/>
            <scheme val="minor"/>
          </rPr>
          <t>======
ID#AAABjx7qR0I
    (2025-05-21 11:33:25)
180111 修改LCD</t>
        </r>
      </text>
    </comment>
    <comment ref="H1056" authorId="0" shapeId="0" xr:uid="{1DA11240-CD3E-194A-B1E3-9C7B900B47E5}">
      <text>
        <r>
          <rPr>
            <sz val="10"/>
            <color rgb="FF000000"/>
            <rFont val="Aptos Narrow"/>
            <scheme val="minor"/>
          </rPr>
          <t>======
ID#AAABjx7qR2w
    (2025-05-21 11:33:25)
0305 chloe: 收到款項US$7411</t>
        </r>
      </text>
    </comment>
    <comment ref="H1057" authorId="0" shapeId="0" xr:uid="{C661F340-3FF8-A048-94BB-86A925CECBE9}">
      <text>
        <r>
          <rPr>
            <sz val="10"/>
            <color rgb="FF000000"/>
            <rFont val="Aptos Narrow"/>
            <scheme val="minor"/>
          </rPr>
          <t>======
ID#AAABjx7qTWs
    (2025-05-21 11:33:26)
0305 chloe: 收到款項US$7411</t>
        </r>
      </text>
    </comment>
    <comment ref="H1058" authorId="0" shapeId="0" xr:uid="{6799FED8-7CE5-7D46-AFFB-CB9A5EE85B00}">
      <text>
        <r>
          <rPr>
            <sz val="10"/>
            <color rgb="FF000000"/>
            <rFont val="Aptos Narrow"/>
            <scheme val="minor"/>
          </rPr>
          <t>======
ID#AAABjx7qQME
    (2025-05-21 11:33:25)
0305 chloe: 收到款項US$7411</t>
        </r>
      </text>
    </comment>
    <comment ref="E1059" authorId="0" shapeId="0" xr:uid="{ECA25F03-ACDE-B84F-9735-ED67E423C1FB}">
      <text>
        <r>
          <rPr>
            <sz val="10"/>
            <color rgb="FF000000"/>
            <rFont val="Aptos Narrow"/>
            <scheme val="minor"/>
          </rPr>
          <t>======
ID#AAABjx7qQow
    (2025-05-21 11:33:25)
180111 修改LCD</t>
        </r>
      </text>
    </comment>
    <comment ref="H1059" authorId="0" shapeId="0" xr:uid="{9294CA84-DC7A-3A45-B395-939FD8BFAC50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ID#AAABjx7qR3g
</t>
        </r>
        <r>
          <rPr>
            <sz val="10"/>
            <color rgb="FF000000"/>
            <rFont val="Aptos Narrow"/>
          </rPr>
          <t xml:space="preserve">    (2025-05-21 11:33:25)
</t>
        </r>
        <r>
          <rPr>
            <sz val="10"/>
            <color rgb="FF000000"/>
            <rFont val="Aptos Narrow"/>
          </rPr>
          <t xml:space="preserve">0305 chloe: </t>
        </r>
        <r>
          <rPr>
            <sz val="10"/>
            <color rgb="FF000000"/>
            <rFont val="Aptos Narrow"/>
            <scheme val="minor"/>
          </rPr>
          <t>收到款項</t>
        </r>
        <r>
          <rPr>
            <sz val="10"/>
            <color rgb="FF000000"/>
            <rFont val="Aptos Narrow"/>
          </rPr>
          <t>US$7411</t>
        </r>
      </text>
    </comment>
    <comment ref="H1060" authorId="0" shapeId="0" xr:uid="{904007CA-DA25-2F43-B877-F2AE0EC4E6FE}">
      <text>
        <r>
          <rPr>
            <sz val="10"/>
            <color rgb="FF000000"/>
            <rFont val="Aptos Narrow"/>
            <scheme val="minor"/>
          </rPr>
          <t>======
ID#AAABjx7qSE4
    (2025-05-21 11:33:26)
0312 chloe:匯入US$8026</t>
        </r>
      </text>
    </comment>
    <comment ref="H1061" authorId="0" shapeId="0" xr:uid="{C8038ECD-DF27-544E-8ACC-CB7CF3974722}">
      <text>
        <r>
          <rPr>
            <sz val="10"/>
            <color rgb="FF000000"/>
            <rFont val="Aptos Narrow"/>
            <scheme val="minor"/>
          </rPr>
          <t>======
ID#AAABjx7qOVk
    (2025-05-21 11:33:24)
0312 chloe:匯入US$8026</t>
        </r>
      </text>
    </comment>
    <comment ref="H1062" authorId="0" shapeId="0" xr:uid="{C748916E-AAF8-DE41-B90D-7233B023EAD1}">
      <text>
        <r>
          <rPr>
            <sz val="10"/>
            <color rgb="FF000000"/>
            <rFont val="Aptos Narrow"/>
            <scheme val="minor"/>
          </rPr>
          <t>======
ID#AAABjx7qSUw
    (2025-05-21 11:33:26)
0312 chloe:匯入US$8026</t>
        </r>
      </text>
    </comment>
    <comment ref="H1063" authorId="0" shapeId="0" xr:uid="{3F43AA51-8674-A644-A0AB-D838D7476503}">
      <text>
        <r>
          <rPr>
            <sz val="10"/>
            <color rgb="FF000000"/>
            <rFont val="Aptos Narrow"/>
            <scheme val="minor"/>
          </rPr>
          <t>======
ID#AAABjx7qRGY
    (2025-05-21 11:33:25)
0312 chloe:匯入US$8026</t>
        </r>
      </text>
    </comment>
    <comment ref="H1064" authorId="0" shapeId="0" xr:uid="{23E67AF6-FD50-2445-9C74-C078F1EE4FFF}">
      <text>
        <r>
          <rPr>
            <sz val="10"/>
            <color rgb="FF000000"/>
            <rFont val="Aptos Narrow"/>
            <scheme val="minor"/>
          </rPr>
          <t>======
ID#AAABjx7qPfs
    (2025-05-21 11:33:24)
0312 chloe:匯入US$8026</t>
        </r>
      </text>
    </comment>
    <comment ref="E1065" authorId="0" shapeId="0" xr:uid="{144469B7-B0F3-4141-9288-304397D355C5}">
      <text>
        <r>
          <rPr>
            <sz val="10"/>
            <color rgb="FF000000"/>
            <rFont val="Aptos Narrow"/>
            <scheme val="minor"/>
          </rPr>
          <t>======
ID#AAABjx7qTng
    (2025-05-21 11:33:26)
11/12 michelle: 58-80024-0000</t>
        </r>
      </text>
    </comment>
    <comment ref="H1065" authorId="0" shapeId="0" xr:uid="{A96B87ED-BCC9-A444-A24D-A76AB3C90CBB}">
      <text>
        <r>
          <rPr>
            <sz val="10"/>
            <color rgb="FF000000"/>
            <rFont val="Aptos Narrow"/>
            <scheme val="minor"/>
          </rPr>
          <t>======
ID#AAABjx7qM-k
    (2025-05-21 11:33:23)
0312 chloe:匯入US$8026</t>
        </r>
      </text>
    </comment>
    <comment ref="H1066" authorId="0" shapeId="0" xr:uid="{BAC49071-C822-E246-A7F8-C45E39DD7F0C}">
      <text>
        <r>
          <rPr>
            <sz val="10"/>
            <color rgb="FF000000"/>
            <rFont val="Aptos Narrow"/>
            <scheme val="minor"/>
          </rPr>
          <t>======
ID#AAABjx7qOBk
    (2025-05-21 11:33:24)
0312 chloe:匯入US$8026</t>
        </r>
      </text>
    </comment>
    <comment ref="H1067" authorId="0" shapeId="0" xr:uid="{D60253DD-C7BC-D54A-9624-7001D3D7CC9C}">
      <text>
        <r>
          <rPr>
            <sz val="10"/>
            <color rgb="FF000000"/>
            <rFont val="Aptos Narrow"/>
            <scheme val="minor"/>
          </rPr>
          <t>======
ID#AAABjx7qSv0
    (2025-05-21 11:33:26)
0215 chloe:入帳US$20,042.50</t>
        </r>
      </text>
    </comment>
    <comment ref="H1068" authorId="0" shapeId="0" xr:uid="{43849819-98C3-1341-BC1A-AF8F1E6FE85C}">
      <text>
        <r>
          <rPr>
            <sz val="10"/>
            <color rgb="FF000000"/>
            <rFont val="Aptos Narrow"/>
            <scheme val="minor"/>
          </rPr>
          <t>======
ID#AAABjx7qRLc
    (2025-05-21 11:33:25)
0109 Santiago  : 玉山已收到款項</t>
        </r>
      </text>
    </comment>
    <comment ref="M1068" authorId="0" shapeId="0" xr:uid="{E155357D-9EC1-8343-B2D1-A75D91550CD7}">
      <text>
        <r>
          <rPr>
            <sz val="10"/>
            <color rgb="FF000000"/>
            <rFont val="Aptos Narrow"/>
            <scheme val="minor"/>
          </rPr>
          <t>======
ID#AAABjx7qPZQ
    (2025-05-21 11:33:24)
Santiago 0105: 研華2~3天出貨給凌飛,  凌飛測試後, 會一併把MB-215-94 V1跟IDK-1121WR 都寄來戎克
預計1/10到貨</t>
        </r>
      </text>
    </comment>
    <comment ref="H1069" authorId="0" shapeId="0" xr:uid="{68E47507-44C1-F447-B19A-0F6A264ADDD7}">
      <text>
        <r>
          <rPr>
            <sz val="10"/>
            <color rgb="FF000000"/>
            <rFont val="Aptos Narrow"/>
            <scheme val="minor"/>
          </rPr>
          <t>======
ID#AAABjx7qVz8
    (2025-05-21 11:33:27)
0109 Santiago  : 玉山已收到款項</t>
        </r>
      </text>
    </comment>
    <comment ref="M1069" authorId="0" shapeId="0" xr:uid="{BB92E620-DE86-974B-9C15-11DBB321DF85}">
      <text>
        <r>
          <rPr>
            <sz val="10"/>
            <color rgb="FF000000"/>
            <rFont val="Aptos Narrow"/>
            <scheme val="minor"/>
          </rPr>
          <t>======
ID#AAABjx7qQNg
    (2025-05-21 11:33:25)
1229 Santiago : 待Christine 向研華確認IDK-1121WR-30FHA1E交期
預計1/10到貨</t>
        </r>
      </text>
    </comment>
    <comment ref="H1070" authorId="0" shapeId="0" xr:uid="{4ECB8E10-63F7-724D-9A4C-187D11C8EA3D}">
      <text>
        <r>
          <rPr>
            <sz val="10"/>
            <color rgb="FF000000"/>
            <rFont val="Aptos Narrow"/>
            <scheme val="minor"/>
          </rPr>
          <t>======
ID#AAABjx7qVAY
    (2025-05-21 11:33:27)
0209 chloe: 匯入款項US49990;剩餘款項23201 預計2/12當週匯款
0301 chloe:匯入款項23181</t>
        </r>
      </text>
    </comment>
    <comment ref="J1070" authorId="0" shapeId="0" xr:uid="{E4C9E007-B062-0D4D-A620-0ACBA141500C}">
      <text>
        <r>
          <rPr>
            <sz val="10"/>
            <color rgb="FF000000"/>
            <rFont val="Aptos Narrow"/>
            <scheme val="minor"/>
          </rPr>
          <t>======
ID#AAABjx7qWFE
20180212 Santiago    (2025-05-21 11:33:27)
Christine 已請美灣拉貨. 
因為SA的FedEx 不能使用
未來下午四點前若不提供戎克訂單的運輸方式. 一律延到隔日出</t>
        </r>
      </text>
    </comment>
    <comment ref="K1070" authorId="0" shapeId="0" xr:uid="{27556F13-C818-5C49-B2E5-E9266038F9F3}">
      <text>
        <r>
          <rPr>
            <sz val="10"/>
            <color rgb="FF000000"/>
            <rFont val="Aptos Narrow"/>
            <scheme val="minor"/>
          </rPr>
          <t>======
ID#AAABjx7qTls
Santiago 20180116    (2025-05-21 11:33:26)
出貨前通知Santiago 拍照</t>
        </r>
      </text>
    </comment>
    <comment ref="H1071" authorId="0" shapeId="0" xr:uid="{EBF1F890-2887-424F-BD3F-C6C059768807}">
      <text>
        <r>
          <rPr>
            <sz val="10"/>
            <color rgb="FF000000"/>
            <rFont val="Aptos Narrow"/>
            <scheme val="minor"/>
          </rPr>
          <t>======
ID#AAABjx7qNuY
    (2025-05-21 11:33:23)
0209 chloe: 匯入款項US49990;剩餘款項23201 預計2/12當週匯款
0301 chloe:匯入款項23181</t>
        </r>
      </text>
    </comment>
    <comment ref="J1071" authorId="0" shapeId="0" xr:uid="{B416E913-B149-E748-BB86-945A458A047B}">
      <text>
        <r>
          <rPr>
            <sz val="10"/>
            <color rgb="FF000000"/>
            <rFont val="Aptos Narrow"/>
            <scheme val="minor"/>
          </rPr>
          <t>======
ID#AAABjx7qTPo
20180212 Santiago    (2025-05-21 11:33:26)
Christine 已請美灣拉貨. 
因為SA的FedEx 不能使用
未來下午四點前若不提供戎克訂單的運輸方式. 一律延到隔日出</t>
        </r>
      </text>
    </comment>
    <comment ref="K1071" authorId="0" shapeId="0" xr:uid="{5A50213E-85C3-D64F-8D09-66336C2DFB26}">
      <text>
        <r>
          <rPr>
            <sz val="10"/>
            <color rgb="FF000000"/>
            <rFont val="Aptos Narrow"/>
            <scheme val="minor"/>
          </rPr>
          <t>======
ID#AAABjx7qNnQ
Santiago 20180116    (2025-05-21 11:33:23)
出貨前通知Santiago 拍照</t>
        </r>
      </text>
    </comment>
    <comment ref="H1072" authorId="0" shapeId="0" xr:uid="{47D61EE2-5468-0845-942F-E72AAFAFECB5}">
      <text>
        <r>
          <rPr>
            <sz val="10"/>
            <color rgb="FF000000"/>
            <rFont val="Aptos Narrow"/>
            <scheme val="minor"/>
          </rPr>
          <t>======
ID#AAABjx7qQf0
    (2025-05-21 11:33:25)
0209 chloe: 匯入款項US49990;剩餘款項23201 預計2/12當週匯款
0301 chloe:匯入款項23181</t>
        </r>
      </text>
    </comment>
    <comment ref="J1072" authorId="0" shapeId="0" xr:uid="{A181DCDE-9040-F24C-9FF7-D52FA695B913}">
      <text>
        <r>
          <rPr>
            <sz val="10"/>
            <color rgb="FF000000"/>
            <rFont val="Aptos Narrow"/>
            <scheme val="minor"/>
          </rPr>
          <t>======
ID#AAABjx7qM_4
20180212 Santiago    (2025-05-21 11:33:23)
Christine 已請美灣拉貨. 
因為SA的FedEx 不能使用
未來下午四點前若不提供戎克訂單的運輸方式. 一律延到隔日出</t>
        </r>
      </text>
    </comment>
    <comment ref="K1072" authorId="0" shapeId="0" xr:uid="{71F4DF75-0A5D-9045-8D53-B30A75A52E2E}">
      <text>
        <r>
          <rPr>
            <sz val="10"/>
            <color rgb="FF000000"/>
            <rFont val="Aptos Narrow"/>
            <scheme val="minor"/>
          </rPr>
          <t>======
ID#AAABjx7qUs4
Santiago 20180116    (2025-05-21 11:33:26)
出貨前通知Santiago 拍照</t>
        </r>
      </text>
    </comment>
    <comment ref="H1073" authorId="0" shapeId="0" xr:uid="{E35B3515-5C6A-CD47-81B2-E55073234161}">
      <text>
        <r>
          <rPr>
            <sz val="10"/>
            <color rgb="FF000000"/>
            <rFont val="Aptos Narrow"/>
            <scheme val="minor"/>
          </rPr>
          <t>======
ID#AAABjx7qVN0
    (2025-05-21 11:33:27)
0209 chloe: 匯入款項US49990;剩餘款項23201 預計2/12當週匯款
0301 chloe:匯入款項23181</t>
        </r>
      </text>
    </comment>
    <comment ref="J1073" authorId="0" shapeId="0" xr:uid="{DE8B6218-33EB-E34E-8C1E-7B1D57A6DFA5}">
      <text>
        <r>
          <rPr>
            <sz val="10"/>
            <color rgb="FF000000"/>
            <rFont val="Aptos Narrow"/>
            <scheme val="minor"/>
          </rPr>
          <t>======
ID#AAABjx7qSlU
20180212 Santiago    (2025-05-21 11:33:26)
Christine 已請美灣拉貨. 
因為SA的FedEx 不能使用
未來下午四點前若不提供戎克訂單的運輸方式. 一律延到隔日出</t>
        </r>
      </text>
    </comment>
    <comment ref="K1073" authorId="0" shapeId="0" xr:uid="{7AB418DA-6CCF-A94C-8DA9-08247005F005}">
      <text>
        <r>
          <rPr>
            <sz val="10"/>
            <color rgb="FF000000"/>
            <rFont val="Aptos Narrow"/>
            <scheme val="minor"/>
          </rPr>
          <t>======
ID#AAABjx7qSSU
Santiago 20180116    (2025-05-21 11:33:26)
出貨前通知Santiago 拍照</t>
        </r>
      </text>
    </comment>
    <comment ref="H1074" authorId="0" shapeId="0" xr:uid="{92938513-CB2D-D140-85F1-FC073FDB5F43}">
      <text>
        <r>
          <rPr>
            <sz val="10"/>
            <color rgb="FF000000"/>
            <rFont val="Aptos Narrow"/>
            <scheme val="minor"/>
          </rPr>
          <t>======
ID#AAABjx7qQAs
    (2025-05-21 11:33:25)
0209 chloe: 匯入款項US49990;剩餘款項23201 預計2/12當週匯款
0301 chloe:匯入款項23181</t>
        </r>
      </text>
    </comment>
    <comment ref="J1074" authorId="0" shapeId="0" xr:uid="{E4ACF800-300E-2E4B-ABAD-1C14EB7080A9}">
      <text>
        <r>
          <rPr>
            <sz val="10"/>
            <color rgb="FF000000"/>
            <rFont val="Aptos Narrow"/>
            <scheme val="minor"/>
          </rPr>
          <t>======
ID#AAABjx7qU6o
20180212 Santiago    (2025-05-21 11:33:27)
Christine 已請美灣拉貨. 
因為SA的FedEx 不能使用
未來下午四點前若不提供戎克訂單的運輸方式. 一律延到隔日出</t>
        </r>
      </text>
    </comment>
    <comment ref="K1074" authorId="0" shapeId="0" xr:uid="{3A91FCF1-7214-2D4A-B2FB-42DA6F5490CD}">
      <text>
        <r>
          <rPr>
            <sz val="10"/>
            <color rgb="FF000000"/>
            <rFont val="Aptos Narrow"/>
            <scheme val="minor"/>
          </rPr>
          <t>======
ID#AAABjx7qNCE
Santiago 20180116    (2025-05-21 11:33:23)
出貨前通知Santiago 拍照</t>
        </r>
      </text>
    </comment>
    <comment ref="H1075" authorId="0" shapeId="0" xr:uid="{EB8A4E6A-54ED-D84A-B359-CE07DB42A6BB}">
      <text>
        <r>
          <rPr>
            <sz val="10"/>
            <color rgb="FF000000"/>
            <rFont val="Aptos Narrow"/>
            <scheme val="minor"/>
          </rPr>
          <t>======
ID#AAABjx7qR4Y
    (2025-05-21 11:33:25)
0209 chloe: 匯入款項US49990;剩餘款項23201 預計2/12當週匯款
0301 chloe:匯入款項23181</t>
        </r>
      </text>
    </comment>
    <comment ref="J1075" authorId="0" shapeId="0" xr:uid="{08A1E3E8-CCE4-1747-84A2-CDB4EC91F1AE}">
      <text>
        <r>
          <rPr>
            <sz val="10"/>
            <color rgb="FF000000"/>
            <rFont val="Aptos Narrow"/>
            <scheme val="minor"/>
          </rPr>
          <t>======
ID#AAABjx7qTqs
20180212 Santiago    (2025-05-21 11:33:26)
Christine 已請美灣拉貨. 
因為SA的FedEx 不能使用
未來下午四點前若不提供戎克訂單的運輸方式. 一律延到隔日出</t>
        </r>
      </text>
    </comment>
    <comment ref="K1075" authorId="0" shapeId="0" xr:uid="{1A03BAE8-8F03-F648-B586-55EAF9490F46}">
      <text>
        <r>
          <rPr>
            <sz val="10"/>
            <color rgb="FF000000"/>
            <rFont val="Aptos Narrow"/>
            <scheme val="minor"/>
          </rPr>
          <t>======
ID#AAABjx7qRSk
Santiago 20180116    (2025-05-21 11:33:25)
出貨前通知Santiago 拍照</t>
        </r>
      </text>
    </comment>
    <comment ref="H1076" authorId="0" shapeId="0" xr:uid="{22614C12-3F9A-364D-B455-CD666087D70D}">
      <text>
        <r>
          <rPr>
            <sz val="10"/>
            <color rgb="FF000000"/>
            <rFont val="Aptos Narrow"/>
            <scheme val="minor"/>
          </rPr>
          <t>======
ID#AAABjx7qNcE
    (2025-05-21 11:33:23)
0209 chloe: 匯入款項US49990;剩餘款項23201 預計2/12當週匯款
0301 chloe:匯入款項23181</t>
        </r>
      </text>
    </comment>
    <comment ref="J1076" authorId="0" shapeId="0" xr:uid="{D5C201FB-AEC8-4D43-9AF9-268130DBB14A}">
      <text>
        <r>
          <rPr>
            <sz val="10"/>
            <color rgb="FF000000"/>
            <rFont val="Aptos Narrow"/>
            <scheme val="minor"/>
          </rPr>
          <t>======
ID#AAABjx7qQlM
20180212 Santiago    (2025-05-21 11:33:25)
Christine 已請美灣拉貨. 
因為SA的FedEx 不能使用
未來下午四點前若不提供戎克訂單的運輸方式. 一律延到隔日出</t>
        </r>
      </text>
    </comment>
    <comment ref="K1076" authorId="0" shapeId="0" xr:uid="{3D657C64-068A-9F4D-81D3-23D9FC31ED21}">
      <text>
        <r>
          <rPr>
            <sz val="10"/>
            <color rgb="FF000000"/>
            <rFont val="Aptos Narrow"/>
            <scheme val="minor"/>
          </rPr>
          <t>======
ID#AAABjx7qPFw
Santiago 20180116    (2025-05-21 11:33:24)
出貨前通知Santiago 拍照</t>
        </r>
      </text>
    </comment>
    <comment ref="J1077" authorId="0" shapeId="0" xr:uid="{EB1D3FC5-3F29-E744-8912-70BFD0966A12}">
      <text>
        <r>
          <rPr>
            <sz val="10"/>
            <color rgb="FF000000"/>
            <rFont val="Aptos Narrow"/>
            <scheme val="minor"/>
          </rPr>
          <t>======
ID#AAABjx7qPe0
20180212 Santiago    (2025-05-21 11:33:24)
Christine 已請美灣拉貨. 
因為SA的FedEx 不能使用
未來下午四點前若不提供戎克訂單的運輸方式. 一律延到隔日出</t>
        </r>
      </text>
    </comment>
    <comment ref="K1077" authorId="0" shapeId="0" xr:uid="{FAA98BFF-B7F5-1045-ACFD-10B59D1B72C0}">
      <text>
        <r>
          <rPr>
            <sz val="10"/>
            <color rgb="FF000000"/>
            <rFont val="Aptos Narrow"/>
            <scheme val="minor"/>
          </rPr>
          <t>======
ID#AAABjx7qRUg
Santiago 20180116    (2025-05-21 11:33:25)
出貨前通知Santiago 拍照</t>
        </r>
      </text>
    </comment>
    <comment ref="H1078" authorId="0" shapeId="0" xr:uid="{0F28A421-6C70-994E-AD86-B71F8E3D641D}">
      <text>
        <r>
          <rPr>
            <sz val="10"/>
            <color rgb="FF000000"/>
            <rFont val="Aptos Narrow"/>
            <scheme val="minor"/>
          </rPr>
          <t>======
ID#AAABjx7qQSc
    (2025-05-21 11:33:25)
0209 chloe: 匯入款項US49990;剩餘款項23201 預計2/12當週匯款
0301 chloe:匯入款項23181</t>
        </r>
      </text>
    </comment>
    <comment ref="J1078" authorId="0" shapeId="0" xr:uid="{ECB02844-D526-7545-AB6A-1143B0DA03E8}">
      <text>
        <r>
          <rPr>
            <sz val="10"/>
            <color rgb="FF000000"/>
            <rFont val="Aptos Narrow"/>
            <scheme val="minor"/>
          </rPr>
          <t>======
ID#AAABjx7qOLk
20180212 Santiago    (2025-05-21 11:33:24)
Christine 已請美灣拉貨. 
因為SA的FedEx 不能使用
未來下午四點前若不提供戎克訂單的運輸方式. 一律延到隔日出</t>
        </r>
      </text>
    </comment>
    <comment ref="K1078" authorId="0" shapeId="0" xr:uid="{67EF1528-FEAF-A546-9310-CD22DE734C43}">
      <text>
        <r>
          <rPr>
            <sz val="10"/>
            <color rgb="FF000000"/>
            <rFont val="Aptos Narrow"/>
            <scheme val="minor"/>
          </rPr>
          <t>======
ID#AAABjx7qTeI
Santiago 20180116    (2025-05-21 11:33:26)
出貨前通知Santiago 拍照</t>
        </r>
      </text>
    </comment>
    <comment ref="H1079" authorId="0" shapeId="0" xr:uid="{4140579C-3E21-6043-96FC-ACBE3221099A}">
      <text>
        <r>
          <rPr>
            <sz val="10"/>
            <color rgb="FF000000"/>
            <rFont val="Aptos Narrow"/>
            <scheme val="minor"/>
          </rPr>
          <t>======
ID#AAABjx7qOGA
    (2025-05-21 11:33:24)
0316 chloe:收到客戶水單，待銀行通知
0323 chloe:匯款匯入US$2,604.50</t>
        </r>
      </text>
    </comment>
    <comment ref="H1080" authorId="0" shapeId="0" xr:uid="{638694E9-F886-A746-B4AE-E1C93B5A4F51}">
      <text>
        <r>
          <rPr>
            <sz val="10"/>
            <color rgb="FF000000"/>
            <rFont val="Aptos Narrow"/>
            <scheme val="minor"/>
          </rPr>
          <t>======
ID#AAABjx7qQV4
    (2025-05-21 11:33:25)
Santiago 0108 : 玉山收到NT11366</t>
        </r>
      </text>
    </comment>
    <comment ref="H1081" authorId="0" shapeId="0" xr:uid="{6B81FF78-51C0-F449-ACCB-176A0526BDBB}">
      <text>
        <r>
          <rPr>
            <sz val="10"/>
            <color rgb="FF000000"/>
            <rFont val="Aptos Narrow"/>
            <scheme val="minor"/>
          </rPr>
          <t>======
ID#AAABjx7qNgM
    (2025-05-21 11:33:23)
0206 chloe:收到匯款NT385,107</t>
        </r>
      </text>
    </comment>
    <comment ref="H1082" authorId="0" shapeId="0" xr:uid="{C9880EF0-E3E1-974A-B47F-0A14673EDA4C}">
      <text>
        <r>
          <rPr>
            <sz val="10"/>
            <color rgb="FF000000"/>
            <rFont val="Aptos Narrow"/>
            <scheme val="minor"/>
          </rPr>
          <t>======
ID#AAABjx7qR5c
    (2025-05-21 11:33:25)
Santiago 20180118: 收到玉山通知
→須提供合同給銀行才可放行
0123 chloe:款項已匯入</t>
        </r>
      </text>
    </comment>
    <comment ref="M1082" authorId="0" shapeId="0" xr:uid="{A16A102E-0471-1747-A9D7-AEB4A4D46EF2}">
      <text>
        <r>
          <rPr>
            <sz val="10"/>
            <color rgb="FF000000"/>
            <rFont val="Aptos Narrow"/>
            <scheme val="minor"/>
          </rPr>
          <t>======
ID#AAABjx7qNpk
    (2025-05-21 11:33:23)
預計2/5到貨</t>
        </r>
      </text>
    </comment>
    <comment ref="H1083" authorId="0" shapeId="0" xr:uid="{B64CA955-586A-2147-834C-92BBD999F106}">
      <text>
        <r>
          <rPr>
            <sz val="10"/>
            <color rgb="FF000000"/>
            <rFont val="Aptos Narrow"/>
            <scheme val="minor"/>
          </rPr>
          <t>======
ID#AAABjx7qOtc
    (2025-05-21 11:33:24)
Santiago 20180118: 收到玉山通知
→須提供合同給銀行才可放行
0123 chloe:款項已匯入</t>
        </r>
      </text>
    </comment>
    <comment ref="M1083" authorId="0" shapeId="0" xr:uid="{47393083-C82A-CE48-AEC7-60CAB45FC6B5}">
      <text>
        <r>
          <rPr>
            <sz val="10"/>
            <color rgb="FF000000"/>
            <rFont val="Aptos Narrow"/>
            <scheme val="minor"/>
          </rPr>
          <t>======
ID#AAABjx7qP3g
    (2025-05-21 11:33:24)
預計2/5到貨</t>
        </r>
      </text>
    </comment>
    <comment ref="H1084" authorId="0" shapeId="0" xr:uid="{BB8E1CFF-D161-9447-A904-137C630C81D9}">
      <text>
        <r>
          <rPr>
            <sz val="10"/>
            <color rgb="FF000000"/>
            <rFont val="Aptos Narrow"/>
            <scheme val="minor"/>
          </rPr>
          <t>======
ID#AAABjx7qNuQ
    (2025-05-21 11:33:23)
0316 chloe:收到客戶水單，待銀行通知
0323 chloe:匯款匯入US$2,604.50</t>
        </r>
      </text>
    </comment>
    <comment ref="H1085" authorId="0" shapeId="0" xr:uid="{7C7D8DD4-D9D9-9843-9BA1-E2B1281C9D09}">
      <text>
        <r>
          <rPr>
            <sz val="10"/>
            <color rgb="FF000000"/>
            <rFont val="Aptos Narrow"/>
            <scheme val="minor"/>
          </rPr>
          <t>======
ID#AAABjx7qOr4
    (2025-05-21 11:33:24)
0321 chloe:收到款項NT229576(與戎克開立發票 差 170元)
0323 chloe: 協議下次補回170</t>
        </r>
      </text>
    </comment>
    <comment ref="H1086" authorId="0" shapeId="0" xr:uid="{C2CF87B0-C285-9345-81D4-04B6DD9D270B}">
      <text>
        <r>
          <rPr>
            <sz val="10"/>
            <color rgb="FF000000"/>
            <rFont val="Aptos Narrow"/>
            <scheme val="minor"/>
          </rPr>
          <t>======
ID#AAABjx7qRgE
    (2025-05-21 11:33:25)
0329 chloe:業務已通知客戶，併4月中貨款給予
0423 chloe: 匯款匯入US$19147</t>
        </r>
      </text>
    </comment>
    <comment ref="H1087" authorId="0" shapeId="0" xr:uid="{29E5C3F8-610A-1F4C-8730-0F546A7F69A8}">
      <text>
        <r>
          <rPr>
            <sz val="10"/>
            <color rgb="FF000000"/>
            <rFont val="Aptos Narrow"/>
            <scheme val="minor"/>
          </rPr>
          <t>======
ID#AAABjx7qPAk
    (2025-05-21 11:33:24)
0329 chloe:業務已通知客戶，併4月中貨款給予
0423 chloe: 匯款匯入US$19147</t>
        </r>
      </text>
    </comment>
    <comment ref="H1088" authorId="0" shapeId="0" xr:uid="{0BE2684A-ADDD-F948-BB1F-06FF6A79C8D0}">
      <text>
        <r>
          <rPr>
            <sz val="10"/>
            <color rgb="FF000000"/>
            <rFont val="Aptos Narrow"/>
            <scheme val="minor"/>
          </rPr>
          <t>======
ID#AAABjx7qQ20
    (2025-05-21 11:33:25)
0316 chloe:收到客戶水單，待銀行通知
0323 chloe:匯款匯入US$2,604.50</t>
        </r>
      </text>
    </comment>
    <comment ref="H1089" authorId="0" shapeId="0" xr:uid="{FBE0F854-1B9D-9B41-89EA-8BC9FDE9339C}">
      <text>
        <r>
          <rPr>
            <sz val="10"/>
            <color rgb="FF000000"/>
            <rFont val="Aptos Narrow"/>
            <scheme val="minor"/>
          </rPr>
          <t>======
ID#AAABjx7qS3A
    (2025-05-21 11:33:26)
0316 chloe:收到客戶水單，待銀行通知
0323 chloe:匯款匯入US$2,604.50</t>
        </r>
      </text>
    </comment>
    <comment ref="H1090" authorId="0" shapeId="0" xr:uid="{3D1ADED4-00E2-6D47-A977-54ACB20B9A30}">
      <text>
        <r>
          <rPr>
            <sz val="10"/>
            <color rgb="FF000000"/>
            <rFont val="Aptos Narrow"/>
            <scheme val="minor"/>
          </rPr>
          <t>======
ID#AAABj82dpQY
    (2025-05-21 11:33:23)
0316 chloe:收到客戶水單，待銀行通知
0323 chloe:匯款匯入US$2,604.50</t>
        </r>
      </text>
    </comment>
    <comment ref="H1091" authorId="0" shapeId="0" xr:uid="{7CB03978-107F-AF4E-8020-A1FA82E90641}">
      <text>
        <r>
          <rPr>
            <sz val="10"/>
            <color rgb="FF000000"/>
            <rFont val="Aptos Narrow"/>
            <scheme val="minor"/>
          </rPr>
          <t>======
ID#AAABjx7qQkg
    (2025-05-21 11:33:25)
0129 chloe:匯入US$2033</t>
        </r>
      </text>
    </comment>
    <comment ref="M1091" authorId="0" shapeId="0" xr:uid="{16D156D9-6AFB-EA4B-9880-D4404C35433D}">
      <text>
        <r>
          <rPr>
            <sz val="10"/>
            <color rgb="FF000000"/>
            <rFont val="Aptos Narrow"/>
            <scheme val="minor"/>
          </rPr>
          <t>======
ID#AAABjx7qO20
    (2025-05-21 11:33:24)
預計1/29到貨</t>
        </r>
      </text>
    </comment>
    <comment ref="H1092" authorId="0" shapeId="0" xr:uid="{3FAD9EC4-5C7E-734D-8159-874E4CC0896E}">
      <text>
        <r>
          <rPr>
            <sz val="10"/>
            <color rgb="FF000000"/>
            <rFont val="Aptos Narrow"/>
            <scheme val="minor"/>
          </rPr>
          <t>======
ID#AAABjx7qNRw
    (2025-05-21 11:33:23)
0129 chloe:匯入US$2033</t>
        </r>
      </text>
    </comment>
    <comment ref="M1092" authorId="0" shapeId="0" xr:uid="{02F847BF-3FAD-8D4A-ACE5-31862E1616C7}">
      <text>
        <r>
          <rPr>
            <sz val="10"/>
            <color rgb="FF000000"/>
            <rFont val="Aptos Narrow"/>
            <scheme val="minor"/>
          </rPr>
          <t>======
ID#AAABjx7qMuM
    (2025-05-21 11:33:23)
預計1/29到貨</t>
        </r>
      </text>
    </comment>
    <comment ref="H1093" authorId="0" shapeId="0" xr:uid="{75A5570A-9E4F-B947-BE9C-AC1AE6B4B283}">
      <text>
        <r>
          <rPr>
            <sz val="10"/>
            <color rgb="FF000000"/>
            <rFont val="Aptos Narrow"/>
            <scheme val="minor"/>
          </rPr>
          <t>======
ID#AAABjx7qVtc
    (2025-05-21 11:33:27)
0129 chloe:匯入US$2033</t>
        </r>
      </text>
    </comment>
    <comment ref="M1093" authorId="0" shapeId="0" xr:uid="{245CCF9B-433C-5141-8E6A-EB33C3CED01B}">
      <text>
        <r>
          <rPr>
            <sz val="10"/>
            <color rgb="FF000000"/>
            <rFont val="Aptos Narrow"/>
            <scheme val="minor"/>
          </rPr>
          <t>======
ID#AAABjx7qWaU
    (2025-05-21 11:33:27)
預計1/29到貨</t>
        </r>
      </text>
    </comment>
    <comment ref="H1094" authorId="0" shapeId="0" xr:uid="{FF3CE81A-1C50-674C-A191-0DB9B8ACFA89}">
      <text>
        <r>
          <rPr>
            <sz val="10"/>
            <color rgb="FF000000"/>
            <rFont val="Aptos Narrow"/>
            <scheme val="minor"/>
          </rPr>
          <t>======
ID#AAABjx7qWQU
    (2025-05-21 11:33:27)
0129 chloe:匯入US$2033</t>
        </r>
      </text>
    </comment>
    <comment ref="M1094" authorId="0" shapeId="0" xr:uid="{AC8D8C40-E3FF-5B4A-91AE-68B9D802E04B}">
      <text>
        <r>
          <rPr>
            <sz val="10"/>
            <color rgb="FF000000"/>
            <rFont val="Aptos Narrow"/>
            <scheme val="minor"/>
          </rPr>
          <t>======
ID#AAABjx7qO38
    (2025-05-21 11:33:24)
預計1/12到貨</t>
        </r>
      </text>
    </comment>
    <comment ref="H1095" authorId="0" shapeId="0" xr:uid="{0F2B7A47-414C-AB42-81B2-1A8FBDE3D6AA}">
      <text>
        <r>
          <rPr>
            <sz val="10"/>
            <color rgb="FF000000"/>
            <rFont val="Aptos Narrow"/>
            <scheme val="minor"/>
          </rPr>
          <t>======
ID#AAABjx7qSlI
    (2025-05-21 11:33:26)
0129 chloe:匯入US$2033</t>
        </r>
      </text>
    </comment>
    <comment ref="E1096" authorId="0" shapeId="0" xr:uid="{FDB21DF5-7EB1-AB4F-BC74-2289CA66E33B}">
      <text>
        <r>
          <rPr>
            <sz val="10"/>
            <color rgb="FF000000"/>
            <rFont val="Aptos Narrow"/>
            <scheme val="minor"/>
          </rPr>
          <t>======
ID#AAABjx7qRVs
    (2025-05-21 11:33:25)
180110 Karen: w/ EU adapter</t>
        </r>
      </text>
    </comment>
    <comment ref="H1096" authorId="0" shapeId="0" xr:uid="{9E415210-D494-9144-B2CF-86B62D3B072B}">
      <text>
        <r>
          <rPr>
            <sz val="10"/>
            <color rgb="FF000000"/>
            <rFont val="Aptos Narrow"/>
            <scheme val="minor"/>
          </rPr>
          <t>======
ID#AAABjx7qO9w
    (2025-05-21 11:33:24)
0129 chloe:匯入US$2033</t>
        </r>
      </text>
    </comment>
    <comment ref="H1097" authorId="0" shapeId="0" xr:uid="{108858FA-1C63-1149-8834-09F09BB4AD26}">
      <text>
        <r>
          <rPr>
            <sz val="10"/>
            <color rgb="FF000000"/>
            <rFont val="Aptos Narrow"/>
            <scheme val="minor"/>
          </rPr>
          <t>======
ID#AAABjx7qVfQ
    (2025-05-21 11:33:27)
0321 chloe:收到款項NT229576(與戎克開立發票 差 170元)
0323 chloe: 協議下次補回170</t>
        </r>
      </text>
    </comment>
    <comment ref="H1098" authorId="0" shapeId="0" xr:uid="{D90C0073-1628-4D4B-A72E-0EA9FCD769C8}">
      <text>
        <r>
          <rPr>
            <sz val="10"/>
            <color rgb="FF000000"/>
            <rFont val="Aptos Narrow"/>
            <scheme val="minor"/>
          </rPr>
          <t>======
ID#AAABjx7qVzk
    (2025-05-21 11:33:27)
0221 chloe:已匯入US$843</t>
        </r>
      </text>
    </comment>
    <comment ref="M1098" authorId="0" shapeId="0" xr:uid="{FE2062C2-9748-484F-ACFB-9FDD72D67B32}">
      <text>
        <r>
          <rPr>
            <sz val="10"/>
            <color rgb="FF000000"/>
            <rFont val="Aptos Narrow"/>
            <scheme val="minor"/>
          </rPr>
          <t>======
ID#AAABjx7qOuQ
    (2025-05-21 11:33:24)
預計1/29到貨</t>
        </r>
      </text>
    </comment>
    <comment ref="Y1098" authorId="0" shapeId="0" xr:uid="{C76086EA-92D8-A14B-925F-803EA5EACA8E}">
      <text>
        <r>
          <rPr>
            <sz val="10"/>
            <color rgb="FF000000"/>
            <rFont val="Aptos Narrow"/>
            <scheme val="minor"/>
          </rPr>
          <t>======
ID#AAABjx7qV5o
    (2025-05-21 11:33:27)
0202 chloe:發票已在1月份給予會計</t>
        </r>
      </text>
    </comment>
    <comment ref="H1099" authorId="0" shapeId="0" xr:uid="{7AA651DD-A000-0743-B356-22E384CCAC78}">
      <text>
        <r>
          <rPr>
            <sz val="10"/>
            <color rgb="FF000000"/>
            <rFont val="Aptos Narrow"/>
            <scheme val="minor"/>
          </rPr>
          <t>======
ID#AAABjx7qWGQ
    (2025-05-21 11:33:27)
20180116 Santiago 收到銀行通知</t>
        </r>
      </text>
    </comment>
    <comment ref="K1099" authorId="0" shapeId="0" xr:uid="{0C489A9C-923B-7042-BB19-F16FE80EB763}">
      <text>
        <r>
          <rPr>
            <sz val="10"/>
            <color rgb="FF000000"/>
            <rFont val="Aptos Narrow"/>
            <scheme val="minor"/>
          </rPr>
          <t>======
ID#AAABjx7qMw8
0111 Santiago     (2025-05-21 11:33:23)
出貨前請Benson拍照</t>
        </r>
      </text>
    </comment>
    <comment ref="H1100" authorId="0" shapeId="0" xr:uid="{19607F38-DD1D-0A42-9F5D-AB8F616816A0}">
      <text>
        <r>
          <rPr>
            <sz val="10"/>
            <color rgb="FF000000"/>
            <rFont val="Aptos Narrow"/>
            <scheme val="minor"/>
          </rPr>
          <t>======
ID#AAABjx7qSJU
    (2025-05-21 11:33:26)
20180116 Santiago 收到銀行通知</t>
        </r>
      </text>
    </comment>
    <comment ref="K1100" authorId="0" shapeId="0" xr:uid="{E613D357-E8E8-444B-9C9A-F8634F510829}">
      <text>
        <r>
          <rPr>
            <sz val="10"/>
            <color rgb="FF000000"/>
            <rFont val="Aptos Narrow"/>
            <scheme val="minor"/>
          </rPr>
          <t>======
ID#AAABjx7qOLI
0111 Santiago     (2025-05-21 11:33:24)
出貨前請Benson拍照</t>
        </r>
      </text>
    </comment>
    <comment ref="E1101" authorId="0" shapeId="0" xr:uid="{428E6036-71D0-9C4A-8B19-9E45799887B5}">
      <text>
        <r>
          <rPr>
            <sz val="10"/>
            <color rgb="FF000000"/>
            <rFont val="Aptos Narrow"/>
            <scheme val="minor"/>
          </rPr>
          <t>======
ID#AAABjx7qU2U
0108 Santiago     (2025-05-21 11:33:26)
原為S760K 是錯誤connector
應為PC722A 才對
0213 chloe:維田型號AHM-6877</t>
        </r>
      </text>
    </comment>
    <comment ref="H1101" authorId="0" shapeId="0" xr:uid="{ACDED613-4FE8-9945-B94C-51DCD314E72D}">
      <text>
        <r>
          <rPr>
            <sz val="10"/>
            <color rgb="FF000000"/>
            <rFont val="Aptos Narrow"/>
            <scheme val="minor"/>
          </rPr>
          <t>======
ID#AAABjx7qQrU
    (2025-05-21 11:33:25)
0214chloe:收到客戶匯款水單，銀行尚未通知
0221 chloe:收到款項US$3477</t>
        </r>
      </text>
    </comment>
    <comment ref="K1101" authorId="0" shapeId="0" xr:uid="{C09B0021-DFE2-3B4B-8C05-FAA0B9F94EEB}">
      <text>
        <r>
          <rPr>
            <sz val="10"/>
            <color rgb="FF000000"/>
            <rFont val="Aptos Narrow"/>
            <scheme val="minor"/>
          </rPr>
          <t>======
ID#AAABjx7qPnY
0111 Santiago     (2025-05-21 11:33:24)
出貨前請Benson拍照</t>
        </r>
      </text>
    </comment>
    <comment ref="H1102" authorId="0" shapeId="0" xr:uid="{F6421E79-6827-1F4A-ACEA-CC69726F99DF}">
      <text>
        <r>
          <rPr>
            <sz val="10"/>
            <color rgb="FF000000"/>
            <rFont val="Aptos Narrow"/>
            <scheme val="minor"/>
          </rPr>
          <t>======
ID#AAABjx7qN34
    (2025-05-21 11:33:23)
0316 chloe:收到客戶水單，待銀行通知
0323 chloe:匯款匯入US$2,604.50</t>
        </r>
      </text>
    </comment>
    <comment ref="H1103" authorId="0" shapeId="0" xr:uid="{AF68F856-9929-934F-BF1C-3BECB0AC25D8}">
      <text>
        <r>
          <rPr>
            <sz val="10"/>
            <color rgb="FF000000"/>
            <rFont val="Aptos Narrow"/>
            <scheme val="minor"/>
          </rPr>
          <t>======
ID#AAABjx7qPCE
    (2025-05-21 11:33:24)
0316 chloe:收到客戶水單，待銀行通知
0323 chloe:匯款匯入US$2,604.50</t>
        </r>
      </text>
    </comment>
    <comment ref="H1104" authorId="0" shapeId="0" xr:uid="{DFEAFBB6-597E-BF4E-A0CF-95900093A27F}">
      <text>
        <r>
          <rPr>
            <sz val="10"/>
            <color rgb="FF000000"/>
            <rFont val="Aptos Narrow"/>
            <scheme val="minor"/>
          </rPr>
          <t>======
ID#AAABjx7qPd4
    (2025-05-21 11:33:24)
0316 chloe:收到客戶水單，待銀行通知
0323 chloe:匯款匯入US$2,604.50</t>
        </r>
      </text>
    </comment>
    <comment ref="H1105" authorId="0" shapeId="0" xr:uid="{399F1EEE-7314-4B4E-A6C7-A5429E96C98C}">
      <text>
        <r>
          <rPr>
            <sz val="10"/>
            <color rgb="FF000000"/>
            <rFont val="Aptos Narrow"/>
            <scheme val="minor"/>
          </rPr>
          <t>======
ID#AAABjx7qQsE
    (2025-05-21 11:33:25)
0316 chloe:收到客戶水單，待銀行通知
0323 chloe:匯款匯入US$2,604.50</t>
        </r>
      </text>
    </comment>
    <comment ref="H1106" authorId="0" shapeId="0" xr:uid="{DC43FB33-D37E-A34D-AC17-F3AB04184212}">
      <text>
        <r>
          <rPr>
            <sz val="10"/>
            <color rgb="FF000000"/>
            <rFont val="Aptos Narrow"/>
            <scheme val="minor"/>
          </rPr>
          <t>======
ID#AAABjx7qQnM
    (2025-05-21 11:33:25)
0316 chloe:收到客戶水單，待銀行通知
0323 chloe:匯款匯入US$2,604.50</t>
        </r>
      </text>
    </comment>
    <comment ref="H1107" authorId="0" shapeId="0" xr:uid="{122CB52F-D986-D148-AD19-5F03F10F1398}">
      <text>
        <r>
          <rPr>
            <sz val="10"/>
            <color rgb="FF000000"/>
            <rFont val="Aptos Narrow"/>
            <scheme val="minor"/>
          </rPr>
          <t>======
ID#AAABjx7qP9A
    (2025-05-21 11:33:25)
0124 chloe:入帳US$1113</t>
        </r>
      </text>
    </comment>
    <comment ref="K1107" authorId="0" shapeId="0" xr:uid="{B404C50A-859F-F647-91A7-04A96DE07AAB}">
      <text>
        <r>
          <rPr>
            <sz val="10"/>
            <color rgb="FF000000"/>
            <rFont val="Aptos Narrow"/>
            <scheme val="minor"/>
          </rPr>
          <t>======
ID#AAABjx7qRPw
0111 Santiago     (2025-05-21 11:33:25)
出貨前請Benson拍照</t>
        </r>
      </text>
    </comment>
    <comment ref="M1107" authorId="0" shapeId="0" xr:uid="{50FAE897-3984-444E-B695-C0AE0F5A3624}">
      <text>
        <r>
          <rPr>
            <sz val="10"/>
            <color rgb="FF000000"/>
            <rFont val="Aptos Narrow"/>
            <scheme val="minor"/>
          </rPr>
          <t>======
ID#AAABjx7qOVE
    (2025-05-21 11:33:24)
預計1/18到貨</t>
        </r>
      </text>
    </comment>
    <comment ref="H1108" authorId="0" shapeId="0" xr:uid="{1591B83D-73A0-604C-B351-8C1B88DC7265}">
      <text>
        <r>
          <rPr>
            <sz val="10"/>
            <color rgb="FF000000"/>
            <rFont val="Aptos Narrow"/>
            <scheme val="minor"/>
          </rPr>
          <t>======
ID#AAABjx7qP-4
    (2025-05-21 11:33:25)
0124 chloe:入帳US$1113</t>
        </r>
      </text>
    </comment>
    <comment ref="K1108" authorId="0" shapeId="0" xr:uid="{F38B4283-3AF1-CF4A-B9AB-D41A4DC72C74}">
      <text>
        <r>
          <rPr>
            <sz val="10"/>
            <color rgb="FF000000"/>
            <rFont val="Aptos Narrow"/>
            <scheme val="minor"/>
          </rPr>
          <t>======
ID#AAABjx7qUyM
0111 Santiago     (2025-05-21 11:33:26)
出貨前請Benson拍照</t>
        </r>
      </text>
    </comment>
    <comment ref="H1109" authorId="0" shapeId="0" xr:uid="{FEE3AEB2-5800-FC46-8ED2-4706AB6926AB}">
      <text>
        <r>
          <rPr>
            <sz val="10"/>
            <color rgb="FF000000"/>
            <rFont val="Aptos Narrow"/>
            <scheme val="minor"/>
          </rPr>
          <t>======
ID#AAABjx7qVzE
    (2025-05-21 11:33:27)
0312 chloe:匯入US$8026</t>
        </r>
      </text>
    </comment>
    <comment ref="H1110" authorId="0" shapeId="0" xr:uid="{DF9C6ADF-2553-3F47-BEC1-6FAB74AD2A4B}">
      <text>
        <r>
          <rPr>
            <sz val="10"/>
            <color rgb="FF000000"/>
            <rFont val="Aptos Narrow"/>
            <scheme val="minor"/>
          </rPr>
          <t>======
ID#AAABjx7qPvM
    (2025-05-21 11:33:24)
0312 chloe:匯入US$8026</t>
        </r>
      </text>
    </comment>
    <comment ref="H1111" authorId="0" shapeId="0" xr:uid="{0A9D917F-E52A-264A-A77B-5CE4774E9467}">
      <text>
        <r>
          <rPr>
            <sz val="10"/>
            <color rgb="FF000000"/>
            <rFont val="Aptos Narrow"/>
            <scheme val="minor"/>
          </rPr>
          <t>======
ID#AAABjx7qRiY
    (2025-05-21 11:33:25)
0312 chloe:匯入US$8026</t>
        </r>
      </text>
    </comment>
    <comment ref="H1112" authorId="0" shapeId="0" xr:uid="{237DE187-B5B0-1545-8103-B47C1AD4669C}">
      <text>
        <r>
          <rPr>
            <sz val="10"/>
            <color rgb="FF000000"/>
            <rFont val="Aptos Narrow"/>
            <scheme val="minor"/>
          </rPr>
          <t>======
ID#AAABjx7qTW0
    (2025-05-21 11:33:26)
0308 chloe: 匯入款項US$2294</t>
        </r>
      </text>
    </comment>
    <comment ref="M1112" authorId="0" shapeId="0" xr:uid="{3A46EFC9-2B37-E74B-80E6-3443D145E3EE}">
      <text>
        <r>
          <rPr>
            <sz val="10"/>
            <color rgb="FF000000"/>
            <rFont val="Aptos Narrow"/>
            <scheme val="minor"/>
          </rPr>
          <t>======
ID#AAABjx7qU6c
    (2025-05-21 11:33:27)
預計3/8到貨</t>
        </r>
      </text>
    </comment>
    <comment ref="H1113" authorId="0" shapeId="0" xr:uid="{5F2D6CC8-8FF1-5C45-A7AD-3108EF2E96E2}">
      <text>
        <r>
          <rPr>
            <sz val="10"/>
            <color rgb="FF000000"/>
            <rFont val="Aptos Narrow"/>
            <scheme val="minor"/>
          </rPr>
          <t>======
ID#AAABjx7qSZE
    (2025-05-21 11:33:26)
0130 chloe:匯款匯入US$272</t>
        </r>
      </text>
    </comment>
    <comment ref="M1113" authorId="0" shapeId="0" xr:uid="{B2F3ED60-30E6-5F42-9276-EEF6922A822F}">
      <text>
        <r>
          <rPr>
            <sz val="10"/>
            <color rgb="FF000000"/>
            <rFont val="Aptos Narrow"/>
            <scheme val="minor"/>
          </rPr>
          <t>======
ID#AAABjx7qS-s
    (2025-05-21 11:33:26)
預計1/23到貨</t>
        </r>
      </text>
    </comment>
    <comment ref="E1114" authorId="0" shapeId="0" xr:uid="{76EBD424-30B1-A742-8CCC-9B6F54C05208}">
      <text>
        <r>
          <rPr>
            <sz val="10"/>
            <color rgb="FF000000"/>
            <rFont val="Aptos Narrow"/>
            <scheme val="minor"/>
          </rPr>
          <t>======
ID#AAABjx7qPW8
    (2025-05-21 11:33:24)
0122 chloe:AD board kits 無須點亮</t>
        </r>
      </text>
    </comment>
    <comment ref="H1114" authorId="0" shapeId="0" xr:uid="{94250813-3C01-A840-961F-3D2FE59D5420}">
      <text>
        <r>
          <rPr>
            <sz val="10"/>
            <color rgb="FF000000"/>
            <rFont val="Aptos Narrow"/>
            <scheme val="minor"/>
          </rPr>
          <t>======
ID#AAABjx7qWO0
    (2025-05-21 11:33:27)
0130 chloe:匯款匯入US$272</t>
        </r>
      </text>
    </comment>
    <comment ref="H1115" authorId="0" shapeId="0" xr:uid="{83862CAF-169D-6D4E-B7A2-2698B5468247}">
      <text>
        <r>
          <rPr>
            <sz val="10"/>
            <color rgb="FF000000"/>
            <rFont val="Aptos Narrow"/>
            <scheme val="minor"/>
          </rPr>
          <t>======
ID#AAABjx7qQyM
    (2025-05-21 11:33:25)
0306 chloe:收到匯款NT972610</t>
        </r>
      </text>
    </comment>
    <comment ref="E1116" authorId="0" shapeId="0" xr:uid="{59E1ECE2-F08A-0F4B-885F-9D19022C5C6C}">
      <text>
        <r>
          <rPr>
            <sz val="10"/>
            <color rgb="FF000000"/>
            <rFont val="Aptos Narrow"/>
            <scheme val="minor"/>
          </rPr>
          <t>======
ID#AAABjx7qTrU
    (2025-05-21 11:33:26)
20170104 Santiago: 和之前訂單一樣, w/o adapter</t>
        </r>
      </text>
    </comment>
    <comment ref="H1116" authorId="0" shapeId="0" xr:uid="{D036D48E-EB0A-7D4E-B084-293EEF7C37C4}">
      <text>
        <r>
          <rPr>
            <sz val="10"/>
            <color rgb="FF000000"/>
            <rFont val="Aptos Narrow"/>
            <scheme val="minor"/>
          </rPr>
          <t>======
ID#AAABjx7qOBc
    (2025-05-21 11:33:24)
0306 chloe:收到匯款NT972610</t>
        </r>
      </text>
    </comment>
    <comment ref="H1117" authorId="0" shapeId="0" xr:uid="{7479D502-8B65-9E48-A9E3-9F617A5D7219}">
      <text>
        <r>
          <rPr>
            <sz val="10"/>
            <color rgb="FF000000"/>
            <rFont val="Aptos Narrow"/>
            <scheme val="minor"/>
          </rPr>
          <t>======
ID#AAABjx7qREg
    (2025-05-21 11:33:25)
0406 chloe匯款匯入US$7,637.50</t>
        </r>
      </text>
    </comment>
    <comment ref="H1118" authorId="0" shapeId="0" xr:uid="{48B5AFA3-6193-C047-9F81-D56AC49521CA}">
      <text>
        <r>
          <rPr>
            <sz val="10"/>
            <color rgb="FF000000"/>
            <rFont val="Aptos Narrow"/>
            <scheme val="minor"/>
          </rPr>
          <t>======
ID#AAABj82dpNM
    (2025-05-21 11:33:23)
0315 chloe: 收到系統通知，銀行端尚未放款
0316 chloe: 匯款匯入US$8750</t>
        </r>
      </text>
    </comment>
    <comment ref="M1118" authorId="0" shapeId="0" xr:uid="{556398ED-6CE2-4040-891B-01316689DD09}">
      <text>
        <r>
          <rPr>
            <sz val="10"/>
            <color rgb="FF000000"/>
            <rFont val="Aptos Narrow"/>
            <scheme val="minor"/>
          </rPr>
          <t>======
ID#AAABjx7qWM4
    (2025-05-21 11:33:27)
預計2/5到貨</t>
        </r>
      </text>
    </comment>
    <comment ref="H1119" authorId="0" shapeId="0" xr:uid="{60E87DD2-24D1-FD46-83EA-E011255690A3}">
      <text>
        <r>
          <rPr>
            <sz val="10"/>
            <color rgb="FF000000"/>
            <rFont val="Aptos Narrow"/>
            <scheme val="minor"/>
          </rPr>
          <t>======
ID#AAABjx7qS3k
    (2025-05-21 11:33:26)
0315 chloe: 收到系統通知，銀行端尚未放款
0316 chloe: 匯款匯入US$8750</t>
        </r>
      </text>
    </comment>
    <comment ref="M1119" authorId="0" shapeId="0" xr:uid="{A2CE237D-4C43-A343-8A6D-3773B35A3294}">
      <text>
        <r>
          <rPr>
            <sz val="10"/>
            <color rgb="FF000000"/>
            <rFont val="Aptos Narrow"/>
            <scheme val="minor"/>
          </rPr>
          <t>======
ID#AAABjx7qU7Y
    (2025-05-21 11:33:27)
預計2/5到貨</t>
        </r>
      </text>
    </comment>
    <comment ref="H1120" authorId="0" shapeId="0" xr:uid="{85DD66AA-A011-3B4C-966C-8523EDCDB97F}">
      <text>
        <r>
          <rPr>
            <sz val="10"/>
            <color rgb="FF000000"/>
            <rFont val="Aptos Narrow"/>
            <scheme val="minor"/>
          </rPr>
          <t>======
ID#AAABjx7qQ0I
    (2025-05-21 11:33:25)
0315 chloe: 收到系統通知，銀行端尚未放款
0316 chloe: 匯款匯入US$8750</t>
        </r>
      </text>
    </comment>
    <comment ref="M1120" authorId="0" shapeId="0" xr:uid="{D97D34D6-00C1-9D43-BAF5-E18D8FE92718}">
      <text>
        <r>
          <rPr>
            <sz val="10"/>
            <color rgb="FF000000"/>
            <rFont val="Aptos Narrow"/>
            <scheme val="minor"/>
          </rPr>
          <t>======
ID#AAABjx7qPOE
    (2025-05-21 11:33:24)
預計2/5到貨</t>
        </r>
      </text>
    </comment>
    <comment ref="E1121" authorId="0" shapeId="0" xr:uid="{6DDD6D40-C78B-874F-B5FB-5743E1714D61}">
      <text>
        <r>
          <rPr>
            <sz val="10"/>
            <color rgb="FF000000"/>
            <rFont val="Aptos Narrow"/>
            <scheme val="minor"/>
          </rPr>
          <t>======
ID#AAABjx7qSnI
    (2025-05-21 11:33:26)
出口 INVOICE 打成型號 I5-3610</t>
        </r>
      </text>
    </comment>
    <comment ref="H1121" authorId="0" shapeId="0" xr:uid="{6F1A48C9-7985-974F-801F-20BFA1C73E4F}">
      <text>
        <r>
          <rPr>
            <sz val="10"/>
            <color rgb="FF000000"/>
            <rFont val="Aptos Narrow"/>
            <scheme val="minor"/>
          </rPr>
          <t>======
ID#AAABjx7qTUo
    (2025-05-21 11:33:26)
0315 chloe: 收到系統通知，銀行端尚未放款
0316 chloe: 匯款匯入US$8750</t>
        </r>
      </text>
    </comment>
    <comment ref="M1121" authorId="0" shapeId="0" xr:uid="{BC16D716-2E1A-7D4B-AF76-388F49611114}">
      <text>
        <r>
          <rPr>
            <sz val="10"/>
            <color rgb="FF000000"/>
            <rFont val="Aptos Narrow"/>
            <scheme val="minor"/>
          </rPr>
          <t>======
ID#AAABjx7qTFA
    (2025-05-21 11:33:26)
預計1/31到貨</t>
        </r>
      </text>
    </comment>
    <comment ref="AB1121" authorId="0" shapeId="0" xr:uid="{4C6F729A-7BC7-9D4A-AF52-62AA28836DA7}">
      <text>
        <r>
          <rPr>
            <sz val="10"/>
            <color rgb="FF000000"/>
            <rFont val="Aptos Narrow"/>
            <scheme val="minor"/>
          </rPr>
          <t>======
ID#AAABjx7qNyE
    (2025-05-21 11:33:23)
出口報單打成I5-3610</t>
        </r>
      </text>
    </comment>
    <comment ref="H1122" authorId="0" shapeId="0" xr:uid="{02081862-724E-184A-88D3-FA55E709CBE6}">
      <text>
        <r>
          <rPr>
            <sz val="10"/>
            <color rgb="FF000000"/>
            <rFont val="Aptos Narrow"/>
            <scheme val="minor"/>
          </rPr>
          <t>======
ID#AAABjx7qNdI
    (2025-05-21 11:33:23)
0209 chloe: 匯入款項US49990;剩餘款項23201 預計2/12當週匯款
0301 chloe:匯入款項23181</t>
        </r>
      </text>
    </comment>
    <comment ref="J1122" authorId="0" shapeId="0" xr:uid="{6B7B17E5-EE83-564E-8EBE-87F503E055C0}">
      <text>
        <r>
          <rPr>
            <sz val="10"/>
            <color rgb="FF000000"/>
            <rFont val="Aptos Narrow"/>
            <scheme val="minor"/>
          </rPr>
          <t>======
ID#AAABjx7qVaQ
20180212 Santiago    (2025-05-21 11:33:27)
Christine 已請美灣拉貨. 
因為SA的FedEx 不能使用
未來下午四點前若不提供戎克訂單的運輸方式. 一律延到隔日出</t>
        </r>
      </text>
    </comment>
    <comment ref="H1123" authorId="0" shapeId="0" xr:uid="{677F2901-3FDA-EC4A-9615-E397530062AB}">
      <text>
        <r>
          <rPr>
            <sz val="10"/>
            <color rgb="FF000000"/>
            <rFont val="Aptos Narrow"/>
            <scheme val="minor"/>
          </rPr>
          <t>======
ID#AAABjx7qQQA
    (2025-05-21 11:33:25)
0209 chloe: 匯入款項US49990;剩餘款項23201 預計2/12當週匯款
0301 chloe:匯入款項23181</t>
        </r>
      </text>
    </comment>
    <comment ref="J1123" authorId="0" shapeId="0" xr:uid="{2527DA96-8D55-2848-8BD7-E5421F004B78}">
      <text>
        <r>
          <rPr>
            <sz val="10"/>
            <color rgb="FF000000"/>
            <rFont val="Aptos Narrow"/>
            <scheme val="minor"/>
          </rPr>
          <t>======
ID#AAABjx7qWFI
20180212 Santiago    (2025-05-21 11:33:27)
Christine 已請美灣拉貨. 
因為SA的FedEx 不能使用
未來下午四點前若不提供戎克訂單的運輸方式. 一律延到隔日出</t>
        </r>
      </text>
    </comment>
    <comment ref="M1123" authorId="0" shapeId="0" xr:uid="{38303EFB-2CC0-644F-AA53-87600ABEED47}">
      <text>
        <r>
          <rPr>
            <sz val="10"/>
            <color rgb="FF000000"/>
            <rFont val="Aptos Narrow"/>
            <scheme val="minor"/>
          </rPr>
          <t>======
ID#AAABjx7qR9I
    (2025-05-21 11:33:25)
預計1/31到貨</t>
        </r>
      </text>
    </comment>
    <comment ref="G1124" authorId="0" shapeId="0" xr:uid="{8ADAD5E0-1F67-9C44-8D3A-B43281A970A2}">
      <text>
        <r>
          <rPr>
            <sz val="10"/>
            <color rgb="FF000000"/>
            <rFont val="Aptos Narrow"/>
            <scheme val="minor"/>
          </rPr>
          <t>======
ID#AAABjx7qOF4
    (2025-05-21 11:33:24)
w/5%VAT</t>
        </r>
      </text>
    </comment>
    <comment ref="H1124" authorId="0" shapeId="0" xr:uid="{657D067A-6163-A940-A13A-1E40B2EFD6ED}">
      <text>
        <r>
          <rPr>
            <sz val="10"/>
            <color rgb="FF000000"/>
            <rFont val="Aptos Narrow"/>
            <scheme val="minor"/>
          </rPr>
          <t>======
ID#AAABjx7qRJ0
    (2025-05-21 11:33:25)
0327 chloe:收到匯款NT17,564</t>
        </r>
      </text>
    </comment>
    <comment ref="H1125" authorId="0" shapeId="0" xr:uid="{AEB233F4-43EA-0B43-9CE9-23ED4AD168F1}">
      <text>
        <r>
          <rPr>
            <sz val="10"/>
            <color rgb="FF000000"/>
            <rFont val="Aptos Narrow"/>
            <scheme val="minor"/>
          </rPr>
          <t>======
ID#AAABj82dpK4
    (2025-05-21 11:33:23)
0323 chloe: 匯款匯入US$3757</t>
        </r>
      </text>
    </comment>
    <comment ref="M1125" authorId="0" shapeId="0" xr:uid="{593BD2BC-66F5-0B47-B075-F44D08478588}">
      <text>
        <r>
          <rPr>
            <sz val="10"/>
            <color rgb="FF000000"/>
            <rFont val="Aptos Narrow"/>
            <scheme val="minor"/>
          </rPr>
          <t>======
ID#AAABjx7qQA0
    (2025-05-21 11:33:25)
預計1/29到貨</t>
        </r>
      </text>
    </comment>
    <comment ref="H1126" authorId="0" shapeId="0" xr:uid="{4817B7C4-AB95-CF4B-8F7A-9F72BE3C8CE7}">
      <text>
        <r>
          <rPr>
            <sz val="10"/>
            <color rgb="FF000000"/>
            <rFont val="Aptos Narrow"/>
            <scheme val="minor"/>
          </rPr>
          <t>======
ID#AAABjx7qSFE
    (2025-05-21 11:33:26)
0420 chloe: 匯款匯入US$9526</t>
        </r>
      </text>
    </comment>
    <comment ref="M1126" authorId="0" shapeId="0" xr:uid="{CAA5F933-D03F-8843-9350-BFD1D244D27A}">
      <text>
        <r>
          <rPr>
            <sz val="10"/>
            <color rgb="FF000000"/>
            <rFont val="Aptos Narrow"/>
            <scheme val="minor"/>
          </rPr>
          <t>======
ID#AAABjx7qS2Q
    (2025-05-21 11:33:26)
0221 chloe:已請閎亮看是否能提早一週
預計3/15到貨</t>
        </r>
      </text>
    </comment>
    <comment ref="O1126" authorId="0" shapeId="0" xr:uid="{45B654F8-8F44-0D43-9D14-9EB3C86B221B}">
      <text>
        <r>
          <rPr>
            <sz val="10"/>
            <color rgb="FF000000"/>
            <rFont val="Aptos Narrow"/>
            <scheme val="minor"/>
          </rPr>
          <t>======
ID#AAABjx7qND4
    (2025-05-21 11:33:23)
180301 Tammy: 請Leon任抽2台實測</t>
        </r>
      </text>
    </comment>
    <comment ref="H1127" authorId="0" shapeId="0" xr:uid="{9D13280B-D4C2-2740-AAF5-526AB36CA3A1}">
      <text>
        <r>
          <rPr>
            <sz val="10"/>
            <color rgb="FF000000"/>
            <rFont val="Aptos Narrow"/>
            <scheme val="minor"/>
          </rPr>
          <t>======
ID#AAABjx7qVjY
    (2025-05-21 11:33:27)
0420 chloe: 匯款匯入US$9526</t>
        </r>
      </text>
    </comment>
    <comment ref="H1128" authorId="0" shapeId="0" xr:uid="{DF96C144-96C4-F04B-986C-9E35FBB793F2}">
      <text>
        <r>
          <rPr>
            <sz val="10"/>
            <color rgb="FF000000"/>
            <rFont val="Aptos Narrow"/>
            <scheme val="minor"/>
          </rPr>
          <t>======
ID#AAABjx7qOcU
    (2025-05-21 11:33:24)
0420 chloe: 匯款匯入US$9526</t>
        </r>
      </text>
    </comment>
    <comment ref="H1129" authorId="0" shapeId="0" xr:uid="{27267547-06AA-D847-840A-87993301A28F}">
      <text>
        <r>
          <rPr>
            <sz val="10"/>
            <color rgb="FF000000"/>
            <rFont val="Aptos Narrow"/>
            <scheme val="minor"/>
          </rPr>
          <t>======
ID#AAABjx7qVkk
    (2025-05-21 11:33:27)
0215 chloe:入帳US$20,042.50</t>
        </r>
      </text>
    </comment>
    <comment ref="H1131" authorId="0" shapeId="0" xr:uid="{DA904F8A-76C6-BC4F-BA86-15FB60D02702}">
      <text>
        <r>
          <rPr>
            <sz val="10"/>
            <color rgb="FF000000"/>
            <rFont val="Aptos Narrow"/>
            <scheme val="minor"/>
          </rPr>
          <t>======
ID#AAABjx7qP_I
    (2025-05-21 11:33:25)
0406 chloe匯款匯入US$7,637.50</t>
        </r>
      </text>
    </comment>
    <comment ref="M1131" authorId="0" shapeId="0" xr:uid="{41DBB11E-44C4-0747-A068-B03CE4CEB4B3}">
      <text>
        <r>
          <rPr>
            <sz val="10"/>
            <color rgb="FF000000"/>
            <rFont val="Aptos Narrow"/>
            <scheme val="minor"/>
          </rPr>
          <t>======
ID#AAABjx7qOqc
    (2025-05-21 11:33:24)
預計2/6到貨</t>
        </r>
      </text>
    </comment>
    <comment ref="H1132" authorId="0" shapeId="0" xr:uid="{57B13A12-0681-D34F-AB37-8A5F9320CA2D}">
      <text>
        <r>
          <rPr>
            <sz val="10"/>
            <color rgb="FF000000"/>
            <rFont val="Aptos Narrow"/>
            <scheme val="minor"/>
          </rPr>
          <t>======
ID#AAABjx7qTJU
    (2025-05-21 11:33:26)
0406 chloe匯款匯入US$7,637.50</t>
        </r>
      </text>
    </comment>
    <comment ref="M1132" authorId="0" shapeId="0" xr:uid="{3AB3B7F8-DEB2-D842-8106-C2F7D88A2186}">
      <text>
        <r>
          <rPr>
            <sz val="10"/>
            <color rgb="FF000000"/>
            <rFont val="Aptos Narrow"/>
            <scheme val="minor"/>
          </rPr>
          <t>======
ID#AAABjx7qQ1s
    (2025-05-21 11:33:25)
預計2/9到貨</t>
        </r>
      </text>
    </comment>
    <comment ref="H1133" authorId="0" shapeId="0" xr:uid="{B9F5A533-C9A6-4B41-B478-1C198314CAFE}">
      <text>
        <r>
          <rPr>
            <sz val="10"/>
            <color rgb="FF000000"/>
            <rFont val="Aptos Narrow"/>
            <scheme val="minor"/>
          </rPr>
          <t>======
ID#AAABjx7qO3c
    (2025-05-21 11:33:24)
0406 chloe匯款匯入US$7,637.50</t>
        </r>
      </text>
    </comment>
    <comment ref="M1133" authorId="0" shapeId="0" xr:uid="{BE5FB536-D007-2046-87C3-ED7CA88DDB78}">
      <text>
        <r>
          <rPr>
            <sz val="10"/>
            <color rgb="FF000000"/>
            <rFont val="Aptos Narrow"/>
            <scheme val="minor"/>
          </rPr>
          <t>======
ID#AAABjx7qS84
    (2025-05-21 11:33:26)
預計2/9到貨</t>
        </r>
      </text>
    </comment>
    <comment ref="D1134" authorId="0" shapeId="0" xr:uid="{265CE693-6D16-5F4D-A2A3-A40E3F817DD4}">
      <text>
        <r>
          <rPr>
            <sz val="10"/>
            <color rgb="FF000000"/>
            <rFont val="Aptos Narrow"/>
            <scheme val="minor"/>
          </rPr>
          <t>======
ID#AAABjx7qVjs
    (2025-05-21 11:33:27)
已於4/30 退回MOXA</t>
        </r>
      </text>
    </comment>
    <comment ref="G1134" authorId="0" shapeId="0" xr:uid="{CF021A72-D987-E049-BFC0-F96FEC60640F}">
      <text>
        <r>
          <rPr>
            <sz val="10"/>
            <color rgb="FF000000"/>
            <rFont val="Aptos Narrow"/>
            <scheme val="minor"/>
          </rPr>
          <t>======
ID#AAABjx7qVRw
    (2025-05-21 11:33:27)
0124 Santiago 報價修正為US$168</t>
        </r>
      </text>
    </comment>
    <comment ref="K1134" authorId="0" shapeId="0" xr:uid="{A2A0BE2C-4FE1-434D-8337-009C8E019464}">
      <text>
        <r>
          <rPr>
            <sz val="10"/>
            <color rgb="FF000000"/>
            <rFont val="Aptos Narrow"/>
            <scheme val="minor"/>
          </rPr>
          <t>======
ID#AAABjx7qQyY
    (2025-05-21 11:33:25)
0417 chloe: 5/4 若沒出貨則原貨退回</t>
        </r>
      </text>
    </comment>
    <comment ref="Q1134" authorId="0" shapeId="0" xr:uid="{37B95D04-5254-1145-AFE4-A4C419CBC9D2}">
      <text>
        <r>
          <rPr>
            <sz val="10"/>
            <color rgb="FF000000"/>
            <rFont val="Aptos Narrow"/>
            <scheme val="minor"/>
          </rPr>
          <t>======
ID#AAABjx7qOts
    (2025-05-21 11:33:24)
0223 chloe :2/27 再詢問Santiago是否延期出貨
0302 chloe: 3/6 再詢問Santiago是否延期出貨</t>
        </r>
      </text>
    </comment>
    <comment ref="D1135" authorId="0" shapeId="0" xr:uid="{D2C2441F-06E0-5B44-95D9-C457CF9A895D}">
      <text>
        <r>
          <rPr>
            <sz val="10"/>
            <color rgb="FF000000"/>
            <rFont val="Aptos Narrow"/>
            <scheme val="minor"/>
          </rPr>
          <t>======
ID#AAABjx7qM48
    (2025-05-21 11:33:23)
已於4/30 退回MOXA</t>
        </r>
      </text>
    </comment>
    <comment ref="G1135" authorId="0" shapeId="0" xr:uid="{96F0B5C9-DD64-814C-BC51-9871514E5130}">
      <text>
        <r>
          <rPr>
            <sz val="10"/>
            <color rgb="FF000000"/>
            <rFont val="Aptos Narrow"/>
            <scheme val="minor"/>
          </rPr>
          <t>======
ID#AAABjx7qRTA
    (2025-05-21 11:33:25)
0124 Santiago 報價修正為US$168</t>
        </r>
      </text>
    </comment>
    <comment ref="K1135" authorId="0" shapeId="0" xr:uid="{BC943F67-8CF4-C347-990E-37B8CDE8FF0A}">
      <text>
        <r>
          <rPr>
            <sz val="10"/>
            <color rgb="FF000000"/>
            <rFont val="Aptos Narrow"/>
            <scheme val="minor"/>
          </rPr>
          <t>======
ID#AAABjx7qR3c
    (2025-05-21 11:33:25)
0417 chloe: 5/4 若沒出貨則原貨退回</t>
        </r>
      </text>
    </comment>
    <comment ref="Q1135" authorId="0" shapeId="0" xr:uid="{DBF14CD0-3EE2-1143-86D3-B7F36610C561}">
      <text>
        <r>
          <rPr>
            <sz val="10"/>
            <color rgb="FF000000"/>
            <rFont val="Aptos Narrow"/>
            <scheme val="minor"/>
          </rPr>
          <t>======
ID#AAABjx7qNno
    (2025-05-21 11:33:23)
0223 chloe :2/27 再詢問Santiago是否延期出貨
0302 chloe: 3/6 再詢問Santiago是否延期出貨</t>
        </r>
      </text>
    </comment>
    <comment ref="H1136" authorId="0" shapeId="0" xr:uid="{187AA2BB-61AB-FC45-9325-8990A5CF11F4}">
      <text>
        <r>
          <rPr>
            <sz val="10"/>
            <color rgb="FF000000"/>
            <rFont val="Aptos Narrow"/>
            <scheme val="minor"/>
          </rPr>
          <t>======
ID#AAABjx7qQXE
    (2025-05-21 11:33:25)
0202 chloe: 已匯入US$270</t>
        </r>
      </text>
    </comment>
    <comment ref="H1137" authorId="0" shapeId="0" xr:uid="{CAFBFE73-5027-5448-BCF8-D1C0C016122D}">
      <text>
        <r>
          <rPr>
            <sz val="10"/>
            <color rgb="FF000000"/>
            <rFont val="Aptos Narrow"/>
            <scheme val="minor"/>
          </rPr>
          <t>======
ID#AAABjx7qVXU
    (2025-05-21 11:33:27)
0323 chloe: 匯款匯入US$3757</t>
        </r>
      </text>
    </comment>
    <comment ref="K1137" authorId="0" shapeId="0" xr:uid="{811A065E-CC34-1A4A-9C11-9E1078610755}">
      <text>
        <r>
          <rPr>
            <sz val="10"/>
            <color rgb="FF000000"/>
            <rFont val="Aptos Narrow"/>
            <scheme val="minor"/>
          </rPr>
          <t>======
ID#AAABjx7qRus
0111 Santiago     (2025-05-21 11:33:25)
出貨前請Ken 下去/拍照</t>
        </r>
      </text>
    </comment>
    <comment ref="M1137" authorId="0" shapeId="0" xr:uid="{8A159083-84C1-2D46-A535-6AC185FCBAFA}">
      <text>
        <r>
          <rPr>
            <sz val="10"/>
            <color rgb="FF000000"/>
            <rFont val="Aptos Narrow"/>
            <scheme val="minor"/>
          </rPr>
          <t>======
ID#AAABjx7qRDo
    (2025-05-21 11:33:25)
預計2/6到貨</t>
        </r>
      </text>
    </comment>
    <comment ref="H1138" authorId="0" shapeId="0" xr:uid="{F28BD0FA-3CAE-2F4C-86F1-1A04A39FE209}">
      <text>
        <r>
          <rPr>
            <sz val="10"/>
            <color rgb="FF000000"/>
            <rFont val="Aptos Narrow"/>
            <scheme val="minor"/>
          </rPr>
          <t>======
ID#AAABjx7qS50
    (2025-05-21 11:33:26)
0418 chloe:匯款匯入US$350</t>
        </r>
      </text>
    </comment>
    <comment ref="M1138" authorId="0" shapeId="0" xr:uid="{8ACA3A46-3D8D-6D47-A634-803500040FF3}">
      <text>
        <r>
          <rPr>
            <sz val="10"/>
            <color rgb="FF000000"/>
            <rFont val="Aptos Narrow"/>
            <scheme val="minor"/>
          </rPr>
          <t>======
ID#AAABjx7qSb0
    (2025-05-21 11:33:26)
180212 Tammy: 艾訊出貨時，會附上一個歐規電源，請拿出，不要一起出貨，留戎克
180302 Leon：到貨的Power Cord為美規不是歐規
預計3/7到貨</t>
        </r>
      </text>
    </comment>
    <comment ref="H1139" authorId="0" shapeId="0" xr:uid="{7C2EC974-0E3E-CE4F-9CB9-0721618EA6F2}">
      <text>
        <r>
          <rPr>
            <sz val="10"/>
            <color rgb="FF000000"/>
            <rFont val="Aptos Narrow"/>
            <scheme val="minor"/>
          </rPr>
          <t>======
ID#AAABjx7qRsc
    (2025-05-21 11:33:25)
0329 chloe 匯款匯入US$9609</t>
        </r>
      </text>
    </comment>
    <comment ref="M1139" authorId="0" shapeId="0" xr:uid="{544DA54E-1E68-8A49-A1A2-AC4B5C35D972}">
      <text>
        <r>
          <rPr>
            <sz val="10"/>
            <color rgb="FF000000"/>
            <rFont val="Aptos Narrow"/>
            <scheme val="minor"/>
          </rPr>
          <t>======
ID#AAABjx7qNLo
    (2025-05-21 11:33:23)
0205 chloe: 客戶希望提早出貨，故VECOM交期有變更</t>
        </r>
      </text>
    </comment>
    <comment ref="H1140" authorId="0" shapeId="0" xr:uid="{B34E1A62-0549-E345-ACE1-3FAF95E70330}">
      <text>
        <r>
          <rPr>
            <sz val="10"/>
            <color rgb="FF000000"/>
            <rFont val="Aptos Narrow"/>
            <scheme val="minor"/>
          </rPr>
          <t>======
ID#AAABjx7qV-U
    (2025-05-21 11:33:27)
0329 chloe 匯款匯入US$9609</t>
        </r>
      </text>
    </comment>
    <comment ref="M1140" authorId="0" shapeId="0" xr:uid="{1C1713E4-823C-6B43-9FF0-3FCBDECFE94F}">
      <text>
        <r>
          <rPr>
            <sz val="10"/>
            <color rgb="FF000000"/>
            <rFont val="Aptos Narrow"/>
            <scheme val="minor"/>
          </rPr>
          <t>======
ID#AAABjx7qQds
    (2025-05-21 11:33:25)
0205 chloe:原定Vecow組裝，修改為LEON組裝
預計2/9到貨</t>
        </r>
      </text>
    </comment>
    <comment ref="H1141" authorId="0" shapeId="0" xr:uid="{DBF28AA1-6C82-2C4F-855C-E90809F8DC31}">
      <text>
        <r>
          <rPr>
            <sz val="10"/>
            <color rgb="FF000000"/>
            <rFont val="Aptos Narrow"/>
            <scheme val="minor"/>
          </rPr>
          <t>======
ID#AAABjx7qNkw
    (2025-05-21 11:33:23)
0406 chloe匯款匯入US$7,637.50</t>
        </r>
      </text>
    </comment>
    <comment ref="M1141" authorId="0" shapeId="0" xr:uid="{188F2B21-4409-074A-B025-5E30C6E2C8A0}">
      <text>
        <r>
          <rPr>
            <sz val="10"/>
            <color rgb="FF000000"/>
            <rFont val="Aptos Narrow"/>
            <scheme val="minor"/>
          </rPr>
          <t>======
ID#AAABjx7qVuE
    (2025-05-21 11:33:27)
預計2/6到貨</t>
        </r>
      </text>
    </comment>
    <comment ref="H1142" authorId="0" shapeId="0" xr:uid="{0358AE87-91C8-E243-A2EB-F8440136035B}">
      <text>
        <r>
          <rPr>
            <sz val="10"/>
            <color rgb="FF000000"/>
            <rFont val="Aptos Narrow"/>
            <scheme val="minor"/>
          </rPr>
          <t>======
ID#AAABjx7qU78
    (2025-05-21 11:33:27)
0329 chloe 匯款匯入US$9609</t>
        </r>
      </text>
    </comment>
    <comment ref="M1142" authorId="0" shapeId="0" xr:uid="{FD096EC8-EB11-8D4B-B9A7-DA301BB8ACD5}">
      <text>
        <r>
          <rPr>
            <sz val="10"/>
            <color rgb="FF000000"/>
            <rFont val="Aptos Narrow"/>
            <scheme val="minor"/>
          </rPr>
          <t>======
ID#AAABjx7qQiI
    (2025-05-21 11:33:25)
0205 chloe: 客戶希望提早出貨，故交期有變更</t>
        </r>
      </text>
    </comment>
    <comment ref="H1143" authorId="0" shapeId="0" xr:uid="{9818622B-FBB0-DB4A-BC2F-AC6FEA4F8E9D}">
      <text>
        <r>
          <rPr>
            <sz val="10"/>
            <color rgb="FF000000"/>
            <rFont val="Aptos Narrow"/>
            <scheme val="minor"/>
          </rPr>
          <t>======
ID#AAABjx7qTHM
    (2025-05-21 11:33:26)
0329 chloe 匯款匯入US$9609</t>
        </r>
      </text>
    </comment>
    <comment ref="M1143" authorId="0" shapeId="0" xr:uid="{8F7B4644-032C-1540-B2BB-A336B56E5167}">
      <text>
        <r>
          <rPr>
            <sz val="10"/>
            <color rgb="FF000000"/>
            <rFont val="Aptos Narrow"/>
            <scheme val="minor"/>
          </rPr>
          <t>======
ID#AAABjx7qV7M
    (2025-05-21 11:33:27)
0202 chloe:若宸耀貨物可以提前，則DRAM可以提前叫進來</t>
        </r>
      </text>
    </comment>
    <comment ref="H1144" authorId="0" shapeId="0" xr:uid="{0694F72B-25AB-E447-A4A5-D1ACFA989CB8}">
      <text>
        <r>
          <rPr>
            <sz val="10"/>
            <color rgb="FF000000"/>
            <rFont val="Aptos Narrow"/>
            <scheme val="minor"/>
          </rPr>
          <t>======
ID#AAABjx7qVws
    (2025-05-21 11:33:27)
0329 chloe 匯款匯入US$9609</t>
        </r>
      </text>
    </comment>
    <comment ref="M1144" authorId="0" shapeId="0" xr:uid="{B4D51AE5-476F-354C-94FF-3DE3BF515085}">
      <text>
        <r>
          <rPr>
            <sz val="10"/>
            <color rgb="FF000000"/>
            <rFont val="Aptos Narrow"/>
            <scheme val="minor"/>
          </rPr>
          <t>======
ID#AAABjx7qRCo
    (2025-05-21 11:33:25)
0205 chloe: 客戶希望提早出貨，故交期有變更</t>
        </r>
      </text>
    </comment>
    <comment ref="H1145" authorId="0" shapeId="0" xr:uid="{303D3814-E2B3-8044-869A-6B581C00EBC3}">
      <text>
        <r>
          <rPr>
            <sz val="10"/>
            <color rgb="FF000000"/>
            <rFont val="Aptos Narrow"/>
            <scheme val="minor"/>
          </rPr>
          <t>======
ID#AAABjx7qNO0
    (2025-05-21 11:33:23)
0323 chloe: 匯款匯入US$3757</t>
        </r>
      </text>
    </comment>
    <comment ref="M1145" authorId="0" shapeId="0" xr:uid="{972E2B42-65F2-C540-8C6F-71196454BBF9}">
      <text>
        <r>
          <rPr>
            <sz val="10"/>
            <color rgb="FF000000"/>
            <rFont val="Aptos Narrow"/>
            <scheme val="minor"/>
          </rPr>
          <t>======
ID#AAABjx7qOwA
    (2025-05-21 11:33:24)
預計2/13到貨</t>
        </r>
      </text>
    </comment>
    <comment ref="H1146" authorId="0" shapeId="0" xr:uid="{9BDA763A-1EBD-FF42-9266-B9E37E6DBCEC}">
      <text>
        <r>
          <rPr>
            <sz val="10"/>
            <color rgb="FF000000"/>
            <rFont val="Aptos Narrow"/>
            <scheme val="minor"/>
          </rPr>
          <t>======
ID#AAABjx7qMy8
    (2025-05-21 11:33:23)
0323 chloe: 匯款匯入US$3757</t>
        </r>
      </text>
    </comment>
    <comment ref="M1146" authorId="0" shapeId="0" xr:uid="{B13312CE-9DC7-A34D-A5EC-0A2C149F201F}">
      <text>
        <r>
          <rPr>
            <sz val="10"/>
            <color rgb="FF000000"/>
            <rFont val="Aptos Narrow"/>
            <scheme val="minor"/>
          </rPr>
          <t>======
ID#AAABjx7qM7g
    (2025-05-21 11:33:23)
預計2/13到貨</t>
        </r>
      </text>
    </comment>
    <comment ref="E1147" authorId="0" shapeId="0" xr:uid="{7D9434C9-C746-B34F-AC17-9280C07E3C4D}">
      <text>
        <r>
          <rPr>
            <sz val="10"/>
            <color rgb="FF000000"/>
            <rFont val="Aptos Narrow"/>
            <scheme val="minor"/>
          </rPr>
          <t>======
ID#AAABjx7qS9o
    (2025-05-21 11:33:26)
180206 Karen: 下歐規</t>
        </r>
      </text>
    </comment>
    <comment ref="H1147" authorId="0" shapeId="0" xr:uid="{49B8A611-D1D5-6C43-8445-B804BA72B67A}">
      <text>
        <r>
          <rPr>
            <sz val="10"/>
            <color rgb="FF000000"/>
            <rFont val="Aptos Narrow"/>
            <scheme val="minor"/>
          </rPr>
          <t>======
ID#AAABjx7qQIQ
    (2025-05-21 11:33:25)
0212 chloe:匯款匯入US$1047
0228 Lissa: canceled item, 460 as credit for new order.</t>
        </r>
      </text>
    </comment>
    <comment ref="M1147" authorId="0" shapeId="0" xr:uid="{6ECD72B1-AFA9-7048-BD79-F816463EDA6A}">
      <text>
        <r>
          <rPr>
            <sz val="10"/>
            <color rgb="FF000000"/>
            <rFont val="Aptos Narrow"/>
            <scheme val="minor"/>
          </rPr>
          <t>======
ID#AAABjx7qREE
    (2025-05-21 11:33:25)
0223 chloe:貨物瑕疵，MOXA尚未出貨</t>
        </r>
      </text>
    </comment>
    <comment ref="H1148" authorId="0" shapeId="0" xr:uid="{EE173CAB-4AD8-1348-AE21-EC5B36FC23A5}">
      <text>
        <r>
          <rPr>
            <sz val="10"/>
            <color rgb="FF000000"/>
            <rFont val="Aptos Narrow"/>
            <scheme val="minor"/>
          </rPr>
          <t>======
ID#AAABjx7qMto
    (2025-05-21 11:33:23)
0212 chloe:匯款匯入US$1047</t>
        </r>
      </text>
    </comment>
    <comment ref="M1148" authorId="0" shapeId="0" xr:uid="{77B54550-0CFB-9148-BEBA-34A3D2223B9F}">
      <text>
        <r>
          <rPr>
            <sz val="10"/>
            <color rgb="FF000000"/>
            <rFont val="Aptos Narrow"/>
            <scheme val="minor"/>
          </rPr>
          <t>======
ID#AAABjx7qPMA
    (2025-05-21 11:33:24)
預計2/9到貨</t>
        </r>
      </text>
    </comment>
    <comment ref="E1149" authorId="0" shapeId="0" xr:uid="{9F38DD2B-C8E5-9D47-BA6E-C5D116B1C1E3}">
      <text>
        <r>
          <rPr>
            <sz val="10"/>
            <color rgb="FF000000"/>
            <rFont val="Aptos Narrow"/>
            <scheme val="minor"/>
          </rPr>
          <t>======
ID#AAABjx7qRGQ
    (2025-05-21 11:33:25)
180208 Karen: 因趕交期, 下美規電源</t>
        </r>
      </text>
    </comment>
    <comment ref="H1149" authorId="0" shapeId="0" xr:uid="{05EDDC37-E462-FE4E-AB85-A67CB85F881E}">
      <text>
        <r>
          <rPr>
            <sz val="10"/>
            <color rgb="FF000000"/>
            <rFont val="Aptos Narrow"/>
            <scheme val="minor"/>
          </rPr>
          <t>======
ID#AAABjx7qOWw
    (2025-05-21 11:33:24)
0212 chloe:匯款匯入US$1047</t>
        </r>
      </text>
    </comment>
    <comment ref="M1149" authorId="0" shapeId="0" xr:uid="{35CBA0C6-C2B8-7645-8BF9-71F166440399}">
      <text>
        <r>
          <rPr>
            <sz val="10"/>
            <color rgb="FF000000"/>
            <rFont val="Aptos Narrow"/>
            <scheme val="minor"/>
          </rPr>
          <t>======
ID#AAABjx7qS9U
    (2025-05-21 11:33:26)
預計2/9到貨</t>
        </r>
      </text>
    </comment>
    <comment ref="H1150" authorId="0" shapeId="0" xr:uid="{9E9543F3-7157-E649-AF04-05A0D99DD8F2}">
      <text>
        <r>
          <rPr>
            <sz val="10"/>
            <color rgb="FF000000"/>
            <rFont val="Aptos Narrow"/>
            <scheme val="minor"/>
          </rPr>
          <t>======
ID#AAABjx7qU6w
0307 chloe    (2025-05-21 11:33:27)
若SA 付款 PI-20180205A+PI-20180205B，則PI-20180225A中的Nport 5450I-T &amp; TCC-82 亦可先行出貨
0314 chloe: 匯入款項US$20712</t>
        </r>
      </text>
    </comment>
    <comment ref="K1150" authorId="0" shapeId="0" xr:uid="{4F6333A8-3582-7441-A6E1-7A3B015EA9AA}">
      <text>
        <r>
          <rPr>
            <sz val="10"/>
            <color rgb="FF000000"/>
            <rFont val="Aptos Narrow"/>
            <scheme val="minor"/>
          </rPr>
          <t>======
ID#AAABjx7qNeE
Santiago 0308    (2025-05-21 11:33:23)
本預計3/12出貨, 改3/29, 待SA付款後, 再做時間變更</t>
        </r>
      </text>
    </comment>
    <comment ref="M1150" authorId="0" shapeId="0" xr:uid="{2C15084E-E7CD-E840-8A80-87A9BDF6422A}">
      <text>
        <r>
          <rPr>
            <sz val="10"/>
            <color rgb="FF000000"/>
            <rFont val="Aptos Narrow"/>
            <scheme val="minor"/>
          </rPr>
          <t>======
ID#AAABjx7qTA8
    (2025-05-21 11:33:26)
預計2/28到貨</t>
        </r>
      </text>
    </comment>
    <comment ref="H1151" authorId="0" shapeId="0" xr:uid="{ED796542-C28E-3F4E-B127-931D5FE789E6}">
      <text>
        <r>
          <rPr>
            <sz val="10"/>
            <color rgb="FF000000"/>
            <rFont val="Aptos Narrow"/>
            <scheme val="minor"/>
          </rPr>
          <t>======
ID#AAABjx7qMtA
0307 chloe    (2025-05-21 11:33:23)
若SA 付款 PI-20180205A+PI-20180205B，則PI-20180225A中的Nport 5450I-T &amp; TCC-82 亦可先行出貨
0314 chloe: 匯入款項US$20712</t>
        </r>
      </text>
    </comment>
    <comment ref="K1151" authorId="0" shapeId="0" xr:uid="{D5542CFD-C09D-D540-BC81-E767A1E3502E}">
      <text>
        <r>
          <rPr>
            <sz val="10"/>
            <color rgb="FF000000"/>
            <rFont val="Aptos Narrow"/>
            <scheme val="minor"/>
          </rPr>
          <t>======
ID#AAABjx7qWSk
Santiago 0308    (2025-05-21 11:33:27)
本預計3/12出貨, 改3/29, 待SA付款後, 再做時間變更</t>
        </r>
      </text>
    </comment>
    <comment ref="M1151" authorId="0" shapeId="0" xr:uid="{48022CD5-89D5-2A47-AF95-A314EAEAD77A}">
      <text>
        <r>
          <rPr>
            <sz val="10"/>
            <color rgb="FF000000"/>
            <rFont val="Aptos Narrow"/>
            <scheme val="minor"/>
          </rPr>
          <t>======
ID#AAABjx7qN7A
    (2025-05-21 11:33:23)
預計2/28到貨</t>
        </r>
      </text>
    </comment>
    <comment ref="H1152" authorId="0" shapeId="0" xr:uid="{541E9524-2825-1441-977B-3A97A456E5DF}">
      <text>
        <r>
          <rPr>
            <sz val="10"/>
            <color rgb="FF000000"/>
            <rFont val="Aptos Narrow"/>
            <scheme val="minor"/>
          </rPr>
          <t>======
ID#AAABjx7qSnc
0307 chloe    (2025-05-21 11:33:26)
若SA 付款 PI-20180205A+PI-20180205B，則PI-20180225A中的Nport 5450I-T &amp; TCC-82 亦可先行出貨
0314 chloe: 匯入款項US$20712</t>
        </r>
      </text>
    </comment>
    <comment ref="K1152" authorId="0" shapeId="0" xr:uid="{D6FFE0FD-80AE-8F4C-92D0-7ED974E28483}">
      <text>
        <r>
          <rPr>
            <sz val="10"/>
            <color rgb="FF000000"/>
            <rFont val="Aptos Narrow"/>
            <scheme val="minor"/>
          </rPr>
          <t>======
ID#AAABjx7qWA8
Santiago 0308    (2025-05-21 11:33:27)
本預計3/12出貨, 改3/29, 待SA付款後, 再做時間變更</t>
        </r>
      </text>
    </comment>
    <comment ref="M1152" authorId="0" shapeId="0" xr:uid="{AED11FD0-8D38-B34A-AAAB-1FA99595D22F}">
      <text>
        <r>
          <rPr>
            <sz val="10"/>
            <color rgb="FF000000"/>
            <rFont val="Aptos Narrow"/>
            <scheme val="minor"/>
          </rPr>
          <t>======
ID#AAABjx7qOTQ
    (2025-05-21 11:33:24)
預計2/28到貨</t>
        </r>
      </text>
    </comment>
    <comment ref="H1153" authorId="0" shapeId="0" xr:uid="{D4C647AB-A282-8D43-A1E7-CB5D97EB52BB}">
      <text>
        <r>
          <rPr>
            <sz val="10"/>
            <color rgb="FF000000"/>
            <rFont val="Aptos Narrow"/>
            <scheme val="minor"/>
          </rPr>
          <t>======
ID#AAABjx7qTKI
0307 chloe    (2025-05-21 11:33:26)
若SA 付款 PI-20180205A+PI-20180205B，則PI-20180225A中的Nport 5450I-T &amp; TCC-82 亦可先行出貨
0314 chloe: 匯入款US$20712</t>
        </r>
      </text>
    </comment>
    <comment ref="K1153" authorId="0" shapeId="0" xr:uid="{8D9FEEA5-65B9-6643-A0F1-3A4CFDAB3D48}">
      <text>
        <r>
          <rPr>
            <sz val="10"/>
            <color rgb="FF000000"/>
            <rFont val="Aptos Narrow"/>
            <scheme val="minor"/>
          </rPr>
          <t>======
ID#AAABjx7qVms
Santiago 0308    (2025-05-21 11:33:27)
本預計3/12出貨, 改3/29, 待SA付款後, 再做時間變更</t>
        </r>
      </text>
    </comment>
    <comment ref="M1153" authorId="0" shapeId="0" xr:uid="{81DF580A-3577-FE46-8546-951F22352A85}">
      <text>
        <r>
          <rPr>
            <sz val="10"/>
            <color rgb="FF000000"/>
            <rFont val="Aptos Narrow"/>
            <scheme val="minor"/>
          </rPr>
          <t>======
ID#AAABjx7qV6k
    (2025-05-21 11:33:27)
針對SA Electroequip 的訂單, 若沒收到SA匯款, 就請MOXA先不出貨, 以增加戎克現金流量
預計3/15到貨</t>
        </r>
      </text>
    </comment>
    <comment ref="H1154" authorId="0" shapeId="0" xr:uid="{7F2C5B72-CC58-9641-A3A3-39D82BDF732B}">
      <text>
        <r>
          <rPr>
            <sz val="10"/>
            <color rgb="FF000000"/>
            <rFont val="Aptos Narrow"/>
            <scheme val="minor"/>
          </rPr>
          <t>======
ID#AAABjx7qVu4
0307 chloe    (2025-05-21 11:33:27)
若SA 付款 PI-20180205A+PI-20180205B，則PI-20180225A中的Nport 5450I-T &amp; TCC-82 亦可先行出貨
0314 chloe: 匯入款項US$20712</t>
        </r>
      </text>
    </comment>
    <comment ref="K1154" authorId="0" shapeId="0" xr:uid="{499D9B1E-E2FB-5A4A-9F48-1B58285A2913}">
      <text>
        <r>
          <rPr>
            <sz val="10"/>
            <color rgb="FF000000"/>
            <rFont val="Aptos Narrow"/>
            <scheme val="minor"/>
          </rPr>
          <t>======
ID#AAABjx7qPL0
Santiago 0308    (2025-05-21 11:33:24)
本預計3/12出貨, 改3/29, 待SA付款後, 再做時間變更</t>
        </r>
      </text>
    </comment>
    <comment ref="M1154" authorId="0" shapeId="0" xr:uid="{4DADA3C3-51D2-D348-9AF3-84DDF4BD0080}">
      <text>
        <r>
          <rPr>
            <sz val="10"/>
            <color rgb="FF000000"/>
            <rFont val="Aptos Narrow"/>
            <scheme val="minor"/>
          </rPr>
          <t>======
ID#AAABjx7qNa8
    (2025-05-21 11:33:23)
針對SA Electroequip 的訂單, 若沒收到SA匯款, 就請MOXA先不出貨, 以增加戎克現金流量
預計3/15到貨</t>
        </r>
      </text>
    </comment>
    <comment ref="H1155" authorId="0" shapeId="0" xr:uid="{D6819918-B1AA-A94B-B844-D1A4E71FE952}">
      <text>
        <r>
          <rPr>
            <sz val="10"/>
            <color rgb="FF000000"/>
            <rFont val="Aptos Narrow"/>
            <scheme val="minor"/>
          </rPr>
          <t>======
ID#AAABjx7qVfY
    (2025-05-21 11:33:27)
0329 chloe 匯款匯入US$9609</t>
        </r>
      </text>
    </comment>
    <comment ref="K1155" authorId="0" shapeId="0" xr:uid="{0BD230DF-D001-2D44-B23F-4AAC9449AD81}">
      <text>
        <r>
          <rPr>
            <sz val="10"/>
            <color rgb="FF000000"/>
            <rFont val="Aptos Narrow"/>
            <scheme val="minor"/>
          </rPr>
          <t>======
ID#AAABjx7qShg
    (2025-05-21 11:33:26)
christine0222:連同目錄一起寄出</t>
        </r>
      </text>
    </comment>
    <comment ref="H1156" authorId="0" shapeId="0" xr:uid="{2210B993-75C5-4546-B6B8-9A85E9A8E281}">
      <text>
        <r>
          <rPr>
            <sz val="10"/>
            <color rgb="FF000000"/>
            <rFont val="Aptos Narrow"/>
            <scheme val="minor"/>
          </rPr>
          <t>======
ID#AAABjx7qTXQ
    (2025-05-21 11:33:26)
0329 chloe 匯款匯入US$9609</t>
        </r>
      </text>
    </comment>
    <comment ref="K1156" authorId="0" shapeId="0" xr:uid="{6D1C56D5-1BFA-4248-B977-3DEFB69C0969}">
      <text>
        <r>
          <rPr>
            <sz val="10"/>
            <color rgb="FF000000"/>
            <rFont val="Aptos Narrow"/>
            <scheme val="minor"/>
          </rPr>
          <t>======
ID#AAABjx7qPd0
    (2025-05-21 11:33:24)
christine0222:連同目錄一起寄出</t>
        </r>
      </text>
    </comment>
    <comment ref="M1156" authorId="0" shapeId="0" xr:uid="{E5461FBE-8D31-D54A-8E95-E49C8161D4B9}">
      <text>
        <r>
          <rPr>
            <sz val="10"/>
            <color rgb="FF000000"/>
            <rFont val="Aptos Narrow"/>
            <scheme val="minor"/>
          </rPr>
          <t>======
ID#AAABjx7qQ4E
    (2025-05-21 11:33:25)
預計2/23到貨</t>
        </r>
      </text>
    </comment>
    <comment ref="H1157" authorId="0" shapeId="0" xr:uid="{A467D45B-3DA9-1F4C-90D0-2DDAAB52A93F}">
      <text>
        <r>
          <rPr>
            <sz val="10"/>
            <color rgb="FF000000"/>
            <rFont val="Aptos Narrow"/>
            <scheme val="minor"/>
          </rPr>
          <t>======
ID#AAABjx7qQhw
    (2025-05-21 11:33:25)
0329 chloe 匯款匯入US$9609</t>
        </r>
      </text>
    </comment>
    <comment ref="K1157" authorId="0" shapeId="0" xr:uid="{4423F289-C194-0B4F-BFC8-AE9BBD324D10}">
      <text>
        <r>
          <rPr>
            <sz val="10"/>
            <color rgb="FF000000"/>
            <rFont val="Aptos Narrow"/>
            <scheme val="minor"/>
          </rPr>
          <t>======
ID#AAABjx7qVM0
    (2025-05-21 11:33:27)
christine0222:連同目錄一起寄出</t>
        </r>
      </text>
    </comment>
    <comment ref="H1158" authorId="0" shapeId="0" xr:uid="{447EFAD9-BDCD-3B44-B2FD-A9CDFF2C0747}">
      <text>
        <r>
          <rPr>
            <sz val="10"/>
            <color rgb="FF000000"/>
            <rFont val="Aptos Narrow"/>
            <scheme val="minor"/>
          </rPr>
          <t>======
ID#AAABjx7qTq0
    (2025-05-21 11:33:26)
0329 chloe 匯款匯入US$9609</t>
        </r>
      </text>
    </comment>
    <comment ref="K1158" authorId="0" shapeId="0" xr:uid="{8223DC0B-1594-3140-B3F9-CD0D06862B95}">
      <text>
        <r>
          <rPr>
            <sz val="10"/>
            <color rgb="FF000000"/>
            <rFont val="Aptos Narrow"/>
            <scheme val="minor"/>
          </rPr>
          <t>======
ID#AAABjx7qQ9Y
    (2025-05-21 11:33:25)
christine0222:連同目錄一起寄出</t>
        </r>
      </text>
    </comment>
    <comment ref="W1158" authorId="0" shapeId="0" xr:uid="{C1AD1954-A8DF-8D4B-A340-F1A0F0F60ED0}">
      <text>
        <r>
          <rPr>
            <sz val="10"/>
            <color rgb="FF000000"/>
            <rFont val="Aptos Narrow"/>
            <scheme val="minor"/>
          </rPr>
          <t>======
ID#AAABjx7qU1A
    (2025-05-21 11:33:26)
4/5 再付款</t>
        </r>
      </text>
    </comment>
    <comment ref="H1159" authorId="0" shapeId="0" xr:uid="{B759BDA6-4BD5-1749-9CBF-3B20B069299D}">
      <text>
        <r>
          <rPr>
            <sz val="10"/>
            <color rgb="FF000000"/>
            <rFont val="Aptos Narrow"/>
            <scheme val="minor"/>
          </rPr>
          <t>======
ID#AAABjx7qQ6E
    (2025-05-21 11:33:25)
0329 chloe 匯款匯入US$9609</t>
        </r>
      </text>
    </comment>
    <comment ref="K1159" authorId="0" shapeId="0" xr:uid="{026C1957-421F-D849-BBDF-928F3B551D66}">
      <text>
        <r>
          <rPr>
            <sz val="10"/>
            <color rgb="FF000000"/>
            <rFont val="Aptos Narrow"/>
            <scheme val="minor"/>
          </rPr>
          <t>======
ID#AAABjx7qOfk
    (2025-05-21 11:33:24)
christine0222:連同目錄一起寄出</t>
        </r>
      </text>
    </comment>
    <comment ref="H1161" authorId="0" shapeId="0" xr:uid="{959F0A56-F9C4-0E4B-824D-B1224E05F55E}">
      <text>
        <r>
          <rPr>
            <sz val="10"/>
            <color rgb="FF000000"/>
            <rFont val="Aptos Narrow"/>
            <scheme val="minor"/>
          </rPr>
          <t>======
ID#AAABjx7qS0k
    (2025-05-21 11:33:26)
0323 chloe: 匯款匯入US$3757</t>
        </r>
      </text>
    </comment>
    <comment ref="M1161" authorId="0" shapeId="0" xr:uid="{D08362E8-9CAC-9B4A-B3BB-F1D4FA3C5ED3}">
      <text>
        <r>
          <rPr>
            <sz val="10"/>
            <color rgb="FF000000"/>
            <rFont val="Aptos Narrow"/>
            <scheme val="minor"/>
          </rPr>
          <t>======
ID#AAABjx7qV6E
    (2025-05-21 11:33:27)
預計2/13到貨</t>
        </r>
      </text>
    </comment>
    <comment ref="G1162" authorId="0" shapeId="0" xr:uid="{A83B7495-6428-AE42-B73C-3D82C2A84430}">
      <text>
        <r>
          <rPr>
            <sz val="10"/>
            <color rgb="FF000000"/>
            <rFont val="Aptos Narrow"/>
            <scheme val="minor"/>
          </rPr>
          <t>======
ID#AAABjx7qNjU
    (2025-05-21 11:33:23)
170323 w/ 5%VAT</t>
        </r>
      </text>
    </comment>
    <comment ref="H1162" authorId="0" shapeId="0" xr:uid="{EE5DD57C-F9F2-124B-A0F7-BFBCA834F4A5}">
      <text>
        <r>
          <rPr>
            <sz val="10"/>
            <color rgb="FF000000"/>
            <rFont val="Aptos Narrow"/>
            <scheme val="minor"/>
          </rPr>
          <t>======
ID#AAABjx7qOZc
    (2025-05-21 11:33:24)
0327 chloe:匯款匯入USD$3780</t>
        </r>
      </text>
    </comment>
    <comment ref="G1163" authorId="0" shapeId="0" xr:uid="{7148524A-4165-E64C-95BA-8F89D99DDB6F}">
      <text>
        <r>
          <rPr>
            <sz val="10"/>
            <color rgb="FF000000"/>
            <rFont val="Aptos Narrow"/>
            <scheme val="minor"/>
          </rPr>
          <t>======
ID#AAABjx7qVIo
    (2025-05-21 11:33:27)
w/5%VAT</t>
        </r>
      </text>
    </comment>
    <comment ref="H1163" authorId="0" shapeId="0" xr:uid="{69A662D0-6CBC-9C48-B70C-3EC0EC88A65A}">
      <text>
        <r>
          <rPr>
            <sz val="10"/>
            <color rgb="FF000000"/>
            <rFont val="Aptos Narrow"/>
            <scheme val="minor"/>
          </rPr>
          <t>======
ID#AAABjx7qPNs
    (2025-05-21 11:33:24)
0425 chloe: 匯款匯入NT$26,343</t>
        </r>
      </text>
    </comment>
    <comment ref="H1164" authorId="0" shapeId="0" xr:uid="{C9519436-F5D7-D241-8F49-8BCD6EB10A26}">
      <text>
        <r>
          <rPr>
            <sz val="10"/>
            <color rgb="FF000000"/>
            <rFont val="Aptos Narrow"/>
            <scheme val="minor"/>
          </rPr>
          <t>======
ID#AAABj82dpO8
    (2025-05-21 11:33:23)
0328 chloe:匯款匯入 US$7350</t>
        </r>
      </text>
    </comment>
    <comment ref="H1165" authorId="0" shapeId="0" xr:uid="{F4C850A3-4E7A-DF4D-A960-B6C0B0362D42}">
      <text>
        <r>
          <rPr>
            <sz val="10"/>
            <color rgb="FF000000"/>
            <rFont val="Aptos Narrow"/>
            <scheme val="minor"/>
          </rPr>
          <t>======
ID#AAABjx7qTpo
    (2025-05-21 11:33:26)
0406 chloe匯款匯入US$7,637.50</t>
        </r>
      </text>
    </comment>
    <comment ref="M1165" authorId="0" shapeId="0" xr:uid="{9798C9A0-3289-9943-A248-C5F50D473EC6}">
      <text>
        <r>
          <rPr>
            <sz val="10"/>
            <color rgb="FF000000"/>
            <rFont val="Aptos Narrow"/>
            <scheme val="minor"/>
          </rPr>
          <t>======
ID#AAABjx7qRR0
    (2025-05-21 11:33:25)
預計2/23到貨</t>
        </r>
      </text>
    </comment>
    <comment ref="H1166" authorId="0" shapeId="0" xr:uid="{2A0A1014-BFA5-0E41-9C3C-EB70150E491F}">
      <text>
        <r>
          <rPr>
            <sz val="10"/>
            <color rgb="FF000000"/>
            <rFont val="Aptos Narrow"/>
            <scheme val="minor"/>
          </rPr>
          <t>======
ID#AAABjx7qRJI
    (2025-05-21 11:33:25)
0409 chloe: 收到匯款US$1399</t>
        </r>
      </text>
    </comment>
    <comment ref="M1166" authorId="0" shapeId="0" xr:uid="{2B6B7E14-B87E-9444-BB9E-1D3E53F36E7D}">
      <text>
        <r>
          <rPr>
            <sz val="10"/>
            <color rgb="FF000000"/>
            <rFont val="Aptos Narrow"/>
            <scheme val="minor"/>
          </rPr>
          <t>======
ID#AAABjx7qNHE
    (2025-05-21 11:33:23)
預計2/23到貨</t>
        </r>
      </text>
    </comment>
    <comment ref="H1167" authorId="0" shapeId="0" xr:uid="{013B7FAA-C577-0D4F-81BB-FB3F4D937256}">
      <text>
        <r>
          <rPr>
            <sz val="10"/>
            <color rgb="FF000000"/>
            <rFont val="Aptos Narrow"/>
            <scheme val="minor"/>
          </rPr>
          <t>======
ID#AAABjx7qQb4
    (2025-05-21 11:33:25)
0307 chloe: 匯款匯入US$2198</t>
        </r>
      </text>
    </comment>
    <comment ref="E1168" authorId="0" shapeId="0" xr:uid="{38211CFF-0653-D94E-A5CB-3C9961C7AFED}">
      <text>
        <r>
          <rPr>
            <sz val="10"/>
            <color rgb="FF000000"/>
            <rFont val="Aptos Narrow"/>
            <scheme val="minor"/>
          </rPr>
          <t>======
ID#AAABjx7qOyE
    (2025-05-21 11:33:24)
Karen 180215: w/EU adapter</t>
        </r>
      </text>
    </comment>
    <comment ref="H1168" authorId="0" shapeId="0" xr:uid="{826AF82B-CA58-DD4D-94A4-C465CECD8ABC}">
      <text>
        <r>
          <rPr>
            <sz val="10"/>
            <color rgb="FF000000"/>
            <rFont val="Aptos Narrow"/>
            <scheme val="minor"/>
          </rPr>
          <t>======
ID#AAABjx7qORE
    (2025-05-21 11:33:24)
0307 chloe: 匯款匯入US$2198</t>
        </r>
      </text>
    </comment>
    <comment ref="E1169" authorId="0" shapeId="0" xr:uid="{FF8683C0-6C4A-244C-BC56-98994DAAE489}">
      <text>
        <r>
          <rPr>
            <sz val="10"/>
            <color rgb="FF000000"/>
            <rFont val="Aptos Narrow"/>
            <scheme val="minor"/>
          </rPr>
          <t>======
ID#AAABjx7qNHM
    (2025-05-21 11:33:23)
Karen 180215: w/EU adapter</t>
        </r>
      </text>
    </comment>
    <comment ref="H1169" authorId="0" shapeId="0" xr:uid="{37864E93-301A-6948-AC1B-2E6D2E9E3576}">
      <text>
        <r>
          <rPr>
            <sz val="10"/>
            <color rgb="FF000000"/>
            <rFont val="Aptos Narrow"/>
            <scheme val="minor"/>
          </rPr>
          <t>======
ID#AAABjx7qRTM
    (2025-05-21 11:33:25)
0307 chloe: 匯款匯入US$2198</t>
        </r>
      </text>
    </comment>
    <comment ref="E1170" authorId="0" shapeId="0" xr:uid="{DA7729DF-5589-EE4E-9F6A-AA534C224644}">
      <text>
        <r>
          <rPr>
            <sz val="10"/>
            <color rgb="FF000000"/>
            <rFont val="Aptos Narrow"/>
            <scheme val="minor"/>
          </rPr>
          <t>======
ID#AAABjx7qU9M
    (2025-05-21 11:33:27)
0221 Santiago, 
客戶本來下單CP-134U-I-DB9M V2.3
後來改為 CP-134EL-A-I-DB9M</t>
        </r>
      </text>
    </comment>
    <comment ref="H1170" authorId="0" shapeId="0" xr:uid="{1E5787CC-7EB8-AE4C-BF6D-09F7B172C7D6}">
      <text>
        <r>
          <rPr>
            <sz val="10"/>
            <color rgb="FF000000"/>
            <rFont val="Aptos Narrow"/>
            <scheme val="minor"/>
          </rPr>
          <t>======
ID#AAABjx7qOwc
    (2025-05-21 11:33:24)
0307 chloe: 匯款匯入US$2198</t>
        </r>
      </text>
    </comment>
    <comment ref="E1171" authorId="0" shapeId="0" xr:uid="{F23893F7-3D8A-8644-A5CB-8490CCD13BD7}">
      <text>
        <r>
          <rPr>
            <sz val="10"/>
            <color rgb="FF000000"/>
            <rFont val="Aptos Narrow"/>
            <scheme val="minor"/>
          </rPr>
          <t>======
ID#AAABjx7qQcU
    (2025-05-21 11:33:25)
Karen 180215: w/EU adapter</t>
        </r>
      </text>
    </comment>
    <comment ref="H1171" authorId="0" shapeId="0" xr:uid="{C2172426-C0FE-4345-8104-8FACE2FC912E}">
      <text>
        <r>
          <rPr>
            <sz val="10"/>
            <color rgb="FF000000"/>
            <rFont val="Aptos Narrow"/>
            <scheme val="minor"/>
          </rPr>
          <t>======
ID#AAABjx7qVp0
    (2025-05-21 11:33:27)
0307 chloe: 匯款匯入US$2198</t>
        </r>
      </text>
    </comment>
    <comment ref="H1172" authorId="0" shapeId="0" xr:uid="{FC24D0A4-5DA6-324F-ADA3-928604296D0B}">
      <text>
        <r>
          <rPr>
            <sz val="10"/>
            <color rgb="FF000000"/>
            <rFont val="Aptos Narrow"/>
            <scheme val="minor"/>
          </rPr>
          <t>======
ID#AAABjx7qQ8A
    (2025-05-21 11:33:25)
0427 chloe:匯款匯入US$19820</t>
        </r>
      </text>
    </comment>
    <comment ref="K1172" authorId="0" shapeId="0" xr:uid="{7F3023D5-DFFF-2A43-92A5-A32C8AAA8349}">
      <text>
        <r>
          <rPr>
            <sz val="10"/>
            <color rgb="FF000000"/>
            <rFont val="Aptos Narrow"/>
            <scheme val="minor"/>
          </rPr>
          <t>======
ID#AAABjx7qNJc
    (2025-05-21 11:33:23)
christine 0328 :forwarder 3/28提貨</t>
        </r>
      </text>
    </comment>
    <comment ref="M1172" authorId="0" shapeId="0" xr:uid="{B5F3EFA5-E55B-624D-9C53-F9E1B36E3D58}">
      <text>
        <r>
          <rPr>
            <sz val="10"/>
            <color rgb="FF000000"/>
            <rFont val="Aptos Narrow"/>
            <scheme val="minor"/>
          </rPr>
          <t>======
ID#AAABjx7qUzU
    (2025-05-21 11:33:26)
預計3/26到貨</t>
        </r>
      </text>
    </comment>
    <comment ref="G1173" authorId="0" shapeId="0" xr:uid="{6D520CF6-FBB1-BD45-94CD-2EF3C3394CAE}">
      <text>
        <r>
          <rPr>
            <sz val="10"/>
            <color rgb="FF000000"/>
            <rFont val="Aptos Narrow"/>
            <scheme val="minor"/>
          </rPr>
          <t>======
ID#AAABjx7qSEc
    (2025-05-21 11:33:26)
180221 Tammy: project price for over 50pcs/lot</t>
        </r>
      </text>
    </comment>
    <comment ref="H1173" authorId="0" shapeId="0" xr:uid="{7643AB69-0AAC-9D4F-A586-43312572EB79}">
      <text>
        <r>
          <rPr>
            <sz val="10"/>
            <color rgb="FF000000"/>
            <rFont val="Aptos Narrow"/>
            <scheme val="minor"/>
          </rPr>
          <t>======
ID#AAABjx7qQ50
    (2025-05-21 11:33:25)
0427 chloe:匯款匯入US$19820</t>
        </r>
      </text>
    </comment>
    <comment ref="K1173" authorId="0" shapeId="0" xr:uid="{C968B577-3A34-5C4D-8102-51EF0F27EB6B}">
      <text>
        <r>
          <rPr>
            <sz val="10"/>
            <color rgb="FF000000"/>
            <rFont val="Aptos Narrow"/>
            <scheme val="minor"/>
          </rPr>
          <t>======
ID#AAABjx7qNZM
    (2025-05-21 11:33:23)
christine 0328 :forwarder 3/28提貨</t>
        </r>
      </text>
    </comment>
    <comment ref="M1173" authorId="0" shapeId="0" xr:uid="{6675AF78-9123-E346-9AF9-74BE078F1A89}">
      <text>
        <r>
          <rPr>
            <sz val="10"/>
            <color rgb="FF000000"/>
            <rFont val="Aptos Narrow"/>
            <scheme val="minor"/>
          </rPr>
          <t>======
ID#AAABjx7qVt8
    (2025-05-21 11:33:27)
預計3/26到貨</t>
        </r>
      </text>
    </comment>
    <comment ref="H1174" authorId="0" shapeId="0" xr:uid="{608856C3-0875-8041-96F7-2BE7D7734DFC}">
      <text>
        <r>
          <rPr>
            <sz val="10"/>
            <color rgb="FF000000"/>
            <rFont val="Aptos Narrow"/>
            <scheme val="minor"/>
          </rPr>
          <t>======
ID#AAABjx7qRsQ
    (2025-05-21 11:33:25)
0409 chloe: 收到匯款US$1399</t>
        </r>
      </text>
    </comment>
    <comment ref="M1174" authorId="0" shapeId="0" xr:uid="{7F162012-79AC-B24E-8340-FC9E9F867FA3}">
      <text>
        <r>
          <rPr>
            <sz val="10"/>
            <color rgb="FF000000"/>
            <rFont val="Aptos Narrow"/>
            <scheme val="minor"/>
          </rPr>
          <t>======
ID#AAABjx7qO6E
    (2025-05-21 11:33:24)
預計2/26到貨</t>
        </r>
      </text>
    </comment>
    <comment ref="H1175" authorId="0" shapeId="0" xr:uid="{BE314216-2325-BA48-97CF-D2397AD9A7E9}">
      <text>
        <r>
          <rPr>
            <sz val="10"/>
            <color rgb="FF000000"/>
            <rFont val="Aptos Narrow"/>
            <scheme val="minor"/>
          </rPr>
          <t>======
ID#AAABjx7qPX8
    (2025-05-21 11:33:24)
0423 chloe: 匯款匯入US$19147</t>
        </r>
      </text>
    </comment>
    <comment ref="M1175" authorId="0" shapeId="0" xr:uid="{638DFF58-7096-C549-BBE1-A6EBFC1822E7}">
      <text>
        <r>
          <rPr>
            <sz val="10"/>
            <color rgb="FF000000"/>
            <rFont val="Aptos Narrow"/>
            <scheme val="minor"/>
          </rPr>
          <t>======
ID#AAABjx7qSf8
    (2025-05-21 11:33:26)
預計3/14到貨</t>
        </r>
      </text>
    </comment>
    <comment ref="H1176" authorId="0" shapeId="0" xr:uid="{D9051AA7-5A6F-C347-BDE3-6395702E9F3C}">
      <text>
        <r>
          <rPr>
            <sz val="10"/>
            <color rgb="FF000000"/>
            <rFont val="Aptos Narrow"/>
            <scheme val="minor"/>
          </rPr>
          <t>======
ID#AAABjx7qQ7M
    (2025-05-21 11:33:25)
0423 chloe: 匯款匯入US$19147</t>
        </r>
      </text>
    </comment>
    <comment ref="H1177" authorId="0" shapeId="0" xr:uid="{40D8C2DD-5DC6-7C47-A432-68E01C53F9DC}">
      <text>
        <r>
          <rPr>
            <sz val="10"/>
            <color rgb="FF000000"/>
            <rFont val="Aptos Narrow"/>
            <scheme val="minor"/>
          </rPr>
          <t>======
ID#AAABjx7qRKM
    (2025-05-21 11:33:25)
0423 chloe: 匯款匯入US$19147</t>
        </r>
      </text>
    </comment>
    <comment ref="H1178" authorId="0" shapeId="0" xr:uid="{8BA28313-4526-C44C-B585-351876BE009F}">
      <text>
        <r>
          <rPr>
            <sz val="10"/>
            <color rgb="FF000000"/>
            <rFont val="Aptos Narrow"/>
            <scheme val="minor"/>
          </rPr>
          <t>======
ID#AAABjx7qNlg
    (2025-05-21 11:33:23)
0423 chloe: 匯款匯入US$19147</t>
        </r>
      </text>
    </comment>
    <comment ref="H1179" authorId="0" shapeId="0" xr:uid="{5F045247-FA57-7F4D-8F80-AFF1FBC0295D}">
      <text>
        <r>
          <rPr>
            <sz val="10"/>
            <color rgb="FF000000"/>
            <rFont val="Aptos Narrow"/>
            <scheme val="minor"/>
          </rPr>
          <t>======
ID#AAABjx7qP7g
    (2025-05-21 11:33:24)
0423 chloe: 匯款匯入US$19147</t>
        </r>
      </text>
    </comment>
    <comment ref="E1180" authorId="0" shapeId="0" xr:uid="{8DDD66F3-C6D0-EA42-BCA2-43DA62F6FA1F}">
      <text>
        <r>
          <rPr>
            <sz val="10"/>
            <color rgb="FF000000"/>
            <rFont val="Aptos Narrow"/>
            <scheme val="minor"/>
          </rPr>
          <t>======
ID#AAABjx7qSfU
    (2025-05-21 11:33:26)
S/N：TAGLB1023819
S/N：TAGLB1023802
S/N：TAGLB1023797
S/N：TAGLB1023809
S/N：TAGLB1023815
S/N：TAGLB1023496
S/N：TAGLB1023812</t>
        </r>
      </text>
    </comment>
    <comment ref="H1180" authorId="0" shapeId="0" xr:uid="{5B10836F-BF01-714E-A30B-722D70ECA1E5}">
      <text>
        <r>
          <rPr>
            <sz val="10"/>
            <color rgb="FF000000"/>
            <rFont val="Aptos Narrow"/>
            <scheme val="minor"/>
          </rPr>
          <t>======
ID#AAABjx7qPXc
    (2025-05-21 11:33:24)
0306 chloe:匯款匯入US$593</t>
        </r>
      </text>
    </comment>
    <comment ref="H1181" authorId="0" shapeId="0" xr:uid="{E4692755-3F11-A945-A7E2-4ACBDE77AF81}">
      <text>
        <r>
          <rPr>
            <sz val="10"/>
            <color rgb="FF000000"/>
            <rFont val="Aptos Narrow"/>
            <scheme val="minor"/>
          </rPr>
          <t>======
ID#AAABjx7qSBU
    (2025-05-21 11:33:25)
0306 chloe:匯款匯入US$593</t>
        </r>
      </text>
    </comment>
    <comment ref="H1182" authorId="0" shapeId="0" xr:uid="{E919C2C0-AC68-5247-8B7B-F64E20E4DD8C}">
      <text>
        <r>
          <rPr>
            <sz val="10"/>
            <color rgb="FF000000"/>
            <rFont val="Aptos Narrow"/>
            <scheme val="minor"/>
          </rPr>
          <t>======
ID#AAABjx7qPGI
    (2025-05-21 11:33:24)
0306 chloe: 客戶給予匯款水單，Payment date : 5/2→與銀行確認入帳中
0504 chloe:匯款匯入 US$960</t>
        </r>
      </text>
    </comment>
    <comment ref="H1183" authorId="0" shapeId="0" xr:uid="{A0344E51-6FA0-524D-8517-D5840EF24794}">
      <text>
        <r>
          <rPr>
            <sz val="10"/>
            <color rgb="FF000000"/>
            <rFont val="Aptos Narrow"/>
            <scheme val="minor"/>
          </rPr>
          <t>======
ID#AAABjx7qNnk
    (2025-05-21 11:33:23)
0323 chloe: 客戶預計3/26付款
0410 chloe: 匯款匯入US$21,800</t>
        </r>
      </text>
    </comment>
    <comment ref="M1183" authorId="0" shapeId="0" xr:uid="{94076E2A-39A3-254E-927E-16697B8EB5F5}">
      <text>
        <r>
          <rPr>
            <sz val="10"/>
            <color rgb="FF000000"/>
            <rFont val="Aptos Narrow"/>
            <scheme val="minor"/>
          </rPr>
          <t>======
ID#AAABjx7qP5g
    (2025-05-21 11:33:24)
針對SA Electroequip 的訂單, 若沒收到SA匯款, 就請MOXA先不出貨, 以增加戎克現金流量</t>
        </r>
      </text>
    </comment>
    <comment ref="H1184" authorId="0" shapeId="0" xr:uid="{91B2A33A-0D5D-0643-A146-6CEBE9D9687A}">
      <text>
        <r>
          <rPr>
            <sz val="10"/>
            <color rgb="FF000000"/>
            <rFont val="Aptos Narrow"/>
            <scheme val="minor"/>
          </rPr>
          <t>======
ID#AAABjx7qSpc
    (2025-05-21 11:33:26)
0323 chloe: 客戶預計3/26付款
0410 chloe: 匯款匯入US$21,800</t>
        </r>
      </text>
    </comment>
    <comment ref="M1184" authorId="0" shapeId="0" xr:uid="{6A5CF1AF-8821-6B4C-BB16-DFEE01674CEB}">
      <text>
        <r>
          <rPr>
            <sz val="10"/>
            <color rgb="FF000000"/>
            <rFont val="Aptos Narrow"/>
            <scheme val="minor"/>
          </rPr>
          <t>======
ID#AAABjx7qOoU
    (2025-05-21 11:33:24)
針對SA Electroequip 的訂單, 若沒收到SA匯款, 就請MOXA先不出貨, 以增加戎克現金流量</t>
        </r>
      </text>
    </comment>
    <comment ref="H1185" authorId="0" shapeId="0" xr:uid="{10E22662-41C5-DD42-B401-C05853846384}">
      <text>
        <r>
          <rPr>
            <sz val="10"/>
            <color rgb="FF000000"/>
            <rFont val="Aptos Narrow"/>
            <scheme val="minor"/>
          </rPr>
          <t>======
ID#AAABjx7qUyA
    (2025-05-21 11:33:26)
0323 chloe: 客戶預計3/26付款
0410 chloe: 匯款匯入US$21,800</t>
        </r>
      </text>
    </comment>
    <comment ref="K1185" authorId="0" shapeId="0" xr:uid="{928ECE74-3F37-474F-A69A-AC0350908098}">
      <text>
        <r>
          <rPr>
            <sz val="10"/>
            <color rgb="FF000000"/>
            <rFont val="Aptos Narrow"/>
            <scheme val="minor"/>
          </rPr>
          <t>======
ID#AAABjx7qVLc
Santiago 0308    (2025-05-21 11:33:27)
本預計3/12出貨, 改3/29, 待SA付款後, 再做時間變更</t>
        </r>
      </text>
    </comment>
    <comment ref="M1185" authorId="0" shapeId="0" xr:uid="{82C3877A-EAC9-2847-A7FD-55E5777CF304}">
      <text>
        <r>
          <rPr>
            <sz val="10"/>
            <color rgb="FF000000"/>
            <rFont val="Aptos Narrow"/>
            <scheme val="minor"/>
          </rPr>
          <t>======
ID#AAABjx7qTNU
    (2025-05-21 11:33:26)
針對SA Electroequip 的訂單, 若沒收到SA匯款, 就請MOXA先不出貨, 以增加戎克現金流量
預計3/15到貨</t>
        </r>
      </text>
    </comment>
    <comment ref="H1186" authorId="0" shapeId="0" xr:uid="{548F8A7E-682D-E740-B56A-A1BCD2B2C664}">
      <text>
        <r>
          <rPr>
            <sz val="10"/>
            <color rgb="FF000000"/>
            <rFont val="Aptos Narrow"/>
            <scheme val="minor"/>
          </rPr>
          <t>======
ID#AAABjx7qNkg
    (2025-05-21 11:33:23)
0323 chloe: 客戶預計3/26付款
0410 chloe: 匯款匯入US$21,800</t>
        </r>
      </text>
    </comment>
    <comment ref="K1186" authorId="0" shapeId="0" xr:uid="{FD4D0145-0A7A-D54D-BC4D-5FAB850CAAC4}">
      <text>
        <r>
          <rPr>
            <sz val="10"/>
            <color rgb="FF000000"/>
            <rFont val="Aptos Narrow"/>
            <scheme val="minor"/>
          </rPr>
          <t>======
ID#AAABjx7qNjE
Santiago 0308    (2025-05-21 11:33:23)
本預計3/12出貨, 改3/29, 待SA付款後, 再做時間變更</t>
        </r>
      </text>
    </comment>
    <comment ref="M1186" authorId="0" shapeId="0" xr:uid="{DC0E712C-7A24-AD48-AE92-8E6EC99CED34}">
      <text>
        <r>
          <rPr>
            <sz val="10"/>
            <color rgb="FF000000"/>
            <rFont val="Aptos Narrow"/>
            <scheme val="minor"/>
          </rPr>
          <t>======
ID#AAABjx7qSgc
    (2025-05-21 11:33:26)
針對SA Electroequip 的訂單, 若沒收到SA匯款, 就請MOXA先不出貨, 以增加戎克現金流量
預計3/15到貨</t>
        </r>
      </text>
    </comment>
    <comment ref="E1187" authorId="0" shapeId="0" xr:uid="{C67751BE-0E93-8747-8B71-CBE139B313CB}">
      <text>
        <r>
          <rPr>
            <sz val="10"/>
            <color rgb="FF000000"/>
            <rFont val="Aptos Narrow"/>
            <scheme val="minor"/>
          </rPr>
          <t>======
ID#AAABjx7qQE0
    (2025-05-21 11:33:25)
S/N：AP22LUCR00hfGCD00272
S/N：AP22LUCR00hfGCD00273
S/N：AP22LUCR00hfGCD00274
S/N：AP22LUCR00hfGCD00275
S/N：AP22LUCR00hfGCD00276
S/N：AP22LUCR00hfGCD00277
S/N：AP22LUCR00hfGCD00278
S/N：AP22LUCR00hfGCD00279</t>
        </r>
      </text>
    </comment>
    <comment ref="H1187" authorId="0" shapeId="0" xr:uid="{94F0EAF8-6652-FA48-BAF5-A6DA580DB265}">
      <text>
        <r>
          <rPr>
            <sz val="10"/>
            <color rgb="FF000000"/>
            <rFont val="Aptos Narrow"/>
            <scheme val="minor"/>
          </rPr>
          <t>======
ID#AAABj82dpFA
    (2025-05-21 11:33:23)
0413 chloe: 匯入款項US$9464</t>
        </r>
      </text>
    </comment>
    <comment ref="U1187" authorId="0" shapeId="0" xr:uid="{CD156EFC-6448-A549-A370-F6B9E6462EAD}">
      <text>
        <r>
          <rPr>
            <sz val="10"/>
            <color rgb="FF000000"/>
            <rFont val="Aptos Narrow"/>
            <scheme val="minor"/>
          </rPr>
          <t>======
ID#AAABjx7qTCA
    (2025-05-21 11:33:26)
NT 9000 / PC(專案價)→不含稅</t>
        </r>
      </text>
    </comment>
    <comment ref="D1188" authorId="0" shapeId="0" xr:uid="{7C1D9352-9344-BC43-9369-597940D01FA6}">
      <text>
        <r>
          <rPr>
            <sz val="10"/>
            <color rgb="FF000000"/>
            <rFont val="Aptos Narrow"/>
            <scheme val="minor"/>
          </rPr>
          <t>======
ID#AAABjx7qSvk
    (2025-05-21 11:33:26)
180301 原20180227B, 因可28PCS一起出, 故PI號改為20180227A</t>
        </r>
      </text>
    </comment>
    <comment ref="E1188" authorId="0" shapeId="0" xr:uid="{1F232363-A913-0548-828C-860E9B01FED0}">
      <text>
        <r>
          <rPr>
            <sz val="10"/>
            <color rgb="FF000000"/>
            <rFont val="Aptos Narrow"/>
            <scheme val="minor"/>
          </rPr>
          <t>======
ID#AAABjx7qN18
    (2025-05-21 11:33:23)
S/N：AP22LUCR00hfGCD00252
S/N：AP22LUCR00hfGCD00253
S/N：AP22LUCR00hfGCD00254
S/N：AP22LUCR00hfGCD00255
S/N：AP22LUCR00hfGCD00256
S/N：AP22LUCR00hfGCD00257
S/N：AP22LUCR00hfGCD00258
S/N：AP22LUCR00hfGCD00259
S/N：AP22LUCR00hfGCD00260
S/N：AP22LUCR00hfGCD00261
S/N：AP22LUCR00hfGCD00262
S/N：AP22LUCR00hfGCD00263
S/N：AP22LUCR00hfGCD00264
S/N：AP22LUCR00hfGCD00265
S/N：AP22LUCR00hfGCD00266
S/N：AP22LUCR00hfGCD00267
S/N：AP22LUCR00hfGCD00268
S/N：AP22LUCR00hfGCD00269
S/N：AP22LUCR00hfGCD00270
S/N：AP22LUCR00hfGCD00271</t>
        </r>
      </text>
    </comment>
    <comment ref="H1188" authorId="0" shapeId="0" xr:uid="{72A2E73F-ECE3-7349-A21F-F4250E571507}">
      <text>
        <r>
          <rPr>
            <sz val="10"/>
            <color rgb="FF000000"/>
            <rFont val="Aptos Narrow"/>
            <scheme val="minor"/>
          </rPr>
          <t>======
ID#AAABjx7qQD0
    (2025-05-21 11:33:25)
0413 chloe: 匯入款項US$9464</t>
        </r>
      </text>
    </comment>
    <comment ref="U1188" authorId="0" shapeId="0" xr:uid="{709A16E9-4D88-204A-8346-CE62FE29D944}">
      <text>
        <r>
          <rPr>
            <sz val="10"/>
            <color rgb="FF000000"/>
            <rFont val="Aptos Narrow"/>
            <scheme val="minor"/>
          </rPr>
          <t>======
ID#AAABjx7qPto
    (2025-05-21 11:33:24)
NT 9000 / PC(專案價)→不含稅</t>
        </r>
      </text>
    </comment>
    <comment ref="H1189" authorId="0" shapeId="0" xr:uid="{41A1FAA8-A849-4E48-93BC-7F1BEC4C1172}">
      <text>
        <r>
          <rPr>
            <sz val="10"/>
            <color rgb="FF000000"/>
            <rFont val="Aptos Narrow"/>
            <scheme val="minor"/>
          </rPr>
          <t>======
ID#AAABjx7qOP0
    (2025-05-21 11:33:24)
0413 chloe: 匯入款項US$9464</t>
        </r>
      </text>
    </comment>
    <comment ref="M1189" authorId="0" shapeId="0" xr:uid="{81088E31-0D64-4646-BF09-096D0B6E0E9A}">
      <text>
        <r>
          <rPr>
            <sz val="10"/>
            <color rgb="FF000000"/>
            <rFont val="Aptos Narrow"/>
            <scheme val="minor"/>
          </rPr>
          <t>======
ID#AAABjx7qQPM
    (2025-05-21 11:33:25)
預計到貨日3/6</t>
        </r>
      </text>
    </comment>
    <comment ref="U1189" authorId="0" shapeId="0" xr:uid="{07299BBD-7E77-FE4D-9F52-1A4CAB326E5A}">
      <text>
        <r>
          <rPr>
            <sz val="10"/>
            <color rgb="FF000000"/>
            <rFont val="Aptos Narrow"/>
            <scheme val="minor"/>
          </rPr>
          <t>======
ID#AAABjx7qR_c
0306 chloe    (2025-05-21 11:33:25)
採購下單:7764 ( 價格表2017 Q2)
現已調漲價格:7468(價格表2018Q1)</t>
        </r>
      </text>
    </comment>
    <comment ref="H1190" authorId="0" shapeId="0" xr:uid="{0B1BD8C0-23CD-024D-8AA8-E30DE07E8FF7}">
      <text>
        <r>
          <rPr>
            <sz val="10"/>
            <color rgb="FF000000"/>
            <rFont val="Aptos Narrow"/>
            <scheme val="minor"/>
          </rPr>
          <t>======
ID#AAABjx7qNSY
    (2025-05-21 11:33:23)
0413 chloe: 匯入款項US$9464</t>
        </r>
      </text>
    </comment>
    <comment ref="M1190" authorId="0" shapeId="0" xr:uid="{7955A00F-3CCB-4A4B-98D0-C92037F84F23}">
      <text>
        <r>
          <rPr>
            <sz val="10"/>
            <color rgb="FF000000"/>
            <rFont val="Aptos Narrow"/>
            <scheme val="minor"/>
          </rPr>
          <t>======
ID#AAABjx7qRmo
    (2025-05-21 11:33:25)
預計到貨日3/6</t>
        </r>
      </text>
    </comment>
    <comment ref="U1190" authorId="0" shapeId="0" xr:uid="{792001C0-059F-7946-A6E9-24D244491B57}">
      <text>
        <r>
          <rPr>
            <sz val="10"/>
            <color rgb="FF000000"/>
            <rFont val="Aptos Narrow"/>
            <scheme val="minor"/>
          </rPr>
          <t>======
ID#AAABjx7qSxg
0306 chloe    (2025-05-21 11:33:26)
採購下單:2774 ( 價格表2017 Q2)
現已調漲價格:2668(價格表2018Q1)</t>
        </r>
      </text>
    </comment>
    <comment ref="H1191" authorId="0" shapeId="0" xr:uid="{623628E2-5710-0649-9E08-050D5A5001DE}">
      <text>
        <r>
          <rPr>
            <sz val="10"/>
            <color rgb="FF000000"/>
            <rFont val="Aptos Narrow"/>
            <scheme val="minor"/>
          </rPr>
          <t>======
ID#AAABjx7qO6k
    (2025-05-21 11:33:24)
0417 chloe:收到匯款NT451,402</t>
        </r>
      </text>
    </comment>
    <comment ref="H1192" authorId="0" shapeId="0" xr:uid="{6239FF6B-206A-2443-B980-CEDABF813651}">
      <text>
        <r>
          <rPr>
            <sz val="10"/>
            <color rgb="FF000000"/>
            <rFont val="Aptos Narrow"/>
            <scheme val="minor"/>
          </rPr>
          <t>======
ID#AAABjx7qQ6s
    (2025-05-21 11:33:25)
0423 chloe: 匯款匯入US$19147</t>
        </r>
      </text>
    </comment>
    <comment ref="J1192" authorId="0" shapeId="0" xr:uid="{56FF9D5B-C20D-E242-B598-0F2BB6E74576}">
      <text>
        <r>
          <rPr>
            <sz val="10"/>
            <color rgb="FF000000"/>
            <rFont val="Aptos Narrow"/>
            <scheme val="minor"/>
          </rPr>
          <t>======
ID#AAABjx7qO6M
    (2025-05-21 11:33:24)
103A Mary Street RICHMOND, VIC, 3121 Australia
Att Jim MacDougall
+61 417 714 528</t>
        </r>
      </text>
    </comment>
    <comment ref="K1192" authorId="0" shapeId="0" xr:uid="{08773FBA-1897-664E-B7EE-49AA8F8977AB}">
      <text>
        <r>
          <rPr>
            <sz val="10"/>
            <color rgb="FF000000"/>
            <rFont val="Aptos Narrow"/>
            <scheme val="minor"/>
          </rPr>
          <t>======
ID#AAABjx7qSMw
    (2025-05-21 11:33:26)
貨到請通知Ken、謝謝！</t>
        </r>
      </text>
    </comment>
    <comment ref="H1193" authorId="0" shapeId="0" xr:uid="{B14C529B-1D34-5642-A8EE-96C3FEF785E4}">
      <text>
        <r>
          <rPr>
            <sz val="10"/>
            <color rgb="FF000000"/>
            <rFont val="Aptos Narrow"/>
            <scheme val="minor"/>
          </rPr>
          <t>======
ID#AAABjx7qRnk
    (2025-05-21 11:33:25)
0323 chloe: 1月份貨款短缺170元，注意是否補回
0417 chloe: 已匯入款項 NT5669+ NT170</t>
        </r>
      </text>
    </comment>
    <comment ref="K1193" authorId="0" shapeId="0" xr:uid="{D5CFE9FF-4FAC-194C-A078-B05FE2F2F7A4}">
      <text>
        <r>
          <rPr>
            <sz val="10"/>
            <color rgb="FF000000"/>
            <rFont val="Aptos Narrow"/>
            <scheme val="minor"/>
          </rPr>
          <t>======
ID#AAABjx7qWB0
0303 Santiago     (2025-05-21 11:33:27)
3/19到貨新竹</t>
        </r>
      </text>
    </comment>
    <comment ref="H1194" authorId="0" shapeId="0" xr:uid="{7701D01A-FFC1-474C-985F-74D00E5E4260}">
      <text>
        <r>
          <rPr>
            <sz val="10"/>
            <color rgb="FF000000"/>
            <rFont val="Aptos Narrow"/>
            <scheme val="minor"/>
          </rPr>
          <t>======
ID#AAABjx7qOX4
    (2025-05-21 11:33:24)
0312 chloe:匯入US$1,098</t>
        </r>
      </text>
    </comment>
    <comment ref="H1195" authorId="0" shapeId="0" xr:uid="{3972ED45-D3EA-684E-ADE5-A744843E620B}">
      <text>
        <r>
          <rPr>
            <sz val="10"/>
            <color rgb="FF000000"/>
            <rFont val="Aptos Narrow"/>
            <scheme val="minor"/>
          </rPr>
          <t>======
ID#AAABjx7qVoU
    (2025-05-21 11:33:27)
0312 chloe:匯入US$1,098</t>
        </r>
      </text>
    </comment>
    <comment ref="H1196" authorId="0" shapeId="0" xr:uid="{0276A7CA-2EDC-E342-83DE-1B518FD5FDD4}">
      <text>
        <r>
          <rPr>
            <sz val="10"/>
            <color rgb="FF000000"/>
            <rFont val="Aptos Narrow"/>
            <scheme val="minor"/>
          </rPr>
          <t>======
ID#AAABjx7qPrc
    (2025-05-21 11:33:24)
0323 chloe:匯入US$402</t>
        </r>
      </text>
    </comment>
    <comment ref="M1196" authorId="0" shapeId="0" xr:uid="{CB42491B-7FE4-9D46-91E8-6A46D0C7431E}">
      <text>
        <r>
          <rPr>
            <sz val="10"/>
            <color rgb="FF000000"/>
            <rFont val="Aptos Narrow"/>
            <scheme val="minor"/>
          </rPr>
          <t>======
ID#AAABjx7qVKk
    (2025-05-21 11:33:27)
預計3/26到貨</t>
        </r>
      </text>
    </comment>
    <comment ref="H1197" authorId="0" shapeId="0" xr:uid="{4E0BBEFF-5FAB-EA41-A7A4-F238BBC604FE}">
      <text>
        <r>
          <rPr>
            <sz val="10"/>
            <color rgb="FF000000"/>
            <rFont val="Aptos Narrow"/>
            <scheme val="minor"/>
          </rPr>
          <t>======
ID#AAABjx7qOMA
    (2025-05-21 11:33:24)
因匯損虧錢
0316 chloe: 收到支票NT14745 4/11兌現 待合庫通知→4/13 已兌</t>
        </r>
      </text>
    </comment>
    <comment ref="H1198" authorId="0" shapeId="0" xr:uid="{5B4FEDD0-45CE-904F-A4D4-06EB35AF16B2}">
      <text>
        <r>
          <rPr>
            <sz val="10"/>
            <color rgb="FF000000"/>
            <rFont val="Aptos Narrow"/>
            <scheme val="minor"/>
          </rPr>
          <t>======
ID#AAABjx7qSeg
    (2025-05-21 11:33:26)
0417 chloe: 收到匯款US$2661</t>
        </r>
      </text>
    </comment>
    <comment ref="H1199" authorId="0" shapeId="0" xr:uid="{431EEAB1-15DF-FE4A-B9ED-E38B02D2790F}">
      <text>
        <r>
          <rPr>
            <sz val="10"/>
            <color rgb="FF000000"/>
            <rFont val="Aptos Narrow"/>
            <scheme val="minor"/>
          </rPr>
          <t>======
ID#AAABjx7qTO4
    (2025-05-21 11:33:26)
0417 chloe: 收到匯款US$2661</t>
        </r>
      </text>
    </comment>
    <comment ref="H1200" authorId="0" shapeId="0" xr:uid="{BA73B4C9-A1F6-A045-A02A-C6BE46777629}">
      <text>
        <r>
          <rPr>
            <sz val="10"/>
            <color rgb="FF000000"/>
            <rFont val="Aptos Narrow"/>
            <scheme val="minor"/>
          </rPr>
          <t>======
ID#AAABjx7qPwo
    (2025-05-21 11:33:24)
0417 chloe: 收到匯款US$2661</t>
        </r>
      </text>
    </comment>
    <comment ref="H1201" authorId="0" shapeId="0" xr:uid="{B90059DA-D453-7A44-965F-6C416D02E34D}">
      <text>
        <r>
          <rPr>
            <sz val="10"/>
            <color rgb="FF000000"/>
            <rFont val="Aptos Narrow"/>
            <scheme val="minor"/>
          </rPr>
          <t>======
ID#AAABjx7qPxU
    (2025-05-21 11:33:24)
0417 chloe: 收到匯款US$2661</t>
        </r>
      </text>
    </comment>
    <comment ref="H1202" authorId="0" shapeId="0" xr:uid="{AD9EBE03-76B4-AF47-943B-ECF39D1E8DF9}">
      <text>
        <r>
          <rPr>
            <sz val="10"/>
            <color rgb="FF000000"/>
            <rFont val="Aptos Narrow"/>
            <scheme val="minor"/>
          </rPr>
          <t>======
ID#AAABjx7qSIE
    (2025-05-21 11:33:26)
0420 chloe: 匯款匯入US$9526</t>
        </r>
      </text>
    </comment>
    <comment ref="U1202" authorId="0" shapeId="0" xr:uid="{1FEA7317-4536-1743-964D-7AEDC1C2F777}">
      <text>
        <r>
          <rPr>
            <sz val="10"/>
            <color rgb="FF000000"/>
            <rFont val="Aptos Narrow"/>
            <scheme val="minor"/>
          </rPr>
          <t>======
ID#AAABjx7qRgU
    (2025-05-21 11:33:25)
0308 chloe: 因去年PO-20171129A戎克採購單與發票金額不同，故此單之發票金額會show 1PC 金額2146.5(含稅)</t>
        </r>
      </text>
    </comment>
    <comment ref="H1203" authorId="0" shapeId="0" xr:uid="{8610C589-32C3-AB41-9BEA-C2A0BC0C62D4}">
      <text>
        <r>
          <rPr>
            <sz val="10"/>
            <color rgb="FF000000"/>
            <rFont val="Aptos Narrow"/>
            <scheme val="minor"/>
          </rPr>
          <t>======
ID#AAABjx7qVVU
    (2025-05-21 11:33:27)
0420 chloe: 匯款匯入US$9526</t>
        </r>
      </text>
    </comment>
    <comment ref="U1203" authorId="0" shapeId="0" xr:uid="{E60EE2B6-5113-D941-8984-4854BD2CBA52}">
      <text>
        <r>
          <rPr>
            <sz val="10"/>
            <color rgb="FF000000"/>
            <rFont val="Aptos Narrow"/>
            <scheme val="minor"/>
          </rPr>
          <t>======
ID#AAABjx7qSiw
    (2025-05-21 11:33:26)
0308 chloe: 因去年PO-20171129A戎克採購單與發票金額不同，故此單之發票金額會show 1PC 金額5220.5(含稅)</t>
        </r>
      </text>
    </comment>
    <comment ref="H1204" authorId="0" shapeId="0" xr:uid="{1DDA1E01-B629-274C-966D-2DE4D6199823}">
      <text>
        <r>
          <rPr>
            <sz val="10"/>
            <color rgb="FF000000"/>
            <rFont val="Aptos Narrow"/>
            <scheme val="minor"/>
          </rPr>
          <t>======
ID#AAABjx7qM_U
    (2025-05-21 11:33:23)
0411 Santiago: 預計4/12 付款
0430 chloe: 匯款匯入US$27340</t>
        </r>
      </text>
    </comment>
    <comment ref="H1205" authorId="0" shapeId="0" xr:uid="{6A94D725-B85A-C744-9872-94D91449B168}">
      <text>
        <r>
          <rPr>
            <sz val="10"/>
            <color rgb="FF000000"/>
            <rFont val="Aptos Narrow"/>
            <scheme val="minor"/>
          </rPr>
          <t>======
ID#AAABjx7qNB4
    (2025-05-21 11:33:23)
0419 chloe:匯款匯入US$8750</t>
        </r>
      </text>
    </comment>
    <comment ref="M1205" authorId="0" shapeId="0" xr:uid="{801A8D93-0103-5746-91BB-561897792873}">
      <text>
        <r>
          <rPr>
            <sz val="10"/>
            <color rgb="FF000000"/>
            <rFont val="Aptos Narrow"/>
            <scheme val="minor"/>
          </rPr>
          <t>======
ID#AAABjx7qS3Y
    (2025-05-21 11:33:26)
Leon：2018/3/30只收到9 PCS
            2018/4/3收到1PCS</t>
        </r>
      </text>
    </comment>
    <comment ref="H1206" authorId="0" shapeId="0" xr:uid="{CB5B5F18-06F8-FB4F-8C9A-AEEEEA0E3CCD}">
      <text>
        <r>
          <rPr>
            <sz val="10"/>
            <color rgb="FF000000"/>
            <rFont val="Aptos Narrow"/>
            <scheme val="minor"/>
          </rPr>
          <t>======
ID#AAABjx7qVps
    (2025-05-21 11:33:27)
0419 chloe:匯款匯入US$8750</t>
        </r>
      </text>
    </comment>
    <comment ref="H1207" authorId="0" shapeId="0" xr:uid="{0C15F3EC-BAEB-F649-855C-68654E690781}">
      <text>
        <r>
          <rPr>
            <sz val="10"/>
            <color rgb="FF000000"/>
            <rFont val="Aptos Narrow"/>
            <scheme val="minor"/>
          </rPr>
          <t>======
ID#AAABjx7qP90
    (2025-05-21 11:33:25)
0419 chloe:匯款匯入US$8750</t>
        </r>
      </text>
    </comment>
    <comment ref="M1207" authorId="0" shapeId="0" xr:uid="{C87EAFB6-4E99-974B-94B7-2D4C668EE25F}">
      <text>
        <r>
          <rPr>
            <sz val="10"/>
            <color rgb="FF000000"/>
            <rFont val="Aptos Narrow"/>
            <scheme val="minor"/>
          </rPr>
          <t>======
ID#AAABjx7qOZU
    (2025-05-21 11:33:24)
Leon：2018/3/30只收到9 PCS
             2018/4/3收到1PCS</t>
        </r>
      </text>
    </comment>
    <comment ref="H1208" authorId="0" shapeId="0" xr:uid="{44D98805-634C-2943-A66F-D21A6F781D76}">
      <text>
        <r>
          <rPr>
            <sz val="10"/>
            <color rgb="FF000000"/>
            <rFont val="Aptos Narrow"/>
            <scheme val="minor"/>
          </rPr>
          <t>======
ID#AAABj82dpJo
    (2025-05-21 11:33:23)
0419 chloe:匯款匯入US$8750</t>
        </r>
      </text>
    </comment>
    <comment ref="M1208" authorId="0" shapeId="0" xr:uid="{7DC811A3-79C7-3A4E-9150-2D5AF5019952}">
      <text>
        <r>
          <rPr>
            <sz val="10"/>
            <color rgb="FF000000"/>
            <rFont val="Aptos Narrow"/>
            <scheme val="minor"/>
          </rPr>
          <t>======
ID#AAABjx7qTOM
    (2025-05-21 11:33:26)
Leon：2018/3/30只收到9 PCS
            2018/4/3收到1PCS</t>
        </r>
      </text>
    </comment>
    <comment ref="H1209" authorId="0" shapeId="0" xr:uid="{C97CE1A1-1D63-1742-81EF-05BC17C93F9B}">
      <text>
        <r>
          <rPr>
            <sz val="10"/>
            <color rgb="FF000000"/>
            <rFont val="Aptos Narrow"/>
            <scheme val="minor"/>
          </rPr>
          <t>======
ID#AAABjx7qQq0
    (2025-05-21 11:33:25)
0427 chloe:匯款匯入US$780</t>
        </r>
      </text>
    </comment>
    <comment ref="M1209" authorId="0" shapeId="0" xr:uid="{06E7195A-0F34-2E40-80A5-1BDBB50507CE}">
      <text>
        <r>
          <rPr>
            <sz val="10"/>
            <color rgb="FF000000"/>
            <rFont val="Aptos Narrow"/>
            <scheme val="minor"/>
          </rPr>
          <t>======
ID#AAABjx7qRTQ
    (2025-05-21 11:33:25)
預計3/19到貨</t>
        </r>
      </text>
    </comment>
    <comment ref="H1210" authorId="0" shapeId="0" xr:uid="{D693F438-0C1D-EC41-A3CD-C47F0F1B54F4}">
      <text>
        <r>
          <rPr>
            <sz val="10"/>
            <color rgb="FF000000"/>
            <rFont val="Aptos Narrow"/>
            <scheme val="minor"/>
          </rPr>
          <t>======
ID#AAABjx7qNQ8
    (2025-05-21 11:33:23)
0611 chloe:  匯款匯入8756</t>
        </r>
      </text>
    </comment>
    <comment ref="H1211" authorId="0" shapeId="0" xr:uid="{3A7AC684-2AA2-0A4D-9AD4-503400359DB4}">
      <text>
        <r>
          <rPr>
            <sz val="10"/>
            <color rgb="FF000000"/>
            <rFont val="Aptos Narrow"/>
            <scheme val="minor"/>
          </rPr>
          <t>======
ID#AAABjx7qShk
    (2025-05-21 11:33:26)
0427 chloe:匯款匯入US$780</t>
        </r>
      </text>
    </comment>
    <comment ref="M1211" authorId="0" shapeId="0" xr:uid="{529FA7EC-F516-C14D-831D-027825B43882}">
      <text>
        <r>
          <rPr>
            <sz val="10"/>
            <color rgb="FF000000"/>
            <rFont val="Aptos Narrow"/>
            <scheme val="minor"/>
          </rPr>
          <t>======
ID#AAABjx7qPes
    (2025-05-21 11:33:24)
預計3/19到貨</t>
        </r>
      </text>
    </comment>
    <comment ref="E1212" authorId="0" shapeId="0" xr:uid="{4BFE4CD1-1CAB-5F47-9ADC-618B909F053E}">
      <text>
        <r>
          <rPr>
            <sz val="10"/>
            <color rgb="FF000000"/>
            <rFont val="Aptos Narrow"/>
            <scheme val="minor"/>
          </rPr>
          <t>======
ID#AAABjx7qOLM
    (2025-05-21 11:33:24)
下單請用FPM2150GR3B1601E-T
出貨文件上秀:
FPM-2150G-R3BE
(FPM2150GRB1601E-T)</t>
        </r>
      </text>
    </comment>
    <comment ref="H1212" authorId="0" shapeId="0" xr:uid="{4F7FB9FD-73C1-FD4C-AA2D-B94476CC01CA}">
      <text>
        <r>
          <rPr>
            <sz val="10"/>
            <color rgb="FF000000"/>
            <rFont val="Aptos Narrow"/>
            <scheme val="minor"/>
          </rPr>
          <t>======
ID#AAABjx7qPT8
    (2025-05-21 11:33:24)
0420 chloe: 匯款匯入US$9526</t>
        </r>
      </text>
    </comment>
    <comment ref="M1212" authorId="0" shapeId="0" xr:uid="{4502D082-E0CF-5E43-BC41-BE15A0038FF3}">
      <text>
        <r>
          <rPr>
            <sz val="10"/>
            <color rgb="FF000000"/>
            <rFont val="Aptos Narrow"/>
            <scheme val="minor"/>
          </rPr>
          <t>======
ID#AAABjx7qO-Q
    (2025-05-21 11:33:24)
預計3/31到貨</t>
        </r>
      </text>
    </comment>
    <comment ref="H1213" authorId="0" shapeId="0" xr:uid="{80B09096-A9BE-F74B-84AD-35E90966E968}">
      <text>
        <r>
          <rPr>
            <sz val="10"/>
            <color rgb="FF000000"/>
            <rFont val="Aptos Narrow"/>
            <scheme val="minor"/>
          </rPr>
          <t>======
ID#AAABjx7qTiA
    (2025-05-21 11:33:26)
0427 chloe:匯款匯入US$19820</t>
        </r>
      </text>
    </comment>
    <comment ref="K1213" authorId="0" shapeId="0" xr:uid="{85BE153F-CC58-3D43-A788-89CB3F59D390}">
      <text>
        <r>
          <rPr>
            <sz val="10"/>
            <color rgb="FF000000"/>
            <rFont val="Aptos Narrow"/>
            <scheme val="minor"/>
          </rPr>
          <t>======
ID#AAABjx7qOhg
    (2025-05-21 11:33:24)
christine 0328 :forwarder 3/28提貨</t>
        </r>
      </text>
    </comment>
    <comment ref="H1214" authorId="0" shapeId="0" xr:uid="{3C89EAD3-9D9C-C848-9E58-203AA29E1620}">
      <text>
        <r>
          <rPr>
            <sz val="10"/>
            <color rgb="FF000000"/>
            <rFont val="Aptos Narrow"/>
            <scheme val="minor"/>
          </rPr>
          <t>======
ID#AAABjx7qVWY
    (2025-05-21 11:33:27)
0709 chloe:匯款匯入US$3424</t>
        </r>
      </text>
    </comment>
    <comment ref="H1215" authorId="0" shapeId="0" xr:uid="{28DACD89-C4D5-D94A-9696-5319C46887F9}">
      <text>
        <r>
          <rPr>
            <sz val="10"/>
            <color rgb="FF000000"/>
            <rFont val="Aptos Narrow"/>
            <scheme val="minor"/>
          </rPr>
          <t>======
ID#AAABjx7qMqY
    (2025-05-21 11:33:23)
0523 chloe:匯款匯入US$16190</t>
        </r>
      </text>
    </comment>
    <comment ref="H1216" authorId="0" shapeId="0" xr:uid="{513D12B5-DF86-6F46-B8D4-936A740367E4}">
      <text>
        <r>
          <rPr>
            <sz val="10"/>
            <color rgb="FF000000"/>
            <rFont val="Aptos Narrow"/>
            <scheme val="minor"/>
          </rPr>
          <t>======
ID#AAABjx7qQ_c
    (2025-05-21 11:33:25)
0523 chloe:匯款匯入US$16190</t>
        </r>
      </text>
    </comment>
    <comment ref="H1217" authorId="0" shapeId="0" xr:uid="{0633088B-C47A-C54B-AECC-2DA1E47A10AC}">
      <text>
        <r>
          <rPr>
            <sz val="10"/>
            <color rgb="FF000000"/>
            <rFont val="Aptos Narrow"/>
            <scheme val="minor"/>
          </rPr>
          <t>======
ID#AAABjx7qS2Y
    (2025-05-21 11:33:26)
0403 chloe:玉山收到NT11886</t>
        </r>
      </text>
    </comment>
    <comment ref="J1217" authorId="0" shapeId="0" xr:uid="{8E04BD9F-756B-E84A-B58D-23AD22C96699}">
      <text>
        <r>
          <rPr>
            <sz val="10"/>
            <color rgb="FF000000"/>
            <rFont val="Aptos Narrow"/>
            <scheme val="minor"/>
          </rPr>
          <t>======
ID#AAABjx7qOps
    (2025-05-21 11:33:24)
Moxa直出客戶收件地址如下：
思碩網路科技有限公司
桃園市中正路1247號11樓之2
TEL:03-3577861</t>
        </r>
      </text>
    </comment>
    <comment ref="K1217" authorId="0" shapeId="0" xr:uid="{648F456F-767E-C14E-B911-B0A4126250E4}">
      <text>
        <r>
          <rPr>
            <sz val="10"/>
            <color rgb="FF000000"/>
            <rFont val="Aptos Narrow"/>
            <scheme val="minor"/>
          </rPr>
          <t>======
ID#AAABj82dpKA
    (2025-05-21 11:33:23)
Benson 0328: Santiago 同意出貨，客戶承諾下周付款</t>
        </r>
      </text>
    </comment>
    <comment ref="E1218" authorId="0" shapeId="0" xr:uid="{622BEC1E-6505-FE4C-AB74-D6B20BBC1277}">
      <text>
        <r>
          <rPr>
            <sz val="10"/>
            <color rgb="FF000000"/>
            <rFont val="Aptos Narrow"/>
            <scheme val="minor"/>
          </rPr>
          <t>======
ID#AAABjx7qTKc
    (2025-05-21 11:33:26)
Karen 180320: w/EU adapter</t>
        </r>
      </text>
    </comment>
    <comment ref="H1218" authorId="0" shapeId="0" xr:uid="{069E58C4-CE54-854A-9DB5-6FFC29955462}">
      <text>
        <r>
          <rPr>
            <sz val="10"/>
            <color rgb="FF000000"/>
            <rFont val="Aptos Narrow"/>
            <scheme val="minor"/>
          </rPr>
          <t>======
ID#AAABjx7qTj4
    (2025-05-21 11:33:26)
0329 chloe:匯款匯入US$2049</t>
        </r>
      </text>
    </comment>
    <comment ref="E1219" authorId="0" shapeId="0" xr:uid="{8D355C79-9DC6-484C-9C8F-A4DAC2E0EC28}">
      <text>
        <r>
          <rPr>
            <sz val="10"/>
            <color rgb="FF000000"/>
            <rFont val="Aptos Narrow"/>
            <scheme val="minor"/>
          </rPr>
          <t>======
ID#AAABjx7qPrg
    (2025-05-21 11:33:24)
Karen 180320: w/EU adapter</t>
        </r>
      </text>
    </comment>
    <comment ref="H1219" authorId="0" shapeId="0" xr:uid="{27F8D0A9-8BC2-EF44-903A-9EE0018545EE}">
      <text>
        <r>
          <rPr>
            <sz val="10"/>
            <color rgb="FF000000"/>
            <rFont val="Aptos Narrow"/>
            <scheme val="minor"/>
          </rPr>
          <t>======
ID#AAABjx7qWcA
    (2025-05-21 11:33:27)
0329 chloe:匯款匯入US$2049</t>
        </r>
      </text>
    </comment>
    <comment ref="G1220" authorId="0" shapeId="0" xr:uid="{B9AC50E1-D473-7A43-AEC0-2B2B09078440}">
      <text>
        <r>
          <rPr>
            <sz val="10"/>
            <color rgb="FF000000"/>
            <rFont val="Aptos Narrow"/>
            <scheme val="minor"/>
          </rPr>
          <t>======
ID#AAABjx7qTis
Santiago 0828    (2025-05-21 11:33:26)
US$150 x 1.05 =157.5
157.5 x 30 =4725</t>
        </r>
      </text>
    </comment>
    <comment ref="H1220" authorId="0" shapeId="0" xr:uid="{6B62848B-4EB1-0743-95C2-A10664575472}">
      <text>
        <r>
          <rPr>
            <sz val="10"/>
            <color rgb="FF000000"/>
            <rFont val="Aptos Narrow"/>
            <scheme val="minor"/>
          </rPr>
          <t>======
ID#AAABjx7qQ5M
    (2025-05-21 11:33:25)
0619 chloe:匯入NT28950-原本款項25,011= 3,939(多匯)</t>
        </r>
      </text>
    </comment>
    <comment ref="H1221" authorId="0" shapeId="0" xr:uid="{C97E23E1-5774-4943-AE1E-2813C24595A1}">
      <text>
        <r>
          <rPr>
            <sz val="10"/>
            <color rgb="FF000000"/>
            <rFont val="Aptos Narrow"/>
            <scheme val="minor"/>
          </rPr>
          <t>======
ID#AAABjx7qPko
    (2025-05-21 11:33:24)
0601 chloe:匯款匯入US$839</t>
        </r>
      </text>
    </comment>
    <comment ref="M1221" authorId="0" shapeId="0" xr:uid="{A6695CC7-C0CE-6F46-BFB6-23C4958750AA}">
      <text>
        <r>
          <rPr>
            <sz val="10"/>
            <color rgb="FF000000"/>
            <rFont val="Aptos Narrow"/>
            <scheme val="minor"/>
          </rPr>
          <t>======
ID#AAABjx7qQ5w
    (2025-05-21 11:33:25)
預計4/16到貨</t>
        </r>
      </text>
    </comment>
    <comment ref="H1222" authorId="0" shapeId="0" xr:uid="{DE87AF2D-9795-C44D-96AD-31FB039C1A2B}">
      <text>
        <r>
          <rPr>
            <sz val="10"/>
            <color rgb="FF000000"/>
            <rFont val="Aptos Narrow"/>
            <scheme val="minor"/>
          </rPr>
          <t>======
ID#AAABjx7qWJ8
    (2025-05-21 11:33:27)
0329 chloe:匯款匯入US$2049</t>
        </r>
      </text>
    </comment>
    <comment ref="H1223" authorId="0" shapeId="0" xr:uid="{F67ED4E6-D9D0-DF46-806C-AB990D49FCFD}">
      <text>
        <r>
          <rPr>
            <sz val="10"/>
            <color rgb="FF000000"/>
            <rFont val="Aptos Narrow"/>
            <scheme val="minor"/>
          </rPr>
          <t>======
ID#AAABjx7qQ_s
    (2025-05-21 11:33:25)
0622 chloe:匯款匯入US$679</t>
        </r>
      </text>
    </comment>
    <comment ref="H1224" authorId="0" shapeId="0" xr:uid="{680FCFEA-1263-3C49-9FBF-8B796784F8E4}">
      <text>
        <r>
          <rPr>
            <sz val="10"/>
            <color rgb="FF000000"/>
            <rFont val="Aptos Narrow"/>
            <scheme val="minor"/>
          </rPr>
          <t>======
ID#AAABjx7qODc
    (2025-05-21 11:33:24)
0413 chloe:已匯款NT10,000 - 4469(此單金額) = NT5,531</t>
        </r>
      </text>
    </comment>
    <comment ref="H1225" authorId="0" shapeId="0" xr:uid="{76E77D1B-AC14-BD4E-A6AC-4F9B845FB5A0}">
      <text>
        <r>
          <rPr>
            <sz val="10"/>
            <color rgb="FF000000"/>
            <rFont val="Aptos Narrow"/>
            <scheme val="minor"/>
          </rPr>
          <t>======
ID#AAABjx7qMrw
    (2025-05-21 11:33:23)
0420 chloe: 匯款匯入US$9526</t>
        </r>
      </text>
    </comment>
    <comment ref="M1225" authorId="0" shapeId="0" xr:uid="{F892DAB4-92C9-4543-9337-A523A646FC07}">
      <text>
        <r>
          <rPr>
            <sz val="10"/>
            <color rgb="FF000000"/>
            <rFont val="Aptos Narrow"/>
            <scheme val="minor"/>
          </rPr>
          <t>======
ID#AAABjx7qPf8
    (2025-05-21 11:33:24)
預計4/2到貨</t>
        </r>
      </text>
    </comment>
    <comment ref="H1226" authorId="0" shapeId="0" xr:uid="{1C09A5A5-A3F1-DA4B-B5E2-7EF493AD1C25}">
      <text>
        <r>
          <rPr>
            <sz val="10"/>
            <color rgb="FF000000"/>
            <rFont val="Aptos Narrow"/>
            <scheme val="minor"/>
          </rPr>
          <t>======
ID#AAABjx7qNto
    (2025-05-21 11:33:23)
0712 chloe:匯款匯入US$3031</t>
        </r>
      </text>
    </comment>
    <comment ref="E1227" authorId="0" shapeId="0" xr:uid="{034602F7-A39F-7D40-8702-954765BC94FA}">
      <text>
        <r>
          <rPr>
            <sz val="10"/>
            <color rgb="FF000000"/>
            <rFont val="Aptos Narrow"/>
            <scheme val="minor"/>
          </rPr>
          <t>======
ID#AAABjx7qVDo
    (2025-05-21 11:33:27)
規格:EU</t>
        </r>
      </text>
    </comment>
    <comment ref="H1227" authorId="0" shapeId="0" xr:uid="{67F83261-02D4-944E-ADC6-8BA0B80B16EC}">
      <text>
        <r>
          <rPr>
            <sz val="10"/>
            <color rgb="FF000000"/>
            <rFont val="Aptos Narrow"/>
            <scheme val="minor"/>
          </rPr>
          <t>======
ID#AAABj82dpEc
    (2025-05-21 11:33:23)
0420 chloe: 匯款匯入US$9526</t>
        </r>
      </text>
    </comment>
    <comment ref="K1227" authorId="0" shapeId="0" xr:uid="{602EE1C3-7E3B-FC41-8948-0786B4327006}">
      <text>
        <r>
          <rPr>
            <sz val="10"/>
            <color rgb="FF000000"/>
            <rFont val="Aptos Narrow"/>
            <scheme val="minor"/>
          </rPr>
          <t>======
ID#AAABjx7qRhQ
    (2025-05-21 11:33:25)
180326 Tammy: 出貨前請確認是否為歐規，謝謝。</t>
        </r>
      </text>
    </comment>
    <comment ref="M1227" authorId="0" shapeId="0" xr:uid="{391C930E-B98A-E847-9BF7-185AB683CF45}">
      <text>
        <r>
          <rPr>
            <sz val="10"/>
            <color rgb="FF000000"/>
            <rFont val="Aptos Narrow"/>
            <scheme val="minor"/>
          </rPr>
          <t>======
ID#AAABjx7qNPk
    (2025-05-21 11:33:23)
預計4/2到貨</t>
        </r>
      </text>
    </comment>
    <comment ref="E1228" authorId="0" shapeId="0" xr:uid="{AD67BE03-0FC7-4842-8D52-1E89005B91D1}">
      <text>
        <r>
          <rPr>
            <sz val="10"/>
            <color rgb="FF000000"/>
            <rFont val="Aptos Narrow"/>
            <scheme val="minor"/>
          </rPr>
          <t>======
ID#AAABjx7qRP0
    (2025-05-21 11:33:25)
規格:EU</t>
        </r>
      </text>
    </comment>
    <comment ref="H1228" authorId="0" shapeId="0" xr:uid="{0B5832C5-525F-C34B-A235-AA7DDE1A5B13}">
      <text>
        <r>
          <rPr>
            <sz val="10"/>
            <color rgb="FF000000"/>
            <rFont val="Aptos Narrow"/>
            <scheme val="minor"/>
          </rPr>
          <t>======
ID#AAABjx7qNxE
    (2025-05-21 11:33:23)
0712 chloe:匯款匯入US$3031</t>
        </r>
      </text>
    </comment>
    <comment ref="K1228" authorId="0" shapeId="0" xr:uid="{519929E0-FCEA-B14E-98A6-5CF01C181FAC}">
      <text>
        <r>
          <rPr>
            <sz val="10"/>
            <color rgb="FF000000"/>
            <rFont val="Aptos Narrow"/>
            <scheme val="minor"/>
          </rPr>
          <t>======
ID#AAABjx7qPis
    (2025-05-21 11:33:24)
180326 Tammy: 出貨前請確認是否為歐規，謝謝。</t>
        </r>
      </text>
    </comment>
    <comment ref="E1229" authorId="0" shapeId="0" xr:uid="{E28FC08A-1C1E-B940-B21F-EE1966557204}">
      <text>
        <r>
          <rPr>
            <sz val="10"/>
            <color rgb="FF000000"/>
            <rFont val="Aptos Narrow"/>
            <scheme val="minor"/>
          </rPr>
          <t>======
ID#AAABjx7qOZA
    (2025-05-21 11:33:24)
下單請用FPM2150GR3B1601E-T
出貨文件上秀:
FPM-2150G-R3BE
(FPM2150GRB1601E-T)</t>
        </r>
      </text>
    </comment>
    <comment ref="H1229" authorId="0" shapeId="0" xr:uid="{BE5C1F9D-8E14-4248-A2FA-439D41BAABCB}">
      <text>
        <r>
          <rPr>
            <sz val="10"/>
            <color rgb="FF000000"/>
            <rFont val="Aptos Narrow"/>
            <scheme val="minor"/>
          </rPr>
          <t>======
ID#AAABjx7qVbE
    (2025-05-21 11:33:27)
0611 chloe:  匯款匯入8756</t>
        </r>
      </text>
    </comment>
    <comment ref="H1230" authorId="0" shapeId="0" xr:uid="{86CC2848-9983-EF41-A474-677A5710AE72}">
      <text>
        <r>
          <rPr>
            <sz val="10"/>
            <color rgb="FF000000"/>
            <rFont val="Aptos Narrow"/>
            <scheme val="minor"/>
          </rPr>
          <t>======
ID#AAABjx7qNSM
    (2025-05-21 11:33:23)
0420 chloe: 匯款匯入US$9526</t>
        </r>
      </text>
    </comment>
    <comment ref="H1231" authorId="0" shapeId="0" xr:uid="{B7A89558-1319-6042-9035-6DBF6C10E161}">
      <text>
        <r>
          <rPr>
            <sz val="10"/>
            <color rgb="FF000000"/>
            <rFont val="Aptos Narrow"/>
            <scheme val="minor"/>
          </rPr>
          <t>======
ID#AAABjx7qWK4
    (2025-05-21 11:33:27)
0420 chloe: 匯款匯入US$9526</t>
        </r>
      </text>
    </comment>
    <comment ref="H1232" authorId="0" shapeId="0" xr:uid="{51152082-3B55-3F4E-9474-8497A221C543}">
      <text>
        <r>
          <rPr>
            <sz val="10"/>
            <color rgb="FF000000"/>
            <rFont val="Aptos Narrow"/>
            <scheme val="minor"/>
          </rPr>
          <t>======
ID#AAABjx7qTsQ
    (2025-05-21 11:33:26)
0521 Chloe:匯款匯入US$659</t>
        </r>
      </text>
    </comment>
    <comment ref="H1233" authorId="0" shapeId="0" xr:uid="{FCA9781E-71B0-F640-B776-BBE60BDD9EFE}">
      <text>
        <r>
          <rPr>
            <sz val="10"/>
            <color rgb="FF000000"/>
            <rFont val="Aptos Narrow"/>
            <scheme val="minor"/>
          </rPr>
          <t>======
ID#AAABjx7qVng
    (2025-05-21 11:33:27)
0524 chloe:匯款匯入US$8750</t>
        </r>
      </text>
    </comment>
    <comment ref="K1233" authorId="0" shapeId="0" xr:uid="{8FAA0E80-BE32-8749-9981-F025B1EEBD0E}">
      <text>
        <r>
          <rPr>
            <sz val="10"/>
            <color rgb="FF000000"/>
            <rFont val="Aptos Narrow"/>
            <scheme val="minor"/>
          </rPr>
          <t>======
ID#AAABjx7qOU4
    (2025-05-21 11:33:24)
christine0416:併RMA-20180321A</t>
        </r>
      </text>
    </comment>
    <comment ref="H1234" authorId="0" shapeId="0" xr:uid="{10FDD830-21B6-FD4F-B617-8DB344E1381B}">
      <text>
        <r>
          <rPr>
            <sz val="10"/>
            <color rgb="FF000000"/>
            <rFont val="Aptos Narrow"/>
            <scheme val="minor"/>
          </rPr>
          <t>======
ID#AAABjx7qR-s
    (2025-05-21 11:33:25)
0524 chloe:匯款匯入US$8750</t>
        </r>
      </text>
    </comment>
    <comment ref="H1235" authorId="0" shapeId="0" xr:uid="{FD7D7ED0-8B45-B54C-BF34-77CC4FD6E46C}">
      <text>
        <r>
          <rPr>
            <sz val="10"/>
            <color rgb="FF000000"/>
            <rFont val="Aptos Narrow"/>
            <scheme val="minor"/>
          </rPr>
          <t>======
ID#AAABjx7qNiY
    (2025-05-21 11:33:23)
0524 chloe:匯款匯入US$8750</t>
        </r>
      </text>
    </comment>
    <comment ref="H1236" authorId="0" shapeId="0" xr:uid="{D8A545A0-34CE-4049-93DB-F10E1A6D9E53}">
      <text>
        <r>
          <rPr>
            <sz val="10"/>
            <color rgb="FF000000"/>
            <rFont val="Aptos Narrow"/>
            <scheme val="minor"/>
          </rPr>
          <t>======
ID#AAABjx7qS48
    (2025-05-21 11:33:26)
0524 chloe:匯款匯入US$8750</t>
        </r>
      </text>
    </comment>
    <comment ref="H1237" authorId="0" shapeId="0" xr:uid="{4B35434F-1817-5D42-837B-1302C8765D5F}">
      <text>
        <r>
          <rPr>
            <sz val="10"/>
            <color rgb="FF000000"/>
            <rFont val="Aptos Narrow"/>
            <scheme val="minor"/>
          </rPr>
          <t>======
ID#AAABjx7qV7Y
    (2025-05-21 11:33:27)
0420 chloe: 匯款匯入US$9526</t>
        </r>
      </text>
    </comment>
    <comment ref="H1238" authorId="0" shapeId="0" xr:uid="{7CDB7C0E-DC51-F34D-85C5-3EC2B194D68D}">
      <text>
        <r>
          <rPr>
            <sz val="10"/>
            <color rgb="FF000000"/>
            <rFont val="Aptos Narrow"/>
            <scheme val="minor"/>
          </rPr>
          <t>======
ID#AAABjx7qRhs
    (2025-05-21 11:33:25)
0420 chloe: 匯款匯入US$9526</t>
        </r>
      </text>
    </comment>
    <comment ref="H1239" authorId="0" shapeId="0" xr:uid="{4D0AF388-E478-D640-8063-882168DCD6C7}">
      <text>
        <r>
          <rPr>
            <sz val="10"/>
            <color rgb="FF000000"/>
            <rFont val="Aptos Narrow"/>
            <scheme val="minor"/>
          </rPr>
          <t>======
ID#AAABjx7qWCY
    (2025-05-21 11:33:27)
0420 chloe: 匯款匯入US$9526</t>
        </r>
      </text>
    </comment>
    <comment ref="H1240" authorId="0" shapeId="0" xr:uid="{0E9C657D-571E-EB42-9FC2-70D854F7049E}">
      <text>
        <r>
          <rPr>
            <sz val="10"/>
            <color rgb="FF000000"/>
            <rFont val="Aptos Narrow"/>
            <scheme val="minor"/>
          </rPr>
          <t>======
ID#AAABjx7qP38
    (2025-05-21 11:33:24)
0521 Chloe:匯款匯入US$659</t>
        </r>
      </text>
    </comment>
    <comment ref="M1240" authorId="0" shapeId="0" xr:uid="{2625206E-6B3D-8146-A014-EC7301136E6D}">
      <text>
        <r>
          <rPr>
            <sz val="10"/>
            <color rgb="FF000000"/>
            <rFont val="Aptos Narrow"/>
            <scheme val="minor"/>
          </rPr>
          <t>======
ID#AAABjx7qWDc
    (2025-05-21 11:33:27)
預計4/23到貨</t>
        </r>
      </text>
    </comment>
    <comment ref="H1241" authorId="0" shapeId="0" xr:uid="{012F92E8-7815-9B44-8800-2B2787A2F32A}">
      <text>
        <r>
          <rPr>
            <sz val="10"/>
            <color rgb="FF000000"/>
            <rFont val="Aptos Narrow"/>
            <scheme val="minor"/>
          </rPr>
          <t>======
ID#AAABjx7qNW4
    (2025-05-21 11:33:23)
0523 chloe:匯款匯入US$16190</t>
        </r>
      </text>
    </comment>
    <comment ref="K1241" authorId="0" shapeId="0" xr:uid="{75EACB75-8F70-AA4A-A8E0-1EDEAC0D4B00}">
      <text>
        <r>
          <rPr>
            <sz val="10"/>
            <color rgb="FF000000"/>
            <rFont val="Aptos Narrow"/>
            <scheme val="minor"/>
          </rPr>
          <t>======
ID#AAABjx7qOBQ
    (2025-05-21 11:33:24)
christine 0409: RMA-20180306B併貨出</t>
        </r>
      </text>
    </comment>
    <comment ref="H1242" authorId="0" shapeId="0" xr:uid="{C74DB67B-16BD-664A-B00A-D4FB0855F795}">
      <text>
        <r>
          <rPr>
            <sz val="10"/>
            <color rgb="FF000000"/>
            <rFont val="Aptos Narrow"/>
            <scheme val="minor"/>
          </rPr>
          <t>======
ID#AAABjx7qVW8
    (2025-05-21 11:33:27)
0523 chloe:匯款匯入US$16190</t>
        </r>
      </text>
    </comment>
    <comment ref="H1243" authorId="0" shapeId="0" xr:uid="{7E59D7F4-15CD-0F47-8754-E6D54C20541A}">
      <text>
        <r>
          <rPr>
            <sz val="10"/>
            <color rgb="FF000000"/>
            <rFont val="Aptos Narrow"/>
            <scheme val="minor"/>
          </rPr>
          <t>======
ID#AAABjx7qQwQ
    (2025-05-21 11:33:25)
0409 chloe:收到匯款US$274</t>
        </r>
      </text>
    </comment>
    <comment ref="H1244" authorId="0" shapeId="0" xr:uid="{94019A30-C93F-3142-BCAE-DBECC46EFB32}">
      <text>
        <r>
          <rPr>
            <sz val="10"/>
            <color rgb="FF000000"/>
            <rFont val="Aptos Narrow"/>
            <scheme val="minor"/>
          </rPr>
          <t>======
ID#AAABjx7qRWc
    (2025-05-21 11:33:25)
Charles 0328 : Santiago 同意下次一起付款
0409 chloe:匯款匯入 USD 1,909</t>
        </r>
      </text>
    </comment>
    <comment ref="H1245" authorId="0" shapeId="0" xr:uid="{E1F81F7C-2EF3-154B-AC20-66C69AEB42D9}">
      <text>
        <r>
          <rPr>
            <sz val="10"/>
            <color rgb="FF000000"/>
            <rFont val="Aptos Narrow"/>
            <scheme val="minor"/>
          </rPr>
          <t>======
ID#AAABjx7qPPg
    (2025-05-21 11:33:24)
0719 chloe: 收到款項US$658(含戎克帳號運費)</t>
        </r>
      </text>
    </comment>
    <comment ref="J1245" authorId="0" shapeId="0" xr:uid="{02948BD3-3B83-E144-8E29-FEB294A33456}">
      <text>
        <r>
          <rPr>
            <sz val="10"/>
            <color rgb="FF000000"/>
            <rFont val="Aptos Narrow"/>
            <scheme val="minor"/>
          </rPr>
          <t>======
ID#AAABjx7qNps
    (2025-05-21 11:33:23)
0723 chloe: 登記</t>
        </r>
      </text>
    </comment>
    <comment ref="AC1245" authorId="0" shapeId="0" xr:uid="{FF638575-7D3D-C348-AFE8-245E199F4102}">
      <text>
        <r>
          <rPr>
            <sz val="10"/>
            <color rgb="FF000000"/>
            <rFont val="Aptos Narrow"/>
            <scheme val="minor"/>
          </rPr>
          <t>======
ID#AAABjx7qTqo
    (2025-05-21 11:33:26)
運費: NT4557  GG27334531</t>
        </r>
      </text>
    </comment>
    <comment ref="H1246" authorId="0" shapeId="0" xr:uid="{728FCB14-59F7-6549-B91A-AC7D3F662D7C}">
      <text>
        <r>
          <rPr>
            <sz val="10"/>
            <color rgb="FF000000"/>
            <rFont val="Aptos Narrow"/>
            <scheme val="minor"/>
          </rPr>
          <t>======
ID#AAABjx7qN6g
    (2025-05-21 11:33:23)
0622 chloe:匯款匯入US$14958</t>
        </r>
      </text>
    </comment>
    <comment ref="J1246" authorId="0" shapeId="0" xr:uid="{3B3A37CB-BC55-0E4D-8971-45385994F766}">
      <text>
        <r>
          <rPr>
            <sz val="10"/>
            <color rgb="FF000000"/>
            <rFont val="Aptos Narrow"/>
            <scheme val="minor"/>
          </rPr>
          <t>======
ID#AAABjx7qQO8
    (2025-05-21 11:33:25)
103A Mary Street, Richmond, VIC, 3121, Australia</t>
        </r>
      </text>
    </comment>
    <comment ref="H1247" authorId="0" shapeId="0" xr:uid="{5467B4D4-5F23-4845-8AC1-C76C90E18BB9}">
      <text>
        <r>
          <rPr>
            <sz val="10"/>
            <color rgb="FF000000"/>
            <rFont val="Aptos Narrow"/>
            <scheme val="minor"/>
          </rPr>
          <t>======
ID#AAABjx7qMrU
    (2025-05-21 11:33:23)
0622 chloe:匯款匯入US$14958</t>
        </r>
      </text>
    </comment>
    <comment ref="J1247" authorId="0" shapeId="0" xr:uid="{92EE2429-F9CF-A649-895E-20335E5F5C79}">
      <text>
        <r>
          <rPr>
            <sz val="10"/>
            <color rgb="FF000000"/>
            <rFont val="Aptos Narrow"/>
            <scheme val="minor"/>
          </rPr>
          <t>======
ID#AAABjx7qOlI
    (2025-05-21 11:33:24)
103A Mary Street, Richmond, VIC, 3121, Australia</t>
        </r>
      </text>
    </comment>
    <comment ref="H1248" authorId="0" shapeId="0" xr:uid="{B84D89C3-1EDF-844D-9E54-A7A42CFC1213}">
      <text>
        <r>
          <rPr>
            <sz val="10"/>
            <color rgb="FF000000"/>
            <rFont val="Aptos Narrow"/>
            <scheme val="minor"/>
          </rPr>
          <t>======
ID#AAABjx7qNgE
    (2025-05-21 11:33:23)
0622 chloe:匯款匯入US$14958</t>
        </r>
      </text>
    </comment>
    <comment ref="J1248" authorId="0" shapeId="0" xr:uid="{96CC4FBC-887A-BA44-9CE2-9ABBFAAAFB03}">
      <text>
        <r>
          <rPr>
            <sz val="10"/>
            <color rgb="FF000000"/>
            <rFont val="Aptos Narrow"/>
            <scheme val="minor"/>
          </rPr>
          <t>======
ID#AAABjx7qQcs
    (2025-05-21 11:33:25)
103A Mary Street, Richmond, VIC, 3121, Australia</t>
        </r>
      </text>
    </comment>
    <comment ref="H1249" authorId="0" shapeId="0" xr:uid="{C4EE6D89-382C-0F4E-8B15-0FC4C21C18B8}">
      <text>
        <r>
          <rPr>
            <sz val="10"/>
            <color rgb="FF000000"/>
            <rFont val="Aptos Narrow"/>
            <scheme val="minor"/>
          </rPr>
          <t>======
ID#AAABjx7qPAE
    (2025-05-21 11:33:24)
0523 chloe:匯款匯入US$16190</t>
        </r>
      </text>
    </comment>
    <comment ref="J1249" authorId="0" shapeId="0" xr:uid="{0DA61F05-D9B4-5843-8799-CDDE926F4C21}">
      <text>
        <r>
          <rPr>
            <sz val="10"/>
            <color rgb="FF000000"/>
            <rFont val="Aptos Narrow"/>
            <scheme val="minor"/>
          </rPr>
          <t>======
ID#AAABjx7qNj4
    (2025-05-21 11:33:23)
103A Mary Street, Richmond, VIC, 3121, Australia</t>
        </r>
      </text>
    </comment>
    <comment ref="K1249" authorId="0" shapeId="0" xr:uid="{7DF5D5DA-BF68-6541-BC4F-59835AF836D6}">
      <text>
        <r>
          <rPr>
            <sz val="10"/>
            <color rgb="FF000000"/>
            <rFont val="Aptos Narrow"/>
            <scheme val="minor"/>
          </rPr>
          <t>======
ID#AAABjx7qTho
    (2025-05-21 11:33:26)
christine0416:併RMA-20180221A</t>
        </r>
      </text>
    </comment>
    <comment ref="H1250" authorId="0" shapeId="0" xr:uid="{608D4438-FF85-CF4D-AB44-99C7F48212C4}">
      <text>
        <r>
          <rPr>
            <sz val="10"/>
            <color rgb="FF000000"/>
            <rFont val="Aptos Narrow"/>
            <scheme val="minor"/>
          </rPr>
          <t>======
ID#AAABjx7qSkA
    (2025-05-21 11:33:26)
0523 chloe:匯款匯入US$16190</t>
        </r>
      </text>
    </comment>
    <comment ref="J1250" authorId="0" shapeId="0" xr:uid="{69CB7253-258F-5948-BC1D-CF727061BA32}">
      <text>
        <r>
          <rPr>
            <sz val="10"/>
            <color rgb="FF000000"/>
            <rFont val="Aptos Narrow"/>
            <scheme val="minor"/>
          </rPr>
          <t>======
ID#AAABjx7qPOI
    (2025-05-21 11:33:24)
103A Mary Street, Richmond, VIC, 3121, Australia</t>
        </r>
      </text>
    </comment>
    <comment ref="H1251" authorId="0" shapeId="0" xr:uid="{16CAD738-593E-4D4F-BB33-97CEFD9214D0}">
      <text>
        <r>
          <rPr>
            <sz val="10"/>
            <color rgb="FF000000"/>
            <rFont val="Aptos Narrow"/>
            <scheme val="minor"/>
          </rPr>
          <t>======
ID#AAABjx7qRxQ
    (2025-05-21 11:33:25)
0523 chloe:匯款匯入US$16190</t>
        </r>
      </text>
    </comment>
    <comment ref="J1251" authorId="0" shapeId="0" xr:uid="{15DCF266-EEE0-A044-9F5A-A69BA4DBDCA0}">
      <text>
        <r>
          <rPr>
            <sz val="10"/>
            <color rgb="FF000000"/>
            <rFont val="Aptos Narrow"/>
            <scheme val="minor"/>
          </rPr>
          <t>======
ID#AAABjx7qVNc
    (2025-05-21 11:33:27)
103A Mary Street, Richmond, VIC, 3121, Australia</t>
        </r>
      </text>
    </comment>
    <comment ref="E1252" authorId="0" shapeId="0" xr:uid="{8A7D28D2-8DAE-3E46-B9F1-929FD878E539}">
      <text>
        <r>
          <rPr>
            <sz val="10"/>
            <color rgb="FF000000"/>
            <rFont val="Aptos Narrow"/>
            <scheme val="minor"/>
          </rPr>
          <t>======
ID#AAABjx7qRpE
    (2025-05-21 11:33:25)
Karen 180412: w/EU adapter</t>
        </r>
      </text>
    </comment>
    <comment ref="H1252" authorId="0" shapeId="0" xr:uid="{5E872C0A-75F6-9047-84E1-316F55431616}">
      <text>
        <r>
          <rPr>
            <sz val="10"/>
            <color rgb="FF000000"/>
            <rFont val="Aptos Narrow"/>
            <scheme val="minor"/>
          </rPr>
          <t>======
ID#AAABjx7qSpQ
    (2025-05-21 11:33:26)
0409 chloe:匯款匯入 USD 1,909</t>
        </r>
      </text>
    </comment>
    <comment ref="H1253" authorId="0" shapeId="0" xr:uid="{E7D0BB1D-00A3-4746-9542-2F97D2F56FC1}">
      <text>
        <r>
          <rPr>
            <sz val="10"/>
            <color rgb="FF000000"/>
            <rFont val="Aptos Narrow"/>
            <scheme val="minor"/>
          </rPr>
          <t>======
ID#AAABjx7qVYo
    (2025-05-21 11:33:27)
0409 chloe:匯款匯入 USD 1,909</t>
        </r>
      </text>
    </comment>
    <comment ref="H1254" authorId="0" shapeId="0" xr:uid="{409FCB0C-CBF7-454C-81A9-D832C12F147F}">
      <text>
        <r>
          <rPr>
            <sz val="10"/>
            <color rgb="FF000000"/>
            <rFont val="Aptos Narrow"/>
            <scheme val="minor"/>
          </rPr>
          <t>======
ID#AAABjx7qQQ4
    (2025-05-21 11:33:25)
0521 Chloe:匯款匯入US$659</t>
        </r>
      </text>
    </comment>
    <comment ref="H1255" authorId="0" shapeId="0" xr:uid="{9E1CC771-263F-8544-BCFF-F470D6B65AA1}">
      <text>
        <r>
          <rPr>
            <sz val="10"/>
            <color rgb="FF000000"/>
            <rFont val="Aptos Narrow"/>
            <scheme val="minor"/>
          </rPr>
          <t>======
ID#AAABjx7qSTE
    (2025-05-21 11:33:26)
0508 chloe:匯入NT 537,860-</t>
        </r>
      </text>
    </comment>
    <comment ref="H1256" authorId="0" shapeId="0" xr:uid="{EF041999-0C4A-A64B-828F-046B622DF63A}">
      <text>
        <r>
          <rPr>
            <sz val="10"/>
            <color rgb="FF000000"/>
            <rFont val="Aptos Narrow"/>
            <scheme val="minor"/>
          </rPr>
          <t>======
ID#AAABjx7qP24
    (2025-05-21 11:33:24)
0601 chloe:匯款匯入US$839</t>
        </r>
      </text>
    </comment>
    <comment ref="H1257" authorId="0" shapeId="0" xr:uid="{54ECE5C6-74FC-6D4B-BE27-A50AA16B9C08}">
      <text>
        <r>
          <rPr>
            <sz val="10"/>
            <color rgb="FF000000"/>
            <rFont val="Aptos Narrow"/>
            <scheme val="minor"/>
          </rPr>
          <t>======
ID#AAABjx7qQPs
    (2025-05-21 11:33:25)
0601 chloe:匯款匯入US$839</t>
        </r>
      </text>
    </comment>
    <comment ref="H1258" authorId="0" shapeId="0" xr:uid="{6FAB02E8-3189-F949-98B8-2B27D038661C}">
      <text>
        <r>
          <rPr>
            <sz val="10"/>
            <color rgb="FF000000"/>
            <rFont val="Aptos Narrow"/>
            <scheme val="minor"/>
          </rPr>
          <t>======
ID#AAABjx7qSIk
    (2025-05-21 11:33:26)
0423 chloe:收到支票NT15,164，待4/30兌現
0507 chloe:兌現</t>
        </r>
      </text>
    </comment>
    <comment ref="H1259" authorId="0" shapeId="0" xr:uid="{91983098-AA88-CC4C-BB7E-7BB3FF238BA3}">
      <text>
        <r>
          <rPr>
            <sz val="10"/>
            <color rgb="FF000000"/>
            <rFont val="Aptos Narrow"/>
            <scheme val="minor"/>
          </rPr>
          <t>======
ID#AAABjx7qVrk
    (2025-05-21 11:33:27)
0413 chloe:已收到 NT5531，其餘金額待下星期匯入
0419 chloe: 已收到 NT15,828 ，
故NT5531+15828 = NT21359(尚差1069)
0423 chloe:已收到NT1069</t>
        </r>
      </text>
    </comment>
    <comment ref="J1259" authorId="0" shapeId="0" xr:uid="{0C40E9AF-FA4A-A542-B29D-D20D1902D45A}">
      <text>
        <r>
          <rPr>
            <sz val="10"/>
            <color rgb="FF000000"/>
            <rFont val="Aptos Narrow"/>
            <scheme val="minor"/>
          </rPr>
          <t>======
ID#AAABjx7qV2A
    (2025-05-21 11:33:27)
Moxa直出客戶收件地址如下：
思碩網路科技有限公司
桃園市中正路1247號11樓之2
TEL:03-3577861</t>
        </r>
      </text>
    </comment>
    <comment ref="H1260" authorId="0" shapeId="0" xr:uid="{824003DE-50D7-BD48-8A16-0CDA08D613A9}">
      <text>
        <r>
          <rPr>
            <sz val="10"/>
            <color rgb="FF000000"/>
            <rFont val="Aptos Narrow"/>
            <scheme val="minor"/>
          </rPr>
          <t>======
ID#AAABjx7qPX4
    (2025-05-21 11:33:24)
0523 chloe:匯款匯入US$16190</t>
        </r>
      </text>
    </comment>
    <comment ref="H1261" authorId="0" shapeId="0" xr:uid="{7166A5F3-1EA9-4B4E-A28A-6025CB25B14B}">
      <text>
        <r>
          <rPr>
            <sz val="10"/>
            <color rgb="FF000000"/>
            <rFont val="Aptos Narrow"/>
            <scheme val="minor"/>
          </rPr>
          <t>======
ID#AAABj82dpLY
    (2025-05-21 11:33:23)
0430 chloe: 匯款匯入US$27340</t>
        </r>
      </text>
    </comment>
    <comment ref="H1262" authorId="0" shapeId="0" xr:uid="{A0970299-0767-4543-86FC-91DC6AE9EFC8}">
      <text>
        <r>
          <rPr>
            <sz val="10"/>
            <color rgb="FF000000"/>
            <rFont val="Aptos Narrow"/>
            <scheme val="minor"/>
          </rPr>
          <t>======
ID#AAABjx7qTlY
    (2025-05-21 11:33:26)
0430 chloe: 匯款匯入US$27340</t>
        </r>
      </text>
    </comment>
    <comment ref="H1263" authorId="0" shapeId="0" xr:uid="{C2BF9B25-B61D-BA40-8B6A-02661748016E}">
      <text>
        <r>
          <rPr>
            <sz val="10"/>
            <color rgb="FF000000"/>
            <rFont val="Aptos Narrow"/>
            <scheme val="minor"/>
          </rPr>
          <t>======
ID#AAABjx7qVXI
    (2025-05-21 11:33:27)
0430 chloe: 匯款匯入US$27340</t>
        </r>
      </text>
    </comment>
    <comment ref="H1264" authorId="0" shapeId="0" xr:uid="{F65911EA-E0C5-A44E-8CFC-1CEA701A671D}">
      <text>
        <r>
          <rPr>
            <sz val="10"/>
            <color rgb="FF000000"/>
            <rFont val="Aptos Narrow"/>
            <scheme val="minor"/>
          </rPr>
          <t>======
ID#AAABjx7qTAA
    (2025-05-21 11:33:26)
0621 chloe:匯款匯入US$4890</t>
        </r>
      </text>
    </comment>
    <comment ref="K1264" authorId="0" shapeId="0" xr:uid="{2AEE0D3F-614E-1A40-934D-962395CCC945}">
      <text>
        <r>
          <rPr>
            <sz val="10"/>
            <color rgb="FF000000"/>
            <rFont val="Aptos Narrow"/>
            <scheme val="minor"/>
          </rPr>
          <t>======
ID#AAABjx7qPg4
    (2025-05-21 11:33:24)
christine 0515: forwarder hold</t>
        </r>
      </text>
    </comment>
    <comment ref="E1265" authorId="0" shapeId="0" xr:uid="{9B91CCCC-B838-2949-871D-881821F88463}">
      <text>
        <r>
          <rPr>
            <sz val="10"/>
            <color rgb="FF000000"/>
            <rFont val="Aptos Narrow"/>
            <scheme val="minor"/>
          </rPr>
          <t>======
ID#AAABjx7qS8U
    (2025-05-21 11:33:26)
Karen 180412: w/EU adapter</t>
        </r>
      </text>
    </comment>
    <comment ref="H1265" authorId="0" shapeId="0" xr:uid="{1AEE8600-443A-4347-AC21-CA755F36CC42}">
      <text>
        <r>
          <rPr>
            <sz val="10"/>
            <color rgb="FF000000"/>
            <rFont val="Aptos Narrow"/>
            <scheme val="minor"/>
          </rPr>
          <t>======
ID#AAABj82dpEk
    (2025-05-21 11:33:23)
0423 chloe:匯入款項 US$2,739</t>
        </r>
      </text>
    </comment>
    <comment ref="E1266" authorId="0" shapeId="0" xr:uid="{07B0593E-9E13-3443-8789-4E4AAEB32D96}">
      <text>
        <r>
          <rPr>
            <sz val="10"/>
            <color rgb="FF000000"/>
            <rFont val="Aptos Narrow"/>
            <scheme val="minor"/>
          </rPr>
          <t>======
ID#AAABjx7qPpY
    (2025-05-21 11:33:24)
Karen 180412: w/EU adapter</t>
        </r>
      </text>
    </comment>
    <comment ref="H1266" authorId="0" shapeId="0" xr:uid="{6F929589-760A-814D-8EFF-F8BDD80739CA}">
      <text>
        <r>
          <rPr>
            <sz val="10"/>
            <color rgb="FF000000"/>
            <rFont val="Aptos Narrow"/>
            <scheme val="minor"/>
          </rPr>
          <t>======
ID#AAABjx7qSA8
    (2025-05-21 11:33:25)
0423 chloe:匯入款項 US$2,739</t>
        </r>
      </text>
    </comment>
    <comment ref="H1267" authorId="0" shapeId="0" xr:uid="{CA636B59-C22A-D442-A481-E4A413324BE0}">
      <text>
        <r>
          <rPr>
            <sz val="10"/>
            <color rgb="FF000000"/>
            <rFont val="Aptos Narrow"/>
            <scheme val="minor"/>
          </rPr>
          <t>======
ID#AAABjx7qSBI
    (2025-05-21 11:33:25)
0423 chloe:匯入款項 US$2,739</t>
        </r>
      </text>
    </comment>
    <comment ref="H1268" authorId="0" shapeId="0" xr:uid="{14E170E9-647D-7B4E-B5BD-301150549040}">
      <text>
        <r>
          <rPr>
            <sz val="10"/>
            <color rgb="FF000000"/>
            <rFont val="Aptos Narrow"/>
            <scheme val="minor"/>
          </rPr>
          <t>======
ID#AAABjx7qTTs
    (2025-05-21 11:33:26)
0611 chloe:  匯款匯入8756</t>
        </r>
      </text>
    </comment>
    <comment ref="H1269" authorId="0" shapeId="0" xr:uid="{2B255434-B87E-954A-B924-E5AE34EF90A2}">
      <text>
        <r>
          <rPr>
            <sz val="10"/>
            <color rgb="FF000000"/>
            <rFont val="Aptos Narrow"/>
            <scheme val="minor"/>
          </rPr>
          <t>======
ID#AAABjx7qVv4
    (2025-05-21 11:33:27)
0611 chloe:  匯款匯入8756</t>
        </r>
      </text>
    </comment>
    <comment ref="H1270" authorId="0" shapeId="0" xr:uid="{7E99D6EE-AB4B-6749-8008-3E7D791906C3}">
      <text>
        <r>
          <rPr>
            <sz val="10"/>
            <color rgb="FF000000"/>
            <rFont val="Aptos Narrow"/>
            <scheme val="minor"/>
          </rPr>
          <t>======
ID#AAABjx7qPG4
    (2025-05-21 11:33:24)
0614 chloe:匯款匯入US$8274</t>
        </r>
      </text>
    </comment>
    <comment ref="N1270" authorId="0" shapeId="0" xr:uid="{50E8300C-E687-024D-B9A6-8256B398B824}">
      <text>
        <r>
          <rPr>
            <sz val="10"/>
            <color rgb="FF000000"/>
            <rFont val="Aptos Narrow"/>
            <scheme val="minor"/>
          </rPr>
          <t>======
ID#AAABjx7qQBw
    (2025-05-21 11:33:25)
RDMO-20171221B-3</t>
        </r>
      </text>
    </comment>
    <comment ref="O1270" authorId="0" shapeId="0" xr:uid="{8D9886FB-97E3-BB45-8214-17D54DD2A139}">
      <text>
        <r>
          <rPr>
            <sz val="10"/>
            <color rgb="FF000000"/>
            <rFont val="Aptos Narrow"/>
            <scheme val="minor"/>
          </rPr>
          <t>======
ID#AAABjx7qPWA
    (2025-05-21 11:33:24)
0508 chloe:第二次打樣</t>
        </r>
      </text>
    </comment>
    <comment ref="H1271" authorId="0" shapeId="0" xr:uid="{F2F80C61-26E4-AB45-9D9F-A32D9211C54C}">
      <text>
        <r>
          <rPr>
            <sz val="10"/>
            <color rgb="FF000000"/>
            <rFont val="Aptos Narrow"/>
            <scheme val="minor"/>
          </rPr>
          <t>======
ID#AAABjx7qQuE
    (2025-05-21 11:33:25)
0614 chloe:匯款匯入US$8274</t>
        </r>
      </text>
    </comment>
    <comment ref="N1271" authorId="0" shapeId="0" xr:uid="{CD657A69-B528-7D4F-8B15-BA4371054E67}">
      <text>
        <r>
          <rPr>
            <sz val="10"/>
            <color rgb="FF000000"/>
            <rFont val="Aptos Narrow"/>
            <scheme val="minor"/>
          </rPr>
          <t>======
ID#AAABjx7qPFY
    (2025-05-21 11:33:24)
RDMO-20171221B-4</t>
        </r>
      </text>
    </comment>
    <comment ref="O1271" authorId="0" shapeId="0" xr:uid="{0AAA2140-2C46-D740-B7AD-6E81B95E68B2}">
      <text>
        <r>
          <rPr>
            <sz val="10"/>
            <color rgb="FF000000"/>
            <rFont val="Aptos Narrow"/>
            <scheme val="minor"/>
          </rPr>
          <t>======
ID#AAABjx7qO5w
    (2025-05-21 11:33:24)
0508 chloe:第二次打樣</t>
        </r>
      </text>
    </comment>
    <comment ref="H1272" authorId="0" shapeId="0" xr:uid="{A52D075A-2473-E949-BA1F-FA9AA14ECD0A}">
      <text>
        <r>
          <rPr>
            <sz val="10"/>
            <color rgb="FF000000"/>
            <rFont val="Aptos Narrow"/>
            <scheme val="minor"/>
          </rPr>
          <t>======
ID#AAABjx7qN6A
    (2025-05-21 11:33:23)
0614 chloe:匯款匯入US$8274</t>
        </r>
      </text>
    </comment>
    <comment ref="N1277" authorId="0" shapeId="0" xr:uid="{25242B9A-C45B-7C4A-8401-57EA046DFFCB}">
      <text>
        <r>
          <rPr>
            <sz val="10"/>
            <color rgb="FF000000"/>
            <rFont val="Aptos Narrow"/>
            <scheme val="minor"/>
          </rPr>
          <t>======
ID#AAABjx7qRGo
    (2025-05-21 11:33:25)
RDMO-20171221B-2</t>
        </r>
      </text>
    </comment>
    <comment ref="O1277" authorId="0" shapeId="0" xr:uid="{06835052-A29C-9E44-B195-0BE0EC0C3319}">
      <text>
        <r>
          <rPr>
            <sz val="10"/>
            <color rgb="FF000000"/>
            <rFont val="Aptos Narrow"/>
            <scheme val="minor"/>
          </rPr>
          <t>======
ID#AAABjx7qQWw
    (2025-05-21 11:33:25)
0508 chloe:第二次打樣</t>
        </r>
      </text>
    </comment>
    <comment ref="H1278" authorId="0" shapeId="0" xr:uid="{A8D258EE-FA37-1947-9474-625157C0D10A}">
      <text>
        <r>
          <rPr>
            <sz val="10"/>
            <color rgb="FF000000"/>
            <rFont val="Aptos Narrow"/>
            <scheme val="minor"/>
          </rPr>
          <t>======
ID#AAABjx7qNxc
    (2025-05-21 11:33:23)
0504 chloe:匯款匯入US$2294</t>
        </r>
      </text>
    </comment>
    <comment ref="K1278" authorId="0" shapeId="0" xr:uid="{A2F9C73A-B973-594E-A255-D92C846D4B91}">
      <text>
        <r>
          <rPr>
            <sz val="10"/>
            <color rgb="FF000000"/>
            <rFont val="Aptos Narrow"/>
            <scheme val="minor"/>
          </rPr>
          <t>======
ID#AAABjx7qTLw
20180504 Santiago    (2025-05-21 11:33:26)
出貨前通知Santiago 照相</t>
        </r>
      </text>
    </comment>
    <comment ref="D1279" authorId="0" shapeId="0" xr:uid="{49D54D1E-57B7-DF4D-B00F-8A2A6C3FBFF6}">
      <text>
        <r>
          <rPr>
            <sz val="10"/>
            <color rgb="FF000000"/>
            <rFont val="Aptos Narrow"/>
            <scheme val="minor"/>
          </rPr>
          <t>======
ID#AAABjx7qRGE
Santiago 0419     (2025-05-21 11:33:25)
出貨前要換</t>
        </r>
      </text>
    </comment>
    <comment ref="E1279" authorId="0" shapeId="0" xr:uid="{88C15CEA-34B2-494A-935E-5CE336E05436}">
      <text>
        <r>
          <rPr>
            <sz val="10"/>
            <color rgb="FF000000"/>
            <rFont val="Aptos Narrow"/>
            <scheme val="minor"/>
          </rPr>
          <t>======
ID#AAABjx7qP2o
    (2025-05-21 11:33:24)
180418 Tammy: 下單IBase Barebone型號AMS300M</t>
        </r>
      </text>
    </comment>
    <comment ref="H1279" authorId="0" shapeId="0" xr:uid="{AF19DBFC-CE08-9645-8C52-0D94CB83D372}">
      <text>
        <r>
          <rPr>
            <sz val="10"/>
            <color rgb="FF000000"/>
            <rFont val="Aptos Narrow"/>
            <scheme val="minor"/>
          </rPr>
          <t>======
ID#AAABjx7qPUY
    (2025-05-21 11:33:24)
0611 chloe:  匯款匯入8756</t>
        </r>
      </text>
    </comment>
    <comment ref="K1279" authorId="0" shapeId="0" xr:uid="{34AB90A5-3DAA-D948-8D95-154518245A98}">
      <text>
        <r>
          <rPr>
            <sz val="10"/>
            <color rgb="FF000000"/>
            <rFont val="Aptos Narrow"/>
            <scheme val="minor"/>
          </rPr>
          <t>======
ID#AAABjx7qWbk
Santiago 0419     (2025-05-21 11:33:27)
出貨前要換標籤</t>
        </r>
      </text>
    </comment>
    <comment ref="H1280" authorId="0" shapeId="0" xr:uid="{9DDF2C77-F226-4A44-9CA2-DEF711A0D965}">
      <text>
        <r>
          <rPr>
            <sz val="10"/>
            <color rgb="FF000000"/>
            <rFont val="Aptos Narrow"/>
            <scheme val="minor"/>
          </rPr>
          <t>======
ID#AAABjx7qPtw
    (2025-05-21 11:33:24)
0611 chloe:  匯款匯入8756</t>
        </r>
      </text>
    </comment>
    <comment ref="H1281" authorId="0" shapeId="0" xr:uid="{E1F5215B-FE1C-F04E-BEB2-36739857779E}">
      <text>
        <r>
          <rPr>
            <sz val="10"/>
            <color rgb="FF000000"/>
            <rFont val="Aptos Narrow"/>
            <scheme val="minor"/>
          </rPr>
          <t>======
ID#AAABjx7qPLY
    (2025-05-21 11:33:24)
0622 chloe:匯款匯入US$14958</t>
        </r>
      </text>
    </comment>
    <comment ref="K1281" authorId="0" shapeId="0" xr:uid="{9FF38073-D17E-6341-BC05-C42C0AB440E6}">
      <text>
        <r>
          <rPr>
            <sz val="10"/>
            <color rgb="FF000000"/>
            <rFont val="Aptos Narrow"/>
            <scheme val="minor"/>
          </rPr>
          <t>======
ID#AAABj82dpHE
20180504 Santiago    (2025-05-21 11:33:23)
出貨前通知Santiago 照相</t>
        </r>
      </text>
    </comment>
    <comment ref="H1282" authorId="0" shapeId="0" xr:uid="{EBBA7D66-B458-BD41-B51C-ABB3351D987A}">
      <text>
        <r>
          <rPr>
            <sz val="10"/>
            <color rgb="FF000000"/>
            <rFont val="Aptos Narrow"/>
            <scheme val="minor"/>
          </rPr>
          <t>======
ID#AAABjx7qSAE
    (2025-05-21 11:33:25)
0622 chloe:匯款匯入US$14958</t>
        </r>
      </text>
    </comment>
    <comment ref="H1283" authorId="0" shapeId="0" xr:uid="{130C0826-27D4-2644-8F4F-56CDA67408D6}">
      <text>
        <r>
          <rPr>
            <sz val="10"/>
            <color rgb="FF000000"/>
            <rFont val="Aptos Narrow"/>
            <scheme val="minor"/>
          </rPr>
          <t>======
ID#AAABjx7qM0U
    (2025-05-21 11:33:23)
0622 chloe:匯款匯入US$14958</t>
        </r>
      </text>
    </comment>
    <comment ref="U1283" authorId="0" shapeId="0" xr:uid="{D3C4FED0-3BE9-A743-9540-CC8A84786380}">
      <text>
        <r>
          <rPr>
            <sz val="10"/>
            <color rgb="FF000000"/>
            <rFont val="Aptos Narrow"/>
            <scheme val="minor"/>
          </rPr>
          <t>======
ID#AAABjx7qM9k
    (2025-05-21 11:33:23)
christine 0426 : @29.525</t>
        </r>
      </text>
    </comment>
    <comment ref="H1284" authorId="0" shapeId="0" xr:uid="{391697CE-37B2-B54B-B41E-ED89A67A70DD}">
      <text>
        <r>
          <rPr>
            <sz val="10"/>
            <color rgb="FF000000"/>
            <rFont val="Aptos Narrow"/>
            <scheme val="minor"/>
          </rPr>
          <t>======
ID#AAABjx7qOdw
    (2025-05-21 11:33:24)
0622 chloe:匯款匯入US$14958</t>
        </r>
      </text>
    </comment>
    <comment ref="H1285" authorId="0" shapeId="0" xr:uid="{2AB13DEE-A207-9C4A-A6ED-F4A4CCCF548C}">
      <text>
        <r>
          <rPr>
            <sz val="10"/>
            <color rgb="FF000000"/>
            <rFont val="Aptos Narrow"/>
            <scheme val="minor"/>
          </rPr>
          <t>======
ID#AAABjx7qNkY
    (2025-05-21 11:33:23)
0622 chloe:匯款匯入US$14958</t>
        </r>
      </text>
    </comment>
    <comment ref="H1286" authorId="0" shapeId="0" xr:uid="{8A1BEEF8-5407-BB4F-B33E-189727E3A4AA}">
      <text>
        <r>
          <rPr>
            <sz val="10"/>
            <color rgb="FF000000"/>
            <rFont val="Aptos Narrow"/>
            <scheme val="minor"/>
          </rPr>
          <t>======
ID#AAABjx7qWLA
    (2025-05-21 11:33:27)
0508 chloe:匯入NT452,486</t>
        </r>
      </text>
    </comment>
    <comment ref="E1287" authorId="0" shapeId="0" xr:uid="{A6515BCB-905F-334B-BAFF-0D0D1B0FFE44}">
      <text>
        <r>
          <rPr>
            <sz val="10"/>
            <color rgb="FF000000"/>
            <rFont val="Aptos Narrow"/>
            <scheme val="minor"/>
          </rPr>
          <t>======
ID#AAABjx7qQg0
    (2025-05-21 11:33:25)
20170104 Santiago: 和之前訂單一樣, w/o adapter</t>
        </r>
      </text>
    </comment>
    <comment ref="H1287" authorId="0" shapeId="0" xr:uid="{13234313-AF83-7844-8380-9CFCD9A31CB8}">
      <text>
        <r>
          <rPr>
            <sz val="10"/>
            <color rgb="FF000000"/>
            <rFont val="Aptos Narrow"/>
            <scheme val="minor"/>
          </rPr>
          <t>======
ID#AAABjx7qP0A
    (2025-05-21 11:33:24)
0508 chloe:匯入NT452,486</t>
        </r>
      </text>
    </comment>
    <comment ref="H1288" authorId="0" shapeId="0" xr:uid="{F871B7B1-4068-534B-8E36-16C11CD25F14}">
      <text>
        <r>
          <rPr>
            <sz val="10"/>
            <color rgb="FF000000"/>
            <rFont val="Aptos Narrow"/>
            <scheme val="minor"/>
          </rPr>
          <t>======
ID#AAABjx7qWOU
    (2025-05-21 11:33:27)
0611 chloe:  匯款匯入8756</t>
        </r>
      </text>
    </comment>
    <comment ref="G1289" authorId="0" shapeId="0" xr:uid="{ED6F9154-B3A6-044D-896F-34590A022EB8}">
      <text>
        <r>
          <rPr>
            <sz val="10"/>
            <color rgb="FF000000"/>
            <rFont val="Aptos Narrow"/>
            <scheme val="minor"/>
          </rPr>
          <t>======
ID#AAABjx7qRFk
    (2025-05-21 11:33:25)
180221 Tammy: project price for over 50pcs/lot</t>
        </r>
      </text>
    </comment>
    <comment ref="H1289" authorId="0" shapeId="0" xr:uid="{E0B26BFC-AF05-674F-9607-9C77C0607077}">
      <text>
        <r>
          <rPr>
            <sz val="10"/>
            <color rgb="FF000000"/>
            <rFont val="Aptos Narrow"/>
            <scheme val="minor"/>
          </rPr>
          <t>======
ID#AAABjx7qNh4
    (2025-05-21 11:33:23)
0614 chloe:匯款匯入US$8274</t>
        </r>
      </text>
    </comment>
    <comment ref="E1290" authorId="0" shapeId="0" xr:uid="{0FC1FD13-B261-9543-8D46-C9CA214E36B1}">
      <text>
        <r>
          <rPr>
            <sz val="10"/>
            <color rgb="FF000000"/>
            <rFont val="Aptos Narrow"/>
            <scheme val="minor"/>
          </rPr>
          <t>======
ID#AAABjx7qQbE
0504 chloe    (2025-05-21 11:33:25)
快異點料號:CRK18050401</t>
        </r>
      </text>
    </comment>
    <comment ref="H1290" authorId="0" shapeId="0" xr:uid="{82F438CE-DA9E-EB42-ADDD-1461E68CC4C9}">
      <text>
        <r>
          <rPr>
            <sz val="10"/>
            <color rgb="FF000000"/>
            <rFont val="Aptos Narrow"/>
            <scheme val="minor"/>
          </rPr>
          <t>======
ID#AAABjx7qRXM
    (2025-05-21 11:33:25)
0709 chloe:匯款匯入US$3424</t>
        </r>
      </text>
    </comment>
    <comment ref="E1291" authorId="0" shapeId="0" xr:uid="{2F464E0A-9903-FE4E-900A-F867523E28D9}">
      <text>
        <r>
          <rPr>
            <sz val="10"/>
            <color rgb="FF000000"/>
            <rFont val="Aptos Narrow"/>
            <scheme val="minor"/>
          </rPr>
          <t>======
ID#AAABjx7qQxc
0504 chloe    (2025-05-21 11:33:25)
快異點料號:CRK18050402</t>
        </r>
      </text>
    </comment>
    <comment ref="H1291" authorId="0" shapeId="0" xr:uid="{B7071B85-194D-0442-A420-915023E2608C}">
      <text>
        <r>
          <rPr>
            <sz val="10"/>
            <color rgb="FF000000"/>
            <rFont val="Aptos Narrow"/>
            <scheme val="minor"/>
          </rPr>
          <t>======
ID#AAABjx7qSAw
    (2025-05-21 11:33:25)
0709 chloe:匯款匯入US$3424</t>
        </r>
      </text>
    </comment>
    <comment ref="E1292" authorId="0" shapeId="0" xr:uid="{4F2345B1-7369-E64B-9D15-CAD415E1EE59}">
      <text>
        <r>
          <rPr>
            <sz val="10"/>
            <color rgb="FF000000"/>
            <rFont val="Aptos Narrow"/>
            <scheme val="minor"/>
          </rPr>
          <t>======
ID#AAABj82dpME
0503 chloe    (2025-05-21 11:33:23)
待Miller 圖面畫完後告知快異點打線</t>
        </r>
      </text>
    </comment>
    <comment ref="H1292" authorId="0" shapeId="0" xr:uid="{B0CB1137-61B8-9245-A9A7-311F2DA4BF4A}">
      <text>
        <r>
          <rPr>
            <sz val="10"/>
            <color rgb="FF000000"/>
            <rFont val="Aptos Narrow"/>
            <scheme val="minor"/>
          </rPr>
          <t>======
ID#AAABjx7qSsU
    (2025-05-21 11:33:26)
0622 chloe:匯款匯入US$679</t>
        </r>
      </text>
    </comment>
    <comment ref="O1292" authorId="0" shapeId="0" xr:uid="{E8E8D03A-A984-6641-B328-5A6CDE9C373B}">
      <text>
        <r>
          <rPr>
            <sz val="10"/>
            <color rgb="FF000000"/>
            <rFont val="Aptos Narrow"/>
            <scheme val="minor"/>
          </rPr>
          <t>======
ID#AAABjx7qOIc
    (2025-05-21 11:33:24)
2 PCS</t>
        </r>
      </text>
    </comment>
    <comment ref="E1293" authorId="0" shapeId="0" xr:uid="{E728A120-77EE-9840-B3AB-F29BFE31DCAE}">
      <text>
        <r>
          <rPr>
            <sz val="10"/>
            <color rgb="FF000000"/>
            <rFont val="Aptos Narrow"/>
            <scheme val="minor"/>
          </rPr>
          <t>======
ID#AAABjx7qUvU
0503 chloe    (2025-05-21 11:33:26)
待Miller 圖面畫完後告知快異點打線</t>
        </r>
      </text>
    </comment>
    <comment ref="H1293" authorId="0" shapeId="0" xr:uid="{DDC63EDD-C0D4-C641-B728-02F88E294693}">
      <text>
        <r>
          <rPr>
            <sz val="10"/>
            <color rgb="FF000000"/>
            <rFont val="Aptos Narrow"/>
            <scheme val="minor"/>
          </rPr>
          <t>======
ID#AAABjx7qN00
    (2025-05-21 11:33:23)
0622 chloe:匯款匯入US$679</t>
        </r>
      </text>
    </comment>
    <comment ref="O1293" authorId="0" shapeId="0" xr:uid="{3A2F4324-EB80-1E46-9C24-DAEEB164E14B}">
      <text>
        <r>
          <rPr>
            <sz val="10"/>
            <color rgb="FF000000"/>
            <rFont val="Aptos Narrow"/>
            <scheme val="minor"/>
          </rPr>
          <t>======
ID#AAABjx7qUvo
    (2025-05-21 11:33:26)
2 PCS</t>
        </r>
      </text>
    </comment>
    <comment ref="E1294" authorId="0" shapeId="0" xr:uid="{892054F1-65EF-AA46-BC4F-F769863DA3CF}">
      <text>
        <r>
          <rPr>
            <sz val="10"/>
            <color rgb="FF000000"/>
            <rFont val="Aptos Narrow"/>
            <scheme val="minor"/>
          </rPr>
          <t>======
ID#AAABjx7qVzo
0503 chloe    (2025-05-21 11:33:27)
待Miller 圖面畫完後告知快異點打線</t>
        </r>
      </text>
    </comment>
    <comment ref="H1294" authorId="0" shapeId="0" xr:uid="{E5A95EF8-76D4-C440-A090-A06DF16577A5}">
      <text>
        <r>
          <rPr>
            <sz val="10"/>
            <color rgb="FF000000"/>
            <rFont val="Aptos Narrow"/>
            <scheme val="minor"/>
          </rPr>
          <t>======
ID#AAABjx7qU58
    (2025-05-21 11:33:27)
0622 chloe:匯款匯入US$679</t>
        </r>
      </text>
    </comment>
    <comment ref="O1294" authorId="0" shapeId="0" xr:uid="{52B2A314-4DF7-A543-BC84-56C179EBC2F4}">
      <text>
        <r>
          <rPr>
            <sz val="10"/>
            <color rgb="FF000000"/>
            <rFont val="Aptos Narrow"/>
            <scheme val="minor"/>
          </rPr>
          <t>======
ID#AAABjx7qRKg
    (2025-05-21 11:33:25)
3 PCS</t>
        </r>
      </text>
    </comment>
    <comment ref="E1295" authorId="0" shapeId="0" xr:uid="{8F996024-30C0-7548-BB32-5D26AB749DA3}">
      <text>
        <r>
          <rPr>
            <sz val="10"/>
            <color rgb="FF000000"/>
            <rFont val="Aptos Narrow"/>
            <scheme val="minor"/>
          </rPr>
          <t>======
ID#AAABjx7qVdg
0503 chloe    (2025-05-21 11:33:27)
待Miller 圖面畫完後告知快異點打線</t>
        </r>
      </text>
    </comment>
    <comment ref="H1295" authorId="0" shapeId="0" xr:uid="{3C86EDFC-7DA4-6E45-9089-72A81AF1BB31}">
      <text>
        <r>
          <rPr>
            <sz val="10"/>
            <color rgb="FF000000"/>
            <rFont val="Aptos Narrow"/>
            <scheme val="minor"/>
          </rPr>
          <t>======
ID#AAABjx7qS-U
    (2025-05-21 11:33:26)
0622 chloe:匯款匯入US$679</t>
        </r>
      </text>
    </comment>
    <comment ref="O1295" authorId="0" shapeId="0" xr:uid="{4A5BCE04-2CC3-B549-AE5B-F380CEF2D4D2}">
      <text>
        <r>
          <rPr>
            <sz val="10"/>
            <color rgb="FF000000"/>
            <rFont val="Aptos Narrow"/>
            <scheme val="minor"/>
          </rPr>
          <t>======
ID#AAABjx7qNiA
    (2025-05-21 11:33:23)
與P259同一種Cable</t>
        </r>
      </text>
    </comment>
    <comment ref="H1296" authorId="0" shapeId="0" xr:uid="{15BE002C-2321-464C-9EA7-234C800A0EDA}">
      <text>
        <r>
          <rPr>
            <sz val="10"/>
            <color rgb="FF000000"/>
            <rFont val="Aptos Narrow"/>
            <scheme val="minor"/>
          </rPr>
          <t>======
ID#AAABjx7qSiQ
    (2025-05-21 11:33:26)
0622 chloe:匯款匯入US$679</t>
        </r>
      </text>
    </comment>
    <comment ref="E1301" authorId="0" shapeId="0" xr:uid="{F0340E04-2688-C949-A700-AA4B0D4286A3}">
      <text>
        <r>
          <rPr>
            <sz val="10"/>
            <color rgb="FF000000"/>
            <rFont val="Aptos Narrow"/>
            <scheme val="minor"/>
          </rPr>
          <t>======
ID#AAABjx7qN2U
0503 chloe    (2025-05-21 11:33:23)
待Miller 圖面畫完後告知快異點打線</t>
        </r>
      </text>
    </comment>
    <comment ref="O1301" authorId="0" shapeId="0" xr:uid="{1936BDA4-CC1A-0B46-A8FD-FB3355C23ED5}">
      <text>
        <r>
          <rPr>
            <sz val="10"/>
            <color rgb="FF000000"/>
            <rFont val="Aptos Narrow"/>
            <scheme val="minor"/>
          </rPr>
          <t>======
ID#AAABjx7qOpg
    (2025-05-21 11:33:24)
3 PCS</t>
        </r>
      </text>
    </comment>
    <comment ref="E1302" authorId="0" shapeId="0" xr:uid="{3733E9C1-4A3F-D642-9A06-7686A9F85156}">
      <text>
        <r>
          <rPr>
            <sz val="10"/>
            <color rgb="FF000000"/>
            <rFont val="Aptos Narrow"/>
            <scheme val="minor"/>
          </rPr>
          <t>======
ID#AAABjx7qNP8
chloe    (2025-05-21 11:33:23)
正確型號:PDK-150S</t>
        </r>
      </text>
    </comment>
    <comment ref="H1302" authorId="0" shapeId="0" xr:uid="{59BC94CD-19F9-9D4A-BF69-4F7B2FE528FC}">
      <text>
        <r>
          <rPr>
            <sz val="10"/>
            <color rgb="FF000000"/>
            <rFont val="Aptos Narrow"/>
            <scheme val="minor"/>
          </rPr>
          <t>======
ID#AAABjx7qO-A
    (2025-05-21 11:33:24)
0622 chloe:匯款匯入US$679</t>
        </r>
      </text>
    </comment>
    <comment ref="E1307" authorId="0" shapeId="0" xr:uid="{83FEDCC1-557D-9045-852D-29DA3CA96939}">
      <text>
        <r>
          <rPr>
            <sz val="10"/>
            <color rgb="FF000000"/>
            <rFont val="Aptos Narrow"/>
            <scheme val="minor"/>
          </rPr>
          <t>======
ID#AAABjx7qV1g
0503 chloe    (2025-05-21 11:33:27)
待Miller 圖面畫完後告知快異點打線</t>
        </r>
      </text>
    </comment>
    <comment ref="O1307" authorId="0" shapeId="0" xr:uid="{7D993E09-8457-9647-B1FA-275205DB76F1}">
      <text>
        <r>
          <rPr>
            <sz val="10"/>
            <color rgb="FF000000"/>
            <rFont val="Aptos Narrow"/>
            <scheme val="minor"/>
          </rPr>
          <t>======
ID#AAABjx7qQPU
    (2025-05-21 11:33:25)
3 PCS</t>
        </r>
      </text>
    </comment>
    <comment ref="H1308" authorId="0" shapeId="0" xr:uid="{2EC5688E-D315-6E4A-92C9-F3543246683A}">
      <text>
        <r>
          <rPr>
            <sz val="10"/>
            <color rgb="FF000000"/>
            <rFont val="Aptos Narrow"/>
            <scheme val="minor"/>
          </rPr>
          <t>======
ID#AAABjx7qNY0
    (2025-05-21 11:33:23)
0612 chloe:收到支票NT82,222，待6/30兌現
已兌現</t>
        </r>
      </text>
    </comment>
    <comment ref="H1309" authorId="0" shapeId="0" xr:uid="{C1EB589A-5B4F-E341-8758-ED3CB78A86F7}">
      <text>
        <r>
          <rPr>
            <sz val="10"/>
            <color rgb="FF000000"/>
            <rFont val="Aptos Narrow"/>
            <scheme val="minor"/>
          </rPr>
          <t>======
ID#AAABjx7qNbs
    (2025-05-21 11:33:23)
0810 chloe:匯款匯入USD 521</t>
        </r>
      </text>
    </comment>
    <comment ref="K1309" authorId="0" shapeId="0" xr:uid="{CE1B3388-BB53-D24E-B9D2-20FFFD4B78FF}">
      <text>
        <r>
          <rPr>
            <sz val="10"/>
            <color rgb="FF000000"/>
            <rFont val="Aptos Narrow"/>
            <scheme val="minor"/>
          </rPr>
          <t>======
ID#AAABjx7qO0w
    (2025-05-21 11:33:24)
0608 chloe:尚未收到款項，暫HOLD</t>
        </r>
      </text>
    </comment>
    <comment ref="Z1309" authorId="0" shapeId="0" xr:uid="{64631F23-4570-AB42-8B75-69FD983CC8F7}">
      <text>
        <r>
          <rPr>
            <sz val="10"/>
            <color rgb="FF000000"/>
            <rFont val="Aptos Narrow"/>
            <scheme val="minor"/>
          </rPr>
          <t>======
ID#AAABjx7qVGM
    (2025-05-21 11:33:27)
發票7月已先給會計</t>
        </r>
      </text>
    </comment>
    <comment ref="H1310" authorId="0" shapeId="0" xr:uid="{9AE6A5EB-DE84-4647-9374-747209A826EE}">
      <text>
        <r>
          <rPr>
            <sz val="10"/>
            <color rgb="FF000000"/>
            <rFont val="Aptos Narrow"/>
            <scheme val="minor"/>
          </rPr>
          <t>======
ID#AAABjx7qQvM
    (2025-05-21 11:33:25)
0619 chloe:匯款匯入US$10018</t>
        </r>
      </text>
    </comment>
    <comment ref="H1311" authorId="0" shapeId="0" xr:uid="{BD9B438F-3D5E-7E4E-8234-FB91CFCCA586}">
      <text>
        <r>
          <rPr>
            <sz val="10"/>
            <color rgb="FF000000"/>
            <rFont val="Aptos Narrow"/>
            <scheme val="minor"/>
          </rPr>
          <t>======
ID#AAABjx7qOso
    (2025-05-21 11:33:24)
0619 chloe:匯款匯入US$10018</t>
        </r>
      </text>
    </comment>
    <comment ref="H1312" authorId="0" shapeId="0" xr:uid="{416A90DD-86FB-F14A-A160-9AC32A362C40}">
      <text>
        <r>
          <rPr>
            <sz val="10"/>
            <color rgb="FF000000"/>
            <rFont val="Aptos Narrow"/>
            <scheme val="minor"/>
          </rPr>
          <t>======
ID#AAABjx7qQCs
    (2025-05-21 11:33:25)
0619 chloe:匯款匯入US$10018</t>
        </r>
      </text>
    </comment>
    <comment ref="H1313" authorId="0" shapeId="0" xr:uid="{4CF589B9-8A30-9F48-AABD-2960B75D1661}">
      <text>
        <r>
          <rPr>
            <sz val="10"/>
            <color rgb="FF000000"/>
            <rFont val="Aptos Narrow"/>
            <scheme val="minor"/>
          </rPr>
          <t>======
ID#AAABjx7qOOs
    (2025-05-21 11:33:24)
0619 chloe:匯款匯入US$10018</t>
        </r>
      </text>
    </comment>
    <comment ref="H1314" authorId="0" shapeId="0" xr:uid="{1D5B1A5D-BBA4-E149-BA95-87E93700BF44}">
      <text>
        <r>
          <rPr>
            <sz val="10"/>
            <color rgb="FF000000"/>
            <rFont val="Aptos Narrow"/>
            <scheme val="minor"/>
          </rPr>
          <t>======
ID#AAABjx7qQaw
    (2025-05-21 11:33:25)
0619 chloe:匯款匯入US$10018</t>
        </r>
      </text>
    </comment>
    <comment ref="H1315" authorId="0" shapeId="0" xr:uid="{329434EF-F22B-A34F-B185-DD3B70CCF7EF}">
      <text>
        <r>
          <rPr>
            <sz val="10"/>
            <color rgb="FF000000"/>
            <rFont val="Aptos Narrow"/>
            <scheme val="minor"/>
          </rPr>
          <t>======
ID#AAABjx7qRRY
    (2025-05-21 11:33:25)
0619 chloe:匯款匯入US$10018</t>
        </r>
      </text>
    </comment>
    <comment ref="H1317" authorId="0" shapeId="0" xr:uid="{724828E1-07F5-0E4A-B2A8-42DEC9E32A60}">
      <text>
        <r>
          <rPr>
            <sz val="10"/>
            <color rgb="FF000000"/>
            <rFont val="Aptos Narrow"/>
            <scheme val="minor"/>
          </rPr>
          <t>======
ID#AAABjx7qVJU
    (2025-05-21 11:33:27)
0621 chloe:匯款匯入US$4890</t>
        </r>
      </text>
    </comment>
    <comment ref="K1317" authorId="0" shapeId="0" xr:uid="{CE9D6F88-0415-5B4D-BEA7-9D0BB136F97C}">
      <text>
        <r>
          <rPr>
            <sz val="10"/>
            <color rgb="FF000000"/>
            <rFont val="Aptos Narrow"/>
            <scheme val="minor"/>
          </rPr>
          <t>======
ID#AAABjx7qU0g
    (2025-05-21 11:33:26)
christine 0515: forwarder hold</t>
        </r>
      </text>
    </comment>
    <comment ref="H1318" authorId="0" shapeId="0" xr:uid="{AEB8DC5D-F521-8345-8DDB-5720AE6864D3}">
      <text>
        <r>
          <rPr>
            <sz val="10"/>
            <color rgb="FF000000"/>
            <rFont val="Aptos Narrow"/>
            <scheme val="minor"/>
          </rPr>
          <t>======
ID#AAABjx7qSvQ
    (2025-05-21 11:33:26)
0601 chloe:已匯款NT25858</t>
        </r>
      </text>
    </comment>
    <comment ref="H1319" authorId="0" shapeId="0" xr:uid="{40432BD0-8A4D-BC48-A3EC-8BE880400340}">
      <text>
        <r>
          <rPr>
            <sz val="10"/>
            <color rgb="FF000000"/>
            <rFont val="Aptos Narrow"/>
            <scheme val="minor"/>
          </rPr>
          <t>======
ID#AAABjx7qV0w
    (2025-05-21 11:33:27)
0619 chloe:匯入NT28950-原本款項25,011= 3,939(多匯)</t>
        </r>
      </text>
    </comment>
    <comment ref="K1319" authorId="0" shapeId="0" xr:uid="{EB22464C-EE6A-2046-B09C-08CEDF4D3AD7}">
      <text>
        <r>
          <rPr>
            <sz val="10"/>
            <color rgb="FF000000"/>
            <rFont val="Aptos Narrow"/>
            <scheme val="minor"/>
          </rPr>
          <t>======
ID#AAABjx7qM88
    (2025-05-21 11:33:23)
0601 chloe: Vecow寄至戎克，已於6/1由戎克經由大榮貨運寄出</t>
        </r>
      </text>
    </comment>
    <comment ref="AB1319" authorId="0" shapeId="0" xr:uid="{F82C357D-EB2A-9946-A30E-2105EDDAE34B}">
      <text>
        <r>
          <rPr>
            <sz val="10"/>
            <color rgb="FF000000"/>
            <rFont val="Aptos Narrow"/>
            <scheme val="minor"/>
          </rPr>
          <t>======
ID#AAABjx7qVQI
    (2025-05-21 11:33:27)
發票5/31 ，已給會計</t>
        </r>
      </text>
    </comment>
    <comment ref="H1320" authorId="0" shapeId="0" xr:uid="{18CD3D7B-7C14-994C-854B-4EB8D2061B1B}">
      <text>
        <r>
          <rPr>
            <sz val="10"/>
            <color rgb="FF000000"/>
            <rFont val="Aptos Narrow"/>
            <scheme val="minor"/>
          </rPr>
          <t>======
ID#AAABjx7qPD8
    (2025-05-21 11:33:24)
0511chloe:匯款匯入US$961</t>
        </r>
      </text>
    </comment>
    <comment ref="J1320" authorId="0" shapeId="0" xr:uid="{8504286A-E348-0844-9B94-E22A32012F65}">
      <text>
        <r>
          <rPr>
            <sz val="10"/>
            <color rgb="FF000000"/>
            <rFont val="Aptos Narrow"/>
            <scheme val="minor"/>
          </rPr>
          <t>======
ID#AAABjx7qO6w
Santiago 20180504    (2025-05-21 11:33:24)
外箱的shipping mark 要列印註明
EORI-Number DE7019688
以利通關</t>
        </r>
      </text>
    </comment>
    <comment ref="H1321" authorId="0" shapeId="0" xr:uid="{E3352A59-C9EA-9942-9088-5571F3B64F0F}">
      <text>
        <r>
          <rPr>
            <sz val="10"/>
            <color rgb="FF000000"/>
            <rFont val="Aptos Narrow"/>
            <scheme val="minor"/>
          </rPr>
          <t>======
ID#AAABjx7qVhE
    (2025-05-21 11:33:27)
0612 chloe:收到支票NT82,222，待6/30兌現
已兌現</t>
        </r>
      </text>
    </comment>
    <comment ref="H1322" authorId="0" shapeId="0" xr:uid="{2404B384-029B-9341-BD9F-4C6AD6F0419F}">
      <text>
        <r>
          <rPr>
            <sz val="10"/>
            <color rgb="FF000000"/>
            <rFont val="Aptos Narrow"/>
            <scheme val="minor"/>
          </rPr>
          <t>======
ID#AAABjx7qPNI
    (2025-05-21 11:33:24)
0712 chloe:匯款匯入US$3031</t>
        </r>
      </text>
    </comment>
    <comment ref="E1323" authorId="0" shapeId="0" xr:uid="{61031626-353F-714E-8016-DA775E888214}">
      <text>
        <r>
          <rPr>
            <sz val="10"/>
            <color rgb="FF000000"/>
            <rFont val="Aptos Narrow"/>
            <scheme val="minor"/>
          </rPr>
          <t>======
ID#AAABjx7qOmA
0508 Santiago    (2025-05-21 11:33:24)
-&gt; 待客戶將 7' LCD (AA070ME01)寄來後， 寄曦立光電做貼合
-&gt;  7' LCD (AA070ME01)入客供料倉</t>
        </r>
      </text>
    </comment>
    <comment ref="F1323" authorId="0" shapeId="0" xr:uid="{073D7265-8EB2-1C4C-A109-FC8B8647C596}">
      <text>
        <r>
          <rPr>
            <sz val="10"/>
            <color rgb="FF000000"/>
            <rFont val="Aptos Narrow"/>
            <scheme val="minor"/>
          </rPr>
          <t>======
ID#AAABjx7qM0k
    (2025-05-21 11:33:23)
入倉104PCS</t>
        </r>
      </text>
    </comment>
    <comment ref="H1323" authorId="0" shapeId="0" xr:uid="{1CF71B6F-C626-0D46-B511-331C4317CBA5}">
      <text>
        <r>
          <rPr>
            <sz val="10"/>
            <color rgb="FF000000"/>
            <rFont val="Aptos Narrow"/>
            <scheme val="minor"/>
          </rPr>
          <t>======
ID#AAABjx7qO7w
    (2025-05-21 11:33:24)
0518 chloe: 匯款匯入US$6190</t>
        </r>
      </text>
    </comment>
    <comment ref="K1323" authorId="0" shapeId="0" xr:uid="{8605902E-BCF6-CC4E-B8EF-5C2505A6F19E}">
      <text>
        <r>
          <rPr>
            <sz val="10"/>
            <color rgb="FF000000"/>
            <rFont val="Aptos Narrow"/>
            <scheme val="minor"/>
          </rPr>
          <t>======
ID#AAABjx7qQ1U
    (2025-05-21 11:33:25)
0723 chloe: 先寄出100PCS
另外4PCS存放在曦立光電</t>
        </r>
      </text>
    </comment>
    <comment ref="AB1323" authorId="0" shapeId="0" xr:uid="{6EBC7C07-9DD7-3E42-AC5B-96B086939FB6}">
      <text>
        <r>
          <rPr>
            <sz val="10"/>
            <color rgb="FF000000"/>
            <rFont val="Aptos Narrow"/>
            <scheme val="minor"/>
          </rPr>
          <t>======
ID#AAABjx7qV_g
    (2025-05-21 11:33:27)
入料104 PCS；出口100PCS</t>
        </r>
      </text>
    </comment>
    <comment ref="H1324" authorId="0" shapeId="0" xr:uid="{5F5F59C3-6886-534F-9036-A8556892B03A}">
      <text>
        <r>
          <rPr>
            <sz val="10"/>
            <color rgb="FF000000"/>
            <rFont val="Aptos Narrow"/>
            <scheme val="minor"/>
          </rPr>
          <t>======
ID#AAABjx7qVDM
    (2025-05-21 11:33:27)
0604 chloe:匯款匯入US$1622</t>
        </r>
      </text>
    </comment>
    <comment ref="H1325" authorId="0" shapeId="0" xr:uid="{59ACE452-D67D-9740-94A3-EDCABB2311FC}">
      <text>
        <r>
          <rPr>
            <sz val="10"/>
            <color rgb="FF000000"/>
            <rFont val="Aptos Narrow"/>
            <scheme val="minor"/>
          </rPr>
          <t>======
ID#AAABjx7qQ6Q
    (2025-05-21 11:33:25)
0517 chloe:匯入US2077</t>
        </r>
      </text>
    </comment>
    <comment ref="H1326" authorId="0" shapeId="0" xr:uid="{26304DF2-DD8D-F44A-9818-8CA8B2EC80CC}">
      <text>
        <r>
          <rPr>
            <sz val="10"/>
            <color rgb="FF000000"/>
            <rFont val="Aptos Narrow"/>
            <scheme val="minor"/>
          </rPr>
          <t>======
ID#AAABjx7qSdM
    (2025-05-21 11:33:26)
0517 chloe:匯入US2077</t>
        </r>
      </text>
    </comment>
    <comment ref="H1327" authorId="0" shapeId="0" xr:uid="{372672FF-FF76-8D48-BA36-151D67B626EB}">
      <text>
        <r>
          <rPr>
            <sz val="10"/>
            <color rgb="FF000000"/>
            <rFont val="Aptos Narrow"/>
            <scheme val="minor"/>
          </rPr>
          <t>======
ID#AAABjx7qOho
    (2025-05-21 11:33:24)
0625 chloe:匯款匯入US$882</t>
        </r>
      </text>
    </comment>
    <comment ref="H1328" authorId="0" shapeId="0" xr:uid="{29A35E46-0CA2-9940-A741-660FDADFA792}">
      <text>
        <r>
          <rPr>
            <sz val="10"/>
            <color rgb="FF000000"/>
            <rFont val="Aptos Narrow"/>
            <scheme val="minor"/>
          </rPr>
          <t>======
ID#AAABjx7qVUE
    (2025-05-21 11:33:27)
0822 chloe: 匯款匯入US$703</t>
        </r>
      </text>
    </comment>
    <comment ref="H1329" authorId="0" shapeId="0" xr:uid="{6DCC0121-2CC1-5F46-B276-DC090393C18B}">
      <text>
        <r>
          <rPr>
            <sz val="10"/>
            <color rgb="FF000000"/>
            <rFont val="Aptos Narrow"/>
            <scheme val="minor"/>
          </rPr>
          <t>======
ID#AAABjx7qOCg
    (2025-05-21 11:33:24)
1211 chloe:客戶水單匯款12/11再留意款項入帳
1212 chloe:匯款匯入US$703</t>
        </r>
      </text>
    </comment>
    <comment ref="H1330" authorId="0" shapeId="0" xr:uid="{9D9552DF-2B35-D241-ADBC-72195857FB56}">
      <text>
        <r>
          <rPr>
            <sz val="10"/>
            <color rgb="FF000000"/>
            <rFont val="Aptos Narrow"/>
            <scheme val="minor"/>
          </rPr>
          <t>======
ID#AAABjx7qTBw
    (2025-05-21 11:33:26)
0622 chloe:匯款匯入US$14958</t>
        </r>
      </text>
    </comment>
    <comment ref="H1331" authorId="0" shapeId="0" xr:uid="{B54C3F65-B4CD-5A42-8718-C0AB0F9FADD2}">
      <text>
        <r>
          <rPr>
            <sz val="10"/>
            <color rgb="FF000000"/>
            <rFont val="Aptos Narrow"/>
            <scheme val="minor"/>
          </rPr>
          <t>======
ID#AAABjx7qNAI
    (2025-05-21 11:33:23)
0622 chloe:匯款匯入US$14958</t>
        </r>
      </text>
    </comment>
    <comment ref="H1332" authorId="0" shapeId="0" xr:uid="{8BDAF8E3-ACB8-5C4D-883D-DA97F3500E8F}">
      <text>
        <r>
          <rPr>
            <sz val="10"/>
            <color rgb="FF000000"/>
            <rFont val="Aptos Narrow"/>
            <scheme val="minor"/>
          </rPr>
          <t>======
ID#AAABjx7qVeA
    (2025-05-21 11:33:27)
0622 chloe:匯款匯入US$14958</t>
        </r>
      </text>
    </comment>
    <comment ref="V1332" authorId="0" shapeId="0" xr:uid="{8B984363-1C3D-1B41-AF10-649E402CEE28}">
      <text>
        <r>
          <rPr>
            <sz val="10"/>
            <color rgb="FF000000"/>
            <rFont val="Aptos Narrow"/>
            <scheme val="minor"/>
          </rPr>
          <t>======
ID#AAABjx7qVTs
    (2025-05-21 11:33:27)
Santiago 1130 : 原來Chloe 註記銀行如下, 但Santiago 匯到舊的聯邦
合庫大安分行
0760717324727</t>
        </r>
      </text>
    </comment>
    <comment ref="G1333" authorId="0" shapeId="0" xr:uid="{73267524-D4BE-FC45-860B-151E5155261E}">
      <text>
        <r>
          <rPr>
            <sz val="10"/>
            <color rgb="FF000000"/>
            <rFont val="Aptos Narrow"/>
            <scheme val="minor"/>
          </rPr>
          <t>======
ID#AAABjx7qVm4
    (2025-05-21 11:33:27)
w/5%VAT</t>
        </r>
      </text>
    </comment>
    <comment ref="H1333" authorId="0" shapeId="0" xr:uid="{80F2B762-8AD8-3B41-88AB-D53049C796BC}">
      <text>
        <r>
          <rPr>
            <sz val="10"/>
            <color rgb="FF000000"/>
            <rFont val="Aptos Narrow"/>
            <scheme val="minor"/>
          </rPr>
          <t>======
ID#AAABjx7qPGQ
    (2025-05-21 11:33:24)
0725 chloe:匯款匯入NT35,805</t>
        </r>
      </text>
    </comment>
    <comment ref="H1334" authorId="0" shapeId="0" xr:uid="{FDEAD8B1-CAAA-CE42-A807-5211D4E111B7}">
      <text>
        <r>
          <rPr>
            <sz val="10"/>
            <color rgb="FF000000"/>
            <rFont val="Aptos Narrow"/>
            <scheme val="minor"/>
          </rPr>
          <t>======
ID#AAABjx7qNNQ
    (2025-05-21 11:33:23)
0517chloe:匯款匯入US$7560</t>
        </r>
      </text>
    </comment>
    <comment ref="K1334" authorId="0" shapeId="0" xr:uid="{5D6787CA-BB12-2348-9E2D-D9A34BD73F69}">
      <text>
        <r>
          <rPr>
            <sz val="10"/>
            <color rgb="FF000000"/>
            <rFont val="Aptos Narrow"/>
            <scheme val="minor"/>
          </rPr>
          <t>======
ID#AAABjx7qPO8
    (2025-05-21 11:33:24)
Lissa: 安排和 PI-20180516A一起出貨</t>
        </r>
      </text>
    </comment>
    <comment ref="H1335" authorId="0" shapeId="0" xr:uid="{7F1FFDBA-B0B4-7849-80BA-C0D3E58AA2A9}">
      <text>
        <r>
          <rPr>
            <sz val="10"/>
            <color rgb="FF000000"/>
            <rFont val="Aptos Narrow"/>
            <scheme val="minor"/>
          </rPr>
          <t>======
ID#AAABjx7qNFU
    (2025-05-21 11:33:23)
0720 chloe: 匯款匯入US$20772</t>
        </r>
      </text>
    </comment>
    <comment ref="K1335" authorId="0" shapeId="0" xr:uid="{4ECA9227-BE32-DF49-989D-0E9F11A48B46}">
      <text>
        <r>
          <rPr>
            <sz val="10"/>
            <color rgb="FF000000"/>
            <rFont val="Aptos Narrow"/>
            <scheme val="minor"/>
          </rPr>
          <t>======
ID#AAABjx7qSxY
0517 Santiaog    (2025-05-21 11:33:26)
出貨前通知Santiago 拍照</t>
        </r>
      </text>
    </comment>
    <comment ref="H1336" authorId="0" shapeId="0" xr:uid="{71B92675-83AB-2341-9083-3ED634D680FA}">
      <text>
        <r>
          <rPr>
            <sz val="10"/>
            <color rgb="FF000000"/>
            <rFont val="Aptos Narrow"/>
            <scheme val="minor"/>
          </rPr>
          <t>======
ID#AAABjx7qVgo
    (2025-05-21 11:33:27)
0720 chloe: 匯款匯入US$20772</t>
        </r>
      </text>
    </comment>
    <comment ref="AC1336" authorId="0" shapeId="0" xr:uid="{0C4BE1C7-9E30-8B4D-BAFA-13676DEEC121}">
      <text>
        <r>
          <rPr>
            <sz val="10"/>
            <color rgb="FF000000"/>
            <rFont val="Aptos Narrow"/>
            <scheme val="minor"/>
          </rPr>
          <t>======
ID#AAABjx7qO-Y
    (2025-05-21 11:33:24)
NT1187</t>
        </r>
      </text>
    </comment>
    <comment ref="E1337" authorId="0" shapeId="0" xr:uid="{4861B2EF-7C27-4E4C-BC30-C74D46EB6324}">
      <text>
        <r>
          <rPr>
            <sz val="10"/>
            <color rgb="FF000000"/>
            <rFont val="Aptos Narrow"/>
            <scheme val="minor"/>
          </rPr>
          <t>======
ID#AAABjx7qNd4
    (2025-05-21 11:33:23)
0626 chloe:無寄出，納入戎克庫存</t>
        </r>
      </text>
    </comment>
    <comment ref="H1337" authorId="0" shapeId="0" xr:uid="{1F72A731-6554-C74F-B3F9-87E3888515A5}">
      <text>
        <r>
          <rPr>
            <sz val="10"/>
            <color rgb="FF000000"/>
            <rFont val="Aptos Narrow"/>
            <scheme val="minor"/>
          </rPr>
          <t>======
ID#AAABjx7qS6M
    (2025-05-21 11:33:26)
0720 chloe: 匯款匯入US$20772
此貨未出，但Ti2已匯款</t>
        </r>
      </text>
    </comment>
    <comment ref="V1337" authorId="0" shapeId="0" xr:uid="{BE26FE82-7AB8-CE4B-9C68-F5B61B2E5965}">
      <text>
        <r>
          <rPr>
            <sz val="10"/>
            <color rgb="FF000000"/>
            <rFont val="Aptos Narrow"/>
            <scheme val="minor"/>
          </rPr>
          <t>======
ID#AAABjx7qNG8
    (2025-05-21 11:33:23)
Santiago 1130 : 原來Chloe 註記銀行如下, 但Santiago 匯到舊的聯邦
合庫大安分行
0760717324727</t>
        </r>
      </text>
    </comment>
    <comment ref="E1338" authorId="0" shapeId="0" xr:uid="{2A9F4720-1459-5F40-BBB7-396450E7C7F7}">
      <text>
        <r>
          <rPr>
            <sz val="10"/>
            <color rgb="FF000000"/>
            <rFont val="Aptos Narrow"/>
            <scheme val="minor"/>
          </rPr>
          <t>======
ID#AAABjx7qTgA
    (2025-05-21 11:33:26)
180516 正確為SAA adapter</t>
        </r>
      </text>
    </comment>
    <comment ref="H1338" authorId="0" shapeId="0" xr:uid="{99548A02-BE39-004F-9AB1-2936ADE285A4}">
      <text>
        <r>
          <rPr>
            <sz val="10"/>
            <color rgb="FF000000"/>
            <rFont val="Aptos Narrow"/>
            <scheme val="minor"/>
          </rPr>
          <t>======
ID#AAABjx7qNns
    (2025-05-21 11:33:23)
0601 chloe:已匯款NT25858</t>
        </r>
      </text>
    </comment>
    <comment ref="H1339" authorId="0" shapeId="0" xr:uid="{B68AFCF3-EF16-624F-B666-23C8629A3802}">
      <text>
        <r>
          <rPr>
            <sz val="10"/>
            <color rgb="FF000000"/>
            <rFont val="Aptos Narrow"/>
            <scheme val="minor"/>
          </rPr>
          <t>======
ID#AAABjx7qOc4
    (2025-05-21 11:33:24)
0529 chloe:匯款匯入US$10844</t>
        </r>
      </text>
    </comment>
    <comment ref="H1340" authorId="0" shapeId="0" xr:uid="{FAACFF2B-79DF-A24E-9B4A-14B1BA73F1C6}">
      <text>
        <r>
          <rPr>
            <sz val="10"/>
            <color rgb="FF000000"/>
            <rFont val="Aptos Narrow"/>
            <scheme val="minor"/>
          </rPr>
          <t>======
ID#AAABjx7qSHg
    (2025-05-21 11:33:26)
0529 chloe:匯款匯入US$10844</t>
        </r>
      </text>
    </comment>
    <comment ref="H1341" authorId="0" shapeId="0" xr:uid="{72C53746-C0AF-5640-8696-73A16848EB49}">
      <text>
        <r>
          <rPr>
            <sz val="10"/>
            <color rgb="FF000000"/>
            <rFont val="Aptos Narrow"/>
            <scheme val="minor"/>
          </rPr>
          <t>======
ID#AAABjx7qTUY
    (2025-05-21 11:33:26)
0628 chloe :匯款匯入US$570</t>
        </r>
      </text>
    </comment>
    <comment ref="K1341" authorId="0" shapeId="0" xr:uid="{CD9AB946-BA6E-2047-A62A-6E169E1ACDA3}">
      <text>
        <r>
          <rPr>
            <sz val="10"/>
            <color rgb="FF000000"/>
            <rFont val="Aptos Narrow"/>
            <scheme val="minor"/>
          </rPr>
          <t>======
ID#AAABjx7qVdo
    (2025-05-21 11:33:27)
Lissa: 安排和 PI-20180510C一起出貨</t>
        </r>
      </text>
    </comment>
    <comment ref="H1342" authorId="0" shapeId="0" xr:uid="{7DBD2D16-5D0A-0045-8268-C150B1D49E5F}">
      <text>
        <r>
          <rPr>
            <sz val="10"/>
            <color rgb="FF000000"/>
            <rFont val="Aptos Narrow"/>
            <scheme val="minor"/>
          </rPr>
          <t>======
ID#AAABjx7qSik
    (2025-05-21 11:33:26)
0619 chloe:匯入NT28950-原本款項25,011= 3,939(多匯)</t>
        </r>
      </text>
    </comment>
    <comment ref="K1342" authorId="0" shapeId="0" xr:uid="{5DA14EFF-71C1-5F42-8268-2123004E28F0}">
      <text>
        <r>
          <rPr>
            <sz val="10"/>
            <color rgb="FF000000"/>
            <rFont val="Aptos Narrow"/>
            <scheme val="minor"/>
          </rPr>
          <t>======
ID#AAABjx7qNUc
●Santiago 0517    (2025-05-21 11:33:23)
客戶急著要貨,
若能5/31 出貨最好
若不能, 就特例6/1 週五出貨
●0601 chloe: Vecow寄至戎克，已於6/1由戎克經由大榮貨運寄出</t>
        </r>
      </text>
    </comment>
    <comment ref="H1343" authorId="0" shapeId="0" xr:uid="{34DC85E6-55F5-9647-91B0-70AE348D20FF}">
      <text>
        <r>
          <rPr>
            <sz val="10"/>
            <color rgb="FF000000"/>
            <rFont val="Aptos Narrow"/>
            <scheme val="minor"/>
          </rPr>
          <t>======
ID#AAABjx7qVMA
    (2025-05-21 11:33:27)
0529 chloe:匯款匯入US$10844</t>
        </r>
      </text>
    </comment>
    <comment ref="H1344" authorId="0" shapeId="0" xr:uid="{A16D0823-8147-0B48-B625-F5D3A315CAAA}">
      <text>
        <r>
          <rPr>
            <sz val="10"/>
            <color rgb="FF000000"/>
            <rFont val="Aptos Narrow"/>
            <scheme val="minor"/>
          </rPr>
          <t>======
ID#AAABjx7qSoo
    (2025-05-21 11:33:26)
0529 chloe:匯款匯入US$10844</t>
        </r>
      </text>
    </comment>
    <comment ref="H1345" authorId="0" shapeId="0" xr:uid="{9070B4DE-94D2-3B46-B086-983FCFFE11F8}">
      <text>
        <r>
          <rPr>
            <sz val="10"/>
            <color rgb="FF000000"/>
            <rFont val="Aptos Narrow"/>
            <scheme val="minor"/>
          </rPr>
          <t>======
ID#AAABjx7qOkI
    (2025-05-21 11:33:24)
0522 chloe:匯款匯入US$274</t>
        </r>
      </text>
    </comment>
    <comment ref="H1346" authorId="0" shapeId="0" xr:uid="{F4C1A6C1-7D17-EC47-9561-B9711B7E1F7B}">
      <text>
        <r>
          <rPr>
            <sz val="10"/>
            <color rgb="FF000000"/>
            <rFont val="Aptos Narrow"/>
            <scheme val="minor"/>
          </rPr>
          <t>======
ID#AAABj82dpNQ
    (2025-05-21 11:33:23)
0907 chloe:匯款匯入US$32760</t>
        </r>
      </text>
    </comment>
    <comment ref="K1346" authorId="0" shapeId="0" xr:uid="{58A3D881-C78C-4348-8C39-64E7E7AB1FC8}">
      <text>
        <r>
          <rPr>
            <sz val="10"/>
            <color rgb="FF000000"/>
            <rFont val="Aptos Narrow"/>
            <scheme val="minor"/>
          </rPr>
          <t>======
ID#AAABjx7qTLk
0604 Santiago    (2025-05-21 11:33:26)
出貨前一日通知拍照</t>
        </r>
      </text>
    </comment>
    <comment ref="H1347" authorId="0" shapeId="0" xr:uid="{6AA8A2E8-9E28-CF49-8D36-D2376F85BD50}">
      <text>
        <r>
          <rPr>
            <sz val="10"/>
            <color rgb="FF000000"/>
            <rFont val="Aptos Narrow"/>
            <scheme val="minor"/>
          </rPr>
          <t>======
ID#AAABjx7qS3c
    (2025-05-21 11:33:26)
0830 chloe:匯款匯入US$1016</t>
        </r>
      </text>
    </comment>
    <comment ref="H1348" authorId="0" shapeId="0" xr:uid="{822ABC75-322D-0D42-B0FB-3F8F95C6339D}">
      <text>
        <r>
          <rPr>
            <sz val="10"/>
            <color rgb="FF000000"/>
            <rFont val="Aptos Narrow"/>
            <scheme val="minor"/>
          </rPr>
          <t>======
ID#AAABjx7qSUM
    (2025-05-21 11:33:26)
0720 chloe:匯款匯入US$10826</t>
        </r>
      </text>
    </comment>
    <comment ref="H1349" authorId="0" shapeId="0" xr:uid="{03052CD5-EFEE-154C-B0F3-C8097847BFEF}">
      <text>
        <r>
          <rPr>
            <sz val="10"/>
            <color rgb="FF000000"/>
            <rFont val="Aptos Narrow"/>
            <scheme val="minor"/>
          </rPr>
          <t>======
ID#AAABjx7qSDo
    (2025-05-21 11:33:25)
0830 chloe:匯款匯入US$1016</t>
        </r>
      </text>
    </comment>
    <comment ref="G1350" authorId="0" shapeId="0" xr:uid="{D5D94AB5-51B4-7A41-8D11-503ABE7363EB}">
      <text>
        <r>
          <rPr>
            <sz val="10"/>
            <color rgb="FF000000"/>
            <rFont val="Aptos Narrow"/>
            <scheme val="minor"/>
          </rPr>
          <t>======
ID#AAABjx7qNGQ
    (2025-05-21 11:33:23)
170323 w/ 5%VAT</t>
        </r>
      </text>
    </comment>
    <comment ref="H1350" authorId="0" shapeId="0" xr:uid="{6ADB5C82-6F1D-2F4F-A7EF-8113F9AFE15B}">
      <text>
        <r>
          <rPr>
            <sz val="10"/>
            <color rgb="FF000000"/>
            <rFont val="Aptos Narrow"/>
            <scheme val="minor"/>
          </rPr>
          <t>======
ID#AAABjx7qPik
    (2025-05-21 11:33:24)
0731 chloe:匯款匯入US$3,973.20</t>
        </r>
      </text>
    </comment>
    <comment ref="H1351" authorId="0" shapeId="0" xr:uid="{B83674CC-F717-9D49-9F03-492E351149C6}">
      <text>
        <r>
          <rPr>
            <sz val="10"/>
            <color rgb="FF000000"/>
            <rFont val="Aptos Narrow"/>
            <scheme val="minor"/>
          </rPr>
          <t>======
ID#AAABjx7qTF8
    (2025-05-21 11:33:26)
0712 chloe:匯款匯入US$3031</t>
        </r>
      </text>
    </comment>
    <comment ref="H1352" authorId="0" shapeId="0" xr:uid="{4DE168D3-9518-5D42-8070-0F12C67C5C68}">
      <text>
        <r>
          <rPr>
            <sz val="10"/>
            <color rgb="FF000000"/>
            <rFont val="Aptos Narrow"/>
            <scheme val="minor"/>
          </rPr>
          <t>======
ID#AAABjx7qOe4
    (2025-05-21 11:33:24)
0712 chloe:匯款匯入US$3031</t>
        </r>
      </text>
    </comment>
    <comment ref="H1353" authorId="0" shapeId="0" xr:uid="{6D506892-215A-EA41-B79A-2C6B5A8FF4ED}">
      <text>
        <r>
          <rPr>
            <sz val="10"/>
            <color rgb="FF000000"/>
            <rFont val="Aptos Narrow"/>
            <scheme val="minor"/>
          </rPr>
          <t>======
ID#AAABjx7qPao
    (2025-05-21 11:33:24)
0706 chloe:匯款匯入US$8750</t>
        </r>
      </text>
    </comment>
    <comment ref="H1354" authorId="0" shapeId="0" xr:uid="{F7D194C0-9484-9E4B-BA0E-9E8F5E15B6A2}">
      <text>
        <r>
          <rPr>
            <sz val="10"/>
            <color rgb="FF000000"/>
            <rFont val="Aptos Narrow"/>
            <scheme val="minor"/>
          </rPr>
          <t>======
ID#AAABjx7qQJI
    (2025-05-21 11:33:25)
0706 chloe:匯款匯入US$8750</t>
        </r>
      </text>
    </comment>
    <comment ref="H1355" authorId="0" shapeId="0" xr:uid="{86B3B830-CF34-E940-BAD5-DC3F1996E032}">
      <text>
        <r>
          <rPr>
            <sz val="10"/>
            <color rgb="FF000000"/>
            <rFont val="Aptos Narrow"/>
            <scheme val="minor"/>
          </rPr>
          <t>======
ID#AAABjx7qSWE
    (2025-05-21 11:33:26)
0706 chloe:匯款匯入US$8750</t>
        </r>
      </text>
    </comment>
    <comment ref="H1356" authorId="0" shapeId="0" xr:uid="{A5C4D605-90A1-FE41-B2DC-15C40E69EA0C}">
      <text>
        <r>
          <rPr>
            <sz val="10"/>
            <color rgb="FF000000"/>
            <rFont val="Aptos Narrow"/>
            <scheme val="minor"/>
          </rPr>
          <t>======
ID#AAABjx7qWEY
    (2025-05-21 11:33:27)
0706 chloe:匯款匯入US$8750</t>
        </r>
      </text>
    </comment>
    <comment ref="H1357" authorId="0" shapeId="0" xr:uid="{359DC2F0-C37A-B74F-902B-90AFC968472E}">
      <text>
        <r>
          <rPr>
            <sz val="10"/>
            <color rgb="FF000000"/>
            <rFont val="Aptos Narrow"/>
            <scheme val="minor"/>
          </rPr>
          <t>======
ID#AAABjx7qVXA
    (2025-05-21 11:33:27)
0813 chloe:匯款匯入 US$3841.5</t>
        </r>
      </text>
    </comment>
    <comment ref="H1358" authorId="0" shapeId="0" xr:uid="{A6048A9D-535B-D548-B59D-6DC55805EF0F}">
      <text>
        <r>
          <rPr>
            <sz val="10"/>
            <color rgb="FF000000"/>
            <rFont val="Aptos Narrow"/>
            <scheme val="minor"/>
          </rPr>
          <t>======
ID#AAABjx7qSsY
    (2025-05-21 11:33:26)
0720 chloe:匯款匯入US$10826</t>
        </r>
      </text>
    </comment>
    <comment ref="M1358" authorId="0" shapeId="0" xr:uid="{15ACA82B-4445-EC48-B989-309A65F11D28}">
      <text>
        <r>
          <rPr>
            <sz val="10"/>
            <color rgb="FF000000"/>
            <rFont val="Aptos Narrow"/>
            <scheme val="minor"/>
          </rPr>
          <t>======
ID#AAABjx7qWLk
    (2025-05-21 11:33:27)
180605 Tammy修改</t>
        </r>
      </text>
    </comment>
    <comment ref="H1359" authorId="0" shapeId="0" xr:uid="{829D0B93-AE9D-6A40-B062-5B0F42A533E3}">
      <text>
        <r>
          <rPr>
            <sz val="10"/>
            <color rgb="FF000000"/>
            <rFont val="Aptos Narrow"/>
            <scheme val="minor"/>
          </rPr>
          <t>======
ID#AAABjx7qReA
    (2025-05-21 11:33:25)
0712 chloe:匯款匯入US$3031</t>
        </r>
      </text>
    </comment>
    <comment ref="H1360" authorId="0" shapeId="0" xr:uid="{F45FF55C-011E-EE43-9E4E-EED2391B3953}">
      <text>
        <r>
          <rPr>
            <sz val="10"/>
            <color rgb="FF000000"/>
            <rFont val="Aptos Narrow"/>
            <scheme val="minor"/>
          </rPr>
          <t>======
ID#AAABjx7qNtQ
    (2025-05-21 11:33:23)
0704 chloe:匯入NT311,925</t>
        </r>
      </text>
    </comment>
    <comment ref="E1361" authorId="0" shapeId="0" xr:uid="{C43E35AE-749A-F64C-85FD-925B457E52F3}">
      <text>
        <r>
          <rPr>
            <sz val="10"/>
            <color rgb="FF000000"/>
            <rFont val="Aptos Narrow"/>
            <scheme val="minor"/>
          </rPr>
          <t>======
ID#AAABjx7qS-E
    (2025-05-21 11:33:26)
20170104 Santiago: 和之前訂單一樣, w/o adapter</t>
        </r>
      </text>
    </comment>
    <comment ref="H1361" authorId="0" shapeId="0" xr:uid="{A4B11023-E90F-A145-9844-94BA270B0BE1}">
      <text>
        <r>
          <rPr>
            <sz val="10"/>
            <color rgb="FF000000"/>
            <rFont val="Aptos Narrow"/>
            <scheme val="minor"/>
          </rPr>
          <t>======
ID#AAABjx7qU9k
    (2025-05-21 11:33:27)
0805 chloe:匯入NT311,925</t>
        </r>
      </text>
    </comment>
    <comment ref="G1362" authorId="0" shapeId="0" xr:uid="{9C759CBC-F119-1241-87F5-7607FB411FA4}">
      <text>
        <r>
          <rPr>
            <sz val="10"/>
            <color rgb="FF000000"/>
            <rFont val="Aptos Narrow"/>
            <scheme val="minor"/>
          </rPr>
          <t>======
ID#AAABjx7qPiI
    (2025-05-21 11:33:24)
180524 w/ vat 5%</t>
        </r>
      </text>
    </comment>
    <comment ref="H1362" authorId="0" shapeId="0" xr:uid="{EB68B937-1ED0-1E43-9EB5-03FF7921FC2C}">
      <text>
        <r>
          <rPr>
            <sz val="10"/>
            <color rgb="FF000000"/>
            <rFont val="Aptos Narrow"/>
            <scheme val="minor"/>
          </rPr>
          <t>======
ID#AAABjx7qNc0
    (2025-05-21 11:33:23)
0619 chloe:匯款匯入NT$86969</t>
        </r>
      </text>
    </comment>
    <comment ref="G1363" authorId="0" shapeId="0" xr:uid="{1892076D-E0CF-F846-8632-8491F72763D2}">
      <text>
        <r>
          <rPr>
            <sz val="10"/>
            <color rgb="FF000000"/>
            <rFont val="Aptos Narrow"/>
            <scheme val="minor"/>
          </rPr>
          <t>======
ID#AAABjx7qRM4
    (2025-05-21 11:33:25)
180524 w/ vat 5%</t>
        </r>
      </text>
    </comment>
    <comment ref="H1363" authorId="0" shapeId="0" xr:uid="{4F4D411C-B8D1-1E49-AA1E-F2DDE5FFCA55}">
      <text>
        <r>
          <rPr>
            <sz val="10"/>
            <color rgb="FF000000"/>
            <rFont val="Aptos Narrow"/>
            <scheme val="minor"/>
          </rPr>
          <t>======
ID#AAABjx7qUtE
    (2025-05-21 11:33:26)
0619 chloe:匯款匯入NT$86969</t>
        </r>
      </text>
    </comment>
    <comment ref="E1364" authorId="0" shapeId="0" xr:uid="{28294FF6-A7AC-A54B-94AA-C7F7BD3126D4}">
      <text>
        <r>
          <rPr>
            <sz val="10"/>
            <color rgb="FF000000"/>
            <rFont val="Aptos Narrow"/>
            <scheme val="minor"/>
          </rPr>
          <t>======
ID#AAABjx7qWW0
    (2025-05-21 11:33:27)
180516 正確為SAA adapter</t>
        </r>
      </text>
    </comment>
    <comment ref="G1364" authorId="0" shapeId="0" xr:uid="{BB09794D-4462-8D41-BC30-D5DB176D4A68}">
      <text>
        <r>
          <rPr>
            <sz val="10"/>
            <color rgb="FF000000"/>
            <rFont val="Aptos Narrow"/>
            <scheme val="minor"/>
          </rPr>
          <t>======
ID#AAABjx7qV5I
    (2025-05-21 11:33:27)
180524 w/ vat 5%</t>
        </r>
      </text>
    </comment>
    <comment ref="H1364" authorId="0" shapeId="0" xr:uid="{E7B4F308-243C-644E-A09F-5CD675FFF541}">
      <text>
        <r>
          <rPr>
            <sz val="10"/>
            <color rgb="FF000000"/>
            <rFont val="Aptos Narrow"/>
            <scheme val="minor"/>
          </rPr>
          <t>======
ID#AAABjx7qN3Q
    (2025-05-21 11:33:23)
0619 chloe:匯款匯入NT$86969</t>
        </r>
      </text>
    </comment>
    <comment ref="H1365" authorId="0" shapeId="0" xr:uid="{055587D9-E069-414A-9B05-FE2FBED4E11F}">
      <text>
        <r>
          <rPr>
            <sz val="10"/>
            <color rgb="FF000000"/>
            <rFont val="Aptos Narrow"/>
            <scheme val="minor"/>
          </rPr>
          <t>======
ID#AAABjx7qTZs
    (2025-05-21 11:33:26)
0531 chloe:匯款匯入US$1052</t>
        </r>
      </text>
    </comment>
    <comment ref="J1365" authorId="0" shapeId="0" xr:uid="{C4DE3A8A-5B84-EF4D-A8DF-43181DB31CF4}">
      <text>
        <r>
          <rPr>
            <sz val="10"/>
            <color rgb="FF000000"/>
            <rFont val="Aptos Narrow"/>
            <scheme val="minor"/>
          </rPr>
          <t>======
ID#AAABjx7qMss
Santiago 0529     (2025-05-21 11:33:23)
外箱的shipping mark 要註記
EORI-Number DE7019688</t>
        </r>
      </text>
    </comment>
    <comment ref="K1365" authorId="0" shapeId="0" xr:uid="{761E060F-4591-A642-A057-1A8B44FD5217}">
      <text>
        <r>
          <rPr>
            <sz val="10"/>
            <color rgb="FF000000"/>
            <rFont val="Aptos Narrow"/>
            <scheme val="minor"/>
          </rPr>
          <t>======
ID#AAABjx7qQ2g
    (2025-05-21 11:33:25)
0604出貨前. 通知Santiago 拍照</t>
        </r>
      </text>
    </comment>
    <comment ref="H1366" authorId="0" shapeId="0" xr:uid="{E7B40A25-D8AC-8446-B282-1357AE5EF68D}">
      <text>
        <r>
          <rPr>
            <sz val="10"/>
            <color rgb="FF000000"/>
            <rFont val="Aptos Narrow"/>
            <scheme val="minor"/>
          </rPr>
          <t>======
ID#AAABjx7qSgs
    (2025-05-21 11:33:26)
0531 chloe:匯款匯入US$1052</t>
        </r>
      </text>
    </comment>
    <comment ref="J1366" authorId="0" shapeId="0" xr:uid="{309BBE3A-DECA-8B4C-9D5B-3597417B35B7}">
      <text>
        <r>
          <rPr>
            <sz val="10"/>
            <color rgb="FF000000"/>
            <rFont val="Aptos Narrow"/>
            <scheme val="minor"/>
          </rPr>
          <t>======
ID#AAABjx7qStU
Santiago 0529     (2025-05-21 11:33:26)
外箱的shipping mark 要註記
EORI-Number DE7019688</t>
        </r>
      </text>
    </comment>
    <comment ref="K1366" authorId="0" shapeId="0" xr:uid="{7658F16F-2BE5-9E46-A15C-DB0476A002C6}">
      <text>
        <r>
          <rPr>
            <sz val="10"/>
            <color rgb="FF000000"/>
            <rFont val="Aptos Narrow"/>
            <scheme val="minor"/>
          </rPr>
          <t>======
ID#AAABjx7qNLc
    (2025-05-21 11:33:23)
0604出貨前. 通知Santiago 拍照</t>
        </r>
      </text>
    </comment>
    <comment ref="H1367" authorId="0" shapeId="0" xr:uid="{BB6F6981-1205-804C-AA3B-246104F0BEF2}">
      <text>
        <r>
          <rPr>
            <sz val="10"/>
            <color rgb="FF000000"/>
            <rFont val="Aptos Narrow"/>
            <scheme val="minor"/>
          </rPr>
          <t>======
ID#AAABjx7qVBM
    (2025-05-21 11:33:27)
0531 chloe:匯款匯入US$1052</t>
        </r>
      </text>
    </comment>
    <comment ref="J1367" authorId="0" shapeId="0" xr:uid="{1DEBA0E0-A89D-3E44-AFCD-DFB14F717F82}">
      <text>
        <r>
          <rPr>
            <sz val="10"/>
            <color rgb="FF000000"/>
            <rFont val="Aptos Narrow"/>
            <scheme val="minor"/>
          </rPr>
          <t>======
ID#AAABjx7qSeA
Santiago 0529     (2025-05-21 11:33:26)
外箱的shipping mark 要註記
EORI-Number DE7019688</t>
        </r>
      </text>
    </comment>
    <comment ref="K1367" authorId="0" shapeId="0" xr:uid="{6205D446-7EEF-F048-8F94-FB424FFFA022}">
      <text>
        <r>
          <rPr>
            <sz val="10"/>
            <color rgb="FF000000"/>
            <rFont val="Aptos Narrow"/>
            <scheme val="minor"/>
          </rPr>
          <t>======
ID#AAABjx7qRxo
    (2025-05-21 11:33:25)
0604出貨前. 通知Santiago 拍照</t>
        </r>
      </text>
    </comment>
    <comment ref="V1367" authorId="0" shapeId="0" xr:uid="{5B088014-9AED-124F-852B-DDCB674BA42A}">
      <text>
        <r>
          <rPr>
            <sz val="10"/>
            <color rgb="FF000000"/>
            <rFont val="Aptos Narrow"/>
            <scheme val="minor"/>
          </rPr>
          <t>======
ID#AAABjx7qPeo
    (2025-05-21 11:33:24)
Santiago 1130 : 原來Chloe 註記銀行如下, 但Santiago 匯到舊的聯邦
合庫大安分行
0760717324727</t>
        </r>
      </text>
    </comment>
    <comment ref="H1368" authorId="0" shapeId="0" xr:uid="{B3D5CBF3-EE74-2F4B-A908-B97270745849}">
      <text>
        <r>
          <rPr>
            <sz val="10"/>
            <color rgb="FF000000"/>
            <rFont val="Aptos Narrow"/>
            <scheme val="minor"/>
          </rPr>
          <t>======
ID#AAABjx7qU4s
    (2025-05-21 11:33:26)
0712 chloe:匯款匯入US$3031</t>
        </r>
      </text>
    </comment>
    <comment ref="H1369" authorId="0" shapeId="0" xr:uid="{3BE28A27-C736-654F-AD56-DBADCEDF02B1}">
      <text>
        <r>
          <rPr>
            <sz val="10"/>
            <color rgb="FF000000"/>
            <rFont val="Aptos Narrow"/>
            <scheme val="minor"/>
          </rPr>
          <t>======
ID#AAABjx7qU7g
    (2025-05-21 11:33:27)
0813 chloe:匯款匯入 US$3841.5</t>
        </r>
      </text>
    </comment>
    <comment ref="H1370" authorId="0" shapeId="0" xr:uid="{383974B8-B2F4-254C-B9D7-39DA8901A57B}">
      <text>
        <r>
          <rPr>
            <sz val="10"/>
            <color rgb="FF000000"/>
            <rFont val="Aptos Narrow"/>
            <scheme val="minor"/>
          </rPr>
          <t>======
ID#AAABjx7qQ2o
    (2025-05-21 11:33:25)
0712 chloe:匯款匯入US$3031</t>
        </r>
      </text>
    </comment>
    <comment ref="E1371" authorId="0" shapeId="0" xr:uid="{6B63993D-53BE-BD4C-8AED-C8D1269B77E2}">
      <text>
        <r>
          <rPr>
            <sz val="10"/>
            <color rgb="FF000000"/>
            <rFont val="Aptos Narrow"/>
            <scheme val="minor"/>
          </rPr>
          <t>======
ID#AAABjx7qOIk
    (2025-05-21 11:33:24)
180530 Tammy: KH原訂ADAM-6050-CE, 但此項己PHASE OUT, 為趕交期, 在未和KH確認下, 先下單ADAM-6050-D, 目前end user仍在確認中, 故暫列到庫存中</t>
        </r>
      </text>
    </comment>
    <comment ref="Y1371" authorId="0" shapeId="0" xr:uid="{4EFE0164-2AD7-084B-B296-C537BBB16176}">
      <text>
        <r>
          <rPr>
            <sz val="10"/>
            <color rgb="FF000000"/>
            <rFont val="Aptos Narrow"/>
            <scheme val="minor"/>
          </rPr>
          <t>======
ID#AAABjx7qNGo
    (2025-05-21 11:33:23)
0607 chloe:發票5月已給會計，先列入庫存</t>
        </r>
      </text>
    </comment>
    <comment ref="H1372" authorId="0" shapeId="0" xr:uid="{72510A2C-D0E2-DB42-B58F-7DE67EE70A25}">
      <text>
        <r>
          <rPr>
            <sz val="10"/>
            <color rgb="FF000000"/>
            <rFont val="Aptos Narrow"/>
            <scheme val="minor"/>
          </rPr>
          <t>======
ID#AAABjx7qSoE
    (2025-05-21 11:33:26)
0712 chloe:匯款匯入US$3031</t>
        </r>
      </text>
    </comment>
    <comment ref="H1373" authorId="0" shapeId="0" xr:uid="{562B3356-46C3-FE4F-AB60-D1F41DA43A2F}">
      <text>
        <r>
          <rPr>
            <sz val="10"/>
            <color rgb="FF000000"/>
            <rFont val="Aptos Narrow"/>
            <scheme val="minor"/>
          </rPr>
          <t>======
ID#AAABjx7qOTg
    (2025-05-21 11:33:24)
0712 chloe:匯款匯入US$3031</t>
        </r>
      </text>
    </comment>
    <comment ref="G1374" authorId="0" shapeId="0" xr:uid="{0446BE63-0BC0-714B-8CEF-748EFDAE9FEE}">
      <text>
        <r>
          <rPr>
            <sz val="10"/>
            <color rgb="FF000000"/>
            <rFont val="Aptos Narrow"/>
            <scheme val="minor"/>
          </rPr>
          <t>======
ID#AAABjx7qSeo
    (2025-05-21 11:33:26)
w/5%VAT</t>
        </r>
      </text>
    </comment>
    <comment ref="H1374" authorId="0" shapeId="0" xr:uid="{E00419A6-5751-B640-BBC7-BB26780A5915}">
      <text>
        <r>
          <rPr>
            <sz val="10"/>
            <color rgb="FF000000"/>
            <rFont val="Aptos Narrow"/>
            <scheme val="minor"/>
          </rPr>
          <t>======
ID#AAABjx7qRmE
    (2025-05-21 11:33:25)
0827 chloe:匯款匯入NT22,810</t>
        </r>
      </text>
    </comment>
    <comment ref="H1375" authorId="0" shapeId="0" xr:uid="{75469E94-1C86-7747-89C1-484D9758D318}">
      <text>
        <r>
          <rPr>
            <sz val="10"/>
            <color rgb="FF000000"/>
            <rFont val="Aptos Narrow"/>
            <scheme val="minor"/>
          </rPr>
          <t>======
ID#AAABjx7qMvQ
    (2025-05-21 11:33:23)
0810 chloe:匯款匯入USD 521</t>
        </r>
      </text>
    </comment>
    <comment ref="K1375" authorId="0" shapeId="0" xr:uid="{396B81C1-D25A-0D43-ADC2-B35FA1A2BFC3}">
      <text>
        <r>
          <rPr>
            <sz val="10"/>
            <color rgb="FF000000"/>
            <rFont val="Aptos Narrow"/>
            <scheme val="minor"/>
          </rPr>
          <t>======
ID#AAABjx7qTh0
    (2025-05-21 11:33:26)
0608 chloe:尚未收到款項，暫HOLD</t>
        </r>
      </text>
    </comment>
    <comment ref="H1377" authorId="0" shapeId="0" xr:uid="{0F8F840C-FDFE-9441-A3BC-F2D9A95B1436}">
      <text>
        <r>
          <rPr>
            <sz val="10"/>
            <color rgb="FF000000"/>
            <rFont val="Aptos Narrow"/>
            <scheme val="minor"/>
          </rPr>
          <t>======
ID#AAABjx7qVNw
    (2025-05-21 11:33:27)
0705 chloe:收到支票NT82505，待7/30兌現</t>
        </r>
      </text>
    </comment>
    <comment ref="H1378" authorId="0" shapeId="0" xr:uid="{CFDED111-1772-4C44-A6A5-D62A0E397131}">
      <text>
        <r>
          <rPr>
            <sz val="10"/>
            <color rgb="FF000000"/>
            <rFont val="Aptos Narrow"/>
            <scheme val="minor"/>
          </rPr>
          <t>======
ID#AAABjx7qWOk
    (2025-05-21 11:33:27)
0705 chloe:收到支票NT82505，待7/30兌現</t>
        </r>
      </text>
    </comment>
    <comment ref="H1379" authorId="0" shapeId="0" xr:uid="{60AD99FD-EFB8-B946-919E-876E59F5637F}">
      <text>
        <r>
          <rPr>
            <sz val="10"/>
            <color rgb="FF000000"/>
            <rFont val="Aptos Narrow"/>
            <scheme val="minor"/>
          </rPr>
          <t>======
ID#AAABjx7qTWk
    (2025-05-21 11:33:26)
0611 chloe: 匯款匯入15614</t>
        </r>
      </text>
    </comment>
    <comment ref="K1379" authorId="0" shapeId="0" xr:uid="{6084F9DF-E147-9E4C-B2EA-A0BD4065E299}">
      <text>
        <r>
          <rPr>
            <sz val="10"/>
            <color rgb="FF000000"/>
            <rFont val="Aptos Narrow"/>
            <scheme val="minor"/>
          </rPr>
          <t>======
ID#AAABjx7qS3I
    (2025-05-21 11:33:26)
0608 chloe:已告知業務請客戶匯款</t>
        </r>
      </text>
    </comment>
    <comment ref="H1380" authorId="0" shapeId="0" xr:uid="{DD85B8F6-DF84-B240-BB50-873F2491ACE1}">
      <text>
        <r>
          <rPr>
            <sz val="10"/>
            <color rgb="FF000000"/>
            <rFont val="Aptos Narrow"/>
            <scheme val="minor"/>
          </rPr>
          <t>======
ID#AAABjx7qVl4
    (2025-05-21 11:33:27)
0611 chloe: 匯款匯入15614</t>
        </r>
      </text>
    </comment>
    <comment ref="K1380" authorId="0" shapeId="0" xr:uid="{1F4EA984-EFAB-A84A-9991-14EADF7729F3}">
      <text>
        <r>
          <rPr>
            <sz val="10"/>
            <color rgb="FF000000"/>
            <rFont val="Aptos Narrow"/>
            <scheme val="minor"/>
          </rPr>
          <t>======
ID#AAABjx7qQGY
    (2025-05-21 11:33:25)
0608 chloe:已告知業務請客戶匯款</t>
        </r>
      </text>
    </comment>
    <comment ref="H1381" authorId="0" shapeId="0" xr:uid="{E80DFC55-53DF-6742-8224-2DD5F5D50A33}">
      <text>
        <r>
          <rPr>
            <sz val="10"/>
            <color rgb="FF000000"/>
            <rFont val="Aptos Narrow"/>
            <scheme val="minor"/>
          </rPr>
          <t>======
ID#AAABjx7qRg4
    (2025-05-21 11:33:25)
0607 chloe:匯款匯入US$835</t>
        </r>
      </text>
    </comment>
    <comment ref="J1381" authorId="0" shapeId="0" xr:uid="{95311B02-1FBF-BC49-9CAD-657D625B1178}">
      <text>
        <r>
          <rPr>
            <sz val="10"/>
            <color rgb="FF000000"/>
            <rFont val="Aptos Narrow"/>
            <scheme val="minor"/>
          </rPr>
          <t>======
ID#AAABjx7qNf8
Santiago 0529     (2025-05-21 11:33:23)
外箱的shipping mark 要註記
EORI-Number DE7019688</t>
        </r>
      </text>
    </comment>
    <comment ref="K1381" authorId="0" shapeId="0" xr:uid="{86EBBC64-E3A2-9D4F-8342-2897BB489EC9}">
      <text>
        <r>
          <rPr>
            <sz val="10"/>
            <color rgb="FF000000"/>
            <rFont val="Aptos Narrow"/>
            <scheme val="minor"/>
          </rPr>
          <t>======
ID#AAABjx7qVsA
    (2025-05-21 11:33:27)
0614出貨前. 通知Santiago 拍照</t>
        </r>
      </text>
    </comment>
    <comment ref="H1382" authorId="0" shapeId="0" xr:uid="{DAFD34F9-5B4E-A74E-A5E6-4DB87A0A2E41}">
      <text>
        <r>
          <rPr>
            <sz val="10"/>
            <color rgb="FF000000"/>
            <rFont val="Aptos Narrow"/>
            <scheme val="minor"/>
          </rPr>
          <t>======
ID#AAABjx7qPJQ
    (2025-05-21 11:33:24)
0720 chloe:匯款匯入US$10826</t>
        </r>
      </text>
    </comment>
    <comment ref="M1382" authorId="0" shapeId="0" xr:uid="{29E04EF2-B97E-BA41-9DDE-3464209E0CBB}">
      <text>
        <r>
          <rPr>
            <sz val="10"/>
            <color rgb="FF000000"/>
            <rFont val="Aptos Narrow"/>
            <scheme val="minor"/>
          </rPr>
          <t>======
ID#AAABjx7qRgI
    (2025-05-21 11:33:25)
0605 chloe:供應商會另外多給兩顆，再請交給Chloe
閎亮寄郵局掛號→6/5</t>
        </r>
      </text>
    </comment>
    <comment ref="H1383" authorId="0" shapeId="0" xr:uid="{C27CEB65-85D2-BF40-90A4-DAB354D0819A}">
      <text>
        <r>
          <rPr>
            <sz val="10"/>
            <color rgb="FF000000"/>
            <rFont val="Aptos Narrow"/>
            <scheme val="minor"/>
          </rPr>
          <t>======
ID#AAABjx7qQUQ
    (2025-05-21 11:33:25)
0720 chloe:匯款匯入US$10826</t>
        </r>
      </text>
    </comment>
    <comment ref="H1384" authorId="0" shapeId="0" xr:uid="{AF4BE0A2-2008-3044-8A06-00659769ADD4}">
      <text>
        <r>
          <rPr>
            <sz val="10"/>
            <color rgb="FF000000"/>
            <rFont val="Aptos Narrow"/>
            <scheme val="minor"/>
          </rPr>
          <t>======
ID#AAABjx7qQ7E
    (2025-05-21 11:33:25)
1112 chloe:匯款匯入US$8,753</t>
        </r>
      </text>
    </comment>
    <comment ref="H1385" authorId="0" shapeId="0" xr:uid="{6A82C8E4-478F-B04F-8C60-B906AB31FC59}">
      <text>
        <r>
          <rPr>
            <sz val="10"/>
            <color rgb="FF000000"/>
            <rFont val="Aptos Narrow"/>
            <scheme val="minor"/>
          </rPr>
          <t>======
ID#AAABjx7qQK4
    (2025-05-21 11:33:25)
1012 chloe:匯款匯入US$17175</t>
        </r>
      </text>
    </comment>
    <comment ref="O1385" authorId="0" shapeId="0" xr:uid="{D777EF5B-9C46-6140-853D-590EDC67EB09}">
      <text>
        <r>
          <rPr>
            <sz val="10"/>
            <color rgb="FF000000"/>
            <rFont val="Aptos Narrow"/>
            <scheme val="minor"/>
          </rPr>
          <t>======
ID#AAABjx7qUsw
    (2025-05-21 11:33:26)
0606 下單</t>
        </r>
      </text>
    </comment>
    <comment ref="G1386" authorId="0" shapeId="0" xr:uid="{F574E516-8C48-F447-A0EE-7F3ABDF14EE6}">
      <text>
        <r>
          <rPr>
            <sz val="10"/>
            <color rgb="FF000000"/>
            <rFont val="Aptos Narrow"/>
            <scheme val="minor"/>
          </rPr>
          <t>======
ID#AAABjx7qPEA
    (2025-05-21 11:33:24)
180221 Tammy: project price for over 50pcs/lot</t>
        </r>
      </text>
    </comment>
    <comment ref="H1386" authorId="0" shapeId="0" xr:uid="{A654BF19-2BCA-AA4D-BE36-8B4315627800}">
      <text>
        <r>
          <rPr>
            <sz val="10"/>
            <color rgb="FF000000"/>
            <rFont val="Aptos Narrow"/>
            <scheme val="minor"/>
          </rPr>
          <t>======
ID#AAABjx7qVow
    (2025-05-21 11:33:27)
1012 chloe:匯款匯入US$17175</t>
        </r>
      </text>
    </comment>
    <comment ref="O1386" authorId="0" shapeId="0" xr:uid="{5FF0FD49-7DBF-9146-83FF-AF1842F117ED}">
      <text>
        <r>
          <rPr>
            <sz val="10"/>
            <color rgb="FF000000"/>
            <rFont val="Aptos Narrow"/>
            <scheme val="minor"/>
          </rPr>
          <t>======
ID#AAABjx7qSqk
    (2025-05-21 11:33:26)
0606 下單</t>
        </r>
      </text>
    </comment>
    <comment ref="H1387" authorId="0" shapeId="0" xr:uid="{FFF3D234-62E5-D141-B806-AB00FF0F6EA7}">
      <text>
        <r>
          <rPr>
            <sz val="10"/>
            <color rgb="FF000000"/>
            <rFont val="Aptos Narrow"/>
            <scheme val="minor"/>
          </rPr>
          <t>======
ID#AAABjx7qRh8
    (2025-05-21 11:33:25)
0709 chloe:匯款匯入US$3424</t>
        </r>
      </text>
    </comment>
    <comment ref="H1388" authorId="0" shapeId="0" xr:uid="{A20A29C2-6649-7D4D-AA73-53749D89288C}">
      <text>
        <r>
          <rPr>
            <sz val="10"/>
            <color rgb="FF000000"/>
            <rFont val="Aptos Narrow"/>
            <scheme val="minor"/>
          </rPr>
          <t>======
ID#AAABjx7qOp8
    (2025-05-21 11:33:24)
0709 chloe:匯款匯入US$3424</t>
        </r>
      </text>
    </comment>
    <comment ref="E1389" authorId="0" shapeId="0" xr:uid="{5E5AE1EE-1017-5F4E-90A5-F00826C5A0D9}">
      <text>
        <r>
          <rPr>
            <sz val="10"/>
            <color rgb="FF000000"/>
            <rFont val="Aptos Narrow"/>
            <scheme val="minor"/>
          </rPr>
          <t>======
ID#AAABjx7qOSY
    (2025-05-21 11:33:24)
0618 San: 待提供BOM給Chloe</t>
        </r>
      </text>
    </comment>
    <comment ref="H1389" authorId="0" shapeId="0" xr:uid="{64E80C89-6522-B64E-B9F6-42B4243187DC}">
      <text>
        <r>
          <rPr>
            <sz val="10"/>
            <color rgb="FF000000"/>
            <rFont val="Aptos Narrow"/>
            <scheme val="minor"/>
          </rPr>
          <t>======
ID#AAABjx7qONg
    (2025-05-21 11:33:24)
Invoice:  US$1264
待Cindy修改後通知客戶
1012 chloe:匯款匯入US$40290
(客戶少匯US$2280)
1030 chloe: 匯款匯入US$16,948.00</t>
        </r>
      </text>
    </comment>
    <comment ref="H1390" authorId="0" shapeId="0" xr:uid="{F28278FF-5048-354B-A78E-29972BE2E2BD}">
      <text>
        <r>
          <rPr>
            <sz val="10"/>
            <color rgb="FF000000"/>
            <rFont val="Aptos Narrow"/>
            <scheme val="minor"/>
          </rPr>
          <t>======
ID#AAABjx7qNiQ
    (2025-05-21 11:33:23)
Invoice:  US$1264
待Cindy修改後通知客戶
1012 chloe:匯款匯入US$40290
(客戶少匯US$2280)
1030 chloe: 匯款匯入US$16,948.00</t>
        </r>
      </text>
    </comment>
    <comment ref="H1391" authorId="0" shapeId="0" xr:uid="{0ACC2BDA-8757-CD4B-BB7C-B3630EE2A55F}">
      <text>
        <r>
          <rPr>
            <sz val="10"/>
            <color rgb="FF000000"/>
            <rFont val="Aptos Narrow"/>
            <scheme val="minor"/>
          </rPr>
          <t>======
ID#AAABjx7qSYw
    (2025-05-21 11:33:26)
0824 chloe:匯款匯入US$15535
多會PI-20180514A CPU US$100</t>
        </r>
      </text>
    </comment>
    <comment ref="M1391" authorId="0" shapeId="0" xr:uid="{EE1385E5-EB2E-E549-B269-8A3FEFBD510C}">
      <text>
        <r>
          <rPr>
            <sz val="10"/>
            <color rgb="FF000000"/>
            <rFont val="Aptos Narrow"/>
            <scheme val="minor"/>
          </rPr>
          <t>======
ID#AAABjx7qVz0
    (2025-05-21 11:33:27)
0627 chloe:詢問當天到貨?</t>
        </r>
      </text>
    </comment>
    <comment ref="H1392" authorId="0" shapeId="0" xr:uid="{A6BC1B76-B266-6B47-893A-B1BAAFD6D53F}">
      <text>
        <r>
          <rPr>
            <sz val="10"/>
            <color rgb="FF000000"/>
            <rFont val="Aptos Narrow"/>
            <scheme val="minor"/>
          </rPr>
          <t>======
ID#AAABjx7qRHY
    (2025-05-21 11:33:25)
0824 chloe:匯款匯入US$15535
多會PI-20180514A CPU US$100</t>
        </r>
      </text>
    </comment>
    <comment ref="H1393" authorId="0" shapeId="0" xr:uid="{D583E1F7-0E99-D24C-B93B-BF7F93E287C3}">
      <text>
        <r>
          <rPr>
            <sz val="10"/>
            <color rgb="FF000000"/>
            <rFont val="Aptos Narrow"/>
            <scheme val="minor"/>
          </rPr>
          <t>======
ID#AAABjx7qS5U
    (2025-05-21 11:33:26)
0824 chloe:匯款匯入US$15535
多會PI-20180514A CPU US$100</t>
        </r>
      </text>
    </comment>
    <comment ref="V1393" authorId="0" shapeId="0" xr:uid="{4D121C53-6394-804C-8EA2-C17F7F94941F}">
      <text>
        <r>
          <rPr>
            <sz val="10"/>
            <color rgb="FF000000"/>
            <rFont val="Aptos Narrow"/>
            <scheme val="minor"/>
          </rPr>
          <t>======
ID#AAABjx7qTk8
    (2025-05-21 11:33:26)
Santiago 1130 : 原來Chloe 註記銀行如下, 但Santiago 匯到舊的聯邦
合庫大安分行
0760717324727</t>
        </r>
      </text>
    </comment>
    <comment ref="H1394" authorId="0" shapeId="0" xr:uid="{E9620022-7DDD-2C40-B9DD-E175FEA083CF}">
      <text>
        <r>
          <rPr>
            <sz val="10"/>
            <color rgb="FF000000"/>
            <rFont val="Aptos Narrow"/>
            <scheme val="minor"/>
          </rPr>
          <t>======
ID#AAABjx7qRfo
    (2025-05-21 11:33:25)
0619 chloe:匯款匯入US$16947</t>
        </r>
      </text>
    </comment>
    <comment ref="J1394" authorId="0" shapeId="0" xr:uid="{A9489AED-E54D-3E4A-B7F9-962142B5AB8B}">
      <text>
        <r>
          <rPr>
            <sz val="10"/>
            <color rgb="FF000000"/>
            <rFont val="Aptos Narrow"/>
            <scheme val="minor"/>
          </rPr>
          <t>======
ID#AAABjx7qQ-4
    (2025-05-21 11:33:25)
JUDY KAO
Supervisor Of Sales Div.
FETA FREIGHT SYSTEMS (TAIWAN ) LTD. 
Tel: +886-3-399-2033 EXT: 135
Direct: +886-3-3992106
Fax: +886-3-3992036/2055
E-mail: judykao@ffsi.com.tw</t>
        </r>
      </text>
    </comment>
    <comment ref="H1395" authorId="0" shapeId="0" xr:uid="{57929AF1-EC76-0541-8A60-95A388610442}">
      <text>
        <r>
          <rPr>
            <sz val="10"/>
            <color rgb="FF000000"/>
            <rFont val="Aptos Narrow"/>
            <scheme val="minor"/>
          </rPr>
          <t>======
ID#AAABjx7qVsw
    (2025-05-21 11:33:27)
0619 chloe:匯款匯入US$16947</t>
        </r>
      </text>
    </comment>
    <comment ref="J1395" authorId="0" shapeId="0" xr:uid="{6C82EFD1-C80B-174D-B7CC-036237374669}">
      <text>
        <r>
          <rPr>
            <sz val="10"/>
            <color rgb="FF000000"/>
            <rFont val="Aptos Narrow"/>
            <scheme val="minor"/>
          </rPr>
          <t>======
ID#AAABjx7qWaQ
    (2025-05-21 11:33:27)
JUDY KAO
Supervisor Of Sales Div.
FETA FREIGHT SYSTEMS (TAIWAN ) LTD. 
Tel: +886-3-399-2033 EXT: 135
Direct: +886-3-3992106
Fax: +886-3-3992036/2055
E-mail: judykao@ffsi.com.tw</t>
        </r>
      </text>
    </comment>
    <comment ref="E1396" authorId="0" shapeId="0" xr:uid="{F9EA0C94-D6CB-384B-83EF-32275BD5B8EA}">
      <text>
        <r>
          <rPr>
            <sz val="10"/>
            <color rgb="FF000000"/>
            <rFont val="Aptos Narrow"/>
            <scheme val="minor"/>
          </rPr>
          <t>======
ID#AAABjx7qP6A
    (2025-05-21 11:33:24)
180615 Karen: 下單w/o adapter</t>
        </r>
      </text>
    </comment>
    <comment ref="H1396" authorId="0" shapeId="0" xr:uid="{2DFE00B9-D2FA-7A4D-B95B-4722238F002B}">
      <text>
        <r>
          <rPr>
            <sz val="10"/>
            <color rgb="FF000000"/>
            <rFont val="Aptos Narrow"/>
            <scheme val="minor"/>
          </rPr>
          <t>======
ID#AAABjx7qP3k
    (2025-05-21 11:33:24)
0619 chloe:匯款匯入US$16947</t>
        </r>
      </text>
    </comment>
    <comment ref="J1396" authorId="0" shapeId="0" xr:uid="{6BA4CD19-9998-954A-B967-73EC2FCBC4BB}">
      <text>
        <r>
          <rPr>
            <sz val="10"/>
            <color rgb="FF000000"/>
            <rFont val="Aptos Narrow"/>
            <scheme val="minor"/>
          </rPr>
          <t>======
ID#AAABjx7qNOo
    (2025-05-21 11:33:23)
JUDY KAO
Supervisor Of Sales Div.
FETA FREIGHT SYSTEMS (TAIWAN ) LTD. 
Tel: +886-3-399-2033 EXT: 135
Direct: +886-3-3992106
Fax: +886-3-3992036/2055
E-mail: judykao@ffsi.com.tw</t>
        </r>
      </text>
    </comment>
    <comment ref="H1397" authorId="0" shapeId="0" xr:uid="{2E1CB2D2-2E19-2043-AEFD-11FABC090C64}">
      <text>
        <r>
          <rPr>
            <sz val="10"/>
            <color rgb="FF000000"/>
            <rFont val="Aptos Narrow"/>
            <scheme val="minor"/>
          </rPr>
          <t>======
ID#AAABjx7qSJI
    (2025-05-21 11:33:26)
0619 chloe:匯款匯入US$16947</t>
        </r>
      </text>
    </comment>
    <comment ref="J1397" authorId="0" shapeId="0" xr:uid="{B0A7E06B-6022-2248-B7DB-962C789D8361}">
      <text>
        <r>
          <rPr>
            <sz val="10"/>
            <color rgb="FF000000"/>
            <rFont val="Aptos Narrow"/>
            <scheme val="minor"/>
          </rPr>
          <t>======
ID#AAABjx7qQRA
    (2025-05-21 11:33:25)
JUDY KAO
Supervisor Of Sales Div.
FETA FREIGHT SYSTEMS (TAIWAN ) LTD. 
Tel: +886-3-399-2033 EXT: 135
Direct: +886-3-3992106
Fax: +886-3-3992036/2055
E-mail: judykao@ffsi.com.tw</t>
        </r>
      </text>
    </comment>
    <comment ref="E1398" authorId="0" shapeId="0" xr:uid="{3D6D8D7F-6C0F-EC44-A415-6E7638160D2A}">
      <text>
        <r>
          <rPr>
            <sz val="10"/>
            <color rgb="FF000000"/>
            <rFont val="Aptos Narrow"/>
            <scheme val="minor"/>
          </rPr>
          <t>======
ID#AAABjx7qR1s
    (2025-05-21 11:33:25)
180615 Karen: 下單w/o adapter</t>
        </r>
      </text>
    </comment>
    <comment ref="H1398" authorId="0" shapeId="0" xr:uid="{726C2A87-BA4B-8549-8BEC-A453A49330F6}">
      <text>
        <r>
          <rPr>
            <sz val="10"/>
            <color rgb="FF000000"/>
            <rFont val="Aptos Narrow"/>
            <scheme val="minor"/>
          </rPr>
          <t>======
ID#AAABjx7qPyI
    (2025-05-21 11:33:24)
0619 chloe:匯款匯入US$16947</t>
        </r>
      </text>
    </comment>
    <comment ref="J1398" authorId="0" shapeId="0" xr:uid="{16AE40D3-2EBA-1D42-9840-BAC28E622F32}">
      <text>
        <r>
          <rPr>
            <sz val="10"/>
            <color rgb="FF000000"/>
            <rFont val="Aptos Narrow"/>
            <scheme val="minor"/>
          </rPr>
          <t>======
ID#AAABjx7qQKA
    (2025-05-21 11:33:25)
JUDY KAO
Supervisor Of Sales Div.
FETA FREIGHT SYSTEMS (TAIWAN ) LTD. 
Tel: +886-3-399-2033 EXT: 135
Direct: +886-3-3992106
Fax: +886-3-3992036/2055
E-mail: judykao@ffsi.com.tw</t>
        </r>
      </text>
    </comment>
    <comment ref="H1399" authorId="0" shapeId="0" xr:uid="{F84E31EB-29D3-A745-A7F6-A90149E539A4}">
      <text>
        <r>
          <rPr>
            <sz val="10"/>
            <color rgb="FF000000"/>
            <rFont val="Aptos Narrow"/>
            <scheme val="minor"/>
          </rPr>
          <t>======
ID#AAABjx7qWI8
    (2025-05-21 11:33:27)
0627 chloe:匯款匯入US$3075</t>
        </r>
      </text>
    </comment>
    <comment ref="H1400" authorId="0" shapeId="0" xr:uid="{D429BEB0-AB78-C24B-BABC-6237BF0BDE9B}">
      <text>
        <r>
          <rPr>
            <sz val="10"/>
            <color rgb="FF000000"/>
            <rFont val="Aptos Narrow"/>
            <scheme val="minor"/>
          </rPr>
          <t>======
ID#AAABjx7qTgE
    (2025-05-21 11:33:26)
0627 chloe:匯款匯入US$3075</t>
        </r>
      </text>
    </comment>
    <comment ref="M1400" authorId="0" shapeId="0" xr:uid="{5FDD0A5E-EB11-ED45-95C3-3B8F798BE6EB}">
      <text>
        <r>
          <rPr>
            <sz val="10"/>
            <color rgb="FF000000"/>
            <rFont val="Aptos Narrow"/>
            <scheme val="minor"/>
          </rPr>
          <t>======
ID#AAABjx7qVV0
    (2025-05-21 11:33:27)
0627 Chloe: 到貨後請至翔X加工</t>
        </r>
      </text>
    </comment>
    <comment ref="N1400" authorId="0" shapeId="0" xr:uid="{E91B3D94-C484-274D-A123-5C1859C0DD04}">
      <text>
        <r>
          <rPr>
            <sz val="10"/>
            <color rgb="FF000000"/>
            <rFont val="Aptos Narrow"/>
            <scheme val="minor"/>
          </rPr>
          <t>======
ID#AAABj82dpKY
    (2025-05-21 11:33:23)
採購為TAMMY</t>
        </r>
      </text>
    </comment>
    <comment ref="H1401" authorId="0" shapeId="0" xr:uid="{6573F152-1864-9148-B9F6-786A103F2A92}">
      <text>
        <r>
          <rPr>
            <sz val="10"/>
            <color rgb="FF000000"/>
            <rFont val="Aptos Narrow"/>
            <scheme val="minor"/>
          </rPr>
          <t>======
ID#AAABjx7qVy0
    (2025-05-21 11:33:27)
已內含SFP-1GSXLC-T</t>
        </r>
      </text>
    </comment>
    <comment ref="H1402" authorId="0" shapeId="0" xr:uid="{EAFA6E2F-34BB-E24E-B47E-63B92D9D85D6}">
      <text>
        <r>
          <rPr>
            <sz val="10"/>
            <color rgb="FF000000"/>
            <rFont val="Aptos Narrow"/>
            <scheme val="minor"/>
          </rPr>
          <t>======
ID#AAABjx7qNgU
    (2025-05-21 11:33:23)
0627 chloe:匯款匯入US$3075</t>
        </r>
      </text>
    </comment>
    <comment ref="H1403" authorId="0" shapeId="0" xr:uid="{5B016CCD-8076-5348-A031-AB29EC04443E}">
      <text>
        <r>
          <rPr>
            <sz val="10"/>
            <color rgb="FF000000"/>
            <rFont val="Aptos Narrow"/>
            <scheme val="minor"/>
          </rPr>
          <t>======
ID#AAABjx7qOrw
    (2025-05-21 11:33:24)
0627 chloe:匯款匯入US$3075</t>
        </r>
      </text>
    </comment>
    <comment ref="H1404" authorId="0" shapeId="0" xr:uid="{9C6FC087-82E9-644D-AB3B-E491BA13EE6E}">
      <text>
        <r>
          <rPr>
            <sz val="10"/>
            <color rgb="FF000000"/>
            <rFont val="Aptos Narrow"/>
            <scheme val="minor"/>
          </rPr>
          <t>======
ID#AAABjx7qTcc
    (2025-05-21 11:33:26)
0627 chloe:匯款匯入US$3075</t>
        </r>
      </text>
    </comment>
    <comment ref="G1405" authorId="0" shapeId="0" xr:uid="{6FD935FD-9242-554C-AA40-18C3FB0597B3}">
      <text>
        <r>
          <rPr>
            <sz val="10"/>
            <color rgb="FF000000"/>
            <rFont val="Aptos Narrow"/>
            <scheme val="minor"/>
          </rPr>
          <t>======
ID#AAABjx7qPeQ
    (2025-05-21 11:33:24)
180613 w/ 5%VAT</t>
        </r>
      </text>
    </comment>
    <comment ref="H1405" authorId="0" shapeId="0" xr:uid="{1F1F845E-F5F5-D843-961F-6516FB3DDB76}">
      <text>
        <r>
          <rPr>
            <sz val="10"/>
            <color rgb="FF000000"/>
            <rFont val="Aptos Narrow"/>
            <scheme val="minor"/>
          </rPr>
          <t>======
ID#AAABjx7qSBA
    (2025-05-21 11:33:25)
0731 chloe:匯款匯入US$3,973.20</t>
        </r>
      </text>
    </comment>
    <comment ref="E1406" authorId="0" shapeId="0" xr:uid="{FAE6C768-A999-CB46-81AD-3E8DD672561E}">
      <text>
        <r>
          <rPr>
            <sz val="10"/>
            <color rgb="FF000000"/>
            <rFont val="Aptos Narrow"/>
            <scheme val="minor"/>
          </rPr>
          <t>======
ID#AAABjx7qOm0
    (2025-05-21 11:33:24)
San: 20180619</t>
        </r>
      </text>
    </comment>
    <comment ref="H1406" authorId="0" shapeId="0" xr:uid="{AC7003D2-4BF1-C54F-8896-5A671B855562}">
      <text>
        <r>
          <rPr>
            <sz val="10"/>
            <color rgb="FF000000"/>
            <rFont val="Aptos Narrow"/>
            <scheme val="minor"/>
          </rPr>
          <t>======
ID#AAABjx7qTPU
    (2025-05-21 11:33:26)
0619 chloe:匯款匯入US$5000</t>
        </r>
      </text>
    </comment>
    <comment ref="H1407" authorId="0" shapeId="0" xr:uid="{F46CFE49-F79E-6141-A196-A51424B8D772}">
      <text>
        <r>
          <rPr>
            <sz val="10"/>
            <color rgb="FF000000"/>
            <rFont val="Aptos Narrow"/>
            <scheme val="minor"/>
          </rPr>
          <t>======
ID#AAABjx7qOi0
    (2025-05-21 11:33:24)
0619 chloe:匯款匯入US$5000</t>
        </r>
      </text>
    </comment>
    <comment ref="M1407" authorId="0" shapeId="0" xr:uid="{E72BCFF8-82F8-8944-BCDC-A0C7EFFE29AA}">
      <text>
        <r>
          <rPr>
            <sz val="10"/>
            <color rgb="FF000000"/>
            <rFont val="Aptos Narrow"/>
            <scheme val="minor"/>
          </rPr>
          <t>======
ID#AAABjx7qSXU
    (2025-05-21 11:33:26)
收到面板後兩周內完成</t>
        </r>
      </text>
    </comment>
    <comment ref="E1408" authorId="0" shapeId="0" xr:uid="{9DB8C68D-F8CC-7649-8BD8-16DC7A1669DC}">
      <text>
        <r>
          <rPr>
            <sz val="10"/>
            <color rgb="FF000000"/>
            <rFont val="Aptos Narrow"/>
            <scheme val="minor"/>
          </rPr>
          <t>======
ID#AAABjx7qPTI
    (2025-05-21 11:33:24)
180619 Karen: w/EU adapter</t>
        </r>
      </text>
    </comment>
    <comment ref="H1408" authorId="0" shapeId="0" xr:uid="{3C51C991-AE0E-C24E-9765-3EB27AC19401}">
      <text>
        <r>
          <rPr>
            <sz val="10"/>
            <color rgb="FF000000"/>
            <rFont val="Aptos Narrow"/>
            <scheme val="minor"/>
          </rPr>
          <t>======
ID#AAABjx7qWWk
    (2025-05-21 11:33:27)
0706 chloe:匯款匯入US$3499</t>
        </r>
      </text>
    </comment>
    <comment ref="H1409" authorId="0" shapeId="0" xr:uid="{99D92233-E86F-314C-B320-F7D7692A72C8}">
      <text>
        <r>
          <rPr>
            <sz val="10"/>
            <color rgb="FF000000"/>
            <rFont val="Aptos Narrow"/>
            <scheme val="minor"/>
          </rPr>
          <t>======
ID#AAABjx7qV08
    (2025-05-21 11:33:27)
0706 chloe:匯款匯入US$3499</t>
        </r>
      </text>
    </comment>
    <comment ref="H1410" authorId="0" shapeId="0" xr:uid="{6C1896D0-CEE8-B842-AC89-EC88C1755E19}">
      <text>
        <r>
          <rPr>
            <sz val="10"/>
            <color rgb="FF000000"/>
            <rFont val="Aptos Narrow"/>
            <scheme val="minor"/>
          </rPr>
          <t>======
ID#AAABjx7qRGI
    (2025-05-21 11:33:25)
0706 chloe:匯款匯入US$3499</t>
        </r>
      </text>
    </comment>
    <comment ref="H1411" authorId="0" shapeId="0" xr:uid="{D9E4DC83-920E-1944-B0BF-6FB4E9889CD4}">
      <text>
        <r>
          <rPr>
            <sz val="10"/>
            <color rgb="FF000000"/>
            <rFont val="Aptos Narrow"/>
            <scheme val="minor"/>
          </rPr>
          <t>======
ID#AAABjx7qTWE
    (2025-05-21 11:33:26)
0706 chloe:匯款匯入US$3499</t>
        </r>
      </text>
    </comment>
    <comment ref="H1412" authorId="0" shapeId="0" xr:uid="{244E9A42-C94F-4149-868B-B484A3D96D06}">
      <text>
        <r>
          <rPr>
            <sz val="10"/>
            <color rgb="FF000000"/>
            <rFont val="Aptos Narrow"/>
            <scheme val="minor"/>
          </rPr>
          <t>======
ID#AAABjx7qVh8
    (2025-05-21 11:33:27)
0706 chloe:匯款匯入US$3499</t>
        </r>
      </text>
    </comment>
    <comment ref="E1413" authorId="0" shapeId="0" xr:uid="{1F56AB42-1954-CE45-B7FE-325374744741}">
      <text>
        <r>
          <rPr>
            <sz val="10"/>
            <color rgb="FF000000"/>
            <rFont val="Aptos Narrow"/>
            <scheme val="minor"/>
          </rPr>
          <t>======
ID#AAABjx7qQ3o
    (2025-05-21 11:33:25)
0618 San: 待提供BOM給Chloe</t>
        </r>
      </text>
    </comment>
    <comment ref="H1413" authorId="0" shapeId="0" xr:uid="{A942A1EA-A209-144B-A71A-490B51EC2623}">
      <text>
        <r>
          <rPr>
            <sz val="10"/>
            <color rgb="FF000000"/>
            <rFont val="Aptos Narrow"/>
            <scheme val="minor"/>
          </rPr>
          <t>======
ID#AAABjx7qQx4
    (2025-05-21 11:33:25)
0622 chloe:匯款匯入US$1411</t>
        </r>
      </text>
    </comment>
    <comment ref="H1414" authorId="0" shapeId="0" xr:uid="{3D96CAA7-1916-5F47-8018-69D4AE28FCD5}">
      <text>
        <r>
          <rPr>
            <sz val="10"/>
            <color rgb="FF000000"/>
            <rFont val="Aptos Narrow"/>
            <scheme val="minor"/>
          </rPr>
          <t>======
ID#AAABjx7qU-0
    (2025-05-21 11:33:27)
0913 chloe:匯款匯入153646</t>
        </r>
      </text>
    </comment>
    <comment ref="G1415" authorId="0" shapeId="0" xr:uid="{7FC40827-6936-6542-8B54-9A5029C40959}">
      <text>
        <r>
          <rPr>
            <sz val="10"/>
            <color rgb="FF000000"/>
            <rFont val="Aptos Narrow"/>
            <scheme val="minor"/>
          </rPr>
          <t>======
ID#AAABjx7qR7I
    (2025-05-21 11:33:25)
180524 w/ vat 5%</t>
        </r>
      </text>
    </comment>
    <comment ref="H1415" authorId="0" shapeId="0" xr:uid="{619040C9-D626-B64B-B302-21606613B6F8}">
      <text>
        <r>
          <rPr>
            <sz val="10"/>
            <color rgb="FF000000"/>
            <rFont val="Aptos Narrow"/>
            <scheme val="minor"/>
          </rPr>
          <t>======
ID#AAABjx7qTpE
    (2025-05-21 11:33:26)
0710 chloe:匯款匯入44891</t>
        </r>
      </text>
    </comment>
    <comment ref="G1416" authorId="0" shapeId="0" xr:uid="{E64D043B-4F01-7B45-904D-3249A00930A8}">
      <text>
        <r>
          <rPr>
            <sz val="10"/>
            <color rgb="FF000000"/>
            <rFont val="Aptos Narrow"/>
            <scheme val="minor"/>
          </rPr>
          <t>======
ID#AAABjx7qOz8
    (2025-05-21 11:33:24)
180621 w/ vat 5%</t>
        </r>
      </text>
    </comment>
    <comment ref="H1416" authorId="0" shapeId="0" xr:uid="{EB2CA5F7-2E7D-2047-BB3C-F57BB2A2731B}">
      <text>
        <r>
          <rPr>
            <sz val="10"/>
            <color rgb="FF000000"/>
            <rFont val="Aptos Narrow"/>
            <scheme val="minor"/>
          </rPr>
          <t>======
ID#AAABjx7qNHo
    (2025-05-21 11:33:23)
0710 chloe:匯款匯入44891</t>
        </r>
      </text>
    </comment>
    <comment ref="G1417" authorId="0" shapeId="0" xr:uid="{EA3BF0C6-C7C7-7749-9CBB-F95589685127}">
      <text>
        <r>
          <rPr>
            <sz val="10"/>
            <color rgb="FF000000"/>
            <rFont val="Aptos Narrow"/>
            <scheme val="minor"/>
          </rPr>
          <t>======
ID#AAABjx7qPv4
    (2025-05-21 11:33:24)
180621 w/ vat 5%</t>
        </r>
      </text>
    </comment>
    <comment ref="H1417" authorId="0" shapeId="0" xr:uid="{4664CFAF-E723-1044-8D77-C2CBA2A238C3}">
      <text>
        <r>
          <rPr>
            <sz val="10"/>
            <color rgb="FF000000"/>
            <rFont val="Aptos Narrow"/>
            <scheme val="minor"/>
          </rPr>
          <t>======
ID#AAABjx7qRIM
    (2025-05-21 11:33:25)
0710 chloe:匯款匯入44891</t>
        </r>
      </text>
    </comment>
    <comment ref="G1418" authorId="0" shapeId="0" xr:uid="{7FA0211F-2925-0C49-BFB9-84869DDD68D2}">
      <text>
        <r>
          <rPr>
            <sz val="10"/>
            <color rgb="FF000000"/>
            <rFont val="Aptos Narrow"/>
            <scheme val="minor"/>
          </rPr>
          <t>======
ID#AAABjx7qVYw
    (2025-05-21 11:33:27)
180621 w/ vat 5%</t>
        </r>
      </text>
    </comment>
    <comment ref="H1418" authorId="0" shapeId="0" xr:uid="{A4EF349C-0468-AC4C-8616-32CEE6BCDD0E}">
      <text>
        <r>
          <rPr>
            <sz val="10"/>
            <color rgb="FF000000"/>
            <rFont val="Aptos Narrow"/>
            <scheme val="minor"/>
          </rPr>
          <t>======
ID#AAABjx7qNxI
    (2025-05-21 11:33:23)
0710 chloe:匯款匯入44891</t>
        </r>
      </text>
    </comment>
    <comment ref="G1419" authorId="0" shapeId="0" xr:uid="{DB85EF51-79C6-E248-A31D-67CA77BF38A7}">
      <text>
        <r>
          <rPr>
            <sz val="10"/>
            <color rgb="FF000000"/>
            <rFont val="Aptos Narrow"/>
            <scheme val="minor"/>
          </rPr>
          <t>======
ID#AAABjx7qQgc
    (2025-05-21 11:33:25)
180621 w/ vat 5%</t>
        </r>
      </text>
    </comment>
    <comment ref="H1419" authorId="0" shapeId="0" xr:uid="{1BDCB97F-4A47-D249-A70E-3D2CDC53E9CA}">
      <text>
        <r>
          <rPr>
            <sz val="10"/>
            <color rgb="FF000000"/>
            <rFont val="Aptos Narrow"/>
            <scheme val="minor"/>
          </rPr>
          <t>======
ID#AAABjx7qTq4
    (2025-05-21 11:33:26)
0710 chloe:匯款匯入44891</t>
        </r>
      </text>
    </comment>
    <comment ref="E1420" authorId="0" shapeId="0" xr:uid="{8BD281EB-CBF3-8144-9C96-89C5CDE5F5C3}">
      <text>
        <r>
          <rPr>
            <sz val="10"/>
            <color rgb="FF000000"/>
            <rFont val="Aptos Narrow"/>
            <scheme val="minor"/>
          </rPr>
          <t>======
ID#AAABjx7qS28
    (2025-05-21 11:33:26)
180620 Tammy: 請補上序號</t>
        </r>
      </text>
    </comment>
    <comment ref="H1420" authorId="0" shapeId="0" xr:uid="{CA32FE7E-5CC0-064D-A307-A905350AAA3F}">
      <text>
        <r>
          <rPr>
            <sz val="10"/>
            <color rgb="FF000000"/>
            <rFont val="Aptos Narrow"/>
            <scheme val="minor"/>
          </rPr>
          <t>======
ID#AAABjx7qTHY
    (2025-05-21 11:33:26)
0813 chloe:匯款匯入 US$3841.5</t>
        </r>
      </text>
    </comment>
    <comment ref="H1421" authorId="0" shapeId="0" xr:uid="{1D011423-2813-A74B-AE89-78A9632A467D}">
      <text>
        <r>
          <rPr>
            <sz val="10"/>
            <color rgb="FF000000"/>
            <rFont val="Aptos Narrow"/>
            <scheme val="minor"/>
          </rPr>
          <t>======
ID#AAABjx7qOxQ
    (2025-05-21 11:33:24)
0704 chloe:匯入NT659,180</t>
        </r>
      </text>
    </comment>
    <comment ref="H1422" authorId="0" shapeId="0" xr:uid="{03208836-C455-794F-A7D2-911968269C97}">
      <text>
        <r>
          <rPr>
            <sz val="10"/>
            <color rgb="FF000000"/>
            <rFont val="Aptos Narrow"/>
            <scheme val="minor"/>
          </rPr>
          <t>======
ID#AAABjx7qSx0
    (2025-05-21 11:33:26)
0824 chloe:匯款匯入US$15535
多會PI-20180514A CPU US$100</t>
        </r>
      </text>
    </comment>
    <comment ref="H1423" authorId="0" shapeId="0" xr:uid="{E92E3A00-6A35-AA4F-957B-067C4129701E}">
      <text>
        <r>
          <rPr>
            <sz val="10"/>
            <color rgb="FF000000"/>
            <rFont val="Aptos Narrow"/>
            <scheme val="minor"/>
          </rPr>
          <t>======
ID#AAABjx7qS4s
    (2025-05-21 11:33:26)
0824 chloe:匯款匯入US$15535
多會PI-20180514A CPU US$100</t>
        </r>
      </text>
    </comment>
    <comment ref="H1424" authorId="0" shapeId="0" xr:uid="{A5A71515-5621-324C-A9C9-4D4390A50CDD}">
      <text>
        <r>
          <rPr>
            <sz val="10"/>
            <color rgb="FF000000"/>
            <rFont val="Aptos Narrow"/>
            <scheme val="minor"/>
          </rPr>
          <t>======
ID#AAABjx7qRpI
    (2025-05-21 11:33:25)
0824 chloe:匯款匯入US$15535
多會PI-20180514A CPU US$100</t>
        </r>
      </text>
    </comment>
    <comment ref="H1425" authorId="0" shapeId="0" xr:uid="{F6853A3C-E114-FB4C-8AE4-90607C9CA830}">
      <text>
        <r>
          <rPr>
            <sz val="10"/>
            <color rgb="FF000000"/>
            <rFont val="Aptos Narrow"/>
            <scheme val="minor"/>
          </rPr>
          <t>======
ID#AAABjx7qP2Q
    (2025-05-21 11:33:24)
0824 chloe:匯款匯入US$15535
多會PI-20180514A CPU US$100</t>
        </r>
      </text>
    </comment>
    <comment ref="E1426" authorId="0" shapeId="0" xr:uid="{F0B5A952-F57D-B046-A900-F4CB392CE4E7}">
      <text>
        <r>
          <rPr>
            <sz val="10"/>
            <color rgb="FF000000"/>
            <rFont val="Aptos Narrow"/>
            <scheme val="minor"/>
          </rPr>
          <t>======
ID#AAABjx7qUys
    (2025-05-21 11:33:26)
0627 chloe 改為M3S0-8GSSDLPC 宜鼎庫存，待下筆改為DDS8GHIMBFC
0719 chloe:出口報單登記為DDS8GHIMBFC</t>
        </r>
      </text>
    </comment>
    <comment ref="H1426" authorId="0" shapeId="0" xr:uid="{27F9A368-9EF5-0043-AD20-C71B5D2A4030}">
      <text>
        <r>
          <rPr>
            <sz val="10"/>
            <color rgb="FF000000"/>
            <rFont val="Aptos Narrow"/>
            <scheme val="minor"/>
          </rPr>
          <t>======
ID#AAABjx7qTc0
    (2025-05-21 11:33:26)
0824 chloe:匯款匯入US$15535
多會PI-20180514A CPU US$100</t>
        </r>
      </text>
    </comment>
    <comment ref="H1427" authorId="0" shapeId="0" xr:uid="{98D7A7A8-A3F6-D042-984B-A45DEE38851A}">
      <text>
        <r>
          <rPr>
            <sz val="10"/>
            <color rgb="FF000000"/>
            <rFont val="Aptos Narrow"/>
            <scheme val="minor"/>
          </rPr>
          <t>======
ID#AAABjx7qRAs
    (2025-05-21 11:33:25)
0824 chloe:匯款匯入US$15535
多會PI-20180514A CPU US$100</t>
        </r>
      </text>
    </comment>
    <comment ref="E1428" authorId="0" shapeId="0" xr:uid="{F3CDEB06-A7B7-4643-A319-3C23DCF690E9}">
      <text>
        <r>
          <rPr>
            <sz val="10"/>
            <color rgb="FF000000"/>
            <rFont val="Aptos Narrow"/>
            <scheme val="minor"/>
          </rPr>
          <t>======
ID#AAABjx7qQ4g
0626 Santiago    (2025-05-21 11:33:25)
-&gt; 待客戶將 7' LCD (AA070ME01)寄來後， 寄曦立光電做貼合</t>
        </r>
      </text>
    </comment>
    <comment ref="F1428" authorId="0" shapeId="0" xr:uid="{7CD06BCB-EC4E-1945-8261-CD7B20BBEF29}">
      <text>
        <r>
          <rPr>
            <sz val="10"/>
            <color rgb="FF000000"/>
            <rFont val="Aptos Narrow"/>
            <scheme val="minor"/>
          </rPr>
          <t>======
ID#AAABjx7qM0s
    (2025-05-21 11:33:23)
0701 chloe:入倉420</t>
        </r>
      </text>
    </comment>
    <comment ref="H1428" authorId="0" shapeId="0" xr:uid="{CBBB32AA-BB92-5849-A3F8-640CB6A04C33}">
      <text>
        <r>
          <rPr>
            <sz val="10"/>
            <color rgb="FF000000"/>
            <rFont val="Aptos Narrow"/>
            <scheme val="minor"/>
          </rPr>
          <t>======
ID#AAABjx7qOfE
    (2025-05-21 11:33:24)
0705 chloe:匯款匯入US$24790</t>
        </r>
      </text>
    </comment>
    <comment ref="M1428" authorId="0" shapeId="0" xr:uid="{FF4D3041-A459-9B45-8EA8-46926B404CFC}">
      <text>
        <r>
          <rPr>
            <sz val="10"/>
            <color rgb="FF000000"/>
            <rFont val="Aptos Narrow"/>
            <scheme val="minor"/>
          </rPr>
          <t>======
ID#AAABjx7qQmA
    (2025-05-21 11:33:25)
400 PCS 貼合
24 PCS 只有點亮測試
貨到請通知Chloe</t>
        </r>
      </text>
    </comment>
    <comment ref="AB1428" authorId="0" shapeId="0" xr:uid="{CE2A1B60-4C53-9444-BF5B-D95751D8D3D0}">
      <text>
        <r>
          <rPr>
            <sz val="10"/>
            <color rgb="FF000000"/>
            <rFont val="Aptos Narrow"/>
            <scheme val="minor"/>
          </rPr>
          <t>======
ID#AAABjx7qPDQ
    (2025-05-21 11:33:24)
入料420PCS;出口424PCS</t>
        </r>
      </text>
    </comment>
    <comment ref="H1429" authorId="0" shapeId="0" xr:uid="{7F1E663D-5830-9940-A40B-D788A64A3CFC}">
      <text>
        <r>
          <rPr>
            <sz val="10"/>
            <color rgb="FF000000"/>
            <rFont val="Aptos Narrow"/>
            <scheme val="minor"/>
          </rPr>
          <t>======
ID#AAABjx7qN2E
    (2025-05-21 11:33:23)
0813 chloe:匯款匯入 US$3841.5</t>
        </r>
      </text>
    </comment>
    <comment ref="H1430" authorId="0" shapeId="0" xr:uid="{2F6F012D-CABA-EC4A-B6CD-6CA902F3128F}">
      <text>
        <r>
          <rPr>
            <sz val="10"/>
            <color rgb="FF000000"/>
            <rFont val="Aptos Narrow"/>
            <scheme val="minor"/>
          </rPr>
          <t>======
ID#AAABjx7qPcU
    (2025-05-21 11:33:24)
0813 chloe:匯款匯入 US$3841.5</t>
        </r>
      </text>
    </comment>
    <comment ref="H1431" authorId="0" shapeId="0" xr:uid="{2F99AB6F-98E2-FF4E-B072-13A7DAD3924E}">
      <text>
        <r>
          <rPr>
            <sz val="10"/>
            <color rgb="FF000000"/>
            <rFont val="Aptos Narrow"/>
            <scheme val="minor"/>
          </rPr>
          <t>======
ID#AAABjx7qNus
    (2025-05-21 11:33:23)
0813 chloe:匯款匯入 US$3841.5</t>
        </r>
      </text>
    </comment>
    <comment ref="H1432" authorId="0" shapeId="0" xr:uid="{35F1F2CB-3589-4045-93A8-FB4A85BD6BE0}">
      <text>
        <r>
          <rPr>
            <sz val="10"/>
            <color rgb="FF000000"/>
            <rFont val="Aptos Narrow"/>
            <scheme val="minor"/>
          </rPr>
          <t>======
ID#AAABjx7qVYE
    (2025-05-21 11:33:27)
0626 chloe: 0619 多匯NT3939
0718 chloe: 收到1859</t>
        </r>
      </text>
    </comment>
    <comment ref="H1433" authorId="0" shapeId="0" xr:uid="{D66C8FF1-3436-3A4B-9E40-D8ABCA178E66}">
      <text>
        <r>
          <rPr>
            <sz val="10"/>
            <color rgb="FF000000"/>
            <rFont val="Aptos Narrow"/>
            <scheme val="minor"/>
          </rPr>
          <t>======
ID#AAABjx7qN3Y
    (2025-05-21 11:33:23)
0813 chloe:匯款匯入 US$3841.5</t>
        </r>
      </text>
    </comment>
    <comment ref="H1434" authorId="0" shapeId="0" xr:uid="{FDF709AA-5C76-1441-AECF-A18816AC4E09}">
      <text>
        <r>
          <rPr>
            <sz val="10"/>
            <color rgb="FF000000"/>
            <rFont val="Aptos Narrow"/>
            <scheme val="minor"/>
          </rPr>
          <t>======
ID#AAABjx7qSN8
    (2025-05-21 11:33:26)
0907 chloe:匯款匯入US$8273</t>
        </r>
      </text>
    </comment>
    <comment ref="H1435" authorId="0" shapeId="0" xr:uid="{6507AA61-59A3-134A-BCD8-D2AAAD94F769}">
      <text>
        <r>
          <rPr>
            <sz val="10"/>
            <color rgb="FF000000"/>
            <rFont val="Aptos Narrow"/>
            <scheme val="minor"/>
          </rPr>
          <t>======
ID#AAABjx7qUws
    (2025-05-21 11:33:26)
0813 chloe:匯款匯入 US$3841.5</t>
        </r>
      </text>
    </comment>
    <comment ref="H1436" authorId="0" shapeId="0" xr:uid="{45597938-C1A5-804F-8963-E0A663E3B406}">
      <text>
        <r>
          <rPr>
            <sz val="10"/>
            <color rgb="FF000000"/>
            <rFont val="Aptos Narrow"/>
            <scheme val="minor"/>
          </rPr>
          <t>======
ID#AAABjx7qWMo
    (2025-05-21 11:33:27)
0813 chloe:匯款匯入 US$3841.5</t>
        </r>
      </text>
    </comment>
    <comment ref="H1437" authorId="0" shapeId="0" xr:uid="{00978FC7-0104-7446-8ACD-7307DF96B3F4}">
      <text>
        <r>
          <rPr>
            <sz val="10"/>
            <color rgb="FF000000"/>
            <rFont val="Aptos Narrow"/>
            <scheme val="minor"/>
          </rPr>
          <t>======
ID#AAABjx7qOlg
    (2025-05-21 11:33:24)
Invoice:  US$1335
待Cindy修改後通知客戶
1012 chloe:匯款匯入US$40290
(客戶少匯US$2280)
1030 chloe: 匯款匯入US$16,948.00</t>
        </r>
      </text>
    </comment>
    <comment ref="K1437" authorId="0" shapeId="0" xr:uid="{62457F40-0E39-5F4A-8948-B82E588FD5CC}">
      <text>
        <r>
          <rPr>
            <sz val="10"/>
            <color rgb="FF000000"/>
            <rFont val="Aptos Narrow"/>
            <scheme val="minor"/>
          </rPr>
          <t>======
ID#AAABjx7qVrI
    (2025-05-21 11:33:27)
Santiago 0812 : Eric 請Bank準備一份Win10 IoT Ent LTSB 2016的安裝DVD或USB，供我們做測試或協助客戶重新安裝時使用</t>
        </r>
      </text>
    </comment>
    <comment ref="H1438" authorId="0" shapeId="0" xr:uid="{A81AAFAA-A33F-174A-A539-EC9B5C7E6392}">
      <text>
        <r>
          <rPr>
            <sz val="10"/>
            <color rgb="FF000000"/>
            <rFont val="Aptos Narrow"/>
            <scheme val="minor"/>
          </rPr>
          <t>======
ID#AAABjx7qN7o
    (2025-05-21 11:33:23)
Invoice:  US$1335
待Cindy修改後通知客戶
1012 chloe:匯款匯入US$40290
(客戶少匯US$2280)
1030 chloe: 匯款匯入US$16,948.00</t>
        </r>
      </text>
    </comment>
    <comment ref="K1438" authorId="0" shapeId="0" xr:uid="{AA7F109A-C7A3-E045-85FF-25D085A7065A}">
      <text>
        <r>
          <rPr>
            <sz val="10"/>
            <color rgb="FF000000"/>
            <rFont val="Aptos Narrow"/>
            <scheme val="minor"/>
          </rPr>
          <t>======
ID#AAABjx7qSeQ
    (2025-05-21 11:33:26)
Santiago 0812 : Eric 請Bank準備一份Win10 IoT Ent LTSB 2016的安裝DVD或USB，供我們做測試或協助客戶重新安裝時使用</t>
        </r>
      </text>
    </comment>
    <comment ref="H1439" authorId="0" shapeId="0" xr:uid="{8861193F-659C-7C40-B6AB-7644241F6FAE}">
      <text>
        <r>
          <rPr>
            <sz val="10"/>
            <color rgb="FF000000"/>
            <rFont val="Aptos Narrow"/>
            <scheme val="minor"/>
          </rPr>
          <t>======
ID#AAABjx7qS9g
    (2025-05-21 11:33:26)
Invoice:  US$1335
待Cindy修改後通知客戶
1012 chloe:匯款匯入US$40290
(客戶少匯US$2280)
1030 chloe: 匯款匯入US$16,948.00</t>
        </r>
      </text>
    </comment>
    <comment ref="K1439" authorId="0" shapeId="0" xr:uid="{1211BAD3-B205-4347-A6C1-79BC124FC997}">
      <text>
        <r>
          <rPr>
            <sz val="10"/>
            <color rgb="FF000000"/>
            <rFont val="Aptos Narrow"/>
            <scheme val="minor"/>
          </rPr>
          <t>======
ID#AAABjx7qSgY
    (2025-05-21 11:33:26)
Santiago 0812 : Eric 請Bank準備一份Win10 IoT Ent LTSB 2016的安裝DVD或USB，供我們做測試或協助客戶重新安裝時使用</t>
        </r>
      </text>
    </comment>
    <comment ref="H1440" authorId="0" shapeId="0" xr:uid="{A9D2A236-7771-E443-B06A-3FF432A44016}">
      <text>
        <r>
          <rPr>
            <sz val="10"/>
            <color rgb="FF000000"/>
            <rFont val="Aptos Narrow"/>
            <scheme val="minor"/>
          </rPr>
          <t>======
ID#AAABjx7qPE8
    (2025-05-21 11:33:24)
Invoice:  US$1335
待Cindy修改後通知客戶
1012 chloe:匯款匯入US$40290
(客戶少匯US$2280)
1030 chloe: 匯款匯入US$16,948.00</t>
        </r>
      </text>
    </comment>
    <comment ref="K1440" authorId="0" shapeId="0" xr:uid="{9308CFD6-6984-2641-966C-056076C66E35}">
      <text>
        <r>
          <rPr>
            <sz val="10"/>
            <color rgb="FF000000"/>
            <rFont val="Aptos Narrow"/>
            <scheme val="minor"/>
          </rPr>
          <t>======
ID#AAABjx7qSPE
    (2025-05-21 11:33:26)
Santiago 0812 : Eric 請Bank準備一份Win10 IoT Ent LTSB 2016的安裝DVD或USB，供我們做測試或協助客戶重新安裝時使用</t>
        </r>
      </text>
    </comment>
    <comment ref="H1441" authorId="0" shapeId="0" xr:uid="{A788A0F0-482D-3B47-A96B-80C720C9A240}">
      <text>
        <r>
          <rPr>
            <sz val="10"/>
            <color rgb="FF000000"/>
            <rFont val="Aptos Narrow"/>
            <scheme val="minor"/>
          </rPr>
          <t>======
ID#AAABjx7qSlA
    (2025-05-21 11:33:26)
Invoice:  US$1335
待Cindy修改後通知客戶
1012 chloe:匯款匯入US$40290
(客戶少匯US$2280)
1030 chloe: 匯款匯入US$16,948.00</t>
        </r>
      </text>
    </comment>
    <comment ref="K1441" authorId="0" shapeId="0" xr:uid="{D504840A-90EB-E143-B56F-4D9A6BC395A7}">
      <text>
        <r>
          <rPr>
            <sz val="10"/>
            <color rgb="FF000000"/>
            <rFont val="Aptos Narrow"/>
            <scheme val="minor"/>
          </rPr>
          <t>======
ID#AAABjx7qPZk
    (2025-05-21 11:33:24)
Santiago 0812 : Eric 請Bank準備一份Win10 IoT Ent LTSB 2016的安裝DVD或USB，供我們做測試或協助客戶重新安裝時使用</t>
        </r>
      </text>
    </comment>
    <comment ref="E1442" authorId="0" shapeId="0" xr:uid="{27926FCC-969D-EF4D-BF1A-98CBD335B8ED}">
      <text>
        <r>
          <rPr>
            <sz val="10"/>
            <color rgb="FF000000"/>
            <rFont val="Aptos Narrow"/>
            <scheme val="minor"/>
          </rPr>
          <t>======
ID#AAABjx7qNjc
    (2025-05-21 11:33:23)
180705 Karen: w/EU adapter</t>
        </r>
      </text>
    </comment>
    <comment ref="H1442" authorId="0" shapeId="0" xr:uid="{A9BEE5EC-5739-C846-9E58-0F3A3B9224C8}">
      <text>
        <r>
          <rPr>
            <sz val="10"/>
            <color rgb="FF000000"/>
            <rFont val="Aptos Narrow"/>
            <scheme val="minor"/>
          </rPr>
          <t>======
ID#AAABjx7qNio
    (2025-05-21 11:33:23)
0706 chloe:匯款匯入US$3499</t>
        </r>
      </text>
    </comment>
    <comment ref="H1443" authorId="0" shapeId="0" xr:uid="{60CFAF0C-1999-374E-89F0-F5044CEC1A81}">
      <text>
        <r>
          <rPr>
            <sz val="10"/>
            <color rgb="FF000000"/>
            <rFont val="Aptos Narrow"/>
            <scheme val="minor"/>
          </rPr>
          <t>======
ID#AAABjx7qR6A
    (2025-05-21 11:33:25)
0912 chloe:匯款匯入US$18134.4</t>
        </r>
      </text>
    </comment>
    <comment ref="H1444" authorId="0" shapeId="0" xr:uid="{BDF37972-DB65-734D-B2E3-5A824B6857FC}">
      <text>
        <r>
          <rPr>
            <sz val="10"/>
            <color rgb="FF000000"/>
            <rFont val="Aptos Narrow"/>
            <scheme val="minor"/>
          </rPr>
          <t>======
ID#AAABjx7qNmY
    (2025-05-21 11:33:23)
0912 chloe:匯款匯入US$18134.4</t>
        </r>
      </text>
    </comment>
    <comment ref="H1445" authorId="0" shapeId="0" xr:uid="{119DDACD-58DC-314D-BE19-2C3F0447F158}">
      <text>
        <r>
          <rPr>
            <sz val="10"/>
            <color rgb="FF000000"/>
            <rFont val="Aptos Narrow"/>
            <scheme val="minor"/>
          </rPr>
          <t>======
ID#AAABjx7qRkU
    (2025-05-21 11:33:25)
0912 chloe:匯款匯入US$18134.4</t>
        </r>
      </text>
    </comment>
    <comment ref="H1446" authorId="0" shapeId="0" xr:uid="{6661BCCB-3740-0A4F-8BCF-F05B27AA98C3}">
      <text>
        <r>
          <rPr>
            <sz val="10"/>
            <color rgb="FF000000"/>
            <rFont val="Aptos Narrow"/>
            <scheme val="minor"/>
          </rPr>
          <t>======
ID#AAABjx7qWXM
    (2025-05-21 11:33:27)
0912 chloe:匯款匯入US$18134.4</t>
        </r>
      </text>
    </comment>
    <comment ref="H1447" authorId="0" shapeId="0" xr:uid="{971EB6D8-DAC0-2742-A074-1F7A63A0D4DC}">
      <text>
        <r>
          <rPr>
            <sz val="10"/>
            <color rgb="FF000000"/>
            <rFont val="Aptos Narrow"/>
            <scheme val="minor"/>
          </rPr>
          <t>======
ID#AAABjx7qVo4
    (2025-05-21 11:33:27)
0912 chloe:匯款匯入US$18134.4</t>
        </r>
      </text>
    </comment>
    <comment ref="H1448" authorId="0" shapeId="0" xr:uid="{717B1F66-DB2E-6440-A458-01B5C13BE99E}">
      <text>
        <r>
          <rPr>
            <sz val="10"/>
            <color rgb="FF000000"/>
            <rFont val="Aptos Narrow"/>
            <scheme val="minor"/>
          </rPr>
          <t>======
ID#AAABjx7qNqc
    (2025-05-21 11:33:23)
0912 chloe:匯款匯入US$18134.4</t>
        </r>
      </text>
    </comment>
    <comment ref="H1449" authorId="0" shapeId="0" xr:uid="{40BC32DB-95A1-BA40-ADA6-846116199384}">
      <text>
        <r>
          <rPr>
            <sz val="10"/>
            <color rgb="FF000000"/>
            <rFont val="Aptos Narrow"/>
            <scheme val="minor"/>
          </rPr>
          <t>======
ID#AAABjx7qR6E
    (2025-05-21 11:33:25)
0912 chloe:匯款匯入US$18134.4</t>
        </r>
      </text>
    </comment>
    <comment ref="H1450" authorId="0" shapeId="0" xr:uid="{90F8D907-6AF5-3E4C-90CA-A6C97ECF2E4E}">
      <text>
        <r>
          <rPr>
            <sz val="10"/>
            <color rgb="FF000000"/>
            <rFont val="Aptos Narrow"/>
            <scheme val="minor"/>
          </rPr>
          <t>======
ID#AAABjx7qQ-8
    (2025-05-21 11:33:25)
0803 chloe:匯款匯入US$11920</t>
        </r>
      </text>
    </comment>
    <comment ref="H1451" authorId="0" shapeId="0" xr:uid="{970D8442-4438-9447-B0FB-06D8B87E87B6}">
      <text>
        <r>
          <rPr>
            <sz val="10"/>
            <color rgb="FF000000"/>
            <rFont val="Aptos Narrow"/>
            <scheme val="minor"/>
          </rPr>
          <t>======
ID#AAABjx7qOTY
    (2025-05-21 11:33:24)
0803 chloe:匯款匯入US$11920</t>
        </r>
      </text>
    </comment>
    <comment ref="H1452" authorId="0" shapeId="0" xr:uid="{696882CC-8C0D-A44D-AFB7-CA145C22CCD9}">
      <text>
        <r>
          <rPr>
            <sz val="10"/>
            <color rgb="FF000000"/>
            <rFont val="Aptos Narrow"/>
            <scheme val="minor"/>
          </rPr>
          <t>======
ID#AAABjx7qQcE
    (2025-05-21 11:33:25)
0803 chloe:匯款匯入US$11920</t>
        </r>
      </text>
    </comment>
    <comment ref="H1453" authorId="0" shapeId="0" xr:uid="{87FA7CF0-2052-0B45-98C1-FBFE231F88EE}">
      <text>
        <r>
          <rPr>
            <sz val="10"/>
            <color rgb="FF000000"/>
            <rFont val="Aptos Narrow"/>
            <scheme val="minor"/>
          </rPr>
          <t>======
ID#AAABjx7qP-g
    (2025-05-21 11:33:25)
0803 chloe:匯款匯入US$11920</t>
        </r>
      </text>
    </comment>
    <comment ref="H1454" authorId="0" shapeId="0" xr:uid="{C37DD451-ABAC-1744-B5FC-1CE5C99B1975}">
      <text>
        <r>
          <rPr>
            <sz val="10"/>
            <color rgb="FF000000"/>
            <rFont val="Aptos Narrow"/>
            <scheme val="minor"/>
          </rPr>
          <t>======
ID#AAABjx7qO48
    (2025-05-21 11:33:24)
0803 chloe:匯款匯入US$11920</t>
        </r>
      </text>
    </comment>
    <comment ref="H1455" authorId="0" shapeId="0" xr:uid="{689C214D-EB10-9C4C-92FF-8C9CE52B2810}">
      <text>
        <r>
          <rPr>
            <sz val="10"/>
            <color rgb="FF000000"/>
            <rFont val="Aptos Narrow"/>
            <scheme val="minor"/>
          </rPr>
          <t>======
ID#AAABjx7qOZY
    (2025-05-21 11:33:24)
0803 chloe:匯款匯入US$11920</t>
        </r>
      </text>
    </comment>
    <comment ref="H1456" authorId="0" shapeId="0" xr:uid="{1C4B5C6A-B8BD-4E48-80B6-1989DFB7B3EB}">
      <text>
        <r>
          <rPr>
            <sz val="10"/>
            <color rgb="FF000000"/>
            <rFont val="Aptos Narrow"/>
            <scheme val="minor"/>
          </rPr>
          <t>======
ID#AAABjx7qO8Y
    (2025-05-21 11:33:24)
0716 chloe:匯款匯入US$1247</t>
        </r>
      </text>
    </comment>
    <comment ref="H1457" authorId="0" shapeId="0" xr:uid="{0F37D565-E8E4-D24C-A45C-28AB9CB39935}">
      <text>
        <r>
          <rPr>
            <sz val="10"/>
            <color rgb="FF000000"/>
            <rFont val="Aptos Narrow"/>
            <scheme val="minor"/>
          </rPr>
          <t>======
ID#AAABjx7qStE
    (2025-05-21 11:33:26)
0716 chloe:匯款匯入US$1247</t>
        </r>
      </text>
    </comment>
    <comment ref="V1457" authorId="0" shapeId="0" xr:uid="{F1598DBD-E10F-7143-B924-86263589DEDF}">
      <text>
        <r>
          <rPr>
            <sz val="10"/>
            <color rgb="FF000000"/>
            <rFont val="Aptos Narrow"/>
            <scheme val="minor"/>
          </rPr>
          <t>======
ID#AAABjx7qVYk
    (2025-05-21 11:33:27)
Santiago 1130 : 原來Chloe 註記銀行如下, 但Santiago 匯到舊的聯邦
合庫大安分行
0760717324727</t>
        </r>
      </text>
    </comment>
    <comment ref="H1458" authorId="0" shapeId="0" xr:uid="{D5C5CD63-69F1-304A-AC2E-6B96C32BA1E5}">
      <text>
        <r>
          <rPr>
            <sz val="10"/>
            <color rgb="FF000000"/>
            <rFont val="Aptos Narrow"/>
            <scheme val="minor"/>
          </rPr>
          <t>======
ID#AAABjx7qNlQ
    (2025-05-21 11:33:23)
0907 chloe:匯款匯入US$8273</t>
        </r>
      </text>
    </comment>
    <comment ref="H1459" authorId="0" shapeId="0" xr:uid="{E6E4E122-A511-514F-9552-355BCF6BF7F8}">
      <text>
        <r>
          <rPr>
            <sz val="10"/>
            <color rgb="FF000000"/>
            <rFont val="Aptos Narrow"/>
            <scheme val="minor"/>
          </rPr>
          <t>======
ID#AAABjx7qVaY
    (2025-05-21 11:33:27)
0907 chloe:匯款匯入US$8273</t>
        </r>
      </text>
    </comment>
    <comment ref="H1460" authorId="0" shapeId="0" xr:uid="{95E4DA91-600B-B445-A366-3E61BC1841E3}">
      <text>
        <r>
          <rPr>
            <sz val="10"/>
            <color rgb="FF000000"/>
            <rFont val="Aptos Narrow"/>
            <scheme val="minor"/>
          </rPr>
          <t>======
ID#AAABjx7qU2c
    (2025-05-21 11:33:26)
0907 chloe:匯款匯入US$8273</t>
        </r>
      </text>
    </comment>
    <comment ref="E1461" authorId="0" shapeId="0" xr:uid="{458C706C-D5EF-8A47-A50E-E12E29BC2711}">
      <text>
        <r>
          <rPr>
            <sz val="10"/>
            <color rgb="FF000000"/>
            <rFont val="Aptos Narrow"/>
            <scheme val="minor"/>
          </rPr>
          <t>======
ID#AAABjx7qQTk
    (2025-05-21 11:33:25)
下單請用FPM2150GR3B1601E-T
出貨文件上秀:
FPM-2150G-R3BE
(FPM2150GRB1601E-T)</t>
        </r>
      </text>
    </comment>
    <comment ref="H1461" authorId="0" shapeId="0" xr:uid="{3A779A77-A07C-B643-90B9-461B87449881}">
      <text>
        <r>
          <rPr>
            <sz val="10"/>
            <color rgb="FF000000"/>
            <rFont val="Aptos Narrow"/>
            <scheme val="minor"/>
          </rPr>
          <t>======
ID#AAABjx7qRws
    (2025-05-21 11:33:25)
1012 chloe:匯款匯入US$1716</t>
        </r>
      </text>
    </comment>
    <comment ref="H1462" authorId="0" shapeId="0" xr:uid="{3879B136-9627-6E4C-B5C2-D9DFD999C976}">
      <text>
        <r>
          <rPr>
            <sz val="10"/>
            <color rgb="FF000000"/>
            <rFont val="Aptos Narrow"/>
            <scheme val="minor"/>
          </rPr>
          <t>======
ID#AAABjx7qOH0
    (2025-05-21 11:33:24)
0907 chloe:匯款匯入US$8273</t>
        </r>
      </text>
    </comment>
    <comment ref="H1463" authorId="0" shapeId="0" xr:uid="{5CB9B24A-0BA1-C24D-BB96-2E74C31E5BC8}">
      <text>
        <r>
          <rPr>
            <sz val="10"/>
            <color rgb="FF000000"/>
            <rFont val="Aptos Narrow"/>
            <scheme val="minor"/>
          </rPr>
          <t>======
ID#AAABjx7qMzU
    (2025-05-21 11:33:23)
0907 chloe:匯款匯入US$8273</t>
        </r>
      </text>
    </comment>
    <comment ref="H1464" authorId="0" shapeId="0" xr:uid="{5D945AFE-EE61-3048-82EB-87E34B33804C}">
      <text>
        <r>
          <rPr>
            <sz val="10"/>
            <color rgb="FF000000"/>
            <rFont val="Aptos Narrow"/>
            <scheme val="minor"/>
          </rPr>
          <t>======
ID#AAABjx7qQuk
    (2025-05-21 11:33:25)
0907 chloe:匯款匯入US$8273</t>
        </r>
      </text>
    </comment>
    <comment ref="H1465" authorId="0" shapeId="0" xr:uid="{60AE7CC2-9447-3449-81E7-8C665C13E8EF}">
      <text>
        <r>
          <rPr>
            <sz val="10"/>
            <color rgb="FF000000"/>
            <rFont val="Aptos Narrow"/>
            <scheme val="minor"/>
          </rPr>
          <t>======
ID#AAABjx7qP9I
    (2025-05-21 11:33:25)
0905 chloe:已匯款NT13,986</t>
        </r>
      </text>
    </comment>
    <comment ref="G1466" authorId="0" shapeId="0" xr:uid="{2ED1A8C9-448F-C24E-8A62-16E60BE67A8F}">
      <text>
        <r>
          <rPr>
            <sz val="10"/>
            <color rgb="FF000000"/>
            <rFont val="Aptos Narrow"/>
            <scheme val="minor"/>
          </rPr>
          <t>======
ID#AAABjx7qRVo
    (2025-05-21 11:33:25)
180221 Tammy: project price for over 50pcs/lot</t>
        </r>
      </text>
    </comment>
    <comment ref="H1466" authorId="0" shapeId="0" xr:uid="{E9285459-A75C-5841-9422-12422B4F40C3}">
      <text>
        <r>
          <rPr>
            <sz val="10"/>
            <color rgb="FF000000"/>
            <rFont val="Aptos Narrow"/>
            <scheme val="minor"/>
          </rPr>
          <t>======
ID#AAABjx7qRmA
    (2025-05-21 11:33:25)
1012 chloe:匯款匯入US$17175</t>
        </r>
      </text>
    </comment>
    <comment ref="G1467" authorId="0" shapeId="0" xr:uid="{FE6019D2-3B7C-824A-844C-5EFF824FB2B2}">
      <text>
        <r>
          <rPr>
            <sz val="10"/>
            <color rgb="FF000000"/>
            <rFont val="Aptos Narrow"/>
            <scheme val="minor"/>
          </rPr>
          <t>======
ID#AAABjx7qR4I
    (2025-05-21 11:33:25)
180710 w/ vat 5%</t>
        </r>
      </text>
    </comment>
    <comment ref="H1467" authorId="0" shapeId="0" xr:uid="{87D2D353-1F8B-5B46-984D-E64F8C32934D}">
      <text>
        <r>
          <rPr>
            <sz val="10"/>
            <color rgb="FF000000"/>
            <rFont val="Aptos Narrow"/>
            <scheme val="minor"/>
          </rPr>
          <t>======
ID#AAABjx7qNZE
    (2025-05-21 11:33:23)
0731 chloe:匯入NT11142
短缺3660
0928 chloe: 匯入NT 3660</t>
        </r>
      </text>
    </comment>
    <comment ref="AE1467" authorId="0" shapeId="0" xr:uid="{61808975-0CC1-B049-9698-879A7C325D0F}">
      <text>
        <r>
          <rPr>
            <sz val="10"/>
            <color rgb="FF000000"/>
            <rFont val="Aptos Narrow"/>
            <scheme val="minor"/>
          </rPr>
          <t>======
ID#AAABjx7qTqM
    (2025-05-21 11:33:26)
發票應開立NT14802</t>
        </r>
      </text>
    </comment>
    <comment ref="G1468" authorId="0" shapeId="0" xr:uid="{45200006-F2DE-054E-90B8-70D3A590D493}">
      <text>
        <r>
          <rPr>
            <sz val="10"/>
            <color rgb="FF000000"/>
            <rFont val="Aptos Narrow"/>
            <scheme val="minor"/>
          </rPr>
          <t>======
ID#AAABjx7qWSM
    (2025-05-21 11:33:27)
180710 w/ vat 5%</t>
        </r>
      </text>
    </comment>
    <comment ref="H1468" authorId="0" shapeId="0" xr:uid="{6CA29EEE-CB87-544E-A445-4C9262378ADC}">
      <text>
        <r>
          <rPr>
            <sz val="10"/>
            <color rgb="FF000000"/>
            <rFont val="Aptos Narrow"/>
            <scheme val="minor"/>
          </rPr>
          <t>======
ID#AAABjx7qNt8
    (2025-05-21 11:33:23)
0731 chloe:匯入NT11142
短缺3660
0928 chloe: 匯入NT 3660</t>
        </r>
      </text>
    </comment>
    <comment ref="E1469" authorId="0" shapeId="0" xr:uid="{34C86385-EFAE-F442-ACB1-50769BB18057}">
      <text>
        <r>
          <rPr>
            <sz val="10"/>
            <color rgb="FF000000"/>
            <rFont val="Aptos Narrow"/>
            <scheme val="minor"/>
          </rPr>
          <t>======
ID#AAABjx7qNfY
    (2025-05-21 11:33:23)
180717 Tammy修改</t>
        </r>
      </text>
    </comment>
    <comment ref="H1469" authorId="0" shapeId="0" xr:uid="{ABBCD6BB-E345-B84A-BF58-75ECDA3B1B88}">
      <text>
        <r>
          <rPr>
            <sz val="10"/>
            <color rgb="FF000000"/>
            <rFont val="Aptos Narrow"/>
            <scheme val="minor"/>
          </rPr>
          <t>======
ID#AAABjx7qQZM
    (2025-05-21 11:33:25)
1001 chloe:匯款匯入US$5952.5</t>
        </r>
      </text>
    </comment>
    <comment ref="H1470" authorId="0" shapeId="0" xr:uid="{0DC4A95B-F7DC-734F-986E-5A5AD39EA4B1}">
      <text>
        <r>
          <rPr>
            <sz val="10"/>
            <color rgb="FF000000"/>
            <rFont val="Aptos Narrow"/>
            <scheme val="minor"/>
          </rPr>
          <t>======
ID#AAABjx7qTqA
    (2025-05-21 11:33:26)
1001 chloe:匯款匯入US$5952.5</t>
        </r>
      </text>
    </comment>
    <comment ref="H1471" authorId="0" shapeId="0" xr:uid="{72C1FA19-3532-014C-9165-575ABBE3D33E}">
      <text>
        <r>
          <rPr>
            <sz val="10"/>
            <color rgb="FF000000"/>
            <rFont val="Aptos Narrow"/>
            <scheme val="minor"/>
          </rPr>
          <t>======
ID#AAABjx7qNmI
    (2025-05-21 11:33:23)
0912 chloe:匯款匯入US$18134.4</t>
        </r>
      </text>
    </comment>
    <comment ref="H1472" authorId="0" shapeId="0" xr:uid="{DE056860-C956-7642-85A4-74624C3A5B6F}">
      <text>
        <r>
          <rPr>
            <sz val="10"/>
            <color rgb="FF000000"/>
            <rFont val="Aptos Narrow"/>
            <scheme val="minor"/>
          </rPr>
          <t>======
ID#AAABjx7qPvg
    (2025-05-21 11:33:24)
0912 chloe:匯款匯入US$18134.4</t>
        </r>
      </text>
    </comment>
    <comment ref="H1473" authorId="0" shapeId="0" xr:uid="{2BC2D1D4-9C92-3345-9948-46461110CDEB}">
      <text>
        <r>
          <rPr>
            <sz val="10"/>
            <color rgb="FF000000"/>
            <rFont val="Aptos Narrow"/>
            <scheme val="minor"/>
          </rPr>
          <t>======
ID#AAABjx7qShs
    (2025-05-21 11:33:26)
0912 chloe:匯款匯入US$18134.4</t>
        </r>
      </text>
    </comment>
    <comment ref="H1474" authorId="0" shapeId="0" xr:uid="{24D23585-C0FA-2D43-A565-C77F45D29E1D}">
      <text>
        <r>
          <rPr>
            <sz val="10"/>
            <color rgb="FF000000"/>
            <rFont val="Aptos Narrow"/>
            <scheme val="minor"/>
          </rPr>
          <t>======
ID#AAABjx7qWVk
    (2025-05-21 11:33:27)
0912 chloe:匯款匯入US$18134.4</t>
        </r>
      </text>
    </comment>
    <comment ref="H1475" authorId="0" shapeId="0" xr:uid="{B8AB01D7-0149-4742-B908-E35CE2B4D111}">
      <text>
        <r>
          <rPr>
            <sz val="10"/>
            <color rgb="FF000000"/>
            <rFont val="Aptos Narrow"/>
            <scheme val="minor"/>
          </rPr>
          <t>======
ID#AAABjx7qRu8
    (2025-05-21 11:33:25)
0912 chloe:匯款匯入US$18134.4</t>
        </r>
      </text>
    </comment>
    <comment ref="H1476" authorId="0" shapeId="0" xr:uid="{634760F3-9E77-FB4C-81D3-756DC27BBBB1}">
      <text>
        <r>
          <rPr>
            <sz val="10"/>
            <color rgb="FF000000"/>
            <rFont val="Aptos Narrow"/>
            <scheme val="minor"/>
          </rPr>
          <t>======
ID#AAABjx7qTrw
    (2025-05-21 11:33:26)
0907 chloe:匯款匯入US$8273</t>
        </r>
      </text>
    </comment>
    <comment ref="E1477" authorId="0" shapeId="0" xr:uid="{45DF77BC-D1BA-FD42-B584-388A64C04DD7}">
      <text>
        <r>
          <rPr>
            <sz val="10"/>
            <color rgb="FF000000"/>
            <rFont val="Aptos Narrow"/>
            <scheme val="minor"/>
          </rPr>
          <t>======
ID#AAABjx7qP-8
    (2025-05-21 11:33:25)
規格:EU</t>
        </r>
      </text>
    </comment>
    <comment ref="H1477" authorId="0" shapeId="0" xr:uid="{314B42D1-D93A-5048-800F-84E813E4166B}">
      <text>
        <r>
          <rPr>
            <sz val="10"/>
            <color rgb="FF000000"/>
            <rFont val="Aptos Narrow"/>
            <scheme val="minor"/>
          </rPr>
          <t>======
ID#AAABjx7qV_8
    (2025-05-21 11:33:27)
0907 chloe:匯款匯入US$8273</t>
        </r>
      </text>
    </comment>
    <comment ref="K1477" authorId="0" shapeId="0" xr:uid="{96426695-8FF2-0143-9CF4-1B356DA1831C}">
      <text>
        <r>
          <rPr>
            <sz val="10"/>
            <color rgb="FF000000"/>
            <rFont val="Aptos Narrow"/>
            <scheme val="minor"/>
          </rPr>
          <t>======
ID#AAABjx7qQbw
    (2025-05-21 11:33:25)
180712 Tammy: 出貨前請確認是否為歐規，謝謝。</t>
        </r>
      </text>
    </comment>
    <comment ref="H1478" authorId="0" shapeId="0" xr:uid="{63ABAC9A-63FC-F24D-BD98-24C43D8D647B}">
      <text>
        <r>
          <rPr>
            <sz val="10"/>
            <color rgb="FF000000"/>
            <rFont val="Aptos Narrow"/>
            <scheme val="minor"/>
          </rPr>
          <t>======
ID#AAABjx7qNsY
    (2025-05-21 11:33:23)
0814 chloe:收到支票NT212307</t>
        </r>
      </text>
    </comment>
    <comment ref="U1478" authorId="0" shapeId="0" xr:uid="{82CDF12B-4E62-5F46-9089-E2140FDA3B13}">
      <text>
        <r>
          <rPr>
            <sz val="10"/>
            <color rgb="FF000000"/>
            <rFont val="Aptos Narrow"/>
            <scheme val="minor"/>
          </rPr>
          <t>======
ID#AAABjx7qSNY
    (2025-05-21 11:33:26)
送來 50 PCS ，成本單價仍40 PCS</t>
        </r>
      </text>
    </comment>
    <comment ref="Z1478" authorId="0" shapeId="0" xr:uid="{EC04E759-D8FF-8A45-BB8E-FAD307EC3961}">
      <text>
        <r>
          <rPr>
            <sz val="10"/>
            <color rgb="FF000000"/>
            <rFont val="Aptos Narrow"/>
            <scheme val="minor"/>
          </rPr>
          <t>======
ID#AAABjx7qPPE
    (2025-05-21 11:33:24)
50 PCS 發票 8月已給會計</t>
        </r>
      </text>
    </comment>
    <comment ref="H1479" authorId="0" shapeId="0" xr:uid="{F54B3EDF-8CE2-7A4D-9AFB-A0D73A150F34}">
      <text>
        <r>
          <rPr>
            <sz val="10"/>
            <color rgb="FF000000"/>
            <rFont val="Aptos Narrow"/>
            <scheme val="minor"/>
          </rPr>
          <t>======
ID#AAABjx7qVmM
    (2025-05-21 11:33:27)
0828 chloe 超支O/A已通知客戶付款
0831 chloe 收到支票
1)187,087(9/5 入帳)
2)180,000(9/6入帳)</t>
        </r>
      </text>
    </comment>
    <comment ref="U1479" authorId="0" shapeId="0" xr:uid="{48C53D1D-91DE-384D-B66E-5590489AE1DB}">
      <text>
        <r>
          <rPr>
            <sz val="10"/>
            <color rgb="FF000000"/>
            <rFont val="Aptos Narrow"/>
            <scheme val="minor"/>
          </rPr>
          <t>======
ID#AAABjx7qQ3Q
    (2025-05-21 11:33:25)
59 PCS</t>
        </r>
      </text>
    </comment>
    <comment ref="Z1479" authorId="0" shapeId="0" xr:uid="{584B895F-7CF6-5048-933E-882971EAF442}">
      <text>
        <r>
          <rPr>
            <sz val="10"/>
            <color rgb="FF000000"/>
            <rFont val="Aptos Narrow"/>
            <scheme val="minor"/>
          </rPr>
          <t>======
ID#AAABjx7qNmA
    (2025-05-21 11:33:23)
59 PCS</t>
        </r>
      </text>
    </comment>
    <comment ref="H1480" authorId="0" shapeId="0" xr:uid="{1517BDDE-F09E-7C4D-80AC-DA4BF9D236C3}">
      <text>
        <r>
          <rPr>
            <sz val="10"/>
            <color rgb="FF000000"/>
            <rFont val="Aptos Narrow"/>
            <scheme val="minor"/>
          </rPr>
          <t>======
ID#AAABj82dpJQ
    (2025-05-21 11:33:23)
1003 chloe:收到支票NT58,660
(待1030 兌)→1102 已收到</t>
        </r>
      </text>
    </comment>
    <comment ref="K1480" authorId="0" shapeId="0" xr:uid="{AEFAA9F6-D4B4-5047-A08E-65E928BB7DF4}">
      <text>
        <r>
          <rPr>
            <sz val="10"/>
            <color rgb="FF000000"/>
            <rFont val="Aptos Narrow"/>
            <scheme val="minor"/>
          </rPr>
          <t>======
ID#AAABjx7qRR8
    (2025-05-21 11:33:25)
超出O/A 待收到款項後出貨</t>
        </r>
      </text>
    </comment>
    <comment ref="M1480" authorId="0" shapeId="0" xr:uid="{C9E23050-9B15-434B-BED3-7AC65D7DC129}">
      <text>
        <r>
          <rPr>
            <sz val="10"/>
            <color rgb="FF000000"/>
            <rFont val="Aptos Narrow"/>
            <scheme val="minor"/>
          </rPr>
          <t>======
ID#AAABjx7qWAU
    (2025-05-21 11:33:27)
11 PCS 9月初 交貨</t>
        </r>
      </text>
    </comment>
    <comment ref="E1481" authorId="0" shapeId="0" xr:uid="{39223C79-E2E8-974A-ACDF-98B0F898877B}">
      <text>
        <r>
          <rPr>
            <sz val="10"/>
            <color rgb="FF000000"/>
            <rFont val="Aptos Narrow"/>
            <scheme val="minor"/>
          </rPr>
          <t>======
ID#AAABjx7qS4c
20180714 San    (2025-05-21 11:33:26)
上海海關有認證型號的問題, 故不加 719 特別碼</t>
        </r>
      </text>
    </comment>
    <comment ref="H1481" authorId="0" shapeId="0" xr:uid="{32187B99-F887-5647-A7E0-1025BDC7F1B0}">
      <text>
        <r>
          <rPr>
            <sz val="10"/>
            <color rgb="FF000000"/>
            <rFont val="Aptos Narrow"/>
            <scheme val="minor"/>
          </rPr>
          <t>======
ID#AAABjx7qN08
    (2025-05-21 11:33:23)
0808 chloe:入帳US$34,335</t>
        </r>
      </text>
    </comment>
    <comment ref="Q1481" authorId="0" shapeId="0" xr:uid="{F01D7876-639E-EA4E-B165-AD2EEB5252C0}">
      <text>
        <r>
          <rPr>
            <sz val="10"/>
            <color rgb="FF000000"/>
            <rFont val="Aptos Narrow"/>
            <scheme val="minor"/>
          </rPr>
          <t>======
ID#AAABjx7qPj8
    (2025-05-21 11:33:24)
+10 (科技國給MOXA手續費)</t>
        </r>
      </text>
    </comment>
    <comment ref="H1482" authorId="0" shapeId="0" xr:uid="{0AB89F50-4041-9E4C-9287-E82C209D78DC}">
      <text>
        <r>
          <rPr>
            <sz val="10"/>
            <color rgb="FF000000"/>
            <rFont val="Aptos Narrow"/>
            <scheme val="minor"/>
          </rPr>
          <t>======
ID#AAABjx7qUrI
    (2025-05-21 11:33:26)
0808 chloe:入帳US$34,335</t>
        </r>
      </text>
    </comment>
    <comment ref="H1483" authorId="0" shapeId="0" xr:uid="{528AFD7E-D2E8-E541-9EAC-E114998AFF42}">
      <text>
        <r>
          <rPr>
            <sz val="10"/>
            <color rgb="FF000000"/>
            <rFont val="Aptos Narrow"/>
            <scheme val="minor"/>
          </rPr>
          <t>======
ID#AAABjx7qObU
    (2025-05-21 11:33:24)
0824 chloe:匯款匯入US$31,023</t>
        </r>
      </text>
    </comment>
    <comment ref="H1484" authorId="0" shapeId="0" xr:uid="{6DD748B7-1CAE-1B49-B7AD-C1DED4291B0E}">
      <text>
        <r>
          <rPr>
            <sz val="10"/>
            <color rgb="FF000000"/>
            <rFont val="Aptos Narrow"/>
            <scheme val="minor"/>
          </rPr>
          <t>======
ID#AAABjx7qNro
    (2025-05-21 11:33:23)
0824 chloe:匯款匯入US$31,023</t>
        </r>
      </text>
    </comment>
    <comment ref="H1485" authorId="0" shapeId="0" xr:uid="{42AACC57-B7D9-2540-AA62-B1845CBEAFF0}">
      <text>
        <r>
          <rPr>
            <sz val="10"/>
            <color rgb="FF000000"/>
            <rFont val="Aptos Narrow"/>
            <scheme val="minor"/>
          </rPr>
          <t>======
ID#AAABjx7qSoY
    (2025-05-21 11:33:26)
0824 chloe:匯款匯入US$31,023</t>
        </r>
      </text>
    </comment>
    <comment ref="H1486" authorId="0" shapeId="0" xr:uid="{29D8C9EF-E610-B249-AC6B-07C01021CDA2}">
      <text>
        <r>
          <rPr>
            <sz val="10"/>
            <color rgb="FF000000"/>
            <rFont val="Aptos Narrow"/>
            <scheme val="minor"/>
          </rPr>
          <t>======
ID#AAABjx7qPfM
    (2025-05-21 11:33:24)
0824 chloe:匯款匯入US$31,023</t>
        </r>
      </text>
    </comment>
    <comment ref="H1487" authorId="0" shapeId="0" xr:uid="{3197C503-C6FE-C949-A4DD-12F579EE739B}">
      <text>
        <r>
          <rPr>
            <sz val="10"/>
            <color rgb="FF000000"/>
            <rFont val="Aptos Narrow"/>
            <scheme val="minor"/>
          </rPr>
          <t>======
ID#AAABjx7qTeU
    (2025-05-21 11:33:26)
0824 chloe:匯款匯入US$31,023</t>
        </r>
      </text>
    </comment>
    <comment ref="H1488" authorId="0" shapeId="0" xr:uid="{8FDB74F5-9BB8-D44E-866B-B9679F48C3F5}">
      <text>
        <r>
          <rPr>
            <sz val="10"/>
            <color rgb="FF000000"/>
            <rFont val="Aptos Narrow"/>
            <scheme val="minor"/>
          </rPr>
          <t>======
ID#AAABjx7qQ0Q
    (2025-05-21 11:33:25)
0824 chloe:匯款匯入US$31,023</t>
        </r>
      </text>
    </comment>
    <comment ref="H1489" authorId="0" shapeId="0" xr:uid="{4D5DB56D-A06E-144B-8303-A0352BBF82B7}">
      <text>
        <r>
          <rPr>
            <sz val="10"/>
            <color rgb="FF000000"/>
            <rFont val="Aptos Narrow"/>
            <scheme val="minor"/>
          </rPr>
          <t>======
ID#AAABjx7qNh8
    (2025-05-21 11:33:23)
0824 chloe:匯款匯入US$31,023</t>
        </r>
      </text>
    </comment>
    <comment ref="E1490" authorId="0" shapeId="0" xr:uid="{1B9CB620-8245-CA41-8B07-AE9F77AF53B6}">
      <text>
        <r>
          <rPr>
            <sz val="10"/>
            <color rgb="FF000000"/>
            <rFont val="Aptos Narrow"/>
            <scheme val="minor"/>
          </rPr>
          <t>======
ID#AAABjx7qNpY
●OPE1503FBDTR    (2025-05-21 11:33:23)
VGA+DVI+HDMI /12V/ Terminal block12V/24V
(另加12VDC 鳯凰接頭 的 power adapter)</t>
        </r>
      </text>
    </comment>
    <comment ref="H1490" authorId="0" shapeId="0" xr:uid="{64E23EC4-CFCF-1E41-94CD-180C470CCCBF}">
      <text>
        <r>
          <rPr>
            <sz val="10"/>
            <color rgb="FF000000"/>
            <rFont val="Aptos Narrow"/>
            <scheme val="minor"/>
          </rPr>
          <t>======
ID#AAABjx7qNXM
    (2025-05-21 11:33:23)
0912 chloe:匯款匯入US$18134.4</t>
        </r>
      </text>
    </comment>
    <comment ref="H1491" authorId="0" shapeId="0" xr:uid="{B3093F26-47E5-8A4A-A74A-C481D899680D}">
      <text>
        <r>
          <rPr>
            <sz val="10"/>
            <color rgb="FF000000"/>
            <rFont val="Aptos Narrow"/>
            <scheme val="minor"/>
          </rPr>
          <t>======
ID#AAABjx7qNfc
    (2025-05-21 11:33:23)
0907 chloe:匯款匯入US$8273</t>
        </r>
      </text>
    </comment>
    <comment ref="H1492" authorId="0" shapeId="0" xr:uid="{84795A9B-3F6D-3F4D-99F4-7D013919DC11}">
      <text>
        <r>
          <rPr>
            <sz val="10"/>
            <color rgb="FF000000"/>
            <rFont val="Aptos Narrow"/>
            <scheme val="minor"/>
          </rPr>
          <t>======
ID#AAABjx7qQ00
    (2025-05-21 11:33:25)
0907 chloe:匯款匯入US$8273</t>
        </r>
      </text>
    </comment>
    <comment ref="H1493" authorId="0" shapeId="0" xr:uid="{7A22F071-5958-D24E-A023-9244E7588870}">
      <text>
        <r>
          <rPr>
            <sz val="10"/>
            <color rgb="FF000000"/>
            <rFont val="Aptos Narrow"/>
            <scheme val="minor"/>
          </rPr>
          <t>======
ID#AAABjx7qSM8
    (2025-05-21 11:33:26)
0907 chloe:匯款匯入US$8273</t>
        </r>
      </text>
    </comment>
    <comment ref="H1494" authorId="0" shapeId="0" xr:uid="{FE0F4546-5394-B846-9978-2E0D640C5A78}">
      <text>
        <r>
          <rPr>
            <sz val="10"/>
            <color rgb="FF000000"/>
            <rFont val="Aptos Narrow"/>
            <scheme val="minor"/>
          </rPr>
          <t>======
ID#AAABjx7qPDw
    (2025-05-21 11:33:24)
0907 chloe:匯款匯入US$8273</t>
        </r>
      </text>
    </comment>
    <comment ref="H1495" authorId="0" shapeId="0" xr:uid="{064864E6-D31D-7642-9063-40D810BCCCCB}">
      <text>
        <r>
          <rPr>
            <sz val="10"/>
            <color rgb="FF000000"/>
            <rFont val="Aptos Narrow"/>
            <scheme val="minor"/>
          </rPr>
          <t>======
ID#AAABjx7qWQI
    (2025-05-21 11:33:27)
0907 chloe:匯款匯入US$8273</t>
        </r>
      </text>
    </comment>
    <comment ref="H1496" authorId="0" shapeId="0" xr:uid="{FCB4F610-18D1-844E-8006-23767415B8EC}">
      <text>
        <r>
          <rPr>
            <sz val="10"/>
            <color rgb="FF000000"/>
            <rFont val="Aptos Narrow"/>
            <scheme val="minor"/>
          </rPr>
          <t>======
ID#AAABjx7qRm0
    (2025-05-21 11:33:25)
0907 chloe:匯款匯入US$8273</t>
        </r>
      </text>
    </comment>
    <comment ref="G1497" authorId="0" shapeId="0" xr:uid="{DE1C84E1-70D9-6442-A88F-0D73E3D7808B}">
      <text>
        <r>
          <rPr>
            <sz val="10"/>
            <color rgb="FF000000"/>
            <rFont val="Aptos Narrow"/>
            <scheme val="minor"/>
          </rPr>
          <t>======
ID#AAABjx7qNzU
    (2025-05-21 11:33:23)
180221 Tammy: project price for over 50pcs/lot</t>
        </r>
      </text>
    </comment>
    <comment ref="H1497" authorId="0" shapeId="0" xr:uid="{938D10F8-443A-5D4D-A4A0-F600E19B8D93}">
      <text>
        <r>
          <rPr>
            <sz val="10"/>
            <color rgb="FF000000"/>
            <rFont val="Aptos Narrow"/>
            <scheme val="minor"/>
          </rPr>
          <t>======
ID#AAABjx7qV38
    (2025-05-21 11:33:27)
1012 chloe:匯款匯入US$17175</t>
        </r>
      </text>
    </comment>
    <comment ref="E1498" authorId="0" shapeId="0" xr:uid="{16CD52AD-057D-2E4E-8F23-EAC737923609}">
      <text>
        <r>
          <rPr>
            <sz val="10"/>
            <color rgb="FF000000"/>
            <rFont val="Aptos Narrow"/>
            <scheme val="minor"/>
          </rPr>
          <t>======
ID#AAABjx7qPZI
    (2025-05-21 11:33:24)
180727 Karen: w/EU adapter</t>
        </r>
      </text>
    </comment>
    <comment ref="H1498" authorId="0" shapeId="0" xr:uid="{98C0FDCB-7F15-7641-8B23-546889F6DD55}">
      <text>
        <r>
          <rPr>
            <sz val="10"/>
            <color rgb="FF000000"/>
            <rFont val="Aptos Narrow"/>
            <scheme val="minor"/>
          </rPr>
          <t>======
ID#AAABjx7qNeQ
    (2025-05-21 11:33:23)
0808 chloe:匯款匯入USD 2,032</t>
        </r>
      </text>
    </comment>
    <comment ref="H1499" authorId="0" shapeId="0" xr:uid="{0471AAFF-2170-0E4C-A227-5B70C6C357C5}">
      <text>
        <r>
          <rPr>
            <sz val="10"/>
            <color rgb="FF000000"/>
            <rFont val="Aptos Narrow"/>
            <scheme val="minor"/>
          </rPr>
          <t>======
ID#AAABj82dpNU
    (2025-05-21 11:33:23)
0907 chloe:匯款匯入US$8273</t>
        </r>
      </text>
    </comment>
    <comment ref="E1500" authorId="0" shapeId="0" xr:uid="{FEB80F7E-3E9E-D440-91B7-E51496E88B6A}">
      <text>
        <r>
          <rPr>
            <sz val="10"/>
            <color rgb="FF000000"/>
            <rFont val="Aptos Narrow"/>
            <scheme val="minor"/>
          </rPr>
          <t>======
ID#AAABjx7qQpY
    (2025-05-21 11:33:25)
180725 Tammy: KH告知重覆下單，要取消</t>
        </r>
      </text>
    </comment>
    <comment ref="E1501" authorId="0" shapeId="0" xr:uid="{9C83ADEC-12EF-4C4D-B691-43431C1BCA74}">
      <text>
        <r>
          <rPr>
            <sz val="10"/>
            <color rgb="FF000000"/>
            <rFont val="Aptos Narrow"/>
            <scheme val="minor"/>
          </rPr>
          <t>======
ID#AAABjx7qWH4
    (2025-05-21 11:33:27)
180725 使用20180528B訂購的庫存</t>
        </r>
      </text>
    </comment>
    <comment ref="H1501" authorId="0" shapeId="0" xr:uid="{A017F4AB-1956-CE48-8266-DBE1FF8177E8}">
      <text>
        <r>
          <rPr>
            <sz val="10"/>
            <color rgb="FF000000"/>
            <rFont val="Aptos Narrow"/>
            <scheme val="minor"/>
          </rPr>
          <t>======
ID#AAABjx7qSek
    (2025-05-21 11:33:26)
0907 chloe:匯款匯入US$8273</t>
        </r>
      </text>
    </comment>
    <comment ref="Y1501" authorId="0" shapeId="0" xr:uid="{79EA94C8-A97F-A148-ADBD-C0834379180F}">
      <text>
        <r>
          <rPr>
            <sz val="10"/>
            <color rgb="FF000000"/>
            <rFont val="Aptos Narrow"/>
            <scheme val="minor"/>
          </rPr>
          <t>======
ID#AAABjx7qVa4
    (2025-05-21 11:33:27)
0607 chloe:發票5月已給會計，先列入庫存</t>
        </r>
      </text>
    </comment>
    <comment ref="D1502" authorId="0" shapeId="0" xr:uid="{B8E6FC17-2113-8C4E-840B-D4052981009F}">
      <text>
        <r>
          <rPr>
            <sz val="10"/>
            <color rgb="FF000000"/>
            <rFont val="Aptos Narrow"/>
            <scheme val="minor"/>
          </rPr>
          <t>======
ID#AAABjx7qQRg
Santiago 0730     (2025-05-21 11:33:25)
不需要換標籤. 客戶自己會搞定</t>
        </r>
      </text>
    </comment>
    <comment ref="E1502" authorId="0" shapeId="0" xr:uid="{A01D989F-4F24-184C-9646-93449A1D1665}">
      <text>
        <r>
          <rPr>
            <sz val="10"/>
            <color rgb="FF000000"/>
            <rFont val="Aptos Narrow"/>
            <scheme val="minor"/>
          </rPr>
          <t>======
ID#AAABjx7qRFU
    (2025-05-21 11:33:25)
180726 Tammy: 下單IBase Barebone型號AMS300M
180730 Tammy: 出貨文件中, 產品描述, 加上[with MAC], 單價為US$445, 不用再列出"Mac Address replacement and operation"</t>
        </r>
      </text>
    </comment>
    <comment ref="O1502" authorId="0" shapeId="0" xr:uid="{61B31455-7092-C94B-99B3-DE9AFFCB3688}">
      <text>
        <r>
          <rPr>
            <sz val="10"/>
            <color rgb="FF000000"/>
            <rFont val="Aptos Narrow"/>
            <scheme val="minor"/>
          </rPr>
          <t>======
ID#AAABjx7qN2g
    (2025-05-21 11:33:23)
20180803(科→廣)</t>
        </r>
      </text>
    </comment>
    <comment ref="D1503" authorId="0" shapeId="0" xr:uid="{6AA5AE56-70FD-D64A-B3C9-4427E954CBBF}">
      <text>
        <r>
          <rPr>
            <sz val="10"/>
            <color rgb="FF000000"/>
            <rFont val="Aptos Narrow"/>
            <scheme val="minor"/>
          </rPr>
          <t>======
ID#AAABjx7qN3c
Santiago 0730     (2025-05-21 11:33:23)
不需要換標籤. 客戶自己會搞定</t>
        </r>
      </text>
    </comment>
    <comment ref="D1504" authorId="0" shapeId="0" xr:uid="{9205727F-DE9A-DC4A-AB1A-BBFDD203191E}">
      <text>
        <r>
          <rPr>
            <sz val="10"/>
            <color rgb="FF000000"/>
            <rFont val="Aptos Narrow"/>
            <scheme val="minor"/>
          </rPr>
          <t>======
ID#AAABjx7qNME
Santiago 0730     (2025-05-21 11:33:23)
不需要換標籤. 客戶自己會搞定</t>
        </r>
      </text>
    </comment>
    <comment ref="E1504" authorId="0" shapeId="0" xr:uid="{7089BF30-7AFE-C241-A150-D1583D09386A}">
      <text>
        <r>
          <rPr>
            <sz val="10"/>
            <color rgb="FF000000"/>
            <rFont val="Aptos Narrow"/>
            <scheme val="minor"/>
          </rPr>
          <t>======
ID#AAABjx7qSlc
    (2025-05-21 11:33:26)
180726 Tammy: 下單IBase Barebone型號AMS300M
180730 Tammy: 出貨文件中, 產品描述, 加上[with MAC], 單價為US$445, 不用再列出"Mac Address replacement and operation"</t>
        </r>
      </text>
    </comment>
    <comment ref="D1505" authorId="0" shapeId="0" xr:uid="{300BCC09-C0DE-D244-B64F-DE9834C5F8FA}">
      <text>
        <r>
          <rPr>
            <sz val="10"/>
            <color rgb="FF000000"/>
            <rFont val="Aptos Narrow"/>
            <scheme val="minor"/>
          </rPr>
          <t>======
ID#AAABjx7qOP8
Santiago 0730     (2025-05-21 11:33:24)
不需要換標籤. 客戶自己會搞定</t>
        </r>
      </text>
    </comment>
    <comment ref="H1506" authorId="0" shapeId="0" xr:uid="{9C43CB19-F9D6-AD45-9004-AC30B456B37B}">
      <text>
        <r>
          <rPr>
            <sz val="10"/>
            <color rgb="FF000000"/>
            <rFont val="Aptos Narrow"/>
            <scheme val="minor"/>
          </rPr>
          <t>======
ID#AAABjx7qVOs
    (2025-05-21 11:33:27)
0912 chloe:匯款匯入US$18134.4</t>
        </r>
      </text>
    </comment>
    <comment ref="H1507" authorId="0" shapeId="0" xr:uid="{62E02EB7-0233-804E-A701-C7675D844479}">
      <text>
        <r>
          <rPr>
            <sz val="10"/>
            <color rgb="FF000000"/>
            <rFont val="Aptos Narrow"/>
            <scheme val="minor"/>
          </rPr>
          <t>======
ID#AAABjx7qOl0
    (2025-05-21 11:33:24)
0912 chloe:匯款匯入US$18134.4</t>
        </r>
      </text>
    </comment>
    <comment ref="V1507" authorId="0" shapeId="0" xr:uid="{D1191FD4-2165-F24D-9A51-171F964071A8}">
      <text>
        <r>
          <rPr>
            <sz val="10"/>
            <color rgb="FF000000"/>
            <rFont val="Aptos Narrow"/>
            <scheme val="minor"/>
          </rPr>
          <t>======
ID#AAABjx7qQvA
    (2025-05-21 11:33:25)
Santiago 1130 : 原來Chloe 註記銀行如下, 但Santiago 匯到舊的聯邦
合庫大安分行
0760717324727</t>
        </r>
      </text>
    </comment>
    <comment ref="H1508" authorId="0" shapeId="0" xr:uid="{89B8DC52-7D74-654C-914C-E1DA8C153006}">
      <text>
        <r>
          <rPr>
            <sz val="10"/>
            <color rgb="FF000000"/>
            <rFont val="Aptos Narrow"/>
            <scheme val="minor"/>
          </rPr>
          <t>======
ID#AAABjx7qNjM
    (2025-05-21 11:33:23)
0912 chloe:匯款匯入US$18134.4</t>
        </r>
      </text>
    </comment>
    <comment ref="H1509" authorId="0" shapeId="0" xr:uid="{800F3348-D60C-BF42-8D98-D23A8086D548}">
      <text>
        <r>
          <rPr>
            <sz val="10"/>
            <color rgb="FF000000"/>
            <rFont val="Aptos Narrow"/>
            <scheme val="minor"/>
          </rPr>
          <t>======
ID#AAABjx7qP2g
    (2025-05-21 11:33:24)
0912 chloe:匯款匯入US$18134.4</t>
        </r>
      </text>
    </comment>
    <comment ref="V1509" authorId="0" shapeId="0" xr:uid="{488F65A7-EA81-3D49-8993-3E47831F9361}">
      <text>
        <r>
          <rPr>
            <sz val="10"/>
            <color rgb="FF000000"/>
            <rFont val="Aptos Narrow"/>
            <scheme val="minor"/>
          </rPr>
          <t>======
ID#AAABjx7qOl8
    (2025-05-21 11:33:24)
Santiago 1130 : 原來Chloe 註記銀行如下, 但Santiago 匯到舊的聯邦
合庫大安分行
0760717324727</t>
        </r>
      </text>
    </comment>
    <comment ref="H1510" authorId="0" shapeId="0" xr:uid="{7006DF48-17B6-2C42-A6F3-CD0C2D5CB94E}">
      <text>
        <r>
          <rPr>
            <sz val="10"/>
            <color rgb="FF000000"/>
            <rFont val="Aptos Narrow"/>
            <scheme val="minor"/>
          </rPr>
          <t>======
ID#AAABjx7qQfg
    (2025-05-21 11:33:25)
1012 chloe:匯款匯入US$40290
(客戶少匯US$2280)
1030 chloe: 匯款匯入US$16,948.00</t>
        </r>
      </text>
    </comment>
    <comment ref="U1510" authorId="0" shapeId="0" xr:uid="{CA884582-D9CE-0A41-AF8F-9A06FA45213D}">
      <text>
        <r>
          <rPr>
            <sz val="10"/>
            <color rgb="FF000000"/>
            <rFont val="Aptos Narrow"/>
            <scheme val="minor"/>
          </rPr>
          <t>======
ID#AAABjx7qU2g
    (2025-05-21 11:33:26)
0803 chloe:專案價</t>
        </r>
      </text>
    </comment>
    <comment ref="H1511" authorId="0" shapeId="0" xr:uid="{D19EB825-C516-C844-A45F-B1C7BC280952}">
      <text>
        <r>
          <rPr>
            <sz val="10"/>
            <color rgb="FF000000"/>
            <rFont val="Aptos Narrow"/>
            <scheme val="minor"/>
          </rPr>
          <t>======
ID#AAABjx7qWNM
    (2025-05-21 11:33:27)
1012 chloe:匯款匯入US$40290
(客戶少匯US$2280)
1030 chloe: 匯款匯入US$16,948.00</t>
        </r>
      </text>
    </comment>
    <comment ref="E1512" authorId="0" shapeId="0" xr:uid="{D6019D03-B007-6F49-ADFA-3374F175369E}">
      <text>
        <r>
          <rPr>
            <sz val="10"/>
            <color rgb="FF000000"/>
            <rFont val="Aptos Narrow"/>
            <scheme val="minor"/>
          </rPr>
          <t>======
ID#AAABjx7qOSA
    (2025-05-21 11:33:24)
0810 chloe:原訂單D4SAGHLOFFC敏博送成此款
D4SAGHLPGFC</t>
        </r>
      </text>
    </comment>
    <comment ref="H1512" authorId="0" shapeId="0" xr:uid="{9B46572E-1EB9-8348-8B04-7A2609349DDC}">
      <text>
        <r>
          <rPr>
            <sz val="10"/>
            <color rgb="FF000000"/>
            <rFont val="Aptos Narrow"/>
            <scheme val="minor"/>
          </rPr>
          <t>======
ID#AAABjx7qS_M
    (2025-05-21 11:33:26)
1012 chloe:匯款匯入US$40290
(客戶少匯US$2280)
1030 chloe: 匯款匯入US$16,948.00</t>
        </r>
      </text>
    </comment>
    <comment ref="V1512" authorId="0" shapeId="0" xr:uid="{7F507AF4-1DBD-7047-AB09-3113FA5FBC77}">
      <text>
        <r>
          <rPr>
            <sz val="10"/>
            <color rgb="FF000000"/>
            <rFont val="Aptos Narrow"/>
            <scheme val="minor"/>
          </rPr>
          <t>======
ID#AAABjx7qWPM
    (2025-05-21 11:33:27)
Santiago 1130 : 原來Chloe 註記銀行如下, 但Santiago 匯到舊的聯邦
合庫大安分行
0760717324727</t>
        </r>
      </text>
    </comment>
    <comment ref="H1513" authorId="0" shapeId="0" xr:uid="{9CB4270D-8E30-C942-B794-7D3518EABCD1}">
      <text>
        <r>
          <rPr>
            <sz val="10"/>
            <color rgb="FF000000"/>
            <rFont val="Aptos Narrow"/>
            <scheme val="minor"/>
          </rPr>
          <t>======
ID#AAABjx7qVxw
    (2025-05-21 11:33:27)
1012 chloe:匯款匯入US$40290
(客戶少匯US$2280)
1030 chloe: 匯款匯入US$16,948.00</t>
        </r>
      </text>
    </comment>
    <comment ref="U1513" authorId="0" shapeId="0" xr:uid="{ACA1EA13-7B44-DF4F-A68E-CA23D17E2748}">
      <text>
        <r>
          <rPr>
            <sz val="10"/>
            <color rgb="FF000000"/>
            <rFont val="Aptos Narrow"/>
            <scheme val="minor"/>
          </rPr>
          <t>======
ID#AAABjx7qSyw
    (2025-05-21 11:33:26)
0803 chloe:專案價</t>
        </r>
      </text>
    </comment>
    <comment ref="H1514" authorId="0" shapeId="0" xr:uid="{CD159E69-B631-9941-97BE-78DC950AF935}">
      <text>
        <r>
          <rPr>
            <sz val="10"/>
            <color rgb="FF000000"/>
            <rFont val="Aptos Narrow"/>
            <scheme val="minor"/>
          </rPr>
          <t>======
ID#AAABjx7qPuU
    (2025-05-21 11:33:24)
1012 chloe:匯款匯入US$40290
(客戶少匯US$2280)
1030 chloe: 匯款匯入US$16,948.00</t>
        </r>
      </text>
    </comment>
    <comment ref="E1515" authorId="0" shapeId="0" xr:uid="{850E1AB8-2F1A-6A4C-9D85-E2A93DF2A493}">
      <text>
        <r>
          <rPr>
            <sz val="10"/>
            <color rgb="FF000000"/>
            <rFont val="Aptos Narrow"/>
            <scheme val="minor"/>
          </rPr>
          <t>======
ID#AAABjx7qNGA
    (2025-05-21 11:33:23)
0810 chloe:敏博送成此款
原訂購D4SAGHLOFFC
改為D4SAGHLPGFC(廠商送錯2400轉)</t>
        </r>
      </text>
    </comment>
    <comment ref="H1515" authorId="0" shapeId="0" xr:uid="{3CEF2537-F857-CC48-A828-89BA1B13CCF7}">
      <text>
        <r>
          <rPr>
            <sz val="10"/>
            <color rgb="FF000000"/>
            <rFont val="Aptos Narrow"/>
            <scheme val="minor"/>
          </rPr>
          <t>======
ID#AAABjx7qQbY
    (2025-05-21 11:33:25)
1012 chloe:匯款匯入US$40290
(客戶少匯US$2280)
1030 chloe: 匯款匯入US$16,948.00</t>
        </r>
      </text>
    </comment>
    <comment ref="V1515" authorId="0" shapeId="0" xr:uid="{B3820F4A-34A1-ED4D-BC9D-8895F6E9DCC5}">
      <text>
        <r>
          <rPr>
            <sz val="10"/>
            <color rgb="FF000000"/>
            <rFont val="Aptos Narrow"/>
            <scheme val="minor"/>
          </rPr>
          <t>======
ID#AAABjx7qNF4
    (2025-05-21 11:33:23)
Santiago 1130 : 原來Chloe 註記銀行如下, 但Santiago 匯到舊的聯邦
合庫大安分行
0760717324727</t>
        </r>
      </text>
    </comment>
    <comment ref="E1516" authorId="0" shapeId="0" xr:uid="{A35F71F4-1182-2846-A20F-E9CAF9FEAEE9}">
      <text>
        <r>
          <rPr>
            <sz val="10"/>
            <color rgb="FF000000"/>
            <rFont val="Aptos Narrow"/>
            <scheme val="minor"/>
          </rPr>
          <t>======
ID#AAABjx7qR3w
出貨文件的敘述須為    (2025-05-21 11:33:25)
Model : NPC-4784
Rackmount Network X86 Intel core i7 embedded PC</t>
        </r>
      </text>
    </comment>
    <comment ref="H1516" authorId="0" shapeId="0" xr:uid="{C034169B-A368-614B-9183-8EC084F465ED}">
      <text>
        <r>
          <rPr>
            <sz val="10"/>
            <color rgb="FF000000"/>
            <rFont val="Aptos Narrow"/>
            <scheme val="minor"/>
          </rPr>
          <t>======
ID#AAABjx7qOHI
    (2025-05-21 11:33:24)
0907 chloe:匯款匯入US$2433</t>
        </r>
      </text>
    </comment>
    <comment ref="H1517" authorId="0" shapeId="0" xr:uid="{87A3DE7C-4BC7-6E4C-B4C9-3E5DB780D5E3}">
      <text>
        <r>
          <rPr>
            <sz val="10"/>
            <color rgb="FF000000"/>
            <rFont val="Aptos Narrow"/>
            <scheme val="minor"/>
          </rPr>
          <t>======
ID#AAABjx7qRFI
    (2025-05-21 11:33:25)
0907 chloe:匯款匯入US$2433</t>
        </r>
      </text>
    </comment>
    <comment ref="H1518" authorId="0" shapeId="0" xr:uid="{03FF1BC0-AF4C-584E-B7E5-66EABF17FB9D}">
      <text>
        <r>
          <rPr>
            <sz val="10"/>
            <color rgb="FF000000"/>
            <rFont val="Aptos Narrow"/>
            <scheme val="minor"/>
          </rPr>
          <t>======
ID#AAABjx7qTmA
    (2025-05-21 11:33:26)
0907 chloe:匯款匯入US$2433</t>
        </r>
      </text>
    </comment>
    <comment ref="H1519" authorId="0" shapeId="0" xr:uid="{E1217EC4-9D8A-7B4C-92D9-E65CDF4DEA41}">
      <text>
        <r>
          <rPr>
            <sz val="10"/>
            <color rgb="FF000000"/>
            <rFont val="Aptos Narrow"/>
            <scheme val="minor"/>
          </rPr>
          <t>======
ID#AAABjx7qRwY
    (2025-05-21 11:33:25)
0913 chloe:匯款匯入153646</t>
        </r>
      </text>
    </comment>
    <comment ref="E1520" authorId="0" shapeId="0" xr:uid="{B81323AF-2D64-F846-A8F5-0E565BB23975}">
      <text>
        <r>
          <rPr>
            <sz val="10"/>
            <color rgb="FF000000"/>
            <rFont val="Aptos Narrow"/>
            <scheme val="minor"/>
          </rPr>
          <t>======
ID#AAABjx7qP8Q
    (2025-05-21 11:33:24)
20170104 Santiago: 和之前訂單一樣, w/o adapter</t>
        </r>
      </text>
    </comment>
    <comment ref="H1520" authorId="0" shapeId="0" xr:uid="{1850D162-F934-0247-B1B1-53492E896B89}">
      <text>
        <r>
          <rPr>
            <sz val="10"/>
            <color rgb="FF000000"/>
            <rFont val="Aptos Narrow"/>
            <scheme val="minor"/>
          </rPr>
          <t>======
ID#AAABjx7qNz8
    (2025-05-21 11:33:23)
0913 chloe:匯款匯入153646</t>
        </r>
      </text>
    </comment>
    <comment ref="H1521" authorId="0" shapeId="0" xr:uid="{47B20A02-3266-204A-9184-BA9112F4CF7D}">
      <text>
        <r>
          <rPr>
            <sz val="10"/>
            <color rgb="FF000000"/>
            <rFont val="Aptos Narrow"/>
            <scheme val="minor"/>
          </rPr>
          <t>======
ID#AAABjx7qV0o
    (2025-05-21 11:33:27)
0913 chloe:匯款匯入153646</t>
        </r>
      </text>
    </comment>
    <comment ref="G1522" authorId="0" shapeId="0" xr:uid="{04F0A212-C872-8D48-AF22-CEFC010433F0}">
      <text>
        <r>
          <rPr>
            <sz val="10"/>
            <color rgb="FF000000"/>
            <rFont val="Aptos Narrow"/>
            <scheme val="minor"/>
          </rPr>
          <t>======
ID#AAABjx7qSc8
    (2025-05-21 11:33:26)
w/5%VAT</t>
        </r>
      </text>
    </comment>
    <comment ref="H1522" authorId="0" shapeId="0" xr:uid="{E697CFDB-2022-154C-A0AF-BE0F151DBABD}">
      <text>
        <r>
          <rPr>
            <sz val="10"/>
            <color rgb="FF000000"/>
            <rFont val="Aptos Narrow"/>
            <scheme val="minor"/>
          </rPr>
          <t>======
ID#AAABjx7qSVY
    (2025-05-21 11:33:26)
0925 chloe:匯款匯入46,081</t>
        </r>
      </text>
    </comment>
    <comment ref="H1523" authorId="0" shapeId="0" xr:uid="{F67B2B28-B56E-3A46-8723-B8271BECDA13}">
      <text>
        <r>
          <rPr>
            <sz val="10"/>
            <color rgb="FF000000"/>
            <rFont val="Aptos Narrow"/>
            <scheme val="minor"/>
          </rPr>
          <t>======
ID#AAABjx7qSpo
    (2025-05-21 11:33:26)
0808 chloe:匯款匯入USD 2,032</t>
        </r>
      </text>
    </comment>
    <comment ref="E1524" authorId="0" shapeId="0" xr:uid="{0FE07130-6237-234C-8CF4-0B3F49C97414}">
      <text>
        <r>
          <rPr>
            <sz val="10"/>
            <color rgb="FF000000"/>
            <rFont val="Aptos Narrow"/>
            <scheme val="minor"/>
          </rPr>
          <t>======
ID#AAABjx7qOQg
chloe    (2025-05-21 11:33:24)
正確型號:PDK-150S</t>
        </r>
      </text>
    </comment>
    <comment ref="H1524" authorId="0" shapeId="0" xr:uid="{6DB308B1-6BFD-ED40-BF02-4D2717B3429C}">
      <text>
        <r>
          <rPr>
            <sz val="10"/>
            <color rgb="FF000000"/>
            <rFont val="Aptos Narrow"/>
            <scheme val="minor"/>
          </rPr>
          <t>======
ID#AAABjx7qVHw
    (2025-05-21 11:33:27)
1001 chloe:匯款匯入US$5952.5</t>
        </r>
      </text>
    </comment>
    <comment ref="J1524" authorId="0" shapeId="0" xr:uid="{3A3DDAA0-1AA7-9948-A845-9F783CE5E4B8}">
      <text>
        <r>
          <rPr>
            <sz val="10"/>
            <color rgb="FF000000"/>
            <rFont val="Aptos Narrow"/>
            <scheme val="minor"/>
          </rPr>
          <t>======
ID#AAABjx7qOmE
    (2025-05-21 11:33:24)
180806 Tammy: 出貨前, 再次確認
180830 Tammy: 確認UX Logistics</t>
        </r>
      </text>
    </comment>
    <comment ref="J1525" authorId="0" shapeId="0" xr:uid="{A79665EE-D756-7747-B5D3-AA6B78479D3D}">
      <text>
        <r>
          <rPr>
            <sz val="10"/>
            <color rgb="FF000000"/>
            <rFont val="Aptos Narrow"/>
            <scheme val="minor"/>
          </rPr>
          <t>======
ID#AAABjx7qU34
    (2025-05-21 11:33:26)
180806 Tammy: 出貨前, 再次確認
180830 Tammy: 確認UX Logistics</t>
        </r>
      </text>
    </comment>
    <comment ref="J1526" authorId="0" shapeId="0" xr:uid="{D82E761F-E637-6048-8E15-641BB048D475}">
      <text>
        <r>
          <rPr>
            <sz val="10"/>
            <color rgb="FF000000"/>
            <rFont val="Aptos Narrow"/>
            <scheme val="minor"/>
          </rPr>
          <t>======
ID#AAABjx7qSos
    (2025-05-21 11:33:26)
180806 Tammy: 出貨前, 再次確認
180830 Tammy: 確認UX Logistics</t>
        </r>
      </text>
    </comment>
    <comment ref="J1527" authorId="0" shapeId="0" xr:uid="{E8F4FF97-CEBF-4B4F-8F54-84DECC1E09D0}">
      <text>
        <r>
          <rPr>
            <sz val="10"/>
            <color rgb="FF000000"/>
            <rFont val="Aptos Narrow"/>
            <scheme val="minor"/>
          </rPr>
          <t>======
ID#AAABjx7qRVA
    (2025-05-21 11:33:25)
180806 Tammy: 出貨前, 再次確認
180830 Tammy: 確認UX Logistics</t>
        </r>
      </text>
    </comment>
    <comment ref="J1528" authorId="0" shapeId="0" xr:uid="{335C22CC-5A88-814A-9EA3-CD605946C407}">
      <text>
        <r>
          <rPr>
            <sz val="10"/>
            <color rgb="FF000000"/>
            <rFont val="Aptos Narrow"/>
            <scheme val="minor"/>
          </rPr>
          <t>======
ID#AAABjx7qPVA
    (2025-05-21 11:33:24)
180806 Tammy: 出貨前, 再次確認
180830 Tammy: 確認UX Logistics</t>
        </r>
      </text>
    </comment>
    <comment ref="E1529" authorId="0" shapeId="0" xr:uid="{2FECF171-13D7-8A40-A44F-CD2E54121606}">
      <text>
        <r>
          <rPr>
            <sz val="10"/>
            <color rgb="FF000000"/>
            <rFont val="Aptos Narrow"/>
            <scheme val="minor"/>
          </rPr>
          <t>======
ID#AAABjx7qRlo
0807 chloe    (2025-05-21 11:33:25)
戎克料號:02-BE-00059</t>
        </r>
      </text>
    </comment>
    <comment ref="J1529" authorId="0" shapeId="0" xr:uid="{3EA275C2-F7DF-BA43-8EFB-2247A2756191}">
      <text>
        <r>
          <rPr>
            <sz val="10"/>
            <color rgb="FF000000"/>
            <rFont val="Aptos Narrow"/>
            <scheme val="minor"/>
          </rPr>
          <t>======
ID#AAABjx7qM-A
    (2025-05-21 11:33:23)
180806 Tammy: 出貨前, 再次確認
180830 Tammy: 確認UX Logistics</t>
        </r>
      </text>
    </comment>
    <comment ref="E1530" authorId="0" shapeId="0" xr:uid="{569F7F0E-839D-764E-8CF3-2E764E11CB16}">
      <text>
        <r>
          <rPr>
            <sz val="10"/>
            <color rgb="FF000000"/>
            <rFont val="Aptos Narrow"/>
            <scheme val="minor"/>
          </rPr>
          <t>======
ID#AAABjx7qNKM
0807 chloe    (2025-05-21 11:33:23)
我司新料號
02-BE0-LVDS330-001A</t>
        </r>
      </text>
    </comment>
    <comment ref="H1530" authorId="0" shapeId="0" xr:uid="{6EBA7776-5854-8348-B8FD-08005B94D8C0}">
      <text>
        <r>
          <rPr>
            <sz val="10"/>
            <color rgb="FF000000"/>
            <rFont val="Aptos Narrow"/>
            <scheme val="minor"/>
          </rPr>
          <t>======
ID#AAABjx7qRoI
    (2025-05-21 11:33:25)
1001 chloe:匯款匯入US$5952.5</t>
        </r>
      </text>
    </comment>
    <comment ref="J1530" authorId="0" shapeId="0" xr:uid="{3E028C30-0838-4E4D-AA05-8C403A23788B}">
      <text>
        <r>
          <rPr>
            <sz val="10"/>
            <color rgb="FF000000"/>
            <rFont val="Aptos Narrow"/>
            <scheme val="minor"/>
          </rPr>
          <t>======
ID#AAABjx7qO_w
    (2025-05-21 11:33:24)
180806 Tammy: 出貨前, 再次確認
180830 Tammy: 確認UX Logistics</t>
        </r>
      </text>
    </comment>
    <comment ref="E1531" authorId="0" shapeId="0" xr:uid="{560D6716-60DC-1C4D-B690-AE1DE8735508}">
      <text>
        <r>
          <rPr>
            <sz val="10"/>
            <color rgb="FF000000"/>
            <rFont val="Aptos Narrow"/>
            <scheme val="minor"/>
          </rPr>
          <t>======
ID#AAABjx7qRnA
0807 chloe    (2025-05-21 11:33:25)
我司新料號
02-BE0-BKLC330-001A</t>
        </r>
      </text>
    </comment>
    <comment ref="H1531" authorId="0" shapeId="0" xr:uid="{FEF5B4F1-9BA4-EF45-80E5-42CF15FD8BF7}">
      <text>
        <r>
          <rPr>
            <sz val="10"/>
            <color rgb="FF000000"/>
            <rFont val="Aptos Narrow"/>
            <scheme val="minor"/>
          </rPr>
          <t>======
ID#AAABjx7qOnA
    (2025-05-21 11:33:24)
1001 chloe:匯款匯入US$5952.5</t>
        </r>
      </text>
    </comment>
    <comment ref="J1531" authorId="0" shapeId="0" xr:uid="{5C217B97-9FAE-504C-B8FF-D8C13D7FC792}">
      <text>
        <r>
          <rPr>
            <sz val="10"/>
            <color rgb="FF000000"/>
            <rFont val="Aptos Narrow"/>
            <scheme val="minor"/>
          </rPr>
          <t>======
ID#AAABjx7qNuk
    (2025-05-21 11:33:23)
180806 Tammy: 出貨前, 再次確認
180830 Tammy: 確認UX Logistics</t>
        </r>
      </text>
    </comment>
    <comment ref="H1532" authorId="0" shapeId="0" xr:uid="{E05C2596-9888-1748-AF64-71825C2AD42F}">
      <text>
        <r>
          <rPr>
            <sz val="10"/>
            <color rgb="FF000000"/>
            <rFont val="Aptos Narrow"/>
            <scheme val="minor"/>
          </rPr>
          <t>======
ID#AAABjx7qVSA
    (2025-05-21 11:33:27)
1001 chloe:匯款匯入US$5952.5</t>
        </r>
      </text>
    </comment>
    <comment ref="J1532" authorId="0" shapeId="0" xr:uid="{A6C99078-236F-1440-A6D8-4D68BEB9FA4C}">
      <text>
        <r>
          <rPr>
            <sz val="10"/>
            <color rgb="FF000000"/>
            <rFont val="Aptos Narrow"/>
            <scheme val="minor"/>
          </rPr>
          <t>======
ID#AAABjx7qWWE
    (2025-05-21 11:33:27)
180806 Tammy: 出貨前, 再次確認
180830 Tammy: 確認UX Logistics</t>
        </r>
      </text>
    </comment>
    <comment ref="H1533" authorId="0" shapeId="0" xr:uid="{69288325-1D7E-FD4D-BCAB-1B7F6AC24C93}">
      <text>
        <r>
          <rPr>
            <sz val="10"/>
            <color rgb="FF000000"/>
            <rFont val="Aptos Narrow"/>
            <scheme val="minor"/>
          </rPr>
          <t>======
ID#AAABj82dpF8
    (2025-05-21 11:33:23)
1001 chloe:匯款匯入US$5952.5</t>
        </r>
      </text>
    </comment>
    <comment ref="J1533" authorId="0" shapeId="0" xr:uid="{0E360DFD-9F19-194E-A605-EBF56E069875}">
      <text>
        <r>
          <rPr>
            <sz val="10"/>
            <color rgb="FF000000"/>
            <rFont val="Aptos Narrow"/>
            <scheme val="minor"/>
          </rPr>
          <t>======
ID#AAABjx7qTBc
    (2025-05-21 11:33:26)
180806 Tammy: 出貨前, 再次確認
180830 Tammy: 確認UX Logistics</t>
        </r>
      </text>
    </comment>
    <comment ref="H1534" authorId="0" shapeId="0" xr:uid="{E266547E-9C24-AE47-94BD-F17D368BF049}">
      <text>
        <r>
          <rPr>
            <sz val="10"/>
            <color rgb="FF000000"/>
            <rFont val="Aptos Narrow"/>
            <scheme val="minor"/>
          </rPr>
          <t>======
ID#AAABjx7qPtQ
    (2025-05-21 11:33:24)
0823 chloe:匯款匯入US$395</t>
        </r>
      </text>
    </comment>
    <comment ref="H1535" authorId="0" shapeId="0" xr:uid="{DC0E565F-2F02-634C-B2DA-6EB66EFEABDA}">
      <text>
        <r>
          <rPr>
            <sz val="10"/>
            <color rgb="FF000000"/>
            <rFont val="Aptos Narrow"/>
            <scheme val="minor"/>
          </rPr>
          <t>======
ID#AAABjx7qPaU
    (2025-05-21 11:33:24)
0823 chloe:匯款匯入US$395</t>
        </r>
      </text>
    </comment>
    <comment ref="M1535" authorId="0" shapeId="0" xr:uid="{74B3BC80-BFDC-B64B-B30D-63E7C8E59EB5}">
      <text>
        <r>
          <rPr>
            <sz val="10"/>
            <color rgb="FF000000"/>
            <rFont val="Aptos Narrow"/>
            <scheme val="minor"/>
          </rPr>
          <t>======
ID#AAABjx7qO9c
    (2025-05-21 11:33:24)
收到面板後兩周內完成</t>
        </r>
      </text>
    </comment>
    <comment ref="H1536" authorId="0" shapeId="0" xr:uid="{CA8FC933-1E84-D741-BCDD-1B5C2AA131C1}">
      <text>
        <r>
          <rPr>
            <sz val="10"/>
            <color rgb="FF000000"/>
            <rFont val="Aptos Narrow"/>
            <scheme val="minor"/>
          </rPr>
          <t>======
ID#AAABjx7qRT8
    (2025-05-21 11:33:25)
1012 chloe:匯款匯入US$1716</t>
        </r>
      </text>
    </comment>
    <comment ref="H1537" authorId="0" shapeId="0" xr:uid="{50C2CCBC-8B2E-7C4B-AFA2-EBF91CC82571}">
      <text>
        <r>
          <rPr>
            <sz val="10"/>
            <color rgb="FF000000"/>
            <rFont val="Aptos Narrow"/>
            <scheme val="minor"/>
          </rPr>
          <t>======
ID#AAABjx7qU9o
    (2025-05-21 11:33:27)
1012 chloe:匯款匯入US$1716</t>
        </r>
      </text>
    </comment>
    <comment ref="H1538" authorId="0" shapeId="0" xr:uid="{B4934A4D-C44B-3F47-99BE-2305FDF564A8}">
      <text>
        <r>
          <rPr>
            <sz val="10"/>
            <color rgb="FF000000"/>
            <rFont val="Aptos Narrow"/>
            <scheme val="minor"/>
          </rPr>
          <t>======
ID#AAABjx7qTCo
    (2025-05-21 11:33:26)
1112 chloe:匯款匯入US$8,753</t>
        </r>
      </text>
    </comment>
    <comment ref="H1539" authorId="0" shapeId="0" xr:uid="{0C945E6B-9C77-E340-A58F-3FCA8B5CE534}">
      <text>
        <r>
          <rPr>
            <sz val="10"/>
            <color rgb="FF000000"/>
            <rFont val="Aptos Narrow"/>
            <scheme val="minor"/>
          </rPr>
          <t>======
ID#AAABjx7qS_Q
    (2025-05-21 11:33:26)
1012 chloe:匯款匯入US$40290
(客戶少匯US$2280)
1030 chloe: 匯款匯入US$16,948.00</t>
        </r>
      </text>
    </comment>
    <comment ref="H1540" authorId="0" shapeId="0" xr:uid="{A8D2E1A1-8F42-1248-BDEC-8D618E31BD74}">
      <text>
        <r>
          <rPr>
            <sz val="10"/>
            <color rgb="FF000000"/>
            <rFont val="Aptos Narrow"/>
            <scheme val="minor"/>
          </rPr>
          <t>======
ID#AAABjx7qSo8
    (2025-05-21 11:33:26)
1012 chloe:匯款匯入US$40290
(客戶少匯US$2280)
1030 chloe: 匯款匯入US$16,948.00</t>
        </r>
      </text>
    </comment>
    <comment ref="AA1540" authorId="0" shapeId="0" xr:uid="{15CF2650-6724-934C-886E-DAEEFD12DC05}">
      <text>
        <r>
          <rPr>
            <sz val="10"/>
            <color rgb="FF000000"/>
            <rFont val="Aptos Narrow"/>
            <scheme val="minor"/>
          </rPr>
          <t>======
ID#AAABjx7qTGY
    (2025-05-21 11:33:26)
匯款73458</t>
        </r>
      </text>
    </comment>
    <comment ref="H1541" authorId="0" shapeId="0" xr:uid="{C44E51FC-DF34-A04B-A83E-8CE8417B0556}">
      <text>
        <r>
          <rPr>
            <sz val="10"/>
            <color rgb="FF000000"/>
            <rFont val="Aptos Narrow"/>
            <scheme val="minor"/>
          </rPr>
          <t>======
ID#AAABjx7qPJ8
    (2025-05-21 11:33:24)
1012 chloe:匯款匯入US$40290
(客戶少匯US$2280)
1030 chloe: 匯款匯入US$16,948.00</t>
        </r>
      </text>
    </comment>
    <comment ref="AA1541" authorId="0" shapeId="0" xr:uid="{E04EB95F-7913-1B46-8A52-5361E48C8CA7}">
      <text>
        <r>
          <rPr>
            <sz val="10"/>
            <color rgb="FF000000"/>
            <rFont val="Aptos Narrow"/>
            <scheme val="minor"/>
          </rPr>
          <t>======
ID#AAABjx7qPmw
    (2025-05-21 11:33:24)
匯款73458</t>
        </r>
      </text>
    </comment>
    <comment ref="H1542" authorId="0" shapeId="0" xr:uid="{04A6BD4A-994E-1B4B-9EB0-BFAD9094E3A5}">
      <text>
        <r>
          <rPr>
            <sz val="10"/>
            <color rgb="FF000000"/>
            <rFont val="Aptos Narrow"/>
            <scheme val="minor"/>
          </rPr>
          <t>======
ID#AAABjx7qNRg
    (2025-05-21 11:33:23)
1012 chloe:匯款匯入US$40290
(客戶少匯US$2280)
1030 chloe: 匯款匯入US$16,948.00</t>
        </r>
      </text>
    </comment>
    <comment ref="H1543" authorId="0" shapeId="0" xr:uid="{8CA0C532-571E-A44A-9DF4-6A647B56F22A}">
      <text>
        <r>
          <rPr>
            <sz val="10"/>
            <color rgb="FF000000"/>
            <rFont val="Aptos Narrow"/>
            <scheme val="minor"/>
          </rPr>
          <t>======
ID#AAABjx7qSgg
    (2025-05-21 11:33:26)
1030 chloe: 匯款匯入US$16,948.00</t>
        </r>
      </text>
    </comment>
    <comment ref="H1544" authorId="0" shapeId="0" xr:uid="{C90287C2-F5C1-EF40-AAB1-3706038DF662}">
      <text>
        <r>
          <rPr>
            <sz val="10"/>
            <color rgb="FF000000"/>
            <rFont val="Aptos Narrow"/>
            <scheme val="minor"/>
          </rPr>
          <t>======
ID#AAABjx7qVlc
    (2025-05-21 11:33:27)
1030 chloe: 匯款匯入US$16,948.00</t>
        </r>
      </text>
    </comment>
    <comment ref="H1545" authorId="0" shapeId="0" xr:uid="{175BA23E-35F8-1941-ABFD-7A8CE55C9196}">
      <text>
        <r>
          <rPr>
            <sz val="10"/>
            <color rgb="FF000000"/>
            <rFont val="Aptos Narrow"/>
            <scheme val="minor"/>
          </rPr>
          <t>======
ID#AAABjx7qMz0
    (2025-05-21 11:33:23)
1030 chloe: 匯款匯入US$16,948.00</t>
        </r>
      </text>
    </comment>
    <comment ref="H1546" authorId="0" shapeId="0" xr:uid="{A2E48565-8015-FC46-8896-A5E2A8FD02E1}">
      <text>
        <r>
          <rPr>
            <sz val="10"/>
            <color rgb="FF000000"/>
            <rFont val="Aptos Narrow"/>
            <scheme val="minor"/>
          </rPr>
          <t>======
ID#AAABjx7qWE0
    (2025-05-21 11:33:27)
1030 chloe: 匯款匯入US$16,948.00</t>
        </r>
      </text>
    </comment>
    <comment ref="H1547" authorId="0" shapeId="0" xr:uid="{EA8DA5F2-30E5-894D-B128-FAB252B0D81C}">
      <text>
        <r>
          <rPr>
            <sz val="10"/>
            <color rgb="FF000000"/>
            <rFont val="Aptos Narrow"/>
            <scheme val="minor"/>
          </rPr>
          <t>======
ID#AAABjx7qSCQ
    (2025-05-21 11:33:25)
1030 chloe: 匯款匯入US$16,948.00</t>
        </r>
      </text>
    </comment>
    <comment ref="H1548" authorId="0" shapeId="0" xr:uid="{9C250632-47A3-8C41-B168-17D70692B613}">
      <text>
        <r>
          <rPr>
            <sz val="10"/>
            <color rgb="FF000000"/>
            <rFont val="Aptos Narrow"/>
            <scheme val="minor"/>
          </rPr>
          <t>======
ID#AAABjx7qVCo
    (2025-05-21 11:33:27)
1030 chloe: 匯款匯入US$16,948.00</t>
        </r>
      </text>
    </comment>
    <comment ref="H1549" authorId="0" shapeId="0" xr:uid="{6754B19C-C172-0040-8B39-A8F9816961E9}">
      <text>
        <r>
          <rPr>
            <sz val="10"/>
            <color rgb="FF000000"/>
            <rFont val="Aptos Narrow"/>
            <scheme val="minor"/>
          </rPr>
          <t>======
ID#AAABjx7qTQI
    (2025-05-21 11:33:26)
0814 chloe:匯款匯入US$10559</t>
        </r>
      </text>
    </comment>
    <comment ref="E1550" authorId="0" shapeId="0" xr:uid="{83C6397A-87CF-9543-9F58-481B7045FB00}">
      <text>
        <r>
          <rPr>
            <sz val="10"/>
            <color rgb="FF000000"/>
            <rFont val="Aptos Narrow"/>
            <scheme val="minor"/>
          </rPr>
          <t>======
ID#AAABjx7qPlw
    (2025-05-21 11:33:24)
180813 Karen: 下單w/o adapter</t>
        </r>
      </text>
    </comment>
    <comment ref="H1550" authorId="0" shapeId="0" xr:uid="{7E0B2263-460A-2341-89C4-F3997CA6AD96}">
      <text>
        <r>
          <rPr>
            <sz val="10"/>
            <color rgb="FF000000"/>
            <rFont val="Aptos Narrow"/>
            <scheme val="minor"/>
          </rPr>
          <t>======
ID#AAABjx7qWN8
    (2025-05-21 11:33:27)
0814 chloe:匯款匯入US$10559</t>
        </r>
      </text>
    </comment>
    <comment ref="H1551" authorId="0" shapeId="0" xr:uid="{BAAB9915-7A7B-F644-B2F9-E302B638CC07}">
      <text>
        <r>
          <rPr>
            <sz val="10"/>
            <color rgb="FF000000"/>
            <rFont val="Aptos Narrow"/>
            <scheme val="minor"/>
          </rPr>
          <t>======
ID#AAABjx7qNwg
    (2025-05-21 11:33:23)
0918 chloe:匯款匯入US$1053</t>
        </r>
      </text>
    </comment>
    <comment ref="E1552" authorId="0" shapeId="0" xr:uid="{B2F88937-0760-B941-BD01-B5715F80CF6D}">
      <text>
        <r>
          <rPr>
            <sz val="10"/>
            <color rgb="FF000000"/>
            <rFont val="Aptos Narrow"/>
            <scheme val="minor"/>
          </rPr>
          <t>======
ID#AAABjx7qNFE
    (2025-05-21 11:33:23)
8/30 S/N: LKB0429086, LKB0429107, LKB0439431, LKB0439474, LKB0439481</t>
        </r>
      </text>
    </comment>
    <comment ref="F1552" authorId="0" shapeId="0" xr:uid="{50B07F97-F693-0F4D-A1E5-2CE9AD11C00C}">
      <text>
        <r>
          <rPr>
            <sz val="10"/>
            <color rgb="FF000000"/>
            <rFont val="Aptos Narrow"/>
            <scheme val="minor"/>
          </rPr>
          <t>======
ID#AAABjx7qPl4
    (2025-05-21 11:33:24)
8/9: 數量原4, 改為5</t>
        </r>
      </text>
    </comment>
    <comment ref="H1552" authorId="0" shapeId="0" xr:uid="{D7B47D2B-9496-934D-A8C3-7D4E81B67EB8}">
      <text>
        <r>
          <rPr>
            <sz val="10"/>
            <color rgb="FF000000"/>
            <rFont val="Aptos Narrow"/>
            <scheme val="minor"/>
          </rPr>
          <t>======
ID#AAABjx7qTeo
    (2025-05-21 11:33:26)
0918 chloe:匯款匯入US$1053</t>
        </r>
      </text>
    </comment>
    <comment ref="G1553" authorId="0" shapeId="0" xr:uid="{001D277A-2EB8-C446-81CB-9469B3CD780C}">
      <text>
        <r>
          <rPr>
            <sz val="10"/>
            <color rgb="FF000000"/>
            <rFont val="Aptos Narrow"/>
            <scheme val="minor"/>
          </rPr>
          <t>======
ID#AAABjx7qU8w
    (2025-05-21 11:33:27)
180828 w/ vat 5%</t>
        </r>
      </text>
    </comment>
    <comment ref="H1553" authorId="0" shapeId="0" xr:uid="{F2162610-ECF5-EA4E-B6E6-C9254E9D3682}">
      <text>
        <r>
          <rPr>
            <sz val="10"/>
            <color rgb="FF000000"/>
            <rFont val="Aptos Narrow"/>
            <scheme val="minor"/>
          </rPr>
          <t>======
ID#AAABjx7qV7Q
    (2025-05-21 11:33:27)
0913 chloe:匯款匯入NT15820</t>
        </r>
      </text>
    </comment>
    <comment ref="H1554" authorId="0" shapeId="0" xr:uid="{CCB941A3-54C6-EE47-98BD-0CB92AA0B8BE}">
      <text>
        <r>
          <rPr>
            <sz val="10"/>
            <color rgb="FF000000"/>
            <rFont val="Aptos Narrow"/>
            <scheme val="minor"/>
          </rPr>
          <t>======
ID#AAABjx7qNHY
    (2025-05-21 11:33:23)
1002 chloe:匯款匯入US$17500</t>
        </r>
      </text>
    </comment>
    <comment ref="H1555" authorId="0" shapeId="0" xr:uid="{BEFB21B8-15CC-0644-A301-11B241364A18}">
      <text>
        <r>
          <rPr>
            <sz val="10"/>
            <color rgb="FF000000"/>
            <rFont val="Aptos Narrow"/>
            <scheme val="minor"/>
          </rPr>
          <t>======
ID#AAABjx7qQ2E
    (2025-05-21 11:33:25)
1002 chloe:匯款匯入US$17500</t>
        </r>
      </text>
    </comment>
    <comment ref="H1556" authorId="0" shapeId="0" xr:uid="{E41E58AD-5A24-FB48-8F06-A69FF4619980}">
      <text>
        <r>
          <rPr>
            <sz val="10"/>
            <color rgb="FF000000"/>
            <rFont val="Aptos Narrow"/>
            <scheme val="minor"/>
          </rPr>
          <t>======
ID#AAABjx7qQ5E
    (2025-05-21 11:33:25)
1002 chloe:匯款匯入US$17500</t>
        </r>
      </text>
    </comment>
    <comment ref="H1557" authorId="0" shapeId="0" xr:uid="{920E435A-BB3C-5040-8B43-9D83A56205AE}">
      <text>
        <r>
          <rPr>
            <sz val="10"/>
            <color rgb="FF000000"/>
            <rFont val="Aptos Narrow"/>
            <scheme val="minor"/>
          </rPr>
          <t>======
ID#AAABjx7qVRo
    (2025-05-21 11:33:27)
1002 chloe:匯款匯入US$17500</t>
        </r>
      </text>
    </comment>
    <comment ref="H1558" authorId="0" shapeId="0" xr:uid="{5BE622B2-DEF0-AC4D-806D-408C185496A9}">
      <text>
        <r>
          <rPr>
            <sz val="10"/>
            <color rgb="FF000000"/>
            <rFont val="Aptos Narrow"/>
            <scheme val="minor"/>
          </rPr>
          <t>======
ID#AAABjx7qRDI
    (2025-05-21 11:33:25)
1030 chloe: 匯款匯入US$16,948.00</t>
        </r>
      </text>
    </comment>
    <comment ref="H1559" authorId="0" shapeId="0" xr:uid="{F3B704B7-2F4F-2A41-9DD9-323E3D6EF2F4}">
      <text>
        <r>
          <rPr>
            <sz val="10"/>
            <color rgb="FF000000"/>
            <rFont val="Aptos Narrow"/>
            <scheme val="minor"/>
          </rPr>
          <t>======
ID#AAABj82dpIg
    (2025-05-21 11:33:23)
1030 chloe: 匯款匯入US$16,948.00</t>
        </r>
      </text>
    </comment>
    <comment ref="H1560" authorId="0" shapeId="0" xr:uid="{BE1B9AC7-F8B1-7848-AAC2-6841B889772E}">
      <text>
        <r>
          <rPr>
            <sz val="10"/>
            <color rgb="FF000000"/>
            <rFont val="Aptos Narrow"/>
            <scheme val="minor"/>
          </rPr>
          <t>======
ID#AAABjx7qR4c
    (2025-05-21 11:33:25)
1030 chloe: 匯款匯入US$16,948.00</t>
        </r>
      </text>
    </comment>
    <comment ref="H1561" authorId="0" shapeId="0" xr:uid="{1DDD802C-C06B-394E-96AD-DEEC7BE6E09C}">
      <text>
        <r>
          <rPr>
            <sz val="10"/>
            <color rgb="FF000000"/>
            <rFont val="Aptos Narrow"/>
            <scheme val="minor"/>
          </rPr>
          <t>======
ID#AAABjx7qWYk
    (2025-05-21 11:33:27)
1030 chloe: 匯款匯入US$16,948.00</t>
        </r>
      </text>
    </comment>
    <comment ref="H1562" authorId="0" shapeId="0" xr:uid="{266F3D57-38DD-AF4F-91AB-CB1F9F73A0C5}">
      <text>
        <r>
          <rPr>
            <sz val="10"/>
            <color rgb="FF000000"/>
            <rFont val="Aptos Narrow"/>
            <scheme val="minor"/>
          </rPr>
          <t>======
ID#AAABjx7qPWw
    (2025-05-21 11:33:24)
1030 chloe: 匯款匯入US$16,948.00</t>
        </r>
      </text>
    </comment>
    <comment ref="H1563" authorId="0" shapeId="0" xr:uid="{27E71FD0-E230-464B-B3AE-1C34C9212A04}">
      <text>
        <r>
          <rPr>
            <sz val="10"/>
            <color rgb="FF000000"/>
            <rFont val="Aptos Narrow"/>
            <scheme val="minor"/>
          </rPr>
          <t>======
ID#AAABjx7qV5k
    (2025-05-21 11:33:27)
1030 chloe: 匯款匯入US$16,948.00</t>
        </r>
      </text>
    </comment>
    <comment ref="H1565" authorId="0" shapeId="0" xr:uid="{5A587C80-098A-324E-B767-629AFFCE26FC}">
      <text>
        <r>
          <rPr>
            <sz val="10"/>
            <color rgb="FF000000"/>
            <rFont val="Aptos Narrow"/>
            <scheme val="minor"/>
          </rPr>
          <t>======
ID#AAABjx7qO_k
    (2025-05-21 11:33:24)
0822 chloe:已付款4601</t>
        </r>
      </text>
    </comment>
    <comment ref="H1566" authorId="0" shapeId="0" xr:uid="{AEFFB1F0-5065-0440-8D4C-4769CA6E501B}">
      <text>
        <r>
          <rPr>
            <sz val="10"/>
            <color rgb="FF000000"/>
            <rFont val="Aptos Narrow"/>
            <scheme val="minor"/>
          </rPr>
          <t>======
ID#AAABjx7qTNE
    (2025-05-21 11:33:26)
0822 chloe:已付款4601</t>
        </r>
      </text>
    </comment>
    <comment ref="H1567" authorId="0" shapeId="0" xr:uid="{5FB7E5AD-A163-364A-82DB-725BC2FD5C39}">
      <text>
        <r>
          <rPr>
            <sz val="10"/>
            <color rgb="FF000000"/>
            <rFont val="Aptos Narrow"/>
            <scheme val="minor"/>
          </rPr>
          <t>======
ID#AAABjx7qU4U
    (2025-05-21 11:33:26)
0824 chloe:匯款匯入US1699</t>
        </r>
      </text>
    </comment>
    <comment ref="J1567" authorId="0" shapeId="0" xr:uid="{F3F27D94-CE33-6845-91CA-EF8A332EED72}">
      <text>
        <r>
          <rPr>
            <sz val="10"/>
            <color rgb="FF000000"/>
            <rFont val="Aptos Narrow"/>
            <scheme val="minor"/>
          </rPr>
          <t>======
ID#AAABjx7qWMM
    (2025-05-21 11:33:27)
Lissa: 跟PI-20180806E一起出貨</t>
        </r>
      </text>
    </comment>
    <comment ref="H1568" authorId="0" shapeId="0" xr:uid="{EC1BD74D-97A1-014F-9B81-FDC2FA916D81}">
      <text>
        <r>
          <rPr>
            <sz val="10"/>
            <color rgb="FF000000"/>
            <rFont val="Aptos Narrow"/>
            <scheme val="minor"/>
          </rPr>
          <t>======
ID#AAABjx7qVsI
    (2025-05-21 11:33:27)
1112 chloe:匯款匯入US$8,753</t>
        </r>
      </text>
    </comment>
    <comment ref="H1569" authorId="0" shapeId="0" xr:uid="{E47AA750-811D-2649-8E28-65FD3E5CB61E}">
      <text>
        <r>
          <rPr>
            <sz val="10"/>
            <color rgb="FF000000"/>
            <rFont val="Aptos Narrow"/>
            <scheme val="minor"/>
          </rPr>
          <t>======
ID#AAABjx7qRFo
    (2025-05-21 11:33:25)
1112 chloe:匯款匯入US$8,753</t>
        </r>
      </text>
    </comment>
    <comment ref="E1570" authorId="0" shapeId="0" xr:uid="{CF2AF1B1-7A32-6F44-9F42-4A0C466F8E19}">
      <text>
        <r>
          <rPr>
            <sz val="10"/>
            <color rgb="FF000000"/>
            <rFont val="Aptos Narrow"/>
            <scheme val="minor"/>
          </rPr>
          <t>======
ID#AAABjx7qSwU
    (2025-05-21 11:33:26)
0828 chloe:下次下單將調漲成本單價US$96</t>
        </r>
      </text>
    </comment>
    <comment ref="H1570" authorId="0" shapeId="0" xr:uid="{07A8B00D-E4DC-E945-883D-2650F2277A67}">
      <text>
        <r>
          <rPr>
            <sz val="10"/>
            <color rgb="FF000000"/>
            <rFont val="Aptos Narrow"/>
            <scheme val="minor"/>
          </rPr>
          <t>======
ID#AAABjx7qSEs
    (2025-05-21 11:33:26)
1030 chloe: 匯款匯入US$16,948.00</t>
        </r>
      </text>
    </comment>
    <comment ref="H1571" authorId="0" shapeId="0" xr:uid="{8A1B768C-DB57-ED4A-AFF9-0039A74B7508}">
      <text>
        <r>
          <rPr>
            <sz val="10"/>
            <color rgb="FF000000"/>
            <rFont val="Aptos Narrow"/>
            <scheme val="minor"/>
          </rPr>
          <t>======
ID#AAABjx7qRAI
    (2025-05-21 11:33:25)
1030 chloe: 匯款匯入US$16,948.00</t>
        </r>
      </text>
    </comment>
    <comment ref="H1572" authorId="0" shapeId="0" xr:uid="{0B38D11B-AF54-574D-8706-BECD0F5AEEA5}">
      <text>
        <r>
          <rPr>
            <sz val="10"/>
            <color rgb="FF000000"/>
            <rFont val="Aptos Narrow"/>
            <scheme val="minor"/>
          </rPr>
          <t>======
ID#AAABjx7qS_U
    (2025-05-21 11:33:26)
1030 chloe: 匯款匯入US$16,948.00</t>
        </r>
      </text>
    </comment>
    <comment ref="H1573" authorId="0" shapeId="0" xr:uid="{F9B041B7-2B0E-2F49-B2E3-D35E4CDB8D11}">
      <text>
        <r>
          <rPr>
            <sz val="10"/>
            <color rgb="FF000000"/>
            <rFont val="Aptos Narrow"/>
            <scheme val="minor"/>
          </rPr>
          <t>======
ID#AAABjx7qP2U
    (2025-05-21 11:33:24)
1030 chloe: 匯款匯入US$16,948.00</t>
        </r>
      </text>
    </comment>
    <comment ref="H1574" authorId="0" shapeId="0" xr:uid="{3AD638FF-C31C-E944-AA80-3044ADFE81AB}">
      <text>
        <r>
          <rPr>
            <sz val="10"/>
            <color rgb="FF000000"/>
            <rFont val="Aptos Narrow"/>
            <scheme val="minor"/>
          </rPr>
          <t>======
ID#AAABjx7qO4k
    (2025-05-21 11:33:24)
1030 chloe: 匯款匯入US$16,948.00</t>
        </r>
      </text>
    </comment>
    <comment ref="H1575" authorId="0" shapeId="0" xr:uid="{115065D6-F9CE-7B4E-918D-B7FBCD09B572}">
      <text>
        <r>
          <rPr>
            <sz val="10"/>
            <color rgb="FF000000"/>
            <rFont val="Aptos Narrow"/>
            <scheme val="minor"/>
          </rPr>
          <t>======
ID#AAABjx7qSBo
    (2025-05-21 11:33:25)
1030 chloe: 匯款匯入US$16,948.00</t>
        </r>
      </text>
    </comment>
    <comment ref="H1576" authorId="0" shapeId="0" xr:uid="{06D58181-72BF-AB42-B969-94AD27B94F4C}">
      <text>
        <r>
          <rPr>
            <sz val="10"/>
            <color rgb="FF000000"/>
            <rFont val="Aptos Narrow"/>
            <scheme val="minor"/>
          </rPr>
          <t>======
ID#AAABjx7qRtc
    (2025-05-21 11:33:25)
1030 chloe: 匯款匯入US$16,948.00</t>
        </r>
      </text>
    </comment>
    <comment ref="H1577" authorId="0" shapeId="0" xr:uid="{519A6D5B-614E-1E41-BDD7-A3A3F3E6F674}">
      <text>
        <r>
          <rPr>
            <sz val="10"/>
            <color rgb="FF000000"/>
            <rFont val="Aptos Narrow"/>
            <scheme val="minor"/>
          </rPr>
          <t>======
ID#AAABjx7qQ9E
    (2025-05-21 11:33:25)
1030 chloe: 匯款匯入US$16,948.00</t>
        </r>
      </text>
    </comment>
    <comment ref="V1577" authorId="0" shapeId="0" xr:uid="{C91D75AB-AB53-D04B-B890-5227DFF8829E}">
      <text>
        <r>
          <rPr>
            <sz val="10"/>
            <color rgb="FF000000"/>
            <rFont val="Aptos Narrow"/>
            <scheme val="minor"/>
          </rPr>
          <t>======
ID#AAABjx7qSPI
    (2025-05-21 11:33:26)
交易3次</t>
        </r>
      </text>
    </comment>
    <comment ref="H1578" authorId="0" shapeId="0" xr:uid="{63A5BEFA-3E55-7E4F-966A-E747AC23D9CA}">
      <text>
        <r>
          <rPr>
            <sz val="10"/>
            <color rgb="FF000000"/>
            <rFont val="Aptos Narrow"/>
            <scheme val="minor"/>
          </rPr>
          <t>======
ID#AAABjx7qQR8
    (2025-05-21 11:33:25)
1120 chloe:匯款匯入US$6410</t>
        </r>
      </text>
    </comment>
    <comment ref="H1579" authorId="0" shapeId="0" xr:uid="{2AB1E5CD-8C8C-8D43-8F97-83A4F40498A1}">
      <text>
        <r>
          <rPr>
            <sz val="10"/>
            <color rgb="FF000000"/>
            <rFont val="Aptos Narrow"/>
            <scheme val="minor"/>
          </rPr>
          <t>======
ID#AAABjx7qU1k
    (2025-05-21 11:33:26)
1120 chloe:匯款匯入US$6410</t>
        </r>
      </text>
    </comment>
    <comment ref="H1580" authorId="0" shapeId="0" xr:uid="{490C29E3-BC32-1B44-ABC7-7EC555F159E8}">
      <text>
        <r>
          <rPr>
            <sz val="10"/>
            <color rgb="FF000000"/>
            <rFont val="Aptos Narrow"/>
            <scheme val="minor"/>
          </rPr>
          <t>======
ID#AAABjx7qNbU
    (2025-05-21 11:33:23)
1120 chloe:匯款匯入US$6410</t>
        </r>
      </text>
    </comment>
    <comment ref="H1581" authorId="0" shapeId="0" xr:uid="{8F2A15F8-602C-A546-BF8E-E09E608A3307}">
      <text>
        <r>
          <rPr>
            <sz val="10"/>
            <color rgb="FF000000"/>
            <rFont val="Aptos Narrow"/>
            <scheme val="minor"/>
          </rPr>
          <t>======
ID#AAABjx7qS40
    (2025-05-21 11:33:26)
1120 chloe:匯款匯入US$6410</t>
        </r>
      </text>
    </comment>
    <comment ref="H1582" authorId="0" shapeId="0" xr:uid="{637354B7-A662-3E4C-8262-2D85F0A40370}">
      <text>
        <r>
          <rPr>
            <sz val="10"/>
            <color rgb="FF000000"/>
            <rFont val="Aptos Narrow"/>
            <scheme val="minor"/>
          </rPr>
          <t>======
ID#AAABjx7qSmc
    (2025-05-21 11:33:26)
1120 chloe:匯款匯入US$6410</t>
        </r>
      </text>
    </comment>
    <comment ref="H1583" authorId="0" shapeId="0" xr:uid="{56EE20EA-6906-3A4A-9E37-5851C991BA3B}">
      <text>
        <r>
          <rPr>
            <sz val="10"/>
            <color rgb="FF000000"/>
            <rFont val="Aptos Narrow"/>
            <scheme val="minor"/>
          </rPr>
          <t>======
ID#AAABjx7qPEE
    (2025-05-21 11:33:24)
0917 chloe:匯款匯入US$1068</t>
        </r>
      </text>
    </comment>
    <comment ref="H1584" authorId="0" shapeId="0" xr:uid="{FA13AE5F-5D54-0E4F-BE2E-E48070B9E228}">
      <text>
        <r>
          <rPr>
            <sz val="10"/>
            <color rgb="FF000000"/>
            <rFont val="Aptos Narrow"/>
            <scheme val="minor"/>
          </rPr>
          <t>======
ID#AAABjx7qMxA
    (2025-05-21 11:33:23)
0917 chloe:匯款匯入US$1068</t>
        </r>
      </text>
    </comment>
    <comment ref="H1585" authorId="0" shapeId="0" xr:uid="{1725F236-8DC1-A044-9207-2509537A9CCD}">
      <text>
        <r>
          <rPr>
            <sz val="10"/>
            <color rgb="FF000000"/>
            <rFont val="Aptos Narrow"/>
            <scheme val="minor"/>
          </rPr>
          <t>======
ID#AAABjx7qSno
    (2025-05-21 11:33:26)
0830 chloe: 匯款匯入US$4744，含COC US$25</t>
        </r>
      </text>
    </comment>
    <comment ref="E1586" authorId="0" shapeId="0" xr:uid="{B4C96A3B-FF29-8846-9545-D51B8B7B7BFD}">
      <text>
        <r>
          <rPr>
            <sz val="10"/>
            <color rgb="FF000000"/>
            <rFont val="Aptos Narrow"/>
            <scheme val="minor"/>
          </rPr>
          <t>======
ID#AAABjx7qOYU
    (2025-05-21 11:33:24)
0905 chloe:含Audio Cable</t>
        </r>
      </text>
    </comment>
    <comment ref="H1586" authorId="0" shapeId="0" xr:uid="{EC1D440D-15AF-114D-8ABF-8FBEA3B3AD0D}">
      <text>
        <r>
          <rPr>
            <sz val="10"/>
            <color rgb="FF000000"/>
            <rFont val="Aptos Narrow"/>
            <scheme val="minor"/>
          </rPr>
          <t>======
ID#AAABjx7qVTk
    (2025-05-21 11:33:27)
0828 chloe:匯入US$2767，因匯款成舊戶名，銀行不予放款，待客戶修改
0904 chloe:已入款</t>
        </r>
      </text>
    </comment>
    <comment ref="H1587" authorId="0" shapeId="0" xr:uid="{FE12EB6B-1C90-AE44-B66F-02785C2F59B2}">
      <text>
        <r>
          <rPr>
            <sz val="10"/>
            <color rgb="FF000000"/>
            <rFont val="Aptos Narrow"/>
            <scheme val="minor"/>
          </rPr>
          <t>======
ID#AAABjx7qVLY
    (2025-05-21 11:33:27)
0828 chloe:匯入US$2767，因匯款成舊戶名，銀行不予放款，待客戶修改
0904 chloe:已入款</t>
        </r>
      </text>
    </comment>
    <comment ref="H1588" authorId="0" shapeId="0" xr:uid="{1B771B4D-3B3A-A742-9A6F-461A6985AB04}">
      <text>
        <r>
          <rPr>
            <sz val="10"/>
            <color rgb="FF000000"/>
            <rFont val="Aptos Narrow"/>
            <scheme val="minor"/>
          </rPr>
          <t>======
ID#AAABjx7qSic
    (2025-05-21 11:33:26)
0828 chloe:匯入US$2767，因匯款成舊戶名，銀行不予放款，待客戶修改
0904 chloe:已入款</t>
        </r>
      </text>
    </comment>
    <comment ref="E1589" authorId="0" shapeId="0" xr:uid="{7CDE1FDE-C500-5143-B3A3-EFF12FCEF373}">
      <text>
        <r>
          <rPr>
            <sz val="10"/>
            <color rgb="FF000000"/>
            <rFont val="Aptos Narrow"/>
            <scheme val="minor"/>
          </rPr>
          <t>======
ID#AAABjx7qTcM
    (2025-05-21 11:33:26)
180828 Karen: w/EU adapter</t>
        </r>
      </text>
    </comment>
    <comment ref="H1589" authorId="0" shapeId="0" xr:uid="{BA976D2D-5D67-7240-A208-E5BF1A06B2EC}">
      <text>
        <r>
          <rPr>
            <sz val="10"/>
            <color rgb="FF000000"/>
            <rFont val="Aptos Narrow"/>
            <scheme val="minor"/>
          </rPr>
          <t>======
ID#AAABjx7qSe4
    (2025-05-21 11:33:26)
0925  chloe:匯款匯入US$1541</t>
        </r>
      </text>
    </comment>
    <comment ref="E1590" authorId="0" shapeId="0" xr:uid="{F0BDF289-5D68-F74E-8DEF-63AF1AAE55D4}">
      <text>
        <r>
          <rPr>
            <sz val="10"/>
            <color rgb="FF000000"/>
            <rFont val="Aptos Narrow"/>
            <scheme val="minor"/>
          </rPr>
          <t>======
ID#AAABjx7qV3k
    (2025-05-21 11:33:27)
180828 Karen: w/EU adapter</t>
        </r>
      </text>
    </comment>
    <comment ref="G1591" authorId="0" shapeId="0" xr:uid="{FBF95AD9-6A59-3B46-B93F-B68D5243DC58}">
      <text>
        <r>
          <rPr>
            <sz val="10"/>
            <color rgb="FF000000"/>
            <rFont val="Aptos Narrow"/>
            <scheme val="minor"/>
          </rPr>
          <t>======
ID#AAABjx7qU_I
    (2025-05-21 11:33:27)
180828 w/ vat 5%</t>
        </r>
      </text>
    </comment>
    <comment ref="H1591" authorId="0" shapeId="0" xr:uid="{8C2E3DEB-A675-4F4B-ACC3-641DD1055F1C}">
      <text>
        <r>
          <rPr>
            <sz val="10"/>
            <color rgb="FF000000"/>
            <rFont val="Aptos Narrow"/>
            <scheme val="minor"/>
          </rPr>
          <t>======
ID#AAABjx7qTZI
    (2025-05-21 11:33:26)
0913 chloe:匯款匯入NT15820</t>
        </r>
      </text>
    </comment>
    <comment ref="M1591" authorId="0" shapeId="0" xr:uid="{DBED8A9F-76A9-7B40-9C96-51736EC02DEB}">
      <text>
        <r>
          <rPr>
            <sz val="10"/>
            <color rgb="FF000000"/>
            <rFont val="Aptos Narrow"/>
            <scheme val="minor"/>
          </rPr>
          <t>======
ID#AAABjx7qQoc
    (2025-05-21 11:33:25)
180830 待通知後再出貨
180903 確定9/5出貨</t>
        </r>
      </text>
    </comment>
    <comment ref="E1592" authorId="0" shapeId="0" xr:uid="{15D195EE-315A-EE41-9C9E-88F83F5E1399}">
      <text>
        <r>
          <rPr>
            <sz val="10"/>
            <color rgb="FF000000"/>
            <rFont val="Aptos Narrow"/>
            <scheme val="minor"/>
          </rPr>
          <t>======
ID#AAABjx7qVkc
    (2025-05-21 11:33:27)
8/31Cindy:發票匯率@30*185=5550, 5550*1.05=5828</t>
        </r>
      </text>
    </comment>
    <comment ref="H1592" authorId="0" shapeId="0" xr:uid="{1D724034-2083-5B4D-A4BB-5B5264CC3CB0}">
      <text>
        <r>
          <rPr>
            <sz val="10"/>
            <color rgb="FF000000"/>
            <rFont val="Aptos Narrow"/>
            <scheme val="minor"/>
          </rPr>
          <t>======
ID#AAABjx7qS4Q
    (2025-05-21 11:33:26)
0918 chloe:匯款匯入NT5,798</t>
        </r>
      </text>
    </comment>
    <comment ref="H1593" authorId="0" shapeId="0" xr:uid="{7880DB6A-17B9-AF48-8B6E-E136469B4A04}">
      <text>
        <r>
          <rPr>
            <sz val="10"/>
            <color rgb="FF000000"/>
            <rFont val="Aptos Narrow"/>
            <scheme val="minor"/>
          </rPr>
          <t>======
ID#AAABjx7qSxk
    (2025-05-21 11:33:26)
0928 chloe:匯款匯入US$13232</t>
        </r>
      </text>
    </comment>
    <comment ref="H1597" authorId="0" shapeId="0" xr:uid="{C99DBD81-725B-F942-815D-61258D8F355E}">
      <text>
        <r>
          <rPr>
            <sz val="10"/>
            <color rgb="FF000000"/>
            <rFont val="Aptos Narrow"/>
            <scheme val="minor"/>
          </rPr>
          <t>======
ID#AAABjx7qWHs
    (2025-05-21 11:33:27)
1031 chloe:匯款匯入US$687</t>
        </r>
      </text>
    </comment>
    <comment ref="H1598" authorId="0" shapeId="0" xr:uid="{7B80158D-5FD9-DA46-83F3-4A7F6BB8C9E9}">
      <text>
        <r>
          <rPr>
            <sz val="10"/>
            <color rgb="FF000000"/>
            <rFont val="Aptos Narrow"/>
            <scheme val="minor"/>
          </rPr>
          <t>======
ID#AAABjx7qMq4
    (2025-05-21 11:33:23)
1031 chloe:匯款匯入US$687</t>
        </r>
      </text>
    </comment>
    <comment ref="H1599" authorId="0" shapeId="0" xr:uid="{DBAA26C4-371A-E545-994D-AF1BA330DB43}">
      <text>
        <r>
          <rPr>
            <sz val="10"/>
            <color rgb="FF000000"/>
            <rFont val="Aptos Narrow"/>
            <scheme val="minor"/>
          </rPr>
          <t>======
ID#AAABjx7qQKg
    (2025-05-21 11:33:25)
1031 chloe:匯款匯入US$687</t>
        </r>
      </text>
    </comment>
    <comment ref="H1600" authorId="0" shapeId="0" xr:uid="{588F3922-5669-F649-A386-833B2611CCDC}">
      <text>
        <r>
          <rPr>
            <sz val="10"/>
            <color rgb="FF000000"/>
            <rFont val="Aptos Narrow"/>
            <scheme val="minor"/>
          </rPr>
          <t>======
ID#AAABjx7qO_M
    (2025-05-21 11:33:24)
1031 chloe:匯款匯入US$687</t>
        </r>
      </text>
    </comment>
    <comment ref="H1601" authorId="0" shapeId="0" xr:uid="{C42FC4A4-63E1-FE49-869F-7D75733B440B}">
      <text>
        <r>
          <rPr>
            <sz val="10"/>
            <color rgb="FF000000"/>
            <rFont val="Aptos Narrow"/>
            <scheme val="minor"/>
          </rPr>
          <t>======
ID#AAABjx7qUyE
    (2025-05-21 11:33:26)
1031 chloe:匯款匯入US$687</t>
        </r>
      </text>
    </comment>
    <comment ref="E1602" authorId="0" shapeId="0" xr:uid="{2DB8CD1F-5C06-664C-BA01-4C963A54E44C}">
      <text>
        <r>
          <rPr>
            <sz val="10"/>
            <color rgb="FF000000"/>
            <rFont val="Aptos Narrow"/>
            <scheme val="minor"/>
          </rPr>
          <t>======
ID#AAABjx7qTT0
    (2025-05-21 11:33:26)
戎克料號:02-BE-00059</t>
        </r>
      </text>
    </comment>
    <comment ref="H1602" authorId="0" shapeId="0" xr:uid="{533A1EC3-766B-3745-8511-CD6C9CC1C3AA}">
      <text>
        <r>
          <rPr>
            <sz val="10"/>
            <color rgb="FF000000"/>
            <rFont val="Aptos Narrow"/>
            <scheme val="minor"/>
          </rPr>
          <t>======
ID#AAABjx7qM8Q
    (2025-05-21 11:33:23)
1031 chloe:匯款匯入US$687</t>
        </r>
      </text>
    </comment>
    <comment ref="M1602" authorId="0" shapeId="0" xr:uid="{AF86545F-76B7-3D4C-8163-BF6D1A3C48EF}">
      <text>
        <r>
          <rPr>
            <sz val="10"/>
            <color rgb="FF000000"/>
            <rFont val="Aptos Narrow"/>
            <scheme val="minor"/>
          </rPr>
          <t>======
ID#AAABjx7qOXA
    (2025-05-21 11:33:24)
0907 chloe:交期Pull in 中</t>
        </r>
      </text>
    </comment>
    <comment ref="E1603" authorId="0" shapeId="0" xr:uid="{020F572B-58BF-F14D-8936-DCB94D2CFD4D}">
      <text>
        <r>
          <rPr>
            <sz val="10"/>
            <color rgb="FF000000"/>
            <rFont val="Aptos Narrow"/>
            <scheme val="minor"/>
          </rPr>
          <t>======
ID#AAABjx7qVEo
    (2025-05-21 11:33:27)
戎克料號:02-BE-00061</t>
        </r>
      </text>
    </comment>
    <comment ref="H1603" authorId="0" shapeId="0" xr:uid="{A2F79971-1AA9-7940-AADF-A83E20AF2899}">
      <text>
        <r>
          <rPr>
            <sz val="10"/>
            <color rgb="FF000000"/>
            <rFont val="Aptos Narrow"/>
            <scheme val="minor"/>
          </rPr>
          <t>======
ID#AAABjx7qPJk
    (2025-05-21 11:33:24)
1031 chloe:匯款匯入US$687</t>
        </r>
      </text>
    </comment>
    <comment ref="M1603" authorId="0" shapeId="0" xr:uid="{0C01B6B2-E228-E540-841B-1765D9356322}">
      <text>
        <r>
          <rPr>
            <sz val="10"/>
            <color rgb="FF000000"/>
            <rFont val="Aptos Narrow"/>
            <scheme val="minor"/>
          </rPr>
          <t>======
ID#AAABjx7qMz4
    (2025-05-21 11:33:23)
0907 chloe:交期Pull in 中</t>
        </r>
      </text>
    </comment>
    <comment ref="E1604" authorId="0" shapeId="0" xr:uid="{12E13E9C-D49C-A647-9ABA-AF02F8082A41}">
      <text>
        <r>
          <rPr>
            <sz val="10"/>
            <color rgb="FF000000"/>
            <rFont val="Aptos Narrow"/>
            <scheme val="minor"/>
          </rPr>
          <t>======
ID#AAABjx7qPMs
    (2025-05-21 11:33:24)
戎克料號:02-BE-00060</t>
        </r>
      </text>
    </comment>
    <comment ref="H1604" authorId="0" shapeId="0" xr:uid="{783BE953-F5D3-2F47-B44B-614A5010A86B}">
      <text>
        <r>
          <rPr>
            <sz val="10"/>
            <color rgb="FF000000"/>
            <rFont val="Aptos Narrow"/>
            <scheme val="minor"/>
          </rPr>
          <t>======
ID#AAABjx7qPzY
    (2025-05-21 11:33:24)
1031 chloe:匯款匯入US$687</t>
        </r>
      </text>
    </comment>
    <comment ref="M1604" authorId="0" shapeId="0" xr:uid="{9C755384-875C-D845-9B43-8932FC3DD1EF}">
      <text>
        <r>
          <rPr>
            <sz val="10"/>
            <color rgb="FF000000"/>
            <rFont val="Aptos Narrow"/>
            <scheme val="minor"/>
          </rPr>
          <t>======
ID#AAABjx7qPLc
    (2025-05-21 11:33:24)
0907 chloe:交期Pull in 中</t>
        </r>
      </text>
    </comment>
    <comment ref="G1605" authorId="0" shapeId="0" xr:uid="{944611D9-5E14-C446-A79E-6D3E9D58A291}">
      <text>
        <r>
          <rPr>
            <sz val="10"/>
            <color rgb="FF000000"/>
            <rFont val="Aptos Narrow"/>
            <scheme val="minor"/>
          </rPr>
          <t>======
ID#AAABjx7qOTs
    (2025-05-21 11:33:24)
180831 w/ 5%VAT</t>
        </r>
      </text>
    </comment>
    <comment ref="H1605" authorId="0" shapeId="0" xr:uid="{2F71EAD6-CA69-CE4D-A702-24DCA1608EBD}">
      <text>
        <r>
          <rPr>
            <sz val="10"/>
            <color rgb="FF000000"/>
            <rFont val="Aptos Narrow"/>
            <scheme val="minor"/>
          </rPr>
          <t>======
ID#AAABjx7qN8I
    (2025-05-21 11:33:23)
1101 chloe:匯款匯入US$3,773.52</t>
        </r>
      </text>
    </comment>
    <comment ref="G1606" authorId="0" shapeId="0" xr:uid="{BA6E8958-8D5C-C14B-B904-F9B7BEBD1F63}">
      <text>
        <r>
          <rPr>
            <sz val="10"/>
            <color rgb="FF000000"/>
            <rFont val="Aptos Narrow"/>
            <scheme val="minor"/>
          </rPr>
          <t>======
ID#AAABjx7qOGQ
20180903 San    (2025-05-21 11:33:24)
開發票時要注意
原訂單, 單價 NT$800, 非美金US27.3</t>
        </r>
      </text>
    </comment>
    <comment ref="H1606" authorId="0" shapeId="0" xr:uid="{2515B194-DD13-544A-A3C6-45FE23B4EB2B}">
      <text>
        <r>
          <rPr>
            <sz val="10"/>
            <color rgb="FF000000"/>
            <rFont val="Aptos Narrow"/>
            <scheme val="minor"/>
          </rPr>
          <t>======
ID#AAABjx7qOvs
    (2025-05-21 11:33:24)
1031 chloe: 匯款匯入NT6719</t>
        </r>
      </text>
    </comment>
    <comment ref="K1606" authorId="0" shapeId="0" xr:uid="{3E31E2A4-4D86-3E45-80BE-315A26567C07}">
      <text>
        <r>
          <rPr>
            <sz val="10"/>
            <color rgb="FF000000"/>
            <rFont val="Aptos Narrow"/>
            <scheme val="minor"/>
          </rPr>
          <t>======
ID#AAABjx7qOQo
0904 San    (2025-05-21 11:33:24)
庫存7 + 郁岑1. 先給閎亮. 
之後東西來了再補郁岑</t>
        </r>
      </text>
    </comment>
    <comment ref="H1607" authorId="0" shapeId="0" xr:uid="{86EFA2DF-4F22-A740-BC16-199BD472E5C4}">
      <text>
        <r>
          <rPr>
            <sz val="10"/>
            <color rgb="FF000000"/>
            <rFont val="Aptos Narrow"/>
            <scheme val="minor"/>
          </rPr>
          <t>======
ID#AAABjx7qVQM
    (2025-05-21 11:33:27)
1120 chloe:匯款匯入US$6410</t>
        </r>
      </text>
    </comment>
    <comment ref="H1608" authorId="0" shapeId="0" xr:uid="{04FC8B29-A100-9B4D-B398-DA1405D70DB4}">
      <text>
        <r>
          <rPr>
            <sz val="10"/>
            <color rgb="FF000000"/>
            <rFont val="Aptos Narrow"/>
            <scheme val="minor"/>
          </rPr>
          <t>======
ID#AAABjx7qSxs
    (2025-05-21 11:33:26)
1120 chloe:匯款匯入US$6410</t>
        </r>
      </text>
    </comment>
    <comment ref="H1609" authorId="0" shapeId="0" xr:uid="{316443C1-E324-EA4F-957D-F201AB8B61EA}">
      <text>
        <r>
          <rPr>
            <sz val="10"/>
            <color rgb="FF000000"/>
            <rFont val="Aptos Narrow"/>
            <scheme val="minor"/>
          </rPr>
          <t>======
ID#AAABjx7qWDk
    (2025-05-21 11:33:27)
1120 chloe:匯款匯入US$6410</t>
        </r>
      </text>
    </comment>
    <comment ref="H1610" authorId="0" shapeId="0" xr:uid="{109956F5-5DB1-3B49-A006-A97BFED88230}">
      <text>
        <r>
          <rPr>
            <sz val="10"/>
            <color rgb="FF000000"/>
            <rFont val="Aptos Narrow"/>
            <scheme val="minor"/>
          </rPr>
          <t>======
ID#AAABjx7qUuw
    (2025-05-21 11:33:26)
1030 chloe: 匯款匯入US$16,948.00
※此Cable 只收取 5 PCS 7 PCS金額還短缺 5PCS金額
※已收取 5 PCS金額
1120 chloe:匯款匯入US$6410</t>
        </r>
      </text>
    </comment>
    <comment ref="K1610" authorId="0" shapeId="0" xr:uid="{2234D44C-41A2-4740-844A-DB19E55B5928}">
      <text>
        <r>
          <rPr>
            <sz val="10"/>
            <color rgb="FF000000"/>
            <rFont val="Aptos Narrow"/>
            <scheme val="minor"/>
          </rPr>
          <t>======
ID#AAABjx7qNXk
    (2025-05-21 11:33:23)
partial 9/13 ship 5 + 9/25 ship 7</t>
        </r>
      </text>
    </comment>
    <comment ref="U1610" authorId="0" shapeId="0" xr:uid="{276085C2-221E-3349-A26A-573C2E0B4CF1}">
      <text>
        <r>
          <rPr>
            <sz val="10"/>
            <color rgb="FF000000"/>
            <rFont val="Aptos Narrow"/>
            <scheme val="minor"/>
          </rPr>
          <t>======
ID#AAABjx7qPkg
    (2025-05-21 11:33:24)
13條
出貨 12 PCS</t>
        </r>
      </text>
    </comment>
    <comment ref="AC1610" authorId="0" shapeId="0" xr:uid="{2D332B3C-FFED-6D47-8810-33D185FFAB02}">
      <text>
        <r>
          <rPr>
            <sz val="10"/>
            <color rgb="FF000000"/>
            <rFont val="Aptos Narrow"/>
            <scheme val="minor"/>
          </rPr>
          <t>======
ID#AAABjx7qReU
    (2025-05-21 11:33:25)
我司運費</t>
        </r>
      </text>
    </comment>
    <comment ref="E1611" authorId="0" shapeId="0" xr:uid="{634DE80D-169E-854B-BFDE-CD13B7408B33}">
      <text>
        <r>
          <rPr>
            <sz val="10"/>
            <color rgb="FF000000"/>
            <rFont val="Aptos Narrow"/>
            <scheme val="minor"/>
          </rPr>
          <t>======
ID#AAABjx7qRdM
    (2025-05-21 11:33:25)
下單請用FPM2150GR3B1601E-T
出貨文件上秀:
FPM-2150G-R3BE
(FPM2150GRB1601E-T)</t>
        </r>
      </text>
    </comment>
    <comment ref="H1611" authorId="0" shapeId="0" xr:uid="{5E19C645-D436-D948-B781-44C44951D669}">
      <text>
        <r>
          <rPr>
            <sz val="10"/>
            <color rgb="FF000000"/>
            <rFont val="Aptos Narrow"/>
            <scheme val="minor"/>
          </rPr>
          <t>======
ID#AAABjx7qQ4o
    (2025-05-21 11:33:25)
1112 chloe:匯款匯入US$8,753</t>
        </r>
      </text>
    </comment>
    <comment ref="H1612" authorId="0" shapeId="0" xr:uid="{A65806F6-C39A-504C-BC6C-E987BD7D4534}">
      <text>
        <r>
          <rPr>
            <sz val="10"/>
            <color rgb="FF000000"/>
            <rFont val="Aptos Narrow"/>
            <scheme val="minor"/>
          </rPr>
          <t>======
ID#AAABjx7qPqs
    (2025-05-21 11:33:24)
1030 chloe: 匯款匯入US$16,948.00</t>
        </r>
      </text>
    </comment>
    <comment ref="H1613" authorId="0" shapeId="0" xr:uid="{FD443CAC-DC43-B540-BB8A-F30313E4477A}">
      <text>
        <r>
          <rPr>
            <sz val="10"/>
            <color rgb="FF000000"/>
            <rFont val="Aptos Narrow"/>
            <scheme val="minor"/>
          </rPr>
          <t>======
ID#AAABjx7qQrg
    (2025-05-21 11:33:25)
1030 chloe: 匯款匯入US$16,948.00</t>
        </r>
      </text>
    </comment>
    <comment ref="H1614" authorId="0" shapeId="0" xr:uid="{C128283C-1EA7-C846-ADFB-49095D963048}">
      <text>
        <r>
          <rPr>
            <sz val="10"/>
            <color rgb="FF000000"/>
            <rFont val="Aptos Narrow"/>
            <scheme val="minor"/>
          </rPr>
          <t>======
ID#AAABjx7qOYI
    (2025-05-21 11:33:24)
1030 chloe: 匯款匯入US$16,948.00</t>
        </r>
      </text>
    </comment>
    <comment ref="M1614" authorId="0" shapeId="0" xr:uid="{B6BB3724-9361-294D-899E-41BFA336555E}">
      <text>
        <r>
          <rPr>
            <sz val="10"/>
            <color rgb="FF000000"/>
            <rFont val="Aptos Narrow"/>
            <scheme val="minor"/>
          </rPr>
          <t>======
ID#AAABjx7qSPo
    (2025-05-21 11:33:26)
9/6便利袋寄出</t>
        </r>
      </text>
    </comment>
    <comment ref="E1615" authorId="0" shapeId="0" xr:uid="{4758FBCA-0B9F-064F-95D6-93B450D1B6A8}">
      <text>
        <r>
          <rPr>
            <sz val="10"/>
            <color rgb="FF000000"/>
            <rFont val="Aptos Narrow"/>
            <scheme val="minor"/>
          </rPr>
          <t>======
ID#AAABjx7qTDs
20180714 San    (2025-05-21 11:33:26)
上海海關有認證型號的問題, 故不加 719 特別碼</t>
        </r>
      </text>
    </comment>
    <comment ref="H1615" authorId="0" shapeId="0" xr:uid="{9E5E0C6E-C5E6-F34B-B272-DE6C251D8BD3}">
      <text>
        <r>
          <rPr>
            <sz val="10"/>
            <color rgb="FF000000"/>
            <rFont val="Aptos Narrow"/>
            <scheme val="minor"/>
          </rPr>
          <t>======
ID#AAABjx7qPbc
    (2025-05-21 11:33:24)
1011 chloe:匯款匯入USD 16,274</t>
        </r>
      </text>
    </comment>
    <comment ref="Q1615" authorId="0" shapeId="0" xr:uid="{9581AAD2-70D5-4C45-83C8-D3D8F49672FF}">
      <text>
        <r>
          <rPr>
            <sz val="10"/>
            <color rgb="FF000000"/>
            <rFont val="Aptos Narrow"/>
            <scheme val="minor"/>
          </rPr>
          <t>======
ID#AAABjx7qVoE
    (2025-05-21 11:33:27)
+10 (科技國給MOXA手續費)</t>
        </r>
      </text>
    </comment>
    <comment ref="H1616" authorId="0" shapeId="0" xr:uid="{CF9A1E77-8BCE-5C4C-888E-E2F25E63597E}">
      <text>
        <r>
          <rPr>
            <sz val="10"/>
            <color rgb="FF000000"/>
            <rFont val="Aptos Narrow"/>
            <scheme val="minor"/>
          </rPr>
          <t>======
ID#AAABjx7qU7k
    (2025-05-21 11:33:27)
1030 chloe: 匯款匯入US$16,948.00</t>
        </r>
      </text>
    </comment>
    <comment ref="H1617" authorId="0" shapeId="0" xr:uid="{4BBC4DD9-B577-2549-9C02-68D06ACD6C41}">
      <text>
        <r>
          <rPr>
            <sz val="10"/>
            <color rgb="FF000000"/>
            <rFont val="Aptos Narrow"/>
            <scheme val="minor"/>
          </rPr>
          <t>======
ID#AAABjx7qQWQ
    (2025-05-21 11:33:25)
1030 chloe: 匯款匯入US$16,948.00</t>
        </r>
      </text>
    </comment>
    <comment ref="Z1617" authorId="0" shapeId="0" xr:uid="{771D3983-A3F8-8245-9432-DCF0A8E4ECFF}">
      <text>
        <r>
          <rPr>
            <sz val="10"/>
            <color rgb="FF000000"/>
            <rFont val="Aptos Narrow"/>
            <scheme val="minor"/>
          </rPr>
          <t>======
ID#AAABjx7qOg4
    (2025-05-21 11:33:24)
同備料計畫HC-20180820B</t>
        </r>
      </text>
    </comment>
    <comment ref="H1618" authorId="0" shapeId="0" xr:uid="{B6C326D7-6F99-C34F-889E-0813CFD94579}">
      <text>
        <r>
          <rPr>
            <sz val="10"/>
            <color rgb="FF000000"/>
            <rFont val="Aptos Narrow"/>
            <scheme val="minor"/>
          </rPr>
          <t>======
ID#AAABjx7qRtA
    (2025-05-21 11:33:25)
1112 chloe:匯款匯入US$8,753</t>
        </r>
      </text>
    </comment>
    <comment ref="H1619" authorId="0" shapeId="0" xr:uid="{E84D84BB-9385-FE44-AB6B-956C26F8ABB4}">
      <text>
        <r>
          <rPr>
            <sz val="10"/>
            <color rgb="FF000000"/>
            <rFont val="Aptos Narrow"/>
            <scheme val="minor"/>
          </rPr>
          <t>======
ID#AAABjx7qOh4
    (2025-05-21 11:33:24)
1112 chloe:匯款匯入US$8,753</t>
        </r>
      </text>
    </comment>
    <comment ref="H1620" authorId="0" shapeId="0" xr:uid="{7C24EF2F-BB9E-E244-AD67-151D959C3DE7}">
      <text>
        <r>
          <rPr>
            <sz val="10"/>
            <color rgb="FF000000"/>
            <rFont val="Aptos Narrow"/>
            <scheme val="minor"/>
          </rPr>
          <t>======
ID#AAABjx7qRpk
    (2025-05-21 11:33:25)
1024 chloe:匯款匯入US$11920</t>
        </r>
      </text>
    </comment>
    <comment ref="H1621" authorId="0" shapeId="0" xr:uid="{9D8761D1-3B0E-874F-966B-8551467B4ED3}">
      <text>
        <r>
          <rPr>
            <sz val="10"/>
            <color rgb="FF000000"/>
            <rFont val="Aptos Narrow"/>
            <scheme val="minor"/>
          </rPr>
          <t>======
ID#AAABjx7qOhE
    (2025-05-21 11:33:24)
1024 chloe:匯款匯入US$11920</t>
        </r>
      </text>
    </comment>
    <comment ref="H1622" authorId="0" shapeId="0" xr:uid="{55D5E5AA-3143-5D43-A5C6-6D8E00F40FC8}">
      <text>
        <r>
          <rPr>
            <sz val="10"/>
            <color rgb="FF000000"/>
            <rFont val="Aptos Narrow"/>
            <scheme val="minor"/>
          </rPr>
          <t>======
ID#AAABjx7qUvE
    (2025-05-21 11:33:26)
1024 chloe:匯款匯入US$11920</t>
        </r>
      </text>
    </comment>
    <comment ref="H1623" authorId="0" shapeId="0" xr:uid="{FD97F661-A4DB-0648-B960-371A357900D4}">
      <text>
        <r>
          <rPr>
            <sz val="10"/>
            <color rgb="FF000000"/>
            <rFont val="Aptos Narrow"/>
            <scheme val="minor"/>
          </rPr>
          <t>======
ID#AAABjx7qS8E
    (2025-05-21 11:33:26)
1024 chloe:匯款匯入US$11920</t>
        </r>
      </text>
    </comment>
    <comment ref="H1624" authorId="0" shapeId="0" xr:uid="{4C6CCE8F-F754-0A46-B5CE-7FABF872228B}">
      <text>
        <r>
          <rPr>
            <sz val="10"/>
            <color rgb="FF000000"/>
            <rFont val="Aptos Narrow"/>
            <scheme val="minor"/>
          </rPr>
          <t>======
ID#AAABjx7qQc0
    (2025-05-21 11:33:25)
0925  chloe:匯款匯入US$1541</t>
        </r>
      </text>
    </comment>
    <comment ref="H1625" authorId="0" shapeId="0" xr:uid="{07B7B7ED-5EE5-DF40-A8B6-3475B2FD171D}">
      <text>
        <r>
          <rPr>
            <sz val="10"/>
            <color rgb="FF000000"/>
            <rFont val="Aptos Narrow"/>
            <scheme val="minor"/>
          </rPr>
          <t>======
ID#AAABjx7qTXg
    (2025-05-21 11:33:26)
1011 Chloe:匯款匯入USD 4,788</t>
        </r>
      </text>
    </comment>
    <comment ref="H1626" authorId="0" shapeId="0" xr:uid="{B8F51418-FE43-E34D-9C0F-65A635E81C72}">
      <text>
        <r>
          <rPr>
            <sz val="10"/>
            <color rgb="FF000000"/>
            <rFont val="Aptos Narrow"/>
            <scheme val="minor"/>
          </rPr>
          <t>======
ID#AAABj82dpN4
    (2025-05-21 11:33:23)
1011 Chloe:匯款匯入USD 4,788</t>
        </r>
      </text>
    </comment>
    <comment ref="H1627" authorId="0" shapeId="0" xr:uid="{5B8F1DF6-FC09-874C-8C12-569F0B2980ED}">
      <text>
        <r>
          <rPr>
            <sz val="10"/>
            <color rgb="FF000000"/>
            <rFont val="Aptos Narrow"/>
            <scheme val="minor"/>
          </rPr>
          <t>======
ID#AAABjx7qP8k
    (2025-05-21 11:33:24)
1011 Chloe:匯款匯入USD 4,788</t>
        </r>
      </text>
    </comment>
    <comment ref="H1628" authorId="0" shapeId="0" xr:uid="{E36F2AAA-1FEB-484C-A1B7-43A1F78C9691}">
      <text>
        <r>
          <rPr>
            <sz val="10"/>
            <color rgb="FF000000"/>
            <rFont val="Aptos Narrow"/>
            <scheme val="minor"/>
          </rPr>
          <t>======
ID#AAABjx7qRGw
    (2025-05-21 11:33:25)
0114 chloe:匯款匯入US$7089</t>
        </r>
      </text>
    </comment>
    <comment ref="H1629" authorId="0" shapeId="0" xr:uid="{7C048699-5207-C147-8C31-B3884CF7C88E}">
      <text>
        <r>
          <rPr>
            <sz val="10"/>
            <color rgb="FF000000"/>
            <rFont val="Aptos Narrow"/>
            <scheme val="minor"/>
          </rPr>
          <t>======
ID#AAABjx7qTKs
    (2025-05-21 11:33:26)
0114 chloe:匯款匯入US$7089</t>
        </r>
      </text>
    </comment>
    <comment ref="H1630" authorId="0" shapeId="0" xr:uid="{6A234C40-5807-DB43-87CD-C3A4ED002299}">
      <text>
        <r>
          <rPr>
            <sz val="10"/>
            <color rgb="FF000000"/>
            <rFont val="Aptos Narrow"/>
            <scheme val="minor"/>
          </rPr>
          <t>======
ID#AAABjx7qOvA
    (2025-05-21 11:33:24)
0114 chloe:匯款匯入US$7089</t>
        </r>
      </text>
    </comment>
    <comment ref="M1630" authorId="0" shapeId="0" xr:uid="{EEDF0E9B-A885-D740-8F55-1ED15A13FB23}">
      <text>
        <r>
          <rPr>
            <sz val="10"/>
            <color rgb="FF000000"/>
            <rFont val="Aptos Narrow"/>
            <scheme val="minor"/>
          </rPr>
          <t>======
ID#AAABjx7qU7s
    (2025-05-21 11:33:27)
1113 chloe:貨到請通知Chloe</t>
        </r>
      </text>
    </comment>
    <comment ref="Q1630" authorId="0" shapeId="0" xr:uid="{8E667EB5-7BBD-284A-A1F6-A93AEEE966A7}">
      <text>
        <r>
          <rPr>
            <sz val="10"/>
            <color rgb="FF000000"/>
            <rFont val="Aptos Narrow"/>
            <scheme val="minor"/>
          </rPr>
          <t>======
ID#AAABjx7qS7c
    (2025-05-21 11:33:26)
1024 chloe:已告知若使用美金付款將不使用全額到匯→待供應商回覆
1101 chloe:達成協議美金付款全額到匯</t>
        </r>
      </text>
    </comment>
    <comment ref="H1631" authorId="0" shapeId="0" xr:uid="{08471A25-0392-7A4D-9A39-3617ABCCBFF1}">
      <text>
        <r>
          <rPr>
            <sz val="10"/>
            <color rgb="FF000000"/>
            <rFont val="Aptos Narrow"/>
            <scheme val="minor"/>
          </rPr>
          <t>======
ID#AAABjx7qTN0
    (2025-05-21 11:33:26)
0114 chloe:匯款匯入US$7089</t>
        </r>
      </text>
    </comment>
    <comment ref="M1631" authorId="0" shapeId="0" xr:uid="{C2B61342-B908-E041-A288-49185657A714}">
      <text>
        <r>
          <rPr>
            <sz val="10"/>
            <color rgb="FF000000"/>
            <rFont val="Aptos Narrow"/>
            <scheme val="minor"/>
          </rPr>
          <t>======
ID#AAABjx7qO1Y
    (2025-05-21 11:33:24)
貨到請通知Chloe檢查</t>
        </r>
      </text>
    </comment>
    <comment ref="W1631" authorId="0" shapeId="0" xr:uid="{DDCE0F94-33F4-FD46-843C-B67E487AB900}">
      <text>
        <r>
          <rPr>
            <sz val="10"/>
            <color rgb="FF000000"/>
            <rFont val="Aptos Narrow"/>
            <scheme val="minor"/>
          </rPr>
          <t>======
ID#AAABjx7qOH8
    (2025-05-21 11:33:24)
T/T</t>
        </r>
      </text>
    </comment>
    <comment ref="H1632" authorId="0" shapeId="0" xr:uid="{03B4A1F0-70B7-354D-B8C6-249F8A28FEFF}">
      <text>
        <r>
          <rPr>
            <sz val="10"/>
            <color rgb="FF000000"/>
            <rFont val="Aptos Narrow"/>
            <scheme val="minor"/>
          </rPr>
          <t>======
ID#AAABjx7qWLo
    (2025-05-21 11:33:27)
0114 chloe:匯款匯入US$7089</t>
        </r>
      </text>
    </comment>
    <comment ref="H1633" authorId="0" shapeId="0" xr:uid="{412C496A-A345-E84D-B399-5301B5575FB1}">
      <text>
        <r>
          <rPr>
            <sz val="10"/>
            <color rgb="FF000000"/>
            <rFont val="Aptos Narrow"/>
            <scheme val="minor"/>
          </rPr>
          <t>======
ID#AAABjx7qNbY
    (2025-05-21 11:33:23)
0114 chloe:匯款匯入US$7089</t>
        </r>
      </text>
    </comment>
    <comment ref="M1633" authorId="0" shapeId="0" xr:uid="{21719C28-DDE5-8F44-9C17-4E7AB13B419F}">
      <text>
        <r>
          <rPr>
            <sz val="10"/>
            <color rgb="FF000000"/>
            <rFont val="Aptos Narrow"/>
            <scheme val="minor"/>
          </rPr>
          <t>======
ID#AAABjx7qQ9k
    (2025-05-21 11:33:25)
1113 chloe:貨到請通知Chloe</t>
        </r>
      </text>
    </comment>
    <comment ref="Q1633" authorId="0" shapeId="0" xr:uid="{44FF9BA3-D905-2F42-A9F1-BB436316315D}">
      <text>
        <r>
          <rPr>
            <sz val="10"/>
            <color rgb="FF000000"/>
            <rFont val="Aptos Narrow"/>
            <scheme val="minor"/>
          </rPr>
          <t>======
ID#AAABjx7qPcM
    (2025-05-21 11:33:24)
1024 chloe:已告知若使用美金付款將不使用全額到匯→待供應商回覆</t>
        </r>
      </text>
    </comment>
    <comment ref="H1634" authorId="0" shapeId="0" xr:uid="{243EF1CD-042F-8145-9245-A0843BDB1629}">
      <text>
        <r>
          <rPr>
            <sz val="10"/>
            <color rgb="FF000000"/>
            <rFont val="Aptos Narrow"/>
            <scheme val="minor"/>
          </rPr>
          <t>======
ID#AAABjx7qR0o
    (2025-05-21 11:33:25)
0114 chloe:匯款匯入US$7089</t>
        </r>
      </text>
    </comment>
    <comment ref="M1634" authorId="0" shapeId="0" xr:uid="{D1CB3463-2519-F44E-8128-7261144EBA91}">
      <text>
        <r>
          <rPr>
            <sz val="10"/>
            <color rgb="FF000000"/>
            <rFont val="Aptos Narrow"/>
            <scheme val="minor"/>
          </rPr>
          <t>======
ID#AAABjx7qRsE
    (2025-05-21 11:33:25)
貨到請通知Chloe檢查</t>
        </r>
      </text>
    </comment>
    <comment ref="W1634" authorId="0" shapeId="0" xr:uid="{4FE2547F-44B2-714D-AFDD-CE747A916F55}">
      <text>
        <r>
          <rPr>
            <sz val="10"/>
            <color rgb="FF000000"/>
            <rFont val="Aptos Narrow"/>
            <scheme val="minor"/>
          </rPr>
          <t>======
ID#AAABj82dpIY
    (2025-05-21 11:33:23)
T/T</t>
        </r>
      </text>
    </comment>
    <comment ref="H1635" authorId="0" shapeId="0" xr:uid="{80277512-4BBA-E34E-AAA5-0C1B20FEBCB2}">
      <text>
        <r>
          <rPr>
            <sz val="10"/>
            <color rgb="FF000000"/>
            <rFont val="Aptos Narrow"/>
            <scheme val="minor"/>
          </rPr>
          <t>======
ID#AAABjx7qO3M
    (2025-05-21 11:33:24)
0114 chloe:匯款匯入US$7089</t>
        </r>
      </text>
    </comment>
    <comment ref="H1636" authorId="0" shapeId="0" xr:uid="{42452058-BF2C-D046-A06C-A8C184EA6977}">
      <text>
        <r>
          <rPr>
            <sz val="10"/>
            <color rgb="FF000000"/>
            <rFont val="Aptos Narrow"/>
            <scheme val="minor"/>
          </rPr>
          <t>======
ID#AAABjx7qTU0
    (2025-05-21 11:33:26)
0114 chloe:匯款匯入US$7089</t>
        </r>
      </text>
    </comment>
    <comment ref="M1636" authorId="0" shapeId="0" xr:uid="{26B11554-EA84-2A47-9578-E1A3417A25C6}">
      <text>
        <r>
          <rPr>
            <sz val="10"/>
            <color rgb="FF000000"/>
            <rFont val="Aptos Narrow"/>
            <scheme val="minor"/>
          </rPr>
          <t>======
ID#AAABjx7qU5M
    (2025-05-21 11:33:26)
1113 chloe:貨到請通知Chloe</t>
        </r>
      </text>
    </comment>
    <comment ref="Q1636" authorId="0" shapeId="0" xr:uid="{7FEA5679-AB30-BD4E-B441-50A5122E9597}">
      <text>
        <r>
          <rPr>
            <sz val="10"/>
            <color rgb="FF000000"/>
            <rFont val="Aptos Narrow"/>
            <scheme val="minor"/>
          </rPr>
          <t>======
ID#AAABjx7qVEQ
    (2025-05-21 11:33:27)
1024 chloe:已告知若使用美金付款將不使用全額到匯→待供應商回覆</t>
        </r>
      </text>
    </comment>
    <comment ref="H1637" authorId="0" shapeId="0" xr:uid="{64CE957A-CBBC-4640-B116-415737379F4D}">
      <text>
        <r>
          <rPr>
            <sz val="10"/>
            <color rgb="FF000000"/>
            <rFont val="Aptos Narrow"/>
            <scheme val="minor"/>
          </rPr>
          <t>======
ID#AAABjx7qRWk
    (2025-05-21 11:33:25)
0114 chloe:匯款匯入US$7089</t>
        </r>
      </text>
    </comment>
    <comment ref="M1637" authorId="0" shapeId="0" xr:uid="{044DE969-5B59-B24C-A8E8-03AEB8A6D266}">
      <text>
        <r>
          <rPr>
            <sz val="10"/>
            <color rgb="FF000000"/>
            <rFont val="Aptos Narrow"/>
            <scheme val="minor"/>
          </rPr>
          <t>======
ID#AAABjx7qV0M
    (2025-05-21 11:33:27)
1113 chloe:貨到請通知Chloe</t>
        </r>
      </text>
    </comment>
    <comment ref="Q1637" authorId="0" shapeId="0" xr:uid="{6AE5643A-8369-5641-915B-2674764BE0F5}">
      <text>
        <r>
          <rPr>
            <sz val="10"/>
            <color rgb="FF000000"/>
            <rFont val="Aptos Narrow"/>
            <scheme val="minor"/>
          </rPr>
          <t>======
ID#AAABjx7qQnc
    (2025-05-21 11:33:25)
1024 chloe:已告知若使用美金付款將不使用全額到匯→待供應商回覆</t>
        </r>
      </text>
    </comment>
    <comment ref="H1638" authorId="0" shapeId="0" xr:uid="{BC622C3C-0DC7-E04A-8920-D1F3ED92E9B7}">
      <text>
        <r>
          <rPr>
            <sz val="10"/>
            <color rgb="FF000000"/>
            <rFont val="Aptos Narrow"/>
            <scheme val="minor"/>
          </rPr>
          <t>======
ID#AAABjx7qPo4
    (2025-05-21 11:33:24)
0114 chloe:匯款匯入US$7089</t>
        </r>
      </text>
    </comment>
    <comment ref="M1638" authorId="0" shapeId="0" xr:uid="{76549F46-5D08-0842-BF21-CB948BDFBFFD}">
      <text>
        <r>
          <rPr>
            <sz val="10"/>
            <color rgb="FF000000"/>
            <rFont val="Aptos Narrow"/>
            <scheme val="minor"/>
          </rPr>
          <t>======
ID#AAABjx7qOaU
    (2025-05-21 11:33:24)
1113 chloe:貨到請通知Chloe</t>
        </r>
      </text>
    </comment>
    <comment ref="Q1638" authorId="0" shapeId="0" xr:uid="{2C3D681E-DF2E-664A-9F31-2CC53515DFEC}">
      <text>
        <r>
          <rPr>
            <sz val="10"/>
            <color rgb="FF000000"/>
            <rFont val="Aptos Narrow"/>
            <scheme val="minor"/>
          </rPr>
          <t>======
ID#AAABjx7qPGA
    (2025-05-21 11:33:24)
1024 chloe:已告知若使用美金付款將不使用全額到匯→待供應商回覆</t>
        </r>
      </text>
    </comment>
    <comment ref="H1639" authorId="0" shapeId="0" xr:uid="{228BD149-B1B4-D44B-80F9-EA9A3BF5DCF6}">
      <text>
        <r>
          <rPr>
            <sz val="10"/>
            <color rgb="FF000000"/>
            <rFont val="Aptos Narrow"/>
            <scheme val="minor"/>
          </rPr>
          <t>======
ID#AAABjx7qPeU
    (2025-05-21 11:33:24)
1031chloe:US$匯款匯入 US$155</t>
        </r>
      </text>
    </comment>
    <comment ref="H1640" authorId="0" shapeId="0" xr:uid="{8A4CA673-F10B-2744-8726-B7612779BAEE}">
      <text>
        <r>
          <rPr>
            <sz val="10"/>
            <color rgb="FF000000"/>
            <rFont val="Aptos Narrow"/>
            <scheme val="minor"/>
          </rPr>
          <t>======
ID#AAABjx7qNfA
    (2025-05-21 11:33:23)
1031chloe:US$匯款匯入 US$155</t>
        </r>
      </text>
    </comment>
    <comment ref="H1641" authorId="0" shapeId="0" xr:uid="{FAD172A2-0C76-9147-9A83-3A074DABF08E}">
      <text>
        <r>
          <rPr>
            <sz val="10"/>
            <color rgb="FF000000"/>
            <rFont val="Aptos Narrow"/>
            <scheme val="minor"/>
          </rPr>
          <t>======
ID#AAABjx7qTJY
    (2025-05-21 11:33:26)
1031chloe:US$匯款匯入 US$155</t>
        </r>
      </text>
    </comment>
    <comment ref="H1642" authorId="0" shapeId="0" xr:uid="{14BAFF66-EB05-0C48-9C3D-BEA8D51D251F}">
      <text>
        <r>
          <rPr>
            <sz val="10"/>
            <color rgb="FF000000"/>
            <rFont val="Aptos Narrow"/>
            <scheme val="minor"/>
          </rPr>
          <t>======
ID#AAABjx7qO7g
    (2025-05-21 11:33:24)
1024 chloe:匯款匯入US$11920</t>
        </r>
      </text>
    </comment>
    <comment ref="H1643" authorId="0" shapeId="0" xr:uid="{76F57388-C3B8-6644-94C7-39165194211B}">
      <text>
        <r>
          <rPr>
            <sz val="10"/>
            <color rgb="FF000000"/>
            <rFont val="Aptos Narrow"/>
            <scheme val="minor"/>
          </rPr>
          <t>======
ID#AAABjx7qTig
    (2025-05-21 11:33:26)
1024 chloe:匯款匯入US$11920</t>
        </r>
      </text>
    </comment>
    <comment ref="H1644" authorId="0" shapeId="0" xr:uid="{1C809EB7-2B7D-4C40-8FDC-4210D64D42E0}">
      <text>
        <r>
          <rPr>
            <sz val="10"/>
            <color rgb="FF000000"/>
            <rFont val="Aptos Narrow"/>
            <scheme val="minor"/>
          </rPr>
          <t>======
ID#AAABjx7qM5Y
    (2025-05-21 11:33:23)
1031 chloe:匯款匯入US$687</t>
        </r>
      </text>
    </comment>
    <comment ref="M1644" authorId="0" shapeId="0" xr:uid="{67134D34-47FF-3341-9083-26E79EAEF206}">
      <text>
        <r>
          <rPr>
            <sz val="10"/>
            <color rgb="FF000000"/>
            <rFont val="Aptos Narrow"/>
            <scheme val="minor"/>
          </rPr>
          <t>======
ID#AAABjx7qV5w
    (2025-05-21 11:33:27)
0913 chloe:待PM確認圖面，廠商提供
1001 chloe: 快異點樣品 2 PCS
1 PCS for PM
1 PCS for 客戶</t>
        </r>
      </text>
    </comment>
    <comment ref="H1645" authorId="0" shapeId="0" xr:uid="{38C909F3-CDB9-1B49-AB49-752537A30B9A}">
      <text>
        <r>
          <rPr>
            <sz val="10"/>
            <color rgb="FF000000"/>
            <rFont val="Aptos Narrow"/>
            <scheme val="minor"/>
          </rPr>
          <t>======
ID#AAABjx7qWQM
    (2025-05-21 11:33:27)
1031 chloe:匯款匯入US$687</t>
        </r>
      </text>
    </comment>
    <comment ref="M1645" authorId="0" shapeId="0" xr:uid="{C6340EE7-F0BE-F74A-AFC2-3C1E77E66D04}">
      <text>
        <r>
          <rPr>
            <sz val="10"/>
            <color rgb="FF000000"/>
            <rFont val="Aptos Narrow"/>
            <scheme val="minor"/>
          </rPr>
          <t>======
ID#AAABjx7qVz4
    (2025-05-21 11:33:27)
0913 chloe:待PM確認圖面，廠商提供
1001 chloe: 快異點樣品 2 PCS
1 PCS for PM
1 PCS for 客戶</t>
        </r>
      </text>
    </comment>
    <comment ref="H1646" authorId="0" shapeId="0" xr:uid="{D66101E8-4CAC-3A4A-9F10-28FCD9F38D62}">
      <text>
        <r>
          <rPr>
            <sz val="10"/>
            <color rgb="FF000000"/>
            <rFont val="Aptos Narrow"/>
            <scheme val="minor"/>
          </rPr>
          <t>======
ID#AAABjx7qTDY
    (2025-05-21 11:33:26)
1031 chloe:匯款匯入US$687</t>
        </r>
      </text>
    </comment>
    <comment ref="M1646" authorId="0" shapeId="0" xr:uid="{053D7DD1-D2AF-3645-AE24-CD2939C6EDA5}">
      <text>
        <r>
          <rPr>
            <sz val="10"/>
            <color rgb="FF000000"/>
            <rFont val="Aptos Narrow"/>
            <scheme val="minor"/>
          </rPr>
          <t>======
ID#AAABjx7qR3o
    (2025-05-21 11:33:25)
0919 已 PULL IN</t>
        </r>
      </text>
    </comment>
    <comment ref="Q1646" authorId="0" shapeId="0" xr:uid="{EAA7F42A-5E1D-364F-9DA7-1AB95DD0CC3F}">
      <text>
        <r>
          <rPr>
            <sz val="10"/>
            <color rgb="FF000000"/>
            <rFont val="Aptos Narrow"/>
            <scheme val="minor"/>
          </rPr>
          <t>======
ID#AAABjx7qQh8
    (2025-05-21 11:33:25)
Magin 1.15 %</t>
        </r>
      </text>
    </comment>
    <comment ref="H1647" authorId="0" shapeId="0" xr:uid="{E124F6D9-7D8A-3245-ACE4-FC95D5D97B18}">
      <text>
        <r>
          <rPr>
            <sz val="10"/>
            <color rgb="FF000000"/>
            <rFont val="Aptos Narrow"/>
            <scheme val="minor"/>
          </rPr>
          <t>======
ID#AAABjx7qSmM
    (2025-05-21 11:33:26)
1031 chloe:匯款匯入US$687</t>
        </r>
      </text>
    </comment>
    <comment ref="M1647" authorId="0" shapeId="0" xr:uid="{CC8CB2A2-DC27-214A-A906-05E1624725A5}">
      <text>
        <r>
          <rPr>
            <sz val="10"/>
            <color rgb="FF000000"/>
            <rFont val="Aptos Narrow"/>
            <scheme val="minor"/>
          </rPr>
          <t>======
ID#AAABjx7qNx8
    (2025-05-21 11:33:23)
0919 已 PULL IN</t>
        </r>
      </text>
    </comment>
    <comment ref="H1648" authorId="0" shapeId="0" xr:uid="{C26EF662-AD00-F046-8639-4FFDD4933592}">
      <text>
        <r>
          <rPr>
            <sz val="10"/>
            <color rgb="FF000000"/>
            <rFont val="Aptos Narrow"/>
            <scheme val="minor"/>
          </rPr>
          <t>======
ID#AAABjx7qWKw
    (2025-05-21 11:33:27)
1031 chloe:匯款匯入US$687</t>
        </r>
      </text>
    </comment>
    <comment ref="M1648" authorId="0" shapeId="0" xr:uid="{9A001155-BB9F-3541-8CBC-A81B05EA88FA}">
      <text>
        <r>
          <rPr>
            <sz val="10"/>
            <color rgb="FF000000"/>
            <rFont val="Aptos Narrow"/>
            <scheme val="minor"/>
          </rPr>
          <t>======
ID#AAABjx7qRQ0
    (2025-05-21 11:33:25)
0919 已 PULL IN</t>
        </r>
      </text>
    </comment>
    <comment ref="H1649" authorId="0" shapeId="0" xr:uid="{C11C60B8-0B1E-924C-B0EB-3A632EBC7866}">
      <text>
        <r>
          <rPr>
            <sz val="10"/>
            <color rgb="FF000000"/>
            <rFont val="Aptos Narrow"/>
            <scheme val="minor"/>
          </rPr>
          <t>======
ID#AAABjx7qOnM
    (2025-05-21 11:33:24)
1031 chloe:匯款匯入US$687</t>
        </r>
      </text>
    </comment>
    <comment ref="M1649" authorId="0" shapeId="0" xr:uid="{D5CCD443-A85B-574B-B068-D8376348AD97}">
      <text>
        <r>
          <rPr>
            <sz val="10"/>
            <color rgb="FF000000"/>
            <rFont val="Aptos Narrow"/>
            <scheme val="minor"/>
          </rPr>
          <t>======
ID#AAABjx7qU3M
    (2025-05-21 11:33:26)
0919 已 PULL IN</t>
        </r>
      </text>
    </comment>
    <comment ref="H1650" authorId="0" shapeId="0" xr:uid="{0862FBF2-BC3B-7147-9EEC-0325ED3DB147}">
      <text>
        <r>
          <rPr>
            <sz val="10"/>
            <color rgb="FF000000"/>
            <rFont val="Aptos Narrow"/>
            <scheme val="minor"/>
          </rPr>
          <t>======
ID#AAABjx7qRkc
    (2025-05-21 11:33:25)
1031 chloe:匯款匯入US$687</t>
        </r>
      </text>
    </comment>
    <comment ref="M1650" authorId="0" shapeId="0" xr:uid="{7B0235B5-CBB1-4B45-ABA2-7D900048AAEB}">
      <text>
        <r>
          <rPr>
            <sz val="10"/>
            <color rgb="FF000000"/>
            <rFont val="Aptos Narrow"/>
            <scheme val="minor"/>
          </rPr>
          <t>======
ID#AAABjx7qRCs
    (2025-05-21 11:33:25)
0919 已 PULL IN</t>
        </r>
      </text>
    </comment>
    <comment ref="H1651" authorId="0" shapeId="0" xr:uid="{3F7E0076-3A9E-1A4C-B599-BF8F17BD926E}">
      <text>
        <r>
          <rPr>
            <sz val="10"/>
            <color rgb="FF000000"/>
            <rFont val="Aptos Narrow"/>
            <scheme val="minor"/>
          </rPr>
          <t>======
ID#AAABjx7qQCg
    (2025-05-21 11:33:25)
1031 chloe:匯款匯入US$687</t>
        </r>
      </text>
    </comment>
    <comment ref="M1651" authorId="0" shapeId="0" xr:uid="{B47170B6-0921-FB46-B1D4-6F75D1A65A0C}">
      <text>
        <r>
          <rPr>
            <sz val="10"/>
            <color rgb="FF000000"/>
            <rFont val="Aptos Narrow"/>
            <scheme val="minor"/>
          </rPr>
          <t>======
ID#AAABjx7qQVs
    (2025-05-21 11:33:25)
0913 chloe:待PM確認圖面，廠商提供
1001 chloe: 快異點樣品 2 PCS
1 PCS for PM
1 PCS for 客戶</t>
        </r>
      </text>
    </comment>
    <comment ref="F1652" authorId="0" shapeId="0" xr:uid="{7EB27897-8443-4E4B-BBCF-C87C6579BDE0}">
      <text>
        <r>
          <rPr>
            <sz val="10"/>
            <color rgb="FF000000"/>
            <rFont val="Aptos Narrow"/>
            <scheme val="minor"/>
          </rPr>
          <t>======
ID#AAABjx7qTRg
    (2025-05-21 11:33:26)
庫存2台</t>
        </r>
      </text>
    </comment>
    <comment ref="H1652" authorId="0" shapeId="0" xr:uid="{49929145-7C7A-BD49-A3BA-CB5231C8F997}">
      <text>
        <r>
          <rPr>
            <sz val="10"/>
            <color rgb="FF000000"/>
            <rFont val="Aptos Narrow"/>
            <scheme val="minor"/>
          </rPr>
          <t>======
ID#AAABj82dpGs
    (2025-05-21 11:33:23)
1030 chloe: 匯款匯入US$16,948.00</t>
        </r>
      </text>
    </comment>
    <comment ref="U1652" authorId="0" shapeId="0" xr:uid="{FAF959EA-EAD1-0344-A9F3-5B20A48F8515}">
      <text>
        <r>
          <rPr>
            <sz val="10"/>
            <color rgb="FF000000"/>
            <rFont val="Aptos Narrow"/>
            <scheme val="minor"/>
          </rPr>
          <t>======
ID#AAABjx7qOC4
    (2025-05-21 11:33:24)
8台</t>
        </r>
      </text>
    </comment>
    <comment ref="F1653" authorId="0" shapeId="0" xr:uid="{ED400004-BC6C-5B43-BE5D-7D6F6398D6A6}">
      <text>
        <r>
          <rPr>
            <sz val="10"/>
            <color rgb="FF000000"/>
            <rFont val="Aptos Narrow"/>
            <scheme val="minor"/>
          </rPr>
          <t>======
ID#AAABjx7qS_Y
    (2025-05-21 11:33:26)
庫存2台</t>
        </r>
      </text>
    </comment>
    <comment ref="H1653" authorId="0" shapeId="0" xr:uid="{01355F9A-D9BC-364E-BF9C-CF0D0AB026C2}">
      <text>
        <r>
          <rPr>
            <sz val="10"/>
            <color rgb="FF000000"/>
            <rFont val="Aptos Narrow"/>
            <scheme val="minor"/>
          </rPr>
          <t>======
ID#AAABjx7qVaU
    (2025-05-21 11:33:27)
1030 chloe: 匯款匯入US$16,948.00</t>
        </r>
      </text>
    </comment>
    <comment ref="F1654" authorId="0" shapeId="0" xr:uid="{AA31AE2E-3257-D042-BB88-BB44AE9A3D1A}">
      <text>
        <r>
          <rPr>
            <sz val="10"/>
            <color rgb="FF000000"/>
            <rFont val="Aptos Narrow"/>
            <scheme val="minor"/>
          </rPr>
          <t>======
ID#AAABjx7qSjI
    (2025-05-21 11:33:26)
庫存2台</t>
        </r>
      </text>
    </comment>
    <comment ref="H1654" authorId="0" shapeId="0" xr:uid="{20B42007-5FDA-C748-A7EE-11C188C63A9C}">
      <text>
        <r>
          <rPr>
            <sz val="10"/>
            <color rgb="FF000000"/>
            <rFont val="Aptos Narrow"/>
            <scheme val="minor"/>
          </rPr>
          <t>======
ID#AAABjx7qN1M
    (2025-05-21 11:33:23)
1030 chloe: 匯款匯入US$16,948.00</t>
        </r>
      </text>
    </comment>
    <comment ref="U1654" authorId="0" shapeId="0" xr:uid="{B32711D9-7A3C-CB43-85B0-6FE0C8802956}">
      <text>
        <r>
          <rPr>
            <sz val="10"/>
            <color rgb="FF000000"/>
            <rFont val="Aptos Narrow"/>
            <scheme val="minor"/>
          </rPr>
          <t>======
ID#AAABjx7qVE0
    (2025-05-21 11:33:27)
8台</t>
        </r>
      </text>
    </comment>
    <comment ref="H1655" authorId="0" shapeId="0" xr:uid="{24C73D69-6559-C34F-9B1C-54D0C49E6BCE}">
      <text>
        <r>
          <rPr>
            <sz val="10"/>
            <color rgb="FF000000"/>
            <rFont val="Aptos Narrow"/>
            <scheme val="minor"/>
          </rPr>
          <t>======
ID#AAABjx7qNTo
    (2025-05-21 11:33:23)
1012 chloe:匯款匯入US$15808</t>
        </r>
      </text>
    </comment>
    <comment ref="K1655" authorId="0" shapeId="0" xr:uid="{3A67C17D-CD3F-2748-BC2C-98AA9CC35DF0}">
      <text>
        <r>
          <rPr>
            <sz val="10"/>
            <color rgb="FF000000"/>
            <rFont val="Aptos Narrow"/>
            <scheme val="minor"/>
          </rPr>
          <t>======
ID#AAABj82dpNo
    (2025-05-21 11:33:23)
181008 Tammy: 收到貨款後,才出貨
181009 Tammy: KH給水單</t>
        </r>
      </text>
    </comment>
    <comment ref="H1656" authorId="0" shapeId="0" xr:uid="{0B7AC1C2-B8F2-4F4F-A0F8-6B120EF151F6}">
      <text>
        <r>
          <rPr>
            <sz val="10"/>
            <color rgb="FF000000"/>
            <rFont val="Aptos Narrow"/>
            <scheme val="minor"/>
          </rPr>
          <t>======
ID#AAABjx7qVq8
    (2025-05-21 11:33:27)
1012 chloe:匯款匯入US$15808</t>
        </r>
      </text>
    </comment>
    <comment ref="H1657" authorId="0" shapeId="0" xr:uid="{D89B1E48-DF86-BE4B-8432-477A9F7B9EAE}">
      <text>
        <r>
          <rPr>
            <sz val="10"/>
            <color rgb="FF000000"/>
            <rFont val="Aptos Narrow"/>
            <scheme val="minor"/>
          </rPr>
          <t>======
ID#AAABjx7qSL4
    (2025-05-21 11:33:26)
1012 chloe:匯款匯入US$15808</t>
        </r>
      </text>
    </comment>
    <comment ref="H1658" authorId="0" shapeId="0" xr:uid="{3BA9C7F7-1EA2-C44F-877C-EAA2ECEABC17}">
      <text>
        <r>
          <rPr>
            <sz val="10"/>
            <color rgb="FF000000"/>
            <rFont val="Aptos Narrow"/>
            <scheme val="minor"/>
          </rPr>
          <t>======
ID#AAABjx7qU-M
    (2025-05-21 11:33:27)
1122 chloe:匯款匯入US$2420</t>
        </r>
      </text>
    </comment>
    <comment ref="H1659" authorId="0" shapeId="0" xr:uid="{DE3B4A52-C47F-5144-B835-0E90338CC9BC}">
      <text>
        <r>
          <rPr>
            <sz val="10"/>
            <color rgb="FF000000"/>
            <rFont val="Aptos Narrow"/>
            <scheme val="minor"/>
          </rPr>
          <t>======
ID#AAABjx7qPTY
    (2025-05-21 11:33:24)
1122 chloe:匯款匯入US$2420</t>
        </r>
      </text>
    </comment>
    <comment ref="H1660" authorId="0" shapeId="0" xr:uid="{E377AF86-D291-4443-AB47-9FD1303AFE67}">
      <text>
        <r>
          <rPr>
            <sz val="10"/>
            <color rgb="FF000000"/>
            <rFont val="Aptos Narrow"/>
            <scheme val="minor"/>
          </rPr>
          <t>======
ID#AAABjx7qPww
    (2025-05-21 11:33:24)
1122 chloe:匯款匯入US$2420</t>
        </r>
      </text>
    </comment>
    <comment ref="H1661" authorId="0" shapeId="0" xr:uid="{C0E11761-7223-5440-94ED-C88AFC29ECA1}">
      <text>
        <r>
          <rPr>
            <sz val="10"/>
            <color rgb="FF000000"/>
            <rFont val="Aptos Narrow"/>
            <scheme val="minor"/>
          </rPr>
          <t>======
ID#AAABjx7qWHU
    (2025-05-21 11:33:27)
1122 chloe:匯款匯入US$2420</t>
        </r>
      </text>
    </comment>
    <comment ref="M1661" authorId="0" shapeId="0" xr:uid="{3F78AE9C-226E-C94A-BDEA-C0AF917B6E40}">
      <text>
        <r>
          <rPr>
            <sz val="10"/>
            <color rgb="FF000000"/>
            <rFont val="Aptos Narrow"/>
            <scheme val="minor"/>
          </rPr>
          <t>======
ID#AAABjx7qVQo
    (2025-05-21 11:33:27)
1001 chloe:無須寄給閎亮</t>
        </r>
      </text>
    </comment>
    <comment ref="H1662" authorId="0" shapeId="0" xr:uid="{A60C28D9-790D-1C41-BE24-3C12E47F8DDB}">
      <text>
        <r>
          <rPr>
            <sz val="10"/>
            <color rgb="FF000000"/>
            <rFont val="Aptos Narrow"/>
            <scheme val="minor"/>
          </rPr>
          <t>======
ID#AAABjx7qOck
    (2025-05-21 11:33:24)
1220 chloe: 匯款匯入US$32647.5</t>
        </r>
      </text>
    </comment>
    <comment ref="U1662" authorId="0" shapeId="0" xr:uid="{06D5D949-785E-6E4C-A642-12AE4D305E83}">
      <text>
        <r>
          <rPr>
            <sz val="10"/>
            <color rgb="FF000000"/>
            <rFont val="Aptos Narrow"/>
            <scheme val="minor"/>
          </rPr>
          <t>======
ID#AAABjx7qSMQ
    (2025-05-21 11:33:26)
4台 總價84191(不含稅)
含DRAM+SSD</t>
        </r>
      </text>
    </comment>
    <comment ref="H1663" authorId="0" shapeId="0" xr:uid="{231A429C-E0B2-524E-9A3D-06386311E933}">
      <text>
        <r>
          <rPr>
            <sz val="10"/>
            <color rgb="FF000000"/>
            <rFont val="Aptos Narrow"/>
            <scheme val="minor"/>
          </rPr>
          <t>======
ID#AAABjx7qTZQ
    (2025-05-21 11:33:26)
1220 chloe: 匯款匯入US$32647.5</t>
        </r>
      </text>
    </comment>
    <comment ref="H1664" authorId="0" shapeId="0" xr:uid="{CF465C75-012B-9D4B-A39A-1F13CD594035}">
      <text>
        <r>
          <rPr>
            <sz val="10"/>
            <color rgb="FF000000"/>
            <rFont val="Aptos Narrow"/>
            <scheme val="minor"/>
          </rPr>
          <t>======
ID#AAABjx7qSj4
    (2025-05-21 11:33:26)
1220 chloe: 匯款匯入US$32647.5</t>
        </r>
      </text>
    </comment>
    <comment ref="H1665" authorId="0" shapeId="0" xr:uid="{7901DFBE-5D96-BF4A-9C2B-DCE8B63B79B9}">
      <text>
        <r>
          <rPr>
            <sz val="10"/>
            <color rgb="FF000000"/>
            <rFont val="Aptos Narrow"/>
            <scheme val="minor"/>
          </rPr>
          <t>======
ID#AAABjx7qQqM
    (2025-05-21 11:33:25)
1220 chloe: 匯款匯入US$32647.5</t>
        </r>
      </text>
    </comment>
    <comment ref="H1666" authorId="0" shapeId="0" xr:uid="{DD3F3C22-089E-8E43-B242-D1829AABECF1}">
      <text>
        <r>
          <rPr>
            <sz val="10"/>
            <color rgb="FF000000"/>
            <rFont val="Aptos Narrow"/>
            <scheme val="minor"/>
          </rPr>
          <t>======
ID#AAABjx7qWAE
    (2025-05-21 11:33:27)
1220 chloe: 匯款匯入US$32647.5</t>
        </r>
      </text>
    </comment>
    <comment ref="H1667" authorId="0" shapeId="0" xr:uid="{4B84D18A-F6A2-D242-82F3-95D60E04F34C}">
      <text>
        <r>
          <rPr>
            <sz val="10"/>
            <color rgb="FF000000"/>
            <rFont val="Aptos Narrow"/>
            <scheme val="minor"/>
          </rPr>
          <t>======
ID#AAABjx7qVFs
    (2025-05-21 11:33:27)
1220 chloe: 匯款匯入US$32647.5</t>
        </r>
      </text>
    </comment>
    <comment ref="M1667" authorId="0" shapeId="0" xr:uid="{E22C4ED2-CF83-F549-8A50-085868A75A00}">
      <text>
        <r>
          <rPr>
            <sz val="10"/>
            <color rgb="FF000000"/>
            <rFont val="Aptos Narrow"/>
            <scheme val="minor"/>
          </rPr>
          <t>======
ID#AAABjx7qPLo
    (2025-05-21 11:33:24)
1025 chloe 已領出交由FAE</t>
        </r>
      </text>
    </comment>
    <comment ref="H1668" authorId="0" shapeId="0" xr:uid="{71ACA921-ED3E-1D45-B277-3DE007CB92E2}">
      <text>
        <r>
          <rPr>
            <sz val="10"/>
            <color rgb="FF000000"/>
            <rFont val="Aptos Narrow"/>
            <scheme val="minor"/>
          </rPr>
          <t>======
ID#AAABjx7qN9o
    (2025-05-21 11:33:23)
0104 chloe:匯款匯入US$3195.35</t>
        </r>
      </text>
    </comment>
    <comment ref="H1669" authorId="0" shapeId="0" xr:uid="{3876A455-576F-2C4B-832B-5B52FA5A24B6}">
      <text>
        <r>
          <rPr>
            <sz val="10"/>
            <color rgb="FF000000"/>
            <rFont val="Aptos Narrow"/>
            <scheme val="minor"/>
          </rPr>
          <t>======
ID#AAABjx7qQd0
    (2025-05-21 11:33:25)
1220 chloe: 匯款匯入US$32647.5</t>
        </r>
      </text>
    </comment>
    <comment ref="U1669" authorId="0" shapeId="0" xr:uid="{A2AB4FA5-5E9E-DE44-A959-07590D03A678}">
      <text>
        <r>
          <rPr>
            <sz val="10"/>
            <color rgb="FF000000"/>
            <rFont val="Aptos Narrow"/>
            <scheme val="minor"/>
          </rPr>
          <t>======
ID#AAABjx7qTZ4
    (2025-05-21 11:33:26)
1台 總價21013(不含稅)
含DRAM+SSD</t>
        </r>
      </text>
    </comment>
    <comment ref="H1670" authorId="0" shapeId="0" xr:uid="{71440AB2-A009-5D4D-B607-88D8130405B0}">
      <text>
        <r>
          <rPr>
            <sz val="10"/>
            <color rgb="FF000000"/>
            <rFont val="Aptos Narrow"/>
            <scheme val="minor"/>
          </rPr>
          <t>======
ID#AAABjx7qM4s
    (2025-05-21 11:33:23)
1220 chloe: 匯款匯入US$32647.5</t>
        </r>
      </text>
    </comment>
    <comment ref="H1671" authorId="0" shapeId="0" xr:uid="{698CACC0-0FEC-1C4C-A152-79F63549E22D}">
      <text>
        <r>
          <rPr>
            <sz val="10"/>
            <color rgb="FF000000"/>
            <rFont val="Aptos Narrow"/>
            <scheme val="minor"/>
          </rPr>
          <t>======
ID#AAABjx7qNKo
    (2025-05-21 11:33:23)
1220 chloe: 匯款匯入US$32647.5</t>
        </r>
      </text>
    </comment>
    <comment ref="H1672" authorId="0" shapeId="0" xr:uid="{BF648A42-EEB6-9244-9A9C-3978A38C8196}">
      <text>
        <r>
          <rPr>
            <sz val="10"/>
            <color rgb="FF000000"/>
            <rFont val="Aptos Narrow"/>
            <scheme val="minor"/>
          </rPr>
          <t>======
ID#AAABjx7qMv8
    (2025-05-21 11:33:23)
1220 chloe: 匯款匯入US$32647.5</t>
        </r>
      </text>
    </comment>
    <comment ref="H1673" authorId="0" shapeId="0" xr:uid="{927CAA5C-B196-C54D-A7F0-DF9AA9FD274F}">
      <text>
        <r>
          <rPr>
            <sz val="10"/>
            <color rgb="FF000000"/>
            <rFont val="Aptos Narrow"/>
            <scheme val="minor"/>
          </rPr>
          <t>======
ID#AAABjx7qQzA
    (2025-05-21 11:33:25)
1220 chloe: 匯款匯入US$32647.5</t>
        </r>
      </text>
    </comment>
    <comment ref="H1674" authorId="0" shapeId="0" xr:uid="{CD457147-5FC7-9A48-B15F-B20A34DF1B7B}">
      <text>
        <r>
          <rPr>
            <sz val="10"/>
            <color rgb="FF000000"/>
            <rFont val="Aptos Narrow"/>
            <scheme val="minor"/>
          </rPr>
          <t>======
ID#AAABjx7qQQI
    (2025-05-21 11:33:25)
1220 chloe: 匯款匯入US$32647.5</t>
        </r>
      </text>
    </comment>
    <comment ref="M1674" authorId="0" shapeId="0" xr:uid="{03861F45-8A63-0E4D-A2D5-D3D7DBF80C49}">
      <text>
        <r>
          <rPr>
            <sz val="10"/>
            <color rgb="FF000000"/>
            <rFont val="Aptos Narrow"/>
            <scheme val="minor"/>
          </rPr>
          <t>======
ID#AAABjx7qQVU
    (2025-05-21 11:33:25)
1025 chloe 已領出交由FAE</t>
        </r>
      </text>
    </comment>
    <comment ref="H1675" authorId="0" shapeId="0" xr:uid="{FEFA7862-A805-5B42-A2BE-1B783DB72305}">
      <text>
        <r>
          <rPr>
            <sz val="10"/>
            <color rgb="FF000000"/>
            <rFont val="Aptos Narrow"/>
            <scheme val="minor"/>
          </rPr>
          <t>======
ID#AAABjx7qQOI
    (2025-05-21 11:33:25)
0104 chloe:匯款匯入US$3195.35</t>
        </r>
      </text>
    </comment>
    <comment ref="H1676" authorId="0" shapeId="0" xr:uid="{AE28BF33-6C5C-944D-89C5-180556872720}">
      <text>
        <r>
          <rPr>
            <sz val="10"/>
            <color rgb="FF000000"/>
            <rFont val="Aptos Narrow"/>
            <scheme val="minor"/>
          </rPr>
          <t>======
ID#AAABjx7qWbc
    (2025-05-21 11:33:27)
1116 chloe: 匯款匯入:US$21239</t>
        </r>
      </text>
    </comment>
    <comment ref="D1677" authorId="0" shapeId="0" xr:uid="{C3DBF294-13D1-FD40-BFD2-12590346B562}">
      <text>
        <r>
          <rPr>
            <sz val="10"/>
            <color rgb="FF000000"/>
            <rFont val="Aptos Narrow"/>
            <scheme val="minor"/>
          </rPr>
          <t>======
ID#AAABjx7qR18
    (2025-05-21 11:33:25)
凌華提前出貨故將此品項分開PI號碼.</t>
        </r>
      </text>
    </comment>
    <comment ref="H1677" authorId="0" shapeId="0" xr:uid="{0DA13B31-0F19-1746-938F-31E6906B3410}">
      <text>
        <r>
          <rPr>
            <sz val="10"/>
            <color rgb="FF000000"/>
            <rFont val="Aptos Narrow"/>
            <scheme val="minor"/>
          </rPr>
          <t>======
ID#AAABjx7qS-w
    (2025-05-21 11:33:26)
1116 chloe: 匯款匯入:US$21239</t>
        </r>
      </text>
    </comment>
    <comment ref="Q1677" authorId="0" shapeId="0" xr:uid="{47F9BDE4-5B47-A94C-A05A-4F67C3916B10}">
      <text>
        <r>
          <rPr>
            <sz val="10"/>
            <color rgb="FF000000"/>
            <rFont val="Aptos Narrow"/>
            <scheme val="minor"/>
          </rPr>
          <t>======
ID#AAABjx7qPU4
    (2025-05-21 11:33:24)
9/20 Cindy:下次訂購成本USD155/pc</t>
        </r>
      </text>
    </comment>
    <comment ref="H1678" authorId="0" shapeId="0" xr:uid="{F743D825-A869-0A4E-A887-3BCA5284EDC5}">
      <text>
        <r>
          <rPr>
            <sz val="10"/>
            <color rgb="FF000000"/>
            <rFont val="Aptos Narrow"/>
            <scheme val="minor"/>
          </rPr>
          <t>======
ID#AAABjx7qN60
    (2025-05-21 11:33:23)
1112 chloe:匯款匯入US$8,753</t>
        </r>
      </text>
    </comment>
    <comment ref="H1679" authorId="0" shapeId="0" xr:uid="{869FCE09-3865-7B41-AB6C-917927615A1B}">
      <text>
        <r>
          <rPr>
            <sz val="10"/>
            <color rgb="FF000000"/>
            <rFont val="Aptos Narrow"/>
            <scheme val="minor"/>
          </rPr>
          <t>======
ID#AAABjx7qSdg
    (2025-05-21 11:33:26)
1112 chloe:匯款匯入US$8,753</t>
        </r>
      </text>
    </comment>
    <comment ref="E1680" authorId="0" shapeId="0" xr:uid="{A1446A2A-9B40-5E49-A928-3ECD843506B0}">
      <text>
        <r>
          <rPr>
            <sz val="10"/>
            <color rgb="FF000000"/>
            <rFont val="Aptos Narrow"/>
            <scheme val="minor"/>
          </rPr>
          <t>======
ID#AAABjx7qQxU
    (2025-05-21 11:33:25)
規格:EU</t>
        </r>
      </text>
    </comment>
    <comment ref="H1680" authorId="0" shapeId="0" xr:uid="{F92AD626-0179-8844-95BD-67E853EDB2AB}">
      <text>
        <r>
          <rPr>
            <sz val="10"/>
            <color rgb="FF000000"/>
            <rFont val="Aptos Narrow"/>
            <scheme val="minor"/>
          </rPr>
          <t>======
ID#AAABjx7qN3M
    (2025-05-21 11:33:23)
1112 chloe:匯款匯入US$8,753</t>
        </r>
      </text>
    </comment>
    <comment ref="H1681" authorId="0" shapeId="0" xr:uid="{932A9D94-C379-2E4E-8CAC-E180956F759A}">
      <text>
        <r>
          <rPr>
            <sz val="10"/>
            <color rgb="FF000000"/>
            <rFont val="Aptos Narrow"/>
            <scheme val="minor"/>
          </rPr>
          <t>======
ID#AAABjx7qOCU
20181013 San    (2025-05-21 11:33:24)
出貨發票以PI 台幣金額為主
PI 有放到Google drive資料夾裡
1223 chloe:匯款匯入NT114,629</t>
        </r>
      </text>
    </comment>
    <comment ref="K1681" authorId="0" shapeId="0" xr:uid="{3058F8DE-B394-2140-8E57-419DB2FA2F23}">
      <text>
        <r>
          <rPr>
            <sz val="10"/>
            <color rgb="FF000000"/>
            <rFont val="Aptos Narrow"/>
            <scheme val="minor"/>
          </rPr>
          <t>======
ID#AAABjx7qSYQ
20181013 San    (2025-05-21 11:33:26)
出貨發票以PI 台幣金額為主
PI 有放到Google drive資料夾裡
1112 chloe:貨到交由Santiago</t>
        </r>
      </text>
    </comment>
    <comment ref="H1682" authorId="0" shapeId="0" xr:uid="{926C0530-7D14-EB4D-8363-CE27D02948BB}">
      <text>
        <r>
          <rPr>
            <sz val="10"/>
            <color rgb="FF000000"/>
            <rFont val="Aptos Narrow"/>
            <scheme val="minor"/>
          </rPr>
          <t>======
ID#AAABjx7qTLg
    (2025-05-21 11:33:26)
1223 chloe:匯款匯入NT114,629</t>
        </r>
      </text>
    </comment>
    <comment ref="K1682" authorId="0" shapeId="0" xr:uid="{BEB92AD4-2406-594A-8B32-83F63CC95257}">
      <text>
        <r>
          <rPr>
            <sz val="10"/>
            <color rgb="FF000000"/>
            <rFont val="Aptos Narrow"/>
            <scheme val="minor"/>
          </rPr>
          <t>======
ID#AAABjx7qSHE
20181013 San    (2025-05-21 11:33:26)
出貨發票以PI 台幣金額為主
PI 有放到Google drive資料夾裡
1112 chloe:貨到交由Santiago</t>
        </r>
      </text>
    </comment>
    <comment ref="H1683" authorId="0" shapeId="0" xr:uid="{6160030A-C7A0-FA49-A474-C96E457CAD9D}">
      <text>
        <r>
          <rPr>
            <sz val="10"/>
            <color rgb="FF000000"/>
            <rFont val="Aptos Narrow"/>
            <scheme val="minor"/>
          </rPr>
          <t>======
ID#AAABjx7qV0U
    (2025-05-21 11:33:27)
1223 chloe:匯款匯入NT114,629</t>
        </r>
      </text>
    </comment>
    <comment ref="K1683" authorId="0" shapeId="0" xr:uid="{7670223D-E036-614C-B35F-817F0C9B6B1B}">
      <text>
        <r>
          <rPr>
            <sz val="10"/>
            <color rgb="FF000000"/>
            <rFont val="Aptos Narrow"/>
            <scheme val="minor"/>
          </rPr>
          <t>======
ID#AAABjx7qOAo
20181013 San    (2025-05-21 11:33:24)
出貨發票以PI 台幣金額為主
PI 有放到Google drive資料夾裡
1112 chloe:貨到交由Santiago</t>
        </r>
      </text>
    </comment>
    <comment ref="H1684" authorId="0" shapeId="0" xr:uid="{E6C46986-EE77-644A-A592-84EDAC46D79C}">
      <text>
        <r>
          <rPr>
            <sz val="10"/>
            <color rgb="FF000000"/>
            <rFont val="Aptos Narrow"/>
            <scheme val="minor"/>
          </rPr>
          <t>======
ID#AAABjx7qNsw
    (2025-05-21 11:33:23)
1223 chloe:匯款匯入NT114,629</t>
        </r>
      </text>
    </comment>
    <comment ref="K1684" authorId="0" shapeId="0" xr:uid="{250F5247-BA06-4144-9C12-E11CAF5BB77C}">
      <text>
        <r>
          <rPr>
            <sz val="10"/>
            <color rgb="FF000000"/>
            <rFont val="Aptos Narrow"/>
            <scheme val="minor"/>
          </rPr>
          <t>======
ID#AAABjx7qTmc
20181013 San    (2025-05-21 11:33:26)
出貨發票以PI 台幣金額為主
PI 有放到Google drive資料夾裡
1112 chloe:貨到交由Santiago</t>
        </r>
      </text>
    </comment>
    <comment ref="H1685" authorId="0" shapeId="0" xr:uid="{35EC2461-5184-9F46-AB2A-662AB0337BD8}">
      <text>
        <r>
          <rPr>
            <sz val="10"/>
            <color rgb="FF000000"/>
            <rFont val="Aptos Narrow"/>
            <scheme val="minor"/>
          </rPr>
          <t>======
ID#AAABjx7qWGU
    (2025-05-21 11:33:27)
1223 chloe:匯款匯入NT114,629</t>
        </r>
      </text>
    </comment>
    <comment ref="K1685" authorId="0" shapeId="0" xr:uid="{5747C380-404B-C545-9DDD-6D01638291FF}">
      <text>
        <r>
          <rPr>
            <sz val="10"/>
            <color rgb="FF000000"/>
            <rFont val="Aptos Narrow"/>
            <scheme val="minor"/>
          </rPr>
          <t>======
ID#AAABjx7qRPI
20181013 San    (2025-05-21 11:33:25)
出貨發票以PI 台幣金額為主
PI 有放到Google drive資料夾裡
1112 chloe:貨到交由Santiago</t>
        </r>
      </text>
    </comment>
    <comment ref="V1685" authorId="0" shapeId="0" xr:uid="{9435F6F1-3320-5D45-838B-B9AE31E38507}">
      <text>
        <r>
          <rPr>
            <sz val="10"/>
            <color rgb="FF000000"/>
            <rFont val="Aptos Narrow"/>
            <scheme val="minor"/>
          </rPr>
          <t>======
ID#AAABjx7qPVY
    (2025-05-21 11:33:24)
購於森森購物</t>
        </r>
      </text>
    </comment>
    <comment ref="H1686" authorId="0" shapeId="0" xr:uid="{181D0308-F03C-3E46-A224-16C879399622}">
      <text>
        <r>
          <rPr>
            <sz val="10"/>
            <color rgb="FF000000"/>
            <rFont val="Aptos Narrow"/>
            <scheme val="minor"/>
          </rPr>
          <t>======
ID#AAABjx7qROI
    (2025-05-21 11:33:25)
1223 chloe:匯款匯入NT114,629</t>
        </r>
      </text>
    </comment>
    <comment ref="K1686" authorId="0" shapeId="0" xr:uid="{A4C9A744-AD79-574B-9000-331B96873467}">
      <text>
        <r>
          <rPr>
            <sz val="10"/>
            <color rgb="FF000000"/>
            <rFont val="Aptos Narrow"/>
            <scheme val="minor"/>
          </rPr>
          <t>======
ID#AAABjx7qOuw
20181013 San    (2025-05-21 11:33:24)
出貨發票以PI 台幣金額為主
PI 有放到Google drive資料夾裡
1112 chloe:貨到交由Santiago</t>
        </r>
      </text>
    </comment>
    <comment ref="E1687" authorId="0" shapeId="0" xr:uid="{062A45D9-3265-BF4F-9724-4E0E1AD1E860}">
      <text>
        <r>
          <rPr>
            <sz val="10"/>
            <color rgb="FF000000"/>
            <rFont val="Aptos Narrow"/>
            <scheme val="minor"/>
          </rPr>
          <t>======
ID#AAABjx7qOCQ
    (2025-05-21 11:33:24)
1023 chloe:增加敘述</t>
        </r>
      </text>
    </comment>
    <comment ref="H1687" authorId="0" shapeId="0" xr:uid="{BADC9868-5447-9E42-9EC0-D9EE2B9B789F}">
      <text>
        <r>
          <rPr>
            <sz val="10"/>
            <color rgb="FF000000"/>
            <rFont val="Aptos Narrow"/>
            <scheme val="minor"/>
          </rPr>
          <t>======
ID#AAABjx7qPZ4
    (2025-05-21 11:33:24)
1223 chloe:匯款匯入NT114,629</t>
        </r>
      </text>
    </comment>
    <comment ref="K1687" authorId="0" shapeId="0" xr:uid="{334A1D39-4B28-9C4D-9991-FA0CC98C7E8A}">
      <text>
        <r>
          <rPr>
            <sz val="10"/>
            <color rgb="FF000000"/>
            <rFont val="Aptos Narrow"/>
            <scheme val="minor"/>
          </rPr>
          <t>======
ID#AAABjx7qPa8
20181013 San    (2025-05-21 11:33:24)
出貨發票以PI 台幣金額為主
PI 有放到Google drive資料夾裡
1112 chloe:貨到交由Santiago</t>
        </r>
      </text>
    </comment>
    <comment ref="H1688" authorId="0" shapeId="0" xr:uid="{0B2A03DF-16EE-624C-BB7A-6D682B27C60C}">
      <text>
        <r>
          <rPr>
            <sz val="10"/>
            <color rgb="FF000000"/>
            <rFont val="Aptos Narrow"/>
            <scheme val="minor"/>
          </rPr>
          <t>======
ID#AAABjx7qSGM
    (2025-05-21 11:33:26)
1023 chloe: 匯款匯入US 23,395</t>
        </r>
      </text>
    </comment>
    <comment ref="K1688" authorId="0" shapeId="0" xr:uid="{6441E884-8AFC-AF49-A398-D41FE8643485}">
      <text>
        <r>
          <rPr>
            <sz val="10"/>
            <color rgb="FF000000"/>
            <rFont val="Aptos Narrow"/>
            <scheme val="minor"/>
          </rPr>
          <t>======
ID#AAABjx7qNT4
20181008 San    (2025-05-21 11:33:23)
待我確認貨款後, 再出貨
20181022 chloe: 已預先給予出口報單備查</t>
        </r>
      </text>
    </comment>
    <comment ref="H1689" authorId="0" shapeId="0" xr:uid="{C37EF567-5AAA-2F45-B1F9-BE1FBD5B4DBA}">
      <text>
        <r>
          <rPr>
            <sz val="10"/>
            <color rgb="FF000000"/>
            <rFont val="Aptos Narrow"/>
            <scheme val="minor"/>
          </rPr>
          <t>======
ID#AAABjx7qVgw
    (2025-05-21 11:33:27)
1023 chloe: 匯款匯入US 23,395</t>
        </r>
      </text>
    </comment>
    <comment ref="K1689" authorId="0" shapeId="0" xr:uid="{3947E63C-87B3-4942-83BE-12631DAAC3AD}">
      <text>
        <r>
          <rPr>
            <sz val="10"/>
            <color rgb="FF000000"/>
            <rFont val="Aptos Narrow"/>
            <scheme val="minor"/>
          </rPr>
          <t>======
ID#AAABjx7qR0Y
20181008 San    (2025-05-21 11:33:25)
待我確認貨款後, 再出貨
20181022 chloe: 已預先給予出口報單備查</t>
        </r>
      </text>
    </comment>
    <comment ref="H1690" authorId="0" shapeId="0" xr:uid="{18193AFC-BDAC-3043-A904-3F8168BB8B76}">
      <text>
        <r>
          <rPr>
            <sz val="10"/>
            <color rgb="FF000000"/>
            <rFont val="Aptos Narrow"/>
            <scheme val="minor"/>
          </rPr>
          <t>======
ID#AAABjx7qRg8
    (2025-05-21 11:33:25)
1023 chloe: 匯款匯入US 23,395</t>
        </r>
      </text>
    </comment>
    <comment ref="K1690" authorId="0" shapeId="0" xr:uid="{AC545E18-FDFC-8C41-A80C-470261CF2EA3}">
      <text>
        <r>
          <rPr>
            <sz val="10"/>
            <color rgb="FF000000"/>
            <rFont val="Aptos Narrow"/>
            <scheme val="minor"/>
          </rPr>
          <t>======
ID#AAABjx7qPsM
20181008 San    (2025-05-21 11:33:24)
待我確認貨款後, 再出貨
20181022 chloe: 已預先給予出口報單備查</t>
        </r>
      </text>
    </comment>
    <comment ref="H1694" authorId="0" shapeId="0" xr:uid="{D0F2B851-7CA3-B44D-8BC3-548BA582212D}">
      <text>
        <r>
          <rPr>
            <sz val="10"/>
            <color rgb="FF000000"/>
            <rFont val="Aptos Narrow"/>
            <scheme val="minor"/>
          </rPr>
          <t>======
ID#AAABjx7qPNg
    (2025-05-21 11:33:24)
1112 chloe:匯款匯入US$8,753</t>
        </r>
      </text>
    </comment>
    <comment ref="H1695" authorId="0" shapeId="0" xr:uid="{47D467B6-6DBA-394B-8645-C531CBE07CA1}">
      <text>
        <r>
          <rPr>
            <sz val="10"/>
            <color rgb="FF000000"/>
            <rFont val="Aptos Narrow"/>
            <scheme val="minor"/>
          </rPr>
          <t>======
ID#AAABjx7qVL0
    (2025-05-21 11:33:27)
1223 chloe:匯款匯入NT114,629</t>
        </r>
      </text>
    </comment>
    <comment ref="K1695" authorId="0" shapeId="0" xr:uid="{02F8BC47-AAD5-DC48-94D7-E7503A141B65}">
      <text>
        <r>
          <rPr>
            <sz val="10"/>
            <color rgb="FF000000"/>
            <rFont val="Aptos Narrow"/>
            <scheme val="minor"/>
          </rPr>
          <t>======
ID#AAABjx7qOQc
20181013 San    (2025-05-21 11:33:24)
出貨發票以PI 台幣金額為主
PI 有放到Google drive資料夾裡</t>
        </r>
      </text>
    </comment>
    <comment ref="M1695" authorId="0" shapeId="0" xr:uid="{C790D111-90A8-3C40-9F32-8670F6F34463}">
      <text>
        <r>
          <rPr>
            <sz val="10"/>
            <color rgb="FF000000"/>
            <rFont val="Aptos Narrow"/>
            <scheme val="minor"/>
          </rPr>
          <t>======
ID#AAABjx7qTsg
    (2025-05-21 11:33:26)
1112 chloe:貨到交由Santiago</t>
        </r>
      </text>
    </comment>
    <comment ref="H1696" authorId="0" shapeId="0" xr:uid="{9EEDEE98-A003-A747-B871-76B1B0833A77}">
      <text>
        <r>
          <rPr>
            <sz val="10"/>
            <color rgb="FF000000"/>
            <rFont val="Aptos Narrow"/>
            <scheme val="minor"/>
          </rPr>
          <t>======
ID#AAABjx7qQ5c
    (2025-05-21 11:33:25)
1223 chloe:匯款匯入NT114,629</t>
        </r>
      </text>
    </comment>
    <comment ref="K1696" authorId="0" shapeId="0" xr:uid="{1B0D1867-51C6-6B4C-B016-2BB880274233}">
      <text>
        <r>
          <rPr>
            <sz val="10"/>
            <color rgb="FF000000"/>
            <rFont val="Aptos Narrow"/>
            <scheme val="minor"/>
          </rPr>
          <t>======
ID#AAABjx7qPEI
20181013 San    (2025-05-21 11:33:24)
出貨發票以PI 台幣金額為主
PI 有放到Google drive資料夾裡</t>
        </r>
      </text>
    </comment>
    <comment ref="M1696" authorId="0" shapeId="0" xr:uid="{72C01D80-3F4A-0845-AC20-AE2D04146800}">
      <text>
        <r>
          <rPr>
            <sz val="10"/>
            <color rgb="FF000000"/>
            <rFont val="Aptos Narrow"/>
            <scheme val="minor"/>
          </rPr>
          <t>======
ID#AAABjx7qRFE
    (2025-05-21 11:33:25)
1112 chloe:貨到交由Santiago</t>
        </r>
      </text>
    </comment>
    <comment ref="E1697" authorId="0" shapeId="0" xr:uid="{56A9C960-7793-CB44-9F4E-3945746A7E92}">
      <text>
        <r>
          <rPr>
            <sz val="10"/>
            <color rgb="FF000000"/>
            <rFont val="Aptos Narrow"/>
            <scheme val="minor"/>
          </rPr>
          <t>======
ID#AAABjx7qPg8
    (2025-05-21 11:33:24)
1024 chloe:增加供應商產品型號</t>
        </r>
      </text>
    </comment>
    <comment ref="H1697" authorId="0" shapeId="0" xr:uid="{1FB18D1B-2D85-F946-BC2B-72D6EBD9B010}">
      <text>
        <r>
          <rPr>
            <sz val="10"/>
            <color rgb="FF000000"/>
            <rFont val="Aptos Narrow"/>
            <scheme val="minor"/>
          </rPr>
          <t>======
ID#AAABjx7qS68
    (2025-05-21 11:33:26)
1223 chloe:匯款匯入NT114,629</t>
        </r>
      </text>
    </comment>
    <comment ref="K1697" authorId="0" shapeId="0" xr:uid="{E926F770-5A8D-3446-9119-A677E15113EA}">
      <text>
        <r>
          <rPr>
            <sz val="10"/>
            <color rgb="FF000000"/>
            <rFont val="Aptos Narrow"/>
            <scheme val="minor"/>
          </rPr>
          <t>======
ID#AAABjx7qOC0
20181013 San    (2025-05-21 11:33:24)
出貨發票以PI 台幣金額為主
PI 有放到Google drive資料夾裡</t>
        </r>
      </text>
    </comment>
    <comment ref="M1697" authorId="0" shapeId="0" xr:uid="{78A434A8-4107-5443-9646-470B061E17C3}">
      <text>
        <r>
          <rPr>
            <sz val="10"/>
            <color rgb="FF000000"/>
            <rFont val="Aptos Narrow"/>
            <scheme val="minor"/>
          </rPr>
          <t>======
ID#AAABjx7qOag
    (2025-05-21 11:33:24)
1112 chloe:貨到交由Santiago</t>
        </r>
      </text>
    </comment>
    <comment ref="H1698" authorId="0" shapeId="0" xr:uid="{FF1A3C53-19B8-B146-9A2F-48F73975320C}">
      <text>
        <r>
          <rPr>
            <sz val="10"/>
            <color rgb="FF000000"/>
            <rFont val="Aptos Narrow"/>
            <scheme val="minor"/>
          </rPr>
          <t>======
ID#AAABjx7qVcU
    (2025-05-21 11:33:27)
1223 chloe:匯款匯入NT114,629</t>
        </r>
      </text>
    </comment>
    <comment ref="K1698" authorId="0" shapeId="0" xr:uid="{814E91D5-818D-B84F-ACE4-E96A9C2EFC0D}">
      <text>
        <r>
          <rPr>
            <sz val="10"/>
            <color rgb="FF000000"/>
            <rFont val="Aptos Narrow"/>
            <scheme val="minor"/>
          </rPr>
          <t>======
ID#AAABjx7qRew
20181013 San    (2025-05-21 11:33:25)
出貨發票以PI 台幣金額為主
PI 有放到Google drive資料夾裡</t>
        </r>
      </text>
    </comment>
    <comment ref="M1698" authorId="0" shapeId="0" xr:uid="{4D49F60A-5584-9F41-BDCF-CDAAB53FAA72}">
      <text>
        <r>
          <rPr>
            <sz val="10"/>
            <color rgb="FF000000"/>
            <rFont val="Aptos Narrow"/>
            <scheme val="minor"/>
          </rPr>
          <t>======
ID#AAABjx7qQG0
    (2025-05-21 11:33:25)
1112 chloe:貨到交由Santiago</t>
        </r>
      </text>
    </comment>
    <comment ref="H1699" authorId="0" shapeId="0" xr:uid="{748623B1-1B5A-1E45-B9ED-6E53C34340FA}">
      <text>
        <r>
          <rPr>
            <sz val="10"/>
            <color rgb="FF000000"/>
            <rFont val="Aptos Narrow"/>
            <scheme val="minor"/>
          </rPr>
          <t>======
ID#AAABjx7qSoQ
    (2025-05-21 11:33:26)
1223 chloe:匯款匯入NT114,629</t>
        </r>
      </text>
    </comment>
    <comment ref="K1699" authorId="0" shapeId="0" xr:uid="{52E43F4C-9398-5B48-934E-50A6B8F1CDB6}">
      <text>
        <r>
          <rPr>
            <sz val="10"/>
            <color rgb="FF000000"/>
            <rFont val="Aptos Narrow"/>
            <scheme val="minor"/>
          </rPr>
          <t>======
ID#AAABjx7qQ18
20181013 San    (2025-05-21 11:33:25)
出貨發票以PI 台幣金額為主
PI 有放到Google drive資料夾裡</t>
        </r>
      </text>
    </comment>
    <comment ref="M1699" authorId="0" shapeId="0" xr:uid="{97F60AFC-B97D-7441-8E13-80ED58BEF4DB}">
      <text>
        <r>
          <rPr>
            <sz val="10"/>
            <color rgb="FF000000"/>
            <rFont val="Aptos Narrow"/>
            <scheme val="minor"/>
          </rPr>
          <t>======
ID#AAABjx7qOBw
    (2025-05-21 11:33:24)
1112 chloe:貨到交由Santiago</t>
        </r>
      </text>
    </comment>
    <comment ref="E1700" authorId="0" shapeId="0" xr:uid="{8A813E6C-5A06-9A4C-8E73-1AE3E34EB236}">
      <text>
        <r>
          <rPr>
            <sz val="10"/>
            <color rgb="FF000000"/>
            <rFont val="Aptos Narrow"/>
            <scheme val="minor"/>
          </rPr>
          <t>======
ID#AAABjx7qUxk
    (2025-05-21 11:33:26)
1113 Cindy: 原型號 SOD03停產, 改以SOD04代替</t>
        </r>
      </text>
    </comment>
    <comment ref="H1700" authorId="0" shapeId="0" xr:uid="{C5939C54-ABF4-3446-A30E-A435E8946A62}">
      <text>
        <r>
          <rPr>
            <sz val="10"/>
            <color rgb="FF000000"/>
            <rFont val="Aptos Narrow"/>
            <scheme val="minor"/>
          </rPr>
          <t>======
ID#AAABjx7qOBg
    (2025-05-21 11:33:24)
1223 chloe:匯款匯入NT114,629</t>
        </r>
      </text>
    </comment>
    <comment ref="K1700" authorId="0" shapeId="0" xr:uid="{49F0941D-9F2E-D04E-AEF5-D7EB553075E3}">
      <text>
        <r>
          <rPr>
            <sz val="10"/>
            <color rgb="FF000000"/>
            <rFont val="Aptos Narrow"/>
            <scheme val="minor"/>
          </rPr>
          <t>======
ID#AAABjx7qN6I
20181013 San    (2025-05-21 11:33:23)
出貨發票以PI 台幣金額為主
PI 有放到Google drive資料夾裡</t>
        </r>
      </text>
    </comment>
    <comment ref="U1700" authorId="0" shapeId="0" xr:uid="{88FC828B-67F5-EA49-92C3-50006A82B525}">
      <text>
        <r>
          <rPr>
            <sz val="10"/>
            <color rgb="FF000000"/>
            <rFont val="Aptos Narrow"/>
            <scheme val="minor"/>
          </rPr>
          <t>======
ID#AAABjx7qRnU
    (2025-05-21 11:33:25)
1113 Cindy: 成本$2,590+運費60=2,650</t>
        </r>
      </text>
    </comment>
    <comment ref="E1701" authorId="0" shapeId="0" xr:uid="{0D91D004-432F-2B40-B459-2A52C3C86CAF}">
      <text>
        <r>
          <rPr>
            <sz val="10"/>
            <color rgb="FF000000"/>
            <rFont val="Aptos Narrow"/>
            <scheme val="minor"/>
          </rPr>
          <t>======
ID#AAABjx7qWKE
20181013 San    (2025-05-21 11:33:27)
機構問題待開偉確定</t>
        </r>
      </text>
    </comment>
    <comment ref="H1701" authorId="0" shapeId="0" xr:uid="{929B62E7-6412-9B48-883A-70673657C54B}">
      <text>
        <r>
          <rPr>
            <sz val="10"/>
            <color rgb="FF000000"/>
            <rFont val="Aptos Narrow"/>
            <scheme val="minor"/>
          </rPr>
          <t>======
ID#AAABjx7qPCw
    (2025-05-21 11:33:24)
1223 chloe:匯款匯入NT114,629</t>
        </r>
      </text>
    </comment>
    <comment ref="K1701" authorId="0" shapeId="0" xr:uid="{13A97E1C-C445-5A40-8B61-2FF9EF9C2EDE}">
      <text>
        <r>
          <rPr>
            <sz val="10"/>
            <color rgb="FF000000"/>
            <rFont val="Aptos Narrow"/>
            <scheme val="minor"/>
          </rPr>
          <t>======
ID#AAABjx7qWOc
20181013 San    (2025-05-21 11:33:27)
出貨發票以PI 台幣金額為主
PI 有放到Google drive資料夾裡</t>
        </r>
      </text>
    </comment>
    <comment ref="H1702" authorId="0" shapeId="0" xr:uid="{065DAF3D-57EF-F14A-8E08-82FDAA9242A1}">
      <text>
        <r>
          <rPr>
            <sz val="10"/>
            <color rgb="FF000000"/>
            <rFont val="Aptos Narrow"/>
            <scheme val="minor"/>
          </rPr>
          <t>======
ID#AAABjx7qQ_A
    (2025-05-21 11:33:25)
1223 chloe:匯款匯入NT114,629</t>
        </r>
      </text>
    </comment>
    <comment ref="K1702" authorId="0" shapeId="0" xr:uid="{5DFC9B0C-01FA-1449-B604-BAB7A37B1623}">
      <text>
        <r>
          <rPr>
            <sz val="10"/>
            <color rgb="FF000000"/>
            <rFont val="Aptos Narrow"/>
            <scheme val="minor"/>
          </rPr>
          <t>======
ID#AAABjx7qNwA
20181013 San    (2025-05-21 11:33:23)
出貨發票以PI 台幣金額為主
PI 有放到Google drive資料夾裡</t>
        </r>
      </text>
    </comment>
    <comment ref="M1702" authorId="0" shapeId="0" xr:uid="{3203BF00-D06A-4748-B9D0-265B7B9C8EEA}">
      <text>
        <r>
          <rPr>
            <sz val="10"/>
            <color rgb="FF000000"/>
            <rFont val="Aptos Narrow"/>
            <scheme val="minor"/>
          </rPr>
          <t>======
ID#AAABjx7qQyk
    (2025-05-21 11:33:25)
1112 chloe:貨到交由Santiago</t>
        </r>
      </text>
    </comment>
    <comment ref="E1703" authorId="0" shapeId="0" xr:uid="{77EA716B-BEF1-344F-ADC5-6E3CD8824EEE}">
      <text>
        <r>
          <rPr>
            <sz val="10"/>
            <color rgb="FF000000"/>
            <rFont val="Aptos Narrow"/>
            <scheme val="minor"/>
          </rPr>
          <t>======
ID#AAABjx7qSXo
    (2025-05-21 11:33:26)
1023 chloe:增加敘述</t>
        </r>
      </text>
    </comment>
    <comment ref="H1703" authorId="0" shapeId="0" xr:uid="{56F9E037-6CBF-4C4F-8A62-59616B59A56B}">
      <text>
        <r>
          <rPr>
            <sz val="10"/>
            <color rgb="FF000000"/>
            <rFont val="Aptos Narrow"/>
            <scheme val="minor"/>
          </rPr>
          <t>======
ID#AAABjx7qU7I
    (2025-05-21 11:33:27)
1223 chloe:匯款匯入NT114,629</t>
        </r>
      </text>
    </comment>
    <comment ref="K1703" authorId="0" shapeId="0" xr:uid="{609431A4-B08D-E548-8006-3383D3C1BD21}">
      <text>
        <r>
          <rPr>
            <sz val="10"/>
            <color rgb="FF000000"/>
            <rFont val="Aptos Narrow"/>
            <scheme val="minor"/>
          </rPr>
          <t>======
ID#AAABjx7qNts
20181013 San    (2025-05-21 11:33:23)
出貨發票以PI 台幣金額為主
PI 有放到Google drive資料夾裡</t>
        </r>
      </text>
    </comment>
    <comment ref="M1703" authorId="0" shapeId="0" xr:uid="{B2BD7E3E-0C3A-9D46-A094-6FCAD8FC7D85}">
      <text>
        <r>
          <rPr>
            <sz val="10"/>
            <color rgb="FF000000"/>
            <rFont val="Aptos Narrow"/>
            <scheme val="minor"/>
          </rPr>
          <t>======
ID#AAABjx7qV8o
    (2025-05-21 11:33:27)
1112 chloe:貨到交由Santiago</t>
        </r>
      </text>
    </comment>
    <comment ref="H1704" authorId="0" shapeId="0" xr:uid="{A292709F-C5B8-FF4B-954A-F4A0CB69360F}">
      <text>
        <r>
          <rPr>
            <sz val="10"/>
            <color rgb="FF000000"/>
            <rFont val="Aptos Narrow"/>
            <scheme val="minor"/>
          </rPr>
          <t>======
ID#AAABjx7qQmg
    (2025-05-21 11:33:25)
1223 chloe:匯款匯入NT114,629</t>
        </r>
      </text>
    </comment>
    <comment ref="K1704" authorId="0" shapeId="0" xr:uid="{4A49536A-ED43-1F41-A725-5549A2EB2F5E}">
      <text>
        <r>
          <rPr>
            <sz val="10"/>
            <color rgb="FF000000"/>
            <rFont val="Aptos Narrow"/>
            <scheme val="minor"/>
          </rPr>
          <t>======
ID#AAABjx7qNV8
20181013 San    (2025-05-21 11:33:23)
出貨發票以PI 台幣金額為主
PI 有放到Google drive資料夾裡</t>
        </r>
      </text>
    </comment>
    <comment ref="M1704" authorId="0" shapeId="0" xr:uid="{2C7B8410-61E0-E448-8111-611E58FEC55F}">
      <text>
        <r>
          <rPr>
            <sz val="10"/>
            <color rgb="FF000000"/>
            <rFont val="Aptos Narrow"/>
            <scheme val="minor"/>
          </rPr>
          <t>======
ID#AAABjx7qPvY
    (2025-05-21 11:33:24)
1112 chloe:貨到交由Santiago
20181013 San:
出貨發票以PI 台幣金額為主
PI 有放到Google drive資料夾裡
20181023 chloe:交期抓過短，已先行通知開偉11/19</t>
        </r>
      </text>
    </comment>
    <comment ref="H1705" authorId="0" shapeId="0" xr:uid="{4A35036F-C8AF-A54D-9FEB-A5BF27188A5E}">
      <text>
        <r>
          <rPr>
            <sz val="10"/>
            <color rgb="FF000000"/>
            <rFont val="Aptos Narrow"/>
            <scheme val="minor"/>
          </rPr>
          <t>======
ID#AAABjx7qR6w
    (2025-05-21 11:33:25)
1223 chloe:匯款匯入NT114,629</t>
        </r>
      </text>
    </comment>
    <comment ref="K1705" authorId="0" shapeId="0" xr:uid="{766AB5C8-13BC-1D43-B644-73D9D316F951}">
      <text>
        <r>
          <rPr>
            <sz val="10"/>
            <color rgb="FF000000"/>
            <rFont val="Aptos Narrow"/>
            <scheme val="minor"/>
          </rPr>
          <t>======
ID#AAABjx7qNwo
20181013 San    (2025-05-21 11:33:23)
出貨發票以PI 台幣金額為主
PI 有放到Google drive資料夾裡</t>
        </r>
      </text>
    </comment>
    <comment ref="M1705" authorId="0" shapeId="0" xr:uid="{5E0CC247-10B4-7443-9A4B-8DA7082961D0}">
      <text>
        <r>
          <rPr>
            <sz val="10"/>
            <color rgb="FF000000"/>
            <rFont val="Aptos Narrow"/>
            <scheme val="minor"/>
          </rPr>
          <t>======
ID#AAABj82dpL8
20181013 San    (2025-05-21 11:33:23)
出貨發票以PI 台幣金額為主
PI 有放到Google drive資料夾裡</t>
        </r>
      </text>
    </comment>
    <comment ref="H1706" authorId="0" shapeId="0" xr:uid="{521943DD-6EED-4A40-A4CD-CE2AB6654543}">
      <text>
        <r>
          <rPr>
            <sz val="10"/>
            <color rgb="FF000000"/>
            <rFont val="Aptos Narrow"/>
            <scheme val="minor"/>
          </rPr>
          <t>======
ID#AAABjx7qR5E
    (2025-05-21 11:33:25)
1112 chloe:匯款匯入US$8,753</t>
        </r>
      </text>
    </comment>
    <comment ref="H1707" authorId="0" shapeId="0" xr:uid="{1B35771C-2D55-4B40-926E-598B507C5ACD}">
      <text>
        <r>
          <rPr>
            <sz val="10"/>
            <color rgb="FF000000"/>
            <rFont val="Aptos Narrow"/>
            <scheme val="minor"/>
          </rPr>
          <t>======
ID#AAABj82dpJA
    (2025-05-21 11:33:23)
1112 chloe:匯款匯入US$8,753</t>
        </r>
      </text>
    </comment>
    <comment ref="H1708" authorId="0" shapeId="0" xr:uid="{A3BF6F5A-7BC4-9546-AF16-AAF7F50F5DCF}">
      <text>
        <r>
          <rPr>
            <sz val="10"/>
            <color rgb="FF000000"/>
            <rFont val="Aptos Narrow"/>
            <scheme val="minor"/>
          </rPr>
          <t>======
ID#AAABjx7qP3Q
    (2025-05-21 11:33:24)
1112 chloe:匯款匯入US$8,753</t>
        </r>
      </text>
    </comment>
    <comment ref="H1709" authorId="0" shapeId="0" xr:uid="{D223DE10-F514-2A42-9ECA-9DC6AC5F9D27}">
      <text>
        <r>
          <rPr>
            <sz val="10"/>
            <color rgb="FF000000"/>
            <rFont val="Aptos Narrow"/>
            <scheme val="minor"/>
          </rPr>
          <t>======
ID#AAABjx7qUzo
    (2025-05-21 11:33:26)
1119 chloe:匯款匯入US392.5</t>
        </r>
      </text>
    </comment>
    <comment ref="H1710" authorId="0" shapeId="0" xr:uid="{07EB1C95-3888-0F43-8B18-44531092634F}">
      <text>
        <r>
          <rPr>
            <sz val="10"/>
            <color rgb="FF000000"/>
            <rFont val="Aptos Narrow"/>
            <scheme val="minor"/>
          </rPr>
          <t>======
ID#AAABjx7qVTY
    (2025-05-21 11:33:27)
1119 chloe:匯款匯入US392.5</t>
        </r>
      </text>
    </comment>
    <comment ref="G1711" authorId="0" shapeId="0" xr:uid="{F652A230-1F12-6748-9FEF-5348F6E03E76}">
      <text>
        <r>
          <rPr>
            <sz val="10"/>
            <color rgb="FF000000"/>
            <rFont val="Aptos Narrow"/>
            <scheme val="minor"/>
          </rPr>
          <t>======
ID#AAABjx7qVsc
    (2025-05-21 11:33:27)
w/5%VAT</t>
        </r>
      </text>
    </comment>
    <comment ref="H1711" authorId="0" shapeId="0" xr:uid="{8584FAE7-1B33-3246-A120-003FB495D37C}">
      <text>
        <r>
          <rPr>
            <sz val="10"/>
            <color rgb="FF000000"/>
            <rFont val="Aptos Narrow"/>
            <scheme val="minor"/>
          </rPr>
          <t>======
ID#AAABjx7qTW4
    (2025-05-21 11:33:26)
1126 chloe:匯款匯入46,403</t>
        </r>
      </text>
    </comment>
    <comment ref="H1712" authorId="0" shapeId="0" xr:uid="{7D3A6B2B-2667-A249-B837-D3128D3F5E46}">
      <text>
        <r>
          <rPr>
            <sz val="10"/>
            <color rgb="FF000000"/>
            <rFont val="Aptos Narrow"/>
            <scheme val="minor"/>
          </rPr>
          <t>======
ID#AAABjx7qS1M
    (2025-05-21 11:33:26)
1220 chloe: 匯款匯入US$32647.5</t>
        </r>
      </text>
    </comment>
    <comment ref="H1713" authorId="0" shapeId="0" xr:uid="{AE011153-7F2B-694A-AAB3-1B4A8330D429}">
      <text>
        <r>
          <rPr>
            <sz val="10"/>
            <color rgb="FF000000"/>
            <rFont val="Aptos Narrow"/>
            <scheme val="minor"/>
          </rPr>
          <t>======
ID#AAABjx7qQuc
    (2025-05-21 11:33:25)
0123 Mary: 匯款匯入 US$362</t>
        </r>
      </text>
    </comment>
    <comment ref="K1713" authorId="0" shapeId="0" xr:uid="{87D1F221-5792-6D4A-964C-5E823E80B54E}">
      <text>
        <r>
          <rPr>
            <sz val="10"/>
            <color rgb="FF000000"/>
            <rFont val="Aptos Narrow"/>
            <scheme val="minor"/>
          </rPr>
          <t>======
ID#AAABj82dpHY
    (2025-05-21 11:33:23)
Cindy: Freight Invoice開立日期:12/11</t>
        </r>
      </text>
    </comment>
    <comment ref="H1714" authorId="0" shapeId="0" xr:uid="{D6372A30-D29C-0F4D-B3AF-42A3A3E17FE7}">
      <text>
        <r>
          <rPr>
            <sz val="10"/>
            <color rgb="FF000000"/>
            <rFont val="Aptos Narrow"/>
            <scheme val="minor"/>
          </rPr>
          <t>======
ID#AAABjx7qPV0
    (2025-05-21 11:33:24)
1003 chloe:匯款匯入US$1247
1025 chloe:匯款匯入US$1247</t>
        </r>
      </text>
    </comment>
    <comment ref="H1715" authorId="0" shapeId="0" xr:uid="{5602C40B-7C25-C546-AD46-4A883F521F56}">
      <text>
        <r>
          <rPr>
            <sz val="10"/>
            <color rgb="FF000000"/>
            <rFont val="Aptos Narrow"/>
            <scheme val="minor"/>
          </rPr>
          <t>======
ID#AAABjx7qNP4
    (2025-05-21 11:33:23)
1003 chloe:匯款匯入US$1247
1025 chloe:匯款匯入US$1247</t>
        </r>
      </text>
    </comment>
    <comment ref="H1716" authorId="0" shapeId="0" xr:uid="{03AF5B22-0F16-B549-834E-EA011527768C}">
      <text>
        <r>
          <rPr>
            <sz val="10"/>
            <color rgb="FF000000"/>
            <rFont val="Aptos Narrow"/>
            <scheme val="minor"/>
          </rPr>
          <t>======
ID#AAABjx7qO4Q
    (2025-05-21 11:33:24)
1120 chloe:匯款匯入US$6410</t>
        </r>
      </text>
    </comment>
    <comment ref="H1717" authorId="0" shapeId="0" xr:uid="{FE035CB2-7083-0B4C-91E6-40E5E91F1C73}">
      <text>
        <r>
          <rPr>
            <sz val="10"/>
            <color rgb="FF000000"/>
            <rFont val="Aptos Narrow"/>
            <scheme val="minor"/>
          </rPr>
          <t>======
ID#AAABjx7qO1o
    (2025-05-21 11:33:24)
1120 chloe:匯款匯入US$6410</t>
        </r>
      </text>
    </comment>
    <comment ref="H1718" authorId="0" shapeId="0" xr:uid="{3C3BFA17-558C-2648-9A1A-A9E1DF4F6796}">
      <text>
        <r>
          <rPr>
            <sz val="10"/>
            <color rgb="FF000000"/>
            <rFont val="Aptos Narrow"/>
            <scheme val="minor"/>
          </rPr>
          <t>======
ID#AAABjx7qRxs
    (2025-05-21 11:33:25)
1120 chloe:匯款匯入US$6410</t>
        </r>
      </text>
    </comment>
    <comment ref="H1719" authorId="0" shapeId="0" xr:uid="{C0137A62-3CBA-BC48-A47A-4BD1AEB1D543}">
      <text>
        <r>
          <rPr>
            <sz val="10"/>
            <color rgb="FF000000"/>
            <rFont val="Aptos Narrow"/>
            <scheme val="minor"/>
          </rPr>
          <t>======
ID#AAABjx7qS9c
    (2025-05-21 11:33:26)
1120 chloe:匯款匯入US$6410</t>
        </r>
      </text>
    </comment>
    <comment ref="Z1719" authorId="0" shapeId="0" xr:uid="{E4A8D7A5-4367-134C-87EC-FE6D64C62FC4}">
      <text>
        <r>
          <rPr>
            <sz val="10"/>
            <color rgb="FF000000"/>
            <rFont val="Aptos Narrow"/>
            <scheme val="minor"/>
          </rPr>
          <t>======
ID#AAABjx7qQag
    (2025-05-21 11:33:25)
兩筆運費
4344+814</t>
        </r>
      </text>
    </comment>
    <comment ref="H1720" authorId="0" shapeId="0" xr:uid="{3F08EB09-452B-CF4C-94C4-B54476C7D63B}">
      <text>
        <r>
          <rPr>
            <sz val="10"/>
            <color rgb="FF000000"/>
            <rFont val="Aptos Narrow"/>
            <scheme val="minor"/>
          </rPr>
          <t>======
ID#AAABjx7qOeU
    (2025-05-21 11:33:24)
1012 chloe:匯款匯入NT5798</t>
        </r>
      </text>
    </comment>
    <comment ref="H1721" authorId="0" shapeId="0" xr:uid="{2B3C4650-E2AF-D24F-9F4C-DA291DDEB912}">
      <text>
        <r>
          <rPr>
            <sz val="10"/>
            <color rgb="FF000000"/>
            <rFont val="Aptos Narrow"/>
            <scheme val="minor"/>
          </rPr>
          <t>======
ID#AAABjx7qTT8
    (2025-05-21 11:33:26)
0111  chloe:匯款匯入US$8,152</t>
        </r>
      </text>
    </comment>
    <comment ref="K1721" authorId="0" shapeId="0" xr:uid="{C6CDE34D-84C4-6E49-9EBD-FD668BCB3766}">
      <text>
        <r>
          <rPr>
            <sz val="10"/>
            <color rgb="FF000000"/>
            <rFont val="Aptos Narrow"/>
            <scheme val="minor"/>
          </rPr>
          <t>======
ID#AAABjx7qOYg
    (2025-05-21 11:33:24)
1122 Cindy: 等payment
1123 chloe:</t>
        </r>
      </text>
    </comment>
    <comment ref="U1721" authorId="0" shapeId="0" xr:uid="{A02DAC59-8B48-2A4C-9E50-790D1451CD4D}">
      <text>
        <r>
          <rPr>
            <sz val="10"/>
            <color rgb="FF000000"/>
            <rFont val="Aptos Narrow"/>
            <scheme val="minor"/>
          </rPr>
          <t>======
ID#AAABjx7qS30
    (2025-05-21 11:33:26)
成本(含DRAM及SSD) NT83,973(不含稅)</t>
        </r>
      </text>
    </comment>
    <comment ref="H1722" authorId="0" shapeId="0" xr:uid="{1216B9D3-E713-3B45-A9E2-62B2262B3665}">
      <text>
        <r>
          <rPr>
            <sz val="10"/>
            <color rgb="FF000000"/>
            <rFont val="Aptos Narrow"/>
            <scheme val="minor"/>
          </rPr>
          <t>======
ID#AAABjx7qS2I
    (2025-05-21 11:33:26)
0111  chloe:匯款匯入US$8,152</t>
        </r>
      </text>
    </comment>
    <comment ref="K1722" authorId="0" shapeId="0" xr:uid="{5319F6EE-BDFA-F649-9DC3-BC65F127612A}">
      <text>
        <r>
          <rPr>
            <sz val="10"/>
            <color rgb="FF000000"/>
            <rFont val="Aptos Narrow"/>
            <scheme val="minor"/>
          </rPr>
          <t>======
ID#AAABjx7qSdI
    (2025-05-21 11:33:26)
1122 Cindy: 等payment
1123 chloe:</t>
        </r>
      </text>
    </comment>
    <comment ref="H1723" authorId="0" shapeId="0" xr:uid="{8ADE4AA8-D7A7-434D-A057-E52069179E42}">
      <text>
        <r>
          <rPr>
            <sz val="10"/>
            <color rgb="FF000000"/>
            <rFont val="Aptos Narrow"/>
            <scheme val="minor"/>
          </rPr>
          <t>======
ID#AAABjx7qNzE
    (2025-05-21 11:33:23)
0111  chloe:匯款匯入US$8,152</t>
        </r>
      </text>
    </comment>
    <comment ref="K1723" authorId="0" shapeId="0" xr:uid="{3A6C4E5B-AE2B-7A4E-963C-B61923B2E2EC}">
      <text>
        <r>
          <rPr>
            <sz val="10"/>
            <color rgb="FF000000"/>
            <rFont val="Aptos Narrow"/>
            <scheme val="minor"/>
          </rPr>
          <t>======
ID#AAABjx7qODo
    (2025-05-21 11:33:24)
1122 Cindy: 等payment
1123 chloe:</t>
        </r>
      </text>
    </comment>
    <comment ref="H1724" authorId="0" shapeId="0" xr:uid="{5BCDF825-8D26-BE41-890F-35A75D2EFE75}">
      <text>
        <r>
          <rPr>
            <sz val="10"/>
            <color rgb="FF000000"/>
            <rFont val="Aptos Narrow"/>
            <scheme val="minor"/>
          </rPr>
          <t>======
ID#AAABjx7qSYI
    (2025-05-21 11:33:26)
1204 chloe:匯款匯入US$1,764.50</t>
        </r>
      </text>
    </comment>
    <comment ref="H1725" authorId="0" shapeId="0" xr:uid="{575F18D6-3BEA-234B-B028-25DB264F5F1B}">
      <text>
        <r>
          <rPr>
            <sz val="10"/>
            <color rgb="FF000000"/>
            <rFont val="Aptos Narrow"/>
            <scheme val="minor"/>
          </rPr>
          <t>======
ID#AAABjx7qRfM
    (2025-05-21 11:33:25)
1204 chloe:匯款匯入US$1,764.50</t>
        </r>
      </text>
    </comment>
    <comment ref="H1726" authorId="0" shapeId="0" xr:uid="{D344814E-96A5-C440-86D4-7EBE60BDBD20}">
      <text>
        <r>
          <rPr>
            <sz val="10"/>
            <color rgb="FF000000"/>
            <rFont val="Aptos Narrow"/>
            <scheme val="minor"/>
          </rPr>
          <t>======
ID#AAABjx7qPvU
    (2025-05-21 11:33:24)
1204 chloe:匯款匯入US$1,764.50</t>
        </r>
      </text>
    </comment>
    <comment ref="H1727" authorId="0" shapeId="0" xr:uid="{8DD41DD8-2D4F-6540-B1E9-74F9DD03D684}">
      <text>
        <r>
          <rPr>
            <sz val="10"/>
            <color rgb="FF000000"/>
            <rFont val="Aptos Narrow"/>
            <scheme val="minor"/>
          </rPr>
          <t>======
ID#AAABjx7qPQY
    (2025-05-21 11:33:24)
1204 chloe:匯款匯入US$1,764.50</t>
        </r>
      </text>
    </comment>
    <comment ref="H1728" authorId="0" shapeId="0" xr:uid="{075E46C6-FBE2-2442-A0BA-77FFE1E73E21}">
      <text>
        <r>
          <rPr>
            <sz val="10"/>
            <color rgb="FF000000"/>
            <rFont val="Aptos Narrow"/>
            <scheme val="minor"/>
          </rPr>
          <t>======
ID#AAABjx7qQIk
    (2025-05-21 11:33:25)
1204 chloe:匯款匯入US$1,764.50</t>
        </r>
      </text>
    </comment>
    <comment ref="E1729" authorId="0" shapeId="0" xr:uid="{D4DF63A1-9391-8C4D-AE77-F94ECBD9F765}">
      <text>
        <r>
          <rPr>
            <sz val="10"/>
            <color rgb="FF000000"/>
            <rFont val="Aptos Narrow"/>
            <scheme val="minor"/>
          </rPr>
          <t>======
ID#AAABjx7qP6k
    (2025-05-21 11:33:24)
戎克料號:02-BE-00059</t>
        </r>
      </text>
    </comment>
    <comment ref="H1729" authorId="0" shapeId="0" xr:uid="{499E58AB-F711-0B4F-BD9F-D1BC3772F682}">
      <text>
        <r>
          <rPr>
            <sz val="10"/>
            <color rgb="FF000000"/>
            <rFont val="Aptos Narrow"/>
            <scheme val="minor"/>
          </rPr>
          <t>======
ID#AAABjx7qRAw
    (2025-05-21 11:33:25)
1204 chloe:匯款匯入US$1,764.50</t>
        </r>
      </text>
    </comment>
    <comment ref="E1730" authorId="0" shapeId="0" xr:uid="{DD3950F9-4AF8-E343-8305-E317D2DAA363}">
      <text>
        <r>
          <rPr>
            <sz val="10"/>
            <color rgb="FF000000"/>
            <rFont val="Aptos Narrow"/>
            <scheme val="minor"/>
          </rPr>
          <t>======
ID#AAABjx7qQsA
    (2025-05-21 11:33:25)
戎克料號:02-BE-00061</t>
        </r>
      </text>
    </comment>
    <comment ref="H1730" authorId="0" shapeId="0" xr:uid="{B7BA9794-BAD3-214F-8D96-7A035D748601}">
      <text>
        <r>
          <rPr>
            <sz val="10"/>
            <color rgb="FF000000"/>
            <rFont val="Aptos Narrow"/>
            <scheme val="minor"/>
          </rPr>
          <t>======
ID#AAABjx7qNHQ
    (2025-05-21 11:33:23)
1204 chloe:匯款匯入US$1,764.50</t>
        </r>
      </text>
    </comment>
    <comment ref="E1731" authorId="0" shapeId="0" xr:uid="{BABDFBE2-21E3-4E4C-ABBB-D7F9E6A63DD6}">
      <text>
        <r>
          <rPr>
            <sz val="10"/>
            <color rgb="FF000000"/>
            <rFont val="Aptos Narrow"/>
            <scheme val="minor"/>
          </rPr>
          <t>======
ID#AAABjx7qRqs
    (2025-05-21 11:33:25)
戎克料號:02-BE-00060</t>
        </r>
      </text>
    </comment>
    <comment ref="H1731" authorId="0" shapeId="0" xr:uid="{5D5BBF59-358A-594B-B1FF-416E30E6B42B}">
      <text>
        <r>
          <rPr>
            <sz val="10"/>
            <color rgb="FF000000"/>
            <rFont val="Aptos Narrow"/>
            <scheme val="minor"/>
          </rPr>
          <t>======
ID#AAABjx7qPyk
    (2025-05-21 11:33:24)
1204 chloe:匯款匯入US$1,764.50</t>
        </r>
      </text>
    </comment>
    <comment ref="H1732" authorId="0" shapeId="0" xr:uid="{3EC6DA84-4E67-C940-BD0B-11BD565C59B9}">
      <text>
        <r>
          <rPr>
            <sz val="10"/>
            <color rgb="FF000000"/>
            <rFont val="Aptos Narrow"/>
            <scheme val="minor"/>
          </rPr>
          <t>======
ID#AAABjx7qOSs
    (2025-05-21 11:33:24)
1203 chloe: 電文11/30匯款，待銀行通知
1204 chloe:匯款匯入US16627</t>
        </r>
      </text>
    </comment>
    <comment ref="H1733" authorId="0" shapeId="0" xr:uid="{731A7BA0-3A1E-7D49-B9E5-FA21FE8AA3D5}">
      <text>
        <r>
          <rPr>
            <sz val="10"/>
            <color rgb="FF000000"/>
            <rFont val="Aptos Narrow"/>
            <scheme val="minor"/>
          </rPr>
          <t>======
ID#AAABjx7qQsg
    (2025-05-21 11:33:25)
1203 chloe: 電文11/30匯款，待銀行通知
1204 chloe:匯款匯入US16627</t>
        </r>
      </text>
    </comment>
    <comment ref="H1734" authorId="0" shapeId="0" xr:uid="{DFAE2AD9-1ACB-1340-9CED-4C9098684E1A}">
      <text>
        <r>
          <rPr>
            <sz val="10"/>
            <color rgb="FF000000"/>
            <rFont val="Aptos Narrow"/>
            <scheme val="minor"/>
          </rPr>
          <t>======
ID#AAABjx7qTiU
    (2025-05-21 11:33:26)
1203 chloe: 電文11/30匯款，待銀行通知
1204 chloe:匯款匯入US16627</t>
        </r>
      </text>
    </comment>
    <comment ref="H1735" authorId="0" shapeId="0" xr:uid="{B6F66E6D-B0F2-114D-92E6-02F33AF4E28F}">
      <text>
        <r>
          <rPr>
            <sz val="10"/>
            <color rgb="FF000000"/>
            <rFont val="Aptos Narrow"/>
            <scheme val="minor"/>
          </rPr>
          <t>======
ID#AAABjx7qVR4
    (2025-05-21 11:33:27)
1220 chloe: 匯款匯入US$32647.5</t>
        </r>
      </text>
    </comment>
    <comment ref="K1735" authorId="0" shapeId="0" xr:uid="{5CFF2E25-27DC-644F-A5F6-DFA140CF088A}">
      <text>
        <r>
          <rPr>
            <sz val="10"/>
            <color rgb="FF000000"/>
            <rFont val="Aptos Narrow"/>
            <scheme val="minor"/>
          </rPr>
          <t>======
ID#AAABjx7qOY8
    (2025-05-21 11:33:24)
1105 Cindy: 先出5pcs(ship with PI-20180926A)</t>
        </r>
      </text>
    </comment>
    <comment ref="H1736" authorId="0" shapeId="0" xr:uid="{9460F905-8459-8443-A51C-FCED96EA1C07}">
      <text>
        <r>
          <rPr>
            <sz val="10"/>
            <color rgb="FF000000"/>
            <rFont val="Aptos Narrow"/>
            <scheme val="minor"/>
          </rPr>
          <t>======
ID#AAABjx7qTb4
    (2025-05-21 11:33:26)
1220 chloe: 匯款匯入US$32647.5</t>
        </r>
      </text>
    </comment>
    <comment ref="E1737" authorId="0" shapeId="0" xr:uid="{055353FA-5837-B84A-A8AB-BEE17A7A9BF8}">
      <text>
        <r>
          <rPr>
            <sz val="10"/>
            <color rgb="FF000000"/>
            <rFont val="Aptos Narrow"/>
            <scheme val="minor"/>
          </rPr>
          <t>======
ID#AAABjx7qRtI
    (2025-05-21 11:33:25)
Windows 10
請再安排FAE測主板功能。</t>
        </r>
      </text>
    </comment>
    <comment ref="H1737" authorId="0" shapeId="0" xr:uid="{AF60F2EE-28BB-C649-9004-E807FF428FA9}">
      <text>
        <r>
          <rPr>
            <sz val="10"/>
            <color rgb="FF000000"/>
            <rFont val="Aptos Narrow"/>
            <scheme val="minor"/>
          </rPr>
          <t>======
ID#AAABjx7qP2I
    (2025-05-21 11:33:24)
1203 chloe: 電文11/30匯款，待銀行通知
1204 chloe:匯款匯入US16627</t>
        </r>
      </text>
    </comment>
    <comment ref="H1738" authorId="0" shapeId="0" xr:uid="{BF7E8506-221F-8643-B554-5F2C9C3DAD3A}">
      <text>
        <r>
          <rPr>
            <sz val="10"/>
            <color rgb="FF000000"/>
            <rFont val="Aptos Narrow"/>
            <scheme val="minor"/>
          </rPr>
          <t>======
ID#AAABjx7qOqI
    (2025-05-21 11:33:24)
1112 chloe:匯款匯入USD 8,359</t>
        </r>
      </text>
    </comment>
    <comment ref="K1738" authorId="0" shapeId="0" xr:uid="{70232C1E-0562-B04B-B913-AB16F8C036AB}">
      <text>
        <r>
          <rPr>
            <sz val="10"/>
            <color rgb="FF000000"/>
            <rFont val="Aptos Narrow"/>
            <scheme val="minor"/>
          </rPr>
          <t>======
ID#AAABjx7qPKE
    (2025-05-21 11:33:24)
1123 chloe:已通知貨代，待貨代通知領貨時間</t>
        </r>
      </text>
    </comment>
    <comment ref="H1739" authorId="0" shapeId="0" xr:uid="{8DF9DD37-8444-304A-BB6F-B79416E1F45A}">
      <text>
        <r>
          <rPr>
            <sz val="10"/>
            <color rgb="FF000000"/>
            <rFont val="Aptos Narrow"/>
            <scheme val="minor"/>
          </rPr>
          <t>======
ID#AAABjx7qTjY
    (2025-05-21 11:33:26)
1203 chloe: 電文11/30匯款，待銀行通知
1204 chloe:匯款匯入US16627</t>
        </r>
      </text>
    </comment>
    <comment ref="M1739" authorId="0" shapeId="0" xr:uid="{C52E1DF3-C455-364F-B7C4-DA8E35EB9A3B}">
      <text>
        <r>
          <rPr>
            <sz val="10"/>
            <color rgb="FF000000"/>
            <rFont val="Aptos Narrow"/>
            <scheme val="minor"/>
          </rPr>
          <t>======
ID#AAABjx7qR68
    (2025-05-21 11:33:25)
1024 Cindy:等Tammy通知再請研華出貨</t>
        </r>
      </text>
    </comment>
    <comment ref="E1740" authorId="0" shapeId="0" xr:uid="{9191984B-2834-BA4B-ACCA-274DD9AC5787}">
      <text>
        <r>
          <rPr>
            <sz val="10"/>
            <color rgb="FF000000"/>
            <rFont val="Aptos Narrow"/>
            <scheme val="minor"/>
          </rPr>
          <t>======
ID#AAABjx7qQt8
    (2025-05-21 11:33:25)
181114 Karen: w/EU adapter</t>
        </r>
      </text>
    </comment>
    <comment ref="H1740" authorId="0" shapeId="0" xr:uid="{88A0B5DC-B5F2-4E4E-9FDA-F07452C9306C}">
      <text>
        <r>
          <rPr>
            <sz val="10"/>
            <color rgb="FF000000"/>
            <rFont val="Aptos Narrow"/>
            <scheme val="minor"/>
          </rPr>
          <t>======
ID#AAABjx7qQXg
    (2025-05-21 11:33:25)
1022 chloe:匯款匯入USD 2,089</t>
        </r>
      </text>
    </comment>
    <comment ref="M1740" authorId="0" shapeId="0" xr:uid="{FC24D8AD-B1F5-BB46-B323-F2D69B96F917}">
      <text>
        <r>
          <rPr>
            <sz val="10"/>
            <color rgb="FF000000"/>
            <rFont val="Aptos Narrow"/>
            <scheme val="minor"/>
          </rPr>
          <t>======
ID#AAABjx7qN-Q
    (2025-05-21 11:33:23)
20181122DHL送回</t>
        </r>
      </text>
    </comment>
    <comment ref="E1741" authorId="0" shapeId="0" xr:uid="{DF3103E0-10AC-BE41-B1EB-9885D17242E0}">
      <text>
        <r>
          <rPr>
            <sz val="10"/>
            <color rgb="FF000000"/>
            <rFont val="Aptos Narrow"/>
            <scheme val="minor"/>
          </rPr>
          <t>======
ID#AAABjx7qP6E
    (2025-05-21 11:33:24)
181114 Karen: w/EU adapter</t>
        </r>
      </text>
    </comment>
    <comment ref="H1741" authorId="0" shapeId="0" xr:uid="{4DFC1AC2-AA54-224D-BCF1-E8B2E9DA32FB}">
      <text>
        <r>
          <rPr>
            <sz val="10"/>
            <color rgb="FF000000"/>
            <rFont val="Aptos Narrow"/>
            <scheme val="minor"/>
          </rPr>
          <t>======
ID#AAABjx7qO10
    (2025-05-21 11:33:24)
1022 chloe:匯款匯入USD 2,089</t>
        </r>
      </text>
    </comment>
    <comment ref="M1741" authorId="0" shapeId="0" xr:uid="{B23CE6ED-DD02-FF4F-811D-31632C61A6E6}">
      <text>
        <r>
          <rPr>
            <sz val="10"/>
            <color rgb="FF000000"/>
            <rFont val="Aptos Narrow"/>
            <scheme val="minor"/>
          </rPr>
          <t>======
ID#AAABjx7qSNc
    (2025-05-21 11:33:26)
20181122DHL送回</t>
        </r>
      </text>
    </comment>
    <comment ref="H1742" authorId="0" shapeId="0" xr:uid="{B9139EC4-160D-E443-A501-D64E8964A52C}">
      <text>
        <r>
          <rPr>
            <sz val="10"/>
            <color rgb="FF000000"/>
            <rFont val="Aptos Narrow"/>
            <scheme val="minor"/>
          </rPr>
          <t>======
ID#AAABjx7qVec
    (2025-05-21 11:33:27)
1022 chloe:匯款匯入USD 2,089</t>
        </r>
      </text>
    </comment>
    <comment ref="M1742" authorId="0" shapeId="0" xr:uid="{5AA73170-D483-294F-9EC5-C5D475F1BEE1}">
      <text>
        <r>
          <rPr>
            <sz val="10"/>
            <color rgb="FF000000"/>
            <rFont val="Aptos Narrow"/>
            <scheme val="minor"/>
          </rPr>
          <t>======
ID#AAABjx7qR5g
    (2025-05-21 11:33:25)
20181122DHL送回</t>
        </r>
      </text>
    </comment>
    <comment ref="H1743" authorId="0" shapeId="0" xr:uid="{11E060B4-1AF8-F242-B7DD-4AE4165BBAFB}">
      <text>
        <r>
          <rPr>
            <sz val="10"/>
            <color rgb="FF000000"/>
            <rFont val="Aptos Narrow"/>
            <scheme val="minor"/>
          </rPr>
          <t>======
ID#AAABjx7qQ_g
    (2025-05-21 11:33:25)
1022 chloe:匯款匯入USD 2,089</t>
        </r>
      </text>
    </comment>
    <comment ref="H1744" authorId="0" shapeId="0" xr:uid="{53E220E3-44A8-2340-B7E2-C7D99EED2388}">
      <text>
        <r>
          <rPr>
            <sz val="10"/>
            <color rgb="FF000000"/>
            <rFont val="Aptos Narrow"/>
            <scheme val="minor"/>
          </rPr>
          <t>======
ID#AAABjx7qPAQ
    (2025-05-21 11:33:24)
1108 chloe:收到支票NT107,092(1130存入→待兌現)
1203兌現</t>
        </r>
      </text>
    </comment>
    <comment ref="H1745" authorId="0" shapeId="0" xr:uid="{E21352DB-0DD0-9541-9AF6-4AEFC637F715}">
      <text>
        <r>
          <rPr>
            <sz val="10"/>
            <color rgb="FF000000"/>
            <rFont val="Aptos Narrow"/>
            <scheme val="minor"/>
          </rPr>
          <t>======
ID#AAABj82dpGA
    (2025-05-21 11:33:23)
1112 chloe:匯款匯入USD 8,359</t>
        </r>
      </text>
    </comment>
    <comment ref="K1745" authorId="0" shapeId="0" xr:uid="{4A5EC13D-FDD7-114F-B04C-5E55F851687D}">
      <text>
        <r>
          <rPr>
            <sz val="10"/>
            <color rgb="FF000000"/>
            <rFont val="Aptos Narrow"/>
            <scheme val="minor"/>
          </rPr>
          <t>======
ID#AAABjx7qTYk
    (2025-05-21 11:33:26)
1123 chloe:已通知貨代，待貨代通知領貨時間</t>
        </r>
      </text>
    </comment>
    <comment ref="H1746" authorId="0" shapeId="0" xr:uid="{FE60961E-DE30-4C45-86C0-6D7C3DAD3AB2}">
      <text>
        <r>
          <rPr>
            <sz val="10"/>
            <color rgb="FF000000"/>
            <rFont val="Aptos Narrow"/>
            <scheme val="minor"/>
          </rPr>
          <t>======
ID#AAABjx7qQNA
    (2025-05-21 11:33:25)
1023 chloe: 匯款匯入US 23,395</t>
        </r>
      </text>
    </comment>
    <comment ref="K1746" authorId="0" shapeId="0" xr:uid="{9A1784AD-CA3B-644B-AAF1-B0716C3934E6}">
      <text>
        <r>
          <rPr>
            <sz val="10"/>
            <color rgb="FF000000"/>
            <rFont val="Aptos Narrow"/>
            <scheme val="minor"/>
          </rPr>
          <t>======
ID#AAABjx7qTXs
    (2025-05-21 11:33:26)
1123 chloe:已通知貨代，待貨代通知領貨時間</t>
        </r>
      </text>
    </comment>
    <comment ref="H1747" authorId="0" shapeId="0" xr:uid="{8699443F-6D98-254D-9269-C17612860088}">
      <text>
        <r>
          <rPr>
            <sz val="10"/>
            <color rgb="FF000000"/>
            <rFont val="Aptos Narrow"/>
            <scheme val="minor"/>
          </rPr>
          <t>======
ID#AAABjx7qNi8
    (2025-05-21 11:33:23)
1023 chloe: 匯款匯入US 23,395</t>
        </r>
      </text>
    </comment>
    <comment ref="K1747" authorId="0" shapeId="0" xr:uid="{0C1851F9-474B-084C-A9E3-11D53C971A65}">
      <text>
        <r>
          <rPr>
            <sz val="10"/>
            <color rgb="FF000000"/>
            <rFont val="Aptos Narrow"/>
            <scheme val="minor"/>
          </rPr>
          <t>======
ID#AAABjx7qOss
    (2025-05-21 11:33:24)
1123 chloe:已通知貨代，待貨代通知領貨時間</t>
        </r>
      </text>
    </comment>
    <comment ref="H1748" authorId="0" shapeId="0" xr:uid="{A6DBC3A8-9A42-1E40-8DD5-51F2C047A07A}">
      <text>
        <r>
          <rPr>
            <sz val="10"/>
            <color rgb="FF000000"/>
            <rFont val="Aptos Narrow"/>
            <scheme val="minor"/>
          </rPr>
          <t>======
ID#AAABjx7qSA0
    (2025-05-21 11:33:25)
1112 chloe:匯款匯入USD 8,359</t>
        </r>
      </text>
    </comment>
    <comment ref="D1749" authorId="0" shapeId="0" xr:uid="{6467665C-3C92-3F40-8A26-EA27ABBF2F04}">
      <text>
        <r>
          <rPr>
            <sz val="10"/>
            <color rgb="FF000000"/>
            <rFont val="Aptos Narrow"/>
            <scheme val="minor"/>
          </rPr>
          <t>======
ID#AAABjx7qPW0
    (2025-05-21 11:33:24)
1029 PI號由20181018A改為20181015A</t>
        </r>
      </text>
    </comment>
    <comment ref="H1749" authorId="0" shapeId="0" xr:uid="{F066E4A7-607A-1943-B3F6-09764243AA09}">
      <text>
        <r>
          <rPr>
            <sz val="10"/>
            <color rgb="FF000000"/>
            <rFont val="Aptos Narrow"/>
            <scheme val="minor"/>
          </rPr>
          <t>======
ID#AAABjx7qS3o
    (2025-05-21 11:33:26)
1127 chloe: 匯款匯入US$11920</t>
        </r>
      </text>
    </comment>
    <comment ref="Z1749" authorId="0" shapeId="0" xr:uid="{627195F0-2E94-D743-B40F-C168C3C6990C}">
      <text>
        <r>
          <rPr>
            <sz val="10"/>
            <color rgb="FF000000"/>
            <rFont val="Aptos Narrow"/>
            <scheme val="minor"/>
          </rPr>
          <t>======
ID#AAABjx7qO4A
    (2025-05-21 11:33:24)
新漢已補開，12/10新漢寄出
影本已先給會計</t>
        </r>
      </text>
    </comment>
    <comment ref="D1750" authorId="0" shapeId="0" xr:uid="{F2BC402E-E74A-1F49-8D07-3CF1CE9697BF}">
      <text>
        <r>
          <rPr>
            <sz val="10"/>
            <color rgb="FF000000"/>
            <rFont val="Aptos Narrow"/>
            <scheme val="minor"/>
          </rPr>
          <t>======
ID#AAABjx7qNiE
    (2025-05-21 11:33:23)
1029 PI號由20181018A改為20181015A</t>
        </r>
      </text>
    </comment>
    <comment ref="H1750" authorId="0" shapeId="0" xr:uid="{D93781CA-F68B-9541-9508-349966174C68}">
      <text>
        <r>
          <rPr>
            <sz val="10"/>
            <color rgb="FF000000"/>
            <rFont val="Aptos Narrow"/>
            <scheme val="minor"/>
          </rPr>
          <t>======
ID#AAABjx7qOrY
    (2025-05-21 11:33:24)
1127 chloe: 匯款匯入US$11920</t>
        </r>
      </text>
    </comment>
    <comment ref="Z1750" authorId="0" shapeId="0" xr:uid="{B67AEC05-3B7C-DB4F-913D-63CBAFA147D7}">
      <text>
        <r>
          <rPr>
            <sz val="10"/>
            <color rgb="FF000000"/>
            <rFont val="Aptos Narrow"/>
            <scheme val="minor"/>
          </rPr>
          <t>======
ID#AAABjx7qR-o
    (2025-05-21 11:33:25)
新漢已補開，12/10新漢寄出
影本已先給會計</t>
        </r>
      </text>
    </comment>
    <comment ref="D1751" authorId="0" shapeId="0" xr:uid="{CADF2487-1966-8E40-AD1C-CFCFD5721311}">
      <text>
        <r>
          <rPr>
            <sz val="10"/>
            <color rgb="FF000000"/>
            <rFont val="Aptos Narrow"/>
            <scheme val="minor"/>
          </rPr>
          <t>======
ID#AAABjx7qS9w
    (2025-05-21 11:33:26)
1029 PI號由20181018A改為20181015A</t>
        </r>
      </text>
    </comment>
    <comment ref="H1751" authorId="0" shapeId="0" xr:uid="{6826F347-415D-BC49-B643-980B7E686A76}">
      <text>
        <r>
          <rPr>
            <sz val="10"/>
            <color rgb="FF000000"/>
            <rFont val="Aptos Narrow"/>
            <scheme val="minor"/>
          </rPr>
          <t>======
ID#AAABjx7qSnM
    (2025-05-21 11:33:26)
1127 chloe: 匯款匯入US$11920</t>
        </r>
      </text>
    </comment>
    <comment ref="Z1751" authorId="0" shapeId="0" xr:uid="{D7849C01-486A-5243-9E03-BA66C4467EB8}">
      <text>
        <r>
          <rPr>
            <sz val="10"/>
            <color rgb="FF000000"/>
            <rFont val="Aptos Narrow"/>
            <scheme val="minor"/>
          </rPr>
          <t>======
ID#AAABjx7qO0Q
    (2025-05-21 11:33:24)
新漢已補開，12/10新漢寄出
影本已先給會計</t>
        </r>
      </text>
    </comment>
    <comment ref="D1752" authorId="0" shapeId="0" xr:uid="{F6A149DF-A9BA-5C4A-95EC-B7A552573A85}">
      <text>
        <r>
          <rPr>
            <sz val="10"/>
            <color rgb="FF000000"/>
            <rFont val="Aptos Narrow"/>
            <scheme val="minor"/>
          </rPr>
          <t>======
ID#AAABjx7qN3g
    (2025-05-21 11:33:23)
1029 PI號由20181018A改為20181015A</t>
        </r>
      </text>
    </comment>
    <comment ref="H1752" authorId="0" shapeId="0" xr:uid="{009FF89A-202F-D846-B219-E25F9AC8E033}">
      <text>
        <r>
          <rPr>
            <sz val="10"/>
            <color rgb="FF000000"/>
            <rFont val="Aptos Narrow"/>
            <scheme val="minor"/>
          </rPr>
          <t>======
ID#AAABjx7qWGI
    (2025-05-21 11:33:27)
1127 chloe: 匯款匯入US$11920</t>
        </r>
      </text>
    </comment>
    <comment ref="D1753" authorId="0" shapeId="0" xr:uid="{EC40E38F-91B0-FB42-941F-33C00459F569}">
      <text>
        <r>
          <rPr>
            <sz val="10"/>
            <color rgb="FF000000"/>
            <rFont val="Aptos Narrow"/>
            <scheme val="minor"/>
          </rPr>
          <t>======
ID#AAABjx7qPbw
    (2025-05-21 11:33:24)
1029 PI號由20181018A改為20181015A</t>
        </r>
      </text>
    </comment>
    <comment ref="H1753" authorId="0" shapeId="0" xr:uid="{4E0806C7-05B7-8D48-A222-5CE6573540E5}">
      <text>
        <r>
          <rPr>
            <sz val="10"/>
            <color rgb="FF000000"/>
            <rFont val="Aptos Narrow"/>
            <scheme val="minor"/>
          </rPr>
          <t>======
ID#AAABjx7qQzU
    (2025-05-21 11:33:25)
1127 chloe: 匯款匯入US$11920</t>
        </r>
      </text>
    </comment>
    <comment ref="Z1753" authorId="0" shapeId="0" xr:uid="{6E8ADF14-85D2-3844-B96E-E6C3E4499763}">
      <text>
        <r>
          <rPr>
            <sz val="10"/>
            <color rgb="FF000000"/>
            <rFont val="Aptos Narrow"/>
            <scheme val="minor"/>
          </rPr>
          <t>======
ID#AAABjx7qN3k
    (2025-05-21 11:33:23)
新漢已補開，12/10新漢寄出
影本已先給會計</t>
        </r>
      </text>
    </comment>
    <comment ref="D1754" authorId="0" shapeId="0" xr:uid="{2E8960B0-F427-C54D-8512-B77187A77C3C}">
      <text>
        <r>
          <rPr>
            <sz val="10"/>
            <color rgb="FF000000"/>
            <rFont val="Aptos Narrow"/>
            <scheme val="minor"/>
          </rPr>
          <t>======
ID#AAABjx7qSfk
    (2025-05-21 11:33:26)
1029 PI號由20181018A改為20181015A</t>
        </r>
      </text>
    </comment>
    <comment ref="H1754" authorId="0" shapeId="0" xr:uid="{AB8A25EA-F01A-C743-B8E3-DE81AD06E4E3}">
      <text>
        <r>
          <rPr>
            <sz val="10"/>
            <color rgb="FF000000"/>
            <rFont val="Aptos Narrow"/>
            <scheme val="minor"/>
          </rPr>
          <t>======
ID#AAABjx7qNr0
    (2025-05-21 11:33:23)
1127 chloe: 匯款匯入US$11920</t>
        </r>
      </text>
    </comment>
    <comment ref="Z1754" authorId="0" shapeId="0" xr:uid="{7D46B4CE-3A4D-FC4C-9836-AC062E89C38C}">
      <text>
        <r>
          <rPr>
            <sz val="10"/>
            <color rgb="FF000000"/>
            <rFont val="Aptos Narrow"/>
            <scheme val="minor"/>
          </rPr>
          <t>======
ID#AAABjx7qNAo
    (2025-05-21 11:33:23)
新漢已補開，12/10新漢寄出
影本已先給會計</t>
        </r>
      </text>
    </comment>
    <comment ref="H1755" authorId="0" shapeId="0" xr:uid="{ABAFB402-84F6-574C-BD07-E05B5488606A}">
      <text>
        <r>
          <rPr>
            <sz val="10"/>
            <color rgb="FF000000"/>
            <rFont val="Aptos Narrow"/>
            <scheme val="minor"/>
          </rPr>
          <t>======
ID#AAABjx7qRog
    (2025-05-21 11:33:25)
1204 chloe:匯款匯入US$1,764.50</t>
        </r>
      </text>
    </comment>
    <comment ref="M1755" authorId="0" shapeId="0" xr:uid="{0497D155-76AB-644F-99FE-F415CDFBDD63}">
      <text>
        <r>
          <rPr>
            <sz val="10"/>
            <color rgb="FF000000"/>
            <rFont val="Aptos Narrow"/>
            <scheme val="minor"/>
          </rPr>
          <t>======
ID#AAABj82dpHw
    (2025-05-21 11:33:23)
1022 chloe :已轉交給Cindy</t>
        </r>
      </text>
    </comment>
    <comment ref="H1756" authorId="0" shapeId="0" xr:uid="{F59F4B21-1338-0E4E-9789-18D57E738092}">
      <text>
        <r>
          <rPr>
            <sz val="10"/>
            <color rgb="FF000000"/>
            <rFont val="Aptos Narrow"/>
            <scheme val="minor"/>
          </rPr>
          <t>======
ID#AAABjx7qPwE
    (2025-05-21 11:33:24)
1204 chloe:匯款匯入US$1,764.50</t>
        </r>
      </text>
    </comment>
    <comment ref="U1757" authorId="0" shapeId="0" xr:uid="{0D2FDECE-B93F-2E47-B5E8-0EC3A33AB7F9}">
      <text>
        <r>
          <rPr>
            <sz val="10"/>
            <color rgb="FF000000"/>
            <rFont val="Aptos Narrow"/>
            <scheme val="minor"/>
          </rPr>
          <t>======
ID#AAABjx7qVAQ
    (2025-05-21 11:33:27)
因取消訂單 收取20%手續費
 620*0.2=124 *20pcs =2480元</t>
        </r>
      </text>
    </comment>
    <comment ref="H1758" authorId="0" shapeId="0" xr:uid="{7DF986AD-D36C-E945-85E7-E71A6C47BD0C}">
      <text>
        <r>
          <rPr>
            <sz val="10"/>
            <color rgb="FF000000"/>
            <rFont val="Aptos Narrow"/>
            <scheme val="minor"/>
          </rPr>
          <t>======
ID#AAABjx7qPw8
    (2025-05-21 11:33:24)
1220 chloe: 匯款匯入US$32647.5</t>
        </r>
      </text>
    </comment>
    <comment ref="H1759" authorId="0" shapeId="0" xr:uid="{3FC6E52C-D2F3-BD4A-9C4B-8C98F76DFD15}">
      <text>
        <r>
          <rPr>
            <sz val="10"/>
            <color rgb="FF000000"/>
            <rFont val="Aptos Narrow"/>
            <scheme val="minor"/>
          </rPr>
          <t>======
ID#AAABjx7qVVo
    (2025-05-21 11:33:27)
1220 chloe: 匯款匯入US$32647.5</t>
        </r>
      </text>
    </comment>
    <comment ref="H1760" authorId="0" shapeId="0" xr:uid="{34DAF366-3032-CB49-8946-E564E8D4AB3D}">
      <text>
        <r>
          <rPr>
            <sz val="10"/>
            <color rgb="FF000000"/>
            <rFont val="Aptos Narrow"/>
            <scheme val="minor"/>
          </rPr>
          <t>======
ID#AAABjx7qVbw
    (2025-05-21 11:33:27)
1220 chloe: 匯款匯入US$32647.5</t>
        </r>
      </text>
    </comment>
    <comment ref="H1761" authorId="0" shapeId="0" xr:uid="{844C4FD0-D704-D84D-915A-D8E5549D970D}">
      <text>
        <r>
          <rPr>
            <sz val="10"/>
            <color rgb="FF000000"/>
            <rFont val="Aptos Narrow"/>
            <scheme val="minor"/>
          </rPr>
          <t>======
ID#AAABj82dpJU
    (2025-05-21 11:33:23)
1220 chloe: 匯款匯入US$32647.5</t>
        </r>
      </text>
    </comment>
    <comment ref="E1762" authorId="0" shapeId="0" xr:uid="{438AF2AE-5825-804C-B016-58C5A8B1AB29}">
      <text>
        <r>
          <rPr>
            <sz val="10"/>
            <color rgb="FF000000"/>
            <rFont val="Aptos Narrow"/>
            <scheme val="minor"/>
          </rPr>
          <t>======
ID#AAABjx7qRBs
    (2025-05-21 11:33:25)
180717 Tammy修改</t>
        </r>
      </text>
    </comment>
    <comment ref="H1762" authorId="0" shapeId="0" xr:uid="{EAA5DBD6-E1BF-FB47-BE85-ECDC9F021B75}">
      <text>
        <r>
          <rPr>
            <sz val="10"/>
            <color rgb="FF000000"/>
            <rFont val="Aptos Narrow"/>
            <scheme val="minor"/>
          </rPr>
          <t>======
ID#AAABjx7qVhk
    (2025-05-21 11:33:27)
1204 chloe:匯款匯入US$1,764.50</t>
        </r>
      </text>
    </comment>
    <comment ref="H1763" authorId="0" shapeId="0" xr:uid="{E32335F7-BC54-4B4E-833F-21EA2D5A6271}">
      <text>
        <r>
          <rPr>
            <sz val="10"/>
            <color rgb="FF000000"/>
            <rFont val="Aptos Narrow"/>
            <scheme val="minor"/>
          </rPr>
          <t>======
ID#AAABjx7qTpM
    (2025-05-21 11:33:26)
1210 chloe:收到支票29516(待12/30兌現)
1/5已兌現</t>
        </r>
      </text>
    </comment>
    <comment ref="Q1763" authorId="0" shapeId="0" xr:uid="{A57E1192-5C65-E244-810E-FA5F64EFB592}">
      <text>
        <r>
          <rPr>
            <sz val="10"/>
            <color rgb="FF000000"/>
            <rFont val="Aptos Narrow"/>
            <scheme val="minor"/>
          </rPr>
          <t>======
ID#AAABjx7qNww
    (2025-05-21 11:33:23)
MOXA對帳單:730.8</t>
        </r>
      </text>
    </comment>
    <comment ref="H1764" authorId="0" shapeId="0" xr:uid="{57419891-B7E6-5A4D-A051-9D953277ED41}">
      <text>
        <r>
          <rPr>
            <sz val="10"/>
            <color rgb="FF000000"/>
            <rFont val="Aptos Narrow"/>
            <scheme val="minor"/>
          </rPr>
          <t>======
ID#AAABjx7qQYg
    (2025-05-21 11:33:25)
1210 chloe:收到支票29516(待12/30兌現)
1/5已兌現</t>
        </r>
      </text>
    </comment>
    <comment ref="Q1764" authorId="0" shapeId="0" xr:uid="{B8C4EA73-A965-6E47-AA48-9C952A5E8041}">
      <text>
        <r>
          <rPr>
            <sz val="10"/>
            <color rgb="FF000000"/>
            <rFont val="Aptos Narrow"/>
            <scheme val="minor"/>
          </rPr>
          <t>======
ID#AAABjx7qQMU
    (2025-05-21 11:33:25)
MOXA對帳單:730.8</t>
        </r>
      </text>
    </comment>
    <comment ref="H1765" authorId="0" shapeId="0" xr:uid="{9FE3D841-9CD6-014B-91D6-1F3FA9B0A37A}">
      <text>
        <r>
          <rPr>
            <sz val="10"/>
            <color rgb="FF000000"/>
            <rFont val="Aptos Narrow"/>
            <scheme val="minor"/>
          </rPr>
          <t>======
ID#AAABj82dpFs
    (2025-05-21 11:33:23)
1217 chloe:匯款匯入US$3,207.00</t>
        </r>
      </text>
    </comment>
    <comment ref="K1765" authorId="0" shapeId="0" xr:uid="{4EB6A513-81FE-8A49-B62A-1FAD179430B1}">
      <text>
        <r>
          <rPr>
            <sz val="10"/>
            <color rgb="FF000000"/>
            <rFont val="Aptos Narrow"/>
            <scheme val="minor"/>
          </rPr>
          <t>======
ID#AAABjx7qWEE
    (2025-05-21 11:33:27)
1112 chloe 待K&amp;H 付款</t>
        </r>
      </text>
    </comment>
    <comment ref="H1766" authorId="0" shapeId="0" xr:uid="{1AAA4A50-E824-B74E-865A-EB0582D9B984}">
      <text>
        <r>
          <rPr>
            <sz val="10"/>
            <color rgb="FF000000"/>
            <rFont val="Aptos Narrow"/>
            <scheme val="minor"/>
          </rPr>
          <t>======
ID#AAABjx7qSyA
    (2025-05-21 11:33:26)
1217 chloe:匯款匯入US$3,207.00</t>
        </r>
      </text>
    </comment>
    <comment ref="K1766" authorId="0" shapeId="0" xr:uid="{2F9BCD84-B0B9-594A-8E7F-182321844582}">
      <text>
        <r>
          <rPr>
            <sz val="10"/>
            <color rgb="FF000000"/>
            <rFont val="Aptos Narrow"/>
            <scheme val="minor"/>
          </rPr>
          <t>======
ID#AAABjx7qWTU
    (2025-05-21 11:33:27)
1112 chloe 待K&amp;H 付款</t>
        </r>
      </text>
    </comment>
    <comment ref="H1767" authorId="0" shapeId="0" xr:uid="{48AF4DB4-7663-EF4B-B28C-3F42ED264465}">
      <text>
        <r>
          <rPr>
            <sz val="10"/>
            <color rgb="FF000000"/>
            <rFont val="Aptos Narrow"/>
            <scheme val="minor"/>
          </rPr>
          <t>======
ID#AAABjx7qNQ0
    (2025-05-21 11:33:23)
1217 chloe:匯款匯入US$3,207.00</t>
        </r>
      </text>
    </comment>
    <comment ref="K1767" authorId="0" shapeId="0" xr:uid="{D37EFB37-8324-BE4A-8B8C-015ECBDEC275}">
      <text>
        <r>
          <rPr>
            <sz val="10"/>
            <color rgb="FF000000"/>
            <rFont val="Aptos Narrow"/>
            <scheme val="minor"/>
          </rPr>
          <t>======
ID#AAABjx7qPo0
    (2025-05-21 11:33:24)
1112 chloe 待K&amp;H 付款</t>
        </r>
      </text>
    </comment>
    <comment ref="E1768" authorId="0" shapeId="0" xr:uid="{8F41C15D-1D78-8C44-B7CF-4EDB70FE1BB7}">
      <text>
        <r>
          <rPr>
            <sz val="10"/>
            <color rgb="FF000000"/>
            <rFont val="Aptos Narrow"/>
            <scheme val="minor"/>
          </rPr>
          <t>======
ID#AAABjx7qMwA
    (2025-05-21 11:33:23)
1030 Chloe : MT10170002</t>
        </r>
      </text>
    </comment>
    <comment ref="H1768" authorId="0" shapeId="0" xr:uid="{E4C6786F-91DF-9A4B-B4F3-9DE1044369E2}">
      <text>
        <r>
          <rPr>
            <sz val="10"/>
            <color rgb="FF000000"/>
            <rFont val="Aptos Narrow"/>
            <scheme val="minor"/>
          </rPr>
          <t>======
ID#AAABjx7qTSE
    (2025-05-21 11:33:26)
1204 chloe:匯款匯入US$1,764.50</t>
        </r>
      </text>
    </comment>
    <comment ref="H1769" authorId="0" shapeId="0" xr:uid="{BFAAB24B-D017-474A-88C6-AF39C00F9615}">
      <text>
        <r>
          <rPr>
            <sz val="10"/>
            <color rgb="FF000000"/>
            <rFont val="Aptos Narrow"/>
            <scheme val="minor"/>
          </rPr>
          <t>======
ID#AAABjx7qUw4
    (2025-05-21 11:33:26)
1210 chloe:收到支票29516(待12/30兌現)
1/5已兌現</t>
        </r>
      </text>
    </comment>
    <comment ref="H1770" authorId="0" shapeId="0" xr:uid="{23A26FF7-5E35-0743-942E-01917AEECAC1}">
      <text>
        <r>
          <rPr>
            <sz val="10"/>
            <color rgb="FF000000"/>
            <rFont val="Aptos Narrow"/>
            <scheme val="minor"/>
          </rPr>
          <t>======
ID#AAABjx7qOiw
    (2025-05-21 11:33:24)
0108 chloe: 收到客戶水單，銀行尚未通知
0109 chloe:匯款匯入US1605</t>
        </r>
      </text>
    </comment>
    <comment ref="G1771" authorId="0" shapeId="0" xr:uid="{2E6DD7C4-502B-6043-8B65-283143A30A1C}">
      <text>
        <r>
          <rPr>
            <sz val="10"/>
            <color rgb="FF000000"/>
            <rFont val="Aptos Narrow"/>
            <scheme val="minor"/>
          </rPr>
          <t>======
ID#AAABjx7qQ84
    (2025-05-21 11:33:25)
w/5%VAT</t>
        </r>
      </text>
    </comment>
    <comment ref="H1771" authorId="0" shapeId="0" xr:uid="{6A5E8EA9-2148-5940-9F1F-DEA1827C546E}">
      <text>
        <r>
          <rPr>
            <sz val="10"/>
            <color rgb="FF000000"/>
            <rFont val="Aptos Narrow"/>
            <scheme val="minor"/>
          </rPr>
          <t>======
ID#AAABjx7qPZ0
    (2025-05-21 11:33:24)
12/25 chloe:匯款匯入NT46,390</t>
        </r>
      </text>
    </comment>
    <comment ref="H1772" authorId="0" shapeId="0" xr:uid="{256E962B-7C63-5341-AF17-5C357187D2C8}">
      <text>
        <r>
          <rPr>
            <sz val="10"/>
            <color rgb="FF000000"/>
            <rFont val="Aptos Narrow"/>
            <scheme val="minor"/>
          </rPr>
          <t>======
ID#AAABjx7qRD0
    (2025-05-21 11:33:25)
1217 chloe:匯款匯入US$3,207.00</t>
        </r>
      </text>
    </comment>
    <comment ref="K1772" authorId="0" shapeId="0" xr:uid="{391AC107-C52D-094B-A176-8D367B00A743}">
      <text>
        <r>
          <rPr>
            <sz val="10"/>
            <color rgb="FF000000"/>
            <rFont val="Aptos Narrow"/>
            <scheme val="minor"/>
          </rPr>
          <t>======
ID#AAABjx7qPEk
    (2025-05-21 11:33:24)
1112 chloe 待K&amp;H 付款</t>
        </r>
      </text>
    </comment>
    <comment ref="H1773" authorId="0" shapeId="0" xr:uid="{E7F3477E-4752-D24E-B68E-6BBF25732E7C}">
      <text>
        <r>
          <rPr>
            <sz val="10"/>
            <color rgb="FF000000"/>
            <rFont val="Aptos Narrow"/>
            <scheme val="minor"/>
          </rPr>
          <t>======
ID#AAABjx7qNvc
    (2025-05-21 11:33:23)
1217 chloe:匯款匯入US$3,207.00</t>
        </r>
      </text>
    </comment>
    <comment ref="K1773" authorId="0" shapeId="0" xr:uid="{5E2BD81A-EA56-4548-8021-0AD82AC92A7B}">
      <text>
        <r>
          <rPr>
            <sz val="10"/>
            <color rgb="FF000000"/>
            <rFont val="Aptos Narrow"/>
            <scheme val="minor"/>
          </rPr>
          <t>======
ID#AAABjx7qSPQ
    (2025-05-21 11:33:26)
1112 chloe 待K&amp;H 付款</t>
        </r>
      </text>
    </comment>
    <comment ref="H1774" authorId="0" shapeId="0" xr:uid="{2AFC7212-22E3-2942-A57A-39FAAB9C9E09}">
      <text>
        <r>
          <rPr>
            <sz val="10"/>
            <color rgb="FF000000"/>
            <rFont val="Aptos Narrow"/>
            <scheme val="minor"/>
          </rPr>
          <t>======
ID#AAABjx7qN8Q
    (2025-05-21 11:33:23)
1217 chloe:匯款匯入US$3,207.00</t>
        </r>
      </text>
    </comment>
    <comment ref="K1774" authorId="0" shapeId="0" xr:uid="{C9C93054-490B-B74B-BC64-7560DBE00DBF}">
      <text>
        <r>
          <rPr>
            <sz val="10"/>
            <color rgb="FF000000"/>
            <rFont val="Aptos Narrow"/>
            <scheme val="minor"/>
          </rPr>
          <t>======
ID#AAABj82dpMM
    (2025-05-21 11:33:23)
1112 chloe 待K&amp;H 付款</t>
        </r>
      </text>
    </comment>
    <comment ref="H1775" authorId="0" shapeId="0" xr:uid="{397C0A82-1B3B-314A-B658-9D30E65DE675}">
      <text>
        <r>
          <rPr>
            <sz val="10"/>
            <color rgb="FF000000"/>
            <rFont val="Aptos Narrow"/>
            <scheme val="minor"/>
          </rPr>
          <t>======
ID#AAABjx7qVp8
    (2025-05-21 11:33:27)
1217 chloe:匯款匯入US$3,207.00</t>
        </r>
      </text>
    </comment>
    <comment ref="K1775" authorId="0" shapeId="0" xr:uid="{6171711C-47EF-B04B-9350-A152FC6FE397}">
      <text>
        <r>
          <rPr>
            <sz val="10"/>
            <color rgb="FF000000"/>
            <rFont val="Aptos Narrow"/>
            <scheme val="minor"/>
          </rPr>
          <t>======
ID#AAABjx7qPvk
    (2025-05-21 11:33:24)
1112 chloe 待K&amp;H 付款</t>
        </r>
      </text>
    </comment>
    <comment ref="E1776" authorId="0" shapeId="0" xr:uid="{03D329EB-50BE-344A-85A3-7C4F7E379547}">
      <text>
        <r>
          <rPr>
            <sz val="10"/>
            <color rgb="FF000000"/>
            <rFont val="Aptos Narrow"/>
            <scheme val="minor"/>
          </rPr>
          <t>======
ID#AAABjx7qPSs
    (2025-05-21 11:33:24)
1115 chloe: 已備 10 PCS，用完後即有MOQ :10 PCS</t>
        </r>
      </text>
    </comment>
    <comment ref="H1776" authorId="0" shapeId="0" xr:uid="{BC867551-1AAA-3741-8C9C-89AC549B5789}">
      <text>
        <r>
          <rPr>
            <sz val="10"/>
            <color rgb="FF000000"/>
            <rFont val="Aptos Narrow"/>
            <scheme val="minor"/>
          </rPr>
          <t>======
ID#AAABjx7qR24
    (2025-05-21 11:33:25)
1204 chloe:匯款匯入US$1,764.50</t>
        </r>
      </text>
    </comment>
    <comment ref="M1776" authorId="0" shapeId="0" xr:uid="{26122825-A89F-7345-B48A-5A424D84C815}">
      <text>
        <r>
          <rPr>
            <sz val="10"/>
            <color rgb="FF000000"/>
            <rFont val="Aptos Narrow"/>
            <scheme val="minor"/>
          </rPr>
          <t>======
ID#AAABjx7qQ_Y
    (2025-05-21 11:33:25)
1115 Chloe已給Cindy</t>
        </r>
      </text>
    </comment>
    <comment ref="U1776" authorId="0" shapeId="0" xr:uid="{98934CFA-85C0-854E-B02D-C31B66F05BD3}">
      <text>
        <r>
          <rPr>
            <sz val="10"/>
            <color rgb="FF000000"/>
            <rFont val="Aptos Narrow"/>
            <scheme val="minor"/>
          </rPr>
          <t>======
ID#AAABjx7qVVI
    (2025-05-21 11:33:27)
下單10 PCS 轉庫存</t>
        </r>
      </text>
    </comment>
    <comment ref="E1777" authorId="0" shapeId="0" xr:uid="{8A64F8D5-316D-384A-8955-29DF3318F7DD}">
      <text>
        <r>
          <rPr>
            <sz val="10"/>
            <color rgb="FF000000"/>
            <rFont val="Aptos Narrow"/>
            <scheme val="minor"/>
          </rPr>
          <t>======
ID#AAABjx7qU9w
    (2025-05-21 11:33:27)
1115 chloe: 已備 10 PCS，用完後即有MOQ :10 PCS</t>
        </r>
      </text>
    </comment>
    <comment ref="H1777" authorId="0" shapeId="0" xr:uid="{E03FB61E-3900-7941-AF93-9276C294465C}">
      <text>
        <r>
          <rPr>
            <sz val="10"/>
            <color rgb="FF000000"/>
            <rFont val="Aptos Narrow"/>
            <scheme val="minor"/>
          </rPr>
          <t>======
ID#AAABjx7qTRI
    (2025-05-21 11:33:26)
1204 chloe:匯款匯入US$1,764.50</t>
        </r>
      </text>
    </comment>
    <comment ref="M1777" authorId="0" shapeId="0" xr:uid="{897B3DF7-D76E-2C44-A83F-88F02CD9EF39}">
      <text>
        <r>
          <rPr>
            <sz val="10"/>
            <color rgb="FF000000"/>
            <rFont val="Aptos Narrow"/>
            <scheme val="minor"/>
          </rPr>
          <t>======
ID#AAABjx7qVTw
    (2025-05-21 11:33:27)
1115 Chloe已給Cindy</t>
        </r>
      </text>
    </comment>
    <comment ref="U1777" authorId="0" shapeId="0" xr:uid="{2E8532B6-233E-A042-82FE-54AF047B03A3}">
      <text>
        <r>
          <rPr>
            <sz val="10"/>
            <color rgb="FF000000"/>
            <rFont val="Aptos Narrow"/>
            <scheme val="minor"/>
          </rPr>
          <t>======
ID#AAABjx7qSVw
    (2025-05-21 11:33:26)
下單10 PCS 轉庫存</t>
        </r>
      </text>
    </comment>
    <comment ref="H1778" authorId="0" shapeId="0" xr:uid="{11EB5206-7DA1-7A42-BB24-8A2631ADFCC6}">
      <text>
        <r>
          <rPr>
            <sz val="10"/>
            <color rgb="FF000000"/>
            <rFont val="Aptos Narrow"/>
            <scheme val="minor"/>
          </rPr>
          <t>======
ID#AAABjx7qWHQ
    (2025-05-21 11:33:27)
1204 chloe:匯款匯入US$1,764.50</t>
        </r>
      </text>
    </comment>
    <comment ref="M1778" authorId="0" shapeId="0" xr:uid="{E5A61215-D6ED-004F-9961-F2CAA1D0C36D}">
      <text>
        <r>
          <rPr>
            <sz val="10"/>
            <color rgb="FF000000"/>
            <rFont val="Aptos Narrow"/>
            <scheme val="minor"/>
          </rPr>
          <t>======
ID#AAABjx7qQUk
    (2025-05-21 11:33:25)
chloe 11/5  已給Cindy</t>
        </r>
      </text>
    </comment>
    <comment ref="H1779" authorId="0" shapeId="0" xr:uid="{FD3A0FBF-8AC7-B84F-B6A4-03B94E08BB64}">
      <text>
        <r>
          <rPr>
            <sz val="10"/>
            <color rgb="FF000000"/>
            <rFont val="Aptos Narrow"/>
            <scheme val="minor"/>
          </rPr>
          <t>======
ID#AAABjx7qNn0
    (2025-05-21 11:33:23)
1220 chloe: 匯款匯入US$32647.5</t>
        </r>
      </text>
    </comment>
    <comment ref="E1780" authorId="0" shapeId="0" xr:uid="{8246EBA2-0738-A34B-A1BB-477652B8AA1B}">
      <text>
        <r>
          <rPr>
            <sz val="10"/>
            <color rgb="FF000000"/>
            <rFont val="Aptos Narrow"/>
            <scheme val="minor"/>
          </rPr>
          <t>======
ID#AAABjx7qQls
    (2025-05-21 11:33:25)
●訂單上面忘記註明會Consing DRAM
● DDR4 無法裝在ECS-8000-2R850Q
此單取消DRAM可以改用於PI-20181022C  ( SPC3520-300U 訂單)</t>
        </r>
      </text>
    </comment>
    <comment ref="H1781" authorId="0" shapeId="0" xr:uid="{68E8C7B8-76F8-B048-ADEC-41A0D7B2EF5A}">
      <text>
        <r>
          <rPr>
            <sz val="10"/>
            <color rgb="FF000000"/>
            <rFont val="Aptos Narrow"/>
            <scheme val="minor"/>
          </rPr>
          <t>======
ID#AAABjx7qRTg
    (2025-05-21 11:33:25)
1220 chloe: 匯款匯入US$32647.5</t>
        </r>
      </text>
    </comment>
    <comment ref="E1782" authorId="0" shapeId="0" xr:uid="{8EFA1767-AD46-984F-B99A-A3CC4F669B22}">
      <text>
        <r>
          <rPr>
            <sz val="10"/>
            <color rgb="FF000000"/>
            <rFont val="Aptos Narrow"/>
            <scheme val="minor"/>
          </rPr>
          <t>======
ID#AAABjx7qM0Q
    (2025-05-21 11:33:23)
Vecow offer $303
Jetone offer $380</t>
        </r>
      </text>
    </comment>
    <comment ref="H1782" authorId="0" shapeId="0" xr:uid="{F0D926ED-EC47-444C-99C1-EFDB40463B11}">
      <text>
        <r>
          <rPr>
            <sz val="10"/>
            <color rgb="FF000000"/>
            <rFont val="Aptos Narrow"/>
            <scheme val="minor"/>
          </rPr>
          <t>======
ID#AAABjx7qRno
    (2025-05-21 11:33:25)
1220 chloe: 匯款匯入US$32647.5</t>
        </r>
      </text>
    </comment>
    <comment ref="H1783" authorId="0" shapeId="0" xr:uid="{D5F1E539-5B09-2A4B-A969-050AD4329F87}">
      <text>
        <r>
          <rPr>
            <sz val="10"/>
            <color rgb="FF000000"/>
            <rFont val="Aptos Narrow"/>
            <scheme val="minor"/>
          </rPr>
          <t>======
ID#AAABjx7qVWA
    (2025-05-21 11:33:27)
1220 chloe: 匯款匯入US$32647.5</t>
        </r>
      </text>
    </comment>
    <comment ref="H1784" authorId="0" shapeId="0" xr:uid="{DA80CEAD-D2D8-924C-AADA-CE3E75287BEE}">
      <text>
        <r>
          <rPr>
            <sz val="10"/>
            <color rgb="FF000000"/>
            <rFont val="Aptos Narrow"/>
            <scheme val="minor"/>
          </rPr>
          <t>======
ID#AAABjx7qSzw
    (2025-05-21 11:33:26)
0128 Mary: 匯款匯入 US$3,835</t>
        </r>
      </text>
    </comment>
    <comment ref="H1785" authorId="0" shapeId="0" xr:uid="{13770641-F975-1049-8EA3-131ECEB4C7A7}">
      <text>
        <r>
          <rPr>
            <sz val="10"/>
            <color rgb="FF000000"/>
            <rFont val="Aptos Narrow"/>
            <scheme val="minor"/>
          </rPr>
          <t>======
ID#AAABjx7qPIg
    (2025-05-21 11:33:24)
0128 Mary: 匯款匯入 US$3,835</t>
        </r>
      </text>
    </comment>
    <comment ref="H1786" authorId="0" shapeId="0" xr:uid="{5B27B39E-4ECC-1640-A7FE-F002192CDD01}">
      <text>
        <r>
          <rPr>
            <sz val="10"/>
            <color rgb="FF000000"/>
            <rFont val="Aptos Narrow"/>
            <scheme val="minor"/>
          </rPr>
          <t>======
ID#AAABjx7qTR8
    (2025-05-21 11:33:26)
0128 Mary: 匯款匯入 US$3,835</t>
        </r>
      </text>
    </comment>
    <comment ref="H1787" authorId="0" shapeId="0" xr:uid="{F791FDCF-A5F7-DD4B-8782-4294C9E85EC9}">
      <text>
        <r>
          <rPr>
            <sz val="10"/>
            <color rgb="FF000000"/>
            <rFont val="Aptos Narrow"/>
            <scheme val="minor"/>
          </rPr>
          <t>======
ID#AAABjx7qObE
    (2025-05-21 11:33:24)
0123 Mary:匯款匯入US$847
(PI-20181029A)</t>
        </r>
      </text>
    </comment>
    <comment ref="H1788" authorId="0" shapeId="0" xr:uid="{8C915B57-2C67-894D-810E-E3341A60F335}">
      <text>
        <r>
          <rPr>
            <sz val="10"/>
            <color rgb="FF000000"/>
            <rFont val="Aptos Narrow"/>
            <scheme val="minor"/>
          </rPr>
          <t>======
ID#AAABjx7qU1Q
    (2025-05-21 11:33:26)
0123 Mary:匯款匯入US$847
(PI-20181029A)</t>
        </r>
      </text>
    </comment>
    <comment ref="H1789" authorId="0" shapeId="0" xr:uid="{DFF7F957-7B12-694E-9588-7299A3F19313}">
      <text>
        <r>
          <rPr>
            <sz val="10"/>
            <color rgb="FF000000"/>
            <rFont val="Aptos Narrow"/>
            <scheme val="minor"/>
          </rPr>
          <t>======
ID#AAABjx7qVmc
    (2025-05-21 11:33:27)
0123 Mary:匯款匯入US$847
(PI-20181029A)</t>
        </r>
      </text>
    </comment>
    <comment ref="H1790" authorId="0" shapeId="0" xr:uid="{2B69CBAF-9A72-6548-ACBC-BC4FDCBFA129}">
      <text>
        <r>
          <rPr>
            <sz val="10"/>
            <color rgb="FF000000"/>
            <rFont val="Aptos Narrow"/>
            <scheme val="minor"/>
          </rPr>
          <t>======
ID#AAABjx7qRmU
    (2025-05-21 11:33:25)
0123 Mary:匯款匯入US$847
(PI-20181029A)</t>
        </r>
      </text>
    </comment>
    <comment ref="H1791" authorId="0" shapeId="0" xr:uid="{162C27CC-D5A6-4A42-8E76-CB827680AC0F}">
      <text>
        <r>
          <rPr>
            <sz val="10"/>
            <color rgb="FF000000"/>
            <rFont val="Aptos Narrow"/>
            <scheme val="minor"/>
          </rPr>
          <t>======
ID#AAABjx7qQRk
    (2025-05-21 11:33:25)
0123 Mary:匯款匯入US$847
(PI-20181029A)</t>
        </r>
      </text>
    </comment>
    <comment ref="H1792" authorId="0" shapeId="0" xr:uid="{3DE869FA-7247-8C48-8408-2B4A2B4B2B17}">
      <text>
        <r>
          <rPr>
            <sz val="10"/>
            <color rgb="FF000000"/>
            <rFont val="Aptos Narrow"/>
            <scheme val="minor"/>
          </rPr>
          <t>======
ID#AAABjx7qPyc
    (2025-05-21 11:33:24)
0123 Mary:匯款匯入US$847
(PI-20181029A)</t>
        </r>
      </text>
    </comment>
    <comment ref="H1793" authorId="0" shapeId="0" xr:uid="{BD6AAABA-CBFC-224A-8F7A-FBB8CFF6D9C5}">
      <text>
        <r>
          <rPr>
            <sz val="10"/>
            <color rgb="FF000000"/>
            <rFont val="Aptos Narrow"/>
            <scheme val="minor"/>
          </rPr>
          <t>======
ID#AAABjx7qNyU
    (2025-05-21 11:33:23)
0123 Mary:匯款匯入 US$706.5</t>
        </r>
      </text>
    </comment>
    <comment ref="K1793" authorId="0" shapeId="0" xr:uid="{45B528D6-DC40-5445-9966-A4FC3437568A}">
      <text>
        <r>
          <rPr>
            <sz val="10"/>
            <color rgb="FF000000"/>
            <rFont val="Aptos Narrow"/>
            <scheme val="minor"/>
          </rPr>
          <t>======
ID#AAABjx7qRnM
    (2025-05-21 11:33:25)
Cindy: Freight Invoice開立日期:12/11</t>
        </r>
      </text>
    </comment>
    <comment ref="H1794" authorId="0" shapeId="0" xr:uid="{180EF453-4BFC-DA49-BACD-35FB8E560BBA}">
      <text>
        <r>
          <rPr>
            <sz val="10"/>
            <color rgb="FF000000"/>
            <rFont val="Aptos Narrow"/>
            <scheme val="minor"/>
          </rPr>
          <t>======
ID#AAABjx7qPA4
    (2025-05-21 11:33:24)
0104 chloe:匯款匯入US$3195.35</t>
        </r>
      </text>
    </comment>
    <comment ref="H1795" authorId="0" shapeId="0" xr:uid="{1640C8ED-B7A8-C74B-86B4-AF9EF78403C6}">
      <text>
        <r>
          <rPr>
            <sz val="10"/>
            <color rgb="FF000000"/>
            <rFont val="Aptos Narrow"/>
            <scheme val="minor"/>
          </rPr>
          <t>======
ID#AAABjx7qQPw
    (2025-05-21 11:33:25)
0104 chloe:匯款匯入US$3195.35</t>
        </r>
      </text>
    </comment>
    <comment ref="H1796" authorId="0" shapeId="0" xr:uid="{B7F397FF-D3E2-B643-A06C-E32F033A0F3C}">
      <text>
        <r>
          <rPr>
            <sz val="10"/>
            <color rgb="FF000000"/>
            <rFont val="Aptos Narrow"/>
            <scheme val="minor"/>
          </rPr>
          <t>======
ID#AAABjx7qPqg
    (2025-05-21 11:33:24)
0104 chloe:匯款匯入US$3195.35</t>
        </r>
      </text>
    </comment>
    <comment ref="H1797" authorId="0" shapeId="0" xr:uid="{784CAB2F-0E99-8241-8B9F-CAA50F9AFB4F}">
      <text>
        <r>
          <rPr>
            <sz val="10"/>
            <color rgb="FF000000"/>
            <rFont val="Aptos Narrow"/>
            <scheme val="minor"/>
          </rPr>
          <t>======
ID#AAABjx7qQZQ
    (2025-05-21 11:33:25)
0104 chloe:匯款匯入US$3195.35</t>
        </r>
      </text>
    </comment>
    <comment ref="Z1797" authorId="0" shapeId="0" xr:uid="{BB76A029-0243-2443-8128-7563B2D77F95}">
      <text>
        <r>
          <rPr>
            <sz val="10"/>
            <color rgb="FF000000"/>
            <rFont val="Aptos Narrow"/>
            <scheme val="minor"/>
          </rPr>
          <t>======
ID#AAABjx7qOPs
    (2025-05-21 11:33:24)
同筆5049(已付)</t>
        </r>
      </text>
    </comment>
    <comment ref="H1798" authorId="0" shapeId="0" xr:uid="{78D34F3C-7A56-0A49-9D3C-6FFB705EE3A3}">
      <text>
        <r>
          <rPr>
            <sz val="10"/>
            <color rgb="FF000000"/>
            <rFont val="Aptos Narrow"/>
            <scheme val="minor"/>
          </rPr>
          <t>======
ID#AAABjx7qPn0
    (2025-05-21 11:33:24)
0123 Mary:匯款匯入US$8,490
(PI-20181031A)</t>
        </r>
      </text>
    </comment>
    <comment ref="H1799" authorId="0" shapeId="0" xr:uid="{98E91AC3-602C-2644-846E-0CC154657ED2}">
      <text>
        <r>
          <rPr>
            <sz val="10"/>
            <color rgb="FF000000"/>
            <rFont val="Aptos Narrow"/>
            <scheme val="minor"/>
          </rPr>
          <t>======
ID#AAABjx7qWNQ
    (2025-05-21 11:33:27)
0123 Mary:匯款匯入US$8,490
(PI-20181031A)</t>
        </r>
      </text>
    </comment>
    <comment ref="H1800" authorId="0" shapeId="0" xr:uid="{7D622CC7-C8BB-C04F-95CD-7BE7DB6A5875}">
      <text>
        <r>
          <rPr>
            <sz val="10"/>
            <color rgb="FF000000"/>
            <rFont val="Aptos Narrow"/>
            <scheme val="minor"/>
          </rPr>
          <t>======
ID#AAABj82dpGI
    (2025-05-21 11:33:23)
0123 Mary:匯款匯入US$8,490
(PI-20181031A)</t>
        </r>
      </text>
    </comment>
    <comment ref="E1801" authorId="0" shapeId="0" xr:uid="{617FBAFA-EC7F-5249-8F6D-EEE99313C4D3}">
      <text>
        <r>
          <rPr>
            <sz val="10"/>
            <color rgb="FF000000"/>
            <rFont val="Aptos Narrow"/>
            <scheme val="minor"/>
          </rPr>
          <t>======
ID#AAABjx7qVWM
    (2025-05-21 11:33:27)
256GB 2.5" SSD M3M MP808 Samsung eMMC ET(-25℃~+85℃)</t>
        </r>
      </text>
    </comment>
    <comment ref="H1801" authorId="0" shapeId="0" xr:uid="{A2068E07-0D52-B946-A5A7-B090BC30EDFC}">
      <text>
        <r>
          <rPr>
            <sz val="10"/>
            <color rgb="FF000000"/>
            <rFont val="Aptos Narrow"/>
            <scheme val="minor"/>
          </rPr>
          <t>======
ID#AAABjx7qTC0
    (2025-05-21 11:33:26)
0123 Mary:匯款匯入US$8,490
(PI-20181031A)</t>
        </r>
      </text>
    </comment>
    <comment ref="H1802" authorId="0" shapeId="0" xr:uid="{10300501-7DBF-2E44-8892-B667D96D984F}">
      <text>
        <r>
          <rPr>
            <sz val="10"/>
            <color rgb="FF000000"/>
            <rFont val="Aptos Narrow"/>
            <scheme val="minor"/>
          </rPr>
          <t>======
ID#AAABjx7qVEE
    (2025-05-21 11:33:27)
0123 Mary:匯款匯入US$8,490
(PI-20181031A)</t>
        </r>
      </text>
    </comment>
    <comment ref="H1803" authorId="0" shapeId="0" xr:uid="{AEE32B9B-9E35-0D4C-9B73-D93F71787363}">
      <text>
        <r>
          <rPr>
            <sz val="10"/>
            <color rgb="FF000000"/>
            <rFont val="Aptos Narrow"/>
            <scheme val="minor"/>
          </rPr>
          <t>======
ID#AAABjx7qSG0
    (2025-05-21 11:33:26)
0123 Mary:匯款匯入US$8,490
(PI-20181031A)</t>
        </r>
      </text>
    </comment>
    <comment ref="E1804" authorId="0" shapeId="0" xr:uid="{4D4E6420-5EDD-CC4F-965A-AEB967A40DE7}">
      <text>
        <r>
          <rPr>
            <sz val="10"/>
            <color rgb="FF000000"/>
            <rFont val="Aptos Narrow"/>
            <scheme val="minor"/>
          </rPr>
          <t>======
ID#AAABjx7qWLI
    (2025-05-21 11:33:27)
1122AMY: 3pin power connector 改為RG58 power connector</t>
        </r>
      </text>
    </comment>
    <comment ref="H1804" authorId="0" shapeId="0" xr:uid="{69E9BFA3-3C08-7146-9100-756656AED7C8}">
      <text>
        <r>
          <rPr>
            <sz val="10"/>
            <color rgb="FF000000"/>
            <rFont val="Aptos Narrow"/>
            <scheme val="minor"/>
          </rPr>
          <t>======
ID#AAABjx7qS1I
    (2025-05-21 11:33:26)
0213 Mary:匯款匯入US$11,250</t>
        </r>
      </text>
    </comment>
    <comment ref="H1805" authorId="0" shapeId="0" xr:uid="{BA21E6A7-FB68-DA4C-8529-FB53D3D1DD7D}">
      <text>
        <r>
          <rPr>
            <sz val="10"/>
            <color rgb="FF000000"/>
            <rFont val="Aptos Narrow"/>
            <scheme val="minor"/>
          </rPr>
          <t>======
ID#AAABjx7qPTM
    (2025-05-21 11:33:24)
0213 Mary:匯款匯入US$11,250</t>
        </r>
      </text>
    </comment>
    <comment ref="H1806" authorId="0" shapeId="0" xr:uid="{609924C8-D1BC-CB48-8A4A-7FEDDF15CA74}">
      <text>
        <r>
          <rPr>
            <sz val="10"/>
            <color rgb="FF000000"/>
            <rFont val="Aptos Narrow"/>
            <scheme val="minor"/>
          </rPr>
          <t>======
ID#AAABjx7qP0c
    (2025-05-21 11:33:24)
0213 Mary:匯款匯入US$11,250</t>
        </r>
      </text>
    </comment>
    <comment ref="E1807" authorId="0" shapeId="0" xr:uid="{AD7F6634-C5F5-9D40-B03D-8FCACEC88F96}">
      <text>
        <r>
          <rPr>
            <sz val="10"/>
            <color rgb="FF000000"/>
            <rFont val="Aptos Narrow"/>
            <scheme val="minor"/>
          </rPr>
          <t>======
ID#AAABjx7qVnI
    (2025-05-21 11:33:27)
256GB 2.5" SSD M3M MP808 Samsung eMMC ET(-25℃~+85℃)</t>
        </r>
      </text>
    </comment>
    <comment ref="H1807" authorId="0" shapeId="0" xr:uid="{14B980C8-95D8-8D4D-85CF-DE047295558A}">
      <text>
        <r>
          <rPr>
            <sz val="10"/>
            <color rgb="FF000000"/>
            <rFont val="Aptos Narrow"/>
            <scheme val="minor"/>
          </rPr>
          <t>======
ID#AAABjx7qSOw
    (2025-05-21 11:33:26)
0213 Mary:匯款匯入US$11,250</t>
        </r>
      </text>
    </comment>
    <comment ref="H1808" authorId="0" shapeId="0" xr:uid="{0FA5FAAD-FB82-954C-A85E-222C09AEE1FB}">
      <text>
        <r>
          <rPr>
            <sz val="10"/>
            <color rgb="FF000000"/>
            <rFont val="Aptos Narrow"/>
            <scheme val="minor"/>
          </rPr>
          <t>======
ID#AAABjx7qPzQ
    (2025-05-21 11:33:24)
0213 Mary:匯款匯入US$11,250</t>
        </r>
      </text>
    </comment>
    <comment ref="H1809" authorId="0" shapeId="0" xr:uid="{B0EE3046-5451-9145-A085-A5F1B7855C91}">
      <text>
        <r>
          <rPr>
            <sz val="10"/>
            <color rgb="FF000000"/>
            <rFont val="Aptos Narrow"/>
            <scheme val="minor"/>
          </rPr>
          <t>======
ID#AAABjx7qOzI
    (2025-05-21 11:33:24)
0213 Mary:匯款匯入US$11,250</t>
        </r>
      </text>
    </comment>
    <comment ref="H1810" authorId="0" shapeId="0" xr:uid="{052F92A6-9B9A-8F44-B2E4-4C715FBEE15A}">
      <text>
        <r>
          <rPr>
            <sz val="10"/>
            <color rgb="FF000000"/>
            <rFont val="Aptos Narrow"/>
            <scheme val="minor"/>
          </rPr>
          <t>======
ID#AAABjx7qMsg
    (2025-05-21 11:33:23)
0213 Mary:匯款匯入US$11,250</t>
        </r>
      </text>
    </comment>
    <comment ref="H1811" authorId="0" shapeId="0" xr:uid="{5092BAAA-3F0C-1E40-A6C5-967E2BE7BDBA}">
      <text>
        <r>
          <rPr>
            <sz val="10"/>
            <color rgb="FF000000"/>
            <rFont val="Aptos Narrow"/>
            <scheme val="minor"/>
          </rPr>
          <t>======
ID#AAABjx7qNEo
    (2025-05-21 11:33:23)
0213 Mary:匯款匯入US$11,250</t>
        </r>
      </text>
    </comment>
    <comment ref="H1812" authorId="0" shapeId="0" xr:uid="{3D2B041B-4C37-784D-A053-B1B4797570ED}">
      <text>
        <r>
          <rPr>
            <sz val="10"/>
            <color rgb="FF000000"/>
            <rFont val="Aptos Narrow"/>
            <scheme val="minor"/>
          </rPr>
          <t>======
ID#AAABjx7qOoY
    (2025-05-21 11:33:24)
1211 chloe:已收到匯款</t>
        </r>
      </text>
    </comment>
    <comment ref="H1813" authorId="0" shapeId="0" xr:uid="{A84FE462-CF4D-1148-9435-C3E430BB2A8C}">
      <text>
        <r>
          <rPr>
            <sz val="10"/>
            <color rgb="FF000000"/>
            <rFont val="Aptos Narrow"/>
            <scheme val="minor"/>
          </rPr>
          <t>======
ID#AAABjx7qTM4
    (2025-05-21 11:33:26)
1211 chloe:已收到匯款</t>
        </r>
      </text>
    </comment>
    <comment ref="H1814" authorId="0" shapeId="0" xr:uid="{06A38A9F-FEBE-984D-A9FB-29FEEBD831D8}">
      <text>
        <r>
          <rPr>
            <sz val="10"/>
            <color rgb="FF000000"/>
            <rFont val="Aptos Narrow"/>
            <scheme val="minor"/>
          </rPr>
          <t>======
ID#AAABjx7qQBc
    (2025-05-21 11:33:25)
1203 chloe:匯款匯入US$ 3654
●Previous Payment -106</t>
        </r>
      </text>
    </comment>
    <comment ref="K1814" authorId="0" shapeId="0" xr:uid="{D4FDF37D-C435-3D46-91D9-F021100E3910}">
      <text>
        <r>
          <rPr>
            <sz val="10"/>
            <color rgb="FF000000"/>
            <rFont val="Aptos Narrow"/>
            <scheme val="minor"/>
          </rPr>
          <t>======
ID#AAABjx7qOuY
    (2025-05-21 11:33:24)
181130 出貨要產證</t>
        </r>
      </text>
    </comment>
    <comment ref="H1815" authorId="0" shapeId="0" xr:uid="{B551D663-BDCE-A446-B17F-5F22BDA99763}">
      <text>
        <r>
          <rPr>
            <sz val="10"/>
            <color rgb="FF000000"/>
            <rFont val="Aptos Narrow"/>
            <scheme val="minor"/>
          </rPr>
          <t>======
ID#AAABj82dpOw
    (2025-05-21 11:33:23)
1203 chloe:匯款匯入US$ 3654
●Previous Payment -106</t>
        </r>
      </text>
    </comment>
    <comment ref="K1815" authorId="0" shapeId="0" xr:uid="{02B87B13-1C6F-4B4B-B7EC-DD5540062305}">
      <text>
        <r>
          <rPr>
            <sz val="10"/>
            <color rgb="FF000000"/>
            <rFont val="Aptos Narrow"/>
            <scheme val="minor"/>
          </rPr>
          <t>======
ID#AAABjx7qNqA
    (2025-05-21 11:33:23)
181130 出貨要產證</t>
        </r>
      </text>
    </comment>
    <comment ref="H1816" authorId="0" shapeId="0" xr:uid="{1C3A8833-0E45-EC4A-9F4B-11173F290702}">
      <text>
        <r>
          <rPr>
            <sz val="10"/>
            <color rgb="FF000000"/>
            <rFont val="Aptos Narrow"/>
            <scheme val="minor"/>
          </rPr>
          <t>======
ID#AAABjx7qRo4
    (2025-05-21 11:33:25)
0123 Mary:匯款匯入US$1,035
(20181102A)</t>
        </r>
      </text>
    </comment>
    <comment ref="E1817" authorId="0" shapeId="0" xr:uid="{816753E6-2B2A-B24E-BD14-A2D8D80D1612}">
      <text>
        <r>
          <rPr>
            <sz val="10"/>
            <color rgb="FF000000"/>
            <rFont val="Aptos Narrow"/>
            <scheme val="minor"/>
          </rPr>
          <t>======
ID#AAABjx7qV2k
    (2025-05-21 11:33:27)
vecow offer $303</t>
        </r>
      </text>
    </comment>
    <comment ref="H1817" authorId="0" shapeId="0" xr:uid="{21830C39-D14B-D046-A35B-4A2FB284C4EC}">
      <text>
        <r>
          <rPr>
            <sz val="10"/>
            <color rgb="FF000000"/>
            <rFont val="Aptos Narrow"/>
            <scheme val="minor"/>
          </rPr>
          <t>======
ID#AAABjx7qPVk
    (2025-05-21 11:33:24)
0123 Mary:匯款匯入US$1,035
(20181102A)</t>
        </r>
      </text>
    </comment>
    <comment ref="H1818" authorId="0" shapeId="0" xr:uid="{6F86069F-D76C-3640-A300-FE7F8DF68956}">
      <text>
        <r>
          <rPr>
            <sz val="10"/>
            <color rgb="FF000000"/>
            <rFont val="Aptos Narrow"/>
            <scheme val="minor"/>
          </rPr>
          <t>======
ID#AAABjx7qV6s
    (2025-05-21 11:33:27)
0123 Mary:匯款匯入US$1,035
(20181102A)</t>
        </r>
      </text>
    </comment>
    <comment ref="M1818" authorId="0" shapeId="0" xr:uid="{FB268C77-BB16-3341-AD5E-BD893974961E}">
      <text>
        <r>
          <rPr>
            <sz val="10"/>
            <color rgb="FF000000"/>
            <rFont val="Aptos Narrow"/>
            <scheme val="minor"/>
          </rPr>
          <t>======
ID#AAABjx7qPco
    (2025-05-21 11:33:24)
請跟Chloe 領取→11/7 透過小葛給予CINDY</t>
        </r>
      </text>
    </comment>
    <comment ref="Z1818" authorId="0" shapeId="0" xr:uid="{8003CCF0-60E8-0149-A377-D24C121263A6}">
      <text>
        <r>
          <rPr>
            <sz val="10"/>
            <color rgb="FF000000"/>
            <rFont val="Aptos Narrow"/>
            <scheme val="minor"/>
          </rPr>
          <t>======
ID#AAABjx7qTqQ
    (2025-05-21 11:33:26)
2019/1/5 正本尚未寄出，先給會計副本</t>
        </r>
      </text>
    </comment>
    <comment ref="E1819" authorId="0" shapeId="0" xr:uid="{6413FE9D-2E94-8943-851F-DD85A891BBD4}">
      <text>
        <r>
          <rPr>
            <sz val="10"/>
            <color rgb="FF000000"/>
            <rFont val="Aptos Narrow"/>
            <scheme val="minor"/>
          </rPr>
          <t>======
ID#AAABjx7qOrA
    (2025-05-21 11:33:24)
1127 chloe:要注意V201 不會寫在標籤上，要注意看S/N</t>
        </r>
      </text>
    </comment>
    <comment ref="H1819" authorId="0" shapeId="0" xr:uid="{2B793461-18C9-8345-93D8-9DC2C82B41D5}">
      <text>
        <r>
          <rPr>
            <sz val="10"/>
            <color rgb="FF000000"/>
            <rFont val="Aptos Narrow"/>
            <scheme val="minor"/>
          </rPr>
          <t>======
ID#AAABjx7qWKg
    (2025-05-21 11:33:27)
1217 chloe:匯款匯入US$3,207.00</t>
        </r>
      </text>
    </comment>
    <comment ref="H1820" authorId="0" shapeId="0" xr:uid="{0C3D26AB-9324-E845-BB1E-779AE2ED9559}">
      <text>
        <r>
          <rPr>
            <sz val="10"/>
            <color rgb="FF000000"/>
            <rFont val="Aptos Narrow"/>
            <scheme val="minor"/>
          </rPr>
          <t>======
ID#AAABjx7qRqE
    (2025-05-21 11:33:25)
1116 chloe: 匯款匯入:US$21239</t>
        </r>
      </text>
    </comment>
    <comment ref="M1820" authorId="0" shapeId="0" xr:uid="{816CD39D-18E9-6E4A-B171-731BA08CC1F3}">
      <text>
        <r>
          <rPr>
            <sz val="10"/>
            <color rgb="FF000000"/>
            <rFont val="Aptos Narrow"/>
            <scheme val="minor"/>
          </rPr>
          <t>======
ID#AAABjx7qTXc
    (2025-05-21 11:33:26)
1107 Amy: Adlink此產品已EOL,原報價漲為USD1,211, 後同意以USD1,200售予戎克。</t>
        </r>
      </text>
    </comment>
    <comment ref="H1821" authorId="0" shapeId="0" xr:uid="{725CAE9D-3563-4F47-BF0F-9B697840CDB1}">
      <text>
        <r>
          <rPr>
            <sz val="10"/>
            <color rgb="FF000000"/>
            <rFont val="Aptos Narrow"/>
            <scheme val="minor"/>
          </rPr>
          <t>======
ID#AAABjx7qMzY
    (2025-05-21 11:33:23)
0213 Mary:匯款匯入US$11,250</t>
        </r>
      </text>
    </comment>
    <comment ref="H1822" authorId="0" shapeId="0" xr:uid="{4A18701C-8902-8645-9E09-4EFD86492B5D}">
      <text>
        <r>
          <rPr>
            <sz val="10"/>
            <color rgb="FF000000"/>
            <rFont val="Aptos Narrow"/>
            <scheme val="minor"/>
          </rPr>
          <t>======
ID#AAABjx7qRuo
    (2025-05-21 11:33:25)
0213 Mary:匯款匯入US$11,250</t>
        </r>
      </text>
    </comment>
    <comment ref="E1823" authorId="0" shapeId="0" xr:uid="{CD268A46-C428-7640-95CE-E045344916EA}">
      <text>
        <r>
          <rPr>
            <sz val="10"/>
            <color rgb="FF000000"/>
            <rFont val="Aptos Narrow"/>
            <scheme val="minor"/>
          </rPr>
          <t>======
ID#AAABjx7qPDg
    (2025-05-21 11:33:24)
6/10 Amy: 2018舊訂單料號是MI3EM5125602EN 256G SSD 或是 MI3MB1125604SN 256G SSD (memxpro目前報價單料號)</t>
        </r>
      </text>
    </comment>
    <comment ref="H1823" authorId="0" shapeId="0" xr:uid="{0EA725B1-E162-4740-B840-32C7A2F5257A}">
      <text>
        <r>
          <rPr>
            <sz val="10"/>
            <color rgb="FF000000"/>
            <rFont val="Aptos Narrow"/>
            <scheme val="minor"/>
          </rPr>
          <t>======
ID#AAABjx7qWRY
    (2025-05-21 11:33:27)
0213 Mary:匯款匯入US$11,250</t>
        </r>
      </text>
    </comment>
    <comment ref="H1824" authorId="0" shapeId="0" xr:uid="{CDAD0052-64A6-FE44-9A17-9F024DFF5E88}">
      <text>
        <r>
          <rPr>
            <sz val="10"/>
            <color rgb="FF000000"/>
            <rFont val="Aptos Narrow"/>
            <scheme val="minor"/>
          </rPr>
          <t>======
ID#AAABjx7qNzY
    (2025-05-21 11:33:23)
0213 Mary:匯款匯入US$11,250</t>
        </r>
      </text>
    </comment>
    <comment ref="H1825" authorId="0" shapeId="0" xr:uid="{457897BE-94A8-5E4D-833E-337E4A40A255}">
      <text>
        <r>
          <rPr>
            <sz val="10"/>
            <color rgb="FF000000"/>
            <rFont val="Aptos Narrow"/>
            <scheme val="minor"/>
          </rPr>
          <t>======
ID#AAABjx7qNg4
    (2025-05-21 11:33:23)
0213 Mary:匯款匯入US$11,250</t>
        </r>
      </text>
    </comment>
    <comment ref="H1826" authorId="0" shapeId="0" xr:uid="{AC65C9DC-4F4B-594C-8732-82A5155E8D75}">
      <text>
        <r>
          <rPr>
            <sz val="10"/>
            <color rgb="FF000000"/>
            <rFont val="Aptos Narrow"/>
            <scheme val="minor"/>
          </rPr>
          <t>======
ID#AAABjx7qRHo
    (2025-05-21 11:33:25)
0213 Mary:匯款匯入US$11,250</t>
        </r>
      </text>
    </comment>
    <comment ref="H1827" authorId="0" shapeId="0" xr:uid="{29DF6392-E413-4041-8E71-11CC0EAE7001}">
      <text>
        <r>
          <rPr>
            <sz val="10"/>
            <color rgb="FF000000"/>
            <rFont val="Aptos Narrow"/>
            <scheme val="minor"/>
          </rPr>
          <t>======
ID#AAABjx7qTIw
    (2025-05-21 11:33:26)
1113 chloe: 匯款匯入 USD 9,664</t>
        </r>
      </text>
    </comment>
    <comment ref="J1827" authorId="0" shapeId="0" xr:uid="{3DC75887-5A8D-B045-B25D-5CF9063358D2}">
      <text>
        <r>
          <rPr>
            <sz val="10"/>
            <color rgb="FF000000"/>
            <rFont val="Aptos Narrow"/>
            <scheme val="minor"/>
          </rPr>
          <t>======
ID#AAABjx7qPrA
    (2025-05-21 11:33:24)
Attn: JUDY KAO 
Supervisor Of Sales Div.
 FETA FREIGHT SYSTEMS (TAIWAN ) LTD. 
 Tel: +886-3-399-2033 EXT: 135
 Direct: +886-3-3992106
 Fax: +886-3-3992036/2055
 E-mail: judykao@ffsi.com.tw
Skype:judykao-mlattao</t>
        </r>
      </text>
    </comment>
    <comment ref="E1828" authorId="0" shapeId="0" xr:uid="{860BBF74-C90E-274E-AB21-F858CC7E3C7B}">
      <text>
        <r>
          <rPr>
            <sz val="10"/>
            <color rgb="FF000000"/>
            <rFont val="Aptos Narrow"/>
            <scheme val="minor"/>
          </rPr>
          <t>======
ID#AAABjx7qVzc
    (2025-05-21 11:33:27)
181113 Karen: w/o adapter</t>
        </r>
      </text>
    </comment>
    <comment ref="H1828" authorId="0" shapeId="0" xr:uid="{ADD86567-8888-5E42-BC08-2D93F9BF7DB8}">
      <text>
        <r>
          <rPr>
            <sz val="10"/>
            <color rgb="FF000000"/>
            <rFont val="Aptos Narrow"/>
            <scheme val="minor"/>
          </rPr>
          <t>======
ID#AAABjx7qTlc
    (2025-05-21 11:33:26)
1113 chloe: 匯款匯入 USD 9,664</t>
        </r>
      </text>
    </comment>
    <comment ref="H1829" authorId="0" shapeId="0" xr:uid="{85A4CE15-0879-A04F-8FBE-2F48E0F27A5E}">
      <text>
        <r>
          <rPr>
            <sz val="10"/>
            <color rgb="FF000000"/>
            <rFont val="Aptos Narrow"/>
            <scheme val="minor"/>
          </rPr>
          <t>======
ID#AAABjx7qWKs
    (2025-05-21 11:33:27)
1113 chloe: 匯款匯入 USD 9,664</t>
        </r>
      </text>
    </comment>
    <comment ref="H1830" authorId="0" shapeId="0" xr:uid="{0FCA1E41-2B67-6549-8B81-E003093EF862}">
      <text>
        <r>
          <rPr>
            <sz val="10"/>
            <color rgb="FF000000"/>
            <rFont val="Aptos Narrow"/>
            <scheme val="minor"/>
          </rPr>
          <t>======
ID#AAABjx7qWY0
    (2025-05-21 11:33:27)
0111  chloe:匯款匯入US$8,152</t>
        </r>
      </text>
    </comment>
    <comment ref="H1831" authorId="0" shapeId="0" xr:uid="{3A12EDA3-F73D-5C48-9C50-9F9D7551E1D3}">
      <text>
        <r>
          <rPr>
            <sz val="10"/>
            <color rgb="FF000000"/>
            <rFont val="Aptos Narrow"/>
            <scheme val="minor"/>
          </rPr>
          <t>======
ID#AAABjx7qPLU
    (2025-05-21 11:33:24)
1222 chloe:匯款匯入USD 17,904</t>
        </r>
      </text>
    </comment>
    <comment ref="Q1831" authorId="0" shapeId="0" xr:uid="{1374EE38-3663-604F-B023-B924E26E139B}">
      <text>
        <r>
          <rPr>
            <sz val="10"/>
            <color rgb="FF000000"/>
            <rFont val="Aptos Narrow"/>
            <scheme val="minor"/>
          </rPr>
          <t>======
ID#AAABjx7qQQE
    (2025-05-21 11:33:25)
+10 (科技國給MOXA手續費)</t>
        </r>
      </text>
    </comment>
    <comment ref="H1832" authorId="0" shapeId="0" xr:uid="{2CA473D9-9B6B-B440-B1FC-18F109B5368F}">
      <text>
        <r>
          <rPr>
            <sz val="10"/>
            <color rgb="FF000000"/>
            <rFont val="Aptos Narrow"/>
            <scheme val="minor"/>
          </rPr>
          <t>======
ID#AAABjx7qM_s
    (2025-05-21 11:33:23)
1129 chloe:匯款匯入US$21360</t>
        </r>
      </text>
    </comment>
    <comment ref="H1833" authorId="0" shapeId="0" xr:uid="{FF4C8564-3633-8648-9142-207F0F4D3070}">
      <text>
        <r>
          <rPr>
            <sz val="10"/>
            <color rgb="FF000000"/>
            <rFont val="Aptos Narrow"/>
            <scheme val="minor"/>
          </rPr>
          <t>======
ID#AAABjx7qN-s
    (2025-05-21 11:33:24)
1129 chloe:匯款匯入US$21360</t>
        </r>
      </text>
    </comment>
    <comment ref="H1834" authorId="0" shapeId="0" xr:uid="{E71A1331-BBA4-2442-87E5-7E95AA6DEC15}">
      <text>
        <r>
          <rPr>
            <sz val="10"/>
            <color rgb="FF000000"/>
            <rFont val="Aptos Narrow"/>
            <scheme val="minor"/>
          </rPr>
          <t>======
ID#AAABjx7qVTQ
    (2025-05-21 11:33:27)
1129 chloe:匯款匯入US$21360</t>
        </r>
      </text>
    </comment>
    <comment ref="H1835" authorId="0" shapeId="0" xr:uid="{40CE6A0F-3F19-3E44-90DA-46E3143FFC4D}">
      <text>
        <r>
          <rPr>
            <sz val="10"/>
            <color rgb="FF000000"/>
            <rFont val="Aptos Narrow"/>
            <scheme val="minor"/>
          </rPr>
          <t>======
ID#AAABjx7qNFw
    (2025-05-21 11:33:23)
1129 chloe:匯款匯入US$21360</t>
        </r>
      </text>
    </comment>
    <comment ref="H1836" authorId="0" shapeId="0" xr:uid="{4A151719-C5C6-C64C-99F0-16C52832D9D7}">
      <text>
        <r>
          <rPr>
            <sz val="10"/>
            <color rgb="FF000000"/>
            <rFont val="Aptos Narrow"/>
            <scheme val="minor"/>
          </rPr>
          <t>======
ID#AAABjx7qOFk
    (2025-05-21 11:33:24)
1129 chloe:匯款匯入US$21360</t>
        </r>
      </text>
    </comment>
    <comment ref="H1837" authorId="0" shapeId="0" xr:uid="{6683B4C8-304E-AF47-BCAD-6D57A1972586}">
      <text>
        <r>
          <rPr>
            <sz val="10"/>
            <color rgb="FF000000"/>
            <rFont val="Aptos Narrow"/>
            <scheme val="minor"/>
          </rPr>
          <t>======
ID#AAABjx7qRtw
    (2025-05-21 11:33:25)
1129 chloe:匯款匯入US$21360</t>
        </r>
      </text>
    </comment>
    <comment ref="H1838" authorId="0" shapeId="0" xr:uid="{C4A0DB6F-D271-0940-A79B-8DCD3AF77209}">
      <text>
        <r>
          <rPr>
            <sz val="10"/>
            <color rgb="FF000000"/>
            <rFont val="Aptos Narrow"/>
            <scheme val="minor"/>
          </rPr>
          <t>======
ID#AAABjx7qVbk
    (2025-05-21 11:33:27)
1129 chloe:匯款匯入US$21360</t>
        </r>
      </text>
    </comment>
    <comment ref="H1839" authorId="0" shapeId="0" xr:uid="{2C766E23-5E5E-AA46-8DCB-506CEDD4A9DB}">
      <text>
        <r>
          <rPr>
            <sz val="10"/>
            <color rgb="FF000000"/>
            <rFont val="Aptos Narrow"/>
            <scheme val="minor"/>
          </rPr>
          <t>======
ID#AAABjx7qRtM
    (2025-05-21 11:33:25)
1129 chloe:匯款匯入US$21360</t>
        </r>
      </text>
    </comment>
    <comment ref="G1840" authorId="0" shapeId="0" xr:uid="{2873F753-5AB2-BA4A-ABB7-6189324CC51E}">
      <text>
        <r>
          <rPr>
            <sz val="10"/>
            <color rgb="FF000000"/>
            <rFont val="Aptos Narrow"/>
            <scheme val="minor"/>
          </rPr>
          <t>======
ID#AAABjx7qU00
201811119 San    (2025-05-21 11:33:26)
NT$2760 / 1 pcs, 未稅價</t>
        </r>
      </text>
    </comment>
    <comment ref="H1840" authorId="0" shapeId="0" xr:uid="{1EE5FA56-A661-0241-9082-7A14D0CE6FEB}">
      <text>
        <r>
          <rPr>
            <sz val="10"/>
            <color rgb="FF000000"/>
            <rFont val="Aptos Narrow"/>
            <scheme val="minor"/>
          </rPr>
          <t>======
ID#AAABjx7qSbk
    (2025-05-21 11:33:26)
1223 chloe:匯款匯入NT114,629</t>
        </r>
      </text>
    </comment>
    <comment ref="H1841" authorId="0" shapeId="0" xr:uid="{CD20952B-1238-9547-A2DE-ECA3BF5FE2B2}">
      <text>
        <r>
          <rPr>
            <sz val="10"/>
            <color rgb="FF000000"/>
            <rFont val="Aptos Narrow"/>
            <scheme val="minor"/>
          </rPr>
          <t>======
ID#AAABjx7qSyc
    (2025-05-21 11:33:26)
1227 chloe:匯款匯入US$53334</t>
        </r>
      </text>
    </comment>
    <comment ref="H1842" authorId="0" shapeId="0" xr:uid="{B1494D95-58F5-C445-B35C-0450A3F265DD}">
      <text>
        <r>
          <rPr>
            <sz val="10"/>
            <color rgb="FF000000"/>
            <rFont val="Aptos Narrow"/>
            <scheme val="minor"/>
          </rPr>
          <t>======
ID#AAABj82dpLU
    (2025-05-21 11:33:23)
1227 chloe:匯款匯入US$53334</t>
        </r>
      </text>
    </comment>
    <comment ref="H1843" authorId="0" shapeId="0" xr:uid="{62A7A8F9-34B6-3740-AA0D-46EE3E17F157}">
      <text>
        <r>
          <rPr>
            <sz val="10"/>
            <color rgb="FF000000"/>
            <rFont val="Aptos Narrow"/>
            <scheme val="minor"/>
          </rPr>
          <t>======
ID#AAABjx7qVNM
    (2025-05-21 11:33:27)
1227 chloe:匯款匯入US$53334</t>
        </r>
      </text>
    </comment>
    <comment ref="H1844" authorId="0" shapeId="0" xr:uid="{1574A44F-9E24-A849-9FD7-509B8AD1A4D3}">
      <text>
        <r>
          <rPr>
            <sz val="10"/>
            <color rgb="FF000000"/>
            <rFont val="Aptos Narrow"/>
            <scheme val="minor"/>
          </rPr>
          <t>======
ID#AAABjx7qTTM
    (2025-05-21 11:33:26)
1214 chloe:匯款匯入:US$1524</t>
        </r>
      </text>
    </comment>
    <comment ref="H1845" authorId="0" shapeId="0" xr:uid="{CDD61EE4-3055-794B-9451-E07DF50E308A}">
      <text>
        <r>
          <rPr>
            <sz val="10"/>
            <color rgb="FF000000"/>
            <rFont val="Aptos Narrow"/>
            <scheme val="minor"/>
          </rPr>
          <t>======
ID#AAABjx7qNjY
    (2025-05-21 11:33:23)
1214 chloe:匯款匯入:US$1524</t>
        </r>
      </text>
    </comment>
    <comment ref="G1847" authorId="0" shapeId="0" xr:uid="{7E99FC0F-FC68-6D4F-A7EF-3A95F1557E93}">
      <text>
        <r>
          <rPr>
            <sz val="10"/>
            <color rgb="FF000000"/>
            <rFont val="Aptos Narrow"/>
            <scheme val="minor"/>
          </rPr>
          <t>======
ID#AAABjx7qWT8
201811121 San    (2025-05-21 11:33:27)
NT$2760 / 1 pcs, 未稅價</t>
        </r>
      </text>
    </comment>
    <comment ref="H1847" authorId="0" shapeId="0" xr:uid="{71A07A67-F77C-334E-88A7-5E3977895D30}">
      <text>
        <r>
          <rPr>
            <sz val="10"/>
            <color rgb="FF000000"/>
            <rFont val="Aptos Narrow"/>
            <scheme val="minor"/>
          </rPr>
          <t>======
ID#AAABjx7qNhg
    (2025-05-21 11:33:23)
1223 chloe:匯款匯入NT114,629</t>
        </r>
      </text>
    </comment>
    <comment ref="H1848" authorId="0" shapeId="0" xr:uid="{D478980A-D76D-4241-A95D-5B619DD3517E}">
      <text>
        <r>
          <rPr>
            <sz val="10"/>
            <color rgb="FF000000"/>
            <rFont val="Aptos Narrow"/>
            <scheme val="minor"/>
          </rPr>
          <t>======
ID#AAABjx7qVN4
    (2025-05-21 11:33:27)
0111  chloe:匯款匯入US$8,152</t>
        </r>
      </text>
    </comment>
    <comment ref="H1849" authorId="0" shapeId="0" xr:uid="{01629C1F-25D0-2E42-9891-0B1FCA31BDB1}">
      <text>
        <r>
          <rPr>
            <sz val="10"/>
            <color rgb="FF000000"/>
            <rFont val="Aptos Narrow"/>
            <scheme val="minor"/>
          </rPr>
          <t>======
ID#AAABjx7qO3Q
    (2025-05-21 11:33:24)
0111  chloe:匯款匯入US$8,152</t>
        </r>
      </text>
    </comment>
    <comment ref="H1850" authorId="0" shapeId="0" xr:uid="{6200FB77-CCCE-694F-A1D7-0E043058F7A2}">
      <text>
        <r>
          <rPr>
            <sz val="10"/>
            <color rgb="FF000000"/>
            <rFont val="Aptos Narrow"/>
            <scheme val="minor"/>
          </rPr>
          <t>======
ID#AAABjx7qWKM
    (2025-05-21 11:33:27)
0109 chloe:匯款匯入NT163,487</t>
        </r>
      </text>
    </comment>
    <comment ref="E1851" authorId="0" shapeId="0" xr:uid="{FBCC7700-F1F8-414D-8C3A-7819963D368E}">
      <text>
        <r>
          <rPr>
            <sz val="10"/>
            <color rgb="FF000000"/>
            <rFont val="Aptos Narrow"/>
            <scheme val="minor"/>
          </rPr>
          <t>======
ID#AAABjx7qWMg
    (2025-05-21 11:33:27)
20170104 Santiago: 和之前訂單一樣, w/o adapter</t>
        </r>
      </text>
    </comment>
    <comment ref="H1851" authorId="0" shapeId="0" xr:uid="{9423BF3E-615F-C14B-A551-E55D69489328}">
      <text>
        <r>
          <rPr>
            <sz val="10"/>
            <color rgb="FF000000"/>
            <rFont val="Aptos Narrow"/>
            <scheme val="minor"/>
          </rPr>
          <t>======
ID#AAABjx7qONE
    (2025-05-21 11:33:24)
0109 chloe:匯款匯入NT163,487</t>
        </r>
      </text>
    </comment>
    <comment ref="H1852" authorId="0" shapeId="0" xr:uid="{15F14293-866A-4040-9343-AFDE5CCFE2E7}">
      <text>
        <r>
          <rPr>
            <sz val="10"/>
            <color rgb="FF000000"/>
            <rFont val="Aptos Narrow"/>
            <scheme val="minor"/>
          </rPr>
          <t>======
ID#AAABjx7qNYg
    (2025-05-21 11:33:23)
0109 chloe:匯款匯入NT163,487</t>
        </r>
      </text>
    </comment>
    <comment ref="H1853" authorId="0" shapeId="0" xr:uid="{7CDB81BA-2DAE-E147-93AB-2F2479530B1C}">
      <text>
        <r>
          <rPr>
            <sz val="10"/>
            <color rgb="FF000000"/>
            <rFont val="Aptos Narrow"/>
            <scheme val="minor"/>
          </rPr>
          <t>======
ID#AAABjx7qTn0
    (2025-05-21 11:33:26)
1218 chloe:匯款匯入US$17109</t>
        </r>
      </text>
    </comment>
    <comment ref="J1853" authorId="0" shapeId="0" xr:uid="{EDF9CA03-0C22-4D4E-AEFA-E3BA124169EB}">
      <text>
        <r>
          <rPr>
            <sz val="10"/>
            <color rgb="FF000000"/>
            <rFont val="Aptos Narrow"/>
            <scheme val="minor"/>
          </rPr>
          <t>======
ID#AAABjx7qM8E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H1854" authorId="0" shapeId="0" xr:uid="{3A5FC88D-229A-3E4D-9ABA-BE1C9A1A716B}">
      <text>
        <r>
          <rPr>
            <sz val="10"/>
            <color rgb="FF000000"/>
            <rFont val="Aptos Narrow"/>
            <scheme val="minor"/>
          </rPr>
          <t>======
ID#AAABjx7qPKM
    (2025-05-21 11:33:24)
1218 chloe:匯款匯入US$17109</t>
        </r>
      </text>
    </comment>
    <comment ref="J1854" authorId="0" shapeId="0" xr:uid="{E728B278-1358-3B4A-9D98-BCA7590CF126}">
      <text>
        <r>
          <rPr>
            <sz val="10"/>
            <color rgb="FF000000"/>
            <rFont val="Aptos Narrow"/>
            <scheme val="minor"/>
          </rPr>
          <t>======
ID#AAABjx7qM1E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M1854" authorId="0" shapeId="0" xr:uid="{848BF6CD-45EF-CF40-A464-A1A1F0EE97A6}">
      <text>
        <r>
          <rPr>
            <sz val="10"/>
            <color rgb="FF000000"/>
            <rFont val="Aptos Narrow"/>
            <scheme val="minor"/>
          </rPr>
          <t>======
ID#AAABjx7qNYM
    (2025-05-21 11:33:23)
在此輸入
進貨缺1PCS ，Tammy 告知預計12/21 or 12/24到貨</t>
        </r>
      </text>
    </comment>
    <comment ref="Z1854" authorId="0" shapeId="0" xr:uid="{A71DA283-4824-514D-BD06-4B16C6720603}">
      <text>
        <r>
          <rPr>
            <sz val="10"/>
            <color rgb="FF000000"/>
            <rFont val="Aptos Narrow"/>
            <scheme val="minor"/>
          </rPr>
          <t>======
ID#AAABjx7qTH8
    (2025-05-21 11:33:26)
KR49816348   EDS-208A 1PC</t>
        </r>
      </text>
    </comment>
    <comment ref="H1855" authorId="0" shapeId="0" xr:uid="{2F874EAC-0E14-2C44-947B-0A44E78584BB}">
      <text>
        <r>
          <rPr>
            <sz val="10"/>
            <color rgb="FF000000"/>
            <rFont val="Aptos Narrow"/>
            <scheme val="minor"/>
          </rPr>
          <t>======
ID#AAABjx7qN8U
    (2025-05-21 11:33:23)
1218 chloe:匯款匯入US$17109</t>
        </r>
      </text>
    </comment>
    <comment ref="J1855" authorId="0" shapeId="0" xr:uid="{2EB31E01-8315-8444-B29D-BB71BDCD2159}">
      <text>
        <r>
          <rPr>
            <sz val="10"/>
            <color rgb="FF000000"/>
            <rFont val="Aptos Narrow"/>
            <scheme val="minor"/>
          </rPr>
          <t>======
ID#AAABjx7qNnI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H1856" authorId="0" shapeId="0" xr:uid="{3B4E612A-0AE8-794D-98AD-D757D8185DBE}">
      <text>
        <r>
          <rPr>
            <sz val="10"/>
            <color rgb="FF000000"/>
            <rFont val="Aptos Narrow"/>
            <scheme val="minor"/>
          </rPr>
          <t>======
ID#AAABjx7qSVo
    (2025-05-21 11:33:26)
1218 chloe:匯款匯入US$17109</t>
        </r>
      </text>
    </comment>
    <comment ref="J1856" authorId="0" shapeId="0" xr:uid="{E2C98DE4-D57A-0548-9442-96F05C568CF2}">
      <text>
        <r>
          <rPr>
            <sz val="10"/>
            <color rgb="FF000000"/>
            <rFont val="Aptos Narrow"/>
            <scheme val="minor"/>
          </rPr>
          <t>======
ID#AAABjx7qNg8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E1857" authorId="0" shapeId="0" xr:uid="{8514F34A-2D33-4D4B-94E8-77779603942A}">
      <text>
        <r>
          <rPr>
            <sz val="10"/>
            <color rgb="FF000000"/>
            <rFont val="Aptos Narrow"/>
            <scheme val="minor"/>
          </rPr>
          <t>======
ID#AAABjx7qOfM
    (2025-05-21 11:33:24)
181203 w/o adaptor</t>
        </r>
      </text>
    </comment>
    <comment ref="H1857" authorId="0" shapeId="0" xr:uid="{4ED2103C-CAD2-1446-8360-B07E1FBB88F0}">
      <text>
        <r>
          <rPr>
            <sz val="10"/>
            <color rgb="FF000000"/>
            <rFont val="Aptos Narrow"/>
            <scheme val="minor"/>
          </rPr>
          <t>======
ID#AAABjx7qU1g
    (2025-05-21 11:33:26)
1218 chloe:匯款匯入US$17109</t>
        </r>
      </text>
    </comment>
    <comment ref="J1857" authorId="0" shapeId="0" xr:uid="{89F4EBAD-E24D-1E40-B6A6-9425A5B7E0E2}">
      <text>
        <r>
          <rPr>
            <sz val="10"/>
            <color rgb="FF000000"/>
            <rFont val="Aptos Narrow"/>
            <scheme val="minor"/>
          </rPr>
          <t>======
ID#AAABjx7qVbQ
    (2025-05-21 11:33:27)
JUDY KAO
Supervisor Of Sales Div.
FETA FREIGHT SYSTEMS (TAIWAN ) LTD. 
Tel: +886-3-399-2033 EXT: 135
Direct: +886-3-3992106
Fax: +886-3-3992036/2055
E-mail: judykao@ffsi.com.tw
Skype:judykao-mlattao</t>
        </r>
      </text>
    </comment>
    <comment ref="H1858" authorId="0" shapeId="0" xr:uid="{ED9F46F7-1ECA-604D-BDD3-C23CFF61D6D5}">
      <text>
        <r>
          <rPr>
            <sz val="10"/>
            <color rgb="FF000000"/>
            <rFont val="Aptos Narrow"/>
            <scheme val="minor"/>
          </rPr>
          <t>======
ID#AAABjx7qM90
    (2025-05-21 11:33:23)
1218 chloe:匯款匯入US$17109</t>
        </r>
      </text>
    </comment>
    <comment ref="J1858" authorId="0" shapeId="0" xr:uid="{BCC47C8C-12EC-1A49-B558-E8C6CC313E32}">
      <text>
        <r>
          <rPr>
            <sz val="10"/>
            <color rgb="FF000000"/>
            <rFont val="Aptos Narrow"/>
            <scheme val="minor"/>
          </rPr>
          <t>======
ID#AAABjx7qSMk
    (2025-05-21 11:33:26)
JUDY KAO
Supervisor Of Sales Div.
FETA FREIGHT SYSTEMS (TAIWAN ) LTD. 
Tel: +886-3-399-2033 EXT: 135
Direct: +886-3-3992106
Fax: +886-3-3992036/2055
E-mail: judykao@ffsi.com.tw
Skype:judykao-mlattao</t>
        </r>
      </text>
    </comment>
    <comment ref="H1859" authorId="0" shapeId="0" xr:uid="{313DC6C5-0EAA-184C-A59D-5430230AE328}">
      <text>
        <r>
          <rPr>
            <sz val="10"/>
            <color rgb="FF000000"/>
            <rFont val="Aptos Narrow"/>
            <scheme val="minor"/>
          </rPr>
          <t>======
ID#AAABjx7qQMY
    (2025-05-21 11:33:25)
0110 chloe:收到支票53212(待1/30兌現)
0130 chloe:入帳，待年後查詢
0228 chloe:2/11入帳</t>
        </r>
      </text>
    </comment>
    <comment ref="I1859" authorId="0" shapeId="0" xr:uid="{D562B892-A15F-194A-BACE-49AF5FD71858}">
      <text>
        <r>
          <rPr>
            <sz val="10"/>
            <color rgb="FF000000"/>
            <rFont val="Aptos Narrow"/>
            <scheme val="minor"/>
          </rPr>
          <t>======
ID#AAABjx7qQ98
    (2025-05-21 11:33:25)
1128 chloe:協助登記</t>
        </r>
      </text>
    </comment>
    <comment ref="H1860" authorId="0" shapeId="0" xr:uid="{2C27881B-9D3B-554C-BD46-705165A3FEC1}">
      <text>
        <r>
          <rPr>
            <sz val="10"/>
            <color rgb="FF000000"/>
            <rFont val="Aptos Narrow"/>
            <scheme val="minor"/>
          </rPr>
          <t>======
ID#AAABjx7qNIE
    (2025-05-21 11:33:23)
1212 chloe:待入帳(因洗錢防制銀行查核貨款中)
1214 chloe: 匯款匯入US$7725</t>
        </r>
      </text>
    </comment>
    <comment ref="M1860" authorId="0" shapeId="0" xr:uid="{E4C03F19-FFD9-524B-BBAA-83EE9B8BD4EF}">
      <text>
        <r>
          <rPr>
            <sz val="10"/>
            <color rgb="FF000000"/>
            <rFont val="Aptos Narrow"/>
            <scheme val="minor"/>
          </rPr>
          <t>======
ID#AAABjx7qMqE
    (2025-05-21 11:33:23)
1128 Cindy 告訴凌華, 2項一起到貨, 不分批出貨。</t>
        </r>
      </text>
    </comment>
    <comment ref="Q1860" authorId="0" shapeId="0" xr:uid="{DBC0ECD3-8C7D-5642-A998-FE7FA0373686}">
      <text>
        <r>
          <rPr>
            <sz val="10"/>
            <color rgb="FF000000"/>
            <rFont val="Aptos Narrow"/>
            <scheme val="minor"/>
          </rPr>
          <t>======
ID#AAABjx7qPYg
    (2025-05-21 11:33:24)
1128 Cindy: Adlink說下次成本$278/pc</t>
        </r>
      </text>
    </comment>
    <comment ref="H1861" authorId="0" shapeId="0" xr:uid="{8D05FAE6-B74D-9D40-8212-8AABFE1D2258}">
      <text>
        <r>
          <rPr>
            <sz val="10"/>
            <color rgb="FF000000"/>
            <rFont val="Aptos Narrow"/>
            <scheme val="minor"/>
          </rPr>
          <t>======
ID#AAABjx7qSwQ
    (2025-05-21 11:33:26)
1212 chloe:待入帳(因洗錢防制銀行查核貨款中)
1214 chloe: 匯款匯入US$7725</t>
        </r>
      </text>
    </comment>
    <comment ref="Q1861" authorId="0" shapeId="0" xr:uid="{349590E3-3E93-574F-A393-18FCA9C9887A}">
      <text>
        <r>
          <rPr>
            <sz val="10"/>
            <color rgb="FF000000"/>
            <rFont val="Aptos Narrow"/>
            <scheme val="minor"/>
          </rPr>
          <t>======
ID#AAABjx7qTNY
    (2025-05-21 11:33:26)
1128 Cindy: Adlink說下次成本$98/pc</t>
        </r>
      </text>
    </comment>
    <comment ref="H1862" authorId="0" shapeId="0" xr:uid="{933DEC97-1219-C143-8CBF-1FE71ED225A4}">
      <text>
        <r>
          <rPr>
            <sz val="10"/>
            <color rgb="FF000000"/>
            <rFont val="Aptos Narrow"/>
            <scheme val="minor"/>
          </rPr>
          <t>======
ID#AAABjx7qVvQ
    (2025-05-21 11:33:27)
0117 Mary: 匯款匯入US$1,425</t>
        </r>
      </text>
    </comment>
    <comment ref="J1862" authorId="0" shapeId="0" xr:uid="{EF5C77A1-5F18-EE4D-97BA-7B5BCF6C1C6E}">
      <text>
        <r>
          <rPr>
            <sz val="10"/>
            <color rgb="FF000000"/>
            <rFont val="Aptos Narrow"/>
            <scheme val="minor"/>
          </rPr>
          <t>======
ID#AAABjx7qRpQ
    (2025-05-21 11:33:25)
181203
Weight &gt; 5Kg  TNT ECONOMY
Weight &lt; 5Kg  TNT EXPRESS</t>
        </r>
      </text>
    </comment>
    <comment ref="H1863" authorId="0" shapeId="0" xr:uid="{84B6E998-3339-1948-AA9E-5DAEFBC9BE80}">
      <text>
        <r>
          <rPr>
            <sz val="10"/>
            <color rgb="FF000000"/>
            <rFont val="Aptos Narrow"/>
            <scheme val="minor"/>
          </rPr>
          <t>======
ID#AAABjx7qS-Y
    (2025-05-21 11:33:26)
1217 chloe:匯款匯入US$104</t>
        </r>
      </text>
    </comment>
    <comment ref="Q1863" authorId="0" shapeId="0" xr:uid="{D80AE204-4F42-B042-97B2-39B1202A4BA1}">
      <text>
        <r>
          <rPr>
            <sz val="10"/>
            <color rgb="FF000000"/>
            <rFont val="Aptos Narrow"/>
            <scheme val="minor"/>
          </rPr>
          <t>======
ID#AAABjx7qQ2M
    (2025-05-21 11:33:25)
1210Cindy: 含US$3 運費(訂購金額不足NT$5,000)</t>
        </r>
      </text>
    </comment>
    <comment ref="H1864" authorId="0" shapeId="0" xr:uid="{6EEC9CCB-52E4-834B-AEC8-108AD33CFB02}">
      <text>
        <r>
          <rPr>
            <sz val="10"/>
            <color rgb="FF000000"/>
            <rFont val="Aptos Narrow"/>
            <scheme val="minor"/>
          </rPr>
          <t>======
ID#AAABjx7qS1E
    (2025-05-21 11:33:26)
1217 chloe:匯款匯入US$104</t>
        </r>
      </text>
    </comment>
    <comment ref="H1865" authorId="0" shapeId="0" xr:uid="{6248D76C-8845-9E4A-8DEE-D43BBFE07B2B}">
      <text>
        <r>
          <rPr>
            <sz val="10"/>
            <color rgb="FF000000"/>
            <rFont val="Aptos Narrow"/>
            <scheme val="minor"/>
          </rPr>
          <t>======
ID#AAABjx7qRzE
    (2025-05-21 11:33:25)
1227 chloe:匯款匯入US$53334</t>
        </r>
      </text>
    </comment>
    <comment ref="H1866" authorId="0" shapeId="0" xr:uid="{11378846-18C8-6B43-B981-063891F9411E}">
      <text>
        <r>
          <rPr>
            <sz val="10"/>
            <color rgb="FF000000"/>
            <rFont val="Aptos Narrow"/>
            <scheme val="minor"/>
          </rPr>
          <t>======
ID#AAABjx7qPBk
    (2025-05-21 11:33:24)
1227 chloe:匯款匯入US$53334</t>
        </r>
      </text>
    </comment>
    <comment ref="H1867" authorId="0" shapeId="0" xr:uid="{ED24D9E6-8363-3842-820B-408B0BE7CF7F}">
      <text>
        <r>
          <rPr>
            <sz val="10"/>
            <color rgb="FF000000"/>
            <rFont val="Aptos Narrow"/>
            <scheme val="minor"/>
          </rPr>
          <t>======
ID#AAABjx7qRgc
    (2025-05-21 11:33:25)
1227 chloe:匯款匯入US$53334</t>
        </r>
      </text>
    </comment>
    <comment ref="H1868" authorId="0" shapeId="0" xr:uid="{F4198C0D-2465-7C45-A0E8-53131F47BD52}">
      <text>
        <r>
          <rPr>
            <sz val="10"/>
            <color rgb="FF000000"/>
            <rFont val="Aptos Narrow"/>
            <scheme val="minor"/>
          </rPr>
          <t>======
ID#AAABjx7qOHM
    (2025-05-21 11:33:24)
1227 chloe:匯款匯入US$53334</t>
        </r>
      </text>
    </comment>
    <comment ref="H1869" authorId="0" shapeId="0" xr:uid="{F66CEAF7-950C-D943-8720-79401D0C6036}">
      <text>
        <r>
          <rPr>
            <sz val="10"/>
            <color rgb="FF000000"/>
            <rFont val="Aptos Narrow"/>
            <scheme val="minor"/>
          </rPr>
          <t>======
ID#AAABjx7qViM
    (2025-05-21 11:33:27)
1227 chloe:匯款匯入US$53334</t>
        </r>
      </text>
    </comment>
    <comment ref="H1870" authorId="0" shapeId="0" xr:uid="{D04AB93F-1855-EB4D-8F82-BF7E0B9B6584}">
      <text>
        <r>
          <rPr>
            <sz val="10"/>
            <color rgb="FF000000"/>
            <rFont val="Aptos Narrow"/>
            <scheme val="minor"/>
          </rPr>
          <t>======
ID#AAABjx7qPSE
    (2025-05-21 11:33:24)
1227 chloe:匯款匯入US$53334</t>
        </r>
      </text>
    </comment>
    <comment ref="D1871" authorId="0" shapeId="0" xr:uid="{734F5979-7603-124B-BCDF-F86CF191E3E4}">
      <text>
        <r>
          <rPr>
            <sz val="10"/>
            <color rgb="FF000000"/>
            <rFont val="Aptos Narrow"/>
            <scheme val="minor"/>
          </rPr>
          <t>======
ID#AAABjx7qSXg
    (2025-05-21 11:33:26)
1213 San: US 之後不需灌軟體</t>
        </r>
      </text>
    </comment>
    <comment ref="H1871" authorId="0" shapeId="0" xr:uid="{E12A5F7B-E18C-4340-8B5B-14A23B38DAF3}">
      <text>
        <r>
          <rPr>
            <sz val="10"/>
            <color rgb="FF000000"/>
            <rFont val="Aptos Narrow"/>
            <scheme val="minor"/>
          </rPr>
          <t>======
ID#AAABjx7qVtI
    (2025-05-21 11:33:27)
1222 chloe:匯款匯入USD 17,904</t>
        </r>
      </text>
    </comment>
    <comment ref="Q1871" authorId="0" shapeId="0" xr:uid="{7A4DBCED-A809-4C49-A896-AD3DF94FE0A6}">
      <text>
        <r>
          <rPr>
            <sz val="10"/>
            <color rgb="FF000000"/>
            <rFont val="Aptos Narrow"/>
            <scheme val="minor"/>
          </rPr>
          <t>======
ID#AAABjx7qVHg
    (2025-05-21 11:33:27)
+10 (科技國給MOXA手續費)</t>
        </r>
      </text>
    </comment>
    <comment ref="D1872" authorId="0" shapeId="0" xr:uid="{C4F9064E-892B-4147-84F5-AAE4BFCC5254}">
      <text>
        <r>
          <rPr>
            <sz val="10"/>
            <color rgb="FF000000"/>
            <rFont val="Aptos Narrow"/>
            <scheme val="minor"/>
          </rPr>
          <t>======
ID#AAABjx7qWB4
    (2025-05-21 11:33:27)
0426 chloe:獎金暫不結算</t>
        </r>
      </text>
    </comment>
    <comment ref="H1872" authorId="0" shapeId="0" xr:uid="{C5BDD951-6931-5B41-A18F-7D5AF33FA8A6}">
      <text>
        <r>
          <rPr>
            <sz val="10"/>
            <color rgb="FF000000"/>
            <rFont val="Aptos Narrow"/>
            <scheme val="minor"/>
          </rPr>
          <t>======
ID#AAABjx7qVI0
    (2025-05-21 11:33:27)
201512230 Santiago: 收到銀行通知</t>
        </r>
      </text>
    </comment>
    <comment ref="Q1872" authorId="0" shapeId="0" xr:uid="{DEB6EA5D-46BB-A34E-84E7-C761E203E9B8}">
      <text>
        <r>
          <rPr>
            <sz val="10"/>
            <color rgb="FF000000"/>
            <rFont val="Aptos Narrow"/>
            <scheme val="minor"/>
          </rPr>
          <t>======
ID#AAABjx7qOYY
    (2025-05-21 11:33:24)
1/5 michelle: 2016 新價USD2.36</t>
        </r>
      </text>
    </comment>
    <comment ref="Z1872" authorId="0" shapeId="0" xr:uid="{3CAC7BE9-AE2D-3849-A6F6-9ECF8CEBE483}">
      <text>
        <r>
          <rPr>
            <sz val="10"/>
            <color rgb="FF000000"/>
            <rFont val="Aptos Narrow"/>
            <scheme val="minor"/>
          </rPr>
          <t>======
ID#AAABjx7qNoY
    (2025-05-21 11:33:23)
1031 chloe: 已給會計，先算"研發費用"</t>
        </r>
      </text>
    </comment>
    <comment ref="D1874" authorId="0" shapeId="0" xr:uid="{0CA2F2D3-1AE9-9146-8367-C1A8E690AFA2}">
      <text>
        <r>
          <rPr>
            <sz val="10"/>
            <color rgb="FF000000"/>
            <rFont val="Aptos Narrow"/>
            <scheme val="minor"/>
          </rPr>
          <t>======
ID#AAABjx7qPiU
    (2025-05-21 11:33:24)
0926 chloe:暫不計算獎金</t>
        </r>
      </text>
    </comment>
    <comment ref="H1874" authorId="0" shapeId="0" xr:uid="{094EFD98-F058-C349-988D-96E5D70BD267}">
      <text>
        <r>
          <rPr>
            <sz val="10"/>
            <color rgb="FF000000"/>
            <rFont val="Aptos Narrow"/>
            <scheme val="minor"/>
          </rPr>
          <t>======
ID#AAABjx7qSoA
    (2025-05-21 11:33:26)
0701 Santiago: 收到銀行通知</t>
        </r>
      </text>
    </comment>
    <comment ref="D1875" authorId="0" shapeId="0" xr:uid="{F37907CD-9AF0-AD48-80ED-44F3B984A16D}">
      <text>
        <r>
          <rPr>
            <sz val="10"/>
            <color rgb="FF000000"/>
            <rFont val="Aptos Narrow"/>
            <scheme val="minor"/>
          </rPr>
          <t>======
ID#AAABjx7qRH4
    (2025-05-21 11:33:25)
0926 chloe:暫不計算獎金</t>
        </r>
      </text>
    </comment>
    <comment ref="H1875" authorId="0" shapeId="0" xr:uid="{36B2B357-7557-FF4C-8DEF-AB71D3E009E3}">
      <text>
        <r>
          <rPr>
            <sz val="10"/>
            <color rgb="FF000000"/>
            <rFont val="Aptos Narrow"/>
            <scheme val="minor"/>
          </rPr>
          <t>======
ID#AAABjx7qQtM
    (2025-05-21 11:33:25)
0701 Santiago: 收到銀行通知</t>
        </r>
      </text>
    </comment>
    <comment ref="M1877" authorId="0" shapeId="0" xr:uid="{3D917018-81A3-5646-B296-06C57520EAFC}">
      <text>
        <r>
          <rPr>
            <sz val="10"/>
            <color rgb="FF000000"/>
            <rFont val="Aptos Narrow"/>
            <scheme val="minor"/>
          </rPr>
          <t>======
ID#AAABjx7qRRM
    (2025-05-21 11:33:25)
寄給開偉</t>
        </r>
      </text>
    </comment>
    <comment ref="K1880" authorId="0" shapeId="0" xr:uid="{9433F66C-DA75-3E42-8CCE-02412D2438C9}">
      <text>
        <r>
          <rPr>
            <sz val="10"/>
            <color rgb="FF000000"/>
            <rFont val="Aptos Narrow"/>
            <scheme val="minor"/>
          </rPr>
          <t>======
ID#AAABjx7qTKQ
    (2025-05-21 11:33:26)
1026 chloe:預計12月份</t>
        </r>
      </text>
    </comment>
    <comment ref="Z1880" authorId="0" shapeId="0" xr:uid="{576C9846-E3DE-7644-9D1A-B260BD2AC2F5}">
      <text>
        <r>
          <rPr>
            <sz val="10"/>
            <color rgb="FF000000"/>
            <rFont val="Aptos Narrow"/>
            <scheme val="minor"/>
          </rPr>
          <t>======
ID#AAABjx7qSNU
    (2025-05-21 11:33:26)
1031 chloe: 已給會計，先算"研發費用"</t>
        </r>
      </text>
    </comment>
    <comment ref="Z1881" authorId="0" shapeId="0" xr:uid="{B6DD92F0-A582-FE43-AAD2-D54C1DD6DB7A}">
      <text>
        <r>
          <rPr>
            <sz val="10"/>
            <color rgb="FF000000"/>
            <rFont val="Aptos Narrow"/>
            <scheme val="minor"/>
          </rPr>
          <t>======
ID#AAABjx7qPyw
    (2025-05-21 11:33:24)
1031 chloe: 已給會計，先算"研發費用"</t>
        </r>
      </text>
    </comment>
    <comment ref="Z1882" authorId="0" shapeId="0" xr:uid="{2CF2D7FD-F059-DD48-BB66-EF1DE822DF8D}">
      <text>
        <r>
          <rPr>
            <sz val="10"/>
            <color rgb="FF000000"/>
            <rFont val="Aptos Narrow"/>
            <scheme val="minor"/>
          </rPr>
          <t>======
ID#AAABjx7qQhg
    (2025-05-21 11:33:25)
1031 chloe: 已給會計，先算"研發費用"</t>
        </r>
      </text>
    </comment>
    <comment ref="K1883" authorId="0" shapeId="0" xr:uid="{1AAC2512-2466-6B40-98CC-ABAFA433649A}">
      <text>
        <r>
          <rPr>
            <sz val="10"/>
            <color rgb="FF000000"/>
            <rFont val="Aptos Narrow"/>
            <scheme val="minor"/>
          </rPr>
          <t>======
ID#AAABjx7qRWU
    (2025-05-21 11:33:25)
1026 chloe:預計12月份</t>
        </r>
      </text>
    </comment>
    <comment ref="H1889" authorId="0" shapeId="0" xr:uid="{C53E6B67-0816-AA49-BB57-E9E69527B38E}">
      <text>
        <r>
          <rPr>
            <sz val="10"/>
            <color rgb="FF000000"/>
            <rFont val="Aptos Narrow"/>
            <scheme val="minor"/>
          </rPr>
          <t>======
ID#AAABjx7qPq4
    (2025-05-21 11:33:24)
0310chloe:收到NT1,147,515</t>
        </r>
      </text>
    </comment>
    <comment ref="H1890" authorId="0" shapeId="0" xr:uid="{4BA39242-879D-5043-8702-2BE645C99291}">
      <text>
        <r>
          <rPr>
            <sz val="10"/>
            <color rgb="FF000000"/>
            <rFont val="Aptos Narrow"/>
            <scheme val="minor"/>
          </rPr>
          <t>======
ID#AAABjx7qNN4
    (2025-05-21 11:33:23)
0310chloe:收到NT1,147,515</t>
        </r>
      </text>
    </comment>
    <comment ref="H1891" authorId="0" shapeId="0" xr:uid="{05EEC367-F91C-8E49-8E5B-0F5C7DF6A16F}">
      <text>
        <r>
          <rPr>
            <sz val="10"/>
            <color rgb="FF000000"/>
            <rFont val="Aptos Narrow"/>
            <scheme val="minor"/>
          </rPr>
          <t>======
ID#AAABjx7qWMQ
    (2025-05-21 11:33:27)
0310chloe:收到NT1,147,515</t>
        </r>
      </text>
    </comment>
    <comment ref="H1892" authorId="0" shapeId="0" xr:uid="{0FF98313-34B6-CF44-83BD-F3179CF2FCF1}">
      <text>
        <r>
          <rPr>
            <sz val="10"/>
            <color rgb="FF000000"/>
            <rFont val="Aptos Narrow"/>
            <scheme val="minor"/>
          </rPr>
          <t>======
ID#AAABjx7qSa4
    (2025-05-21 11:33:26)
0310chloe:收到NT1,147,515</t>
        </r>
      </text>
    </comment>
    <comment ref="H1893" authorId="0" shapeId="0" xr:uid="{D3A952BD-D942-7845-BEDF-AC27237A21D5}">
      <text>
        <r>
          <rPr>
            <sz val="10"/>
            <color rgb="FF000000"/>
            <rFont val="Aptos Narrow"/>
            <scheme val="minor"/>
          </rPr>
          <t>======
ID#AAABjx7qNf4
    (2025-05-21 11:33:23)
0310chloe:收到NT1,147,515</t>
        </r>
      </text>
    </comment>
    <comment ref="H1894" authorId="0" shapeId="0" xr:uid="{10ECF981-CE22-3749-AB8C-7AD7D36EBEA6}">
      <text>
        <r>
          <rPr>
            <sz val="10"/>
            <color rgb="FF000000"/>
            <rFont val="Aptos Narrow"/>
            <scheme val="minor"/>
          </rPr>
          <t>======
ID#AAABjx7qWVU
    (2025-05-21 11:33:27)
0118 chloe:收到銀行匯款USD15699</t>
        </r>
      </text>
    </comment>
    <comment ref="P1894" authorId="0" shapeId="0" xr:uid="{7A41BAAD-989C-534E-9013-05914476C718}">
      <text>
        <r>
          <rPr>
            <sz val="10"/>
            <color rgb="FF000000"/>
            <rFont val="Aptos Narrow"/>
            <scheme val="minor"/>
          </rPr>
          <t>======
ID#AAABjx7qQuM
    (2025-05-21 11:33:25)
170225 改US$6447元
161211 扣抵金額(含稅)US$504,應支付貨款(含稅)為US$6447元</t>
        </r>
      </text>
    </comment>
    <comment ref="H1895" authorId="0" shapeId="0" xr:uid="{478761D1-2FD3-3648-9D3A-1954EFCF5679}">
      <text>
        <r>
          <rPr>
            <sz val="10"/>
            <color rgb="FF000000"/>
            <rFont val="Aptos Narrow"/>
            <scheme val="minor"/>
          </rPr>
          <t>======
ID#AAABjx7qNAc
    (2025-05-21 11:33:23)
20170104 chloe:收到銀行通知3830</t>
        </r>
      </text>
    </comment>
    <comment ref="M1895" authorId="0" shapeId="0" xr:uid="{8D1CFBDD-EFD1-1846-8399-5AB717A86161}">
      <text>
        <r>
          <rPr>
            <sz val="10"/>
            <color rgb="FF000000"/>
            <rFont val="Aptos Narrow"/>
            <scheme val="minor"/>
          </rPr>
          <t>======
ID#AAABjx7qQxg
    (2025-05-21 11:33:25)
0105 下單</t>
        </r>
      </text>
    </comment>
    <comment ref="O1895" authorId="0" shapeId="0" xr:uid="{0AD3DDEE-CA2F-4943-9829-35FE8F0D7641}">
      <text>
        <r>
          <rPr>
            <sz val="10"/>
            <color rgb="FF000000"/>
            <rFont val="Aptos Narrow"/>
            <scheme val="minor"/>
          </rPr>
          <t>======
ID#AAABjx7qM8k
    (2025-05-21 11:33:23)
原價-9%</t>
        </r>
      </text>
    </comment>
    <comment ref="H1896" authorId="0" shapeId="0" xr:uid="{BDDE692F-6C7F-A847-89FD-7EA12564A082}">
      <text>
        <r>
          <rPr>
            <sz val="10"/>
            <color rgb="FF000000"/>
            <rFont val="Aptos Narrow"/>
            <scheme val="minor"/>
          </rPr>
          <t>======
ID#AAABjx7qPtA
    (2025-05-21 11:33:24)
20170104 chloe:收到銀行通知3830</t>
        </r>
      </text>
    </comment>
    <comment ref="M1896" authorId="0" shapeId="0" xr:uid="{0A70843E-72A6-CF46-A92F-DEF8D886F8FB}">
      <text>
        <r>
          <rPr>
            <sz val="10"/>
            <color rgb="FF000000"/>
            <rFont val="Aptos Narrow"/>
            <scheme val="minor"/>
          </rPr>
          <t>======
ID#AAABjx7qPAI
    (2025-05-21 11:33:24)
0105 下單</t>
        </r>
      </text>
    </comment>
    <comment ref="O1896" authorId="0" shapeId="0" xr:uid="{F963EE88-289C-B240-9A42-BAA312085832}">
      <text>
        <r>
          <rPr>
            <sz val="10"/>
            <color rgb="FF000000"/>
            <rFont val="Aptos Narrow"/>
            <scheme val="minor"/>
          </rPr>
          <t>======
ID#AAABjx7qSRE
    (2025-05-21 11:33:26)
原價-9%</t>
        </r>
      </text>
    </comment>
    <comment ref="H1897" authorId="0" shapeId="0" xr:uid="{C1083CB9-C901-B946-BE40-EC2D78D7CB3C}">
      <text>
        <r>
          <rPr>
            <sz val="10"/>
            <color rgb="FF000000"/>
            <rFont val="Aptos Narrow"/>
            <scheme val="minor"/>
          </rPr>
          <t>======
ID#AAABjx7qMsU
    (2025-05-21 11:33:23)
20170104 chloe:收到銀行通知3830</t>
        </r>
      </text>
    </comment>
    <comment ref="H1898" authorId="0" shapeId="0" xr:uid="{62D04BCA-FEFE-D342-A6E0-3CEAC6A3B735}">
      <text>
        <r>
          <rPr>
            <sz val="10"/>
            <color rgb="FF000000"/>
            <rFont val="Aptos Narrow"/>
            <scheme val="minor"/>
          </rPr>
          <t>======
ID#AAABjx7qV_I
    (2025-05-21 11:33:27)
20170104 chloe:收到銀行通知3830</t>
        </r>
      </text>
    </comment>
    <comment ref="H1904" authorId="0" shapeId="0" xr:uid="{1CA74B5C-9B76-5447-A47A-2B6D89DC98AE}">
      <text>
        <r>
          <rPr>
            <sz val="10"/>
            <color rgb="FF000000"/>
            <rFont val="Aptos Narrow"/>
            <scheme val="minor"/>
          </rPr>
          <t>======
ID#AAABjx7qOg8
    (2025-05-21 11:33:24)
0105 chloe:收到銀行通知USD9300</t>
        </r>
      </text>
    </comment>
    <comment ref="H1905" authorId="0" shapeId="0" xr:uid="{070675A7-B869-3147-BA17-5819996A679D}">
      <text>
        <r>
          <rPr>
            <sz val="10"/>
            <color rgb="FF000000"/>
            <rFont val="Aptos Narrow"/>
            <scheme val="minor"/>
          </rPr>
          <t>======
ID#AAABjx7qQ0Y
    (2025-05-21 11:33:25)
0309 chloe:收到芳慎支票NT186841  3/30 可兌
4/5 查詢錢尚未入帳 
4/6 入帳</t>
        </r>
      </text>
    </comment>
    <comment ref="H1906" authorId="0" shapeId="0" xr:uid="{C4F4C0D2-B53C-8845-8F68-366F300CF3FA}">
      <text>
        <r>
          <rPr>
            <sz val="10"/>
            <color rgb="FF000000"/>
            <rFont val="Aptos Narrow"/>
            <scheme val="minor"/>
          </rPr>
          <t>======
ID#AAABjx7qSBc
    (2025-05-21 11:33:25)
1227 chloe:收到銀行通知USD1429</t>
        </r>
      </text>
    </comment>
    <comment ref="J1906" authorId="0" shapeId="0" xr:uid="{F8B7E47A-AF92-E44A-8B1B-458EDB35F768}">
      <text>
        <r>
          <rPr>
            <sz val="10"/>
            <color rgb="FF000000"/>
            <rFont val="Aptos Narrow"/>
            <scheme val="minor"/>
          </rPr>
          <t>======
ID#AAABjx7qQYw
    (2025-05-21 11:33:25)
每週四收貨，週五班機</t>
        </r>
      </text>
    </comment>
    <comment ref="K1906" authorId="0" shapeId="0" xr:uid="{F5972570-5016-B446-9462-25B749D493CC}">
      <text>
        <r>
          <rPr>
            <sz val="10"/>
            <color rgb="FF000000"/>
            <rFont val="Aptos Narrow"/>
            <scheme val="minor"/>
          </rPr>
          <t>======
ID#AAABjx7qNyI
    (2025-05-21 11:33:23)
0105 chloe:出貨日更改</t>
        </r>
      </text>
    </comment>
    <comment ref="M1906" authorId="0" shapeId="0" xr:uid="{702421B2-0885-424E-B52D-CE2EA383307F}">
      <text>
        <r>
          <rPr>
            <sz val="10"/>
            <color rgb="FF000000"/>
            <rFont val="Aptos Narrow"/>
            <scheme val="minor"/>
          </rPr>
          <t>======
ID#AAABjx7qP1Y
    (2025-05-21 11:33:24)
請提前要求箱數材積等
12/21 告知交期1/20，待PULL IN
1/4 詢問交期是否提前→可能</t>
        </r>
      </text>
    </comment>
    <comment ref="H1907" authorId="0" shapeId="0" xr:uid="{5FDE84DC-24D8-F641-A585-AF83448DD88D}">
      <text>
        <r>
          <rPr>
            <sz val="10"/>
            <color rgb="FF000000"/>
            <rFont val="Aptos Narrow"/>
            <scheme val="minor"/>
          </rPr>
          <t>======
ID#AAABjx7qVdk
    (2025-05-21 11:33:27)
1227 chloe:收到銀行通知USD1429</t>
        </r>
      </text>
    </comment>
    <comment ref="K1907" authorId="0" shapeId="0" xr:uid="{FF25EA7F-272A-AF44-BCE9-47CD6BAAC819}">
      <text>
        <r>
          <rPr>
            <sz val="10"/>
            <color rgb="FF000000"/>
            <rFont val="Aptos Narrow"/>
            <scheme val="minor"/>
          </rPr>
          <t>======
ID#AAABjx7qSLg
    (2025-05-21 11:33:26)
0105 chloe:出貨日更改</t>
        </r>
      </text>
    </comment>
    <comment ref="H1908" authorId="0" shapeId="0" xr:uid="{CA7CB577-36E1-8C41-9BC7-31F16CF2F52B}">
      <text>
        <r>
          <rPr>
            <sz val="10"/>
            <color rgb="FF000000"/>
            <rFont val="Aptos Narrow"/>
            <scheme val="minor"/>
          </rPr>
          <t>======
ID#AAABjx7qPMM
    (2025-05-21 11:33:24)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  </r>
      </text>
    </comment>
    <comment ref="J1908" authorId="0" shapeId="0" xr:uid="{F09D3CB4-D7F3-A648-BAA8-75264347718C}">
      <text>
        <r>
          <rPr>
            <sz val="10"/>
            <color rgb="FF000000"/>
            <rFont val="Aptos Narrow"/>
            <scheme val="minor"/>
          </rPr>
          <t xml:space="preserve">======
ID#AAABj82dpJ4
材積10.1KGS    (2025-05-21 11:33:23)
</t>
        </r>
      </text>
    </comment>
    <comment ref="K1908" authorId="0" shapeId="0" xr:uid="{C7D70019-B62E-7541-BCAC-1023043BB21B}">
      <text>
        <r>
          <rPr>
            <sz val="10"/>
            <color rgb="FF000000"/>
            <rFont val="Aptos Narrow"/>
            <scheme val="minor"/>
          </rPr>
          <t>======
ID#AAABjx7qRGA
    (2025-05-21 11:33:25)
0209 chloe:已發信與業務告知可提前至2/13 出貨</t>
        </r>
      </text>
    </comment>
    <comment ref="M1908" authorId="0" shapeId="0" xr:uid="{E6E5BEF4-7D9E-124F-8CF8-82539CB8F6AE}">
      <text>
        <r>
          <rPr>
            <sz val="10"/>
            <color rgb="FF000000"/>
            <rFont val="Aptos Narrow"/>
            <scheme val="minor"/>
          </rPr>
          <t>======
ID#AAABjx7qMtI
    (2025-05-21 11:33:23)
1228 chloe:交期2017.2.15 待PULL
0105 chloe:交期2017.2.14 待PULL
材積10.1KGS       45*42*38</t>
        </r>
      </text>
    </comment>
    <comment ref="H1909" authorId="0" shapeId="0" xr:uid="{FFD1B250-F5FC-A647-86AB-D16CC6748893}">
      <text>
        <r>
          <rPr>
            <sz val="10"/>
            <color rgb="FF000000"/>
            <rFont val="Aptos Narrow"/>
            <scheme val="minor"/>
          </rPr>
          <t>======
ID#AAABj82dpK8
    (2025-05-21 11:33:23)
0116 chloe:收到銀行通知，為舊戶名，待修改戶名後給予電文才可放行
0117 chloe:收到客戶修改電文給予銀行，銀行待收到國外銀行電文即可發放→2/2 銀行尚未收到修改電文
0207 chloe:銀行收到修改電文，發放USD2942</t>
        </r>
      </text>
    </comment>
    <comment ref="J1909" authorId="0" shapeId="0" xr:uid="{B059B298-A9B9-1E49-BDAE-74F4249382EC}">
      <text>
        <r>
          <rPr>
            <sz val="10"/>
            <color rgb="FF000000"/>
            <rFont val="Aptos Narrow"/>
            <scheme val="minor"/>
          </rPr>
          <t xml:space="preserve">======
ID#AAABjx7qQlw
材積10.1KGS    (2025-05-21 11:33:25)
</t>
        </r>
      </text>
    </comment>
    <comment ref="K1909" authorId="0" shapeId="0" xr:uid="{7450729F-9E89-6641-98FF-69E9B141F3F8}">
      <text>
        <r>
          <rPr>
            <sz val="10"/>
            <color rgb="FF000000"/>
            <rFont val="Aptos Narrow"/>
            <scheme val="minor"/>
          </rPr>
          <t>======
ID#AAABjx7qRzo
    (2025-05-21 11:33:25)
0209 chloe:已發信與業務告知可提前至2/13 出貨</t>
        </r>
      </text>
    </comment>
    <comment ref="M1909" authorId="0" shapeId="0" xr:uid="{BBC311F9-1105-2D43-87B2-C71BB2445570}">
      <text>
        <r>
          <rPr>
            <sz val="10"/>
            <color rgb="FF000000"/>
            <rFont val="Aptos Narrow"/>
            <scheme val="minor"/>
          </rPr>
          <t>======
ID#AAABjx7qM0Y
    (2025-05-21 11:33:23)
1228 chloe:交期2017.2.15 待PULL
0105 chloe:交期2017.2.14 待PULL
預計2/10出貨，2/13到貨戎克
材積10.1KGS       45*42*38</t>
        </r>
      </text>
    </comment>
    <comment ref="M1910" authorId="0" shapeId="0" xr:uid="{6D21F010-3384-214A-98B5-8ADDD8ECBBA1}">
      <text>
        <r>
          <rPr>
            <sz val="10"/>
            <color rgb="FF000000"/>
            <rFont val="Aptos Narrow"/>
            <scheme val="minor"/>
          </rPr>
          <t>======
ID#AAABjx7qQ70
    (2025-05-21 11:33:25)
已收到
目前尚未得知MMC是否要DC此單</t>
        </r>
      </text>
    </comment>
    <comment ref="Q1910" authorId="0" shapeId="0" xr:uid="{4496BCBA-DC93-BC48-9673-111725F2D3FE}">
      <text>
        <r>
          <rPr>
            <sz val="10"/>
            <color rgb="FF000000"/>
            <rFont val="Aptos Narrow"/>
            <scheme val="minor"/>
          </rPr>
          <t>======
ID#AAABjx7qMwY
    (2025-05-21 11:33:23)
0111 chloe:客戶DC此單，故退回供應商並賠此單金額11970元*20%=2394元
目前宗先生詢問中</t>
        </r>
      </text>
    </comment>
    <comment ref="Z1910" authorId="0" shapeId="0" xr:uid="{337231A0-8CED-4040-8CB3-E800FBAFD8F6}">
      <text>
        <r>
          <rPr>
            <sz val="10"/>
            <color rgb="FF000000"/>
            <rFont val="Aptos Narrow"/>
            <scheme val="minor"/>
          </rPr>
          <t>======
ID#AAABjx7qRCc
    (2025-05-21 11:33:25)
尚未登入是因為有可能此單DC
0111 chloe: 此單DC ，繳20%</t>
        </r>
      </text>
    </comment>
    <comment ref="H1911" authorId="0" shapeId="0" xr:uid="{C9EDFEC7-8222-C046-A206-B4763FB75F4D}">
      <text>
        <r>
          <rPr>
            <sz val="10"/>
            <color rgb="FF000000"/>
            <rFont val="Aptos Narrow"/>
            <scheme val="minor"/>
          </rPr>
          <t>======
ID#AAABjx7qPRQ
    (2025-05-21 11:33:24)
0221 chloe: 收到支票67221，2/28後可匯兌
0302 chloe:支票兌現成功</t>
        </r>
      </text>
    </comment>
    <comment ref="K1911" authorId="0" shapeId="0" xr:uid="{76D22E27-BB72-6741-B3C0-3FF5107F0533}">
      <text>
        <r>
          <rPr>
            <sz val="10"/>
            <color rgb="FF000000"/>
            <rFont val="Aptos Narrow"/>
            <scheme val="minor"/>
          </rPr>
          <t>======
ID#AAABjx7qNMA
    (2025-05-21 11:33:23)
chloe: 若能1/25出貨就出</t>
        </r>
      </text>
    </comment>
    <comment ref="M1911" authorId="0" shapeId="0" xr:uid="{73BEF63C-22B0-0C44-8833-C4A82B931FCC}">
      <text>
        <r>
          <rPr>
            <sz val="10"/>
            <color rgb="FF000000"/>
            <rFont val="Aptos Narrow"/>
            <scheme val="minor"/>
          </rPr>
          <t>======
ID#AAABjx7qQSI
    (2025-05-21 11:33:25)
1227 chloe: 回覆約1月底可出貨(待追)
1/5回應交期1/25到貨→PULL IN 中
改由1/18到貨</t>
        </r>
      </text>
    </comment>
    <comment ref="D1912" authorId="0" shapeId="0" xr:uid="{E687C595-E10C-6C4B-87A1-4CAE81FF0462}">
      <text>
        <r>
          <rPr>
            <sz val="10"/>
            <color rgb="FF000000"/>
            <rFont val="Aptos Narrow"/>
            <scheme val="minor"/>
          </rPr>
          <t>======
ID#AAABjx7qOmY
    (2025-05-21 11:33:24)
佣金3% USD 1257
20161227A&amp;20170220A&amp;20170224C</t>
        </r>
      </text>
    </comment>
    <comment ref="H1912" authorId="0" shapeId="0" xr:uid="{BBC39118-9CC8-D848-9D29-84623E1FBAC3}">
      <text>
        <r>
          <rPr>
            <sz val="10"/>
            <color rgb="FF000000"/>
            <rFont val="Aptos Narrow"/>
            <scheme val="minor"/>
          </rPr>
          <t>======
ID#AAABjx7qQyU
    (2025-05-21 11:33:25)
0303 chloe: 已收到銀行通知USD17425</t>
        </r>
      </text>
    </comment>
    <comment ref="M1912" authorId="0" shapeId="0" xr:uid="{77D1191E-7BA2-224C-BF94-4A6FE34FEC44}">
      <text>
        <r>
          <rPr>
            <sz val="10"/>
            <color rgb="FF000000"/>
            <rFont val="Aptos Narrow"/>
            <scheme val="minor"/>
          </rPr>
          <t>======
ID#AAABjx7qUsc
    (2025-05-21 11:33:26)
chloe:2/16</t>
        </r>
      </text>
    </comment>
    <comment ref="W1912" authorId="0" shapeId="0" xr:uid="{2134E895-D4B0-7E48-9323-F39496521F92}">
      <text>
        <r>
          <rPr>
            <sz val="10"/>
            <color rgb="FF000000"/>
            <rFont val="Aptos Narrow"/>
            <scheme val="minor"/>
          </rPr>
          <t>======
ID#AAABjx7qRJM
    (2025-05-21 11:33:25)
待MOXA告知PO-20161227A何時到貨戎克後即可安排匯款
PS:匯率請與SANDIAGO 確認後再與科技國告知
0109 chloe: 預計確定2月出貨下一批前再付款給科技國</t>
        </r>
      </text>
    </comment>
    <comment ref="H1913" authorId="0" shapeId="0" xr:uid="{5CC5C17E-72F3-474F-B9B3-5528940545BB}">
      <text>
        <r>
          <rPr>
            <sz val="10"/>
            <color rgb="FF000000"/>
            <rFont val="Aptos Narrow"/>
            <scheme val="minor"/>
          </rPr>
          <t>======
ID#AAABjx7qTGE
    (2025-05-21 11:33:26)
7/14 chloe:收到銀行通知USD24,331.50</t>
        </r>
      </text>
    </comment>
    <comment ref="J1913" authorId="0" shapeId="0" xr:uid="{89AFF220-80B2-4E44-ACD6-8563598086B7}">
      <text>
        <r>
          <rPr>
            <sz val="10"/>
            <color rgb="FF000000"/>
            <rFont val="Aptos Narrow"/>
            <scheme val="minor"/>
          </rPr>
          <t>======
ID#AAABjx7qU9g
    (2025-05-21 11:33:27)
Global Freight Forwarding Co Ltd
9F No. 48 Fuxing N. Rd Taipei Taiwan | Tel: +886 2 2773 9900 #8821
Mobile: +886 929 011 725 | Fax: +886 2 2773 2121 | Edisonmeng@gff.com.tw</t>
        </r>
      </text>
    </comment>
    <comment ref="M1913" authorId="0" shapeId="0" xr:uid="{3E83A3A9-4854-894F-BA5E-6FB7E837BDCC}">
      <text>
        <r>
          <rPr>
            <sz val="10"/>
            <color rgb="FF000000"/>
            <rFont val="Aptos Narrow"/>
            <scheme val="minor"/>
          </rPr>
          <t>======
ID#AAABjx7qQK8
    (2025-05-21 11:33:25)
1229 chloe:下單</t>
        </r>
      </text>
    </comment>
    <comment ref="H1914" authorId="0" shapeId="0" xr:uid="{69235E1A-5C18-1D44-B34E-367F1DE2B635}">
      <text>
        <r>
          <rPr>
            <sz val="10"/>
            <color rgb="FF000000"/>
            <rFont val="Aptos Narrow"/>
            <scheme val="minor"/>
          </rPr>
          <t>======
ID#AAABjx7qQXk
    (2025-05-21 11:33:25)
7/14 chloe:收到銀行通知USD24,331.50</t>
        </r>
      </text>
    </comment>
    <comment ref="J1914" authorId="0" shapeId="0" xr:uid="{3435A649-A53E-3141-88FB-EC446EF48DAF}">
      <text>
        <r>
          <rPr>
            <sz val="10"/>
            <color rgb="FF000000"/>
            <rFont val="Aptos Narrow"/>
            <scheme val="minor"/>
          </rPr>
          <t>======
ID#AAABjx7qPFM
    (2025-05-21 11:33:24)
Global Freight Forwarding Co Ltd
9F No. 48 Fuxing N. Rd Taipei Taiwan | Tel: +886 2 2773 9900 #8821
Mobile: +886 929 011 725 | Fax: +886 2 2773 2121 | Edisonmeng@gff.com.tw</t>
        </r>
      </text>
    </comment>
    <comment ref="M1914" authorId="0" shapeId="0" xr:uid="{9946A657-DC7B-724C-97E2-0374B63DF70D}">
      <text>
        <r>
          <rPr>
            <sz val="10"/>
            <color rgb="FF000000"/>
            <rFont val="Aptos Narrow"/>
            <scheme val="minor"/>
          </rPr>
          <t>======
ID#AAABjx7qMrE
    (2025-05-21 11:33:23)
1229 chloe:下單</t>
        </r>
      </text>
    </comment>
    <comment ref="H1915" authorId="0" shapeId="0" xr:uid="{37BB6463-998B-E349-8948-1C5E0C646EEF}">
      <text>
        <r>
          <rPr>
            <sz val="10"/>
            <color rgb="FF000000"/>
            <rFont val="Aptos Narrow"/>
            <scheme val="minor"/>
          </rPr>
          <t>======
ID#AAABjx7qVKI
    (2025-05-21 11:33:27)
7/14 chloe:收到銀行通知USD24,331.50</t>
        </r>
      </text>
    </comment>
    <comment ref="J1915" authorId="0" shapeId="0" xr:uid="{470AE498-F562-2D4A-BDCC-7073A12FE4F6}">
      <text>
        <r>
          <rPr>
            <sz val="10"/>
            <color rgb="FF000000"/>
            <rFont val="Aptos Narrow"/>
            <scheme val="minor"/>
          </rPr>
          <t>======
ID#AAABjx7qVSw
    (2025-05-21 11:33:27)
Global Freight Forwarding Co Ltd
9F No. 48 Fuxing N. Rd Taipei Taiwan | Tel: +886 2 2773 9900 #8821
Mobile: +886 929 011 725 | Fax: +886 2 2773 2121 | Edisonmeng@gff.com.tw</t>
        </r>
      </text>
    </comment>
    <comment ref="M1915" authorId="0" shapeId="0" xr:uid="{ADF3D17E-D789-2F48-AFB4-39A11563C2A1}">
      <text>
        <r>
          <rPr>
            <sz val="10"/>
            <color rgb="FF000000"/>
            <rFont val="Aptos Narrow"/>
            <scheme val="minor"/>
          </rPr>
          <t>======
ID#AAABjx7qVn4
    (2025-05-21 11:33:27)
0106 chloe:下單</t>
        </r>
      </text>
    </comment>
    <comment ref="H1916" authorId="0" shapeId="0" xr:uid="{E3715BCE-DCDC-2A4B-BC49-A58F8D026B1E}">
      <text>
        <r>
          <rPr>
            <sz val="10"/>
            <color rgb="FF000000"/>
            <rFont val="Aptos Narrow"/>
            <scheme val="minor"/>
          </rPr>
          <t>======
ID#AAABjx7qQ2Y
    (2025-05-21 11:33:25)
0425 chloe:收到銀行通知USD1022</t>
        </r>
      </text>
    </comment>
    <comment ref="K1916" authorId="0" shapeId="0" xr:uid="{DE9CBFC4-C523-8F44-A69A-6CDD98DD6B67}">
      <text>
        <r>
          <rPr>
            <sz val="10"/>
            <color rgb="FF000000"/>
            <rFont val="Aptos Narrow"/>
            <scheme val="minor"/>
          </rPr>
          <t>======
ID#AAABjx7qQZ8
Santiago 20170301    (2025-05-21 11:33:25)
KH 在催貨. 因為拖2 個月, 
所以改週五當天出</t>
        </r>
      </text>
    </comment>
    <comment ref="M1916" authorId="0" shapeId="0" xr:uid="{4763325E-55ED-854D-817F-387CA451FC61}">
      <text>
        <r>
          <rPr>
            <sz val="10"/>
            <color rgb="FF000000"/>
            <rFont val="Aptos Narrow"/>
            <scheme val="minor"/>
          </rPr>
          <t>======
ID#AAABjx7qReo
    (2025-05-21 11:33:25)
3/24 PULL IN 
0123 詢問交期是否提前→ 3/10</t>
        </r>
      </text>
    </comment>
    <comment ref="H1917" authorId="0" shapeId="0" xr:uid="{720C5902-86BD-4F4F-A302-9F8D3F9EB655}">
      <text>
        <r>
          <rPr>
            <sz val="10"/>
            <color rgb="FF000000"/>
            <rFont val="Aptos Narrow"/>
            <scheme val="minor"/>
          </rPr>
          <t>======
ID#AAABjx7qQ48
    (2025-05-21 11:33:25)
0202 chloe:收到銀行通知USD13806</t>
        </r>
      </text>
    </comment>
    <comment ref="J1917" authorId="0" shapeId="0" xr:uid="{2DE7863D-C5B8-704A-85D3-0A45610022B8}">
      <text>
        <r>
          <rPr>
            <sz val="10"/>
            <color rgb="FF000000"/>
            <rFont val="Aptos Narrow"/>
            <scheme val="minor"/>
          </rPr>
          <t>======
ID#AAABjx7qN8w
    (2025-05-21 11:33:23)
Global Freight Forwarding Co Ltd
9F No. 48 Fuxing N. Rd Taipei Taiwan | Tel: +886 2 2773 9900 #8821
Mobile: +886 929 011 725 | Fax: +886 2 2773 2121 | Edisonmeng@gff.com.tw</t>
        </r>
      </text>
    </comment>
    <comment ref="M1917" authorId="0" shapeId="0" xr:uid="{9187730B-93CA-C046-955B-ACA268AD6FB3}">
      <text>
        <r>
          <rPr>
            <sz val="10"/>
            <color rgb="FF000000"/>
            <rFont val="Aptos Narrow"/>
            <scheme val="minor"/>
          </rPr>
          <t>======
ID#AAABjx7qPJM
    (2025-05-21 11:33:24)
0106 chloe:下單</t>
        </r>
      </text>
    </comment>
    <comment ref="H1918" authorId="0" shapeId="0" xr:uid="{067D9444-FB2A-A44F-ACB3-A6DE97FB7816}">
      <text>
        <r>
          <rPr>
            <sz val="10"/>
            <color rgb="FF000000"/>
            <rFont val="Aptos Narrow"/>
            <scheme val="minor"/>
          </rPr>
          <t>======
ID#AAABjx7qR6Y
    (2025-05-21 11:33:25)
0202 chloe:收到銀行通知USD13806</t>
        </r>
      </text>
    </comment>
    <comment ref="J1918" authorId="0" shapeId="0" xr:uid="{09A86F16-3F39-8842-B111-A33E83053649}">
      <text>
        <r>
          <rPr>
            <sz val="10"/>
            <color rgb="FF000000"/>
            <rFont val="Aptos Narrow"/>
            <scheme val="minor"/>
          </rPr>
          <t>======
ID#AAABjx7qPrk
    (2025-05-21 11:33:24)
Global Freight Forwarding Co Ltd
9F No. 48 Fuxing N. Rd Taipei Taiwan | Tel: +886 2 2773 9900 #8821
Mobile: +886 929 011 725 | Fax: +886 2 2773 2121 | Edisonmeng@gff.com.tw</t>
        </r>
      </text>
    </comment>
    <comment ref="M1918" authorId="0" shapeId="0" xr:uid="{0EC254CC-1DBD-244A-A144-0D0322F44095}">
      <text>
        <r>
          <rPr>
            <sz val="10"/>
            <color rgb="FF000000"/>
            <rFont val="Aptos Narrow"/>
            <scheme val="minor"/>
          </rPr>
          <t>======
ID#AAABjx7qQAk
    (2025-05-21 11:33:25)
0105 chloe:Bebe告知提早完成提早出貨</t>
        </r>
      </text>
    </comment>
    <comment ref="H1919" authorId="0" shapeId="0" xr:uid="{6ECC2FE8-E358-8248-9384-443CD4E8F74B}">
      <text>
        <r>
          <rPr>
            <sz val="10"/>
            <color rgb="FF000000"/>
            <rFont val="Aptos Narrow"/>
            <scheme val="minor"/>
          </rPr>
          <t>======
ID#AAABjx7qTgI
    (2025-05-21 11:33:26)
0202 chloe:收到銀行通知USD13806</t>
        </r>
      </text>
    </comment>
    <comment ref="J1919" authorId="0" shapeId="0" xr:uid="{965331A3-35B2-4344-89BB-C5553D1F226B}">
      <text>
        <r>
          <rPr>
            <sz val="10"/>
            <color rgb="FF000000"/>
            <rFont val="Aptos Narrow"/>
            <scheme val="minor"/>
          </rPr>
          <t>======
ID#AAABjx7qSdQ
    (2025-05-21 11:33:26)
Global Freight Forwarding Co Ltd
9F No. 48 Fuxing N. Rd Taipei Taiwan | Tel: +886 2 2773 9900 #8821
Mobile: +886 929 011 725 | Fax: +886 2 2773 2121 | Edisonmeng@gff.com.tw</t>
        </r>
      </text>
    </comment>
    <comment ref="M1919" authorId="0" shapeId="0" xr:uid="{A3A867E5-41BE-BD49-873C-16AA7BDACE63}">
      <text>
        <r>
          <rPr>
            <sz val="10"/>
            <color rgb="FF000000"/>
            <rFont val="Aptos Narrow"/>
            <scheme val="minor"/>
          </rPr>
          <t>======
ID#AAABjx7qO_Q
    (2025-05-21 11:33:24)
0105 chloe:Bebe告知提早完成提早出貨</t>
        </r>
      </text>
    </comment>
    <comment ref="H1920" authorId="0" shapeId="0" xr:uid="{905DE5B5-A9B4-4D4D-AB6F-20683C3AB694}">
      <text>
        <r>
          <rPr>
            <sz val="10"/>
            <color rgb="FF000000"/>
            <rFont val="Aptos Narrow"/>
            <scheme val="minor"/>
          </rPr>
          <t>======
ID#AAABjx7qRD8
    (2025-05-21 11:33:25)
0224 chloe:收到銀行通知USD6490</t>
        </r>
      </text>
    </comment>
    <comment ref="J1920" authorId="0" shapeId="0" xr:uid="{D1B8C143-87EC-BD49-941C-D4FAE322CB13}">
      <text>
        <r>
          <rPr>
            <sz val="10"/>
            <color rgb="FF000000"/>
            <rFont val="Aptos Narrow"/>
            <scheme val="minor"/>
          </rPr>
          <t>======
ID#AAABjx7qOGI
    (2025-05-21 11:33:24)
Global Freight Forwarding Co Ltd
9F No. 48 Fuxing N. Rd Taipei Taiwan | Tel: +886 2 2773 9900 #8821
Mobile: +886 929 011 725 | Fax: +886 2 2773 2121 | Edisonmeng@gff.com.tw</t>
        </r>
      </text>
    </comment>
    <comment ref="K1920" authorId="0" shapeId="0" xr:uid="{5FBA1D7F-972B-F544-B610-E2A67F4BA973}">
      <text>
        <r>
          <rPr>
            <sz val="10"/>
            <color rgb="FF000000"/>
            <rFont val="Aptos Narrow"/>
            <scheme val="minor"/>
          </rPr>
          <t>======
ID#AAABjx7qPnA
    (2025-05-21 11:33:24)
待安陽與國外確認EX WORK/FOB才能後續動作</t>
        </r>
      </text>
    </comment>
    <comment ref="M1920" authorId="0" shapeId="0" xr:uid="{ED5702D0-796E-CF4D-A26F-2271A9EAB1D8}">
      <text>
        <r>
          <rPr>
            <sz val="10"/>
            <color rgb="FF000000"/>
            <rFont val="Aptos Narrow"/>
            <scheme val="minor"/>
          </rPr>
          <t>======
ID#AAABjx7qVIY
    (2025-05-21 11:33:27)
0106 chloe:下單</t>
        </r>
      </text>
    </comment>
    <comment ref="H1921" authorId="0" shapeId="0" xr:uid="{9C19AFF1-03ED-9F48-A334-F0B6B17B2443}">
      <text>
        <r>
          <rPr>
            <sz val="10"/>
            <color rgb="FF000000"/>
            <rFont val="Aptos Narrow"/>
            <scheme val="minor"/>
          </rPr>
          <t>======
ID#AAABjx7qO9U
    (2025-05-21 11:33:24)
0202 chloe:收到銀行通知USD13806</t>
        </r>
      </text>
    </comment>
    <comment ref="J1921" authorId="0" shapeId="0" xr:uid="{6B6DABBF-421F-194F-8CAC-62CFB67E90CF}">
      <text>
        <r>
          <rPr>
            <sz val="10"/>
            <color rgb="FF000000"/>
            <rFont val="Aptos Narrow"/>
            <scheme val="minor"/>
          </rPr>
          <t>======
ID#AAABjx7qUuM
    (2025-05-21 11:33:26)
Global Freight Forwarding Co Ltd
9F No. 48 Fuxing N. Rd Taipei Taiwan | Tel: +886 2 2773 9900 #8821
Mobile: +886 929 011 725 | Fax: +886 2 2773 2121 | Edisonmeng@gff.com.tw</t>
        </r>
      </text>
    </comment>
    <comment ref="M1921" authorId="0" shapeId="0" xr:uid="{5449B3F8-CA0F-DB41-8D21-336A3D87C737}">
      <text>
        <r>
          <rPr>
            <sz val="10"/>
            <color rgb="FF000000"/>
            <rFont val="Aptos Narrow"/>
            <scheme val="minor"/>
          </rPr>
          <t>======
ID#AAABjx7qOMg
    (2025-05-21 11:33:24)
1229 chloe: 下單，1/5再詢問交期</t>
        </r>
      </text>
    </comment>
    <comment ref="H1922" authorId="0" shapeId="0" xr:uid="{6641E76D-19C0-3A4D-B0AB-49182AD7D71E}">
      <text>
        <r>
          <rPr>
            <sz val="10"/>
            <color rgb="FF000000"/>
            <rFont val="Aptos Narrow"/>
            <scheme val="minor"/>
          </rPr>
          <t>======
ID#AAABjx7qSzI
    (2025-05-21 11:33:26)
0202 chloe:收到銀行通知USD13806</t>
        </r>
      </text>
    </comment>
    <comment ref="J1922" authorId="0" shapeId="0" xr:uid="{1D85D915-B841-1B4D-94AB-4A03BDA3C38C}">
      <text>
        <r>
          <rPr>
            <sz val="10"/>
            <color rgb="FF000000"/>
            <rFont val="Aptos Narrow"/>
            <scheme val="minor"/>
          </rPr>
          <t>======
ID#AAABjx7qRn0
    (2025-05-21 11:33:25)
Global Freight Forwarding Co Ltd
9F No. 48 Fuxing N. Rd Taipei Taiwan | Tel: +886 2 2773 9900 #8821
Mobile: +886 929 011 725 | Fax: +886 2 2773 2121 | Edisonmeng@gff.com.tw</t>
        </r>
      </text>
    </comment>
    <comment ref="M1922" authorId="0" shapeId="0" xr:uid="{22C9EC61-6ECC-4145-97B3-22973B3CE082}">
      <text>
        <r>
          <rPr>
            <sz val="10"/>
            <color rgb="FF000000"/>
            <rFont val="Aptos Narrow"/>
            <scheme val="minor"/>
          </rPr>
          <t>======
ID#AAABjx7qOAI
    (2025-05-21 11:33:24)
1229 chloe: 下單，1/5再詢問交期</t>
        </r>
      </text>
    </comment>
    <comment ref="H1923" authorId="0" shapeId="0" xr:uid="{BB11D6C4-A170-FE46-A716-8AB3B578BFEC}">
      <text>
        <r>
          <rPr>
            <sz val="10"/>
            <color rgb="FF000000"/>
            <rFont val="Aptos Narrow"/>
            <scheme val="minor"/>
          </rPr>
          <t>======
ID#AAABjx7qOM0
    (2025-05-21 11:33:24)
0224 chloe:收到銀行通知USD6490</t>
        </r>
      </text>
    </comment>
    <comment ref="J1923" authorId="0" shapeId="0" xr:uid="{60209E9D-47E6-B246-BA5E-28A2141DD4B9}">
      <text>
        <r>
          <rPr>
            <sz val="10"/>
            <color rgb="FF000000"/>
            <rFont val="Aptos Narrow"/>
            <scheme val="minor"/>
          </rPr>
          <t>======
ID#AAABjx7qNd8
    (2025-05-21 11:33:23)
Global Freight Forwarding Co Ltd
9F No. 48 Fuxing N. Rd Taipei Taiwan | Tel: +886 2 2773 9900 #8821
Mobile: +886 929 011 725 | Fax: +886 2 2773 2121 | Edisonmeng@gff.com.tw</t>
        </r>
      </text>
    </comment>
    <comment ref="K1923" authorId="0" shapeId="0" xr:uid="{883C049D-78BB-094A-A193-EBFAB87969A5}">
      <text>
        <r>
          <rPr>
            <sz val="10"/>
            <color rgb="FF000000"/>
            <rFont val="Aptos Narrow"/>
            <scheme val="minor"/>
          </rPr>
          <t>======
ID#AAABjx7qQKU
    (2025-05-21 11:33:25)
待安陽與國外確認EX WORK/FOB才能後續動作</t>
        </r>
      </text>
    </comment>
    <comment ref="M1923" authorId="0" shapeId="0" xr:uid="{09657D1B-7F58-2443-BC79-F28DBE5C8D90}">
      <text>
        <r>
          <rPr>
            <sz val="10"/>
            <color rgb="FF000000"/>
            <rFont val="Aptos Narrow"/>
            <scheme val="minor"/>
          </rPr>
          <t>======
ID#AAABjx7qRz0
    (2025-05-21 11:33:25)
1229 chloe: 下單，1/5再詢問交期</t>
        </r>
      </text>
    </comment>
    <comment ref="H1924" authorId="0" shapeId="0" xr:uid="{62385683-694A-594B-A72F-520F239D6A70}">
      <text>
        <r>
          <rPr>
            <sz val="10"/>
            <color rgb="FF000000"/>
            <rFont val="Aptos Narrow"/>
            <scheme val="minor"/>
          </rPr>
          <t>======
ID#AAABjx7qNDs
    (2025-05-21 11:33:23)
0224 chloe:收到銀行通知USD6490</t>
        </r>
      </text>
    </comment>
    <comment ref="J1924" authorId="0" shapeId="0" xr:uid="{244A898B-CCA7-9441-9BB7-D586C93C0ED6}">
      <text>
        <r>
          <rPr>
            <sz val="10"/>
            <color rgb="FF000000"/>
            <rFont val="Aptos Narrow"/>
            <scheme val="minor"/>
          </rPr>
          <t>======
ID#AAABjx7qMyA
    (2025-05-21 11:33:23)
Global Freight Forwarding Co Ltd
9F No. 48 Fuxing N. Rd Taipei Taiwan | Tel: +886 2 2773 9900 #8821
Mobile: +886 929 011 725 | Fax: +886 2 2773 2121 | Edisonmeng@gff.com.tw</t>
        </r>
      </text>
    </comment>
    <comment ref="K1924" authorId="0" shapeId="0" xr:uid="{BB8DCEAC-6E03-AA42-9C71-5C6D2F8A6BB6}">
      <text>
        <r>
          <rPr>
            <sz val="10"/>
            <color rgb="FF000000"/>
            <rFont val="Aptos Narrow"/>
            <scheme val="minor"/>
          </rPr>
          <t>======
ID#AAABjx7qTCE
    (2025-05-21 11:33:26)
待安陽與國外確認EX WORK/FOB才能後續動作</t>
        </r>
      </text>
    </comment>
    <comment ref="M1924" authorId="0" shapeId="0" xr:uid="{A0FCC5FC-EDD5-5D46-8A26-C9E3DB1F730C}">
      <text>
        <r>
          <rPr>
            <sz val="10"/>
            <color rgb="FF000000"/>
            <rFont val="Aptos Narrow"/>
            <scheme val="minor"/>
          </rPr>
          <t>======
ID#AAABjx7qPWE
    (2025-05-21 11:33:24)
1229 chloe: 下單，1/5再詢問交期</t>
        </r>
      </text>
    </comment>
    <comment ref="H1925" authorId="0" shapeId="0" xr:uid="{408AABA7-A40D-0042-A4D6-54FDE9518B1D}">
      <text>
        <r>
          <rPr>
            <sz val="10"/>
            <color rgb="FF000000"/>
            <rFont val="Aptos Narrow"/>
            <scheme val="minor"/>
          </rPr>
          <t>======
ID#AAABjx7qOeg
    (2025-05-21 11:33:24)
0210 chloe:收到銀行通知USD4691</t>
        </r>
      </text>
    </comment>
    <comment ref="H1926" authorId="0" shapeId="0" xr:uid="{AAB0A35B-4D30-8D47-97F4-8FC190A8E033}">
      <text>
        <r>
          <rPr>
            <sz val="10"/>
            <color rgb="FF000000"/>
            <rFont val="Aptos Narrow"/>
            <scheme val="minor"/>
          </rPr>
          <t>======
ID#AAABjx7qR38
    (2025-05-21 11:33:25)
0210 chloe:收到銀行通知USD4691</t>
        </r>
      </text>
    </comment>
    <comment ref="H1927" authorId="0" shapeId="0" xr:uid="{687CCF07-7012-CC46-8D6E-0CFCD48E8363}">
      <text>
        <r>
          <rPr>
            <sz val="10"/>
            <color rgb="FF000000"/>
            <rFont val="Aptos Narrow"/>
            <scheme val="minor"/>
          </rPr>
          <t>======
ID#AAABjx7qTgU
    (2025-05-21 11:33:26)
0210 chloe:收到銀行通知USD4691</t>
        </r>
      </text>
    </comment>
    <comment ref="H1928" authorId="0" shapeId="0" xr:uid="{173447D4-E1E0-D542-B1DC-51CFF270DDE7}">
      <text>
        <r>
          <rPr>
            <sz val="10"/>
            <color rgb="FF000000"/>
            <rFont val="Aptos Narrow"/>
            <scheme val="minor"/>
          </rPr>
          <t>======
ID#AAABjx7qOFI
    (2025-05-21 11:33:24)
0210 chloe:收到銀行通知USD4691</t>
        </r>
      </text>
    </comment>
    <comment ref="H1929" authorId="0" shapeId="0" xr:uid="{1F11FE7C-FE66-6243-B11A-E077D74595C1}">
      <text>
        <r>
          <rPr>
            <sz val="10"/>
            <color rgb="FF000000"/>
            <rFont val="Aptos Narrow"/>
            <scheme val="minor"/>
          </rPr>
          <t>======
ID#AAABjx7qRms
    (2025-05-21 11:33:25)
0210 chloe:收到銀行通知USD4691</t>
        </r>
      </text>
    </comment>
    <comment ref="H1930" authorId="0" shapeId="0" xr:uid="{609B0633-77AD-2C44-ABA4-9F8948D8C153}">
      <text>
        <r>
          <rPr>
            <sz val="10"/>
            <color rgb="FF000000"/>
            <rFont val="Aptos Narrow"/>
            <scheme val="minor"/>
          </rPr>
          <t>======
ID#AAABjx7qRSQ
    (2025-05-21 11:33:25)
0210 chloe:收到銀行通知USD4691</t>
        </r>
      </text>
    </comment>
    <comment ref="H1931" authorId="0" shapeId="0" xr:uid="{321C4FAE-3FEC-6348-8C86-2DC5B1387D91}">
      <text>
        <r>
          <rPr>
            <sz val="10"/>
            <color rgb="FF000000"/>
            <rFont val="Aptos Narrow"/>
            <scheme val="minor"/>
          </rPr>
          <t>======
ID#AAABjx7qTP0
    (2025-05-21 11:33:26)
0210 chloe:收到銀行通知USD4691</t>
        </r>
      </text>
    </comment>
    <comment ref="H1932" authorId="0" shapeId="0" xr:uid="{833819EA-2E62-3745-8979-B151F34531D9}">
      <text>
        <r>
          <rPr>
            <sz val="10"/>
            <color rgb="FF000000"/>
            <rFont val="Aptos Narrow"/>
            <scheme val="minor"/>
          </rPr>
          <t>======
ID#AAABjx7qMsA
    (2025-05-21 11:33:23)
0210 chloe:收到銀行通知USD4691</t>
        </r>
      </text>
    </comment>
    <comment ref="H1933" authorId="0" shapeId="0" xr:uid="{832ED647-61AB-5248-977F-223DBD124626}">
      <text>
        <r>
          <rPr>
            <sz val="10"/>
            <color rgb="FF000000"/>
            <rFont val="Aptos Narrow"/>
            <scheme val="minor"/>
          </rPr>
          <t>======
ID#AAABjx7qPzs
    (2025-05-21 11:33:24)
0210 chloe:收到銀行通知USD4691</t>
        </r>
      </text>
    </comment>
    <comment ref="H1934" authorId="0" shapeId="0" xr:uid="{8946441E-D602-364B-9A08-A4933CC494EB}">
      <text>
        <r>
          <rPr>
            <sz val="10"/>
            <color rgb="FF000000"/>
            <rFont val="Aptos Narrow"/>
            <scheme val="minor"/>
          </rPr>
          <t>======
ID#AAABjx7qS8Y
    (2025-05-21 11:33:26)
0210 chloe:收到銀行通知USD4691</t>
        </r>
      </text>
    </comment>
    <comment ref="H1935" authorId="0" shapeId="0" xr:uid="{D5EE8B86-D2D3-EE48-BBAC-F192C3EA6A1F}">
      <text>
        <r>
          <rPr>
            <sz val="10"/>
            <color rgb="FF000000"/>
            <rFont val="Aptos Narrow"/>
            <scheme val="minor"/>
          </rPr>
          <t>======
ID#AAABjx7qQgw
    (2025-05-21 11:33:25)
0210 chloe:收到銀行通知USD4691</t>
        </r>
      </text>
    </comment>
    <comment ref="H1936" authorId="0" shapeId="0" xr:uid="{86B3B5BB-B0D8-4746-8E5D-EF3BE93ED5E3}">
      <text>
        <r>
          <rPr>
            <sz val="10"/>
            <color rgb="FF000000"/>
            <rFont val="Aptos Narrow"/>
            <scheme val="minor"/>
          </rPr>
          <t>======
ID#AAABjx7qO84
    (2025-05-21 11:33:24)
0210 chloe:收到銀行通知USD4691</t>
        </r>
      </text>
    </comment>
    <comment ref="H1937" authorId="0" shapeId="0" xr:uid="{A4A0E770-BAAD-B646-9324-DA6F3BECDEDB}">
      <text>
        <r>
          <rPr>
            <sz val="10"/>
            <color rgb="FF000000"/>
            <rFont val="Aptos Narrow"/>
            <scheme val="minor"/>
          </rPr>
          <t>======
ID#AAABjx7qPC4
    (2025-05-21 11:33:24)
0210 chloe:收到銀行通知USD4691</t>
        </r>
      </text>
    </comment>
    <comment ref="H1938" authorId="0" shapeId="0" xr:uid="{B0247482-B806-044B-850D-82B33D60F982}">
      <text>
        <r>
          <rPr>
            <sz val="10"/>
            <color rgb="FF000000"/>
            <rFont val="Aptos Narrow"/>
            <scheme val="minor"/>
          </rPr>
          <t>======
ID#AAABjx7qWBA
    (2025-05-21 11:33:27)
0210 chloe:收到銀行通知USD4691</t>
        </r>
      </text>
    </comment>
    <comment ref="H1939" authorId="0" shapeId="0" xr:uid="{DAE7AEE6-1205-7147-85A6-EC58466741EF}">
      <text>
        <r>
          <rPr>
            <sz val="10"/>
            <color rgb="FF000000"/>
            <rFont val="Aptos Narrow"/>
            <scheme val="minor"/>
          </rPr>
          <t>======
ID#AAABjx7qOIY
    (2025-05-21 11:33:24)
0109 chloe:收到銀行通知USD1236</t>
        </r>
      </text>
    </comment>
    <comment ref="H1940" authorId="0" shapeId="0" xr:uid="{E0C35439-75DE-EF40-97B2-152FB055E839}">
      <text>
        <r>
          <rPr>
            <sz val="10"/>
            <color rgb="FF000000"/>
            <rFont val="Aptos Narrow"/>
            <scheme val="minor"/>
          </rPr>
          <t>======
ID#AAABjx7qNxg
    (2025-05-21 11:33:23)
20170206 chloe:合庫收到款項NT335,909</t>
        </r>
      </text>
    </comment>
    <comment ref="AF1940" authorId="0" shapeId="0" xr:uid="{F902B93C-B0E5-1D48-8BFC-A50D88D24703}">
      <text>
        <r>
          <rPr>
            <sz val="10"/>
            <color rgb="FF000000"/>
            <rFont val="Aptos Narrow"/>
            <scheme val="minor"/>
          </rPr>
          <t>======
ID#AAABjx7qO8w
    (2025-05-21 11:33:24)
00187922334010</t>
        </r>
      </text>
    </comment>
    <comment ref="E1941" authorId="0" shapeId="0" xr:uid="{0090BED5-C2D3-7747-ADAE-FDA6E6299385}">
      <text>
        <r>
          <rPr>
            <sz val="10"/>
            <color rgb="FF000000"/>
            <rFont val="Aptos Narrow"/>
            <scheme val="minor"/>
          </rPr>
          <t>======
ID#AAABjx7qP1A
    (2025-05-21 11:33:24)
20170104 Santiago: 和之前訂單一樣, w/o adapter</t>
        </r>
      </text>
    </comment>
    <comment ref="H1941" authorId="0" shapeId="0" xr:uid="{1D53598D-D8D3-4B43-B8D5-0542612D18C0}">
      <text>
        <r>
          <rPr>
            <sz val="10"/>
            <color rgb="FF000000"/>
            <rFont val="Aptos Narrow"/>
            <scheme val="minor"/>
          </rPr>
          <t>======
ID#AAABjx7qU28
    (2025-05-21 11:33:26)
20170206 chloe:合庫收到款項NT335,909</t>
        </r>
      </text>
    </comment>
    <comment ref="AF1941" authorId="0" shapeId="0" xr:uid="{8847968D-72BD-614D-8E30-39C9F7CF5F06}">
      <text>
        <r>
          <rPr>
            <sz val="10"/>
            <color rgb="FF000000"/>
            <rFont val="Aptos Narrow"/>
            <scheme val="minor"/>
          </rPr>
          <t>======
ID#AAABjx7qOvM
    (2025-05-21 11:33:24)
00187922334010</t>
        </r>
      </text>
    </comment>
    <comment ref="D1942" authorId="0" shapeId="0" xr:uid="{FEB5D319-DDBD-EC40-9712-B6284B985233}">
      <text>
        <r>
          <rPr>
            <sz val="10"/>
            <color rgb="FF000000"/>
            <rFont val="Aptos Narrow"/>
            <scheme val="minor"/>
          </rPr>
          <t>======
ID#AAABjx7qUvk
    (2025-05-21 11:33:26)
測試 Samsung HDD</t>
        </r>
      </text>
    </comment>
    <comment ref="H1942" authorId="0" shapeId="0" xr:uid="{4F8B154A-6FE5-9644-875E-09F254E40966}">
      <text>
        <r>
          <rPr>
            <sz val="10"/>
            <color rgb="FF000000"/>
            <rFont val="Aptos Narrow"/>
            <scheme val="minor"/>
          </rPr>
          <t>======
ID#AAABjx7qNDU
    (2025-05-21 11:33:23)
0218 chloe:收到銀行通知USD4087</t>
        </r>
      </text>
    </comment>
    <comment ref="K1942" authorId="0" shapeId="0" xr:uid="{B9C6FD16-0AE0-4A45-88E5-34AD719126ED}">
      <text>
        <r>
          <rPr>
            <sz val="10"/>
            <color rgb="FF000000"/>
            <rFont val="Aptos Narrow"/>
            <scheme val="minor"/>
          </rPr>
          <t>======
ID#AAABjx7qMuQ
    (2025-05-21 11:33:23)
材積： 53*39*30 11KG+1</t>
        </r>
      </text>
    </comment>
    <comment ref="D1943" authorId="0" shapeId="0" xr:uid="{38C0001E-5095-524F-AFDC-0FC915F6B093}">
      <text>
        <r>
          <rPr>
            <sz val="10"/>
            <color rgb="FF000000"/>
            <rFont val="Aptos Narrow"/>
            <scheme val="minor"/>
          </rPr>
          <t>======
ID#AAABjx7qSy8
    (2025-05-21 11:33:26)
測試 Samsung HDD</t>
        </r>
      </text>
    </comment>
    <comment ref="H1943" authorId="0" shapeId="0" xr:uid="{011053CA-8B7D-9145-8250-B478E2C5ABBD}">
      <text>
        <r>
          <rPr>
            <sz val="10"/>
            <color rgb="FF000000"/>
            <rFont val="Aptos Narrow"/>
            <scheme val="minor"/>
          </rPr>
          <t>======
ID#AAABjx7qOwo
    (2025-05-21 11:33:24)
0218 chloe:收到銀行通知USD4087</t>
        </r>
      </text>
    </comment>
    <comment ref="Q1943" authorId="0" shapeId="0" xr:uid="{17E870CB-225A-004E-B0AE-EEF1F62ADA3B}">
      <text>
        <r>
          <rPr>
            <sz val="10"/>
            <color rgb="FF000000"/>
            <rFont val="Aptos Narrow"/>
            <scheme val="minor"/>
          </rPr>
          <t>======
ID#AAABjx7qU04
    (2025-05-21 11:33:26)
2 PCS</t>
        </r>
      </text>
    </comment>
    <comment ref="Z1943" authorId="0" shapeId="0" xr:uid="{3DF9D6A9-0825-AA41-ADCF-8A5006CECE00}">
      <text>
        <r>
          <rPr>
            <sz val="10"/>
            <color rgb="FF000000"/>
            <rFont val="Aptos Narrow"/>
            <scheme val="minor"/>
          </rPr>
          <t>======
ID#AAABjx7qSFk
    (2025-05-21 11:33:26)
0119 chloe:發票遺失故會開立與正本相符的發票給我們</t>
        </r>
      </text>
    </comment>
    <comment ref="H1944" authorId="0" shapeId="0" xr:uid="{C8C3BC12-C3A6-C546-9C1A-F1415DFF1E1A}">
      <text>
        <r>
          <rPr>
            <sz val="10"/>
            <color rgb="FF000000"/>
            <rFont val="Aptos Narrow"/>
            <scheme val="minor"/>
          </rPr>
          <t>======
ID#AAABjx7qPBs
    (2025-05-21 11:33:24)
0206 chloe: 預計3月第一周付款
0302 chloe::合庫收到款項NT390994</t>
        </r>
      </text>
    </comment>
    <comment ref="AF1944" authorId="0" shapeId="0" xr:uid="{50DC3657-6A77-E444-B263-AB2312E6396C}">
      <text>
        <r>
          <rPr>
            <sz val="10"/>
            <color rgb="FF000000"/>
            <rFont val="Aptos Narrow"/>
            <scheme val="minor"/>
          </rPr>
          <t>======
ID#AAABjx7qS2w
    (2025-05-21 11:33:26)
執據:002684 223340 10</t>
        </r>
      </text>
    </comment>
    <comment ref="E1945" authorId="0" shapeId="0" xr:uid="{8CE544ED-C79C-B54C-9FA3-015DC19C0431}">
      <text>
        <r>
          <rPr>
            <sz val="10"/>
            <color rgb="FF000000"/>
            <rFont val="Aptos Narrow"/>
            <scheme val="minor"/>
          </rPr>
          <t>======
ID#AAABjx7qTEI
    (2025-05-21 11:33:26)
20170104 Santiago: 和之前訂單一樣, w/o adapter</t>
        </r>
      </text>
    </comment>
    <comment ref="H1945" authorId="0" shapeId="0" xr:uid="{B0A8B623-9E0E-1247-9E0F-DEF12F1A60FC}">
      <text>
        <r>
          <rPr>
            <sz val="10"/>
            <color rgb="FF000000"/>
            <rFont val="Aptos Narrow"/>
            <scheme val="minor"/>
          </rPr>
          <t>======
ID#AAABjx7qTdg
    (2025-05-21 11:33:26)
0302 chloe::合庫收到款項NT390994</t>
        </r>
      </text>
    </comment>
    <comment ref="AF1945" authorId="0" shapeId="0" xr:uid="{C8F87C1D-2B78-1D47-8111-135EB7943868}">
      <text>
        <r>
          <rPr>
            <sz val="10"/>
            <color rgb="FF000000"/>
            <rFont val="Aptos Narrow"/>
            <scheme val="minor"/>
          </rPr>
          <t>======
ID#AAABjx7qRXY
    (2025-05-21 11:33:25)
執據:002684 223340 10</t>
        </r>
      </text>
    </comment>
    <comment ref="D1946" authorId="0" shapeId="0" xr:uid="{E3CD7E41-A32A-9A42-B9C5-1317ACED6AFE}">
      <text>
        <r>
          <rPr>
            <sz val="10"/>
            <color rgb="FF000000"/>
            <rFont val="Aptos Narrow"/>
            <scheme val="minor"/>
          </rPr>
          <t>======
ID#AAABjx7qQ30
    (2025-05-21 11:33:25)
測試 Samsung HDD</t>
        </r>
      </text>
    </comment>
    <comment ref="H1946" authorId="0" shapeId="0" xr:uid="{E332527E-F9EC-8E44-AC09-281C73C4BC4F}">
      <text>
        <r>
          <rPr>
            <sz val="10"/>
            <color rgb="FF000000"/>
            <rFont val="Aptos Narrow"/>
            <scheme val="minor"/>
          </rPr>
          <t>======
ID#AAABjx7qTFQ
    (2025-05-21 11:33:26)
0406 chloe:收到銀行通知USD16968</t>
        </r>
      </text>
    </comment>
    <comment ref="M1946" authorId="0" shapeId="0" xr:uid="{C9E541B0-742A-FE40-88FE-DDB0642FBB95}">
      <text>
        <r>
          <rPr>
            <sz val="10"/>
            <color rgb="FF000000"/>
            <rFont val="Aptos Narrow"/>
            <scheme val="minor"/>
          </rPr>
          <t>======
ID#AAABjx7qQDI
    (2025-05-21 11:33:25)
0216 chloe:因主機板延遲，故此貨盡量PULL IN 在2/23出貨，若不行2/24 會拿到</t>
        </r>
      </text>
    </comment>
    <comment ref="H1947" authorId="0" shapeId="0" xr:uid="{1A0E2B97-5D0F-9045-8820-2DA4B3F78055}">
      <text>
        <r>
          <rPr>
            <sz val="10"/>
            <color rgb="FF000000"/>
            <rFont val="Aptos Narrow"/>
            <scheme val="minor"/>
          </rPr>
          <t>======
ID#AAABjx7qQZU
    (2025-05-21 11:33:25)
0406 chloe:收到銀行通知USD16968</t>
        </r>
      </text>
    </comment>
    <comment ref="H1948" authorId="0" shapeId="0" xr:uid="{B9C18E16-9161-4040-BE9A-4A0C7AFD308F}">
      <text>
        <r>
          <rPr>
            <sz val="10"/>
            <color rgb="FF000000"/>
            <rFont val="Aptos Narrow"/>
            <scheme val="minor"/>
          </rPr>
          <t>======
ID#AAABjx7qV8Q
    (2025-05-21 11:33:27)
0119 chloe: 收到銀行通知USD1134</t>
        </r>
      </text>
    </comment>
    <comment ref="H1949" authorId="0" shapeId="0" xr:uid="{DC380ABB-4713-AF40-BD08-57A294EBCB31}">
      <text>
        <r>
          <rPr>
            <sz val="10"/>
            <color rgb="FF000000"/>
            <rFont val="Aptos Narrow"/>
            <scheme val="minor"/>
          </rPr>
          <t>======
ID#AAABjx7qRBw
    (2025-05-21 11:33:25)
0202 chloe:收到銀行通知USD13806</t>
        </r>
      </text>
    </comment>
    <comment ref="J1949" authorId="0" shapeId="0" xr:uid="{FA28C7C8-D8C1-D241-867E-983B18899F5B}">
      <text>
        <r>
          <rPr>
            <sz val="10"/>
            <color rgb="FF000000"/>
            <rFont val="Aptos Narrow"/>
            <scheme val="minor"/>
          </rPr>
          <t>======
ID#AAABjx7qN4w
    (2025-05-21 11:33:23)
客戶供應商友通
Mr. Philip Tung
Philip Tung/Key Account Manager
DFI Inc.
10F., No.97, Sec. 1, Xintai 5th Rd., Xizhi Dist.,
New Taipei City 221, Taiwan (R.O.C.)
Tel : +886(2)2697-2986 Ext.334/Fax : +886(2)2697-2168
Skype : egjh0609
email philip.tung@dfi.com</t>
        </r>
      </text>
    </comment>
    <comment ref="Q1949" authorId="0" shapeId="0" xr:uid="{0EAD2F9D-EA38-5D4F-AFCF-9F92D728DDB6}">
      <text>
        <r>
          <rPr>
            <sz val="10"/>
            <color rgb="FF000000"/>
            <rFont val="Aptos Narrow"/>
            <scheme val="minor"/>
          </rPr>
          <t>======
ID#AAABjx7qVIM
    (2025-05-21 11:33:27)
1300(友通拉貨進戎克)
3317(戎克直出桃園機場)</t>
        </r>
      </text>
    </comment>
    <comment ref="G1950" authorId="0" shapeId="0" xr:uid="{254109BC-E763-6542-AF7D-60DDFE555F87}">
      <text>
        <r>
          <rPr>
            <sz val="10"/>
            <color rgb="FF000000"/>
            <rFont val="Aptos Narrow"/>
            <scheme val="minor"/>
          </rPr>
          <t>======
ID#AAABjx7qSx4
    (2025-05-21 11:33:26)
NT$7200 / 1 pcs 未稅</t>
        </r>
      </text>
    </comment>
    <comment ref="H1950" authorId="0" shapeId="0" xr:uid="{B8D75B93-8E73-8F44-B806-568BB469C731}">
      <text>
        <r>
          <rPr>
            <sz val="10"/>
            <color rgb="FF000000"/>
            <rFont val="Aptos Narrow"/>
            <scheme val="minor"/>
          </rPr>
          <t>======
ID#AAABjx7qRnY
    (2025-05-21 11:33:25)
20170116 Santiago : 7200 / 1 pcs 未稅
0221 chloe: 收到支票67221，2/28後可匯兌
0302 chloe:支票兌現成功</t>
        </r>
      </text>
    </comment>
    <comment ref="K1950" authorId="0" shapeId="0" xr:uid="{904EEF67-08BF-A44C-A285-5908F539F551}">
      <text>
        <r>
          <rPr>
            <sz val="10"/>
            <color rgb="FF000000"/>
            <rFont val="Aptos Narrow"/>
            <scheme val="minor"/>
          </rPr>
          <t xml:space="preserve">======
ID#AAABjx7qTbQ
材積：2.9KGS    (2025-05-21 11:33:26)
</t>
        </r>
      </text>
    </comment>
    <comment ref="M1950" authorId="0" shapeId="0" xr:uid="{21D9C44F-D2F0-B646-A1DC-E9D1944C604D}">
      <text>
        <r>
          <rPr>
            <sz val="10"/>
            <color rgb="FF000000"/>
            <rFont val="Aptos Narrow"/>
            <scheme val="minor"/>
          </rPr>
          <t>======
ID#AAABjx7qP6w
    (2025-05-21 11:33:24)
2017/01/17 到貨戎克</t>
        </r>
      </text>
    </comment>
    <comment ref="H1951" authorId="0" shapeId="0" xr:uid="{00124C55-4A44-8F49-9D67-182568A00E3C}">
      <text>
        <r>
          <rPr>
            <sz val="10"/>
            <color rgb="FF000000"/>
            <rFont val="Aptos Narrow"/>
            <scheme val="minor"/>
          </rPr>
          <t>======
ID#AAABjx7qP70
    (2025-05-21 11:33:24)
0218 chloe:收到銀行通知USD4087</t>
        </r>
      </text>
    </comment>
    <comment ref="K1951" authorId="0" shapeId="0" xr:uid="{02AEF090-476D-4D44-AC35-0D52C4532094}">
      <text>
        <r>
          <rPr>
            <sz val="10"/>
            <color rgb="FF000000"/>
            <rFont val="Aptos Narrow"/>
            <scheme val="minor"/>
          </rPr>
          <t>======
ID#AAABjx7qWFk
    (2025-05-21 11:33:27)
0117 Chloe:待給材積</t>
        </r>
      </text>
    </comment>
    <comment ref="H1952" authorId="0" shapeId="0" xr:uid="{9173A48E-C8EA-C247-8BFA-8C2CB7FB73F2}">
      <text>
        <r>
          <rPr>
            <sz val="10"/>
            <color rgb="FF000000"/>
            <rFont val="Aptos Narrow"/>
            <scheme val="minor"/>
          </rPr>
          <t>======
ID#AAABjx7qTc8
    (2025-05-21 11:33:26)
0302 chloe:收到銀行通知USD2107</t>
        </r>
      </text>
    </comment>
    <comment ref="H1953" authorId="0" shapeId="0" xr:uid="{E13AA67E-0FA6-A845-A8EF-015DC4ADEE6D}">
      <text>
        <r>
          <rPr>
            <sz val="10"/>
            <color rgb="FF000000"/>
            <rFont val="Aptos Narrow"/>
            <scheme val="minor"/>
          </rPr>
          <t>======
ID#AAABjx7qQLA
    (2025-05-21 11:33:25)
0119 chloe: 收到銀行通知USD1134</t>
        </r>
      </text>
    </comment>
    <comment ref="H1954" authorId="0" shapeId="0" xr:uid="{35B2FD8B-97C2-A749-B33B-5CD5DA3775E0}">
      <text>
        <r>
          <rPr>
            <sz val="10"/>
            <color rgb="FF000000"/>
            <rFont val="Aptos Narrow"/>
            <scheme val="minor"/>
          </rPr>
          <t>======
ID#AAABjx7qQnw
    (2025-05-21 11:33:25)
0224 chloe:收到銀行通知USD6490</t>
        </r>
      </text>
    </comment>
    <comment ref="J1954" authorId="0" shapeId="0" xr:uid="{F8165A2C-40FF-4345-9872-E3D96EBB80CF}">
      <text>
        <r>
          <rPr>
            <sz val="10"/>
            <color rgb="FF000000"/>
            <rFont val="Aptos Narrow"/>
            <scheme val="minor"/>
          </rPr>
          <t>======
ID#AAABjx7qP-k
    (2025-05-21 11:33:25)
Global Freight Forwarding Co Ltd
9F No. 48 Fuxing N. Rd Taipei Taiwan | Tel: +886 2 2773 9900 #8821
Mobile: +886 929 011 725 | Fax: +886 2 2773 2121 | Edisonmeng@gff.com.tw</t>
        </r>
      </text>
    </comment>
    <comment ref="K1954" authorId="0" shapeId="0" xr:uid="{06500175-53BF-F64E-B0F0-DCD6388E0783}">
      <text>
        <r>
          <rPr>
            <sz val="10"/>
            <color rgb="FF000000"/>
            <rFont val="Aptos Narrow"/>
            <scheme val="minor"/>
          </rPr>
          <t>======
ID#AAABjx7qNyM
    (2025-05-21 11:33:23)
待安陽與國外確認EX WORK/FOB才能後續動作</t>
        </r>
      </text>
    </comment>
    <comment ref="H1955" authorId="0" shapeId="0" xr:uid="{0DF84D87-9195-864E-B2DC-ED8D54FF81BE}">
      <text>
        <r>
          <rPr>
            <sz val="10"/>
            <color rgb="FF000000"/>
            <rFont val="Aptos Narrow"/>
            <scheme val="minor"/>
          </rPr>
          <t>======
ID#AAABj82dpN8
    (2025-05-21 11:33:23)
0406 chloe:收到銀行通知USD16968</t>
        </r>
      </text>
    </comment>
    <comment ref="H1956" authorId="0" shapeId="0" xr:uid="{CAD2FF8C-4DA5-B14A-B19A-75A97E5FB853}">
      <text>
        <r>
          <rPr>
            <sz val="10"/>
            <color rgb="FF000000"/>
            <rFont val="Aptos Narrow"/>
            <scheme val="minor"/>
          </rPr>
          <t>======
ID#AAABjx7qR1c
    (2025-05-21 11:33:25)
0406 chloe:收到銀行通知USD16968</t>
        </r>
      </text>
    </comment>
    <comment ref="H1957" authorId="0" shapeId="0" xr:uid="{9D32AA20-430A-9146-BDD1-C6B2947CA09B}">
      <text>
        <r>
          <rPr>
            <sz val="10"/>
            <color rgb="FF000000"/>
            <rFont val="Aptos Narrow"/>
            <scheme val="minor"/>
          </rPr>
          <t>======
ID#AAABjx7qNso
    (2025-05-21 11:33:23)
0406 chloe:收到銀行通知USD16968</t>
        </r>
      </text>
    </comment>
    <comment ref="E1958" authorId="0" shapeId="0" xr:uid="{94C966BE-2162-CB4F-B508-B74D0F1FE429}">
      <text>
        <r>
          <rPr>
            <sz val="10"/>
            <color rgb="FF000000"/>
            <rFont val="Aptos Narrow"/>
            <scheme val="minor"/>
          </rPr>
          <t>======
ID#AAABjx7qVG0
    (2025-05-21 11:33:27)
3/16 Michelle:Demand3008 8" 這次樣品可以勉強接受2 Pin. 
但未來出貨一定要用3 pin 鳯凰接頭</t>
        </r>
      </text>
    </comment>
    <comment ref="H1958" authorId="0" shapeId="0" xr:uid="{37A9AECA-B898-4345-AECF-E5CA3012469A}">
      <text>
        <r>
          <rPr>
            <sz val="10"/>
            <color rgb="FF000000"/>
            <rFont val="Aptos Narrow"/>
            <scheme val="minor"/>
          </rPr>
          <t>======
ID#AAABjx7qSmk
    (2025-05-21 11:33:26)
0406 chloe:收到銀行通知USD16968</t>
        </r>
      </text>
    </comment>
    <comment ref="M1958" authorId="0" shapeId="0" xr:uid="{5664625D-3AB3-C040-A390-E7D3CFEE7B3D}">
      <text>
        <r>
          <rPr>
            <sz val="10"/>
            <color rgb="FF000000"/>
            <rFont val="Aptos Narrow"/>
            <scheme val="minor"/>
          </rPr>
          <t>======
ID#AAABjx7qTd0
    (2025-05-21 11:33:26)
2/14到貨→原本預計2/20</t>
        </r>
      </text>
    </comment>
    <comment ref="H1959" authorId="0" shapeId="0" xr:uid="{0704E744-309E-F74F-BABD-5E46787212D1}">
      <text>
        <r>
          <rPr>
            <sz val="10"/>
            <color rgb="FF000000"/>
            <rFont val="Aptos Narrow"/>
            <scheme val="minor"/>
          </rPr>
          <t>======
ID#AAABjx7qTWw
    (2025-05-21 11:33:26)
0406 chloe:收到銀行通知USD16968</t>
        </r>
      </text>
    </comment>
    <comment ref="P1959" authorId="0" shapeId="0" xr:uid="{F7AFEB2A-63D4-814F-88CF-726697203C28}">
      <text>
        <r>
          <rPr>
            <sz val="10"/>
            <color rgb="FF000000"/>
            <rFont val="Aptos Narrow"/>
            <scheme val="minor"/>
          </rPr>
          <t>======
ID#AAABjx7qP-Y
    (2025-05-21 11:33:25)
USD 229 為KEY錯價格，應為USD329</t>
        </r>
      </text>
    </comment>
    <comment ref="H1960" authorId="0" shapeId="0" xr:uid="{9B6C028D-6CAC-6849-A4E8-A0D9C13F8CD7}">
      <text>
        <r>
          <rPr>
            <sz val="10"/>
            <color rgb="FF000000"/>
            <rFont val="Aptos Narrow"/>
            <scheme val="minor"/>
          </rPr>
          <t>======
ID#AAABjx7qQB0
    (2025-05-21 11:33:25)
0406 chloe:收到銀行通知USD16968</t>
        </r>
      </text>
    </comment>
    <comment ref="H1961" authorId="0" shapeId="0" xr:uid="{23EF903C-C658-1741-B5EC-6910F2D78449}">
      <text>
        <r>
          <rPr>
            <sz val="10"/>
            <color rgb="FF000000"/>
            <rFont val="Aptos Narrow"/>
            <scheme val="minor"/>
          </rPr>
          <t>======
ID#AAABjx7qS1c
    (2025-05-21 11:33:26)
0302 chloe:收到銀行通知USD2107</t>
        </r>
      </text>
    </comment>
    <comment ref="M1961" authorId="0" shapeId="0" xr:uid="{617057DE-A9E6-3349-AF79-6C2E1423A284}">
      <text>
        <r>
          <rPr>
            <sz val="10"/>
            <color rgb="FF000000"/>
            <rFont val="Aptos Narrow"/>
            <scheme val="minor"/>
          </rPr>
          <t>======
ID#AAABjx7qTm0
    (2025-05-21 11:33:26)
0123 到貨</t>
        </r>
      </text>
    </comment>
    <comment ref="H1962" authorId="0" shapeId="0" xr:uid="{3203E0F6-036C-754E-A7FA-6D479CA885F5}">
      <text>
        <r>
          <rPr>
            <sz val="10"/>
            <color rgb="FF000000"/>
            <rFont val="Aptos Narrow"/>
            <scheme val="minor"/>
          </rPr>
          <t>======
ID#AAABjx7qPmQ
    (2025-05-21 11:33:24)
0302 chloe:收到銀行通知USD2107</t>
        </r>
      </text>
    </comment>
    <comment ref="M1962" authorId="0" shapeId="0" xr:uid="{3181C786-E624-E94A-B734-0C4E82EA9364}">
      <text>
        <r>
          <rPr>
            <sz val="10"/>
            <color rgb="FF000000"/>
            <rFont val="Aptos Narrow"/>
            <scheme val="minor"/>
          </rPr>
          <t>======
ID#AAABjx7qRRE
    (2025-05-21 11:33:25)
0123 到貨</t>
        </r>
      </text>
    </comment>
    <comment ref="H1963" authorId="0" shapeId="0" xr:uid="{9E8A2311-7B07-4D4B-9C80-7BBAFD9FF14A}">
      <text>
        <r>
          <rPr>
            <sz val="10"/>
            <color rgb="FF000000"/>
            <rFont val="Aptos Narrow"/>
            <scheme val="minor"/>
          </rPr>
          <t>======
ID#AAABjx7qTN8
    (2025-05-21 11:33:26)
0218 chloe:收到銀行通知USD4087</t>
        </r>
      </text>
    </comment>
    <comment ref="H1965" authorId="0" shapeId="0" xr:uid="{DF591916-2BAD-8042-A788-E18EB4ED68EE}">
      <text>
        <r>
          <rPr>
            <sz val="10"/>
            <color rgb="FF000000"/>
            <rFont val="Aptos Narrow"/>
            <scheme val="minor"/>
          </rPr>
          <t>======
ID#AAABjx7qVZU
    (2025-05-21 11:33:27)
0406 chloe:收到銀行通知USD16968</t>
        </r>
      </text>
    </comment>
    <comment ref="H1966" authorId="0" shapeId="0" xr:uid="{39D2BABF-FD82-2A4B-895D-64FABA346B40}">
      <text>
        <r>
          <rPr>
            <sz val="10"/>
            <color rgb="FF000000"/>
            <rFont val="Aptos Narrow"/>
            <scheme val="minor"/>
          </rPr>
          <t>======
ID#AAABjx7qWcE
    (2025-05-21 11:33:27)
0406 chloe:收到銀行通知USD16968</t>
        </r>
      </text>
    </comment>
    <comment ref="H1967" authorId="0" shapeId="0" xr:uid="{6EC4D1CC-3D88-DF4B-BC11-67254AF0330C}">
      <text>
        <r>
          <rPr>
            <sz val="10"/>
            <color rgb="FF000000"/>
            <rFont val="Aptos Narrow"/>
            <scheme val="minor"/>
          </rPr>
          <t>======
ID#AAABjx7qV5g
    (2025-05-21 11:33:27)
0330 chloe: 收到銀行通知USD3034</t>
        </r>
      </text>
    </comment>
    <comment ref="H1968" authorId="0" shapeId="0" xr:uid="{DC161B05-8725-8248-8B58-4CC427A4332A}">
      <text>
        <r>
          <rPr>
            <sz val="10"/>
            <color rgb="FF000000"/>
            <rFont val="Aptos Narrow"/>
            <scheme val="minor"/>
          </rPr>
          <t>======
ID#AAABjx7qU98
    (2025-05-21 11:33:27)
0316 chloe: 收到銀行通知USD745</t>
        </r>
      </text>
    </comment>
    <comment ref="H1969" authorId="0" shapeId="0" xr:uid="{2E0759F8-4E00-1C4F-820A-62ECF02301BD}">
      <text>
        <r>
          <rPr>
            <sz val="10"/>
            <color rgb="FF000000"/>
            <rFont val="Aptos Narrow"/>
            <scheme val="minor"/>
          </rPr>
          <t>======
ID#AAABjx7qRzM
    (2025-05-21 11:33:25)
0316 chloe: 收到銀行通知USD745</t>
        </r>
      </text>
    </comment>
    <comment ref="H1970" authorId="0" shapeId="0" xr:uid="{2DE3C0C6-B8B9-574E-990A-83103BB03C7F}">
      <text>
        <r>
          <rPr>
            <sz val="10"/>
            <color rgb="FF000000"/>
            <rFont val="Aptos Narrow"/>
            <scheme val="minor"/>
          </rPr>
          <t>======
ID#AAABjx7qOMM
    (2025-05-21 11:33:24)
0407 chloe:收到銀行通知USD510</t>
        </r>
      </text>
    </comment>
    <comment ref="M1970" authorId="0" shapeId="0" xr:uid="{4C14851B-87EA-6E4F-8335-CA0F66CCB137}">
      <text>
        <r>
          <rPr>
            <sz val="10"/>
            <color rgb="FF000000"/>
            <rFont val="Aptos Narrow"/>
            <scheme val="minor"/>
          </rPr>
          <t>======
ID#AAABjx7qTLQ
    (2025-05-21 11:33:26)
0203 下單待追
0208  告知確定交期，可能會再提前</t>
        </r>
      </text>
    </comment>
    <comment ref="H1971" authorId="0" shapeId="0" xr:uid="{34CAE53A-281A-F347-896E-90F38DFC5A41}">
      <text>
        <r>
          <rPr>
            <sz val="10"/>
            <color rgb="FF000000"/>
            <rFont val="Aptos Narrow"/>
            <scheme val="minor"/>
          </rPr>
          <t>======
ID#AAABjx7qSV0
    (2025-05-21 11:33:26)
20170322 chloe:收到銀行通知USD2237</t>
        </r>
      </text>
    </comment>
    <comment ref="H1972" authorId="0" shapeId="0" xr:uid="{0B842D6D-5AAB-4046-A5BE-A606784E40BE}">
      <text>
        <r>
          <rPr>
            <sz val="10"/>
            <color rgb="FF000000"/>
            <rFont val="Aptos Narrow"/>
            <scheme val="minor"/>
          </rPr>
          <t>======
ID#AAABjx7qRU4
    (2025-05-21 11:33:25)
20170322 chloe:收到銀行通知USD2237</t>
        </r>
      </text>
    </comment>
    <comment ref="Z1972" authorId="0" shapeId="0" xr:uid="{C8AC4F4D-1F5A-874B-BBFA-A30E78516560}">
      <text>
        <r>
          <rPr>
            <sz val="10"/>
            <color rgb="FF000000"/>
            <rFont val="Aptos Narrow"/>
            <scheme val="minor"/>
          </rPr>
          <t>======
ID#AAABjx7qVg4
    (2025-05-21 11:33:27)
DRAM 無呈現在發票裡，但金額有內含</t>
        </r>
      </text>
    </comment>
    <comment ref="H1973" authorId="0" shapeId="0" xr:uid="{ED4DDDA8-D163-E448-8B3E-35B3BAFA27B8}">
      <text>
        <r>
          <rPr>
            <sz val="10"/>
            <color rgb="FF000000"/>
            <rFont val="Aptos Narrow"/>
            <scheme val="minor"/>
          </rPr>
          <t>======
ID#AAABjx7qSlQ
    (2025-05-21 11:33:26)
20170322 chloe:收到銀行通知USD2237</t>
        </r>
      </text>
    </comment>
    <comment ref="H1974" authorId="0" shapeId="0" xr:uid="{2079BA2F-2364-4F47-B55F-5D06F121457E}">
      <text>
        <r>
          <rPr>
            <sz val="10"/>
            <color rgb="FF000000"/>
            <rFont val="Aptos Narrow"/>
            <scheme val="minor"/>
          </rPr>
          <t>======
ID#AAABjx7qR2k
    (2025-05-21 11:33:25)
0421 chloe:收到銀行通知USD3266</t>
        </r>
      </text>
    </comment>
    <comment ref="K1974" authorId="0" shapeId="0" xr:uid="{6C362798-269D-6A4E-93EB-E8B6CEDE3F0A}">
      <text>
        <r>
          <rPr>
            <sz val="10"/>
            <color rgb="FF000000"/>
            <rFont val="Aptos Narrow"/>
            <scheme val="minor"/>
          </rPr>
          <t>======
ID#AAABjx7qN-E
    (2025-05-21 11:33:23)
chloe:提前到3/13 出貨</t>
        </r>
      </text>
    </comment>
    <comment ref="M1974" authorId="0" shapeId="0" xr:uid="{310254CB-6E71-434C-8DBF-4C8EE0817AD3}">
      <text>
        <r>
          <rPr>
            <sz val="10"/>
            <color rgb="FF000000"/>
            <rFont val="Aptos Narrow"/>
            <scheme val="minor"/>
          </rPr>
          <t>======
ID#AAABjx7qSXc
    (2025-05-21 11:33:26)
●0208 chloe:等KEVIN發報價單，回簽當訂單→預交日先下 3/15
●回覆無庫存交期在3/28，待PULL IN
●提前到3/9 交貨</t>
        </r>
      </text>
    </comment>
    <comment ref="H1975" authorId="0" shapeId="0" xr:uid="{B1EDA8F2-CEB0-0F44-AFA9-E58837C7B395}">
      <text>
        <r>
          <rPr>
            <sz val="10"/>
            <color rgb="FF000000"/>
            <rFont val="Aptos Narrow"/>
            <scheme val="minor"/>
          </rPr>
          <t>======
ID#AAABjx7qNXQ
    (2025-05-21 11:33:23)
0216 chloe :收到銀行通知USD217</t>
        </r>
      </text>
    </comment>
    <comment ref="H1976" authorId="0" shapeId="0" xr:uid="{76698BD6-0D92-E148-8CB9-C446394D06DC}">
      <text>
        <r>
          <rPr>
            <sz val="10"/>
            <color rgb="FF000000"/>
            <rFont val="Aptos Narrow"/>
            <scheme val="minor"/>
          </rPr>
          <t>======
ID#AAABjx7qQgY
    (2025-05-21 11:33:25)
0216 chloe :收到銀行通知USD217</t>
        </r>
      </text>
    </comment>
    <comment ref="H1977" authorId="0" shapeId="0" xr:uid="{4FD52807-118A-374B-809C-74899C5C5BF0}">
      <text>
        <r>
          <rPr>
            <sz val="10"/>
            <color rgb="FF000000"/>
            <rFont val="Aptos Narrow"/>
            <scheme val="minor"/>
          </rPr>
          <t>======
ID#AAABjx7qVOU
    (2025-05-21 11:33:27)
0216 chloe :收到銀行通知USD217</t>
        </r>
      </text>
    </comment>
    <comment ref="H1978" authorId="0" shapeId="0" xr:uid="{9AC27148-10D8-1846-B0A8-3ACCCCD09CA2}">
      <text>
        <r>
          <rPr>
            <sz val="10"/>
            <color rgb="FF000000"/>
            <rFont val="Aptos Narrow"/>
            <scheme val="minor"/>
          </rPr>
          <t>======
ID#AAABjx7qViw
    (2025-05-21 11:33:27)
0216 chloe :收到銀行通知USD217</t>
        </r>
      </text>
    </comment>
    <comment ref="H1979" authorId="0" shapeId="0" xr:uid="{AAA8AB50-B201-C741-8C99-E4C6B71DCC16}">
      <text>
        <r>
          <rPr>
            <sz val="10"/>
            <color rgb="FF000000"/>
            <rFont val="Aptos Narrow"/>
            <scheme val="minor"/>
          </rPr>
          <t>======
ID#AAABjx7qSZM
    (2025-05-21 11:33:26)
0221 chloe:收到銀行通知USD5862</t>
        </r>
      </text>
    </comment>
    <comment ref="J1979" authorId="0" shapeId="0" xr:uid="{303E2BED-D3C5-2142-AC2F-59153D845AD6}">
      <text>
        <r>
          <rPr>
            <sz val="10"/>
            <color rgb="FF000000"/>
            <rFont val="Aptos Narrow"/>
            <scheme val="minor"/>
          </rPr>
          <t>======
ID#AAABjx7qOGg
1.    (2025-05-21 11:33:24)
2         4.6 KGS        34*28*29</t>
        </r>
      </text>
    </comment>
    <comment ref="H1980" authorId="0" shapeId="0" xr:uid="{6529497C-8B4F-5F4C-8EB1-F9647E80BDB7}">
      <text>
        <r>
          <rPr>
            <sz val="10"/>
            <color rgb="FF000000"/>
            <rFont val="Aptos Narrow"/>
            <scheme val="minor"/>
          </rPr>
          <t>======
ID#AAABjx7qU4k
    (2025-05-21 11:33:26)
0221 chloe:收到銀行通知USD5862</t>
        </r>
      </text>
    </comment>
    <comment ref="J1980" authorId="0" shapeId="0" xr:uid="{057974D5-5DC3-8F47-8993-9EAE86DA279A}">
      <text>
        <r>
          <rPr>
            <sz val="10"/>
            <color rgb="FF000000"/>
            <rFont val="Aptos Narrow"/>
            <scheme val="minor"/>
          </rPr>
          <t>======
ID#AAABjx7qMzk
1.    (2025-05-21 11:33:23)
2         4.6 KGS        34*28*29</t>
        </r>
      </text>
    </comment>
    <comment ref="H1981" authorId="0" shapeId="0" xr:uid="{11B04CB3-239B-8540-9066-2BBAD4F93F7A}">
      <text>
        <r>
          <rPr>
            <sz val="10"/>
            <color rgb="FF000000"/>
            <rFont val="Aptos Narrow"/>
            <scheme val="minor"/>
          </rPr>
          <t>======
ID#AAABjx7qTO8
    (2025-05-21 11:33:26)
0216 chloe :收到銀行通知USD217</t>
        </r>
      </text>
    </comment>
    <comment ref="H1982" authorId="0" shapeId="0" xr:uid="{191DBB6B-2171-4645-8933-B22F3992C0C3}">
      <text>
        <r>
          <rPr>
            <sz val="10"/>
            <color rgb="FF000000"/>
            <rFont val="Aptos Narrow"/>
            <scheme val="minor"/>
          </rPr>
          <t>======
ID#AAABjx7qRoA
    (2025-05-21 11:33:25)
0216 chloe :收到銀行通知USD217</t>
        </r>
      </text>
    </comment>
    <comment ref="M1982" authorId="0" shapeId="0" xr:uid="{57A2C360-E074-C845-9138-479D1EC4F180}">
      <text>
        <r>
          <rPr>
            <sz val="10"/>
            <color rgb="FF000000"/>
            <rFont val="Aptos Narrow"/>
            <scheme val="minor"/>
          </rPr>
          <t>======
ID#AAABjx7qV6Q
    (2025-05-21 11:33:27)
原預計2/17到貨，快遞延遲至2/18到貨</t>
        </r>
      </text>
    </comment>
    <comment ref="H1983" authorId="0" shapeId="0" xr:uid="{F269C721-45B0-664F-8829-3F786C37A95F}">
      <text>
        <r>
          <rPr>
            <sz val="10"/>
            <color rgb="FF000000"/>
            <rFont val="Aptos Narrow"/>
            <scheme val="minor"/>
          </rPr>
          <t>======
ID#AAABjx7qSKc
    (2025-05-21 11:33:26)
20170322 chloe:收到銀行通知USD2237</t>
        </r>
      </text>
    </comment>
    <comment ref="H1984" authorId="0" shapeId="0" xr:uid="{C9EB86EA-CCE2-024E-B9A8-40B8D96B15AD}">
      <text>
        <r>
          <rPr>
            <sz val="10"/>
            <color rgb="FF000000"/>
            <rFont val="Aptos Narrow"/>
            <scheme val="minor"/>
          </rPr>
          <t>======
ID#AAABjx7qTo8
    (2025-05-21 11:33:26)
0307 chloe: 1/19多匯USD6330，無告知是否退回
0317 chloe: 0317 收到銀行通知USD5020</t>
        </r>
      </text>
    </comment>
    <comment ref="M1984" authorId="0" shapeId="0" xr:uid="{B38E5F43-0F97-7D46-8E4A-C0689DBC3FA4}">
      <text>
        <r>
          <rPr>
            <sz val="10"/>
            <color rgb="FF000000"/>
            <rFont val="Aptos Narrow"/>
            <scheme val="minor"/>
          </rPr>
          <t>======
ID#AAABjx7qQ1w
    (2025-05-21 11:33:25)
0208 chloe:因機台2/23 才入庫，組裝先抓一週，會幫忙PULL IN</t>
        </r>
      </text>
    </comment>
    <comment ref="H1985" authorId="0" shapeId="0" xr:uid="{1E480BA6-8361-3C42-A37E-B2C3EDD2BC8C}">
      <text>
        <r>
          <rPr>
            <sz val="10"/>
            <color rgb="FF000000"/>
            <rFont val="Aptos Narrow"/>
            <scheme val="minor"/>
          </rPr>
          <t>======
ID#AAABjx7qVzM
    (2025-05-21 11:33:27)
0307 chloe: 1/19多匯USD6330，無告知是否退回
0317 chloe: 0317 收到銀行通知USD5020</t>
        </r>
      </text>
    </comment>
    <comment ref="M1985" authorId="0" shapeId="0" xr:uid="{101D658A-76E7-2E40-85D2-5EA6F9542C58}">
      <text>
        <r>
          <rPr>
            <sz val="10"/>
            <color rgb="FF000000"/>
            <rFont val="Aptos Narrow"/>
            <scheme val="minor"/>
          </rPr>
          <t>======
ID#AAABjx7qOgU
    (2025-05-21 11:33:24)
0208 chloe:因機台2/23 才入庫，組裝先抓一週，會幫忙PULL IN</t>
        </r>
      </text>
    </comment>
    <comment ref="P1985" authorId="0" shapeId="0" xr:uid="{52751551-1947-7E4B-B50F-CBAA1693E86E}">
      <text>
        <r>
          <rPr>
            <sz val="10"/>
            <color rgb="FF000000"/>
            <rFont val="Aptos Narrow"/>
            <scheme val="minor"/>
          </rPr>
          <t>======
ID#AAABjx7qVXw
    (2025-05-21 11:33:27)
內含AC/DC Power Adapter USD 231+EU power cord  USD 21</t>
        </r>
      </text>
    </comment>
    <comment ref="H1986" authorId="0" shapeId="0" xr:uid="{9FAE4803-99CE-0845-8B45-82F02973AFFF}">
      <text>
        <r>
          <rPr>
            <sz val="10"/>
            <color rgb="FF000000"/>
            <rFont val="Aptos Narrow"/>
            <scheme val="minor"/>
          </rPr>
          <t>======
ID#AAABjx7qSxw
    (2025-05-21 11:33:26)
0307 chloe: 1/19多匯USD6330，無告知是否退回
0317 chloe: 0317 收到銀行通知USD5020</t>
        </r>
      </text>
    </comment>
    <comment ref="H1987" authorId="0" shapeId="0" xr:uid="{3C42CFE9-04AC-9A42-83C9-958E2F4C11C3}">
      <text>
        <r>
          <rPr>
            <sz val="10"/>
            <color rgb="FF000000"/>
            <rFont val="Aptos Narrow"/>
            <scheme val="minor"/>
          </rPr>
          <t>======
ID#AAABjx7qNX8
    (2025-05-21 11:33:23)
0221 chloe: 收到銀行通知USD3882</t>
        </r>
      </text>
    </comment>
    <comment ref="M1987" authorId="0" shapeId="0" xr:uid="{F4508C96-28A2-A447-8D3E-6652BB3CD023}">
      <text>
        <r>
          <rPr>
            <sz val="10"/>
            <color rgb="FF000000"/>
            <rFont val="Aptos Narrow"/>
            <scheme val="minor"/>
          </rPr>
          <t>======
ID#AAABjx7qOwI
    (2025-05-21 11:33:24)
原交期2/23</t>
        </r>
      </text>
    </comment>
    <comment ref="H1988" authorId="0" shapeId="0" xr:uid="{957ABCA5-B599-A144-9465-5A2441CD4DE5}">
      <text>
        <r>
          <rPr>
            <sz val="10"/>
            <color rgb="FF000000"/>
            <rFont val="Aptos Narrow"/>
            <scheme val="minor"/>
          </rPr>
          <t>======
ID#AAABjx7qQFA
    (2025-05-21 11:33:25)
0221 chloe: 收到銀行通知USD3882</t>
        </r>
      </text>
    </comment>
    <comment ref="M1988" authorId="0" shapeId="0" xr:uid="{D10C14CE-99ED-5542-9EBF-A5C7FAED9C62}">
      <text>
        <r>
          <rPr>
            <sz val="10"/>
            <color rgb="FF000000"/>
            <rFont val="Aptos Narrow"/>
            <scheme val="minor"/>
          </rPr>
          <t>======
ID#AAABjx7qTRw
    (2025-05-21 11:33:26)
原交期2/23</t>
        </r>
      </text>
    </comment>
    <comment ref="H1989" authorId="0" shapeId="0" xr:uid="{75314FBF-2B7D-7541-A363-D71CEEA019BB}">
      <text>
        <r>
          <rPr>
            <sz val="10"/>
            <color rgb="FF000000"/>
            <rFont val="Aptos Narrow"/>
            <scheme val="minor"/>
          </rPr>
          <t>======
ID#AAABjx7qOVQ
    (2025-05-21 11:33:24)
0502 chloe:收到銀行通知USD10325</t>
        </r>
      </text>
    </comment>
    <comment ref="M1989" authorId="0" shapeId="0" xr:uid="{90114267-4E17-5D49-B028-A2896441CD40}">
      <text>
        <r>
          <rPr>
            <sz val="10"/>
            <color rgb="FF000000"/>
            <rFont val="Aptos Narrow"/>
            <scheme val="minor"/>
          </rPr>
          <t>======
ID#AAABjx7qTZc
    (2025-05-21 11:33:26)
0220 chloe: 告知主板庫存問題，交期3/10 待PULL IN</t>
        </r>
      </text>
    </comment>
    <comment ref="H1990" authorId="0" shapeId="0" xr:uid="{8A8F9E8D-5072-3F49-8D75-D701E73773B2}">
      <text>
        <r>
          <rPr>
            <sz val="10"/>
            <color rgb="FF000000"/>
            <rFont val="Aptos Narrow"/>
            <scheme val="minor"/>
          </rPr>
          <t>======
ID#AAABjx7qVMM
    (2025-05-21 11:33:27)
0502 chloe:收到銀行通知USD10325</t>
        </r>
      </text>
    </comment>
    <comment ref="M1990" authorId="0" shapeId="0" xr:uid="{B5F4F1B8-4AD5-E742-AA79-21BDBFE3C393}">
      <text>
        <r>
          <rPr>
            <sz val="10"/>
            <color rgb="FF000000"/>
            <rFont val="Aptos Narrow"/>
            <scheme val="minor"/>
          </rPr>
          <t>======
ID#AAABjx7qTCs
    (2025-05-21 11:33:26)
0220 chloe: 告知主板庫存問題，交期3/10 待PULL IN</t>
        </r>
      </text>
    </comment>
    <comment ref="H1991" authorId="0" shapeId="0" xr:uid="{36E9F28C-3040-AD49-AA41-C5EA7BC3BF6C}">
      <text>
        <r>
          <rPr>
            <sz val="10"/>
            <color rgb="FF000000"/>
            <rFont val="Aptos Narrow"/>
            <scheme val="minor"/>
          </rPr>
          <t>======
ID#AAABjx7qQu8
    (2025-05-21 11:33:25)
0502 chloe:收到銀行通知USD10325</t>
        </r>
      </text>
    </comment>
    <comment ref="M1991" authorId="0" shapeId="0" xr:uid="{D70C330E-1E00-EF40-A57B-4814917D0409}">
      <text>
        <r>
          <rPr>
            <sz val="10"/>
            <color rgb="FF000000"/>
            <rFont val="Aptos Narrow"/>
            <scheme val="minor"/>
          </rPr>
          <t>======
ID#AAABjx7qQpM
    (2025-05-21 11:33:25)
0220 chloe: 告知主板庫存問題，交期3/10 待PULL IN</t>
        </r>
      </text>
    </comment>
    <comment ref="E1992" authorId="0" shapeId="0" xr:uid="{9D4E6EE2-51F9-A149-8E48-8375922B7C9D}">
      <text>
        <r>
          <rPr>
            <sz val="10"/>
            <color rgb="FF000000"/>
            <rFont val="Aptos Narrow"/>
            <scheme val="minor"/>
          </rPr>
          <t>======
ID#AAABjx7qU4Y
    (2025-05-21 11:33:26)
3/16 Michelle:Demand3008 8" 這次樣品可以勉強接受2 Pin. 
但未來出貨一定要用3 pin 鳯凰接頭</t>
        </r>
      </text>
    </comment>
    <comment ref="H1992" authorId="0" shapeId="0" xr:uid="{87C31010-CE5C-834B-9F0E-B827EB681EF4}">
      <text>
        <r>
          <rPr>
            <sz val="10"/>
            <color rgb="FF000000"/>
            <rFont val="Aptos Narrow"/>
            <scheme val="minor"/>
          </rPr>
          <t>======
ID#AAABjx7qPIc
    (2025-05-21 11:33:24)
0502 chloe:收到銀行通知USD10325</t>
        </r>
      </text>
    </comment>
    <comment ref="H1993" authorId="0" shapeId="0" xr:uid="{1AA71431-E7A1-F94D-B30F-1F0D101C1071}">
      <text>
        <r>
          <rPr>
            <sz val="10"/>
            <color rgb="FF000000"/>
            <rFont val="Aptos Narrow"/>
            <scheme val="minor"/>
          </rPr>
          <t>======
ID#AAABjx7qWP0
    (2025-05-21 11:33:27)
0502 chloe:收到銀行通知USD10325</t>
        </r>
      </text>
    </comment>
    <comment ref="H1994" authorId="0" shapeId="0" xr:uid="{06D2DC9D-D2B1-1F43-8836-51499C3F2822}">
      <text>
        <r>
          <rPr>
            <sz val="10"/>
            <color rgb="FF000000"/>
            <rFont val="Aptos Narrow"/>
            <scheme val="minor"/>
          </rPr>
          <t>======
ID#AAABjx7qVCw
    (2025-05-21 11:33:27)
0502 chloe:收到銀行通知USD10325</t>
        </r>
      </text>
    </comment>
    <comment ref="N1994" authorId="0" shapeId="0" xr:uid="{E66CAA0C-CA70-4248-9A3D-2C4EC9E6B5C5}">
      <text>
        <r>
          <rPr>
            <sz val="10"/>
            <color rgb="FF000000"/>
            <rFont val="Aptos Narrow"/>
            <scheme val="minor"/>
          </rPr>
          <t>======
ID#AAABjx7qS-M
    (2025-05-21 11:33:26)
Santiago親送</t>
        </r>
      </text>
    </comment>
    <comment ref="H1995" authorId="0" shapeId="0" xr:uid="{5DBC4F24-09B6-DD4F-8CB0-EE07B701C17A}">
      <text>
        <r>
          <rPr>
            <sz val="10"/>
            <color rgb="FF000000"/>
            <rFont val="Aptos Narrow"/>
            <scheme val="minor"/>
          </rPr>
          <t>======
ID#AAABjx7qV7s
    (2025-05-21 11:33:27)
0216 chloe:收到銀行通知USD6235</t>
        </r>
      </text>
    </comment>
    <comment ref="K1995" authorId="0" shapeId="0" xr:uid="{DBD235DD-F477-9243-BBA1-1DF20A4BB00F}">
      <text>
        <r>
          <rPr>
            <sz val="10"/>
            <color rgb="FF000000"/>
            <rFont val="Aptos Narrow"/>
            <scheme val="minor"/>
          </rPr>
          <t>======
ID#AAABjx7qN48
    (2025-05-21 11:33:23)
重量:GW:4.190KG / NW:4.125KG
箱數:1箱
外箱尺寸: 520x290x245mm</t>
        </r>
      </text>
    </comment>
    <comment ref="AB1995" authorId="0" shapeId="0" xr:uid="{EB03E601-E62F-3244-B749-FB97920363A1}">
      <text>
        <r>
          <rPr>
            <sz val="10"/>
            <color rgb="FF000000"/>
            <rFont val="Aptos Narrow"/>
            <scheme val="minor"/>
          </rPr>
          <t>======
ID#AAABjx7qRC8
    (2025-05-21 11:33:25)
0221 已申請待回</t>
        </r>
      </text>
    </comment>
    <comment ref="H1999" authorId="0" shapeId="0" xr:uid="{4B9AEA55-A9DA-3749-BEF5-1FA4F58672A7}">
      <text>
        <r>
          <rPr>
            <sz val="10"/>
            <color rgb="FF000000"/>
            <rFont val="Aptos Narrow"/>
            <scheme val="minor"/>
          </rPr>
          <t>======
ID#AAABjx7qTEg
    (2025-05-21 11:33:26)
0406 chloe::合庫收到款項NT793831</t>
        </r>
      </text>
    </comment>
    <comment ref="M1999" authorId="0" shapeId="0" xr:uid="{CE4FCC14-44A9-1041-9165-7AB103BAC3C9}">
      <text>
        <r>
          <rPr>
            <sz val="10"/>
            <color rgb="FF000000"/>
            <rFont val="Aptos Narrow"/>
            <scheme val="minor"/>
          </rPr>
          <t>======
ID#AAABjx7qRMw
    (2025-05-21 11:33:25)
2/23 確認</t>
        </r>
      </text>
    </comment>
    <comment ref="H2000" authorId="0" shapeId="0" xr:uid="{FEBEA03D-9697-474D-9B73-F6DB9E7DDA9D}">
      <text>
        <r>
          <rPr>
            <sz val="10"/>
            <color rgb="FF000000"/>
            <rFont val="Aptos Narrow"/>
            <scheme val="minor"/>
          </rPr>
          <t>======
ID#AAABjx7qNFI
    (2025-05-21 11:33:23)
0309 chloe:收到芳慎支票NT186841  3/30 可兌
4/6 入帳</t>
        </r>
      </text>
    </comment>
    <comment ref="H2001" authorId="0" shapeId="0" xr:uid="{8193818F-475A-AD49-839E-97D1832F7185}">
      <text>
        <r>
          <rPr>
            <sz val="10"/>
            <color rgb="FF000000"/>
            <rFont val="Aptos Narrow"/>
            <scheme val="minor"/>
          </rPr>
          <t>======
ID#AAABjx7qVSY
    (2025-05-21 11:33:27)
0406 chloe::合庫收到款項NT793831</t>
        </r>
      </text>
    </comment>
    <comment ref="M2001" authorId="0" shapeId="0" xr:uid="{B91CB2C1-A5D4-3849-995C-7C616C8C468E}">
      <text>
        <r>
          <rPr>
            <sz val="10"/>
            <color rgb="FF000000"/>
            <rFont val="Aptos Narrow"/>
            <scheme val="minor"/>
          </rPr>
          <t>======
ID#AAABjx7qVbI
    (2025-05-21 11:33:27)
2/23 交期確認，反黑</t>
        </r>
      </text>
    </comment>
    <comment ref="E2002" authorId="0" shapeId="0" xr:uid="{7043A80B-C4A5-D743-B180-9FDBDACBC6B3}">
      <text>
        <r>
          <rPr>
            <sz val="10"/>
            <color rgb="FF000000"/>
            <rFont val="Aptos Narrow"/>
            <scheme val="minor"/>
          </rPr>
          <t>======
ID#AAABjx7qQQU
    (2025-05-21 11:33:25)
20170104 Santiago: 和之前訂單一樣, w/o adapter</t>
        </r>
      </text>
    </comment>
    <comment ref="H2002" authorId="0" shapeId="0" xr:uid="{1BF2926B-A3C0-7040-8111-62216EC1213C}">
      <text>
        <r>
          <rPr>
            <sz val="10"/>
            <color rgb="FF000000"/>
            <rFont val="Aptos Narrow"/>
            <scheme val="minor"/>
          </rPr>
          <t>======
ID#AAABjx7qOAA
    (2025-05-21 11:33:24)
0406 chloe::合庫收到款項NT793831</t>
        </r>
      </text>
    </comment>
    <comment ref="M2002" authorId="0" shapeId="0" xr:uid="{8D73B6E6-DBBC-F940-9D29-DD4CF51F5DB3}">
      <text>
        <r>
          <rPr>
            <sz val="10"/>
            <color rgb="FF000000"/>
            <rFont val="Aptos Narrow"/>
            <scheme val="minor"/>
          </rPr>
          <t>======
ID#AAABjx7qTrI
    (2025-05-21 11:33:26)
2/23 交期確認</t>
        </r>
      </text>
    </comment>
    <comment ref="H2003" authorId="0" shapeId="0" xr:uid="{AB2EA160-BB67-B54A-BB35-31B5DD7328E5}">
      <text>
        <r>
          <rPr>
            <sz val="10"/>
            <color rgb="FF000000"/>
            <rFont val="Aptos Narrow"/>
            <scheme val="minor"/>
          </rPr>
          <t>======
ID#AAABjx7qPec
    (2025-05-21 11:33:24)
0221 chloe:收到銀行通知USD71</t>
        </r>
      </text>
    </comment>
    <comment ref="K2003" authorId="0" shapeId="0" xr:uid="{EB4F02FD-40B3-E241-8FF2-AD6014C45C25}">
      <text>
        <r>
          <rPr>
            <sz val="10"/>
            <color rgb="FF000000"/>
            <rFont val="Aptos Narrow"/>
            <scheme val="minor"/>
          </rPr>
          <t>======
ID#AAABjx7qTCc
    (2025-05-21 11:33:26)
TIP 修改?</t>
        </r>
      </text>
    </comment>
    <comment ref="AB2003" authorId="0" shapeId="0" xr:uid="{8D6A9E64-A4B7-284A-8905-3AC8958742F0}">
      <text>
        <r>
          <rPr>
            <sz val="10"/>
            <color rgb="FF000000"/>
            <rFont val="Aptos Narrow"/>
            <scheme val="minor"/>
          </rPr>
          <t>======
ID#AAABjx7qMyg
    (2025-05-21 11:33:23)
給予SBIR使用</t>
        </r>
      </text>
    </comment>
    <comment ref="H2004" authorId="0" shapeId="0" xr:uid="{F48D5FB5-3404-274F-A449-756D3EEF5FC1}">
      <text>
        <r>
          <rPr>
            <sz val="10"/>
            <color rgb="FF000000"/>
            <rFont val="Aptos Narrow"/>
            <scheme val="minor"/>
          </rPr>
          <t>======
ID#AAABjx7qOzU
    (2025-05-21 11:33:24)
0221 chloe:收到銀行通知USD71</t>
        </r>
      </text>
    </comment>
    <comment ref="K2004" authorId="0" shapeId="0" xr:uid="{EBFAF291-F1E9-A642-84FE-2C8FFF4E366B}">
      <text>
        <r>
          <rPr>
            <sz val="10"/>
            <color rgb="FF000000"/>
            <rFont val="Aptos Narrow"/>
            <scheme val="minor"/>
          </rPr>
          <t>======
ID#AAABjx7qQSM
    (2025-05-21 11:33:25)
TIP 修改?</t>
        </r>
      </text>
    </comment>
    <comment ref="AB2004" authorId="0" shapeId="0" xr:uid="{23CCE717-EC25-DE47-879F-93102794D939}">
      <text>
        <r>
          <rPr>
            <sz val="10"/>
            <color rgb="FF000000"/>
            <rFont val="Aptos Narrow"/>
            <scheme val="minor"/>
          </rPr>
          <t>======
ID#AAABjx7qSTM
    (2025-05-21 11:33:26)
給予SBIR使用</t>
        </r>
      </text>
    </comment>
    <comment ref="H2005" authorId="0" shapeId="0" xr:uid="{D2B5E2A8-8DAB-3241-9066-186ABC4F8035}">
      <text>
        <r>
          <rPr>
            <sz val="10"/>
            <color rgb="FF000000"/>
            <rFont val="Aptos Narrow"/>
            <scheme val="minor"/>
          </rPr>
          <t>======
ID#AAABjx7qQ6o
    (2025-05-21 11:33:25)
0330 chloe: 收到銀行通知USD3034</t>
        </r>
      </text>
    </comment>
    <comment ref="M2005" authorId="0" shapeId="0" xr:uid="{FF8E32EF-4851-1A4C-8BDA-D172014DD42A}">
      <text>
        <r>
          <rPr>
            <sz val="10"/>
            <color rgb="FF000000"/>
            <rFont val="Aptos Narrow"/>
            <scheme val="minor"/>
          </rPr>
          <t>======
ID#AAABjx7qTAw
    (2025-05-21 11:33:26)
2/15 回覆3/20 交期→待2/22 PULL IN</t>
        </r>
      </text>
    </comment>
    <comment ref="H2006" authorId="0" shapeId="0" xr:uid="{CBC6908E-761D-434C-B9B1-58532291D33F}">
      <text>
        <r>
          <rPr>
            <sz val="10"/>
            <color rgb="FF000000"/>
            <rFont val="Aptos Narrow"/>
            <scheme val="minor"/>
          </rPr>
          <t>======
ID#AAABjx7qNq0
    (2025-05-21 11:33:23)
0330 chloe: 收到銀行通知USD3034</t>
        </r>
      </text>
    </comment>
    <comment ref="H2007" authorId="0" shapeId="0" xr:uid="{D0A8168E-E58E-9845-B052-181EF767911B}">
      <text>
        <r>
          <rPr>
            <sz val="10"/>
            <color rgb="FF000000"/>
            <rFont val="Aptos Narrow"/>
            <scheme val="minor"/>
          </rPr>
          <t>======
ID#AAABjx7qOMo
    (2025-05-21 11:33:24)
0330 chloe: 收到銀行通知USD3034</t>
        </r>
      </text>
    </comment>
    <comment ref="H2008" authorId="0" shapeId="0" xr:uid="{21112220-084A-4346-84C4-DE1F539BF806}">
      <text>
        <r>
          <rPr>
            <sz val="10"/>
            <color rgb="FF000000"/>
            <rFont val="Aptos Narrow"/>
            <scheme val="minor"/>
          </rPr>
          <t>======
ID#AAABjx7qReY
    (2025-05-21 11:33:25)
0221 chloe:收到銀行通知USD71</t>
        </r>
      </text>
    </comment>
    <comment ref="H2009" authorId="0" shapeId="0" xr:uid="{E51FFFDC-E218-1E4C-B56B-5B419BB76604}">
      <text>
        <r>
          <rPr>
            <sz val="10"/>
            <color rgb="FF000000"/>
            <rFont val="Aptos Narrow"/>
            <scheme val="minor"/>
          </rPr>
          <t>======
ID#AAABjx7qPGc
    (2025-05-21 11:33:24)
0221 chloe: 收到銀行通知USD3882</t>
        </r>
      </text>
    </comment>
    <comment ref="H2010" authorId="0" shapeId="0" xr:uid="{61A5504C-BC31-B04A-AECE-C4C5B7E629B4}">
      <text>
        <r>
          <rPr>
            <sz val="10"/>
            <color rgb="FF000000"/>
            <rFont val="Aptos Narrow"/>
            <scheme val="minor"/>
          </rPr>
          <t>======
ID#AAABjx7qTc4
    (2025-05-21 11:33:26)
0309 chloe:收到芳慎支票NT186841  3/30 可兌
4/6 入帳</t>
        </r>
      </text>
    </comment>
    <comment ref="M2010" authorId="0" shapeId="0" xr:uid="{2B99A822-6BC3-A341-A59F-CCA6DF005C81}">
      <text>
        <r>
          <rPr>
            <sz val="10"/>
            <color rgb="FF000000"/>
            <rFont val="Aptos Narrow"/>
            <scheme val="minor"/>
          </rPr>
          <t>======
ID#AAABjx7qU8E
    (2025-05-21 11:33:27)
2/23 交期確認</t>
        </r>
      </text>
    </comment>
    <comment ref="H2011" authorId="0" shapeId="0" xr:uid="{E93A1007-14A8-1244-B7E3-35EE15506FA1}">
      <text>
        <r>
          <rPr>
            <sz val="10"/>
            <color rgb="FF000000"/>
            <rFont val="Aptos Narrow"/>
            <scheme val="minor"/>
          </rPr>
          <t>======
ID#AAABjx7qNs0
    (2025-05-21 11:33:23)
0718 chloe:收到銀行通知USD 24423</t>
        </r>
      </text>
    </comment>
    <comment ref="P2011" authorId="0" shapeId="0" xr:uid="{CEF6A2A9-BC2A-B443-9760-36BB10A4F900}">
      <text>
        <r>
          <rPr>
            <sz val="10"/>
            <color rgb="FF000000"/>
            <rFont val="Aptos Narrow"/>
            <scheme val="minor"/>
          </rPr>
          <t>======
ID#AAABjx7qSIY
    (2025-05-21 11:33:26)
170225 改US$6447元
170223 扣抵金額(含稅)US$504,應支付貨款(含稅)為US$6447元</t>
        </r>
      </text>
    </comment>
    <comment ref="H2012" authorId="0" shapeId="0" xr:uid="{45F55C5F-307D-2E4B-BFEF-8D1791D03612}">
      <text>
        <r>
          <rPr>
            <sz val="10"/>
            <color rgb="FF000000"/>
            <rFont val="Aptos Narrow"/>
            <scheme val="minor"/>
          </rPr>
          <t>======
ID#AAABjx7qThA
    (2025-05-21 11:33:26)
0614 chloe:收到銀行通知USD24424</t>
        </r>
      </text>
    </comment>
    <comment ref="P2012" authorId="0" shapeId="0" xr:uid="{1AEE0090-0B84-CA49-9853-7EA249C6C46F}">
      <text>
        <r>
          <rPr>
            <sz val="10"/>
            <color rgb="FF000000"/>
            <rFont val="Aptos Narrow"/>
            <scheme val="minor"/>
          </rPr>
          <t>======
ID#AAABjx7qTdM
    (2025-05-21 11:33:26)
170225 改US$6447元
170223 扣抵金額(含稅)US$504,應支付貨款(含稅)為US$6447元</t>
        </r>
      </text>
    </comment>
    <comment ref="D2013" authorId="0" shapeId="0" xr:uid="{8DA72C88-55EA-244C-85C1-B6A6516CD326}">
      <text>
        <r>
          <rPr>
            <sz val="10"/>
            <color rgb="FF000000"/>
            <rFont val="Aptos Narrow"/>
            <scheme val="minor"/>
          </rPr>
          <t>======
ID#AAABjx7qPKY
    (2025-05-21 11:33:24)
佣金3% USD 1257
20161227A&amp;20170220A&amp;20170224C</t>
        </r>
      </text>
    </comment>
    <comment ref="H2013" authorId="0" shapeId="0" xr:uid="{8DF0A5E0-633C-9B42-A656-C94D7C6D7618}">
      <text>
        <r>
          <rPr>
            <sz val="10"/>
            <color rgb="FF000000"/>
            <rFont val="Aptos Narrow"/>
            <scheme val="minor"/>
          </rPr>
          <t>======
ID#AAABjx7qVDU
    (2025-05-21 11:33:27)
0502 chloe:收到銀行通知USD24423</t>
        </r>
      </text>
    </comment>
    <comment ref="P2013" authorId="0" shapeId="0" xr:uid="{3E1319C3-EB8F-6C43-8463-FCCD0063D41A}">
      <text>
        <r>
          <rPr>
            <sz val="10"/>
            <color rgb="FF000000"/>
            <rFont val="Aptos Narrow"/>
            <scheme val="minor"/>
          </rPr>
          <t>======
ID#AAABjx7qRwg
    (2025-05-21 11:33:25)
170225 改US$6447元
170223 扣抵金額(含稅)US$504,應支付貨款(含稅)為US$6447元</t>
        </r>
      </text>
    </comment>
    <comment ref="H2014" authorId="0" shapeId="0" xr:uid="{234CE0E3-043E-834F-9C7B-0AA431F79B21}">
      <text>
        <r>
          <rPr>
            <sz val="10"/>
            <color rgb="FF000000"/>
            <rFont val="Aptos Narrow"/>
            <scheme val="minor"/>
          </rPr>
          <t>======
ID#AAABjx7qObo
    (2025-05-21 11:33:24)
0309 chloe:已收到銀行通知USD2272</t>
        </r>
      </text>
    </comment>
    <comment ref="M2014" authorId="0" shapeId="0" xr:uid="{0B05F6AB-9AA5-2149-8F87-B0C9453A71BC}">
      <text>
        <r>
          <rPr>
            <sz val="10"/>
            <color rgb="FF000000"/>
            <rFont val="Aptos Narrow"/>
            <scheme val="minor"/>
          </rPr>
          <t>======
ID#AAABjx7qV0g
    (2025-05-21 11:33:27)
0221 下單，待告知正確交期</t>
        </r>
      </text>
    </comment>
    <comment ref="H2015" authorId="0" shapeId="0" xr:uid="{75B5C3E9-E776-2C49-A4FE-A2028B6F513A}">
      <text>
        <r>
          <rPr>
            <sz val="10"/>
            <color rgb="FF000000"/>
            <rFont val="Aptos Narrow"/>
            <scheme val="minor"/>
          </rPr>
          <t>======
ID#AAABjx7qRhA
    (2025-05-21 11:33:25)
0309 chloe:已收到銀行通知USD2272</t>
        </r>
      </text>
    </comment>
    <comment ref="H2016" authorId="0" shapeId="0" xr:uid="{95924C26-D2DD-4D4B-934F-D4E2311EE678}">
      <text>
        <r>
          <rPr>
            <sz val="10"/>
            <color rgb="FF000000"/>
            <rFont val="Aptos Narrow"/>
            <scheme val="minor"/>
          </rPr>
          <t>======
ID#AAABjx7qSVs
    (2025-05-21 11:33:26)
0303 chloe :收到銀行通知USD4041</t>
        </r>
      </text>
    </comment>
    <comment ref="K2016" authorId="0" shapeId="0" xr:uid="{A5F66C21-4DA3-E048-8F2E-D42746ADACBA}">
      <text>
        <r>
          <rPr>
            <sz val="10"/>
            <color rgb="FF000000"/>
            <rFont val="Aptos Narrow"/>
            <scheme val="minor"/>
          </rPr>
          <t>======
ID#AAABjx7qQcw
    (2025-05-21 11:33:25)
材積 43*37*34 15KG 共三箱 每箱15PCS</t>
        </r>
      </text>
    </comment>
    <comment ref="M2016" authorId="0" shapeId="0" xr:uid="{E93E8D50-B628-9B4E-A005-844CF56FE4A3}">
      <text>
        <r>
          <rPr>
            <sz val="10"/>
            <color rgb="FF000000"/>
            <rFont val="Aptos Narrow"/>
            <scheme val="minor"/>
          </rPr>
          <t>======
ID#AAABjx7qOu4
    (2025-05-21 11:33:24)
chloe:GARY追查貨物目前動向，無法提前得知材積重量
要等貨物到貨</t>
        </r>
      </text>
    </comment>
    <comment ref="H2017" authorId="0" shapeId="0" xr:uid="{1FE5F75D-789B-9E47-80A1-1F7B25D6AE81}">
      <text>
        <r>
          <rPr>
            <sz val="10"/>
            <color rgb="FF000000"/>
            <rFont val="Aptos Narrow"/>
            <scheme val="minor"/>
          </rPr>
          <t>======
ID#AAABjx7qP1s
    (2025-05-21 11:33:24)
0614 收到支票 NT192925元，待6/30 兌現
0706 入帳</t>
        </r>
      </text>
    </comment>
    <comment ref="H2018" authorId="0" shapeId="0" xr:uid="{069B05AB-5909-B445-87BE-AD9EDB19D197}">
      <text>
        <r>
          <rPr>
            <sz val="10"/>
            <color rgb="FF000000"/>
            <rFont val="Aptos Narrow"/>
            <scheme val="minor"/>
          </rPr>
          <t>======
ID#AAABjx7qQ2k
    (2025-05-21 11:33:25)
0614 收到支票 NT192925元，待6/30 兌現
0706 入帳</t>
        </r>
      </text>
    </comment>
    <comment ref="H2019" authorId="0" shapeId="0" xr:uid="{607111A6-EFE4-A344-9AA1-2ABC3A60836E}">
      <text>
        <r>
          <rPr>
            <sz val="10"/>
            <color rgb="FF000000"/>
            <rFont val="Aptos Narrow"/>
            <scheme val="minor"/>
          </rPr>
          <t>======
ID#AAABjx7qTOo
    (2025-05-21 11:33:26)
0525 收到支票 NT117686元，待5/31 兌現
0605 chloe: 入帳</t>
        </r>
      </text>
    </comment>
    <comment ref="Q2019" authorId="0" shapeId="0" xr:uid="{E238BA8F-508E-8F46-A109-C0167CF62587}">
      <text>
        <r>
          <rPr>
            <sz val="10"/>
            <color rgb="FF000000"/>
            <rFont val="Aptos Narrow"/>
            <scheme val="minor"/>
          </rPr>
          <t>======
ID#AAABjx7qOSU
    (2025-05-21 11:33:24)
0307 chloe:價格調漲 5100 /PCS</t>
        </r>
      </text>
    </comment>
    <comment ref="H2020" authorId="0" shapeId="0" xr:uid="{976E1695-906B-1646-983F-08807035CD2F}">
      <text>
        <r>
          <rPr>
            <sz val="10"/>
            <color rgb="FF000000"/>
            <rFont val="Aptos Narrow"/>
            <scheme val="minor"/>
          </rPr>
          <t>======
ID#AAABjx7qN3I
    (2025-05-21 11:33:23)
0421 收到支票 NT154438元，待4/30 兌現
0508 入帳</t>
        </r>
      </text>
    </comment>
    <comment ref="D2021" authorId="0" shapeId="0" xr:uid="{E66FE4C6-0187-5D4D-B234-6E3F09564DB5}">
      <text>
        <r>
          <rPr>
            <sz val="10"/>
            <color rgb="FF000000"/>
            <rFont val="Aptos Narrow"/>
            <scheme val="minor"/>
          </rPr>
          <t>======
ID#AAABjx7qRvc
    (2025-05-21 11:33:25)
佣金3% USD 1257
20161227A&amp;20170220A&amp;20170224C</t>
        </r>
      </text>
    </comment>
    <comment ref="H2021" authorId="0" shapeId="0" xr:uid="{02E156D3-7977-314C-8718-2264D3086FD6}">
      <text>
        <r>
          <rPr>
            <sz val="10"/>
            <color rgb="FF000000"/>
            <rFont val="Aptos Narrow"/>
            <scheme val="minor"/>
          </rPr>
          <t>======
ID#AAABjx7qV5M
    (2025-05-21 11:33:27)
0502 chloe:收到銀行通知USD24423</t>
        </r>
      </text>
    </comment>
    <comment ref="H2022" authorId="0" shapeId="0" xr:uid="{F2C43B6A-9E08-8E42-95FB-5B16798734F1}">
      <text>
        <r>
          <rPr>
            <sz val="10"/>
            <color rgb="FF000000"/>
            <rFont val="Aptos Narrow"/>
            <scheme val="minor"/>
          </rPr>
          <t>======
ID#AAABjx7qWDg
    (2025-05-21 11:33:27)
0421 收到支票 NT154438元，待4/30 兌現
0508 入帳</t>
        </r>
      </text>
    </comment>
    <comment ref="E2023" authorId="0" shapeId="0" xr:uid="{E7C65B6D-B3A8-874C-A94F-8FC5AFEF99C6}">
      <text>
        <r>
          <rPr>
            <sz val="10"/>
            <color rgb="FF000000"/>
            <rFont val="Aptos Narrow"/>
            <scheme val="minor"/>
          </rPr>
          <t>======
ID#AAABjx7qRuA
    (2025-05-21 11:33:25)
0926 chloe: (42C-00039)</t>
        </r>
      </text>
    </comment>
    <comment ref="H2023" authorId="0" shapeId="0" xr:uid="{11203A15-824D-C04C-B5FF-65C1522163D0}">
      <text>
        <r>
          <rPr>
            <sz val="10"/>
            <color rgb="FF000000"/>
            <rFont val="Aptos Narrow"/>
            <scheme val="minor"/>
          </rPr>
          <t>======
ID#AAABjx7qNmo
    (2025-05-21 11:33:23)
0502 chloe:收到銀行通知USD10325</t>
        </r>
      </text>
    </comment>
    <comment ref="H2024" authorId="0" shapeId="0" xr:uid="{46F89631-3B85-E748-8D64-1E0AC10C9901}">
      <text>
        <r>
          <rPr>
            <sz val="10"/>
            <color rgb="FF000000"/>
            <rFont val="Aptos Narrow"/>
            <scheme val="minor"/>
          </rPr>
          <t>======
ID#AAABjx7qO4Y
    (2025-05-21 11:33:24)
0525 chloe:收到銀行通知USD130</t>
        </r>
      </text>
    </comment>
    <comment ref="M2024" authorId="0" shapeId="0" xr:uid="{EB94BBCF-D997-354C-A6D5-25D7F709FCF7}">
      <text>
        <r>
          <rPr>
            <sz val="10"/>
            <color rgb="FF000000"/>
            <rFont val="Aptos Narrow"/>
            <scheme val="minor"/>
          </rPr>
          <t>======
ID#AAABjx7qOyI
    (2025-05-21 11:33:24)
0306 chloe: 無庫存，約12週。有機會4月中給我們→待 PULL IN</t>
        </r>
      </text>
    </comment>
    <comment ref="H2025" authorId="0" shapeId="0" xr:uid="{FC1FE003-4A55-FF41-A91C-C9F84AACE1FD}">
      <text>
        <r>
          <rPr>
            <sz val="10"/>
            <color rgb="FF000000"/>
            <rFont val="Aptos Narrow"/>
            <scheme val="minor"/>
          </rPr>
          <t>======
ID#AAABjx7qScA
    (2025-05-21 11:33:26)
0407 chloe:收到銀行通知USD510</t>
        </r>
      </text>
    </comment>
    <comment ref="H2026" authorId="0" shapeId="0" xr:uid="{2C9E76EC-5123-C84A-B2BF-BBE1BF769C52}">
      <text>
        <r>
          <rPr>
            <sz val="10"/>
            <color rgb="FF000000"/>
            <rFont val="Aptos Narrow"/>
            <scheme val="minor"/>
          </rPr>
          <t>======
ID#AAABjx7qOys
    (2025-05-21 11:33:24)
0314 chloe::收到銀行通知USD7600</t>
        </r>
      </text>
    </comment>
    <comment ref="H2027" authorId="0" shapeId="0" xr:uid="{60E1A04E-CE17-2E4A-B2F8-3BA0E591F4A0}">
      <text>
        <r>
          <rPr>
            <sz val="10"/>
            <color rgb="FF000000"/>
            <rFont val="Aptos Narrow"/>
            <scheme val="minor"/>
          </rPr>
          <t>======
ID#AAABjx7qR3E
    (2025-05-21 11:33:25)
0316 chloe:收到銀行通知USD1654</t>
        </r>
      </text>
    </comment>
    <comment ref="J2027" authorId="0" shapeId="0" xr:uid="{4FA2AFEF-94D5-A044-BAF7-4EF9B001D012}">
      <text>
        <r>
          <rPr>
            <sz val="10"/>
            <color rgb="FF000000"/>
            <rFont val="Aptos Narrow"/>
            <scheme val="minor"/>
          </rPr>
          <t>======
ID#AAABjx7qU40
    (2025-05-21 11:33:26)
40*29*27.5  5KG 
0316 chloe:已告知業務</t>
        </r>
      </text>
    </comment>
    <comment ref="H2028" authorId="0" shapeId="0" xr:uid="{D2B519A5-AF5D-094A-BD8B-940963B5ACD2}">
      <text>
        <r>
          <rPr>
            <sz val="10"/>
            <color rgb="FF000000"/>
            <rFont val="Aptos Narrow"/>
            <scheme val="minor"/>
          </rPr>
          <t>======
ID#AAABjx7qQcM
    (2025-05-21 11:33:25)
0316 chloe:收到銀行通知USD1654</t>
        </r>
      </text>
    </comment>
    <comment ref="J2028" authorId="0" shapeId="0" xr:uid="{9B08F0C9-0070-004B-9664-A72E9545ED36}">
      <text>
        <r>
          <rPr>
            <sz val="10"/>
            <color rgb="FF000000"/>
            <rFont val="Aptos Narrow"/>
            <scheme val="minor"/>
          </rPr>
          <t>======
ID#AAABjx7qM8U
    (2025-05-21 11:33:23)
40*29*27.5  5KG 
0316 chloe:已告知業務</t>
        </r>
      </text>
    </comment>
    <comment ref="H2029" authorId="0" shapeId="0" xr:uid="{D3BF25C5-95BD-4C42-8800-0D9C93692729}">
      <text>
        <r>
          <rPr>
            <sz val="10"/>
            <color rgb="FF000000"/>
            <rFont val="Aptos Narrow"/>
            <scheme val="minor"/>
          </rPr>
          <t>======
ID#AAABjx7qQxM
    (2025-05-21 11:33:25)
0316 chloe:收到銀行通知USD1654</t>
        </r>
      </text>
    </comment>
    <comment ref="J2029" authorId="0" shapeId="0" xr:uid="{44CA5E17-365E-974F-870E-9E2D099DE752}">
      <text>
        <r>
          <rPr>
            <sz val="10"/>
            <color rgb="FF000000"/>
            <rFont val="Aptos Narrow"/>
            <scheme val="minor"/>
          </rPr>
          <t>======
ID#AAABjx7qQ7U
    (2025-05-21 11:33:25)
40*29*27.5  5KG 
0316 chloe:已告知業務</t>
        </r>
      </text>
    </comment>
    <comment ref="M2029" authorId="0" shapeId="0" xr:uid="{973F48D3-60F1-634E-88D1-0F57C103124F}">
      <text>
        <r>
          <rPr>
            <sz val="10"/>
            <color rgb="FF000000"/>
            <rFont val="Aptos Narrow"/>
            <scheme val="minor"/>
          </rPr>
          <t>======
ID#AAABjx7qSyM
    (2025-05-21 11:33:26)
0308 chloe: 若要再提前可以告知</t>
        </r>
      </text>
    </comment>
    <comment ref="H2030" authorId="0" shapeId="0" xr:uid="{AABF6BC8-5115-B541-892B-045C39D4D154}">
      <text>
        <r>
          <rPr>
            <sz val="10"/>
            <color rgb="FF000000"/>
            <rFont val="Aptos Narrow"/>
            <scheme val="minor"/>
          </rPr>
          <t>======
ID#AAABjx7qR2g
    (2025-05-21 11:33:25)
0724 收到支票 NT101069元，待7/30兌現
0802 入帳</t>
        </r>
      </text>
    </comment>
    <comment ref="H2031" authorId="0" shapeId="0" xr:uid="{37112B60-6323-F74C-9463-BFCB67636CA2}">
      <text>
        <r>
          <rPr>
            <sz val="10"/>
            <color rgb="FF000000"/>
            <rFont val="Aptos Narrow"/>
            <scheme val="minor"/>
          </rPr>
          <t>======
ID#AAABjx7qS6Q
    (2025-05-21 11:33:26)
0724 收到支票 NT101069元，待7/30兌現
0802 入帳</t>
        </r>
      </text>
    </comment>
    <comment ref="H2032" authorId="0" shapeId="0" xr:uid="{1F6E5EDD-B319-8A45-B597-9577499D3EC2}">
      <text>
        <r>
          <rPr>
            <sz val="10"/>
            <color rgb="FF000000"/>
            <rFont val="Aptos Narrow"/>
            <scheme val="minor"/>
          </rPr>
          <t>======
ID#AAABjx7qN4Q
    (2025-05-21 11:33:23)
0320 chloe: BOSS告知客戶可於5月初付款
0508 chloe:合庫收到款項NT1316754</t>
        </r>
      </text>
    </comment>
    <comment ref="E2033" authorId="0" shapeId="0" xr:uid="{C8858AC0-699F-0240-BDF7-2C251DC81ECE}">
      <text>
        <r>
          <rPr>
            <sz val="10"/>
            <color rgb="FF000000"/>
            <rFont val="Aptos Narrow"/>
            <scheme val="minor"/>
          </rPr>
          <t>======
ID#AAABjx7qTQM
    (2025-05-21 11:33:26)
20170104 Santiago: 和之前訂單一樣, w/o adapter</t>
        </r>
      </text>
    </comment>
    <comment ref="H2033" authorId="0" shapeId="0" xr:uid="{C9FF7D99-E423-F644-A35F-E7296B6FEA2F}">
      <text>
        <r>
          <rPr>
            <sz val="10"/>
            <color rgb="FF000000"/>
            <rFont val="Aptos Narrow"/>
            <scheme val="minor"/>
          </rPr>
          <t>======
ID#AAABjx7qSKI
    (2025-05-21 11:33:26)
0320 chloe: BOSS告知客戶可於5月初付款
0508 chloe:合庫收到款項NT1316754</t>
        </r>
      </text>
    </comment>
    <comment ref="H2034" authorId="0" shapeId="0" xr:uid="{67585DEE-8FB4-FD47-BCEB-840BC94E30F9}">
      <text>
        <r>
          <rPr>
            <sz val="10"/>
            <color rgb="FF000000"/>
            <rFont val="Aptos Narrow"/>
            <scheme val="minor"/>
          </rPr>
          <t>======
ID#AAABjx7qU9U
    (2025-05-21 11:33:27)
0327 chloe:收到銀行通知USD972</t>
        </r>
      </text>
    </comment>
    <comment ref="K2034" authorId="0" shapeId="0" xr:uid="{6148EA40-FBB8-754C-B234-3347CA67BA07}">
      <text>
        <r>
          <rPr>
            <sz val="10"/>
            <color rgb="FF000000"/>
            <rFont val="Aptos Narrow"/>
            <scheme val="minor"/>
          </rPr>
          <t>======
ID#AAABjx7qPDE
    (2025-05-21 11:33:24)
待款項匯入後才能出貨
客戶3/23 已匯款，待留意</t>
        </r>
      </text>
    </comment>
    <comment ref="O2034" authorId="0" shapeId="0" xr:uid="{CFC49401-0E27-5043-859A-F43533C4508D}">
      <text>
        <r>
          <rPr>
            <sz val="10"/>
            <color rgb="FF000000"/>
            <rFont val="Aptos Narrow"/>
            <scheme val="minor"/>
          </rPr>
          <t>======
ID#AAABjx7qP-c
    (2025-05-21 11:33:25)
170323 Karen: 給MOXA的訂單號打成20170308A</t>
        </r>
      </text>
    </comment>
    <comment ref="H2035" authorId="0" shapeId="0" xr:uid="{7CACFF9D-BA95-5B4F-84F2-FBFDD3CD182B}">
      <text>
        <r>
          <rPr>
            <sz val="10"/>
            <color rgb="FF000000"/>
            <rFont val="Aptos Narrow"/>
            <scheme val="minor"/>
          </rPr>
          <t>======
ID#AAABjx7qRqM
    (2025-05-21 11:33:25)
0425 chloe:收到銀行通知USD1022</t>
        </r>
      </text>
    </comment>
    <comment ref="K2035" authorId="0" shapeId="0" xr:uid="{66AB3B19-074B-D949-AB7E-7B84FE3C08B5}">
      <text>
        <r>
          <rPr>
            <sz val="10"/>
            <color rgb="FF000000"/>
            <rFont val="Aptos Narrow"/>
            <scheme val="minor"/>
          </rPr>
          <t>======
ID#AAABjx7qWJM
    (2025-05-21 11:33:27)
20170308 Tammy: 和20161227B AIMB-280QG2-00A1E 2PCS一起出貨，故安排週五出</t>
        </r>
      </text>
    </comment>
    <comment ref="M2036" authorId="0" shapeId="0" xr:uid="{52B4D473-E16C-714D-8D92-9FB59A770030}">
      <text>
        <r>
          <rPr>
            <sz val="10"/>
            <color rgb="FF000000"/>
            <rFont val="Aptos Narrow"/>
            <scheme val="minor"/>
          </rPr>
          <t>======
ID#AAABjx7qWCk
    (2025-05-21 11:33:27)
0313 chloe:3/13取消訂單</t>
        </r>
      </text>
    </comment>
    <comment ref="M2037" authorId="0" shapeId="0" xr:uid="{44849411-1633-A645-A04C-3164780FE14F}">
      <text>
        <r>
          <rPr>
            <sz val="10"/>
            <color rgb="FF000000"/>
            <rFont val="Aptos Narrow"/>
            <scheme val="minor"/>
          </rPr>
          <t>======
ID#AAABjx7qRDQ
    (2025-05-21 11:33:25)
0313 chloe:3/13取消訂單</t>
        </r>
      </text>
    </comment>
    <comment ref="E2038" authorId="0" shapeId="0" xr:uid="{26372FCC-3534-994F-BE4D-68930F12D179}">
      <text>
        <r>
          <rPr>
            <sz val="10"/>
            <color rgb="FF000000"/>
            <rFont val="Aptos Narrow"/>
            <scheme val="minor"/>
          </rPr>
          <t>======
ID#AAABjx7qVyc
0321 chloe    (2025-05-21 11:33:27)
BSMI料號:FPM2150GR3B1601E-T</t>
        </r>
      </text>
    </comment>
    <comment ref="H2038" authorId="0" shapeId="0" xr:uid="{D18D8C79-92FB-E449-8091-43F1A84FEC5D}">
      <text>
        <r>
          <rPr>
            <sz val="10"/>
            <color rgb="FF000000"/>
            <rFont val="Aptos Narrow"/>
            <scheme val="minor"/>
          </rPr>
          <t>======
ID#AAABjx7qS7U
    (2025-05-21 11:33:26)
0525 chloe:收到銀行通知USD818</t>
        </r>
      </text>
    </comment>
    <comment ref="M2038" authorId="0" shapeId="0" xr:uid="{A04EF52B-BD8D-C84B-8D3C-E3C0BD33611B}">
      <text>
        <r>
          <rPr>
            <sz val="10"/>
            <color rgb="FF000000"/>
            <rFont val="Aptos Narrow"/>
            <scheme val="minor"/>
          </rPr>
          <t>======
ID#AAABjx7qOtY
    (2025-05-21 11:33:24)
0321 尚未回覆是否可以3/31 交貨
→回覆趕看看，若來不及出關則要到四月初</t>
        </r>
      </text>
    </comment>
    <comment ref="H2039" authorId="0" shapeId="0" xr:uid="{A52C0D9D-4FAA-5346-B682-DF95729C7BC7}">
      <text>
        <r>
          <rPr>
            <sz val="10"/>
            <color rgb="FF000000"/>
            <rFont val="Aptos Narrow"/>
            <scheme val="minor"/>
          </rPr>
          <t>======
ID#AAABjx7qSjE
    (2025-05-21 11:33:26)
0525 chloe:收到銀行通知USD818</t>
        </r>
      </text>
    </comment>
    <comment ref="H2040" authorId="0" shapeId="0" xr:uid="{50717F90-CD14-9342-81FC-0D6C8F4225D3}">
      <text>
        <r>
          <rPr>
            <sz val="10"/>
            <color rgb="FF000000"/>
            <rFont val="Aptos Narrow"/>
            <scheme val="minor"/>
          </rPr>
          <t>======
ID#AAABjx7qPGU
    (2025-05-21 11:33:24)
0502 chloe:收到銀行通知USD10325</t>
        </r>
      </text>
    </comment>
    <comment ref="H2041" authorId="0" shapeId="0" xr:uid="{FA0FD3CD-134F-5F44-A045-D4F017FE7AE3}">
      <text>
        <r>
          <rPr>
            <sz val="10"/>
            <color rgb="FF000000"/>
            <rFont val="Aptos Narrow"/>
            <scheme val="minor"/>
          </rPr>
          <t>======
ID#AAABjx7qQJA
    (2025-05-21 11:33:25)
0502 chloe:收到銀行通知USD10325</t>
        </r>
      </text>
    </comment>
    <comment ref="H2042" authorId="0" shapeId="0" xr:uid="{8F6024D5-34DA-164E-817B-2195A23D4E12}">
      <text>
        <r>
          <rPr>
            <sz val="10"/>
            <color rgb="FF000000"/>
            <rFont val="Aptos Narrow"/>
            <scheme val="minor"/>
          </rPr>
          <t>======
ID#AAABjx7qO-s
    (2025-05-21 11:33:24)
0515 chloe:收到銀行通知USD90</t>
        </r>
      </text>
    </comment>
    <comment ref="M2042" authorId="0" shapeId="0" xr:uid="{5FB6EDBA-F4DB-6046-9397-32C8A414B047}">
      <text>
        <r>
          <rPr>
            <sz val="10"/>
            <color rgb="FF000000"/>
            <rFont val="Aptos Narrow"/>
            <scheme val="minor"/>
          </rPr>
          <t>======
ID#AAABjx7qR5w
    (2025-05-21 11:33:25)
原預計3/21到貨，待TAMMY通知是否提前星期一出貨</t>
        </r>
      </text>
    </comment>
    <comment ref="H2043" authorId="0" shapeId="0" xr:uid="{76953DBC-7D57-0643-A206-949F86BA79FE}">
      <text>
        <r>
          <rPr>
            <sz val="10"/>
            <color rgb="FF000000"/>
            <rFont val="Aptos Narrow"/>
            <scheme val="minor"/>
          </rPr>
          <t>======
ID#AAABjx7qOIA
    (2025-05-21 11:33:24)
0322 chloe:收到銀行通知USD1004</t>
        </r>
      </text>
    </comment>
    <comment ref="H2044" authorId="0" shapeId="0" xr:uid="{61DDD35E-70CA-4C45-8CC6-C68F30233BEE}">
      <text>
        <r>
          <rPr>
            <sz val="10"/>
            <color rgb="FF000000"/>
            <rFont val="Aptos Narrow"/>
            <scheme val="minor"/>
          </rPr>
          <t>======
ID#AAABjx7qU_g
    (2025-05-21 11:33:27)
0322 chloe:收到銀行通知USD1004</t>
        </r>
      </text>
    </comment>
    <comment ref="H2045" authorId="0" shapeId="0" xr:uid="{000CD5F6-39A5-C744-BC82-DDDE3A70468D}">
      <text>
        <r>
          <rPr>
            <sz val="10"/>
            <color rgb="FF000000"/>
            <rFont val="Aptos Narrow"/>
            <scheme val="minor"/>
          </rPr>
          <t>======
ID#AAABjx7qQ2I
    (2025-05-21 11:33:25)
0322 chloe:收到銀行通知USD1004</t>
        </r>
      </text>
    </comment>
    <comment ref="H2046" authorId="0" shapeId="0" xr:uid="{97F7E98F-B881-274B-86BF-2B1E7CAFA3C4}">
      <text>
        <r>
          <rPr>
            <sz val="10"/>
            <color rgb="FF000000"/>
            <rFont val="Aptos Narrow"/>
            <scheme val="minor"/>
          </rPr>
          <t>======
ID#AAABjx7qSn4
    (2025-05-21 11:33:26)
0517 chloe :收到銀行通知USD7368.5</t>
        </r>
      </text>
    </comment>
    <comment ref="H2047" authorId="0" shapeId="0" xr:uid="{A25A6515-E67A-5D4E-82CE-BFDDA4BFFF2A}">
      <text>
        <r>
          <rPr>
            <sz val="10"/>
            <color rgb="FF000000"/>
            <rFont val="Aptos Narrow"/>
            <scheme val="minor"/>
          </rPr>
          <t>======
ID#AAABjx7qOSM
    (2025-05-21 11:33:24)
0517 chloe :收到銀行通知USD7368.5</t>
        </r>
      </text>
    </comment>
    <comment ref="H2048" authorId="0" shapeId="0" xr:uid="{07A75317-09DA-7242-800C-0687ADE46974}">
      <text>
        <r>
          <rPr>
            <sz val="10"/>
            <color rgb="FF000000"/>
            <rFont val="Aptos Narrow"/>
            <scheme val="minor"/>
          </rPr>
          <t>======
ID#AAABjx7qQL8
    (2025-05-21 11:33:25)
0517 chloe :收到銀行通知USD7368.5</t>
        </r>
      </text>
    </comment>
    <comment ref="H2049" authorId="0" shapeId="0" xr:uid="{7DBA6D34-0169-B44C-B750-8A39C6F04BF1}">
      <text>
        <r>
          <rPr>
            <sz val="10"/>
            <color rgb="FF000000"/>
            <rFont val="Aptos Narrow"/>
            <scheme val="minor"/>
          </rPr>
          <t>======
ID#AAABjx7qUxM
    (2025-05-21 11:33:26)
0517 chloe :收到銀行通知USD7368.5</t>
        </r>
      </text>
    </comment>
    <comment ref="H2050" authorId="0" shapeId="0" xr:uid="{57B32C35-9A0E-3641-B8E9-8DA965074471}">
      <text>
        <r>
          <rPr>
            <sz val="10"/>
            <color rgb="FF000000"/>
            <rFont val="Aptos Narrow"/>
            <scheme val="minor"/>
          </rPr>
          <t>======
ID#AAABjx7qS-g
    (2025-05-21 11:33:26)
0517 chloe :收到銀行通知USD7368.5</t>
        </r>
      </text>
    </comment>
    <comment ref="H2051" authorId="0" shapeId="0" xr:uid="{A99D7996-2A63-1947-8383-43636951A188}">
      <text>
        <r>
          <rPr>
            <sz val="10"/>
            <color rgb="FF000000"/>
            <rFont val="Aptos Narrow"/>
            <scheme val="minor"/>
          </rPr>
          <t>======
ID#AAABjx7qOTo
    (2025-05-21 11:33:24)
0517 chloe :收到銀行通知USD7368.5</t>
        </r>
      </text>
    </comment>
    <comment ref="M2051" authorId="0" shapeId="0" xr:uid="{0D95D02E-0DBB-E04C-9DEA-AD7229607793}">
      <text>
        <r>
          <rPr>
            <sz val="10"/>
            <color rgb="FF000000"/>
            <rFont val="Aptos Narrow"/>
            <scheme val="minor"/>
          </rPr>
          <t>======
ID#AAABjx7qO1w
    (2025-05-21 11:33:24)
0320 chloe:已請Vivien 看能否提前4/11 出貨，待4/5追</t>
        </r>
      </text>
    </comment>
    <comment ref="H2052" authorId="0" shapeId="0" xr:uid="{4F7A7342-FEFF-7145-8616-2817A648C311}">
      <text>
        <r>
          <rPr>
            <sz val="10"/>
            <color rgb="FF000000"/>
            <rFont val="Aptos Narrow"/>
            <scheme val="minor"/>
          </rPr>
          <t>======
ID#AAABjx7qSDw
    (2025-05-21 11:33:25)
0502 chloe:收到銀行通知USD10325</t>
        </r>
      </text>
    </comment>
    <comment ref="J2052" authorId="0" shapeId="0" xr:uid="{6D27D735-825A-024D-BF71-028D0B2EE544}">
      <text>
        <r>
          <rPr>
            <sz val="10"/>
            <color rgb="FF000000"/>
            <rFont val="Aptos Narrow"/>
            <scheme val="minor"/>
          </rPr>
          <t>======
ID#AAABjx7qR1g
    (2025-05-21 11:33:25)
材積:29*26*14 2kg  /箱
共10箱</t>
        </r>
      </text>
    </comment>
    <comment ref="M2052" authorId="0" shapeId="0" xr:uid="{20D81E6A-5F68-0E4E-A19B-E97D6BE89AA3}">
      <text>
        <r>
          <rPr>
            <sz val="10"/>
            <color rgb="FF000000"/>
            <rFont val="Aptos Narrow"/>
            <scheme val="minor"/>
          </rPr>
          <t>======
ID#AAABjx7qScM
    (2025-05-21 11:33:26)
待告知確定交期
缺一箱，待凌華告知貨物流向</t>
        </r>
      </text>
    </comment>
    <comment ref="E2053" authorId="0" shapeId="0" xr:uid="{3A8131C5-1A94-2F48-ACEC-00C34CB1B9D5}">
      <text>
        <r>
          <rPr>
            <sz val="10"/>
            <color rgb="FF000000"/>
            <rFont val="Aptos Narrow"/>
            <scheme val="minor"/>
          </rPr>
          <t>======
ID#AAABjx7qPCg
0321 chloe    (2025-05-21 11:33:24)
捷毅 EOL
新漢 客戶庫存 4200
研華 EOL → WIN 10 代替然後降級</t>
        </r>
      </text>
    </comment>
    <comment ref="H2053" authorId="0" shapeId="0" xr:uid="{AAF1B6DC-3F59-F042-85B1-302B8F9EF70B}">
      <text>
        <r>
          <rPr>
            <sz val="10"/>
            <color rgb="FF000000"/>
            <rFont val="Aptos Narrow"/>
            <scheme val="minor"/>
          </rPr>
          <t>======
ID#AAABjx7qNTc
    (2025-05-21 11:33:23)
0502 chloe:收到銀行通知USD10325</t>
        </r>
      </text>
    </comment>
    <comment ref="H2054" authorId="0" shapeId="0" xr:uid="{E8984EF6-EE70-8441-8562-857B474322B1}">
      <text>
        <r>
          <rPr>
            <sz val="10"/>
            <color rgb="FF000000"/>
            <rFont val="Aptos Narrow"/>
            <scheme val="minor"/>
          </rPr>
          <t>======
ID#AAABjx7qR4w
    (2025-05-21 11:33:25)
0525 收到支票 NT117686元，待5/31 兌現
0605 chloe: 入帳</t>
        </r>
      </text>
    </comment>
    <comment ref="K2054" authorId="0" shapeId="0" xr:uid="{43609359-F943-344C-ABFF-CCDB2F41EF39}">
      <text>
        <r>
          <rPr>
            <sz val="10"/>
            <color rgb="FF000000"/>
            <rFont val="Aptos Narrow"/>
            <scheme val="minor"/>
          </rPr>
          <t>======
ID#AAABjx7qNBs
Santiago 0410    (2025-05-21 11:33:23)
是否能提前至4/17 到貨. 芳慎想併PI-20170224B-1 的貨一起出</t>
        </r>
      </text>
    </comment>
    <comment ref="H2055" authorId="0" shapeId="0" xr:uid="{9EC03601-C1EB-4D44-ABF6-342D40F88E10}">
      <text>
        <r>
          <rPr>
            <sz val="10"/>
            <color rgb="FF000000"/>
            <rFont val="Aptos Narrow"/>
            <scheme val="minor"/>
          </rPr>
          <t>======
ID#AAABjx7qQP0
    (2025-05-21 11:33:25)
0525 收到支票 NT117686元，待5/31 兌現
0605 chloe: 入帳</t>
        </r>
      </text>
    </comment>
    <comment ref="K2055" authorId="0" shapeId="0" xr:uid="{04943C0E-2ACA-F049-A37F-CE9E9606D20A}">
      <text>
        <r>
          <rPr>
            <sz val="10"/>
            <color rgb="FF000000"/>
            <rFont val="Aptos Narrow"/>
            <scheme val="minor"/>
          </rPr>
          <t>======
ID#AAABjx7qQzc
Santiago 0410    (2025-05-21 11:33:25)
是否能提前至4/17 到貨. 芳慎想併PI-20170224B-1 的貨一起出</t>
        </r>
      </text>
    </comment>
    <comment ref="H2056" authorId="0" shapeId="0" xr:uid="{038BFBE6-8EB2-6F42-ACF2-F53AB264060E}">
      <text>
        <r>
          <rPr>
            <sz val="10"/>
            <color rgb="FF000000"/>
            <rFont val="Aptos Narrow"/>
            <scheme val="minor"/>
          </rPr>
          <t>======
ID#AAABjx7qNsQ
    (2025-05-21 11:33:23)
0508 chloe:已收到銀行通知USD3244</t>
        </r>
      </text>
    </comment>
    <comment ref="K2056" authorId="0" shapeId="0" xr:uid="{5F7BF51C-1009-8F42-AA67-662EFDBA6946}">
      <text>
        <r>
          <rPr>
            <sz val="10"/>
            <color rgb="FF000000"/>
            <rFont val="Aptos Narrow"/>
            <scheme val="minor"/>
          </rPr>
          <t>======
ID#AAABjx7qO3U
    (2025-05-21 11:33:24)
提前4/7出貨</t>
        </r>
      </text>
    </comment>
    <comment ref="M2056" authorId="0" shapeId="0" xr:uid="{A026CA2F-79C5-D548-BDE5-61204B4BC135}">
      <text>
        <r>
          <rPr>
            <sz val="10"/>
            <color rgb="FF000000"/>
            <rFont val="Aptos Narrow"/>
            <scheme val="minor"/>
          </rPr>
          <t>======
ID#AAABjx7qOUg
    (2025-05-21 11:33:24)
已詢問是否可以提前出貨</t>
        </r>
      </text>
    </comment>
    <comment ref="H2057" authorId="0" shapeId="0" xr:uid="{BC979E8B-47EE-3145-ACFF-8A91A80F495E}">
      <text>
        <r>
          <rPr>
            <sz val="10"/>
            <color rgb="FF000000"/>
            <rFont val="Aptos Narrow"/>
            <scheme val="minor"/>
          </rPr>
          <t>======
ID#AAABjx7qNn4
    (2025-05-21 11:33:23)
0508 chloe:已收到銀行通知USD3244</t>
        </r>
      </text>
    </comment>
    <comment ref="K2057" authorId="0" shapeId="0" xr:uid="{2A140C7C-7257-B540-8D21-851F330D4B6B}">
      <text>
        <r>
          <rPr>
            <sz val="10"/>
            <color rgb="FF000000"/>
            <rFont val="Aptos Narrow"/>
            <scheme val="minor"/>
          </rPr>
          <t>======
ID#AAABjx7qNH8
    (2025-05-21 11:33:23)
提前4/7出貨</t>
        </r>
      </text>
    </comment>
    <comment ref="M2057" authorId="0" shapeId="0" xr:uid="{AAE12836-DB0D-7840-9CCD-0764084E4A30}">
      <text>
        <r>
          <rPr>
            <sz val="10"/>
            <color rgb="FF000000"/>
            <rFont val="Aptos Narrow"/>
            <scheme val="minor"/>
          </rPr>
          <t>======
ID#AAABjx7qNZc
    (2025-05-21 11:33:23)
已詢問是否可以提前出貨</t>
        </r>
      </text>
    </comment>
    <comment ref="H2058" authorId="0" shapeId="0" xr:uid="{F147FAEC-5886-4646-B60C-01D74F243AF8}">
      <text>
        <r>
          <rPr>
            <sz val="10"/>
            <color rgb="FF000000"/>
            <rFont val="Aptos Narrow"/>
            <scheme val="minor"/>
          </rPr>
          <t>======
ID#AAABjx7qNls
    (2025-05-21 11:33:23)
0508 chloe:已收到銀行通知USD3244</t>
        </r>
      </text>
    </comment>
    <comment ref="K2058" authorId="0" shapeId="0" xr:uid="{72E147DB-DCE9-C042-A9C3-0AC58DAE1E45}">
      <text>
        <r>
          <rPr>
            <sz val="10"/>
            <color rgb="FF000000"/>
            <rFont val="Aptos Narrow"/>
            <scheme val="minor"/>
          </rPr>
          <t>======
ID#AAABjx7qP4Y
    (2025-05-21 11:33:24)
提前4/7出貨</t>
        </r>
      </text>
    </comment>
    <comment ref="M2058" authorId="0" shapeId="0" xr:uid="{9CF029F3-8330-214C-865C-EE4F76E5F014}">
      <text>
        <r>
          <rPr>
            <sz val="10"/>
            <color rgb="FF000000"/>
            <rFont val="Aptos Narrow"/>
            <scheme val="minor"/>
          </rPr>
          <t>======
ID#AAABjx7qRsM
    (2025-05-21 11:33:25)
已詢問是否可以提前出貨</t>
        </r>
      </text>
    </comment>
    <comment ref="H2059" authorId="0" shapeId="0" xr:uid="{DCE645BE-535E-2347-878B-33635FDD3C91}">
      <text>
        <r>
          <rPr>
            <sz val="10"/>
            <color rgb="FF000000"/>
            <rFont val="Aptos Narrow"/>
            <scheme val="minor"/>
          </rPr>
          <t>======
ID#AAABjx7qQGA
    (2025-05-21 11:33:25)
0508 chloe:已收到銀行通知USD3244</t>
        </r>
      </text>
    </comment>
    <comment ref="K2059" authorId="0" shapeId="0" xr:uid="{C55E0BA3-CC5F-5041-84E9-0ABBBC684F76}">
      <text>
        <r>
          <rPr>
            <sz val="10"/>
            <color rgb="FF000000"/>
            <rFont val="Aptos Narrow"/>
            <scheme val="minor"/>
          </rPr>
          <t>======
ID#AAABjx7qRM0
    (2025-05-21 11:33:25)
提前4/7出貨</t>
        </r>
      </text>
    </comment>
    <comment ref="M2059" authorId="0" shapeId="0" xr:uid="{89391F5E-2403-DE48-A937-2FF7B89D0C31}">
      <text>
        <r>
          <rPr>
            <sz val="10"/>
            <color rgb="FF000000"/>
            <rFont val="Aptos Narrow"/>
            <scheme val="minor"/>
          </rPr>
          <t>======
ID#AAABjx7qN5c
    (2025-05-21 11:33:23)
已詢問是否可以提前出貨</t>
        </r>
      </text>
    </comment>
    <comment ref="H2060" authorId="0" shapeId="0" xr:uid="{0856ACD9-6323-4841-97A3-2921289B7F3A}">
      <text>
        <r>
          <rPr>
            <sz val="10"/>
            <color rgb="FF000000"/>
            <rFont val="Aptos Narrow"/>
            <scheme val="minor"/>
          </rPr>
          <t>======
ID#AAABjx7qV1E
    (2025-05-21 11:33:27)
0508 chloe:已收到銀行通知USD3244</t>
        </r>
      </text>
    </comment>
    <comment ref="K2060" authorId="0" shapeId="0" xr:uid="{24708C3F-A4C4-5840-9902-7143CBB0A797}">
      <text>
        <r>
          <rPr>
            <sz val="10"/>
            <color rgb="FF000000"/>
            <rFont val="Aptos Narrow"/>
            <scheme val="minor"/>
          </rPr>
          <t>======
ID#AAABjx7qRs8
    (2025-05-21 11:33:25)
提前4/7出貨</t>
        </r>
      </text>
    </comment>
    <comment ref="H2061" authorId="0" shapeId="0" xr:uid="{2F948C81-80F0-8C42-B708-5EB72AAF982F}">
      <text>
        <r>
          <rPr>
            <sz val="10"/>
            <color rgb="FF000000"/>
            <rFont val="Aptos Narrow"/>
            <scheme val="minor"/>
          </rPr>
          <t>======
ID#AAABjx7qS88
    (2025-05-21 11:33:26)
0508 chloe:已收到銀行通知USD3244</t>
        </r>
      </text>
    </comment>
    <comment ref="K2061" authorId="0" shapeId="0" xr:uid="{FE075D60-09D7-B240-AF42-AFFD8406425B}">
      <text>
        <r>
          <rPr>
            <sz val="10"/>
            <color rgb="FF000000"/>
            <rFont val="Aptos Narrow"/>
            <scheme val="minor"/>
          </rPr>
          <t>======
ID#AAABjx7qV6Y
    (2025-05-21 11:33:27)
提前4/7出貨</t>
        </r>
      </text>
    </comment>
    <comment ref="E2062" authorId="0" shapeId="0" xr:uid="{D842BC43-A39C-B34B-8192-5A88D8DCC71C}">
      <text>
        <r>
          <rPr>
            <sz val="10"/>
            <color rgb="FF000000"/>
            <rFont val="Aptos Narrow"/>
            <scheme val="minor"/>
          </rPr>
          <t>======
ID#AAABjx7qRJ8
0322 chloe    (2025-05-21 11:33:25)
1.待客戶將7' LCD寄來後，直寄曦立光電 做貼合
2.US$70/pc for bonding + AR glass
3.CG-070W-AROB→戎克
   AA070ME01 → 7"LCD 型號</t>
        </r>
      </text>
    </comment>
    <comment ref="H2062" authorId="0" shapeId="0" xr:uid="{E05204FD-1B45-8A4C-A877-F72D66CB4AB5}">
      <text>
        <r>
          <rPr>
            <sz val="10"/>
            <color rgb="FF000000"/>
            <rFont val="Aptos Narrow"/>
            <scheme val="minor"/>
          </rPr>
          <t>======
ID#AAABjx7qVpQ
    (2025-05-21 11:33:27)
0327 chloe:收到銀行通知USD181</t>
        </r>
      </text>
    </comment>
    <comment ref="M2062" authorId="0" shapeId="0" xr:uid="{598EF540-DCAE-364D-9C82-2230D86ED772}">
      <text>
        <r>
          <rPr>
            <sz val="10"/>
            <color rgb="FF000000"/>
            <rFont val="Aptos Narrow"/>
            <scheme val="minor"/>
          </rPr>
          <t>======
ID#AAABjx7qNcI
    (2025-05-21 11:33:23)
預計3/28 將會收到LCD 再寄往曦立光電作貼合</t>
        </r>
      </text>
    </comment>
    <comment ref="Q2062" authorId="0" shapeId="0" xr:uid="{CD0E2E51-FEC1-4B49-B4C7-A0B73640E484}">
      <text>
        <r>
          <rPr>
            <sz val="10"/>
            <color rgb="FF000000"/>
            <rFont val="Aptos Narrow"/>
            <scheme val="minor"/>
          </rPr>
          <t>======
ID#AAABjx7qTTE
    (2025-05-21 11:33:26)
前一天央行@30.556</t>
        </r>
      </text>
    </comment>
    <comment ref="AC2062" authorId="0" shapeId="0" xr:uid="{924BD379-DACF-7E44-8333-23D0623AEF60}">
      <text>
        <r>
          <rPr>
            <sz val="10"/>
            <color rgb="FF000000"/>
            <rFont val="Aptos Narrow"/>
            <scheme val="minor"/>
          </rPr>
          <t>======
ID#AAABjx7qSCU
    (2025-05-21 11:33:25)
0327 寄曦立</t>
        </r>
      </text>
    </comment>
    <comment ref="H2063" authorId="0" shapeId="0" xr:uid="{4E0236E4-4951-4943-A4CC-3B38C9784730}">
      <text>
        <r>
          <rPr>
            <sz val="10"/>
            <color rgb="FF000000"/>
            <rFont val="Aptos Narrow"/>
            <scheme val="minor"/>
          </rPr>
          <t>======
ID#AAABjx7qOHU
    (2025-05-21 11:33:24)
0327 chloe:收到銀行通知USD181</t>
        </r>
      </text>
    </comment>
    <comment ref="H2064" authorId="0" shapeId="0" xr:uid="{F5EC4599-ABD9-C444-9869-328A498AB615}">
      <text>
        <r>
          <rPr>
            <sz val="10"/>
            <color rgb="FF000000"/>
            <rFont val="Aptos Narrow"/>
            <scheme val="minor"/>
          </rPr>
          <t>======
ID#AAABjx7qS4o
    (2025-05-21 11:33:26)
0517 chloe :收到銀行通知USD7368.5</t>
        </r>
      </text>
    </comment>
    <comment ref="M2064" authorId="0" shapeId="0" xr:uid="{A32262A6-7CAB-DE48-91FF-D09847D75774}">
      <text>
        <r>
          <rPr>
            <sz val="10"/>
            <color rgb="FF000000"/>
            <rFont val="Aptos Narrow"/>
            <scheme val="minor"/>
          </rPr>
          <t>======
ID#AAABjx7qTPs
    (2025-05-21 11:33:26)
0407 詢問是否有可能提前</t>
        </r>
      </text>
    </comment>
    <comment ref="H2065" authorId="0" shapeId="0" xr:uid="{DE6D218D-52BE-E24D-98F7-04591DCE848D}">
      <text>
        <r>
          <rPr>
            <sz val="10"/>
            <color rgb="FF000000"/>
            <rFont val="Aptos Narrow"/>
            <scheme val="minor"/>
          </rPr>
          <t>======
ID#AAABjx7qNkA
    (2025-05-21 11:33:23)
0517 chloe :收到銀行通知USD7368.5</t>
        </r>
      </text>
    </comment>
    <comment ref="H2066" authorId="0" shapeId="0" xr:uid="{50F17110-E84D-C446-984C-52C5D850D419}">
      <text>
        <r>
          <rPr>
            <sz val="10"/>
            <color rgb="FF000000"/>
            <rFont val="Aptos Narrow"/>
            <scheme val="minor"/>
          </rPr>
          <t>======
ID#AAABjx7qQ-M
    (2025-05-21 11:33:25)
0502 chloe:收到銀行通知USD237</t>
        </r>
      </text>
    </comment>
    <comment ref="M2066" authorId="0" shapeId="0" xr:uid="{D31B972F-1FF8-A741-95C9-590236A08CD2}">
      <text>
        <r>
          <rPr>
            <sz val="10"/>
            <color rgb="FF000000"/>
            <rFont val="Aptos Narrow"/>
            <scheme val="minor"/>
          </rPr>
          <t>======
ID#AAABjx7qU_E
    (2025-05-21 11:33:27)
0324 chloe:下單搶貨，交期要三天才能得知。</t>
        </r>
      </text>
    </comment>
    <comment ref="H2067" authorId="0" shapeId="0" xr:uid="{A73B856B-716A-544E-8756-71EAB4525A4B}">
      <text>
        <r>
          <rPr>
            <sz val="10"/>
            <color rgb="FF000000"/>
            <rFont val="Aptos Narrow"/>
            <scheme val="minor"/>
          </rPr>
          <t>======
ID#AAABjx7qRo8
    (2025-05-21 11:33:25)
0421 chloe:收到銀行通知USD3266</t>
        </r>
      </text>
    </comment>
    <comment ref="M2067" authorId="0" shapeId="0" xr:uid="{8F379CD0-D08D-9248-B074-C9ACDA9CBAFD}">
      <text>
        <r>
          <rPr>
            <sz val="10"/>
            <color rgb="FF000000"/>
            <rFont val="Aptos Narrow"/>
            <scheme val="minor"/>
          </rPr>
          <t>======
ID#AAABjx7qS-Q
    (2025-05-21 11:33:26)
原定3/30 到貨，提前</t>
        </r>
      </text>
    </comment>
    <comment ref="G2068" authorId="0" shapeId="0" xr:uid="{65FE1896-16BC-6746-835A-40A16151F75B}">
      <text>
        <r>
          <rPr>
            <sz val="10"/>
            <color rgb="FF000000"/>
            <rFont val="Aptos Narrow"/>
            <scheme val="minor"/>
          </rPr>
          <t>======
ID#AAABjx7qNIs
    (2025-05-21 11:33:23)
170323 w/ 5%VAT</t>
        </r>
      </text>
    </comment>
    <comment ref="H2068" authorId="0" shapeId="0" xr:uid="{89F446EC-0295-964A-AD71-9F0A977276B9}">
      <text>
        <r>
          <rPr>
            <sz val="10"/>
            <color rgb="FF000000"/>
            <rFont val="Aptos Narrow"/>
            <scheme val="minor"/>
          </rPr>
          <t>======
ID#AAABjx7qP6M
    (2025-05-21 11:33:24)
0503 chloe:收到銀行通知USD6300</t>
        </r>
      </text>
    </comment>
    <comment ref="H2069" authorId="0" shapeId="0" xr:uid="{58BBE709-2AC5-B84C-9DCF-3BE8C3863B7E}">
      <text>
        <r>
          <rPr>
            <sz val="10"/>
            <color rgb="FF000000"/>
            <rFont val="Aptos Narrow"/>
            <scheme val="minor"/>
          </rPr>
          <t>======
ID#AAABjx7qNN8
    (2025-05-21 11:33:23)
0523 chloe:已收到銀行通知USD6750</t>
        </r>
      </text>
    </comment>
    <comment ref="H2070" authorId="0" shapeId="0" xr:uid="{EAFF7DA8-620C-9844-B286-767DDDEA10C4}">
      <text>
        <r>
          <rPr>
            <sz val="10"/>
            <color rgb="FF000000"/>
            <rFont val="Aptos Narrow"/>
            <scheme val="minor"/>
          </rPr>
          <t>======
ID#AAABjx7qNQs
    (2025-05-21 11:33:23)
0523 chloe:已收到銀行通知USD6750</t>
        </r>
      </text>
    </comment>
    <comment ref="H2071" authorId="0" shapeId="0" xr:uid="{7173E427-E5F8-6743-8C9D-92249E6628E2}">
      <text>
        <r>
          <rPr>
            <sz val="10"/>
            <color rgb="FF000000"/>
            <rFont val="Aptos Narrow"/>
            <scheme val="minor"/>
          </rPr>
          <t>======
ID#AAABjx7qNRk
    (2025-05-21 11:33:23)
0523 chloe:已收到銀行通知USD6750</t>
        </r>
      </text>
    </comment>
    <comment ref="E2072" authorId="0" shapeId="0" xr:uid="{15E82ED0-1F54-1743-A77B-DACDCA5FA278}">
      <text>
        <r>
          <rPr>
            <sz val="10"/>
            <color rgb="FF000000"/>
            <rFont val="Aptos Narrow"/>
            <scheme val="minor"/>
          </rPr>
          <t>======
ID#AAABjx7qVcg
    (2025-05-21 11:33:27)
11/12 michelle: 58-80024-0000</t>
        </r>
      </text>
    </comment>
    <comment ref="H2072" authorId="0" shapeId="0" xr:uid="{459F6C53-598F-8A46-A37B-113CEBD311FF}">
      <text>
        <r>
          <rPr>
            <sz val="10"/>
            <color rgb="FF000000"/>
            <rFont val="Aptos Narrow"/>
            <scheme val="minor"/>
          </rPr>
          <t>======
ID#AAABj82dpEo
    (2025-05-21 11:33:23)
0523 chloe:已收到銀行通知USD6750</t>
        </r>
      </text>
    </comment>
    <comment ref="H2073" authorId="0" shapeId="0" xr:uid="{85BDCFD4-008D-6349-A208-B5D610BBF572}">
      <text>
        <r>
          <rPr>
            <sz val="10"/>
            <color rgb="FF000000"/>
            <rFont val="Aptos Narrow"/>
            <scheme val="minor"/>
          </rPr>
          <t>======
ID#AAABjx7qQAc
    (2025-05-21 11:33:25)
0523 chloe:已收到銀行通知USD6750</t>
        </r>
      </text>
    </comment>
    <comment ref="H2074" authorId="0" shapeId="0" xr:uid="{A542A82E-ADEF-0D41-A8CF-6135EC3A3609}">
      <text>
        <r>
          <rPr>
            <sz val="10"/>
            <color rgb="FF000000"/>
            <rFont val="Aptos Narrow"/>
            <scheme val="minor"/>
          </rPr>
          <t>======
ID#AAABjx7qR1Q
    (2025-05-21 11:33:25)
0523 chloe:已收到銀行通知USD6750</t>
        </r>
      </text>
    </comment>
    <comment ref="H2075" authorId="0" shapeId="0" xr:uid="{DADC6754-BF08-344A-AB78-1F00B40E2D50}">
      <text>
        <r>
          <rPr>
            <sz val="10"/>
            <color rgb="FF000000"/>
            <rFont val="Aptos Narrow"/>
            <scheme val="minor"/>
          </rPr>
          <t>======
ID#AAABjx7qVcI
    (2025-05-21 11:33:27)
0523 chloe:已收到銀行通知USD6750</t>
        </r>
      </text>
    </comment>
    <comment ref="H2076" authorId="0" shapeId="0" xr:uid="{9175EC71-04FF-7E4F-A3D9-C1B4EE84B814}">
      <text>
        <r>
          <rPr>
            <sz val="10"/>
            <color rgb="FF000000"/>
            <rFont val="Aptos Narrow"/>
            <scheme val="minor"/>
          </rPr>
          <t>======
ID#AAABjx7qNOY
    (2025-05-21 11:33:23)
0425 chloe:收到銀行通知USD8210</t>
        </r>
      </text>
    </comment>
    <comment ref="K2076" authorId="0" shapeId="0" xr:uid="{232B7794-8712-8147-ACFD-C1CF45F226F8}">
      <text>
        <r>
          <rPr>
            <sz val="10"/>
            <color rgb="FF000000"/>
            <rFont val="Aptos Narrow"/>
            <scheme val="minor"/>
          </rPr>
          <t>======
ID#AAABjx7qRv4
    (2025-05-21 11:33:25)
待客戶匯錢後再出貨
收到客戶水單，</t>
        </r>
      </text>
    </comment>
    <comment ref="M2076" authorId="0" shapeId="0" xr:uid="{7E823E4F-40FE-384D-BA67-61845B87A9A1}">
      <text>
        <r>
          <rPr>
            <sz val="10"/>
            <color rgb="FF000000"/>
            <rFont val="Aptos Narrow"/>
            <scheme val="minor"/>
          </rPr>
          <t>======
ID#AAABjx7qSdE
    (2025-05-21 11:33:26)
盡量趕看看，故</t>
        </r>
      </text>
    </comment>
    <comment ref="P2076" authorId="0" shapeId="0" xr:uid="{D1D87024-2408-6E49-B88F-6FCAE91E6652}">
      <text>
        <r>
          <rPr>
            <sz val="10"/>
            <color rgb="FF000000"/>
            <rFont val="Aptos Narrow"/>
            <scheme val="minor"/>
          </rPr>
          <t>======
ID#AAABjx7qTio
    (2025-05-21 11:33:26)
@30.35</t>
        </r>
      </text>
    </comment>
    <comment ref="H2077" authorId="0" shapeId="0" xr:uid="{947A4CB1-6E94-AA4E-BFD1-12932A7EC0B8}">
      <text>
        <r>
          <rPr>
            <sz val="10"/>
            <color rgb="FF000000"/>
            <rFont val="Aptos Narrow"/>
            <scheme val="minor"/>
          </rPr>
          <t>======
ID#AAABjx7qP0I
    (2025-05-21 11:33:24)
0425 chloe:收到銀行通知USD8210</t>
        </r>
      </text>
    </comment>
    <comment ref="K2077" authorId="0" shapeId="0" xr:uid="{CA88EB2E-FB98-B14A-B82D-72C0D8620E73}">
      <text>
        <r>
          <rPr>
            <sz val="10"/>
            <color rgb="FF000000"/>
            <rFont val="Aptos Narrow"/>
            <scheme val="minor"/>
          </rPr>
          <t>======
ID#AAABjx7qOHk
    (2025-05-21 11:33:24)
待客戶匯錢後再出貨
收到客戶水單，</t>
        </r>
      </text>
    </comment>
    <comment ref="M2077" authorId="0" shapeId="0" xr:uid="{DE9ED04A-8791-1E4E-AFCA-379DC4F13D00}">
      <text>
        <r>
          <rPr>
            <sz val="10"/>
            <color rgb="FF000000"/>
            <rFont val="Aptos Narrow"/>
            <scheme val="minor"/>
          </rPr>
          <t>======
ID#AAABjx7qWBQ
    (2025-05-21 11:33:27)
0328 chloe:預計交期6-8週
0406 chloe:預計交期
0412 chloe:Iori PULL IN 工廠交期提前，會再告知</t>
        </r>
      </text>
    </comment>
    <comment ref="N2077" authorId="0" shapeId="0" xr:uid="{912B6BCB-58DF-3C48-BCC5-7164CE036568}">
      <text>
        <r>
          <rPr>
            <sz val="10"/>
            <color rgb="FF000000"/>
            <rFont val="Aptos Narrow"/>
            <scheme val="minor"/>
          </rPr>
          <t>======
ID#AAABjx7qVw0
    (2025-05-21 11:33:27)
宜鼎 6週
捷毅 PHISON MSATA詢問中
創見 5天</t>
        </r>
      </text>
    </comment>
    <comment ref="H2078" authorId="0" shapeId="0" xr:uid="{DE3CFA50-245B-4B4B-9BDF-3EE223508E1B}">
      <text>
        <r>
          <rPr>
            <sz val="10"/>
            <color rgb="FF000000"/>
            <rFont val="Aptos Narrow"/>
            <scheme val="minor"/>
          </rPr>
          <t>======
ID#AAABjx7qOTw
    (2025-05-21 11:33:24)
0517 chloe :收到銀行通知USD7368.5</t>
        </r>
      </text>
    </comment>
    <comment ref="M2078" authorId="0" shapeId="0" xr:uid="{E0E8C4DF-9E7E-C940-AD9C-7B34BC8CDCC4}">
      <text>
        <r>
          <rPr>
            <sz val="10"/>
            <color rgb="FF000000"/>
            <rFont val="Aptos Narrow"/>
            <scheme val="minor"/>
          </rPr>
          <t>======
ID#AAABjx7qOR4
    (2025-05-21 11:33:24)
0329 chloe:告知交期下單後兩週，
3/31 追交期</t>
        </r>
      </text>
    </comment>
    <comment ref="H2079" authorId="0" shapeId="0" xr:uid="{5847F84F-3CBD-1541-B432-6335013612A9}">
      <text>
        <r>
          <rPr>
            <sz val="10"/>
            <color rgb="FF000000"/>
            <rFont val="Aptos Narrow"/>
            <scheme val="minor"/>
          </rPr>
          <t>======
ID#AAABjx7qOfc
    (2025-05-21 11:33:24)
0517 chloe: 收到銀行通知USD774</t>
        </r>
      </text>
    </comment>
    <comment ref="M2079" authorId="0" shapeId="0" xr:uid="{65A222F4-BEE5-E741-83A7-261A92557252}">
      <text>
        <r>
          <rPr>
            <sz val="10"/>
            <color rgb="FF000000"/>
            <rFont val="Aptos Narrow"/>
            <scheme val="minor"/>
          </rPr>
          <t>======
ID#AAABjx7qOMQ
    (2025-05-21 11:33:24)
0407 詢問 對方，待回覆</t>
        </r>
      </text>
    </comment>
    <comment ref="H2080" authorId="0" shapeId="0" xr:uid="{D1F09D54-E5AF-8B42-B555-8D04838A0D52}">
      <text>
        <r>
          <rPr>
            <sz val="10"/>
            <color rgb="FF000000"/>
            <rFont val="Aptos Narrow"/>
            <scheme val="minor"/>
          </rPr>
          <t>======
ID#AAABjx7qSFw
    (2025-05-21 11:33:26)
0517 chloe :收到銀行通知USD7368.5</t>
        </r>
      </text>
    </comment>
    <comment ref="H2081" authorId="0" shapeId="0" xr:uid="{45B8A835-0D4C-8B44-BD96-65EA6C2CDC25}">
      <text>
        <r>
          <rPr>
            <sz val="10"/>
            <color rgb="FF000000"/>
            <rFont val="Aptos Narrow"/>
            <scheme val="minor"/>
          </rPr>
          <t>======
ID#AAABjx7qTp4
    (2025-05-21 11:33:26)
0525 chloe:收到銀行通知USD818</t>
        </r>
      </text>
    </comment>
    <comment ref="H2082" authorId="0" shapeId="0" xr:uid="{0C46BAAA-452C-214C-8CDB-F3F20C6D946E}">
      <text>
        <r>
          <rPr>
            <sz val="10"/>
            <color rgb="FF000000"/>
            <rFont val="Aptos Narrow"/>
            <scheme val="minor"/>
          </rPr>
          <t>======
ID#AAABjx7qQEU
    (2025-05-21 11:33:25)
0526 chloe: 收到銀行通知USD7175</t>
        </r>
      </text>
    </comment>
    <comment ref="M2082" authorId="0" shapeId="0" xr:uid="{72A8AC7E-D311-054C-BF15-CE930BCCBD7C}">
      <text>
        <r>
          <rPr>
            <sz val="10"/>
            <color rgb="FF000000"/>
            <rFont val="Aptos Narrow"/>
            <scheme val="minor"/>
          </rPr>
          <t>======
ID#AAABjx7qRDM
    (2025-05-21 11:33:25)
0331 告知交期為下單三週，待PULL IN
目前得知4/21</t>
        </r>
      </text>
    </comment>
    <comment ref="P2082" authorId="0" shapeId="0" xr:uid="{6209BA52-0729-6A4B-B787-7E661515F6C3}">
      <text>
        <r>
          <rPr>
            <sz val="10"/>
            <color rgb="FF000000"/>
            <rFont val="Aptos Narrow"/>
            <scheme val="minor"/>
          </rPr>
          <t>======
ID#AAABjx7qPE0
    (2025-05-21 11:33:24)
SPE-9S-R11  US45.15
運費 US 3.15</t>
        </r>
      </text>
    </comment>
    <comment ref="H2083" authorId="0" shapeId="0" xr:uid="{173B6F23-7469-C540-B353-9E18A166EAC6}">
      <text>
        <r>
          <rPr>
            <sz val="10"/>
            <color rgb="FF000000"/>
            <rFont val="Aptos Narrow"/>
            <scheme val="minor"/>
          </rPr>
          <t>======
ID#AAABjx7qVVY
    (2025-05-21 11:33:27)
0406 chloe:收到銀行通知USD1080</t>
        </r>
      </text>
    </comment>
    <comment ref="H2084" authorId="0" shapeId="0" xr:uid="{FDFAB4D2-80EC-DE48-A1E8-757AE8A43C9C}">
      <text>
        <r>
          <rPr>
            <sz val="10"/>
            <color rgb="FF000000"/>
            <rFont val="Aptos Narrow"/>
            <scheme val="minor"/>
          </rPr>
          <t>======
ID#AAABjx7qVfk
    (2025-05-21 11:33:27)
0406 chloe:收到銀行通知USD1080</t>
        </r>
      </text>
    </comment>
    <comment ref="H2085" authorId="0" shapeId="0" xr:uid="{5B96E2FC-6CB6-9848-A094-47D8C9E29954}">
      <text>
        <r>
          <rPr>
            <sz val="10"/>
            <color rgb="FF000000"/>
            <rFont val="Aptos Narrow"/>
            <scheme val="minor"/>
          </rPr>
          <t>======
ID#AAABjx7qWKY
    (2025-05-21 11:33:27)
0412 chloe:收到銀行通知USD1775</t>
        </r>
      </text>
    </comment>
    <comment ref="H2086" authorId="0" shapeId="0" xr:uid="{08AB9C7B-3D89-4B40-80CE-F471BA8AAFA2}">
      <text>
        <r>
          <rPr>
            <sz val="10"/>
            <color rgb="FF000000"/>
            <rFont val="Aptos Narrow"/>
            <scheme val="minor"/>
          </rPr>
          <t>======
ID#AAABjx7qRAk
    (2025-05-21 11:33:25)
0714 chloe: 收到銀行通知USD 373</t>
        </r>
      </text>
    </comment>
    <comment ref="H2087" authorId="0" shapeId="0" xr:uid="{CFE91258-FA9D-8C47-A1E8-50D68A4EA61D}">
      <text>
        <r>
          <rPr>
            <sz val="10"/>
            <color rgb="FF000000"/>
            <rFont val="Aptos Narrow"/>
            <scheme val="minor"/>
          </rPr>
          <t>======
ID#AAABjx7qPYs
    (2025-05-21 11:33:24)
0714 chloe: 收到銀行通知USD 373</t>
        </r>
      </text>
    </comment>
    <comment ref="H2088" authorId="0" shapeId="0" xr:uid="{7823F26B-D942-324F-B6EC-F4D9BA69582A}">
      <text>
        <r>
          <rPr>
            <sz val="10"/>
            <color rgb="FF000000"/>
            <rFont val="Aptos Narrow"/>
            <scheme val="minor"/>
          </rPr>
          <t>======
ID#AAABjx7qQM8
    (2025-05-21 11:33:25)
0714 chloe: 收到銀行通知USD 373</t>
        </r>
      </text>
    </comment>
    <comment ref="E2089" authorId="0" shapeId="0" xr:uid="{E9AF0B1C-EE4F-994C-8411-6F298B84A265}">
      <text>
        <r>
          <rPr>
            <sz val="10"/>
            <color rgb="FF000000"/>
            <rFont val="Aptos Narrow"/>
            <scheme val="minor"/>
          </rPr>
          <t>======
ID#AAABjx7qOMs
    (2025-05-21 11:33:24)
170411 Karen :廠商料號 LS38-C3S-TC-N-DD</t>
        </r>
      </text>
    </comment>
    <comment ref="H2089" authorId="0" shapeId="0" xr:uid="{34A08756-5D3A-8B40-A714-2156D73BCEC7}">
      <text>
        <r>
          <rPr>
            <sz val="10"/>
            <color rgb="FF000000"/>
            <rFont val="Aptos Narrow"/>
            <scheme val="minor"/>
          </rPr>
          <t>======
ID#AAABjx7qVnk
    (2025-05-21 11:33:27)
0428 chloe:收到銀行通知USD20982</t>
        </r>
      </text>
    </comment>
    <comment ref="N2089" authorId="0" shapeId="0" xr:uid="{BA2F7610-EEA5-CE49-BD3D-A196278970D2}">
      <text>
        <r>
          <rPr>
            <sz val="10"/>
            <color rgb="FF000000"/>
            <rFont val="Aptos Narrow"/>
            <scheme val="minor"/>
          </rPr>
          <t>======
ID#AAABjx7qR00
    (2025-05-21 11:33:25)
採購為TAMMY</t>
        </r>
      </text>
    </comment>
    <comment ref="E2090" authorId="0" shapeId="0" xr:uid="{40008B7F-35BD-B340-A1D5-088E29DD14B4}">
      <text>
        <r>
          <rPr>
            <sz val="10"/>
            <color rgb="FF000000"/>
            <rFont val="Aptos Narrow"/>
            <scheme val="minor"/>
          </rPr>
          <t>======
ID#AAABjx7qOow
0322 chloe    (2025-05-21 11:33:24)
1.待客戶將7' LCD寄來後，直寄曦立光電 做貼合
2.US$70/pc for bonding + AR glass
3.CG-070W-AROB→戎克
   AA070ME01 → 7"LCD 型號</t>
        </r>
      </text>
    </comment>
    <comment ref="H2090" authorId="0" shapeId="0" xr:uid="{1B10DB51-C76A-3642-ABDD-9528396E002D}">
      <text>
        <r>
          <rPr>
            <sz val="10"/>
            <color rgb="FF000000"/>
            <rFont val="Aptos Narrow"/>
            <scheme val="minor"/>
          </rPr>
          <t>======
ID#AAABjx7qOjY
    (2025-05-21 11:33:24)
0412 chloe:收到銀行通知USD264</t>
        </r>
      </text>
    </comment>
    <comment ref="M2090" authorId="0" shapeId="0" xr:uid="{92D0960F-9D45-5E49-994B-D6D95AEEB05C}">
      <text>
        <r>
          <rPr>
            <sz val="10"/>
            <color rgb="FF000000"/>
            <rFont val="Aptos Narrow"/>
            <scheme val="minor"/>
          </rPr>
          <t>======
ID#AAABjx7qVYg
    (2025-05-21 11:33:27)
4/13寄往曦立光電作貼合</t>
        </r>
      </text>
    </comment>
    <comment ref="H2091" authorId="0" shapeId="0" xr:uid="{B707CA23-2565-C14E-A30F-149689836DC7}">
      <text>
        <r>
          <rPr>
            <sz val="10"/>
            <color rgb="FF000000"/>
            <rFont val="Aptos Narrow"/>
            <scheme val="minor"/>
          </rPr>
          <t>======
ID#AAABjx7qPe8
    (2025-05-21 11:33:24)
0412 chloe:收到銀行通知USD264</t>
        </r>
      </text>
    </comment>
    <comment ref="H2092" authorId="0" shapeId="0" xr:uid="{78501C43-6D80-0D40-8C00-4CF26D3164EC}">
      <text>
        <r>
          <rPr>
            <sz val="10"/>
            <color rgb="FF000000"/>
            <rFont val="Aptos Narrow"/>
            <scheme val="minor"/>
          </rPr>
          <t>======
ID#AAABjx7qNGs
    (2025-05-21 11:33:23)
0428 chloe:收到銀行通知USD20982</t>
        </r>
      </text>
    </comment>
    <comment ref="M2092" authorId="0" shapeId="0" xr:uid="{5E016E25-F78E-FF4B-A998-D04D28C22203}">
      <text>
        <r>
          <rPr>
            <sz val="10"/>
            <color rgb="FF000000"/>
            <rFont val="Aptos Narrow"/>
            <scheme val="minor"/>
          </rPr>
          <t>======
ID#AAABjx7qSHU
    (2025-05-21 11:33:26)
HS CODE:8517.62</t>
        </r>
      </text>
    </comment>
    <comment ref="H2093" authorId="0" shapeId="0" xr:uid="{E77E0179-8F90-BE4E-89A3-47BCAFF7502E}">
      <text>
        <r>
          <rPr>
            <sz val="10"/>
            <color rgb="FF000000"/>
            <rFont val="Aptos Narrow"/>
            <scheme val="minor"/>
          </rPr>
          <t>======
ID#AAABjx7qUuo
    (2025-05-21 11:33:26)
0428 chloe:收到銀行通知USD20982</t>
        </r>
      </text>
    </comment>
    <comment ref="M2093" authorId="0" shapeId="0" xr:uid="{425CCD59-6D2A-DA4C-BCC3-71DF064DDCCA}">
      <text>
        <r>
          <rPr>
            <sz val="10"/>
            <color rgb="FF000000"/>
            <rFont val="Aptos Narrow"/>
            <scheme val="minor"/>
          </rPr>
          <t>======
ID#AAABjx7qRI8
    (2025-05-21 11:33:25)
HS CODE:8517.62</t>
        </r>
      </text>
    </comment>
    <comment ref="E2094" authorId="0" shapeId="0" xr:uid="{E20B6D2C-C726-E442-8675-2ADACCD0DDA4}">
      <text>
        <r>
          <rPr>
            <sz val="10"/>
            <color rgb="FF000000"/>
            <rFont val="Aptos Narrow"/>
            <scheme val="minor"/>
          </rPr>
          <t>======
ID#AAABjx7qS_0
    (2025-05-21 11:33:26)
170409 Karen: 正確型號IKS-G6524A-4GTXSFP-HV-HV</t>
        </r>
      </text>
    </comment>
    <comment ref="H2094" authorId="0" shapeId="0" xr:uid="{FBB5CCD5-054F-7F45-8FEF-98D9BD8C81F6}">
      <text>
        <r>
          <rPr>
            <sz val="10"/>
            <color rgb="FF000000"/>
            <rFont val="Aptos Narrow"/>
            <scheme val="minor"/>
          </rPr>
          <t>======
ID#AAABjx7qTgY
    (2025-05-21 11:33:26)
0428 chloe:收到銀行通知USD20982</t>
        </r>
      </text>
    </comment>
    <comment ref="M2094" authorId="0" shapeId="0" xr:uid="{24B1FAF0-6BF7-7244-8253-CCDC372307B7}">
      <text>
        <r>
          <rPr>
            <sz val="10"/>
            <color rgb="FF000000"/>
            <rFont val="Aptos Narrow"/>
            <scheme val="minor"/>
          </rPr>
          <t>======
ID#AAABjx7qVOY
    (2025-05-21 11:33:27)
HS CODE:8517.62</t>
        </r>
      </text>
    </comment>
    <comment ref="E2095" authorId="0" shapeId="0" xr:uid="{307C85A7-8D7A-684D-BCCB-76F9036C2F7D}">
      <text>
        <r>
          <rPr>
            <sz val="10"/>
            <color rgb="FF000000"/>
            <rFont val="Aptos Narrow"/>
            <scheme val="minor"/>
          </rPr>
          <t>======
ID#AAABjx7qQP4
    (2025-05-21 11:33:25)
170411 Karen :廠商料號 LS38-C3S-TC-N-DD</t>
        </r>
      </text>
    </comment>
    <comment ref="H2095" authorId="0" shapeId="0" xr:uid="{2FAC1D56-4EAB-3341-A99A-2BA1888EB324}">
      <text>
        <r>
          <rPr>
            <sz val="10"/>
            <color rgb="FF000000"/>
            <rFont val="Aptos Narrow"/>
            <scheme val="minor"/>
          </rPr>
          <t>======
ID#AAABjx7qO7Y
    (2025-05-21 11:33:24)
0428 chloe:收到銀行通知USD20982</t>
        </r>
      </text>
    </comment>
    <comment ref="N2095" authorId="0" shapeId="0" xr:uid="{1A4E4E5B-7575-2D48-A557-19B8C55CA7B0}">
      <text>
        <r>
          <rPr>
            <sz val="10"/>
            <color rgb="FF000000"/>
            <rFont val="Aptos Narrow"/>
            <scheme val="minor"/>
          </rPr>
          <t>======
ID#AAABjx7qNm8
    (2025-05-21 11:33:23)
採購為TAMMY</t>
        </r>
      </text>
    </comment>
    <comment ref="E2096" authorId="0" shapeId="0" xr:uid="{F3C7D08A-6A54-DA46-A9EF-B7EA7AA537B5}">
      <text>
        <r>
          <rPr>
            <sz val="10"/>
            <color rgb="FF000000"/>
            <rFont val="Aptos Narrow"/>
            <scheme val="minor"/>
          </rPr>
          <t>======
ID#AAABjx7qQ-0
    (2025-05-21 11:33:25)
LS38-C3L-TC-N-DD  30km NTD2880/pcs</t>
        </r>
      </text>
    </comment>
    <comment ref="H2096" authorId="0" shapeId="0" xr:uid="{27C5F471-EA3D-FB45-9B66-D9198C20FC0C}">
      <text>
        <r>
          <rPr>
            <sz val="10"/>
            <color rgb="FF000000"/>
            <rFont val="Aptos Narrow"/>
            <scheme val="minor"/>
          </rPr>
          <t>======
ID#AAABjx7qQHU
    (2025-05-21 11:33:25)
0428 chloe:收到銀行通知USD20982</t>
        </r>
      </text>
    </comment>
    <comment ref="N2096" authorId="0" shapeId="0" xr:uid="{A7C23109-0B47-D34F-A76C-36045B733F38}">
      <text>
        <r>
          <rPr>
            <sz val="10"/>
            <color rgb="FF000000"/>
            <rFont val="Aptos Narrow"/>
            <scheme val="minor"/>
          </rPr>
          <t>======
ID#AAABjx7qOFM
    (2025-05-21 11:33:24)
採購為TAMMY</t>
        </r>
      </text>
    </comment>
    <comment ref="H2097" authorId="0" shapeId="0" xr:uid="{F6A9922C-1F35-D94B-A530-092012B2A719}">
      <text>
        <r>
          <rPr>
            <sz val="10"/>
            <color rgb="FF000000"/>
            <rFont val="Aptos Narrow"/>
            <scheme val="minor"/>
          </rPr>
          <t>======
ID#AAABjx7qSVg
    (2025-05-21 11:33:26)
0424 chloe:收到西聯匯入NT12481元現金</t>
        </r>
      </text>
    </comment>
    <comment ref="H2098" authorId="0" shapeId="0" xr:uid="{EAD6638D-8C64-CE42-B1F2-238AC57CD7D5}">
      <text>
        <r>
          <rPr>
            <sz val="10"/>
            <color rgb="FF000000"/>
            <rFont val="Aptos Narrow"/>
            <scheme val="minor"/>
          </rPr>
          <t>======
ID#AAABjx7qQvI
    (2025-05-21 11:33:25)
0424 chloe:收到西聯匯入NT12481元現金</t>
        </r>
      </text>
    </comment>
    <comment ref="H2099" authorId="0" shapeId="0" xr:uid="{9A35688E-C735-D94D-A7FC-4BC1A39A8ED5}">
      <text>
        <r>
          <rPr>
            <sz val="10"/>
            <color rgb="FF000000"/>
            <rFont val="Aptos Narrow"/>
            <scheme val="minor"/>
          </rPr>
          <t>======
ID#AAABjx7qTZ8
    (2025-05-21 11:33:26)
0630 chloe:收到銀行通知USD3230</t>
        </r>
      </text>
    </comment>
    <comment ref="M2099" authorId="0" shapeId="0" xr:uid="{DD25EAC1-FA30-9B42-BB81-6516E84E017A}">
      <text>
        <r>
          <rPr>
            <sz val="10"/>
            <color rgb="FF000000"/>
            <rFont val="Aptos Narrow"/>
            <scheme val="minor"/>
          </rPr>
          <t>======
ID#AAABjx7qN8Y
    (2025-05-21 11:33:23)
得利威開關交期5/15 ，快異點打線須兩週，之後再PULL看看</t>
        </r>
      </text>
    </comment>
    <comment ref="H2100" authorId="0" shapeId="0" xr:uid="{83408784-14BE-AD4D-99C5-185ADAA366EE}">
      <text>
        <r>
          <rPr>
            <sz val="10"/>
            <color rgb="FF000000"/>
            <rFont val="Aptos Narrow"/>
            <scheme val="minor"/>
          </rPr>
          <t>======
ID#AAABjx7qV1I
    (2025-05-21 11:33:27)
0508 chloe:合庫收到款項NT1316754</t>
        </r>
      </text>
    </comment>
    <comment ref="H2101" authorId="0" shapeId="0" xr:uid="{A8C3ED3D-BDF3-7E45-B3E9-7814028ABDFE}">
      <text>
        <r>
          <rPr>
            <sz val="10"/>
            <color rgb="FF000000"/>
            <rFont val="Aptos Narrow"/>
            <scheme val="minor"/>
          </rPr>
          <t>======
ID#AAABjx7qVIs
    (2025-05-21 11:33:27)
0523 chloe:已收到銀行通知USD6750</t>
        </r>
      </text>
    </comment>
    <comment ref="H2102" authorId="0" shapeId="0" xr:uid="{C38C48CD-9C68-4746-991E-A733DAC3A2C8}">
      <text>
        <r>
          <rPr>
            <sz val="10"/>
            <color rgb="FF000000"/>
            <rFont val="Aptos Narrow"/>
            <scheme val="minor"/>
          </rPr>
          <t>======
ID#AAABjx7qTTg
    (2025-05-21 11:33:26)
0523 chloe:已收到銀行通知USD6750</t>
        </r>
      </text>
    </comment>
    <comment ref="H2103" authorId="0" shapeId="0" xr:uid="{7438C176-4695-7A4F-B5B4-18B8A812C4A4}">
      <text>
        <r>
          <rPr>
            <sz val="10"/>
            <color rgb="FF000000"/>
            <rFont val="Aptos Narrow"/>
            <scheme val="minor"/>
          </rPr>
          <t>======
ID#AAABjx7qTD0
    (2025-05-21 11:33:26)
0523 chloe:已收到銀行通知USD6750</t>
        </r>
      </text>
    </comment>
    <comment ref="H2104" authorId="0" shapeId="0" xr:uid="{E836F1DA-D377-A349-909D-98385544F489}">
      <text>
        <r>
          <rPr>
            <sz val="10"/>
            <color rgb="FF000000"/>
            <rFont val="Aptos Narrow"/>
            <scheme val="minor"/>
          </rPr>
          <t>======
ID#AAABjx7qR9U
    (2025-05-21 11:33:25)
0414 chloe:收到銀行通知USD139</t>
        </r>
      </text>
    </comment>
    <comment ref="H2105" authorId="0" shapeId="0" xr:uid="{80944023-0955-3442-8ED0-0FA1168F47A5}">
      <text>
        <r>
          <rPr>
            <sz val="10"/>
            <color rgb="FF000000"/>
            <rFont val="Aptos Narrow"/>
            <scheme val="minor"/>
          </rPr>
          <t>======
ID#AAABjx7qS1Y
    (2025-05-21 11:33:26)
0414 chloe:收到銀行通知USD139</t>
        </r>
      </text>
    </comment>
    <comment ref="H2106" authorId="0" shapeId="0" xr:uid="{21132CE9-20FC-974F-80A5-3C7143781777}">
      <text>
        <r>
          <rPr>
            <sz val="10"/>
            <color rgb="FF000000"/>
            <rFont val="Aptos Narrow"/>
            <scheme val="minor"/>
          </rPr>
          <t>======
ID#AAABjx7qQVI
    (2025-05-21 11:33:25)
0616 chloe:收到銀行通知USD2355</t>
        </r>
      </text>
    </comment>
    <comment ref="M2106" authorId="0" shapeId="0" xr:uid="{27335D82-2AD0-3748-B7D8-3107A2EB3643}">
      <text>
        <r>
          <rPr>
            <sz val="10"/>
            <color rgb="FF000000"/>
            <rFont val="Aptos Narrow"/>
            <scheme val="minor"/>
          </rPr>
          <t>======
ID#AAABjx7qTRA
    (2025-05-21 11:33:26)
0414 chloe:IEI交期5/18，待PULL
0512 告知有機會5/18當天到貨
5/16 到貨</t>
        </r>
      </text>
    </comment>
    <comment ref="E2107" authorId="0" shapeId="0" xr:uid="{AE71039E-CE09-5E4F-AA11-83B1E00ADE49}">
      <text>
        <r>
          <rPr>
            <sz val="10"/>
            <color rgb="FF000000"/>
            <rFont val="Aptos Narrow"/>
            <scheme val="minor"/>
          </rPr>
          <t>======
ID#AAABjx7qRUw
    (2025-05-21 11:33:25)
170505 變更如下：
11090R0002--&gt;11090R0004
MC7330--&gt;MC7430</t>
        </r>
      </text>
    </comment>
    <comment ref="H2107" authorId="0" shapeId="0" xr:uid="{4D5BE231-DB5C-A645-9E15-C483D499BEC3}">
      <text>
        <r>
          <rPr>
            <sz val="10"/>
            <color rgb="FF000000"/>
            <rFont val="Aptos Narrow"/>
            <scheme val="minor"/>
          </rPr>
          <t>======
ID#AAABjx7qSQY
    (2025-05-21 11:33:26)
0616 chloe:收到銀行通知USD2355</t>
        </r>
      </text>
    </comment>
    <comment ref="K2107" authorId="0" shapeId="0" xr:uid="{C2F42E88-B592-774E-A017-3A289061023D}">
      <text>
        <r>
          <rPr>
            <sz val="10"/>
            <color rgb="FF000000"/>
            <rFont val="Aptos Narrow"/>
            <scheme val="minor"/>
          </rPr>
          <t>======
ID#AAABjx7qM2E
    (2025-05-21 11:33:23)
170414 TPOLE 5月第一週要收到貨
0427 確認此單是否還有?</t>
        </r>
      </text>
    </comment>
    <comment ref="O2107" authorId="0" shapeId="0" xr:uid="{679D2B5C-B94B-1243-8337-7BE5B6B05AC5}">
      <text>
        <r>
          <rPr>
            <sz val="10"/>
            <color rgb="FF000000"/>
            <rFont val="Aptos Narrow"/>
            <scheme val="minor"/>
          </rPr>
          <t>======
ID#AAABjx7qNJ0
    (2025-05-21 11:33:23)
PO-20170412C-2 MC7330 EOL故DC</t>
        </r>
      </text>
    </comment>
    <comment ref="H2108" authorId="0" shapeId="0" xr:uid="{F382F9C7-F9F5-AD4A-9D44-0B222BDD9A26}">
      <text>
        <r>
          <rPr>
            <sz val="10"/>
            <color rgb="FF000000"/>
            <rFont val="Aptos Narrow"/>
            <scheme val="minor"/>
          </rPr>
          <t>======
ID#AAABjx7qTOg
    (2025-05-21 11:33:26)
0612 chloe:今日已收到銀行通知USD7074(多USD10)</t>
        </r>
      </text>
    </comment>
    <comment ref="M2108" authorId="0" shapeId="0" xr:uid="{121AD133-D0C6-9B45-BDCC-243B99744CA5}">
      <text>
        <r>
          <rPr>
            <sz val="10"/>
            <color rgb="FF000000"/>
            <rFont val="Aptos Narrow"/>
            <scheme val="minor"/>
          </rPr>
          <t>======
ID#AAABjx7qRpc
    (2025-05-21 11:33:25)
待回覆，但4月底交貨可能不大
4/26 到貨戎克</t>
        </r>
      </text>
    </comment>
    <comment ref="H2109" authorId="0" shapeId="0" xr:uid="{3E932937-CB05-4A4F-9CEA-966CFC557AF8}">
      <text>
        <r>
          <rPr>
            <sz val="10"/>
            <color rgb="FF000000"/>
            <rFont val="Aptos Narrow"/>
            <scheme val="minor"/>
          </rPr>
          <t>======
ID#AAABjx7qQ60
    (2025-05-21 11:33:25)
0526 chloe: 收到銀行通知USD7175</t>
        </r>
      </text>
    </comment>
    <comment ref="H2110" authorId="0" shapeId="0" xr:uid="{EC016016-636F-EB46-8BBC-8D4247F318BF}">
      <text>
        <r>
          <rPr>
            <sz val="10"/>
            <color rgb="FF000000"/>
            <rFont val="Aptos Narrow"/>
            <scheme val="minor"/>
          </rPr>
          <t>======
ID#AAABjx7qU0E
    (2025-05-21 11:33:26)
0523 chloe:已收到銀行通知USD6750</t>
        </r>
      </text>
    </comment>
    <comment ref="H2111" authorId="0" shapeId="0" xr:uid="{8A9975E3-D32A-484A-B977-8DF95D64D5AD}">
      <text>
        <r>
          <rPr>
            <sz val="10"/>
            <color rgb="FF000000"/>
            <rFont val="Aptos Narrow"/>
            <scheme val="minor"/>
          </rPr>
          <t>======
ID#AAABjx7qNKk
    (2025-05-21 11:33:23)
0425 chloe:收到銀行通知USD6117</t>
        </r>
      </text>
    </comment>
    <comment ref="H2112" authorId="0" shapeId="0" xr:uid="{D12405DF-5170-4943-8B67-F6723306E17B}">
      <text>
        <r>
          <rPr>
            <sz val="10"/>
            <color rgb="FF000000"/>
            <rFont val="Aptos Narrow"/>
            <scheme val="minor"/>
          </rPr>
          <t>======
ID#AAABjx7qQQc
    (2025-05-21 11:33:25)
0425 chloe:收到銀行通知USD6117</t>
        </r>
      </text>
    </comment>
    <comment ref="H2113" authorId="0" shapeId="0" xr:uid="{3AC021A9-6ADD-2E4C-9249-933E5CC75143}">
      <text>
        <r>
          <rPr>
            <sz val="10"/>
            <color rgb="FF000000"/>
            <rFont val="Aptos Narrow"/>
            <scheme val="minor"/>
          </rPr>
          <t>======
ID#AAABjx7qQ5g
    (2025-05-21 11:33:25)
0425 chloe:收到銀行通知USD6117</t>
        </r>
      </text>
    </comment>
    <comment ref="H2114" authorId="0" shapeId="0" xr:uid="{4823B9AB-1F48-614D-99D3-886276E0F1D3}">
      <text>
        <r>
          <rPr>
            <sz val="10"/>
            <color rgb="FF000000"/>
            <rFont val="Aptos Narrow"/>
            <scheme val="minor"/>
          </rPr>
          <t>======
ID#AAABjx7qOU8
    (2025-05-21 11:33:24)
0616 chloe:收到銀行通知USD1518</t>
        </r>
      </text>
    </comment>
    <comment ref="H2115" authorId="0" shapeId="0" xr:uid="{BE0A3501-1096-1440-B291-6D3842AD9315}">
      <text>
        <r>
          <rPr>
            <sz val="10"/>
            <color rgb="FF000000"/>
            <rFont val="Aptos Narrow"/>
            <scheme val="minor"/>
          </rPr>
          <t>======
ID#AAABjx7qPcE
    (2025-05-21 11:33:24)
0609 chloe:收到銀行通知USD503.6</t>
        </r>
      </text>
    </comment>
    <comment ref="H2116" authorId="0" shapeId="0" xr:uid="{46A04130-FE08-A348-8060-F401EBE6DE24}">
      <text>
        <r>
          <rPr>
            <sz val="10"/>
            <color rgb="FF000000"/>
            <rFont val="Aptos Narrow"/>
            <scheme val="minor"/>
          </rPr>
          <t>======
ID#AAABjx7qWU8
    (2025-05-21 11:33:27)
0706 chloe: 收到銀行通知USD8418.5(扣上次多匯USD18)</t>
        </r>
      </text>
    </comment>
    <comment ref="K2116" authorId="0" shapeId="0" xr:uid="{5F5CF825-BFEF-7343-BA84-2AE39A55325A}">
      <text>
        <r>
          <rPr>
            <sz val="10"/>
            <color rgb="FF000000"/>
            <rFont val="Aptos Narrow"/>
            <scheme val="minor"/>
          </rPr>
          <t>======
ID#AAABjx7qP6Y
    (2025-05-21 11:33:24)
19x14x8</t>
        </r>
      </text>
    </comment>
    <comment ref="M2116" authorId="0" shapeId="0" xr:uid="{C5BAF490-5C6A-914D-9E9D-72F65CCE47DC}">
      <text>
        <r>
          <rPr>
            <sz val="10"/>
            <color rgb="FF000000"/>
            <rFont val="Aptos Narrow"/>
            <scheme val="minor"/>
          </rPr>
          <t>======
ID#AAABjx7qOwQ
    (2025-05-21 11:33:24)
0515 詢問是否可能提早5/23出貨
0516 產出日仍在5/26，之後交期提前會再告知</t>
        </r>
      </text>
    </comment>
    <comment ref="H2117" authorId="0" shapeId="0" xr:uid="{09B948E4-091A-1242-8567-A857A9CDDAFF}">
      <text>
        <r>
          <rPr>
            <sz val="10"/>
            <color rgb="FF000000"/>
            <rFont val="Aptos Narrow"/>
            <scheme val="minor"/>
          </rPr>
          <t>======
ID#AAABjx7qRNk
    (2025-05-21 11:33:25)
0612 chloe:今日已收到銀行通知USD7074(多USD10)</t>
        </r>
      </text>
    </comment>
    <comment ref="K2117" authorId="0" shapeId="0" xr:uid="{E814CCBC-4D23-D448-AA64-8444A75C61F8}">
      <text>
        <r>
          <rPr>
            <sz val="10"/>
            <color rgb="FF000000"/>
            <rFont val="Aptos Narrow"/>
            <scheme val="minor"/>
          </rPr>
          <t>======
ID#AAABjx7qSHY
    (2025-05-21 11:33:26)
60x35x50</t>
        </r>
      </text>
    </comment>
    <comment ref="H2118" authorId="0" shapeId="0" xr:uid="{EF8DB901-F3BC-644B-B21A-0396CD59E4A9}">
      <text>
        <r>
          <rPr>
            <sz val="10"/>
            <color rgb="FF000000"/>
            <rFont val="Aptos Narrow"/>
            <scheme val="minor"/>
          </rPr>
          <t>======
ID#AAABjx7qU1c
    (2025-05-21 11:33:26)
0612 chloe:今日已收到銀行通知USD7074(多USD10)</t>
        </r>
      </text>
    </comment>
    <comment ref="H2119" authorId="0" shapeId="0" xr:uid="{BF525B74-A5FD-5142-AEE0-2FAA24C87B6A}">
      <text>
        <r>
          <rPr>
            <sz val="10"/>
            <color rgb="FF000000"/>
            <rFont val="Aptos Narrow"/>
            <scheme val="minor"/>
          </rPr>
          <t>======
ID#AAABjx7qRBk
    (2025-05-21 11:33:25)
0612 chloe:今日已收到銀行通知USD7074(多USD10)</t>
        </r>
      </text>
    </comment>
    <comment ref="H2120" authorId="0" shapeId="0" xr:uid="{F207EC8C-9A70-DE40-950C-911BC55A0173}">
      <text>
        <r>
          <rPr>
            <sz val="10"/>
            <color rgb="FF000000"/>
            <rFont val="Aptos Narrow"/>
            <scheme val="minor"/>
          </rPr>
          <t>======
ID#AAABjx7qQcI
    (2025-05-21 11:33:25)
0612 chloe:今日已收到銀行通知USD7074(多USD10)</t>
        </r>
      </text>
    </comment>
    <comment ref="H2121" authorId="0" shapeId="0" xr:uid="{8D54701A-A0DB-A04E-A239-A0D346C0C92B}">
      <text>
        <r>
          <rPr>
            <sz val="10"/>
            <color rgb="FF000000"/>
            <rFont val="Aptos Narrow"/>
            <scheme val="minor"/>
          </rPr>
          <t>======
ID#AAABjx7qU0Y
    (2025-05-21 11:33:26)
0706 chloe: 收到銀行通知USD8418.5(扣上次多匯USD18)</t>
        </r>
      </text>
    </comment>
    <comment ref="M2121" authorId="0" shapeId="0" xr:uid="{00AFEBEB-1A18-0548-8B0C-249C09BC8E6E}">
      <text>
        <r>
          <rPr>
            <sz val="10"/>
            <color rgb="FF000000"/>
            <rFont val="Aptos Narrow"/>
            <scheme val="minor"/>
          </rPr>
          <t>======
ID#AAABjx7qPWU
    (2025-05-21 11:33:24)
0424 尚未領出
0427 領出</t>
        </r>
      </text>
    </comment>
    <comment ref="H2122" authorId="0" shapeId="0" xr:uid="{D6086904-4963-304A-AA91-5755572CB772}">
      <text>
        <r>
          <rPr>
            <sz val="10"/>
            <color rgb="FF000000"/>
            <rFont val="Aptos Narrow"/>
            <scheme val="minor"/>
          </rPr>
          <t>======
ID#AAABjx7qNH4
    (2025-05-21 11:33:23)
0612 chloe:今日已收到銀行通知USD7074(多USD10)</t>
        </r>
      </text>
    </comment>
    <comment ref="H2123" authorId="0" shapeId="0" xr:uid="{52445813-23B6-E04F-A66C-F5C9CF4F7CF9}">
      <text>
        <r>
          <rPr>
            <sz val="10"/>
            <color rgb="FF000000"/>
            <rFont val="Aptos Narrow"/>
            <scheme val="minor"/>
          </rPr>
          <t>======
ID#AAABjx7qWak
    (2025-05-21 11:33:27)
0612 chloe:今日已收到銀行通知USD7074(多USD10)</t>
        </r>
      </text>
    </comment>
    <comment ref="H2124" authorId="0" shapeId="0" xr:uid="{BBB64BC9-631F-E940-B42A-957AD95F6F2A}">
      <text>
        <r>
          <rPr>
            <sz val="10"/>
            <color rgb="FF000000"/>
            <rFont val="Aptos Narrow"/>
            <scheme val="minor"/>
          </rPr>
          <t>======
ID#AAABjx7qTAE
    (2025-05-21 11:33:26)
0612 chloe:收到銀行通知USD436</t>
        </r>
      </text>
    </comment>
    <comment ref="M2124" authorId="0" shapeId="0" xr:uid="{E9D8F46E-1BEB-EE49-9C36-B8F8CD585F3A}">
      <text>
        <r>
          <rPr>
            <sz val="10"/>
            <color rgb="FF000000"/>
            <rFont val="Aptos Narrow"/>
            <scheme val="minor"/>
          </rPr>
          <t>======
ID#AAABjx7qTfc
    (2025-05-21 11:33:26)
0424 詢問交期如期?</t>
        </r>
      </text>
    </comment>
    <comment ref="H2125" authorId="0" shapeId="0" xr:uid="{A4270CEC-8A62-284F-9F01-DBACCA7B6ABC}">
      <text>
        <r>
          <rPr>
            <sz val="10"/>
            <color rgb="FF000000"/>
            <rFont val="Aptos Narrow"/>
            <scheme val="minor"/>
          </rPr>
          <t>======
ID#AAABjx7qP6g
    (2025-05-21 11:33:24)
0612 chloe:收到銀行通知USD436</t>
        </r>
      </text>
    </comment>
    <comment ref="M2125" authorId="0" shapeId="0" xr:uid="{DBA3A828-8B75-314A-91C6-93AD2C3C82E0}">
      <text>
        <r>
          <rPr>
            <sz val="10"/>
            <color rgb="FF000000"/>
            <rFont val="Aptos Narrow"/>
            <scheme val="minor"/>
          </rPr>
          <t>======
ID#AAABjx7qNOQ
    (2025-05-21 11:33:23)
0424 詢問交期如期?</t>
        </r>
      </text>
    </comment>
    <comment ref="H2126" authorId="0" shapeId="0" xr:uid="{4F692975-E243-814B-94DC-17A41CB2AC3F}">
      <text>
        <r>
          <rPr>
            <sz val="10"/>
            <color rgb="FF000000"/>
            <rFont val="Aptos Narrow"/>
            <scheme val="minor"/>
          </rPr>
          <t>======
ID#AAABjx7qOY0
    (2025-05-21 11:33:24)
0612 chloe:收到銀行通知USD436</t>
        </r>
      </text>
    </comment>
    <comment ref="H2127" authorId="0" shapeId="0" xr:uid="{35DA97D0-33C7-A24B-8213-81D3B6EDDFCC}">
      <text>
        <r>
          <rPr>
            <sz val="10"/>
            <color rgb="FF000000"/>
            <rFont val="Aptos Narrow"/>
            <scheme val="minor"/>
          </rPr>
          <t>======
ID#AAABjx7qWG4
    (2025-05-21 11:33:27)
0524 chloe: 先付款 USD20000(NT604370)
0602 chloe:尾款  USD33193(NT1003062)</t>
        </r>
      </text>
    </comment>
    <comment ref="E2128" authorId="0" shapeId="0" xr:uid="{E0829EB5-6F4A-A740-A8C9-99BCAA5427DB}">
      <text>
        <r>
          <rPr>
            <sz val="10"/>
            <color rgb="FF000000"/>
            <rFont val="Aptos Narrow"/>
            <scheme val="minor"/>
          </rPr>
          <t>======
ID#AAABjx7qTVg
    (2025-05-21 11:33:26)
20170104 Santiago: 和之前訂單一樣, w/o adapter</t>
        </r>
      </text>
    </comment>
    <comment ref="H2128" authorId="0" shapeId="0" xr:uid="{EFCABD37-DF9C-0448-8A16-164E97013A5A}">
      <text>
        <r>
          <rPr>
            <sz val="10"/>
            <color rgb="FF000000"/>
            <rFont val="Aptos Narrow"/>
            <scheme val="minor"/>
          </rPr>
          <t>======
ID#AAABjx7qPLs
    (2025-05-21 11:33:24)
0524 chloe: 先付款 USD20000(NT604370)
0602 chloe:尾款  USD33193(NT1003062)</t>
        </r>
      </text>
    </comment>
    <comment ref="H2129" authorId="0" shapeId="0" xr:uid="{BEF1367A-EE89-9044-89BA-A76E3AC8A968}">
      <text>
        <r>
          <rPr>
            <sz val="10"/>
            <color rgb="FF000000"/>
            <rFont val="Aptos Narrow"/>
            <scheme val="minor"/>
          </rPr>
          <t>======
ID#AAABjx7qQxk
    (2025-05-21 11:33:25)
7/14 chloe:收到銀行通知USD24,331.50</t>
        </r>
      </text>
    </comment>
    <comment ref="H2130" authorId="0" shapeId="0" xr:uid="{FEB0ABFD-AE31-334D-8922-90795EA76424}">
      <text>
        <r>
          <rPr>
            <sz val="10"/>
            <color rgb="FF000000"/>
            <rFont val="Aptos Narrow"/>
            <scheme val="minor"/>
          </rPr>
          <t>======
ID#AAABjx7qRy8
    (2025-05-21 11:33:25)
0616 chloe:收到銀行通知USD2355</t>
        </r>
      </text>
    </comment>
    <comment ref="M2130" authorId="0" shapeId="0" xr:uid="{F6C35C28-B85F-5842-A27D-59AF51010101}">
      <text>
        <r>
          <rPr>
            <sz val="10"/>
            <color rgb="FF000000"/>
            <rFont val="Aptos Narrow"/>
            <scheme val="minor"/>
          </rPr>
          <t>======
ID#AAABjx7qRgk
    (2025-05-21 11:33:25)
0424 因工廠缺料，故交期待回覆</t>
        </r>
      </text>
    </comment>
    <comment ref="H2131" authorId="0" shapeId="0" xr:uid="{520D1706-754E-9844-AF28-87E3EA4A314A}">
      <text>
        <r>
          <rPr>
            <sz val="10"/>
            <color rgb="FF000000"/>
            <rFont val="Aptos Narrow"/>
            <scheme val="minor"/>
          </rPr>
          <t>======
ID#AAABjx7qTn8
    (2025-05-21 11:33:26)
0612 chloe:今日已收到銀行通知USD7074(多USD18,下次額度)</t>
        </r>
      </text>
    </comment>
    <comment ref="H2132" authorId="0" shapeId="0" xr:uid="{1A896A51-7F91-994E-BF8C-9A9E23EFE9EE}">
      <text>
        <r>
          <rPr>
            <sz val="10"/>
            <color rgb="FF000000"/>
            <rFont val="Aptos Narrow"/>
            <scheme val="minor"/>
          </rPr>
          <t>======
ID#AAABjx7qS0U
    (2025-05-21 11:33:26)
0810 chloe:收到NT1,960,530</t>
        </r>
      </text>
    </comment>
    <comment ref="K2132" authorId="0" shapeId="0" xr:uid="{14481FA3-875D-4945-8D2D-FF4845CCA30D}">
      <text>
        <r>
          <rPr>
            <sz val="10"/>
            <color rgb="FF000000"/>
            <rFont val="Aptos Narrow"/>
            <scheme val="minor"/>
          </rPr>
          <t>======
ID#AAABjx7qU-4
    (2025-05-21 11:33:27)
先將發票文件給凌群採購</t>
        </r>
      </text>
    </comment>
    <comment ref="H2133" authorId="0" shapeId="0" xr:uid="{0AE1511D-9DD2-FA4B-8507-D3AED551E4AD}">
      <text>
        <r>
          <rPr>
            <sz val="10"/>
            <color rgb="FF000000"/>
            <rFont val="Aptos Narrow"/>
            <scheme val="minor"/>
          </rPr>
          <t>======
ID#AAABjx7qSvo
    (2025-05-21 11:33:26)
0810 chloe:收到NT1,960,530</t>
        </r>
      </text>
    </comment>
    <comment ref="K2133" authorId="0" shapeId="0" xr:uid="{3779C858-C3DF-6543-8CC2-35E043B76152}">
      <text>
        <r>
          <rPr>
            <sz val="10"/>
            <color rgb="FF000000"/>
            <rFont val="Aptos Narrow"/>
            <scheme val="minor"/>
          </rPr>
          <t>======
ID#AAABjx7qQU4
    (2025-05-21 11:33:25)
先將發票文件給凌群採購</t>
        </r>
      </text>
    </comment>
    <comment ref="H2134" authorId="0" shapeId="0" xr:uid="{F06504BC-5449-3D43-9529-E4FC5B1ED337}">
      <text>
        <r>
          <rPr>
            <sz val="10"/>
            <color rgb="FF000000"/>
            <rFont val="Aptos Narrow"/>
            <scheme val="minor"/>
          </rPr>
          <t>======
ID#AAABjx7qNyw
    (2025-05-21 11:33:23)
0810 chloe:收到NT1,960,530</t>
        </r>
      </text>
    </comment>
    <comment ref="K2134" authorId="0" shapeId="0" xr:uid="{55711BE0-C251-7E4F-AC89-D39BE7AB7942}">
      <text>
        <r>
          <rPr>
            <sz val="10"/>
            <color rgb="FF000000"/>
            <rFont val="Aptos Narrow"/>
            <scheme val="minor"/>
          </rPr>
          <t>======
ID#AAABjx7qVTo
    (2025-05-21 11:33:27)
先將發票文件給凌群採購</t>
        </r>
      </text>
    </comment>
    <comment ref="H2135" authorId="0" shapeId="0" xr:uid="{D950605B-3403-0F4C-BB00-5B40E1661D4E}">
      <text>
        <r>
          <rPr>
            <sz val="10"/>
            <color rgb="FF000000"/>
            <rFont val="Aptos Narrow"/>
            <scheme val="minor"/>
          </rPr>
          <t>======
ID#AAABjx7qTm8
    (2025-05-21 11:33:26)
0810 chloe:收到NT1,960,530</t>
        </r>
      </text>
    </comment>
    <comment ref="K2135" authorId="0" shapeId="0" xr:uid="{00683DBB-C28F-164C-80F8-B0128077A07C}">
      <text>
        <r>
          <rPr>
            <sz val="10"/>
            <color rgb="FF000000"/>
            <rFont val="Aptos Narrow"/>
            <scheme val="minor"/>
          </rPr>
          <t>======
ID#AAABjx7qNkM
    (2025-05-21 11:33:23)
先將發票文件給凌群採購</t>
        </r>
      </text>
    </comment>
    <comment ref="H2136" authorId="0" shapeId="0" xr:uid="{815081A7-84FE-F44E-AC58-FD1E988FCAE8}">
      <text>
        <r>
          <rPr>
            <sz val="10"/>
            <color rgb="FF000000"/>
            <rFont val="Aptos Narrow"/>
            <scheme val="minor"/>
          </rPr>
          <t>======
ID#AAABjx7qVYI
    (2025-05-21 11:33:27)
0810 chloe:收到NT1,960,530</t>
        </r>
      </text>
    </comment>
    <comment ref="K2136" authorId="0" shapeId="0" xr:uid="{DF8A4ECD-8D51-B84C-A773-F5094956650D}">
      <text>
        <r>
          <rPr>
            <sz val="10"/>
            <color rgb="FF000000"/>
            <rFont val="Aptos Narrow"/>
            <scheme val="minor"/>
          </rPr>
          <t>======
ID#AAABjx7qPG8
    (2025-05-21 11:33:24)
先將發票文件給凌群採購</t>
        </r>
      </text>
    </comment>
    <comment ref="H2137" authorId="0" shapeId="0" xr:uid="{076F6A95-F136-6549-84E9-6E8819F6D669}">
      <text>
        <r>
          <rPr>
            <sz val="10"/>
            <color rgb="FF000000"/>
            <rFont val="Aptos Narrow"/>
            <scheme val="minor"/>
          </rPr>
          <t>======
ID#AAABjx7qRss
    (2025-05-21 11:33:25)
0810 chloe:收到NT1,960,530</t>
        </r>
      </text>
    </comment>
    <comment ref="K2137" authorId="0" shapeId="0" xr:uid="{F2B43D1C-2E03-374B-8C8E-77813AB1CEB8}">
      <text>
        <r>
          <rPr>
            <sz val="10"/>
            <color rgb="FF000000"/>
            <rFont val="Aptos Narrow"/>
            <scheme val="minor"/>
          </rPr>
          <t>======
ID#AAABjx7qSgw
    (2025-05-21 11:33:26)
先將發票文件給凌群採購</t>
        </r>
      </text>
    </comment>
    <comment ref="H2138" authorId="0" shapeId="0" xr:uid="{7D4123A8-3C86-144E-8E09-8791E23708C9}">
      <text>
        <r>
          <rPr>
            <sz val="10"/>
            <color rgb="FF000000"/>
            <rFont val="Aptos Narrow"/>
            <scheme val="minor"/>
          </rPr>
          <t>======
ID#AAABjx7qTbE
    (2025-05-21 11:33:26)
0612 chloe:今日已收到銀行通知USD7074(多USD18,下次額度)</t>
        </r>
      </text>
    </comment>
    <comment ref="H2139" authorId="0" shapeId="0" xr:uid="{0830A4A4-1BBC-E549-985D-685F9F0427C6}">
      <text>
        <r>
          <rPr>
            <sz val="10"/>
            <color rgb="FF000000"/>
            <rFont val="Aptos Narrow"/>
            <scheme val="minor"/>
          </rPr>
          <t>======
ID#AAABjx7qRSM
    (2025-05-21 11:33:25)
0612 chloe:今日已收到銀行通知USD7074(多USD18,下次額度)</t>
        </r>
      </text>
    </comment>
    <comment ref="H2140" authorId="0" shapeId="0" xr:uid="{28058E6E-F39E-7146-8AEA-4E1E814815EE}">
      <text>
        <r>
          <rPr>
            <sz val="10"/>
            <color rgb="FF000000"/>
            <rFont val="Aptos Narrow"/>
            <scheme val="minor"/>
          </rPr>
          <t>======
ID#AAABjx7qS8g
    (2025-05-21 11:33:26)
0612 chloe:今日已收到銀行通知USD7074(多USD18,下次額度)</t>
        </r>
      </text>
    </comment>
    <comment ref="H2141" authorId="0" shapeId="0" xr:uid="{4609FFDD-467A-FF4B-B447-BA8297CDC9CE}">
      <text>
        <r>
          <rPr>
            <sz val="10"/>
            <color rgb="FF000000"/>
            <rFont val="Aptos Narrow"/>
            <scheme val="minor"/>
          </rPr>
          <t>======
ID#AAABjx7qN5U
    (2025-05-21 11:33:23)
0612 chloe:今日已收到銀行通知USD7074(多USD18,下次額度)</t>
        </r>
      </text>
    </comment>
    <comment ref="Q2141" authorId="0" shapeId="0" xr:uid="{673619D5-1175-BC42-9F9F-DB1CBC07B29C}">
      <text>
        <r>
          <rPr>
            <sz val="10"/>
            <color rgb="FF000000"/>
            <rFont val="Aptos Narrow"/>
            <scheme val="minor"/>
          </rPr>
          <t>======
ID#AAABjx7qRMQ
    (2025-05-21 11:33:25)
另加運費105</t>
        </r>
      </text>
    </comment>
    <comment ref="H2142" authorId="0" shapeId="0" xr:uid="{C15A9B97-D65E-F447-9045-34C33564799C}">
      <text>
        <r>
          <rPr>
            <sz val="10"/>
            <color rgb="FF000000"/>
            <rFont val="Aptos Narrow"/>
            <scheme val="minor"/>
          </rPr>
          <t>======
ID#AAABjx7qNn8
    (2025-05-21 11:33:23)
5/17 今日收到銀行通知 USD5020</t>
        </r>
      </text>
    </comment>
    <comment ref="P2142" authorId="0" shapeId="0" xr:uid="{FB82FF49-3A5F-3042-9338-8FF243330C8D}">
      <text>
        <r>
          <rPr>
            <sz val="10"/>
            <color rgb="FF000000"/>
            <rFont val="Aptos Narrow"/>
            <scheme val="minor"/>
          </rPr>
          <t>======
ID#AAABjx7qOUs
    (2025-05-21 11:33:24)
先付款 119349元
尾款 24044 (尚未付款)</t>
        </r>
      </text>
    </comment>
    <comment ref="H2143" authorId="0" shapeId="0" xr:uid="{682FA7F0-21D7-5E44-9641-884070314E26}">
      <text>
        <r>
          <rPr>
            <sz val="10"/>
            <color rgb="FF000000"/>
            <rFont val="Aptos Narrow"/>
            <scheme val="minor"/>
          </rPr>
          <t>======
ID#AAABjx7qTSo
    (2025-05-21 11:33:26)
7/14 chloe:收到銀行通知USD24,331.50</t>
        </r>
      </text>
    </comment>
    <comment ref="H2144" authorId="0" shapeId="0" xr:uid="{33CF5FF1-410F-C143-B5FA-916E34493401}">
      <text>
        <r>
          <rPr>
            <sz val="10"/>
            <color rgb="FF000000"/>
            <rFont val="Aptos Narrow"/>
            <scheme val="minor"/>
          </rPr>
          <t>======
ID#AAABjx7qVUY
    (2025-05-21 11:33:27)
5/17 今日收到銀行通知 USD5020</t>
        </r>
      </text>
    </comment>
    <comment ref="M2144" authorId="0" shapeId="0" xr:uid="{75CDFC5A-5A11-1349-BF52-A8731DCD9794}">
      <text>
        <r>
          <rPr>
            <sz val="10"/>
            <color rgb="FF000000"/>
            <rFont val="Aptos Narrow"/>
            <scheme val="minor"/>
          </rPr>
          <t>======
ID#AAABjx7qOnc
    (2025-05-21 11:33:24)
44*41*37 10KG</t>
        </r>
      </text>
    </comment>
    <comment ref="H2145" authorId="0" shapeId="0" xr:uid="{26CF1EA6-70AD-6D45-BD2A-594DC3C6A9FB}">
      <text>
        <r>
          <rPr>
            <sz val="10"/>
            <color rgb="FF000000"/>
            <rFont val="Aptos Narrow"/>
            <scheme val="minor"/>
          </rPr>
          <t>======
ID#AAABjx7qSHo
    (2025-05-21 11:33:26)
5/17 今日收到銀行通知 USD5020</t>
        </r>
      </text>
    </comment>
    <comment ref="G2146" authorId="0" shapeId="0" xr:uid="{05E7DDF8-A87C-5143-8DAA-3AF43895F9A7}">
      <text>
        <r>
          <rPr>
            <sz val="10"/>
            <color rgb="FF000000"/>
            <rFont val="Aptos Narrow"/>
            <scheme val="minor"/>
          </rPr>
          <t>======
ID#AAABjx7qPLI
    (2025-05-21 11:33:24)
w/5%VAT</t>
        </r>
      </text>
    </comment>
    <comment ref="H2146" authorId="0" shapeId="0" xr:uid="{898BF005-B296-E848-A0F6-837C49785297}">
      <text>
        <r>
          <rPr>
            <sz val="10"/>
            <color rgb="FF000000"/>
            <rFont val="Aptos Narrow"/>
            <scheme val="minor"/>
          </rPr>
          <t>======
ID#AAABjx7qSjc
    (2025-05-21 11:33:26)
0629 Chloe:已收到款項 NT22644</t>
        </r>
      </text>
    </comment>
    <comment ref="H2147" authorId="0" shapeId="0" xr:uid="{6AA5CC70-30CC-854B-8C25-95A81366D7DE}">
      <text>
        <r>
          <rPr>
            <sz val="10"/>
            <color rgb="FF000000"/>
            <rFont val="Aptos Narrow"/>
            <scheme val="minor"/>
          </rPr>
          <t>======
ID#AAABjx7qTrA
    (2025-05-21 11:33:26)
0616 chloe:收到銀行通知USD1518</t>
        </r>
      </text>
    </comment>
    <comment ref="H2148" authorId="0" shapeId="0" xr:uid="{577B5D4D-8BC3-7742-969F-27D14E31ABED}">
      <text>
        <r>
          <rPr>
            <sz val="10"/>
            <color rgb="FF000000"/>
            <rFont val="Aptos Narrow"/>
            <scheme val="minor"/>
          </rPr>
          <t>======
ID#AAABjx7qOak
    (2025-05-21 11:33:24)
0616 chloe:收到銀行通知USD1518</t>
        </r>
      </text>
    </comment>
    <comment ref="H2149" authorId="0" shapeId="0" xr:uid="{63A77C1B-2DDE-5541-B88D-000587B863D9}">
      <text>
        <r>
          <rPr>
            <sz val="10"/>
            <color rgb="FF000000"/>
            <rFont val="Aptos Narrow"/>
            <scheme val="minor"/>
          </rPr>
          <t>======
ID#AAABjx7qRlA
    (2025-05-21 11:33:25)
0616 chloe:收到銀行通知USD1518</t>
        </r>
      </text>
    </comment>
    <comment ref="H2150" authorId="0" shapeId="0" xr:uid="{91CE77BE-C69F-E542-BEEA-D85FB34D8976}">
      <text>
        <r>
          <rPr>
            <sz val="10"/>
            <color rgb="FF000000"/>
            <rFont val="Aptos Narrow"/>
            <scheme val="minor"/>
          </rPr>
          <t>======
ID#AAABjx7qVfI
    (2025-05-21 11:33:27)
0616 chloe:收到銀行通知USD1518</t>
        </r>
      </text>
    </comment>
    <comment ref="C2151" authorId="0" shapeId="0" xr:uid="{BBC22DF7-1791-2D45-89CC-181876CCD2EE}">
      <text>
        <r>
          <rPr>
            <sz val="10"/>
            <color rgb="FF000000"/>
            <rFont val="Aptos Narrow"/>
            <scheme val="minor"/>
          </rPr>
          <t>======
ID#AAABjx7qO4I
    (2025-05-21 11:33:24)
170507 未回覆交期是否接受，故先取消。</t>
        </r>
      </text>
    </comment>
    <comment ref="C2152" authorId="0" shapeId="0" xr:uid="{765C0728-2A3D-1949-B034-3EFFD9B9EF60}">
      <text>
        <r>
          <rPr>
            <sz val="10"/>
            <color rgb="FF000000"/>
            <rFont val="Aptos Narrow"/>
            <scheme val="minor"/>
          </rPr>
          <t>======
ID#AAABjx7qTAI
    (2025-05-21 11:33:26)
170507 未回覆交期是否接受，故先取消。</t>
        </r>
      </text>
    </comment>
    <comment ref="H2153" authorId="0" shapeId="0" xr:uid="{459E7B82-505C-D546-9AFC-4D81C6C5E233}">
      <text>
        <r>
          <rPr>
            <sz val="10"/>
            <color rgb="FF000000"/>
            <rFont val="Aptos Narrow"/>
            <scheme val="minor"/>
          </rPr>
          <t>======
ID#AAABjx7qTLo
    (2025-05-21 11:33:26)
0525 Chloe:收到銀行通知USD718</t>
        </r>
      </text>
    </comment>
    <comment ref="H2154" authorId="0" shapeId="0" xr:uid="{36D36484-642A-2749-8F30-9B6AE18DADFD}">
      <text>
        <r>
          <rPr>
            <sz val="10"/>
            <color rgb="FF000000"/>
            <rFont val="Aptos Narrow"/>
            <scheme val="minor"/>
          </rPr>
          <t>======
ID#AAABjx7qPRY
    (2025-05-21 11:33:24)
0525 Chloe:收到銀行通知USD718</t>
        </r>
      </text>
    </comment>
    <comment ref="H2155" authorId="0" shapeId="0" xr:uid="{F57B3FDD-1B4C-AE48-B040-1FDC9613D4CE}">
      <text>
        <r>
          <rPr>
            <sz val="10"/>
            <color rgb="FF000000"/>
            <rFont val="Aptos Narrow"/>
            <scheme val="minor"/>
          </rPr>
          <t>======
ID#AAABjx7qPwk
    (2025-05-21 11:33:24)
0525 Chloe:收到銀行通知USD718</t>
        </r>
      </text>
    </comment>
    <comment ref="H2156" authorId="0" shapeId="0" xr:uid="{6120277E-F1B6-0F4A-864D-BD4F8C2D2467}">
      <text>
        <r>
          <rPr>
            <sz val="10"/>
            <color rgb="FF000000"/>
            <rFont val="Aptos Narrow"/>
            <scheme val="minor"/>
          </rPr>
          <t>======
ID#AAABjx7qU6Y
    (2025-05-21 11:33:27)
0706 chloe: 收到銀行通知USD8418.5(扣上次多匯USD18)</t>
        </r>
      </text>
    </comment>
    <comment ref="M2156" authorId="0" shapeId="0" xr:uid="{2A6E91CF-4D9D-0341-A754-EB92EDFDFAE1}">
      <text>
        <r>
          <rPr>
            <sz val="10"/>
            <color rgb="FF000000"/>
            <rFont val="Aptos Narrow"/>
            <scheme val="minor"/>
          </rPr>
          <t>======
ID#AAABjx7qMtc
    (2025-05-21 11:33:23)
(23x44x27)</t>
        </r>
      </text>
    </comment>
    <comment ref="W2156" authorId="0" shapeId="0" xr:uid="{5493138D-F375-8C4E-A83F-DE05D3DF4061}">
      <text>
        <r>
          <rPr>
            <sz val="10"/>
            <color rgb="FF000000"/>
            <rFont val="Aptos Narrow"/>
            <scheme val="minor"/>
          </rPr>
          <t>======
ID#AAABjx7qMs4
    (2025-05-21 11:33:23)
月結30天，額度USD5000</t>
        </r>
      </text>
    </comment>
    <comment ref="H2157" authorId="0" shapeId="0" xr:uid="{8E7D0B02-7F3A-734B-849F-4E671C0823BF}">
      <text>
        <r>
          <rPr>
            <sz val="10"/>
            <color rgb="FF000000"/>
            <rFont val="Aptos Narrow"/>
            <scheme val="minor"/>
          </rPr>
          <t>======
ID#AAABjx7qNqg
    (2025-05-21 11:33:23)
0706 chloe: 收到銀行通知USD8418.5(扣上次多匯USD18)</t>
        </r>
      </text>
    </comment>
    <comment ref="W2157" authorId="0" shapeId="0" xr:uid="{C759AD37-93A5-3C4B-B4AB-B0C42135B0AA}">
      <text>
        <r>
          <rPr>
            <sz val="10"/>
            <color rgb="FF000000"/>
            <rFont val="Aptos Narrow"/>
            <scheme val="minor"/>
          </rPr>
          <t>======
ID#AAABjx7qOU0
    (2025-05-21 11:33:24)
月結30天，額度USD5000</t>
        </r>
      </text>
    </comment>
    <comment ref="H2158" authorId="0" shapeId="0" xr:uid="{2FED745B-6F6F-014E-8FAD-1724959C094C}">
      <text>
        <r>
          <rPr>
            <sz val="10"/>
            <color rgb="FF000000"/>
            <rFont val="Aptos Narrow"/>
            <scheme val="minor"/>
          </rPr>
          <t>======
ID#AAABjx7qTJA
    (2025-05-21 11:33:26)
0706 chloe: 收到銀行通知USD8418.5(扣上次多匯USD18)</t>
        </r>
      </text>
    </comment>
    <comment ref="H2159" authorId="0" shapeId="0" xr:uid="{96B44D62-622B-A64E-A903-36F397559437}">
      <text>
        <r>
          <rPr>
            <sz val="10"/>
            <color rgb="FF000000"/>
            <rFont val="Aptos Narrow"/>
            <scheme val="minor"/>
          </rPr>
          <t>======
ID#AAABjx7qTBY
    (2025-05-21 11:33:26)
0710 chloe:收到銀行通知USD909</t>
        </r>
      </text>
    </comment>
    <comment ref="H2160" authorId="0" shapeId="0" xr:uid="{E09C9545-EC6C-8841-980B-A5E79A593BAF}">
      <text>
        <r>
          <rPr>
            <sz val="10"/>
            <color rgb="FF000000"/>
            <rFont val="Aptos Narrow"/>
            <scheme val="minor"/>
          </rPr>
          <t>======
ID#AAABjx7qWCs
    (2025-05-21 11:33:27)
0710 chloe:收到銀行通知USD909</t>
        </r>
      </text>
    </comment>
    <comment ref="H2161" authorId="0" shapeId="0" xr:uid="{DAAD7B2B-190A-504D-B46F-438639CE0ACF}">
      <text>
        <r>
          <rPr>
            <sz val="10"/>
            <color rgb="FF000000"/>
            <rFont val="Aptos Narrow"/>
            <scheme val="minor"/>
          </rPr>
          <t>======
ID#AAABjx7qQ_8
    (2025-05-21 11:33:25)
0721 chloe:收到銀行通知USD5180</t>
        </r>
      </text>
    </comment>
    <comment ref="H2162" authorId="0" shapeId="0" xr:uid="{5691C537-4B02-A447-87F3-99F3B14F20F3}">
      <text>
        <r>
          <rPr>
            <sz val="10"/>
            <color rgb="FF000000"/>
            <rFont val="Aptos Narrow"/>
            <scheme val="minor"/>
          </rPr>
          <t>======
ID#AAABjx7qP0M
    (2025-05-21 11:33:24)
0512 chloe:收到銀行通知USD1728</t>
        </r>
      </text>
    </comment>
    <comment ref="E2163" authorId="0" shapeId="0" xr:uid="{CF998BC7-4F9A-D74F-AE52-D468D618BD85}">
      <text>
        <r>
          <rPr>
            <sz val="10"/>
            <color rgb="FF000000"/>
            <rFont val="Aptos Narrow"/>
            <scheme val="minor"/>
          </rPr>
          <t>======
ID#AAABjx7qVd0
    (2025-05-21 11:33:27)
170510 Karen: 下單型號MGate MB3180 w/EU adapter</t>
        </r>
      </text>
    </comment>
    <comment ref="H2163" authorId="0" shapeId="0" xr:uid="{86FD2878-67AA-9544-B36A-86B6E3B22E47}">
      <text>
        <r>
          <rPr>
            <sz val="10"/>
            <color rgb="FF000000"/>
            <rFont val="Aptos Narrow"/>
            <scheme val="minor"/>
          </rPr>
          <t>======
ID#AAABjx7qNHA
    (2025-05-21 11:33:23)
0512 chloe:收到銀行通知USD1728</t>
        </r>
      </text>
    </comment>
    <comment ref="H2164" authorId="0" shapeId="0" xr:uid="{7B1E2AE2-6D44-1A46-9126-76D4F92F4086}">
      <text>
        <r>
          <rPr>
            <sz val="10"/>
            <color rgb="FF000000"/>
            <rFont val="Aptos Narrow"/>
            <scheme val="minor"/>
          </rPr>
          <t>======
ID#AAABjx7qRuM
    (2025-05-21 11:33:25)
0710 chloe:收到銀行通知USD909</t>
        </r>
      </text>
    </comment>
    <comment ref="H2165" authorId="0" shapeId="0" xr:uid="{675B9503-396F-1A42-AB7D-45955502256A}">
      <text>
        <r>
          <rPr>
            <sz val="10"/>
            <color rgb="FF000000"/>
            <rFont val="Aptos Narrow"/>
            <scheme val="minor"/>
          </rPr>
          <t>======
ID#AAABjx7qWLw
    (2025-05-21 11:33:27)
0718 chloe:收到銀行通知USD841</t>
        </r>
      </text>
    </comment>
    <comment ref="H2166" authorId="0" shapeId="0" xr:uid="{691718C7-EEA3-5B4E-B7F8-7654BA9B6682}">
      <text>
        <r>
          <rPr>
            <sz val="10"/>
            <color rgb="FF000000"/>
            <rFont val="Aptos Narrow"/>
            <scheme val="minor"/>
          </rPr>
          <t>======
ID#AAABjx7qQiU
    (2025-05-21 11:33:25)
0718 chloe:收到銀行通知USD841</t>
        </r>
      </text>
    </comment>
    <comment ref="H2167" authorId="0" shapeId="0" xr:uid="{1E4EDEDF-EDB5-B04E-9E06-2D31FC18BD75}">
      <text>
        <r>
          <rPr>
            <sz val="10"/>
            <color rgb="FF000000"/>
            <rFont val="Aptos Narrow"/>
            <scheme val="minor"/>
          </rPr>
          <t>======
ID#AAABjx7qPgE
    (2025-05-21 11:33:24)
0706 chloe: 收到銀行通知USD8418.5(扣上次多匯USD18)</t>
        </r>
      </text>
    </comment>
    <comment ref="H2168" authorId="0" shapeId="0" xr:uid="{A4C8EDEA-91F6-7E45-88D3-47B1C4F12230}">
      <text>
        <r>
          <rPr>
            <sz val="10"/>
            <color rgb="FF000000"/>
            <rFont val="Aptos Narrow"/>
            <scheme val="minor"/>
          </rPr>
          <t>======
ID#AAABjx7qNGk
    (2025-05-21 11:33:23)
0706 chloe: 收到銀行通知USD8418.5(扣上次多匯USD18)</t>
        </r>
      </text>
    </comment>
    <comment ref="H2169" authorId="0" shapeId="0" xr:uid="{A67CB960-BB4E-A847-9724-4E644FC61FA1}">
      <text>
        <r>
          <rPr>
            <sz val="10"/>
            <color rgb="FF000000"/>
            <rFont val="Aptos Narrow"/>
            <scheme val="minor"/>
          </rPr>
          <t>======
ID#AAABjx7qO5U
    (2025-05-21 11:33:24)
0706 chloe: 收到銀行通知USD8418.5(扣上次多匯USD18)</t>
        </r>
      </text>
    </comment>
    <comment ref="H2170" authorId="0" shapeId="0" xr:uid="{4F7E21B1-3C2A-504D-BADC-8731AC468605}">
      <text>
        <r>
          <rPr>
            <sz val="10"/>
            <color rgb="FF000000"/>
            <rFont val="Aptos Narrow"/>
            <scheme val="minor"/>
          </rPr>
          <t>======
ID#AAABjx7qTJE
    (2025-05-21 11:33:26)
0706 chloe: 收到銀行通知USD8418.5(扣上次多匯USD18)</t>
        </r>
      </text>
    </comment>
    <comment ref="H2171" authorId="0" shapeId="0" xr:uid="{1B468E11-7D95-CD47-ADAD-80980186050F}">
      <text>
        <r>
          <rPr>
            <sz val="10"/>
            <color rgb="FF000000"/>
            <rFont val="Aptos Narrow"/>
            <scheme val="minor"/>
          </rPr>
          <t>======
ID#AAABjx7qOEw
    (2025-05-21 11:33:24)
0614 chloe:收到銀行通知USD24424</t>
        </r>
      </text>
    </comment>
    <comment ref="G2172" authorId="0" shapeId="0" xr:uid="{CC7D1625-BE7C-CD44-84C9-8A64E86ADF22}">
      <text>
        <r>
          <rPr>
            <sz val="10"/>
            <color rgb="FF000000"/>
            <rFont val="Aptos Narrow"/>
            <scheme val="minor"/>
          </rPr>
          <t>======
ID#AAABjx7qPNY
    (2025-05-21 11:33:24)
170515 w/5% VAT
美金報價US$960 (未稅)
台幣報價NT$28800 (未稅)</t>
        </r>
      </text>
    </comment>
    <comment ref="H2172" authorId="0" shapeId="0" xr:uid="{CDF51746-955F-9A46-9FFD-BD9659C3B346}">
      <text>
        <r>
          <rPr>
            <sz val="10"/>
            <color rgb="FF000000"/>
            <rFont val="Aptos Narrow"/>
            <scheme val="minor"/>
          </rPr>
          <t>======
ID#AAABjx7qRNc
    (2025-05-21 11:33:25)
0524 chloe:收到NT30240</t>
        </r>
      </text>
    </comment>
    <comment ref="K2172" authorId="0" shapeId="0" xr:uid="{C8F01D9E-E57A-A941-AB28-4FA5A377FD12}">
      <text>
        <r>
          <rPr>
            <sz val="10"/>
            <color rgb="FF000000"/>
            <rFont val="Aptos Narrow"/>
            <scheme val="minor"/>
          </rPr>
          <t>======
ID#AAABjx7qP30
    (2025-05-21 11:33:24)
新北市新店區寶橋路235巷135號4樓 Jonas HC Chen (陳曉誠)
0928-905949</t>
        </r>
      </text>
    </comment>
    <comment ref="M2172" authorId="0" shapeId="0" xr:uid="{53B7AC9E-BEF4-4B46-B1E2-D08E91FDF738}">
      <text>
        <r>
          <rPr>
            <sz val="10"/>
            <color rgb="FF000000"/>
            <rFont val="Aptos Narrow"/>
            <scheme val="minor"/>
          </rPr>
          <t>======
ID#AAABjx7qSWI
    (2025-05-21 11:33:26)
發票抬頭請開，易力科技股份有限公司，統編: 28050276
0519 尚未收到款項匯入合庫</t>
        </r>
      </text>
    </comment>
    <comment ref="H2173" authorId="0" shapeId="0" xr:uid="{71420992-CC05-E349-A116-68CAE80470E5}">
      <text>
        <r>
          <rPr>
            <sz val="10"/>
            <color rgb="FF000000"/>
            <rFont val="Aptos Narrow"/>
            <scheme val="minor"/>
          </rPr>
          <t>======
ID#AAABjx7qRUE
    (2025-05-21 11:33:25)
0731 chloe:收到銀行通知USD23876</t>
        </r>
      </text>
    </comment>
    <comment ref="M2173" authorId="0" shapeId="0" xr:uid="{04CB6E80-15D5-434E-B9B0-84AC01D2B2B7}">
      <text>
        <r>
          <rPr>
            <sz val="10"/>
            <color rgb="FF000000"/>
            <rFont val="Aptos Narrow"/>
            <scheme val="minor"/>
          </rPr>
          <t>======
ID#AAABjx7qV60
    (2025-05-21 11:33:27)
送至203號2樓</t>
        </r>
      </text>
    </comment>
    <comment ref="H2174" authorId="0" shapeId="0" xr:uid="{D09DDAB7-F7D4-AC4D-B207-865A0D2184B9}">
      <text>
        <r>
          <rPr>
            <sz val="10"/>
            <color rgb="FF000000"/>
            <rFont val="Aptos Narrow"/>
            <scheme val="minor"/>
          </rPr>
          <t>======
ID#AAABjx7qSRc
    (2025-05-21 11:33:26)
0712 chloe:收到銀行通知USD2058</t>
        </r>
      </text>
    </comment>
    <comment ref="K2174" authorId="0" shapeId="0" xr:uid="{8D889BF6-753B-7B4A-A093-B26C43A95CFA}">
      <text>
        <r>
          <rPr>
            <sz val="10"/>
            <color rgb="FF000000"/>
            <rFont val="Aptos Narrow"/>
            <scheme val="minor"/>
          </rPr>
          <t>======
ID#AAABjx7qU4I
    (2025-05-21 11:33:26)
47*33*29 2KG
因採購休假待回覆</t>
        </r>
      </text>
    </comment>
    <comment ref="H2175" authorId="0" shapeId="0" xr:uid="{223F14F1-C04F-124B-A4DE-3D761C847846}">
      <text>
        <r>
          <rPr>
            <sz val="10"/>
            <color rgb="FF000000"/>
            <rFont val="Aptos Narrow"/>
            <scheme val="minor"/>
          </rPr>
          <t>======
ID#AAABjx7qVro
    (2025-05-21 11:33:27)
0731 chloe:收到銀行通知USD23876</t>
        </r>
      </text>
    </comment>
    <comment ref="M2175" authorId="0" shapeId="0" xr:uid="{302E9229-7A67-B347-AF40-52AB2F40111C}">
      <text>
        <r>
          <rPr>
            <sz val="10"/>
            <color rgb="FF000000"/>
            <rFont val="Aptos Narrow"/>
            <scheme val="minor"/>
          </rPr>
          <t>======
ID#AAABjx7qQho
    (2025-05-21 11:33:25)
0605 待詢問是否到貨VECOM?</t>
        </r>
      </text>
    </comment>
    <comment ref="H2179" authorId="0" shapeId="0" xr:uid="{F903865E-0AE4-3345-97A7-063F11ABF4EF}">
      <text>
        <r>
          <rPr>
            <sz val="10"/>
            <color rgb="FF000000"/>
            <rFont val="Aptos Narrow"/>
            <scheme val="minor"/>
          </rPr>
          <t>======
ID#AAABjx7qQjM
    (2025-05-21 11:33:25)
0712 chloe:收到銀行通知USD2058</t>
        </r>
      </text>
    </comment>
    <comment ref="K2179" authorId="0" shapeId="0" xr:uid="{4F62BD1D-79A2-3D44-A5F2-A8E974FCC507}">
      <text>
        <r>
          <rPr>
            <sz val="10"/>
            <color rgb="FF000000"/>
            <rFont val="Aptos Narrow"/>
            <scheme val="minor"/>
          </rPr>
          <t>======
ID#AAABjx7qPPQ
    (2025-05-21 11:33:24)
47*33*29 2KG
因採購休假待回覆</t>
        </r>
      </text>
    </comment>
    <comment ref="E2180" authorId="0" shapeId="0" xr:uid="{7D30B497-3C5B-3D4D-A576-F2908C00E881}">
      <text>
        <r>
          <rPr>
            <sz val="10"/>
            <color rgb="FF000000"/>
            <rFont val="Aptos Narrow"/>
            <scheme val="minor"/>
          </rPr>
          <t>======
ID#AAABjx7qTWI
    (2025-05-21 11:33:26)
170517 Karen: 下歐規電源</t>
        </r>
      </text>
    </comment>
    <comment ref="H2180" authorId="0" shapeId="0" xr:uid="{A28F87E3-5633-6A45-97AE-B69AD931EDB6}">
      <text>
        <r>
          <rPr>
            <sz val="10"/>
            <color rgb="FF000000"/>
            <rFont val="Aptos Narrow"/>
            <scheme val="minor"/>
          </rPr>
          <t>======
ID#AAABjx7qQWo
    (2025-05-21 11:33:25)
0614 收到支票 NT192925元，待6/30 兌現
0706 入帳</t>
        </r>
      </text>
    </comment>
    <comment ref="H2181" authorId="0" shapeId="0" xr:uid="{A635F2F0-4650-2742-B31B-28A509D2C363}">
      <text>
        <r>
          <rPr>
            <sz val="10"/>
            <color rgb="FF000000"/>
            <rFont val="Aptos Narrow"/>
            <scheme val="minor"/>
          </rPr>
          <t>======
ID#AAABjx7qQP8
    (2025-05-21 11:33:25)
0614 收到支票 NT192925元，待6/30 兌現
0706 入帳</t>
        </r>
      </text>
    </comment>
    <comment ref="H2182" authorId="0" shapeId="0" xr:uid="{928B16F3-BE74-FA48-BD55-F4E1344A49C8}">
      <text>
        <r>
          <rPr>
            <sz val="10"/>
            <color rgb="FF000000"/>
            <rFont val="Aptos Narrow"/>
            <scheme val="minor"/>
          </rPr>
          <t>======
ID#AAABjx7qN7g
    (2025-05-21 11:33:23)
0731 chloe:收到銀行通知USD250</t>
        </r>
      </text>
    </comment>
    <comment ref="M2182" authorId="0" shapeId="0" xr:uid="{E57FC1BD-98AC-0443-81E8-47483EF8EA3B}">
      <text>
        <r>
          <rPr>
            <sz val="10"/>
            <color rgb="FF000000"/>
            <rFont val="Aptos Narrow"/>
            <scheme val="minor"/>
          </rPr>
          <t>======
ID#AAABjx7qTE4
    (2025-05-21 11:33:26)
0519 告知 德利威交期4-5週
0524 德利威開關交期6/27
0707到貨</t>
        </r>
      </text>
    </comment>
    <comment ref="H2183" authorId="0" shapeId="0" xr:uid="{6D374340-4B8C-D548-A5DB-478B4548A320}">
      <text>
        <r>
          <rPr>
            <sz val="10"/>
            <color rgb="FF000000"/>
            <rFont val="Aptos Narrow"/>
            <scheme val="minor"/>
          </rPr>
          <t>======
ID#AAABjx7qS0M
    (2025-05-21 11:33:26)
7/14 chloe:收到銀行通知USD1427</t>
        </r>
      </text>
    </comment>
    <comment ref="M2183" authorId="0" shapeId="0" xr:uid="{DE2682ED-2503-8443-BBE6-3F1FF56991F9}">
      <text>
        <r>
          <rPr>
            <sz val="10"/>
            <color rgb="FF000000"/>
            <rFont val="Aptos Narrow"/>
            <scheme val="minor"/>
          </rPr>
          <t>======
ID#AAABjx7qNvA
    (2025-05-21 11:33:23)
0524 Amy Pull In 中</t>
        </r>
      </text>
    </comment>
    <comment ref="H2184" authorId="0" shapeId="0" xr:uid="{25A02F3F-695E-0743-B982-575BF4591B1A}">
      <text>
        <r>
          <rPr>
            <sz val="10"/>
            <color rgb="FF000000"/>
            <rFont val="Aptos Narrow"/>
            <scheme val="minor"/>
          </rPr>
          <t>======
ID#AAABjx7qRVU
    (2025-05-21 11:33:25)
7/14 chloe:收到銀行通知USD1427</t>
        </r>
      </text>
    </comment>
    <comment ref="H2185" authorId="0" shapeId="0" xr:uid="{66E1BE76-952A-4B49-B686-501AC88C7B3A}">
      <text>
        <r>
          <rPr>
            <sz val="10"/>
            <color rgb="FF000000"/>
            <rFont val="Aptos Narrow"/>
            <scheme val="minor"/>
          </rPr>
          <t>======
ID#AAABjx7qTHs
    (2025-05-21 11:33:26)
0628 chloe: 收到銀行通知USD264</t>
        </r>
      </text>
    </comment>
    <comment ref="H2186" authorId="0" shapeId="0" xr:uid="{64C77173-101B-5942-BD70-14BF0B11198B}">
      <text>
        <r>
          <rPr>
            <sz val="10"/>
            <color rgb="FF000000"/>
            <rFont val="Aptos Narrow"/>
            <scheme val="minor"/>
          </rPr>
          <t>======
ID#AAABjx7qPMQ
    (2025-05-21 11:33:24)
0628 chloe: 收到銀行通知USD264</t>
        </r>
      </text>
    </comment>
    <comment ref="H2187" authorId="0" shapeId="0" xr:uid="{82ED9C76-EB8F-1B49-8064-13236724D731}">
      <text>
        <r>
          <rPr>
            <sz val="10"/>
            <color rgb="FF000000"/>
            <rFont val="Aptos Narrow"/>
            <scheme val="minor"/>
          </rPr>
          <t>======
ID#AAABjx7qSaY
    (2025-05-21 11:33:26)
0731 chloe:收到銀行通知USD23876</t>
        </r>
      </text>
    </comment>
    <comment ref="K2187" authorId="0" shapeId="0" xr:uid="{84260922-C5D7-3445-976D-3F9A6D6C8771}">
      <text>
        <r>
          <rPr>
            <sz val="10"/>
            <color rgb="FF000000"/>
            <rFont val="Aptos Narrow"/>
            <scheme val="minor"/>
          </rPr>
          <t>======
ID#AAABjx7qStk
    (2025-05-21 11:33:26)
21x14x9cm</t>
        </r>
      </text>
    </comment>
    <comment ref="M2187" authorId="0" shapeId="0" xr:uid="{55F48AB4-4728-FE4E-A725-265460465499}">
      <text>
        <r>
          <rPr>
            <sz val="10"/>
            <color rgb="FF000000"/>
            <rFont val="Aptos Narrow"/>
            <scheme val="minor"/>
          </rPr>
          <t>======
ID#AAABjx7qV-0
    (2025-05-21 11:33:27)
0525 已發信詢問交期</t>
        </r>
      </text>
    </comment>
    <comment ref="W2187" authorId="0" shapeId="0" xr:uid="{5D861A72-98E1-9442-A539-761D023AAC56}">
      <text>
        <r>
          <rPr>
            <sz val="10"/>
            <color rgb="FF000000"/>
            <rFont val="Aptos Narrow"/>
            <scheme val="minor"/>
          </rPr>
          <t>======
ID#AAABjx7qNgo
    (2025-05-21 11:33:23)
月結30天，額度USD5000</t>
        </r>
      </text>
    </comment>
    <comment ref="H2188" authorId="0" shapeId="0" xr:uid="{9C54FB79-7896-E641-8FD4-6B119D9BA3EC}">
      <text>
        <r>
          <rPr>
            <sz val="10"/>
            <color rgb="FF000000"/>
            <rFont val="Aptos Narrow"/>
            <scheme val="minor"/>
          </rPr>
          <t>======
ID#AAABjx7qPl8
    (2025-05-21 11:33:24)
0525 chloe:收到銀行通知USD1493</t>
        </r>
      </text>
    </comment>
    <comment ref="H2189" authorId="0" shapeId="0" xr:uid="{C48B3F4D-886D-7D46-A4BD-7CB411F801D2}">
      <text>
        <r>
          <rPr>
            <sz val="10"/>
            <color rgb="FF000000"/>
            <rFont val="Aptos Narrow"/>
            <scheme val="minor"/>
          </rPr>
          <t>======
ID#AAABjx7qRVc
    (2025-05-21 11:33:25)
0525 chloe:收到銀行通知USD1493</t>
        </r>
      </text>
    </comment>
    <comment ref="H2190" authorId="0" shapeId="0" xr:uid="{DCD3589E-0E81-0449-90C4-A488AB1A6B49}">
      <text>
        <r>
          <rPr>
            <sz val="10"/>
            <color rgb="FF000000"/>
            <rFont val="Aptos Narrow"/>
            <scheme val="minor"/>
          </rPr>
          <t>======
ID#AAABjx7qTgo
    (2025-05-21 11:33:26)
0706 chloe: 收到銀行通知USD8418.5(扣上次多匯USD18)</t>
        </r>
      </text>
    </comment>
    <comment ref="K2190" authorId="0" shapeId="0" xr:uid="{F52FE575-C204-2649-8987-0ABFD1728147}">
      <text>
        <r>
          <rPr>
            <sz val="10"/>
            <color rgb="FF000000"/>
            <rFont val="Aptos Narrow"/>
            <scheme val="minor"/>
          </rPr>
          <t>======
ID#AAABjx7qRD4
    (2025-05-21 11:33:25)
21x22x20</t>
        </r>
      </text>
    </comment>
    <comment ref="W2190" authorId="0" shapeId="0" xr:uid="{43128869-C672-4942-989D-DF0EC955D819}">
      <text>
        <r>
          <rPr>
            <sz val="10"/>
            <color rgb="FF000000"/>
            <rFont val="Aptos Narrow"/>
            <scheme val="minor"/>
          </rPr>
          <t>======
ID#AAABjx7qRwA
    (2025-05-21 11:33:25)
月結30天，額度USD5000</t>
        </r>
      </text>
    </comment>
    <comment ref="H2191" authorId="0" shapeId="0" xr:uid="{98669E83-5D44-3648-A02B-AC74DC1B4D07}">
      <text>
        <r>
          <rPr>
            <sz val="10"/>
            <color rgb="FF000000"/>
            <rFont val="Aptos Narrow"/>
            <scheme val="minor"/>
          </rPr>
          <t>======
ID#AAABjx7qQ3U
    (2025-05-21 11:33:25)
0706 chloe: 收到銀行通知USD8418.5(扣上次多匯USD18)</t>
        </r>
      </text>
    </comment>
    <comment ref="W2191" authorId="0" shapeId="0" xr:uid="{01AF50D0-FD1C-4643-B375-F5708AFB2301}">
      <text>
        <r>
          <rPr>
            <sz val="10"/>
            <color rgb="FF000000"/>
            <rFont val="Aptos Narrow"/>
            <scheme val="minor"/>
          </rPr>
          <t>======
ID#AAABjx7qSiM
    (2025-05-21 11:33:26)
月結30天，額度USD5000</t>
        </r>
      </text>
    </comment>
    <comment ref="H2192" authorId="0" shapeId="0" xr:uid="{54D729C1-EFBF-6B4F-8F88-F21D7748E77A}">
      <text>
        <r>
          <rPr>
            <sz val="10"/>
            <color rgb="FF000000"/>
            <rFont val="Aptos Narrow"/>
            <scheme val="minor"/>
          </rPr>
          <t>======
ID#AAABjx7qStw
    (2025-05-21 11:33:26)
0706 chloe: 收到銀行通知USD8418.5(扣上次多匯USD18)</t>
        </r>
      </text>
    </comment>
    <comment ref="E2193" authorId="0" shapeId="0" xr:uid="{FFC0CA70-BA72-6F43-8DE1-87B62AE3DEF1}">
      <text>
        <r>
          <rPr>
            <sz val="10"/>
            <color rgb="FF000000"/>
            <rFont val="Aptos Narrow"/>
            <scheme val="minor"/>
          </rPr>
          <t>======
ID#AAABjx7qToU
    (2025-05-21 11:33:26)
170523 Karen: 下歐規</t>
        </r>
      </text>
    </comment>
    <comment ref="H2193" authorId="0" shapeId="0" xr:uid="{F85D8AC5-5171-F84F-8A50-8665B3DE559F}">
      <text>
        <r>
          <rPr>
            <sz val="10"/>
            <color rgb="FF000000"/>
            <rFont val="Aptos Narrow"/>
            <scheme val="minor"/>
          </rPr>
          <t>======
ID#AAABjx7qRNY
    (2025-05-21 11:33:25)
0601 chloe:收到銀行通知匯入USD13116.5 為此單金額的一半
0706 chloe:收到銀行通知匯入尾款 USD13132.5</t>
        </r>
      </text>
    </comment>
    <comment ref="J2193" authorId="0" shapeId="0" xr:uid="{6E3B0B9A-CC19-4841-BE87-2C43DB904CAD}">
      <text>
        <r>
          <rPr>
            <sz val="10"/>
            <color rgb="FF000000"/>
            <rFont val="Aptos Narrow"/>
            <scheme val="minor"/>
          </rPr>
          <t>======
ID#AAABjx7qQKc
    (2025-05-21 11:33:25)
Tania Chen 
Air Freight Department
RATTAN EXPRESS – Taipei, Taiwan
Skype:tania590205
Tel: 886(2)2718-3335 EXT.54 | Fax: 886(2)2718-3353</t>
        </r>
      </text>
    </comment>
    <comment ref="K2193" authorId="0" shapeId="0" xr:uid="{D054723F-4B83-2B43-B083-90ED01D76B0A}">
      <text>
        <r>
          <rPr>
            <sz val="10"/>
            <color rgb="FF000000"/>
            <rFont val="Aptos Narrow"/>
            <scheme val="minor"/>
          </rPr>
          <t>======
ID#AAABjx7qNxw
    (2025-05-21 11:33:23)
Forword 瑞騰空運 詢價
陳小姐
02-277183335 # 54</t>
        </r>
      </text>
    </comment>
    <comment ref="M2193" authorId="0" shapeId="0" xr:uid="{8D622C94-716F-BD44-8697-DABB6AED7370}">
      <text>
        <r>
          <rPr>
            <sz val="10"/>
            <color rgb="FF000000"/>
            <rFont val="Aptos Narrow"/>
            <scheme val="minor"/>
          </rPr>
          <t>======
ID#AAABjx7qSh0
    (2025-05-21 11:33:26)
收到貨後立刻給予SHIPPING文件</t>
        </r>
      </text>
    </comment>
    <comment ref="E2194" authorId="0" shapeId="0" xr:uid="{364F0FF4-2677-7343-B05E-AB33F84FD70E}">
      <text>
        <r>
          <rPr>
            <sz val="10"/>
            <color rgb="FF000000"/>
            <rFont val="Aptos Narrow"/>
            <scheme val="minor"/>
          </rPr>
          <t>======
ID#AAABjx7qTTA
    (2025-05-21 11:33:26)
170523 Karen: 下歐規</t>
        </r>
      </text>
    </comment>
    <comment ref="H2194" authorId="0" shapeId="0" xr:uid="{69DBAD4C-AD7B-DB4D-8218-B1E11B7767CF}">
      <text>
        <r>
          <rPr>
            <sz val="10"/>
            <color rgb="FF000000"/>
            <rFont val="Aptos Narrow"/>
            <scheme val="minor"/>
          </rPr>
          <t>======
ID#AAABjx7qWKI
    (2025-05-21 11:33:27)
0601 chloe:收到銀行通知匯入USD13116.5 為此單金額的一半
0706 chloe:收到銀行通知匯入尾款 USD13132.5</t>
        </r>
      </text>
    </comment>
    <comment ref="J2194" authorId="0" shapeId="0" xr:uid="{9454914D-6EC8-124E-A167-A039B36E86F4}">
      <text>
        <r>
          <rPr>
            <sz val="10"/>
            <color rgb="FF000000"/>
            <rFont val="Aptos Narrow"/>
            <scheme val="minor"/>
          </rPr>
          <t>======
ID#AAABjx7qU4g
    (2025-05-21 11:33:26)
Tania Chen 
Air Freight Department
RATTAN EXPRESS – Taipei, Taiwan
Skype:tania590205
Tel: 886(2)2718-3335 EXT.54 | Fax: 886(2)2718-3353</t>
        </r>
      </text>
    </comment>
    <comment ref="K2194" authorId="0" shapeId="0" xr:uid="{240FA1BB-F1C0-6241-A1A7-520E21EB0DAA}">
      <text>
        <r>
          <rPr>
            <sz val="10"/>
            <color rgb="FF000000"/>
            <rFont val="Aptos Narrow"/>
            <scheme val="minor"/>
          </rPr>
          <t>======
ID#AAABjx7qQ7s
    (2025-05-21 11:33:25)
Forword 瑞騰空運 詢價
孫小姐
02-277183335 # 41</t>
        </r>
      </text>
    </comment>
    <comment ref="M2194" authorId="0" shapeId="0" xr:uid="{D27EF43C-708D-1442-A28D-5A1708C79C38}">
      <text>
        <r>
          <rPr>
            <sz val="10"/>
            <color rgb="FF000000"/>
            <rFont val="Aptos Narrow"/>
            <scheme val="minor"/>
          </rPr>
          <t>======
ID#AAABjx7qVus
    (2025-05-21 11:33:27)
收到貨後立刻給予SHIPPING文件</t>
        </r>
      </text>
    </comment>
    <comment ref="E2195" authorId="0" shapeId="0" xr:uid="{AE02D976-7BD9-2D40-A3C2-E9749BAD2DEA}">
      <text>
        <r>
          <rPr>
            <sz val="10"/>
            <color rgb="FF000000"/>
            <rFont val="Aptos Narrow"/>
            <scheme val="minor"/>
          </rPr>
          <t>======
ID#AAABjx7qQvw
    (2025-05-21 11:33:25)
170523 Karen: 下歐規</t>
        </r>
      </text>
    </comment>
    <comment ref="H2195" authorId="0" shapeId="0" xr:uid="{4734B3C1-752A-5D41-B04D-2204FCB53DE4}">
      <text>
        <r>
          <rPr>
            <sz val="10"/>
            <color rgb="FF000000"/>
            <rFont val="Aptos Narrow"/>
            <scheme val="minor"/>
          </rPr>
          <t>======
ID#AAABjx7qP7Q
    (2025-05-21 11:33:24)
0601 chloe:收到銀行通知匯入USD13116.5 為此單金額的一半
0706 chloe:收到銀行通知匯入尾款 USD13132.5</t>
        </r>
      </text>
    </comment>
    <comment ref="J2195" authorId="0" shapeId="0" xr:uid="{28D8037A-DE6B-A94D-B7E7-1EFDD5769899}">
      <text>
        <r>
          <rPr>
            <sz val="10"/>
            <color rgb="FF000000"/>
            <rFont val="Aptos Narrow"/>
            <scheme val="minor"/>
          </rPr>
          <t>======
ID#AAABjx7qWAI
    (2025-05-21 11:33:27)
Tania Chen 
Air Freight Department
RATTAN EXPRESS – Taipei, Taiwan
Skype:tania590205
Tel: 886(2)2718-3335 EXT.54 | Fax: 886(2)2718-3353</t>
        </r>
      </text>
    </comment>
    <comment ref="K2195" authorId="0" shapeId="0" xr:uid="{22BCFD1E-D88C-DF44-BB59-5AF999DCCEA5}">
      <text>
        <r>
          <rPr>
            <sz val="10"/>
            <color rgb="FF000000"/>
            <rFont val="Aptos Narrow"/>
            <scheme val="minor"/>
          </rPr>
          <t>======
ID#AAABjx7qQvg
    (2025-05-21 11:33:25)
Forword 瑞騰空運 詢價
孫小姐
02-277183335 # 41</t>
        </r>
      </text>
    </comment>
    <comment ref="M2195" authorId="0" shapeId="0" xr:uid="{F699076C-DC94-AC49-A33F-523FA4BBA0A8}">
      <text>
        <r>
          <rPr>
            <sz val="10"/>
            <color rgb="FF000000"/>
            <rFont val="Aptos Narrow"/>
            <scheme val="minor"/>
          </rPr>
          <t>======
ID#AAABjx7qUxc
    (2025-05-21 11:33:26)
收到貨後立刻給予SHIPPING文件</t>
        </r>
      </text>
    </comment>
    <comment ref="H2196" authorId="0" shapeId="0" xr:uid="{A4BBC9CD-51B8-FE45-9845-B4D7CC26AEC6}">
      <text>
        <r>
          <rPr>
            <sz val="10"/>
            <color rgb="FF000000"/>
            <rFont val="Aptos Narrow"/>
            <scheme val="minor"/>
          </rPr>
          <t>======
ID#AAABjx7qSEI
    (2025-05-21 11:33:26)
0601 chloe:收到銀行通知匯入USD13116.5 為此單金額的一半
0706 chloe:收到銀行通知匯入尾款 USD13132.5</t>
        </r>
      </text>
    </comment>
    <comment ref="J2196" authorId="0" shapeId="0" xr:uid="{ABF85269-A2E9-8C49-93FD-916C85681F35}">
      <text>
        <r>
          <rPr>
            <sz val="10"/>
            <color rgb="FF000000"/>
            <rFont val="Aptos Narrow"/>
            <scheme val="minor"/>
          </rPr>
          <t>======
ID#AAABjx7qNDY
    (2025-05-21 11:33:23)
Tania Chen 
Air Freight Department
RATTAN EXPRESS – Taipei, Taiwan
Skype:tania590205
Tel: 886(2)2718-3335 EXT.54 | Fax: 886(2)2718-3353</t>
        </r>
      </text>
    </comment>
    <comment ref="K2196" authorId="0" shapeId="0" xr:uid="{8F20B501-77DD-0745-A0D5-E020BA7DD4EA}">
      <text>
        <r>
          <rPr>
            <sz val="10"/>
            <color rgb="FF000000"/>
            <rFont val="Aptos Narrow"/>
            <scheme val="minor"/>
          </rPr>
          <t>======
ID#AAABjx7qQjE
    (2025-05-21 11:33:25)
Forword 瑞騰空運 詢價
孫小姐
02-277183335 # 41</t>
        </r>
      </text>
    </comment>
    <comment ref="M2196" authorId="0" shapeId="0" xr:uid="{0CF2C50A-1CF8-654A-B48B-5F3EC1D28E2C}">
      <text>
        <r>
          <rPr>
            <sz val="10"/>
            <color rgb="FF000000"/>
            <rFont val="Aptos Narrow"/>
            <scheme val="minor"/>
          </rPr>
          <t>======
ID#AAABjx7qPMo
    (2025-05-21 11:33:24)
收到貨後立刻給予SHIPPING文件</t>
        </r>
      </text>
    </comment>
    <comment ref="D2197" authorId="0" shapeId="0" xr:uid="{CBD71F1E-E73F-444E-A410-25BF727165FE}">
      <text>
        <r>
          <rPr>
            <sz val="10"/>
            <color rgb="FF000000"/>
            <rFont val="Aptos Narrow"/>
            <scheme val="minor"/>
          </rPr>
          <t>======
ID#AAABjx7qTRc
Benson20170817    (2025-05-21 11:33:26)
Debit note: 20 x US$ 31 = US$ 620</t>
        </r>
      </text>
    </comment>
    <comment ref="H2197" authorId="0" shapeId="0" xr:uid="{39E36EE6-CA01-AD4C-8385-3CBD94D92125}">
      <text>
        <r>
          <rPr>
            <sz val="10"/>
            <color rgb="FF000000"/>
            <rFont val="Aptos Narrow"/>
            <scheme val="minor"/>
          </rPr>
          <t>======
ID#AAABjx7qQG4
    (2025-05-21 11:33:25)
0731 chloe:收到銀行通知USD23876
※通知 LISSA 計算獎金時要扣掉US$620</t>
        </r>
      </text>
    </comment>
    <comment ref="K2197" authorId="0" shapeId="0" xr:uid="{243E28AB-BDE4-4742-84B7-FB778885FEF9}">
      <text>
        <r>
          <rPr>
            <sz val="10"/>
            <color rgb="FF000000"/>
            <rFont val="Aptos Narrow"/>
            <scheme val="minor"/>
          </rPr>
          <t>======
ID#AAABjx7qSIA
    (2025-05-21 11:33:26)
材積預估為67x34x38(cm)
重量24kg
共一箱
有文件須放置內箱</t>
        </r>
      </text>
    </comment>
    <comment ref="M2197" authorId="0" shapeId="0" xr:uid="{B38411CF-2485-7443-8AE9-2DE64A6DA67B}">
      <text>
        <r>
          <rPr>
            <sz val="10"/>
            <color rgb="FF000000"/>
            <rFont val="Aptos Narrow"/>
            <scheme val="minor"/>
          </rPr>
          <t>======
ID#AAABjx7qP4o
    (2025-05-21 11:33:24)
0526 chloe: 詢問是否可提前6/19 出貨戎克→待回</t>
        </r>
      </text>
    </comment>
    <comment ref="W2197" authorId="0" shapeId="0" xr:uid="{75ED56E8-F706-8A49-976C-41DB4235CF1D}">
      <text>
        <r>
          <rPr>
            <sz val="10"/>
            <color rgb="FF000000"/>
            <rFont val="Aptos Narrow"/>
            <scheme val="minor"/>
          </rPr>
          <t>======
ID#AAABjx7qQkQ
    (2025-05-21 11:33:25)
月結30天，額度USD5000</t>
        </r>
      </text>
    </comment>
    <comment ref="H2198" authorId="0" shapeId="0" xr:uid="{25CAE470-364C-0A4E-9B77-F500AC79BCB6}">
      <text>
        <r>
          <rPr>
            <sz val="10"/>
            <color rgb="FF000000"/>
            <rFont val="Aptos Narrow"/>
            <scheme val="minor"/>
          </rPr>
          <t>======
ID#AAABjx7qVEA
    (2025-05-21 11:33:27)
0731 chloe:收到銀行通知USD23876</t>
        </r>
      </text>
    </comment>
    <comment ref="K2198" authorId="0" shapeId="0" xr:uid="{9ED1F552-AA58-E940-8579-BBD3859B0DA3}">
      <text>
        <r>
          <rPr>
            <sz val="10"/>
            <color rgb="FF000000"/>
            <rFont val="Aptos Narrow"/>
            <scheme val="minor"/>
          </rPr>
          <t>======
ID#AAABjx7qTXE
    (2025-05-21 11:33:26)
材積預估為67x34x38(cm)
重量24kg
共一箱
有文件須放置內箱</t>
        </r>
      </text>
    </comment>
    <comment ref="M2198" authorId="0" shapeId="0" xr:uid="{8F93867E-EA31-1F47-B78E-7529FBABB429}">
      <text>
        <r>
          <rPr>
            <sz val="10"/>
            <color rgb="FF000000"/>
            <rFont val="Aptos Narrow"/>
            <scheme val="minor"/>
          </rPr>
          <t>======
ID#AAABjx7qQHM
    (2025-05-21 11:33:25)
0530 chloe: 詢問是否可提前6/19 出貨戎克→待回</t>
        </r>
      </text>
    </comment>
    <comment ref="H2199" authorId="0" shapeId="0" xr:uid="{967E43DA-583D-2B46-9C37-916D8109A54A}">
      <text>
        <r>
          <rPr>
            <sz val="10"/>
            <color rgb="FF000000"/>
            <rFont val="Aptos Narrow"/>
            <scheme val="minor"/>
          </rPr>
          <t>======
ID#AAABjx7qScU
    (2025-05-21 11:33:26)
0731 chloe:收到銀行通知USD23876</t>
        </r>
      </text>
    </comment>
    <comment ref="K2199" authorId="0" shapeId="0" xr:uid="{EE26E338-2214-2445-98F3-ACA8A7F4754E}">
      <text>
        <r>
          <rPr>
            <sz val="10"/>
            <color rgb="FF000000"/>
            <rFont val="Aptos Narrow"/>
            <scheme val="minor"/>
          </rPr>
          <t>======
ID#AAABjx7qQwA
    (2025-05-21 11:33:25)
材積預估為67x34x38(cm)
重量24kg
共一箱
有文件須放置內箱</t>
        </r>
      </text>
    </comment>
    <comment ref="M2199" authorId="0" shapeId="0" xr:uid="{686C58BF-0FA6-2647-A835-5BC7CEED5AF3}">
      <text>
        <r>
          <rPr>
            <sz val="10"/>
            <color rgb="FF000000"/>
            <rFont val="Aptos Narrow"/>
            <scheme val="minor"/>
          </rPr>
          <t>======
ID#AAABjx7qPKo
    (2025-05-21 11:33:24)
0530 chloe: 詢問是否可提前6/19 出貨戎克→待回</t>
        </r>
      </text>
    </comment>
    <comment ref="H2200" authorId="0" shapeId="0" xr:uid="{EB88C2A3-266D-0845-B5D0-291F1383F783}">
      <text>
        <r>
          <rPr>
            <sz val="10"/>
            <color rgb="FF000000"/>
            <rFont val="Aptos Narrow"/>
            <scheme val="minor"/>
          </rPr>
          <t>======
ID#AAABj82dpO0
    (2025-05-21 11:33:23)
0721 chloe:收到銀行通知USD5180</t>
        </r>
      </text>
    </comment>
    <comment ref="H2201" authorId="0" shapeId="0" xr:uid="{E2326C35-E495-4E4D-A62C-F0B7D200D571}">
      <text>
        <r>
          <rPr>
            <sz val="10"/>
            <color rgb="FF000000"/>
            <rFont val="Aptos Narrow"/>
            <scheme val="minor"/>
          </rPr>
          <t>======
ID#AAABjx7qVRM
    (2025-05-21 11:33:27)
0721 chloe:收到銀行通知USD5180</t>
        </r>
      </text>
    </comment>
    <comment ref="H2202" authorId="0" shapeId="0" xr:uid="{FA5F25DB-4A66-0743-B926-428D597AA0F6}">
      <text>
        <r>
          <rPr>
            <sz val="10"/>
            <color rgb="FF000000"/>
            <rFont val="Aptos Narrow"/>
            <scheme val="minor"/>
          </rPr>
          <t>======
ID#AAABjx7qSl0
    (2025-05-21 11:33:26)
0721 chloe:收到銀行通知USD5180</t>
        </r>
      </text>
    </comment>
    <comment ref="H2203" authorId="0" shapeId="0" xr:uid="{9D2FE81C-CC8A-FD47-8533-6AAF3EDD54C8}">
      <text>
        <r>
          <rPr>
            <sz val="10"/>
            <color rgb="FF000000"/>
            <rFont val="Aptos Narrow"/>
            <scheme val="minor"/>
          </rPr>
          <t>======
ID#AAABjx7qWFg
    (2025-05-21 11:33:27)
0721 chloe:收到銀行通知USD5180</t>
        </r>
      </text>
    </comment>
    <comment ref="H2204" authorId="0" shapeId="0" xr:uid="{ED38E769-7A04-694B-8C65-CA879D0595BF}">
      <text>
        <r>
          <rPr>
            <sz val="10"/>
            <color rgb="FF000000"/>
            <rFont val="Aptos Narrow"/>
            <scheme val="minor"/>
          </rPr>
          <t>======
ID#AAABjx7qSj8
    (2025-05-21 11:33:26)
0609 chloe:收到銀行通知 USD2892</t>
        </r>
      </text>
    </comment>
    <comment ref="M2204" authorId="0" shapeId="0" xr:uid="{0AEF0679-9EBA-D542-A2A4-A92E2AE9581F}">
      <text>
        <r>
          <rPr>
            <sz val="10"/>
            <color rgb="FF000000"/>
            <rFont val="Aptos Narrow"/>
            <scheme val="minor"/>
          </rPr>
          <t>======
ID#AAABjx7qVos
    (2025-05-21 11:33:27)
最晚6/9 到貨</t>
        </r>
      </text>
    </comment>
    <comment ref="H2205" authorId="0" shapeId="0" xr:uid="{3863DD3D-EA08-9E4A-B328-60AFE5FCF091}">
      <text>
        <r>
          <rPr>
            <sz val="10"/>
            <color rgb="FF000000"/>
            <rFont val="Aptos Narrow"/>
            <scheme val="minor"/>
          </rPr>
          <t>======
ID#AAABjx7qVS0
    (2025-05-21 11:33:27)
0703 chloe:已收到NT1146220</t>
        </r>
      </text>
    </comment>
    <comment ref="P2205" authorId="0" shapeId="0" xr:uid="{EABA4736-E0E4-454D-B9F2-80B741C80B6F}">
      <text>
        <r>
          <rPr>
            <sz val="10"/>
            <color rgb="FF000000"/>
            <rFont val="Aptos Narrow"/>
            <scheme val="minor"/>
          </rPr>
          <t>======
ID#AAABjx7qQxw
    (2025-05-21 11:33:25)
0607 chloe:特簽無卡出貨</t>
        </r>
      </text>
    </comment>
    <comment ref="E2206" authorId="0" shapeId="0" xr:uid="{46AB7355-60DE-5A4F-8BBF-77F165336F52}">
      <text>
        <r>
          <rPr>
            <sz val="10"/>
            <color rgb="FF000000"/>
            <rFont val="Aptos Narrow"/>
            <scheme val="minor"/>
          </rPr>
          <t>======
ID#AAABjx7qNQo
    (2025-05-21 11:33:23)
20170104 Santiago: 和之前訂單一樣, w/o adapter</t>
        </r>
      </text>
    </comment>
    <comment ref="H2206" authorId="0" shapeId="0" xr:uid="{41FE850A-8D19-EA45-A0C3-990B66329BB6}">
      <text>
        <r>
          <rPr>
            <sz val="10"/>
            <color rgb="FF000000"/>
            <rFont val="Aptos Narrow"/>
            <scheme val="minor"/>
          </rPr>
          <t>======
ID#AAABjx7qVK8
    (2025-05-21 11:33:27)
0703 chloe:已收到NT1146220</t>
        </r>
      </text>
    </comment>
    <comment ref="P2206" authorId="0" shapeId="0" xr:uid="{E4323570-6C8B-8446-9A48-3A34041F72FD}">
      <text>
        <r>
          <rPr>
            <sz val="10"/>
            <color rgb="FF000000"/>
            <rFont val="Aptos Narrow"/>
            <scheme val="minor"/>
          </rPr>
          <t>======
ID#AAABjx7qTME
    (2025-05-21 11:33:26)
0607 chloe:特簽無卡出貨</t>
        </r>
      </text>
    </comment>
    <comment ref="H2207" authorId="0" shapeId="0" xr:uid="{AC8B2886-7DDD-B149-B99D-9EF87D5F356D}">
      <text>
        <r>
          <rPr>
            <sz val="10"/>
            <color rgb="FF000000"/>
            <rFont val="Aptos Narrow"/>
            <scheme val="minor"/>
          </rPr>
          <t>======
ID#AAABjx7qNlI
    (2025-05-21 11:33:23)
0630 chloe:收到銀行通知USD3230</t>
        </r>
      </text>
    </comment>
    <comment ref="K2207" authorId="0" shapeId="0" xr:uid="{B693858A-C785-FC45-B0C9-8DF35E94858A}">
      <text>
        <r>
          <rPr>
            <sz val="10"/>
            <color rgb="FF000000"/>
            <rFont val="Aptos Narrow"/>
            <scheme val="minor"/>
          </rPr>
          <t>======
ID#AAABjx7qPAo
    (2025-05-21 11:33:24)
與RMA一併寄出</t>
        </r>
      </text>
    </comment>
    <comment ref="H2208" authorId="0" shapeId="0" xr:uid="{A8A8216D-A177-1042-8403-FDDB38FC383A}">
      <text>
        <r>
          <rPr>
            <sz val="10"/>
            <color rgb="FF000000"/>
            <rFont val="Aptos Narrow"/>
            <scheme val="minor"/>
          </rPr>
          <t>======
ID#AAABjx7qRmY
    (2025-05-21 11:33:25)
7/14 chloe:收到銀行通知USD1427</t>
        </r>
      </text>
    </comment>
    <comment ref="H2209" authorId="0" shapeId="0" xr:uid="{A56850A7-2912-8A40-87B6-13AA4D2D7AA3}">
      <text>
        <r>
          <rPr>
            <sz val="10"/>
            <color rgb="FF000000"/>
            <rFont val="Aptos Narrow"/>
            <scheme val="minor"/>
          </rPr>
          <t>======
ID#AAABjx7qPYM
    (2025-05-21 11:33:24)
0609 chloe:收到銀行通知 USD2892</t>
        </r>
      </text>
    </comment>
    <comment ref="G2210" authorId="0" shapeId="0" xr:uid="{9E43D3B5-0882-4D44-BFC3-9268FE5FA0BA}">
      <text>
        <r>
          <rPr>
            <sz val="10"/>
            <color rgb="FF000000"/>
            <rFont val="Aptos Narrow"/>
            <scheme val="minor"/>
          </rPr>
          <t>======
ID#AAABjx7qU8U
    (2025-05-21 11:33:27)
w/5%VAT</t>
        </r>
      </text>
    </comment>
    <comment ref="H2210" authorId="0" shapeId="0" xr:uid="{66293838-6CD1-6948-9165-CDE8755DA650}">
      <text>
        <r>
          <rPr>
            <sz val="10"/>
            <color rgb="FF000000"/>
            <rFont val="Aptos Narrow"/>
            <scheme val="minor"/>
          </rPr>
          <t>======
ID#AAABjx7qS5k
    (2025-05-21 11:33:26)
0731 Chloe:已收到款項 NT18,151</t>
        </r>
      </text>
    </comment>
    <comment ref="H2211" authorId="0" shapeId="0" xr:uid="{C036D390-97D3-C642-9BD8-F785CAA51B12}">
      <text>
        <r>
          <rPr>
            <sz val="10"/>
            <color rgb="FF000000"/>
            <rFont val="Aptos Narrow"/>
            <scheme val="minor"/>
          </rPr>
          <t>======
ID#AAABjx7qROY
    (2025-05-21 11:33:25)
0601 chloe:收到銀行通知USD3138</t>
        </r>
      </text>
    </comment>
    <comment ref="J2211" authorId="0" shapeId="0" xr:uid="{054B41FC-8860-054E-8BC0-287E30530909}">
      <text>
        <r>
          <rPr>
            <sz val="10"/>
            <color rgb="FF000000"/>
            <rFont val="Aptos Narrow"/>
            <scheme val="minor"/>
          </rPr>
          <t>======
ID#AAABjx7qS8c
170525 Tammy, 參照20160930C, 如下    (2025-05-21 11:33:26)
1. FOB. 
2. 請JJB 出口報關時提供COC (產地證明)
3.貨代聯絡資料如下：
JJB Link Logistics Company Inc.
Office Address: 8F., No. 152, Sec. 4, Nan-King E., Road, Taipei Taiwan.
CTP: Timothy Jen, Tel: +886-2-25772111 #105, Fax: +886-2-25702115
Tim-TPE@jjb-link.com</t>
        </r>
      </text>
    </comment>
    <comment ref="H2212" authorId="0" shapeId="0" xr:uid="{106B5EA7-A165-9747-8871-0DF658325D05}">
      <text>
        <r>
          <rPr>
            <sz val="10"/>
            <color rgb="FF000000"/>
            <rFont val="Aptos Narrow"/>
            <scheme val="minor"/>
          </rPr>
          <t>======
ID#AAABjx7qWD0
    (2025-05-21 11:33:27)
0601 chloe:收到銀行通知USD3138</t>
        </r>
      </text>
    </comment>
    <comment ref="J2212" authorId="0" shapeId="0" xr:uid="{E63477A9-086C-A746-9773-3B6ACD8C8999}">
      <text>
        <r>
          <rPr>
            <sz val="10"/>
            <color rgb="FF000000"/>
            <rFont val="Aptos Narrow"/>
            <scheme val="minor"/>
          </rPr>
          <t>======
ID#AAABjx7qQDQ
170525 Tammy, 參照20160930C, 如下    (2025-05-21 11:33:25)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H2213" authorId="0" shapeId="0" xr:uid="{082586E3-379B-B242-9D08-91CFF2B0B9BB}">
      <text>
        <r>
          <rPr>
            <sz val="10"/>
            <color rgb="FF000000"/>
            <rFont val="Aptos Narrow"/>
            <scheme val="minor"/>
          </rPr>
          <t>======
ID#AAABjx7qOSQ
    (2025-05-21 11:33:24)
0630 chloe:收到銀行通知USD3230</t>
        </r>
      </text>
    </comment>
    <comment ref="P2213" authorId="0" shapeId="0" xr:uid="{48C4B3C8-837B-EB4E-8741-4B02B096796A}">
      <text>
        <r>
          <rPr>
            <sz val="10"/>
            <color rgb="FF000000"/>
            <rFont val="Aptos Narrow"/>
            <scheme val="minor"/>
          </rPr>
          <t>======
ID#AAABjx7qN6E
    (2025-05-21 11:33:23)
不滿5000 加運費US 3 (不含稅)</t>
        </r>
      </text>
    </comment>
    <comment ref="H2214" authorId="0" shapeId="0" xr:uid="{F5D3C80D-E9DE-A045-B2D0-FA79BAD48F2C}">
      <text>
        <r>
          <rPr>
            <sz val="10"/>
            <color rgb="FF000000"/>
            <rFont val="Aptos Narrow"/>
            <scheme val="minor"/>
          </rPr>
          <t>======
ID#AAABjx7qOQ4
    (2025-05-21 11:33:24)
0804 chloe:收到銀行通知USD3965</t>
        </r>
      </text>
    </comment>
    <comment ref="M2214" authorId="0" shapeId="0" xr:uid="{5245FFE9-B7FD-494E-8943-A8649C426F14}">
      <text>
        <r>
          <rPr>
            <sz val="10"/>
            <color rgb="FF000000"/>
            <rFont val="Aptos Narrow"/>
            <scheme val="minor"/>
          </rPr>
          <t>======
ID#AAABjx7qQQk
    (2025-05-21 11:33:25)
0601 暫HOLD，待Santiago確認
0619 已詢問業務，尚未得到客戶確認 
0626 確定要下單</t>
        </r>
      </text>
    </comment>
    <comment ref="H2218" authorId="0" shapeId="0" xr:uid="{57D7FDD9-21AF-0746-BDB0-B5C91B2B5D32}">
      <text>
        <r>
          <rPr>
            <sz val="10"/>
            <color rgb="FF000000"/>
            <rFont val="Aptos Narrow"/>
            <scheme val="minor"/>
          </rPr>
          <t>======
ID#AAABjx7qP5Y
    (2025-05-21 11:33:24)
0609 chloe:收到銀行通知 USD2892</t>
        </r>
      </text>
    </comment>
    <comment ref="H2219" authorId="0" shapeId="0" xr:uid="{F2650A0A-D094-374C-BE32-2FB22B4485BA}">
      <text>
        <r>
          <rPr>
            <sz val="10"/>
            <color rgb="FF000000"/>
            <rFont val="Aptos Narrow"/>
            <scheme val="minor"/>
          </rPr>
          <t>======
ID#AAABjx7qSJk
    (2025-05-21 11:33:26)
0609 chloe:收到銀行通知 USD2892</t>
        </r>
      </text>
    </comment>
    <comment ref="H2220" authorId="0" shapeId="0" xr:uid="{22E879C7-6548-CF41-A035-977BD618D340}">
      <text>
        <r>
          <rPr>
            <sz val="10"/>
            <color rgb="FF000000"/>
            <rFont val="Aptos Narrow"/>
            <scheme val="minor"/>
          </rPr>
          <t>======
ID#AAABjx7qQY0
    (2025-05-21 11:33:25)
0609 chloe:收到銀行通知 USD2892</t>
        </r>
      </text>
    </comment>
    <comment ref="H2221" authorId="0" shapeId="0" xr:uid="{4980F639-23DD-7041-9162-A826820E2D1E}">
      <text>
        <r>
          <rPr>
            <sz val="10"/>
            <color rgb="FF000000"/>
            <rFont val="Aptos Narrow"/>
            <scheme val="minor"/>
          </rPr>
          <t>======
ID#AAABjx7qOr8
    (2025-05-21 11:33:24)
0721 chloe:收到銀行通知USD5180</t>
        </r>
      </text>
    </comment>
    <comment ref="M2221" authorId="0" shapeId="0" xr:uid="{D535B95E-7726-AD4E-A5C8-7F7CBA9EB285}">
      <text>
        <r>
          <rPr>
            <sz val="10"/>
            <color rgb="FF000000"/>
            <rFont val="Aptos Narrow"/>
            <scheme val="minor"/>
          </rPr>
          <t>======
ID#AAABjx7qO-E
    (2025-05-21 11:33:24)
6/7入戎克</t>
        </r>
      </text>
    </comment>
    <comment ref="H2222" authorId="0" shapeId="0" xr:uid="{608A63B0-4EEA-0049-A0B1-D331175B7BE8}">
      <text>
        <r>
          <rPr>
            <sz val="10"/>
            <color rgb="FF000000"/>
            <rFont val="Aptos Narrow"/>
            <scheme val="minor"/>
          </rPr>
          <t>======
ID#AAABjx7qN1I
    (2025-05-21 11:33:23)
0721 chloe:收到銀行通知USD5180</t>
        </r>
      </text>
    </comment>
    <comment ref="H2223" authorId="0" shapeId="0" xr:uid="{2685099F-5A59-F646-BAB7-9351EA02D4F4}">
      <text>
        <r>
          <rPr>
            <sz val="10"/>
            <color rgb="FF000000"/>
            <rFont val="Aptos Narrow"/>
            <scheme val="minor"/>
          </rPr>
          <t>======
ID#AAABjx7qQsY
    (2025-05-21 11:33:25)
0614 chloe:收到銀行通知USD1068</t>
        </r>
      </text>
    </comment>
    <comment ref="H2224" authorId="0" shapeId="0" xr:uid="{64DBE41D-E336-6744-A6D2-7B673C2A067A}">
      <text>
        <r>
          <rPr>
            <sz val="10"/>
            <color rgb="FF000000"/>
            <rFont val="Aptos Narrow"/>
            <scheme val="minor"/>
          </rPr>
          <t>======
ID#AAABjx7qO_4
    (2025-05-21 11:33:24)
0614 chloe:收到銀行通知USD1068</t>
        </r>
      </text>
    </comment>
    <comment ref="H2225" authorId="0" shapeId="0" xr:uid="{26D09D1C-735D-D44E-81C3-EE267F19CB0D}">
      <text>
        <r>
          <rPr>
            <sz val="10"/>
            <color rgb="FF000000"/>
            <rFont val="Aptos Narrow"/>
            <scheme val="minor"/>
          </rPr>
          <t>======
ID#AAABjx7qU24
    (2025-05-21 11:33:26)
0609 chloe:收到銀行通知USD6140</t>
        </r>
      </text>
    </comment>
    <comment ref="K2225" authorId="0" shapeId="0" xr:uid="{6A184753-9C83-594A-96EC-4F3BF1BF26D4}">
      <text>
        <r>
          <rPr>
            <sz val="10"/>
            <color rgb="FF000000"/>
            <rFont val="Aptos Narrow"/>
            <scheme val="minor"/>
          </rPr>
          <t>======
ID#AAABjx7qWDo
    (2025-05-21 11:33:27)
0608 已將文件先行MAIL</t>
        </r>
      </text>
    </comment>
    <comment ref="H2226" authorId="0" shapeId="0" xr:uid="{BC990BAE-E729-F141-8272-191068E2107E}">
      <text>
        <r>
          <rPr>
            <sz val="10"/>
            <color rgb="FF000000"/>
            <rFont val="Aptos Narrow"/>
            <scheme val="minor"/>
          </rPr>
          <t>======
ID#AAABjx7qVx0
    (2025-05-21 11:33:27)
0609 chloe:收到銀行通知USD6140</t>
        </r>
      </text>
    </comment>
    <comment ref="K2226" authorId="0" shapeId="0" xr:uid="{466D0319-1254-7C4A-93DE-A8A14981B8E9}">
      <text>
        <r>
          <rPr>
            <sz val="10"/>
            <color rgb="FF000000"/>
            <rFont val="Aptos Narrow"/>
            <scheme val="minor"/>
          </rPr>
          <t>======
ID#AAABjx7qPiM
    (2025-05-21 11:33:24)
0608 已將文件先行MAIL</t>
        </r>
      </text>
    </comment>
    <comment ref="H2227" authorId="0" shapeId="0" xr:uid="{BE40210C-C4A5-284E-BB72-70F75247C03A}">
      <text>
        <r>
          <rPr>
            <sz val="10"/>
            <color rgb="FF000000"/>
            <rFont val="Aptos Narrow"/>
            <scheme val="minor"/>
          </rPr>
          <t>======
ID#AAABjx7qTWM
    (2025-05-21 11:33:26)
0609 chloe:收到銀行通知USD6140</t>
        </r>
      </text>
    </comment>
    <comment ref="K2227" authorId="0" shapeId="0" xr:uid="{C3FE5F3E-19C1-A344-91A8-C5A0FB652822}">
      <text>
        <r>
          <rPr>
            <sz val="10"/>
            <color rgb="FF000000"/>
            <rFont val="Aptos Narrow"/>
            <scheme val="minor"/>
          </rPr>
          <t>======
ID#AAABjx7qPSY
    (2025-05-21 11:33:24)
0608 已將文件先行MAIL</t>
        </r>
      </text>
    </comment>
    <comment ref="H2228" authorId="0" shapeId="0" xr:uid="{0F8212ED-71D4-3C43-A668-35F5F9BDE4C8}">
      <text>
        <r>
          <rPr>
            <sz val="10"/>
            <color rgb="FF000000"/>
            <rFont val="Aptos Narrow"/>
            <scheme val="minor"/>
          </rPr>
          <t>======
ID#AAABjx7qTAM
    (2025-05-21 11:33:26)
1114 chloe: 收到款項NT16226</t>
        </r>
      </text>
    </comment>
    <comment ref="K2228" authorId="0" shapeId="0" xr:uid="{726B03AB-7924-6742-BA63-E68A5C5EDEDD}">
      <text>
        <r>
          <rPr>
            <sz val="10"/>
            <color rgb="FF000000"/>
            <rFont val="Aptos Narrow"/>
            <scheme val="minor"/>
          </rPr>
          <t>======
ID#AAABjx7qPw0
    (2025-05-21 11:33:24)
6/26 出貨，未付款</t>
        </r>
      </text>
    </comment>
    <comment ref="O2228" authorId="0" shapeId="0" xr:uid="{F1A072A6-7090-F841-9A9C-2A3CD196DC47}">
      <text>
        <r>
          <rPr>
            <sz val="10"/>
            <color rgb="FF000000"/>
            <rFont val="Aptos Narrow"/>
            <scheme val="minor"/>
          </rPr>
          <t>======
ID#AAABjx7qRRc
    (2025-05-21 11:33:25)
成本 18791元</t>
        </r>
      </text>
    </comment>
    <comment ref="H2229" authorId="0" shapeId="0" xr:uid="{46A434AA-9AA3-1240-90F4-924901EA4321}">
      <text>
        <r>
          <rPr>
            <sz val="10"/>
            <color rgb="FF000000"/>
            <rFont val="Aptos Narrow"/>
            <scheme val="minor"/>
          </rPr>
          <t>======
ID#AAABjx7qTlQ
    (2025-05-21 11:33:26)
0712 chloe:收到銀行通知USD2058</t>
        </r>
      </text>
    </comment>
    <comment ref="H2230" authorId="0" shapeId="0" xr:uid="{0C399C24-0A46-1947-A6BF-9B6800F81AD9}">
      <text>
        <r>
          <rPr>
            <sz val="10"/>
            <color rgb="FF000000"/>
            <rFont val="Aptos Narrow"/>
            <scheme val="minor"/>
          </rPr>
          <t>======
ID#AAABjx7qVu0
    (2025-05-21 11:33:27)
0712 chloe:收到銀行通知USD2058</t>
        </r>
      </text>
    </comment>
    <comment ref="H2231" authorId="0" shapeId="0" xr:uid="{BA311455-D642-264F-8321-3CC312ABF02C}">
      <text>
        <r>
          <rPr>
            <sz val="10"/>
            <color rgb="FF000000"/>
            <rFont val="Aptos Narrow"/>
            <scheme val="minor"/>
          </rPr>
          <t>======
ID#AAABjx7qRBU
    (2025-05-21 11:33:25)
0712 chloe:收到銀行通知USD2058</t>
        </r>
      </text>
    </comment>
    <comment ref="K2231" authorId="0" shapeId="0" xr:uid="{D09B9A7C-CF53-654A-8EE2-59A4DA98FA34}">
      <text>
        <r>
          <rPr>
            <sz val="10"/>
            <color rgb="FF000000"/>
            <rFont val="Aptos Narrow"/>
            <scheme val="minor"/>
          </rPr>
          <t>======
ID#AAABjx7qRAE
    (2025-05-21 11:33:25)
43*41*45
加工→15KG
未加工→11KG</t>
        </r>
      </text>
    </comment>
    <comment ref="H2232" authorId="0" shapeId="0" xr:uid="{BB573198-DACE-6B46-A2E7-E855A5B1753A}">
      <text>
        <r>
          <rPr>
            <sz val="10"/>
            <color rgb="FF000000"/>
            <rFont val="Aptos Narrow"/>
            <scheme val="minor"/>
          </rPr>
          <t>======
ID#AAABjx7qOKc
    (2025-05-21 11:33:24)
0614 chloe: 匯款匯入通知USD2162</t>
        </r>
      </text>
    </comment>
    <comment ref="H2233" authorId="0" shapeId="0" xr:uid="{08B90DD7-C2E4-FE40-AB61-1F6EC4BBE274}">
      <text>
        <r>
          <rPr>
            <sz val="10"/>
            <color rgb="FF000000"/>
            <rFont val="Aptos Narrow"/>
            <scheme val="minor"/>
          </rPr>
          <t>======
ID#AAABjx7qNXA
    (2025-05-21 11:33:23)
0816 chloe: 收到銀行通知USD 4144</t>
        </r>
      </text>
    </comment>
    <comment ref="M2233" authorId="0" shapeId="0" xr:uid="{A9120CFF-DD5A-EA4B-BA2F-74A3F4F8E10A}">
      <text>
        <r>
          <rPr>
            <sz val="10"/>
            <color rgb="FF000000"/>
            <rFont val="Aptos Narrow"/>
            <scheme val="minor"/>
          </rPr>
          <t>======
ID#AAABjx7qRzk
    (2025-05-21 11:33:25)
0613左右會再告知</t>
        </r>
      </text>
    </comment>
    <comment ref="H2234" authorId="0" shapeId="0" xr:uid="{FF859B73-DCB7-504D-803A-D62892D03DAA}">
      <text>
        <r>
          <rPr>
            <sz val="10"/>
            <color rgb="FF000000"/>
            <rFont val="Aptos Narrow"/>
            <scheme val="minor"/>
          </rPr>
          <t>======
ID#AAABjx7qOao
    (2025-05-21 11:33:24)
0816 chloe: 收到銀行通知USD 4144</t>
        </r>
      </text>
    </comment>
    <comment ref="M2234" authorId="0" shapeId="0" xr:uid="{16544FDF-8C85-024B-A0DD-D8340EE504EF}">
      <text>
        <r>
          <rPr>
            <sz val="10"/>
            <color rgb="FF000000"/>
            <rFont val="Aptos Narrow"/>
            <scheme val="minor"/>
          </rPr>
          <t>======
ID#AAABjx7qTFc
    (2025-05-21 11:33:26)
0613左右會再告知</t>
        </r>
      </text>
    </comment>
    <comment ref="H2235" authorId="0" shapeId="0" xr:uid="{B5FD9948-574A-4C40-8D84-9CEB88BE649C}">
      <text>
        <r>
          <rPr>
            <sz val="10"/>
            <color rgb="FF000000"/>
            <rFont val="Aptos Narrow"/>
            <scheme val="minor"/>
          </rPr>
          <t>======
ID#AAABjx7qNUU
    (2025-05-21 11:33:23)
0615 chloe:收到銀行通知USD2151</t>
        </r>
      </text>
    </comment>
    <comment ref="M2235" authorId="0" shapeId="0" xr:uid="{B69AE5B3-F6FF-A542-BBF4-D742AF441A96}">
      <text>
        <r>
          <rPr>
            <sz val="10"/>
            <color rgb="FF000000"/>
            <rFont val="Aptos Narrow"/>
            <scheme val="minor"/>
          </rPr>
          <t>======
ID#AAABjx7qQRM
    (2025-05-21 11:33:25)
0731送回研華測試中，預計8/7可出貨
8/8 測試完畢 8/9 出貨</t>
        </r>
      </text>
    </comment>
    <comment ref="O2235" authorId="0" shapeId="0" xr:uid="{8DFAE6F7-BC3D-E94D-953F-F520E4B36EC6}">
      <text>
        <r>
          <rPr>
            <sz val="10"/>
            <color rgb="FF000000"/>
            <rFont val="Aptos Narrow"/>
            <scheme val="minor"/>
          </rPr>
          <t>======
ID#AAABjx7qSXM
    (2025-05-21 11:33:26)
獎金計算請從RDMO-20170511A~RDMO-20170511A-5&amp;RDMPO-20170511A-7</t>
        </r>
      </text>
    </comment>
    <comment ref="H2236" authorId="0" shapeId="0" xr:uid="{A58AA4AF-EE1C-574B-894F-9AA4B9251BCC}">
      <text>
        <r>
          <rPr>
            <sz val="10"/>
            <color rgb="FF000000"/>
            <rFont val="Aptos Narrow"/>
            <scheme val="minor"/>
          </rPr>
          <t>======
ID#AAABjx7qOO0
    (2025-05-21 11:33:24)
0615 chloe:收到銀行通知USD2151</t>
        </r>
      </text>
    </comment>
    <comment ref="E2237" authorId="0" shapeId="0" xr:uid="{CB573ECC-3E30-484A-AB56-7913AE68D696}">
      <text>
        <r>
          <rPr>
            <sz val="10"/>
            <color rgb="FF000000"/>
            <rFont val="Aptos Narrow"/>
            <scheme val="minor"/>
          </rPr>
          <t>======
ID#AAABjx7qOT0
    (2025-05-21 11:33:24)
0609 Santiago: 待業務確認規格後再下單
0612 客戶確認改用8GB RAM</t>
        </r>
      </text>
    </comment>
    <comment ref="H2237" authorId="0" shapeId="0" xr:uid="{2D15E66E-5A8A-BA43-A440-EA6EA6A2C6A6}">
      <text>
        <r>
          <rPr>
            <sz val="10"/>
            <color rgb="FF000000"/>
            <rFont val="Aptos Narrow"/>
            <scheme val="minor"/>
          </rPr>
          <t>======
ID#AAABj82dpFI
    (2025-05-21 11:33:23)
0615 chloe:收到銀行通知USD2151</t>
        </r>
      </text>
    </comment>
    <comment ref="H2238" authorId="0" shapeId="0" xr:uid="{BABE1B9F-84FF-3946-BA0F-31F9DB7F3201}">
      <text>
        <r>
          <rPr>
            <sz val="10"/>
            <color rgb="FF000000"/>
            <rFont val="Aptos Narrow"/>
            <scheme val="minor"/>
          </rPr>
          <t>======
ID#AAABjx7qPEQ
    (2025-05-21 11:33:24)
0615 chloe:收到銀行通知USD2151</t>
        </r>
      </text>
    </comment>
    <comment ref="H2239" authorId="0" shapeId="0" xr:uid="{1747FB34-0F5B-294B-8C5A-07BF8C10A0DF}">
      <text>
        <r>
          <rPr>
            <sz val="10"/>
            <color rgb="FF000000"/>
            <rFont val="Aptos Narrow"/>
            <scheme val="minor"/>
          </rPr>
          <t>======
ID#AAABjx7qST4
    (2025-05-21 11:33:26)
0615 chloe:收到銀行通知USD2151</t>
        </r>
      </text>
    </comment>
    <comment ref="H2240" authorId="0" shapeId="0" xr:uid="{5ADC1FBA-4356-5A44-9D54-276C7793540D}">
      <text>
        <r>
          <rPr>
            <sz val="10"/>
            <color rgb="FF000000"/>
            <rFont val="Aptos Narrow"/>
            <scheme val="minor"/>
          </rPr>
          <t>======
ID#AAABjx7qV6c
    (2025-05-21 11:33:27)
0615 chloe:收到銀行通知USD2151</t>
        </r>
      </text>
    </comment>
    <comment ref="H2241" authorId="0" shapeId="0" xr:uid="{AFFA594F-3525-3147-BDA8-C31854683269}">
      <text>
        <r>
          <rPr>
            <sz val="10"/>
            <color rgb="FF000000"/>
            <rFont val="Aptos Narrow"/>
            <scheme val="minor"/>
          </rPr>
          <t>======
ID#AAABjx7qWIY
    (2025-05-21 11:33:27)
0804 chloe:收到銀行通知USD3965</t>
        </r>
      </text>
    </comment>
    <comment ref="M2241" authorId="0" shapeId="0" xr:uid="{4973EF65-16CF-A543-9684-52A50EEC3127}">
      <text>
        <r>
          <rPr>
            <sz val="10"/>
            <color rgb="FF000000"/>
            <rFont val="Aptos Narrow"/>
            <scheme val="minor"/>
          </rPr>
          <t>======
ID#AAABjx7qWbw
    (2025-05-21 11:33:27)
確認7/3 中午前到貨</t>
        </r>
      </text>
    </comment>
    <comment ref="E2242" authorId="0" shapeId="0" xr:uid="{46E0AB2A-D207-4249-8AC3-691E436B30F5}">
      <text>
        <r>
          <rPr>
            <sz val="10"/>
            <color rgb="FF000000"/>
            <rFont val="Aptos Narrow"/>
            <scheme val="minor"/>
          </rPr>
          <t>======
ID#AAABjx7qN38
    (2025-05-21 11:33:23)
170612 Karen: w/ EU adapter</t>
        </r>
      </text>
    </comment>
    <comment ref="H2242" authorId="0" shapeId="0" xr:uid="{10CC5EDD-E769-AB4C-B1A0-57DEA051C24D}">
      <text>
        <r>
          <rPr>
            <sz val="10"/>
            <color rgb="FF000000"/>
            <rFont val="Aptos Narrow"/>
            <scheme val="minor"/>
          </rPr>
          <t>======
ID#AAABjx7qTY0
    (2025-05-21 11:33:26)
0619 chloe:收到銀行通知USD1710.5</t>
        </r>
      </text>
    </comment>
    <comment ref="J2242" authorId="0" shapeId="0" xr:uid="{0872034D-95F5-874D-9AC3-C41274711424}">
      <text>
        <r>
          <rPr>
            <sz val="10"/>
            <color rgb="FF000000"/>
            <rFont val="Aptos Narrow"/>
            <scheme val="minor"/>
          </rPr>
          <t>======
ID#AAABjx7qVFA
    (2025-05-21 11:33:27)
Express</t>
        </r>
      </text>
    </comment>
    <comment ref="H2243" authorId="0" shapeId="0" xr:uid="{59F1A078-A13A-BB46-8ED2-0C2AA6395D87}">
      <text>
        <r>
          <rPr>
            <sz val="10"/>
            <color rgb="FF000000"/>
            <rFont val="Aptos Narrow"/>
            <scheme val="minor"/>
          </rPr>
          <t>======
ID#AAABjx7qR7Q
    (2025-05-21 11:33:25)
0619 chloe:收到銀行通知USD1710.5</t>
        </r>
      </text>
    </comment>
    <comment ref="J2243" authorId="0" shapeId="0" xr:uid="{0DADC307-AFC6-1940-AB98-FE1A1B0E432C}">
      <text>
        <r>
          <rPr>
            <sz val="10"/>
            <color rgb="FF000000"/>
            <rFont val="Aptos Narrow"/>
            <scheme val="minor"/>
          </rPr>
          <t>======
ID#AAABjx7qOXI
    (2025-05-21 11:33:24)
Express</t>
        </r>
      </text>
    </comment>
    <comment ref="H2244" authorId="0" shapeId="0" xr:uid="{675AB82F-1E99-6F4E-B064-4BC140BC6A1D}">
      <text>
        <r>
          <rPr>
            <sz val="10"/>
            <color rgb="FF000000"/>
            <rFont val="Aptos Narrow"/>
            <scheme val="minor"/>
          </rPr>
          <t>======
ID#AAABjx7qNSU
    (2025-05-21 11:33:23)
0619 chloe:收到銀行通知USD1710.5</t>
        </r>
      </text>
    </comment>
    <comment ref="J2244" authorId="0" shapeId="0" xr:uid="{D425A068-2299-424D-9EE0-61D8716F88E9}">
      <text>
        <r>
          <rPr>
            <sz val="10"/>
            <color rgb="FF000000"/>
            <rFont val="Aptos Narrow"/>
            <scheme val="minor"/>
          </rPr>
          <t>======
ID#AAABjx7qNKs
    (2025-05-21 11:33:23)
Express</t>
        </r>
      </text>
    </comment>
    <comment ref="E2245" authorId="0" shapeId="0" xr:uid="{00CA869C-15AF-7043-A470-F73677EB852F}">
      <text>
        <r>
          <rPr>
            <sz val="10"/>
            <color rgb="FF000000"/>
            <rFont val="Aptos Narrow"/>
            <scheme val="minor"/>
          </rPr>
          <t>======
ID#AAABjx7qWEg
    (2025-05-21 11:33:27)
3/16 Michelle:Demand3008 8" 這次樣品可以勉強接受2 Pin. 
但未來出貨一定要用3 pin 鳯凰接頭</t>
        </r>
      </text>
    </comment>
    <comment ref="H2245" authorId="0" shapeId="0" xr:uid="{8E14D7A2-BAC9-A145-8B78-291E6C6F86FC}">
      <text>
        <r>
          <rPr>
            <sz val="10"/>
            <color rgb="FF000000"/>
            <rFont val="Aptos Narrow"/>
            <scheme val="minor"/>
          </rPr>
          <t>======
ID#AAABjx7qOpY
    (2025-05-21 11:33:24)
0731 chloe:收到銀行通知USD23876</t>
        </r>
      </text>
    </comment>
    <comment ref="K2245" authorId="0" shapeId="0" xr:uid="{47978472-2577-2840-8A55-44C35E79473E}">
      <text>
        <r>
          <rPr>
            <sz val="10"/>
            <color rgb="FF000000"/>
            <rFont val="Aptos Narrow"/>
            <scheme val="minor"/>
          </rPr>
          <t>======
ID#AAABjx7qUwg
If shipping After 23rd June, please ship to    (2025-05-21 11:33:26)
11 Averill Street,
Rhodes, NSW, 2138
Australia</t>
        </r>
      </text>
    </comment>
    <comment ref="H2246" authorId="0" shapeId="0" xr:uid="{53E67F52-393B-384A-B956-F392DAD4720C}">
      <text>
        <r>
          <rPr>
            <sz val="10"/>
            <color rgb="FF000000"/>
            <rFont val="Aptos Narrow"/>
            <scheme val="minor"/>
          </rPr>
          <t>======
ID#AAABjx7qPvI
    (2025-05-21 11:33:24)
0731 chloe:收到銀行通知USD23876</t>
        </r>
      </text>
    </comment>
    <comment ref="K2246" authorId="0" shapeId="0" xr:uid="{7FDED9B9-FD20-0241-9E29-E559E5E4EC11}">
      <text>
        <r>
          <rPr>
            <sz val="10"/>
            <color rgb="FF000000"/>
            <rFont val="Aptos Narrow"/>
            <scheme val="minor"/>
          </rPr>
          <t>======
ID#AAABjx7qWZ0
If shipping After 23rd June, please ship to    (2025-05-21 11:33:27)
11 Averill Street,
Rhodes, NSW, 2138
Australia</t>
        </r>
      </text>
    </comment>
    <comment ref="H2247" authorId="0" shapeId="0" xr:uid="{4C5C8665-3550-0247-8207-B0B545A8A630}">
      <text>
        <r>
          <rPr>
            <sz val="10"/>
            <color rgb="FF000000"/>
            <rFont val="Aptos Narrow"/>
            <scheme val="minor"/>
          </rPr>
          <t>======
ID#AAABjx7qNok
    (2025-05-21 11:33:23)
0731 chloe:收到銀行通知USD23876</t>
        </r>
      </text>
    </comment>
    <comment ref="K2247" authorId="0" shapeId="0" xr:uid="{94561F41-6356-0546-B429-BE3F631494A3}">
      <text>
        <r>
          <rPr>
            <sz val="10"/>
            <color rgb="FF000000"/>
            <rFont val="Aptos Narrow"/>
            <scheme val="minor"/>
          </rPr>
          <t>======
ID#AAABjx7qQUA
If shipping After 23rd June, please ship to    (2025-05-21 11:33:25)
11 Averill Street,
Rhodes, NSW, 2138
Australia</t>
        </r>
      </text>
    </comment>
    <comment ref="W2247" authorId="0" shapeId="0" xr:uid="{A8C7FFDA-DFF4-8542-B6D2-EA0C16954DF0}">
      <text>
        <r>
          <rPr>
            <sz val="10"/>
            <color rgb="FF000000"/>
            <rFont val="Aptos Narrow"/>
            <scheme val="minor"/>
          </rPr>
          <t>======
ID#AAABjx7qOEE
    (2025-05-21 11:33:24)
月結30天，額度USD5000</t>
        </r>
      </text>
    </comment>
    <comment ref="H2248" authorId="0" shapeId="0" xr:uid="{F91E752A-022B-B946-ACE2-451DA201D27F}">
      <text>
        <r>
          <rPr>
            <sz val="10"/>
            <color rgb="FF000000"/>
            <rFont val="Aptos Narrow"/>
            <scheme val="minor"/>
          </rPr>
          <t>======
ID#AAABjx7qSLk
    (2025-05-21 11:33:26)
0731 chloe:收到銀行通知USD23876</t>
        </r>
      </text>
    </comment>
    <comment ref="K2248" authorId="0" shapeId="0" xr:uid="{118ABCB7-3F3A-564A-909D-E467A867B73F}">
      <text>
        <r>
          <rPr>
            <sz val="10"/>
            <color rgb="FF000000"/>
            <rFont val="Aptos Narrow"/>
            <scheme val="minor"/>
          </rPr>
          <t>======
ID#AAABjx7qPjI
If shipping After 23rd June, please ship to    (2025-05-21 11:33:24)
11 Averill Street,
Rhodes, NSW, 2138
Australia</t>
        </r>
      </text>
    </comment>
    <comment ref="W2248" authorId="0" shapeId="0" xr:uid="{E21610C0-371D-F041-9984-C6A5F085F1D3}">
      <text>
        <r>
          <rPr>
            <sz val="10"/>
            <color rgb="FF000000"/>
            <rFont val="Aptos Narrow"/>
            <scheme val="minor"/>
          </rPr>
          <t>======
ID#AAABjx7qQUc
    (2025-05-21 11:33:25)
月結30天，額度USD5000</t>
        </r>
      </text>
    </comment>
    <comment ref="H2249" authorId="0" shapeId="0" xr:uid="{F4FED40A-6057-EA4C-BEA3-C8854F260B99}">
      <text>
        <r>
          <rPr>
            <sz val="10"/>
            <color rgb="FF000000"/>
            <rFont val="Aptos Narrow"/>
            <scheme val="minor"/>
          </rPr>
          <t>======
ID#AAABjx7qO5Q
    (2025-05-21 11:33:24)
0718 chloe:收到銀行通知USD 24423</t>
        </r>
      </text>
    </comment>
    <comment ref="H2250" authorId="0" shapeId="0" xr:uid="{BB86EB9C-BA20-494C-BE1E-A52E07975EC0}">
      <text>
        <r>
          <rPr>
            <sz val="10"/>
            <color rgb="FF000000"/>
            <rFont val="Aptos Narrow"/>
            <scheme val="minor"/>
          </rPr>
          <t>======
ID#AAABjx7qPgs
    (2025-05-21 11:33:24)
0630 chloe:收到銀行通知USD3803</t>
        </r>
      </text>
    </comment>
    <comment ref="J2250" authorId="0" shapeId="0" xr:uid="{2AD7C5F2-41D4-9D40-A766-76C404D0B18D}">
      <text>
        <r>
          <rPr>
            <sz val="10"/>
            <color rgb="FF000000"/>
            <rFont val="Aptos Narrow"/>
            <scheme val="minor"/>
          </rPr>
          <t>======
ID#AAABjx7qPy0
170613 Tammy    (2025-05-21 11:33:24)
1) 出口報關時提供COC (產地證明)→由我方付費，下次賺回
2) EX-WORK</t>
        </r>
      </text>
    </comment>
    <comment ref="K2250" authorId="0" shapeId="0" xr:uid="{9C20766F-763F-7D4D-B811-B3848288CF6E}">
      <text>
        <r>
          <rPr>
            <sz val="10"/>
            <color rgb="FF000000"/>
            <rFont val="Aptos Narrow"/>
            <scheme val="minor"/>
          </rPr>
          <t>======
ID#AAABjx7qO-M
    (2025-05-21 11:33:24)
0629 貨物尚未收到
0629 尚未收到貨款
0630 款項收到
HS code85312000</t>
        </r>
      </text>
    </comment>
    <comment ref="H2251" authorId="0" shapeId="0" xr:uid="{8783D622-0AA8-944E-BCBB-2E7CBD25A351}">
      <text>
        <r>
          <rPr>
            <sz val="10"/>
            <color rgb="FF000000"/>
            <rFont val="Aptos Narrow"/>
            <scheme val="minor"/>
          </rPr>
          <t>======
ID#AAABjx7qQqo
    (2025-05-21 11:33:25)
0731 chloe:收到銀行通知USD23876</t>
        </r>
      </text>
    </comment>
    <comment ref="M2251" authorId="0" shapeId="0" xr:uid="{8818AF43-2F59-2B43-812F-9ACB9003770D}">
      <text>
        <r>
          <rPr>
            <sz val="10"/>
            <color rgb="FF000000"/>
            <rFont val="Aptos Narrow"/>
            <scheme val="minor"/>
          </rPr>
          <t>======
ID#AAABjx7qRIA
    (2025-05-21 11:33:25)
0613 下單
6/29到貨</t>
        </r>
      </text>
    </comment>
    <comment ref="H2252" authorId="0" shapeId="0" xr:uid="{0CDE3188-E0F8-7F4B-A2AC-D46666BFE2B5}">
      <text>
        <r>
          <rPr>
            <sz val="10"/>
            <color rgb="FF000000"/>
            <rFont val="Aptos Narrow"/>
            <scheme val="minor"/>
          </rPr>
          <t>======
ID#AAABjx7qPoI
    (2025-05-21 11:33:24)
0630 chloe:收到銀行通知USD3803</t>
        </r>
      </text>
    </comment>
    <comment ref="J2252" authorId="0" shapeId="0" xr:uid="{A10FE6B7-2388-F347-A5D6-26F97E978553}">
      <text>
        <r>
          <rPr>
            <sz val="10"/>
            <color rgb="FF000000"/>
            <rFont val="Aptos Narrow"/>
            <scheme val="minor"/>
          </rPr>
          <t>======
ID#AAABjx7qVto
170613 Tammy    (2025-05-21 11:33:27)
1) 出口報關時提供COC (產地證明)→由我方付費，下次賺回
2) EX-WORK</t>
        </r>
      </text>
    </comment>
    <comment ref="K2252" authorId="0" shapeId="0" xr:uid="{1366C93C-5413-4645-B7CE-38034F3CDDA4}">
      <text>
        <r>
          <rPr>
            <sz val="10"/>
            <color rgb="FF000000"/>
            <rFont val="Aptos Narrow"/>
            <scheme val="minor"/>
          </rPr>
          <t>======
ID#AAABjx7qNrw
    (2025-05-21 11:33:23)
0629 貨物尚未收到
0629 尚未收到貨款
0630 款項收到
HS code85312000</t>
        </r>
      </text>
    </comment>
    <comment ref="H2253" authorId="0" shapeId="0" xr:uid="{FF79858B-F557-8342-960F-4A3D4000B6F2}">
      <text>
        <r>
          <rPr>
            <sz val="10"/>
            <color rgb="FF000000"/>
            <rFont val="Aptos Narrow"/>
            <scheme val="minor"/>
          </rPr>
          <t>======
ID#AAABjx7qRFs
    (2025-05-21 11:33:25)
0630 chloe:收到銀行通知USD3803</t>
        </r>
      </text>
    </comment>
    <comment ref="J2253" authorId="0" shapeId="0" xr:uid="{0E36B683-A9A2-5C47-A684-20B1CCF3404F}">
      <text>
        <r>
          <rPr>
            <sz val="10"/>
            <color rgb="FF000000"/>
            <rFont val="Aptos Narrow"/>
            <scheme val="minor"/>
          </rPr>
          <t>======
ID#AAABjx7qPIw
170613 Tammy, 參照20160930C, 如下    (2025-05-21 11:33:24)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K2253" authorId="0" shapeId="0" xr:uid="{EB63C1D5-DD9D-734C-992A-AE4941C07CE9}">
      <text>
        <r>
          <rPr>
            <sz val="10"/>
            <color rgb="FF000000"/>
            <rFont val="Aptos Narrow"/>
            <scheme val="minor"/>
          </rPr>
          <t>======
ID#AAABjx7qOlk
    (2025-05-21 11:33:24)
0629 貨物尚未收到
0629 尚未收到貨款
0630 款項收到</t>
        </r>
      </text>
    </comment>
    <comment ref="H2254" authorId="0" shapeId="0" xr:uid="{8AA314B8-4E8C-B449-9306-A9D363827C03}">
      <text>
        <r>
          <rPr>
            <sz val="10"/>
            <color rgb="FF000000"/>
            <rFont val="Aptos Narrow"/>
            <scheme val="minor"/>
          </rPr>
          <t>======
ID#AAABjx7qOc8
    (2025-05-21 11:33:24)
0630 chloe:收到銀行通知USD3803</t>
        </r>
      </text>
    </comment>
    <comment ref="J2254" authorId="0" shapeId="0" xr:uid="{79A3A28A-BC03-7A44-90FA-A91DF6B21D6F}">
      <text>
        <r>
          <rPr>
            <sz val="10"/>
            <color rgb="FF000000"/>
            <rFont val="Aptos Narrow"/>
            <scheme val="minor"/>
          </rPr>
          <t>======
ID#AAABj82dpMw
170613 Tammy, 參照20160930C, 如下    (2025-05-21 11:33:23)
1. FOB. 
2. 請JJB 出口報關時提供COC (產地證明)
3.貨代聯絡資料如下：
JJB Link Logistics Company Inc.
Office Address: 8F., No. 152, Sec. 4, Nan-King E., Road, Taipei Taiwan.
CTP: Timothy Jen, Tel: +886-2-25772111 #105, Fax: +886-2-25702115</t>
        </r>
      </text>
    </comment>
    <comment ref="K2254" authorId="0" shapeId="0" xr:uid="{CBEC4BEA-2E90-DB4C-A74A-F0FBB6D1E0E8}">
      <text>
        <r>
          <rPr>
            <sz val="10"/>
            <color rgb="FF000000"/>
            <rFont val="Aptos Narrow"/>
            <scheme val="minor"/>
          </rPr>
          <t>======
ID#AAABjx7qPxg
    (2025-05-21 11:33:24)
0629 貨物尚未收到
0629 尚未收到貨款
0630 款項收到</t>
        </r>
      </text>
    </comment>
    <comment ref="H2255" authorId="0" shapeId="0" xr:uid="{2C0B7CFC-97BC-CD44-B65A-40CB8E79EB04}">
      <text>
        <r>
          <rPr>
            <sz val="10"/>
            <color rgb="FF000000"/>
            <rFont val="Aptos Narrow"/>
            <scheme val="minor"/>
          </rPr>
          <t>======
ID#AAABjx7qQ80
    (2025-05-21 11:33:25)
0821 chloe: 收到銀行通知USD 2400 + 1/19多匯USD6330 = USD8730</t>
        </r>
      </text>
    </comment>
    <comment ref="H2256" authorId="0" shapeId="0" xr:uid="{3CECF497-D199-2D48-B751-23B2484C6269}">
      <text>
        <r>
          <rPr>
            <sz val="10"/>
            <color rgb="FF000000"/>
            <rFont val="Aptos Narrow"/>
            <scheme val="minor"/>
          </rPr>
          <t>======
ID#AAABjx7qS6I
    (2025-05-21 11:33:26)
0821 chloe: 收到銀行通知USD 2400 + 1/19多匯USD6330 = USD8730</t>
        </r>
      </text>
    </comment>
    <comment ref="H2257" authorId="0" shapeId="0" xr:uid="{8DA9BDA4-0042-A543-83A9-F4B0A0D7B2DB}">
      <text>
        <r>
          <rPr>
            <sz val="10"/>
            <color rgb="FF000000"/>
            <rFont val="Aptos Narrow"/>
            <scheme val="minor"/>
          </rPr>
          <t>======
ID#AAABjx7qQr4
    (2025-05-21 11:33:25)
0821 chloe: 收到銀行通知USD 2400 + 1/19多匯USD6330 = USD8730</t>
        </r>
      </text>
    </comment>
    <comment ref="H2258" authorId="0" shapeId="0" xr:uid="{035BDDC8-08CC-BC4B-8EB4-6D1EAA16CE3B}">
      <text>
        <r>
          <rPr>
            <sz val="10"/>
            <color rgb="FF000000"/>
            <rFont val="Aptos Narrow"/>
            <scheme val="minor"/>
          </rPr>
          <t>======
ID#AAABjx7qMvU
    (2025-05-21 11:33:23)
0821 chloe: 收到銀行通知USD 2400 + 1/19多匯USD6330 = USD8730</t>
        </r>
      </text>
    </comment>
    <comment ref="H2259" authorId="0" shapeId="0" xr:uid="{65206CB7-B571-144B-B72A-85BEC11D1D6D}">
      <text>
        <r>
          <rPr>
            <sz val="10"/>
            <color rgb="FF000000"/>
            <rFont val="Aptos Narrow"/>
            <scheme val="minor"/>
          </rPr>
          <t>======
ID#AAABjx7qSB4
    (2025-05-21 11:33:25)
0821 chloe: 收到銀行通知USD993</t>
        </r>
      </text>
    </comment>
    <comment ref="H2260" authorId="0" shapeId="0" xr:uid="{7D6EA2C3-FC87-4847-80F6-E9FCFCB4EBA3}">
      <text>
        <r>
          <rPr>
            <sz val="10"/>
            <color rgb="FF000000"/>
            <rFont val="Aptos Narrow"/>
            <scheme val="minor"/>
          </rPr>
          <t>======
ID#AAABjx7qRks
    (2025-05-21 11:33:25)
0821 chloe: 收到銀行通知USD993</t>
        </r>
      </text>
    </comment>
    <comment ref="H2261" authorId="0" shapeId="0" xr:uid="{73450086-5EBB-0440-9245-F64B645BC641}">
      <text>
        <r>
          <rPr>
            <sz val="10"/>
            <color rgb="FF000000"/>
            <rFont val="Aptos Narrow"/>
            <scheme val="minor"/>
          </rPr>
          <t>======
ID#AAABjx7qOy4
    (2025-05-21 11:33:24)
0822 chloe:已收到銀行通知USD17120</t>
        </r>
      </text>
    </comment>
    <comment ref="K2261" authorId="0" shapeId="0" xr:uid="{CBD1C282-B9BC-1746-B9E0-C0B2B66CA09A}">
      <text>
        <r>
          <rPr>
            <sz val="10"/>
            <color rgb="FF000000"/>
            <rFont val="Aptos Narrow"/>
            <scheme val="minor"/>
          </rPr>
          <t>======
ID#AAABjx7qQXo
    (2025-05-21 11:33:25)
0731 chloe:待客戶付款</t>
        </r>
      </text>
    </comment>
    <comment ref="M2261" authorId="0" shapeId="0" xr:uid="{D44F230C-5AD4-0849-B5C3-09D45A564140}">
      <text>
        <r>
          <rPr>
            <sz val="10"/>
            <color rgb="FF000000"/>
            <rFont val="Aptos Narrow"/>
            <scheme val="minor"/>
          </rPr>
          <t>======
ID#AAABjx7qNVw
    (2025-05-21 11:33:23)
0619 待PULL IN交期
0711 回覆交期無法提前.
0728  原本 8/10</t>
        </r>
      </text>
    </comment>
    <comment ref="H2262" authorId="0" shapeId="0" xr:uid="{B1F4FBEB-EFA0-934A-8C46-7A2DBCCBA706}">
      <text>
        <r>
          <rPr>
            <sz val="10"/>
            <color rgb="FF000000"/>
            <rFont val="Aptos Narrow"/>
            <scheme val="minor"/>
          </rPr>
          <t>======
ID#AAABjx7qQYk
    (2025-05-21 11:33:25)
0822 chloe:已收到銀行通知USD17120</t>
        </r>
      </text>
    </comment>
    <comment ref="K2262" authorId="0" shapeId="0" xr:uid="{377EA6D8-FD8F-A140-8942-FFA9FD4A7B01}">
      <text>
        <r>
          <rPr>
            <sz val="10"/>
            <color rgb="FF000000"/>
            <rFont val="Aptos Narrow"/>
            <scheme val="minor"/>
          </rPr>
          <t>======
ID#AAABjx7qVU0
    (2025-05-21 11:33:27)
0731 chloe:待客戶付款</t>
        </r>
      </text>
    </comment>
    <comment ref="M2262" authorId="0" shapeId="0" xr:uid="{A69AC30D-AD14-9449-AE68-C8AC97ED409D}">
      <text>
        <r>
          <rPr>
            <sz val="10"/>
            <color rgb="FF000000"/>
            <rFont val="Aptos Narrow"/>
            <scheme val="minor"/>
          </rPr>
          <t>======
ID#AAABjx7qR2o
    (2025-05-21 11:33:25)
0619 待PULL IN交期
0711 回覆交期無法提前.
0728  原本 8/10</t>
        </r>
      </text>
    </comment>
    <comment ref="H2263" authorId="0" shapeId="0" xr:uid="{37EC43DB-3EBF-704E-BD6C-FA51F5FEC9D6}">
      <text>
        <r>
          <rPr>
            <sz val="10"/>
            <color rgb="FF000000"/>
            <rFont val="Aptos Narrow"/>
            <scheme val="minor"/>
          </rPr>
          <t>======
ID#AAABjx7qVoY
    (2025-05-21 11:33:27)
0822 chloe:已收到銀行通知USD17120</t>
        </r>
      </text>
    </comment>
    <comment ref="K2263" authorId="0" shapeId="0" xr:uid="{4847513F-4988-D842-89A0-744645C2BDF7}">
      <text>
        <r>
          <rPr>
            <sz val="10"/>
            <color rgb="FF000000"/>
            <rFont val="Aptos Narrow"/>
            <scheme val="minor"/>
          </rPr>
          <t>======
ID#AAABjx7qWV4
    (2025-05-21 11:33:27)
0731 chloe:待客戶付款</t>
        </r>
      </text>
    </comment>
    <comment ref="M2263" authorId="0" shapeId="0" xr:uid="{59B76714-0421-2C49-AAEA-6325E6FE7A18}">
      <text>
        <r>
          <rPr>
            <sz val="10"/>
            <color rgb="FF000000"/>
            <rFont val="Aptos Narrow"/>
            <scheme val="minor"/>
          </rPr>
          <t>======
ID#AAABjx7qM7I
    (2025-05-21 11:33:23)
0619 待PULL IN交期
0711 回覆交期無法提前.
0728  原本 8/10</t>
        </r>
      </text>
    </comment>
    <comment ref="H2264" authorId="0" shapeId="0" xr:uid="{C9E1F6A6-C8AC-6349-8C4C-69DCCB8D107B}">
      <text>
        <r>
          <rPr>
            <sz val="10"/>
            <color rgb="FF000000"/>
            <rFont val="Aptos Narrow"/>
            <scheme val="minor"/>
          </rPr>
          <t>======
ID#AAABjx7qVD8
    (2025-05-21 11:33:27)
0822 chloe:已收到銀行通知USD17120</t>
        </r>
      </text>
    </comment>
    <comment ref="K2264" authorId="0" shapeId="0" xr:uid="{88067C08-C6B3-844F-9F29-C1D5AA5F9045}">
      <text>
        <r>
          <rPr>
            <sz val="10"/>
            <color rgb="FF000000"/>
            <rFont val="Aptos Narrow"/>
            <scheme val="minor"/>
          </rPr>
          <t>======
ID#AAABjx7qVlQ
    (2025-05-21 11:33:27)
0731 chloe:待客戶付款</t>
        </r>
      </text>
    </comment>
    <comment ref="M2264" authorId="0" shapeId="0" xr:uid="{EC22A474-13DF-3C4E-86A6-DCF6147032E2}">
      <text>
        <r>
          <rPr>
            <sz val="10"/>
            <color rgb="FF000000"/>
            <rFont val="Aptos Narrow"/>
            <scheme val="minor"/>
          </rPr>
          <t>======
ID#AAABj82dpHA
    (2025-05-21 11:33:23)
待新漢交期PULL IN 完後再決定是否要提前還延後</t>
        </r>
      </text>
    </comment>
    <comment ref="H2265" authorId="0" shapeId="0" xr:uid="{9647CEA6-3144-B446-875E-7C9BB04F7B2E}">
      <text>
        <r>
          <rPr>
            <sz val="10"/>
            <color rgb="FF000000"/>
            <rFont val="Aptos Narrow"/>
            <scheme val="minor"/>
          </rPr>
          <t>======
ID#AAABjx7qSF4
    (2025-05-21 11:33:26)
0817 chloe: 收到銀行通知USD16029.3 (原 16657.3- 620)</t>
        </r>
      </text>
    </comment>
    <comment ref="E2266" authorId="0" shapeId="0" xr:uid="{BD095D40-8F2E-6540-8E4C-E67C11F98F94}">
      <text>
        <r>
          <rPr>
            <sz val="10"/>
            <color rgb="FF000000"/>
            <rFont val="Aptos Narrow"/>
            <scheme val="minor"/>
          </rPr>
          <t>======
ID#AAABj82dpP8
    (2025-05-21 11:33:23)
170619 Karen: w/EU adapter</t>
        </r>
      </text>
    </comment>
    <comment ref="H2266" authorId="0" shapeId="0" xr:uid="{FD8BB12E-6E9E-F446-AC59-3C203F4134B6}">
      <text>
        <r>
          <rPr>
            <sz val="10"/>
            <color rgb="FF000000"/>
            <rFont val="Aptos Narrow"/>
            <scheme val="minor"/>
          </rPr>
          <t>======
ID#AAABjx7qVZg
    (2025-05-21 11:33:27)
0623 chloe:以收到銀行通知USD1630</t>
        </r>
      </text>
    </comment>
    <comment ref="K2266" authorId="0" shapeId="0" xr:uid="{91BB0D79-8BCF-C244-9E3E-FC1144150D88}">
      <text>
        <r>
          <rPr>
            <sz val="10"/>
            <color rgb="FF000000"/>
            <rFont val="Aptos Narrow"/>
            <scheme val="minor"/>
          </rPr>
          <t>======
ID#AAABjx7qTHA
    (2025-05-21 11:33:26)
38*32*45 8KG</t>
        </r>
      </text>
    </comment>
    <comment ref="H2267" authorId="0" shapeId="0" xr:uid="{EE13A2A3-6558-0344-B92B-15A8457EF914}">
      <text>
        <r>
          <rPr>
            <sz val="10"/>
            <color rgb="FF000000"/>
            <rFont val="Aptos Narrow"/>
            <scheme val="minor"/>
          </rPr>
          <t>======
ID#AAABjx7qVeY
    (2025-05-21 11:33:27)
0808 chloe:收到銀行通知USD12266</t>
        </r>
      </text>
    </comment>
    <comment ref="K2267" authorId="0" shapeId="0" xr:uid="{4467834A-D5DF-CF49-AD6D-1F28B89B5B07}">
      <text>
        <r>
          <rPr>
            <sz val="10"/>
            <color rgb="FF000000"/>
            <rFont val="Aptos Narrow"/>
            <scheme val="minor"/>
          </rPr>
          <t>======
ID#AAABjx7qWR8
    (2025-05-21 11:33:27)
Santiago 拍照後寄出
另2pcs NG的裝在C/NO.5，
出貨前，請確認無廠商標誌標籤</t>
        </r>
      </text>
    </comment>
    <comment ref="M2267" authorId="0" shapeId="0" xr:uid="{C1EAB42F-082B-0A40-A4A6-6296D182CAB8}">
      <text>
        <r>
          <rPr>
            <sz val="10"/>
            <color rgb="FF000000"/>
            <rFont val="Aptos Narrow"/>
            <scheme val="minor"/>
          </rPr>
          <t>======
ID#AAABjx7qPCI
    (2025-05-21 11:33:24)
Q3-Q4 約有200 PCS 維持原價
1ZWF17406794019050 客人LCD</t>
        </r>
      </text>
    </comment>
    <comment ref="H2268" authorId="0" shapeId="0" xr:uid="{72C8C691-23F6-C64C-B38F-D0BCD50A077D}">
      <text>
        <r>
          <rPr>
            <sz val="10"/>
            <color rgb="FF000000"/>
            <rFont val="Aptos Narrow"/>
            <scheme val="minor"/>
          </rPr>
          <t>======
ID#AAABjx7qRE0
    (2025-05-21 11:33:25)
0622 chloe:今日已收到銀行通知USD160</t>
        </r>
      </text>
    </comment>
    <comment ref="O2268" authorId="0" shapeId="0" xr:uid="{5C7810BC-C9A0-8B46-A13F-68DD736273DA}">
      <text>
        <r>
          <rPr>
            <sz val="10"/>
            <color rgb="FF000000"/>
            <rFont val="Aptos Narrow"/>
            <scheme val="minor"/>
          </rPr>
          <t>======
ID#AAABjx7qQYs
    (2025-05-21 11:33:25)
獎金計算請從RDMO-20170511A~RDMO-20170511A-5&amp;RDMPO-20170511A-7</t>
        </r>
      </text>
    </comment>
    <comment ref="H2269" authorId="0" shapeId="0" xr:uid="{EE3D4FF2-9CD1-5646-9225-3EF07908B424}">
      <text>
        <r>
          <rPr>
            <sz val="10"/>
            <color rgb="FF000000"/>
            <rFont val="Aptos Narrow"/>
            <scheme val="minor"/>
          </rPr>
          <t>======
ID#AAABjx7qQtk
    (2025-05-21 11:33:25)
0621 chloe: 收到銀行通知USD1215</t>
        </r>
      </text>
    </comment>
    <comment ref="H2270" authorId="0" shapeId="0" xr:uid="{B0D59816-4280-1D47-BD1C-1DC0B60D3956}">
      <text>
        <r>
          <rPr>
            <sz val="10"/>
            <color rgb="FF000000"/>
            <rFont val="Aptos Narrow"/>
            <scheme val="minor"/>
          </rPr>
          <t>======
ID#AAABjx7qTkE
    (2025-05-21 11:33:26)
0621 chloe: 收到銀行通知USD1215</t>
        </r>
      </text>
    </comment>
    <comment ref="H2271" authorId="0" shapeId="0" xr:uid="{2E9E1F8D-3DB5-D748-A7C7-06F4F29D9581}">
      <text>
        <r>
          <rPr>
            <sz val="10"/>
            <color rgb="FF000000"/>
            <rFont val="Aptos Narrow"/>
            <scheme val="minor"/>
          </rPr>
          <t>======
ID#AAABjx7qV68
    (2025-05-21 11:33:27)
0630 chloe:收到銀行通知USD1324</t>
        </r>
      </text>
    </comment>
    <comment ref="H2272" authorId="0" shapeId="0" xr:uid="{E9E8C44B-1534-614D-A9FE-2CCD46975858}">
      <text>
        <r>
          <rPr>
            <sz val="10"/>
            <color rgb="FF000000"/>
            <rFont val="Aptos Narrow"/>
            <scheme val="minor"/>
          </rPr>
          <t>======
ID#AAABjx7qS-k
    (2025-05-21 11:33:26)
0630 chloe:收到銀行通知USD1324</t>
        </r>
      </text>
    </comment>
    <comment ref="D2273" authorId="0" shapeId="0" xr:uid="{E46C3358-F9A2-0F44-A116-5B27727F4000}">
      <text>
        <r>
          <rPr>
            <sz val="10"/>
            <color rgb="FF000000"/>
            <rFont val="Aptos Narrow"/>
            <scheme val="minor"/>
          </rPr>
          <t>======
ID#AAABjx7qU94
Benson 20170817    (2025-05-21 11:33:27)
Debit note: ELS-3160S Heatsink defect
US$ 30</t>
        </r>
      </text>
    </comment>
    <comment ref="E2273" authorId="0" shapeId="0" xr:uid="{2DEF7498-40CD-FC40-A2D1-4A1F3035EB9E}">
      <text>
        <r>
          <rPr>
            <sz val="10"/>
            <color rgb="FF000000"/>
            <rFont val="Aptos Narrow"/>
            <scheme val="minor"/>
          </rPr>
          <t>======
ID#AAABjx7qVGQ
    (2025-05-21 11:33:27)
20180125 chloe: 貨物退回</t>
        </r>
      </text>
    </comment>
    <comment ref="H2273" authorId="0" shapeId="0" xr:uid="{EEAF34A2-F7C4-F74D-B998-6175B1756ACA}">
      <text>
        <r>
          <rPr>
            <sz val="10"/>
            <color rgb="FF000000"/>
            <rFont val="Aptos Narrow"/>
            <scheme val="minor"/>
          </rPr>
          <t>======
ID#AAABjx7qPCk
    (2025-05-21 11:33:24)
0629 chloe: 收到銀行通知USD2254</t>
        </r>
      </text>
    </comment>
    <comment ref="K2273" authorId="0" shapeId="0" xr:uid="{3BDD8CE0-D21F-6647-9637-9E810E429E0D}">
      <text>
        <r>
          <rPr>
            <sz val="10"/>
            <color rgb="FF000000"/>
            <rFont val="Aptos Narrow"/>
            <scheme val="minor"/>
          </rPr>
          <t>======
ID#AAABjx7qNwQ
    (2025-05-21 11:33:23)
0814 chloe:機殼有問題
0828 chloe:預計9月初</t>
        </r>
      </text>
    </comment>
    <comment ref="M2273" authorId="0" shapeId="0" xr:uid="{C54A7940-8CE4-0048-898D-7204599FD1C9}">
      <text>
        <r>
          <rPr>
            <sz val="10"/>
            <color rgb="FF000000"/>
            <rFont val="Aptos Narrow"/>
            <scheme val="minor"/>
          </rPr>
          <t>======
ID#AAABjx7qTBM
    (2025-05-21 11:33:26)
版子燒壞
0906 chloe:機殼打錯，延遲
0919 USB孔位短缺，拿回重改</t>
        </r>
      </text>
    </comment>
    <comment ref="E2274" authorId="0" shapeId="0" xr:uid="{5B20D061-FB14-A445-B428-B800FFDF63DC}">
      <text>
        <r>
          <rPr>
            <sz val="10"/>
            <color rgb="FF000000"/>
            <rFont val="Aptos Narrow"/>
            <scheme val="minor"/>
          </rPr>
          <t>======
ID#AAABjx7qSI0
    (2025-05-21 11:33:26)
20180125 chloe: 貨物退回，已匯入款項當下次出貨使用</t>
        </r>
      </text>
    </comment>
    <comment ref="H2274" authorId="0" shapeId="0" xr:uid="{4C179AD4-FC9A-F240-88FE-CBC06FA7A65B}">
      <text>
        <r>
          <rPr>
            <sz val="10"/>
            <color rgb="FF000000"/>
            <rFont val="Aptos Narrow"/>
            <scheme val="minor"/>
          </rPr>
          <t>======
ID#AAABjx7qPxw
    (2025-05-21 11:33:24)
0629 chloe: 收到銀行通知USD2254</t>
        </r>
      </text>
    </comment>
    <comment ref="H2275" authorId="0" shapeId="0" xr:uid="{CF8B5240-4750-0947-84F5-5C7B61A0A4DA}">
      <text>
        <r>
          <rPr>
            <sz val="10"/>
            <color rgb="FF000000"/>
            <rFont val="Aptos Narrow"/>
            <scheme val="minor"/>
          </rPr>
          <t>======
ID#AAABjx7qSrY
    (2025-05-21 11:33:26)
0629 chloe: 收到銀行通知USD2254</t>
        </r>
      </text>
    </comment>
    <comment ref="M2275" authorId="0" shapeId="0" xr:uid="{F0D5C463-7FB8-B14E-BDF5-6DA8E0D62BC3}">
      <text>
        <r>
          <rPr>
            <sz val="10"/>
            <color rgb="FF000000"/>
            <rFont val="Aptos Narrow"/>
            <scheme val="minor"/>
          </rPr>
          <t>======
ID#AAABjx7qWWU
    (2025-05-21 11:33:27)
TS64GSSD420KI (鋁)</t>
        </r>
      </text>
    </comment>
    <comment ref="H2276" authorId="0" shapeId="0" xr:uid="{A015B66A-258B-0445-892F-053BA7002CF6}">
      <text>
        <r>
          <rPr>
            <sz val="10"/>
            <color rgb="FF000000"/>
            <rFont val="Aptos Narrow"/>
            <scheme val="minor"/>
          </rPr>
          <t>======
ID#AAABjx7qOUI
    (2025-05-21 11:33:24)
0629 chloe: 收到銀行通知USD2254</t>
        </r>
      </text>
    </comment>
    <comment ref="H2277" authorId="0" shapeId="0" xr:uid="{429643CA-F389-FB42-9882-AD74316D5B31}">
      <text>
        <r>
          <rPr>
            <sz val="10"/>
            <color rgb="FF000000"/>
            <rFont val="Aptos Narrow"/>
            <scheme val="minor"/>
          </rPr>
          <t>======
ID#AAABjx7qQj0
    (2025-05-21 11:33:25)
0817 chloe: 收到銀行通知USD16029.3 (原 16657.3- 620)</t>
        </r>
      </text>
    </comment>
    <comment ref="H2278" authorId="0" shapeId="0" xr:uid="{AFD07796-4443-6A49-B408-F55E3C392ACC}">
      <text>
        <r>
          <rPr>
            <sz val="10"/>
            <color rgb="FF000000"/>
            <rFont val="Aptos Narrow"/>
            <scheme val="minor"/>
          </rPr>
          <t>======
ID#AAABjx7qNTs
    (2025-05-21 11:33:23)
0817 chloe: 收到銀行通知USD16029.3 (原 16657.3- 620)</t>
        </r>
      </text>
    </comment>
    <comment ref="H2279" authorId="0" shapeId="0" xr:uid="{7F355C35-9B5B-B746-AFE0-AEC613D8A405}">
      <text>
        <r>
          <rPr>
            <sz val="10"/>
            <color rgb="FF000000"/>
            <rFont val="Aptos Narrow"/>
            <scheme val="minor"/>
          </rPr>
          <t>======
ID#AAABjx7qS1g
    (2025-05-21 11:33:26)
0817 chloe: 收到銀行通知USD16029.3 (原 16657.3- 620)</t>
        </r>
      </text>
    </comment>
    <comment ref="H2280" authorId="0" shapeId="0" xr:uid="{363C101D-BB66-3E4B-BDCE-BCC8ED126155}">
      <text>
        <r>
          <rPr>
            <sz val="10"/>
            <color rgb="FF000000"/>
            <rFont val="Aptos Narrow"/>
            <scheme val="minor"/>
          </rPr>
          <t>======
ID#AAABjx7qRkM
    (2025-05-21 11:33:25)
0817 chloe: 收到銀行通知USD16029.3 (原 16657.3- 620)</t>
        </r>
      </text>
    </comment>
    <comment ref="H2281" authorId="0" shapeId="0" xr:uid="{AF1BC994-04C0-7340-A896-0255110F2ADB}">
      <text>
        <r>
          <rPr>
            <sz val="10"/>
            <color rgb="FF000000"/>
            <rFont val="Aptos Narrow"/>
            <scheme val="minor"/>
          </rPr>
          <t>======
ID#AAABjx7qTTQ
    (2025-05-21 11:33:26)
0803 chloe:收到銀行通知USD3891</t>
        </r>
      </text>
    </comment>
    <comment ref="H2282" authorId="0" shapeId="0" xr:uid="{BCD86E3F-67D4-314A-B4E1-602B29F1DA7A}">
      <text>
        <r>
          <rPr>
            <sz val="10"/>
            <color rgb="FF000000"/>
            <rFont val="Aptos Narrow"/>
            <scheme val="minor"/>
          </rPr>
          <t>======
ID#AAABjx7qOto
    (2025-05-21 11:33:24)
0803 chloe:收到銀行通知USD3891</t>
        </r>
      </text>
    </comment>
    <comment ref="H2283" authorId="0" shapeId="0" xr:uid="{04592CC2-A7EF-4E47-9BDE-047F779F9199}">
      <text>
        <r>
          <rPr>
            <sz val="10"/>
            <color rgb="FF000000"/>
            <rFont val="Aptos Narrow"/>
            <scheme val="minor"/>
          </rPr>
          <t>======
ID#AAABjx7qTPc
    (2025-05-21 11:33:26)
0803 chloe:收到銀行通知USD3891</t>
        </r>
      </text>
    </comment>
    <comment ref="H2284" authorId="0" shapeId="0" xr:uid="{BD41055B-12AE-AD45-B27F-99EF308D6225}">
      <text>
        <r>
          <rPr>
            <sz val="10"/>
            <color rgb="FF000000"/>
            <rFont val="Aptos Narrow"/>
            <scheme val="minor"/>
          </rPr>
          <t>======
ID#AAABjx7qRww
    (2025-05-21 11:33:25)
0803 chloe:收到銀行通知USD3891</t>
        </r>
      </text>
    </comment>
    <comment ref="H2285" authorId="0" shapeId="0" xr:uid="{3CC8B861-B352-C44E-9C5C-1943B4722452}">
      <text>
        <r>
          <rPr>
            <sz val="10"/>
            <color rgb="FF000000"/>
            <rFont val="Aptos Narrow"/>
            <scheme val="minor"/>
          </rPr>
          <t>======
ID#AAABjx7qM34
    (2025-05-21 11:33:23)
0803 chloe:收到銀行通知USD3891</t>
        </r>
      </text>
    </comment>
    <comment ref="G2286" authorId="0" shapeId="0" xr:uid="{A37F2CA3-4DF2-F74C-9313-229C7DF8EE8B}">
      <text>
        <r>
          <rPr>
            <sz val="10"/>
            <color rgb="FF000000"/>
            <rFont val="Aptos Narrow"/>
            <scheme val="minor"/>
          </rPr>
          <t>======
ID#AAABjx7qUz0
    (2025-05-21 11:33:26)
170323 w/ 5%VAT</t>
        </r>
      </text>
    </comment>
    <comment ref="H2286" authorId="0" shapeId="0" xr:uid="{55BA57EF-2F4C-EC44-B787-79D9834FE7B9}">
      <text>
        <r>
          <rPr>
            <sz val="10"/>
            <color rgb="FF000000"/>
            <rFont val="Aptos Narrow"/>
            <scheme val="minor"/>
          </rPr>
          <t>======
ID#AAABjx7qP2k
    (2025-05-21 11:33:24)
1211 Santiago : 收到合庫通知</t>
        </r>
      </text>
    </comment>
    <comment ref="G2287" authorId="0" shapeId="0" xr:uid="{F037E2D6-0B6D-4B49-9E99-79D0D39F726D}">
      <text>
        <r>
          <rPr>
            <sz val="10"/>
            <color rgb="FF000000"/>
            <rFont val="Aptos Narrow"/>
            <scheme val="minor"/>
          </rPr>
          <t>======
ID#AAABjx7qUr0
    (2025-05-21 11:33:26)
170323 w/ 5%VAT</t>
        </r>
      </text>
    </comment>
    <comment ref="H2287" authorId="0" shapeId="0" xr:uid="{54105650-EBDC-5148-90ED-2D95588F7C49}">
      <text>
        <r>
          <rPr>
            <sz val="10"/>
            <color rgb="FF000000"/>
            <rFont val="Aptos Narrow"/>
            <scheme val="minor"/>
          </rPr>
          <t>======
ID#AAABjx7qS9I
    (2025-05-21 11:33:26)
1002 chloe: 收到銀行通知US$3780</t>
        </r>
      </text>
    </comment>
    <comment ref="H2288" authorId="0" shapeId="0" xr:uid="{A48BDDDA-EA07-4D47-8792-139BFB24C5BB}">
      <text>
        <r>
          <rPr>
            <sz val="10"/>
            <color rgb="FF000000"/>
            <rFont val="Aptos Narrow"/>
            <scheme val="minor"/>
          </rPr>
          <t>======
ID#AAABjx7qSow
    (2025-05-21 11:33:26)
0706 chloe:收到銀行通知USD6698</t>
        </r>
      </text>
    </comment>
    <comment ref="K2288" authorId="0" shapeId="0" xr:uid="{AC6EAD10-0AF1-F547-A7B1-361786405E1D}">
      <text>
        <r>
          <rPr>
            <sz val="10"/>
            <color rgb="FF000000"/>
            <rFont val="Aptos Narrow"/>
            <scheme val="minor"/>
          </rPr>
          <t>======
ID#AAABjx7qVlk
    (2025-05-21 11:33:27)
尚未收到客戶通知</t>
        </r>
      </text>
    </comment>
    <comment ref="H2289" authorId="0" shapeId="0" xr:uid="{ECDA2A30-93B9-E741-B83C-8034B6EE1BF6}">
      <text>
        <r>
          <rPr>
            <sz val="10"/>
            <color rgb="FF000000"/>
            <rFont val="Aptos Narrow"/>
            <scheme val="minor"/>
          </rPr>
          <t>======
ID#AAABjx7qU5o
    (2025-05-21 11:33:27)
0706 chloe:收到銀行通知USD6698</t>
        </r>
      </text>
    </comment>
    <comment ref="K2289" authorId="0" shapeId="0" xr:uid="{2B2308EA-C011-4F46-BF37-293D9EFC689A}">
      <text>
        <r>
          <rPr>
            <sz val="10"/>
            <color rgb="FF000000"/>
            <rFont val="Aptos Narrow"/>
            <scheme val="minor"/>
          </rPr>
          <t>======
ID#AAABjx7qTkY
    (2025-05-21 11:33:26)
尚未收到客戶通知</t>
        </r>
      </text>
    </comment>
    <comment ref="H2290" authorId="0" shapeId="0" xr:uid="{F996E391-2D9D-AC43-87C0-A9D665C96C88}">
      <text>
        <r>
          <rPr>
            <sz val="10"/>
            <color rgb="FF000000"/>
            <rFont val="Aptos Narrow"/>
            <scheme val="minor"/>
          </rPr>
          <t>======
ID#AAABjx7qUtI
    (2025-05-21 11:33:26)
0706 chloe:收到銀行通知USD6698</t>
        </r>
      </text>
    </comment>
    <comment ref="K2290" authorId="0" shapeId="0" xr:uid="{2417A3A7-7CA0-AD42-B09A-2B90344A503A}">
      <text>
        <r>
          <rPr>
            <sz val="10"/>
            <color rgb="FF000000"/>
            <rFont val="Aptos Narrow"/>
            <scheme val="minor"/>
          </rPr>
          <t>======
ID#AAABjx7qPzI
    (2025-05-21 11:33:24)
尚未收到客戶通知</t>
        </r>
      </text>
    </comment>
    <comment ref="H2291" authorId="0" shapeId="0" xr:uid="{6B502057-D09B-B749-804E-BE7F83711C19}">
      <text>
        <r>
          <rPr>
            <sz val="10"/>
            <color rgb="FF000000"/>
            <rFont val="Aptos Narrow"/>
            <scheme val="minor"/>
          </rPr>
          <t>======
ID#AAABjx7qNoI
    (2025-05-21 11:33:23)
0706 chloe:收到銀行通知USD6698</t>
        </r>
      </text>
    </comment>
    <comment ref="K2291" authorId="0" shapeId="0" xr:uid="{0D631075-F090-4642-9A47-DC72C287B837}">
      <text>
        <r>
          <rPr>
            <sz val="10"/>
            <color rgb="FF000000"/>
            <rFont val="Aptos Narrow"/>
            <scheme val="minor"/>
          </rPr>
          <t>======
ID#AAABjx7qPcA
    (2025-05-21 11:33:24)
尚未收到客戶通知</t>
        </r>
      </text>
    </comment>
    <comment ref="H2292" authorId="0" shapeId="0" xr:uid="{40EA3547-D278-DA46-BD6A-30FCF7047325}">
      <text>
        <r>
          <rPr>
            <sz val="10"/>
            <color rgb="FF000000"/>
            <rFont val="Aptos Narrow"/>
            <scheme val="minor"/>
          </rPr>
          <t>======
ID#AAABjx7qPqA
    (2025-05-21 11:33:24)
0706 chloe:收到銀行通知USD6698</t>
        </r>
      </text>
    </comment>
    <comment ref="K2292" authorId="0" shapeId="0" xr:uid="{ED20AFB5-3484-DA4E-9E3B-977633A143CE}">
      <text>
        <r>
          <rPr>
            <sz val="10"/>
            <color rgb="FF000000"/>
            <rFont val="Aptos Narrow"/>
            <scheme val="minor"/>
          </rPr>
          <t>======
ID#AAABjx7qPNU
    (2025-05-21 11:33:24)
尚未收到客戶通知</t>
        </r>
      </text>
    </comment>
    <comment ref="H2293" authorId="0" shapeId="0" xr:uid="{BA795B09-1832-2A40-A366-5CAAAF6C180E}">
      <text>
        <r>
          <rPr>
            <sz val="10"/>
            <color rgb="FF000000"/>
            <rFont val="Aptos Narrow"/>
            <scheme val="minor"/>
          </rPr>
          <t>======
ID#AAABjx7qWGw
    (2025-05-21 11:33:27)
0804 chloe:收到銀行通知USD3965</t>
        </r>
      </text>
    </comment>
    <comment ref="H2294" authorId="0" shapeId="0" xr:uid="{8B24A736-CBA6-0440-9BCF-1B9AD04B2FCF}">
      <text>
        <r>
          <rPr>
            <sz val="10"/>
            <color rgb="FF000000"/>
            <rFont val="Aptos Narrow"/>
            <scheme val="minor"/>
          </rPr>
          <t>======
ID#AAABjx7qRnE
    (2025-05-21 11:33:25)
0804 chloe:收到銀行通知USD3965</t>
        </r>
      </text>
    </comment>
    <comment ref="H2295" authorId="0" shapeId="0" xr:uid="{256EDA68-29F1-6945-A38C-0C4362EEDFB6}">
      <text>
        <r>
          <rPr>
            <sz val="10"/>
            <color rgb="FF000000"/>
            <rFont val="Aptos Narrow"/>
            <scheme val="minor"/>
          </rPr>
          <t>======
ID#AAABjx7qSR4
    (2025-05-21 11:33:26)
1006 chloe:收到銀行通知US$1386</t>
        </r>
      </text>
    </comment>
    <comment ref="K2295" authorId="0" shapeId="0" xr:uid="{D0153147-CFF4-0244-B7BD-9A10ED7251A9}">
      <text>
        <r>
          <rPr>
            <sz val="10"/>
            <color rgb="FF000000"/>
            <rFont val="Aptos Narrow"/>
            <scheme val="minor"/>
          </rPr>
          <t>======
ID#AAABjx7qWQk
    (2025-05-21 11:33:27)
Christine0925: 待客戶付款</t>
        </r>
      </text>
    </comment>
    <comment ref="H2296" authorId="0" shapeId="0" xr:uid="{BD55035E-75E0-D246-AA73-E3B44E8D09CD}">
      <text>
        <r>
          <rPr>
            <sz val="10"/>
            <color rgb="FF000000"/>
            <rFont val="Aptos Narrow"/>
            <scheme val="minor"/>
          </rPr>
          <t>======
ID#AAABjx7qPaY
    (2025-05-21 11:33:24)
0928 chloe:收到銀行通知US$46,724</t>
        </r>
      </text>
    </comment>
    <comment ref="M2296" authorId="0" shapeId="0" xr:uid="{C464F6DA-91B7-CD4C-9EA5-8EEA1BC51078}">
      <text>
        <r>
          <rPr>
            <sz val="10"/>
            <color rgb="FF000000"/>
            <rFont val="Aptos Narrow"/>
            <scheme val="minor"/>
          </rPr>
          <t>======
ID#AAABjx7qRto
    (2025-05-21 11:33:25)
4-6 weeks
0629 待8/10 PULL IN
0717 詢問→告知提前至10/13
0718 告知交期可以提前</t>
        </r>
      </text>
    </comment>
    <comment ref="H2297" authorId="0" shapeId="0" xr:uid="{225DBA84-A191-4947-A378-DDF0E042A9B0}">
      <text>
        <r>
          <rPr>
            <sz val="10"/>
            <color rgb="FF000000"/>
            <rFont val="Aptos Narrow"/>
            <scheme val="minor"/>
          </rPr>
          <t>======
ID#AAABjx7qQpo
    (2025-05-21 11:33:25)
0928 chloe:收到銀行通知US$46,724</t>
        </r>
      </text>
    </comment>
    <comment ref="M2297" authorId="0" shapeId="0" xr:uid="{D2D0499B-B1DF-614B-9FA5-975E0780439F}">
      <text>
        <r>
          <rPr>
            <sz val="10"/>
            <color rgb="FF000000"/>
            <rFont val="Aptos Narrow"/>
            <scheme val="minor"/>
          </rPr>
          <t>======
ID#AAABjx7qM_Y
    (2025-05-21 11:33:23)
4-6 weeks
0629 待8/10 PULL IN
0717 詢問→告知提前至10/13
0718 告知交期可以提前</t>
        </r>
      </text>
    </comment>
    <comment ref="H2298" authorId="0" shapeId="0" xr:uid="{EEB5ED12-B6B3-AA40-B75B-D7C1BBA69812}">
      <text>
        <r>
          <rPr>
            <sz val="10"/>
            <color rgb="FF000000"/>
            <rFont val="Aptos Narrow"/>
            <scheme val="minor"/>
          </rPr>
          <t>======
ID#AAABjx7qQ3k
    (2025-05-21 11:33:25)
0928 chloe:收到銀行通知US$46,724</t>
        </r>
      </text>
    </comment>
    <comment ref="M2298" authorId="0" shapeId="0" xr:uid="{36F04D1D-602B-094E-A9EB-2A6C22AD4E61}">
      <text>
        <r>
          <rPr>
            <sz val="10"/>
            <color rgb="FF000000"/>
            <rFont val="Aptos Narrow"/>
            <scheme val="minor"/>
          </rPr>
          <t>======
ID#AAABjx7qNYY
    (2025-05-21 11:33:23)
stock
0629 待8/10 PULL IN</t>
        </r>
      </text>
    </comment>
    <comment ref="H2299" authorId="0" shapeId="0" xr:uid="{33EF2BA0-7426-7F44-BAF6-497D16F95D21}">
      <text>
        <r>
          <rPr>
            <sz val="10"/>
            <color rgb="FF000000"/>
            <rFont val="Aptos Narrow"/>
            <scheme val="minor"/>
          </rPr>
          <t>======
ID#AAABjx7qNNg
    (2025-05-21 11:33:23)
0928 chloe:收到銀行通知US$46,724</t>
        </r>
      </text>
    </comment>
    <comment ref="H2300" authorId="0" shapeId="0" xr:uid="{651DB3A2-6AD9-0C4C-A693-692062961730}">
      <text>
        <r>
          <rPr>
            <sz val="10"/>
            <color rgb="FF000000"/>
            <rFont val="Aptos Narrow"/>
            <scheme val="minor"/>
          </rPr>
          <t>======
ID#AAABjx7qTmI
    (2025-05-21 11:33:26)
0928 chloe:收到銀行通知US$46,724</t>
        </r>
      </text>
    </comment>
    <comment ref="E2301" authorId="0" shapeId="0" xr:uid="{B54B64FA-AACB-9743-804B-6FBA12787126}">
      <text>
        <r>
          <rPr>
            <sz val="10"/>
            <color rgb="FF000000"/>
            <rFont val="Aptos Narrow"/>
            <scheme val="minor"/>
          </rPr>
          <t>======
ID#AAABjx7qNeg
    (2025-05-21 11:33:23)
11/12 michelle: 58-80024-0000</t>
        </r>
      </text>
    </comment>
    <comment ref="H2301" authorId="0" shapeId="0" xr:uid="{7ADAF83B-7E89-E14F-9973-6E306322601B}">
      <text>
        <r>
          <rPr>
            <sz val="10"/>
            <color rgb="FF000000"/>
            <rFont val="Aptos Narrow"/>
            <scheme val="minor"/>
          </rPr>
          <t>======
ID#AAABjx7qTlU
    (2025-05-21 11:33:26)
0928 chloe:收到銀行通知US$46,724</t>
        </r>
      </text>
    </comment>
    <comment ref="M2301" authorId="0" shapeId="0" xr:uid="{F00A9D83-450D-8449-92BA-9EDA992D7F2A}">
      <text>
        <r>
          <rPr>
            <sz val="10"/>
            <color rgb="FF000000"/>
            <rFont val="Aptos Narrow"/>
            <scheme val="minor"/>
          </rPr>
          <t>======
ID#AAABjx7qSfA
    (2025-05-21 11:33:26)
stock</t>
        </r>
      </text>
    </comment>
    <comment ref="H2302" authorId="0" shapeId="0" xr:uid="{F317A53E-15D3-7F47-B2EB-10E8365A5667}">
      <text>
        <r>
          <rPr>
            <sz val="10"/>
            <color rgb="FF000000"/>
            <rFont val="Aptos Narrow"/>
            <scheme val="minor"/>
          </rPr>
          <t>======
ID#AAABjx7qQBg
    (2025-05-21 11:33:25)
1006 chloe:收到銀行通知US$1386</t>
        </r>
      </text>
    </comment>
    <comment ref="K2302" authorId="0" shapeId="0" xr:uid="{E115B29A-848C-9C46-96F3-3AB7229025E1}">
      <text>
        <r>
          <rPr>
            <sz val="10"/>
            <color rgb="FF000000"/>
            <rFont val="Aptos Narrow"/>
            <scheme val="minor"/>
          </rPr>
          <t>======
ID#AAABjx7qOtk
    (2025-05-21 11:33:24)
Christine0925: 待客戶付款</t>
        </r>
      </text>
    </comment>
    <comment ref="H2303" authorId="0" shapeId="0" xr:uid="{F7ECE80A-122E-FF47-A90E-7F7FB8B26CC2}">
      <text>
        <r>
          <rPr>
            <sz val="10"/>
            <color rgb="FF000000"/>
            <rFont val="Aptos Narrow"/>
            <scheme val="minor"/>
          </rPr>
          <t>======
ID#AAABjx7qVbA
    (2025-05-21 11:33:27)
0928 chloe:收到銀行通知US$46,724</t>
        </r>
      </text>
    </comment>
    <comment ref="H2304" authorId="0" shapeId="0" xr:uid="{434F71E4-76F7-9F4C-A10D-3033869B9AEE}">
      <text>
        <r>
          <rPr>
            <sz val="10"/>
            <color rgb="FF000000"/>
            <rFont val="Aptos Narrow"/>
            <scheme val="minor"/>
          </rPr>
          <t>======
ID#AAABjx7qOBs
    (2025-05-21 11:33:24)
0814 chloe:收到銀行通知USD 30277</t>
        </r>
      </text>
    </comment>
    <comment ref="M2304" authorId="0" shapeId="0" xr:uid="{DF931694-62E6-8745-A493-7D73358838E3}">
      <text>
        <r>
          <rPr>
            <sz val="10"/>
            <color rgb="FF000000"/>
            <rFont val="Aptos Narrow"/>
            <scheme val="minor"/>
          </rPr>
          <t>======
ID#AAABjx7qP0U
    (2025-05-21 11:33:24)
stock
0628 待 PULL IN</t>
        </r>
      </text>
    </comment>
    <comment ref="H2305" authorId="0" shapeId="0" xr:uid="{79473B58-E66A-8C4D-8E81-702C4C073F0E}">
      <text>
        <r>
          <rPr>
            <sz val="10"/>
            <color rgb="FF000000"/>
            <rFont val="Aptos Narrow"/>
            <scheme val="minor"/>
          </rPr>
          <t>======
ID#AAABjx7qTQc
    (2025-05-21 11:33:26)
0814 chloe:收到銀行通知USD 30277</t>
        </r>
      </text>
    </comment>
    <comment ref="M2305" authorId="0" shapeId="0" xr:uid="{FAFB93D3-17DC-1140-B148-13C0982D1BE3}">
      <text>
        <r>
          <rPr>
            <sz val="10"/>
            <color rgb="FF000000"/>
            <rFont val="Aptos Narrow"/>
            <scheme val="minor"/>
          </rPr>
          <t>======
ID#AAABjx7qTlg
    (2025-05-21 11:33:26)
26 pcs available at this moment, new batch scheduled in end of Aug
0628 待 PULL IN</t>
        </r>
      </text>
    </comment>
    <comment ref="H2306" authorId="0" shapeId="0" xr:uid="{D78C9923-4E39-0240-83DE-19C0D6E36BB4}">
      <text>
        <r>
          <rPr>
            <sz val="10"/>
            <color rgb="FF000000"/>
            <rFont val="Aptos Narrow"/>
            <scheme val="minor"/>
          </rPr>
          <t>======
ID#AAABjx7qNqI
    (2025-05-21 11:33:23)
0814 chloe:收到銀行通知USD 30277</t>
        </r>
      </text>
    </comment>
    <comment ref="M2306" authorId="0" shapeId="0" xr:uid="{210F1663-1C57-2244-9E35-BD17A0E1BBB8}">
      <text>
        <r>
          <rPr>
            <sz val="10"/>
            <color rgb="FF000000"/>
            <rFont val="Aptos Narrow"/>
            <scheme val="minor"/>
          </rPr>
          <t>======
ID#AAABjx7qVsU
    (2025-05-21 11:33:27)
23 pcs available at this moment. New batch scheduled by mid of Aug
0628 待 PULL IN</t>
        </r>
      </text>
    </comment>
    <comment ref="H2307" authorId="0" shapeId="0" xr:uid="{B3CC810D-53E2-6D45-B1F9-904C2CF7656F}">
      <text>
        <r>
          <rPr>
            <sz val="10"/>
            <color rgb="FF000000"/>
            <rFont val="Aptos Narrow"/>
            <scheme val="minor"/>
          </rPr>
          <t>======
ID#AAABjx7qVrw
    (2025-05-21 11:33:27)
0703 chloe:已收到NT595537</t>
        </r>
      </text>
    </comment>
    <comment ref="E2308" authorId="0" shapeId="0" xr:uid="{A8A17AF7-468C-DD40-8D3B-FC0517518921}">
      <text>
        <r>
          <rPr>
            <sz val="10"/>
            <color rgb="FF000000"/>
            <rFont val="Aptos Narrow"/>
            <scheme val="minor"/>
          </rPr>
          <t>======
ID#AAABjx7qR8Q
    (2025-05-21 11:33:25)
20170104 Santiago: 和之前訂單一樣, w/o adapter</t>
        </r>
      </text>
    </comment>
    <comment ref="H2308" authorId="0" shapeId="0" xr:uid="{75EF5DB5-375E-7244-8DDA-F51A8E1E6C5F}">
      <text>
        <r>
          <rPr>
            <sz val="10"/>
            <color rgb="FF000000"/>
            <rFont val="Aptos Narrow"/>
            <scheme val="minor"/>
          </rPr>
          <t>======
ID#AAABjx7qO9g
    (2025-05-21 11:33:24)
0703 chloe:已收到NT595537</t>
        </r>
      </text>
    </comment>
    <comment ref="H2309" authorId="0" shapeId="0" xr:uid="{E3F58BC4-6BC3-184F-9C4E-8F271408F7E1}">
      <text>
        <r>
          <rPr>
            <sz val="10"/>
            <color rgb="FF000000"/>
            <rFont val="Aptos Narrow"/>
            <scheme val="minor"/>
          </rPr>
          <t>======
ID#AAABjx7qTHQ
    (2025-05-21 11:33:26)
0703 Chloe:收到銀行通知USD1164</t>
        </r>
      </text>
    </comment>
    <comment ref="M2309" authorId="0" shapeId="0" xr:uid="{53F9F180-0D62-9E43-BBC6-40D22813E068}">
      <text>
        <r>
          <rPr>
            <sz val="10"/>
            <color rgb="FF000000"/>
            <rFont val="Aptos Narrow"/>
            <scheme val="minor"/>
          </rPr>
          <t>======
ID#AAABjx7qQpk
    (2025-05-21 11:33:25)
1 PCS  stock→已先BOOKING
1 PCS   9/15工廠產出</t>
        </r>
      </text>
    </comment>
    <comment ref="H2310" authorId="0" shapeId="0" xr:uid="{ECF40CBD-BDFF-6242-8C18-EF4735F5B37E}">
      <text>
        <r>
          <rPr>
            <sz val="10"/>
            <color rgb="FF000000"/>
            <rFont val="Aptos Narrow"/>
            <scheme val="minor"/>
          </rPr>
          <t>======
ID#AAABjx7qTkI
    (2025-05-21 11:33:26)
0908 chloe:收到銀行通知 US$248</t>
        </r>
      </text>
    </comment>
    <comment ref="H2311" authorId="0" shapeId="0" xr:uid="{8A734779-0731-7D42-BEB7-9C426B1A2BF5}">
      <text>
        <r>
          <rPr>
            <sz val="10"/>
            <color rgb="FF000000"/>
            <rFont val="Aptos Narrow"/>
            <scheme val="minor"/>
          </rPr>
          <t>======
ID#AAABjx7qQW0
    (2025-05-21 11:33:25)
0704 chloe:收到銀行通知USD1838</t>
        </r>
      </text>
    </comment>
    <comment ref="K2311" authorId="0" shapeId="0" xr:uid="{2BF29431-BD5A-1048-8887-B403C7A33AF8}">
      <text>
        <r>
          <rPr>
            <sz val="10"/>
            <color rgb="FF000000"/>
            <rFont val="Aptos Narrow"/>
            <scheme val="minor"/>
          </rPr>
          <t>======
ID#AAABjx7qRxE
    (2025-05-21 11:33:25)
Hi Chloe,
20170629B的INVOICE，請注意下列事項：
１）出貨invoice &amp; packing list移除 w/ EU adapter 字眼. 避免海闗查
２）加HSN : 85176990在invoice備註中</t>
        </r>
      </text>
    </comment>
    <comment ref="H2312" authorId="0" shapeId="0" xr:uid="{821C8079-FD20-B042-8C84-B1474DA0A7CC}">
      <text>
        <r>
          <rPr>
            <sz val="10"/>
            <color rgb="FF000000"/>
            <rFont val="Aptos Narrow"/>
            <scheme val="minor"/>
          </rPr>
          <t>======
ID#AAABjx7qRBg
    (2025-05-21 11:33:25)
0704 chloe:收到銀行通知USD1838</t>
        </r>
      </text>
    </comment>
    <comment ref="K2312" authorId="0" shapeId="0" xr:uid="{C4517D7B-753D-BF41-883F-8D7F9CBC5FF5}">
      <text>
        <r>
          <rPr>
            <sz val="10"/>
            <color rgb="FF000000"/>
            <rFont val="Aptos Narrow"/>
            <scheme val="minor"/>
          </rPr>
          <t>======
ID#AAABjx7qVuk
    (2025-05-21 11:33:27)
Hi Chloe,
20170629B的INVOICE，請注意下列事項：
１）出貨invoice &amp; packing list移除 w/ EU adapter 字眼. 避免海闗查
２）加HSN : 85176990在invoice備註中</t>
        </r>
      </text>
    </comment>
    <comment ref="H2313" authorId="0" shapeId="0" xr:uid="{6156119F-98FC-954E-92D5-DBF61188825F}">
      <text>
        <r>
          <rPr>
            <sz val="10"/>
            <color rgb="FF000000"/>
            <rFont val="Aptos Narrow"/>
            <scheme val="minor"/>
          </rPr>
          <t>======
ID#AAABjx7qSDI
    (2025-05-21 11:33:25)
0704 chloe:收到銀行通知USD1838</t>
        </r>
      </text>
    </comment>
    <comment ref="K2313" authorId="0" shapeId="0" xr:uid="{CBDF1BEE-C3DA-654E-B01A-6BD9880AB901}">
      <text>
        <r>
          <rPr>
            <sz val="10"/>
            <color rgb="FF000000"/>
            <rFont val="Aptos Narrow"/>
            <scheme val="minor"/>
          </rPr>
          <t>======
ID#AAABjx7qSL0
    (2025-05-21 11:33:26)
Hi Chloe,
20170629B的INVOICE，請注意下列事項：
１）出貨invoice &amp; packing list移除 w/ EU adapter 字眼. 避免海闗查
２）加HSN : 85176990在invoice備註中</t>
        </r>
      </text>
    </comment>
    <comment ref="H2314" authorId="0" shapeId="0" xr:uid="{1BBC673B-FAE3-0D44-8CF4-7C2DFF76AF04}">
      <text>
        <r>
          <rPr>
            <sz val="10"/>
            <color rgb="FF000000"/>
            <rFont val="Aptos Narrow"/>
            <scheme val="minor"/>
          </rPr>
          <t>======
ID#AAABjx7qPRI
    (2025-05-21 11:33:24)
0704 chloe:收到銀行通知USD1838</t>
        </r>
      </text>
    </comment>
    <comment ref="K2314" authorId="0" shapeId="0" xr:uid="{6BA7CCE5-8DFE-9349-86E6-6660D2D3D6B9}">
      <text>
        <r>
          <rPr>
            <sz val="10"/>
            <color rgb="FF000000"/>
            <rFont val="Aptos Narrow"/>
            <scheme val="minor"/>
          </rPr>
          <t>======
ID#AAABjx7qTTk
    (2025-05-21 11:33:26)
Hi Chloe,
20170629B的INVOICE，請注意下列事項：
１）出貨invoice &amp; packing list移除 w/ EU adapter 字眼. 避免海闗查
２）加HSN : 85176990在invoice備註中</t>
        </r>
      </text>
    </comment>
    <comment ref="H2315" authorId="0" shapeId="0" xr:uid="{7D71D4D3-4655-AB45-A806-76D461CF58CA}">
      <text>
        <r>
          <rPr>
            <sz val="10"/>
            <color rgb="FF000000"/>
            <rFont val="Aptos Narrow"/>
            <scheme val="minor"/>
          </rPr>
          <t>======
ID#AAABjx7qVgQ
    (2025-05-21 11:33:27)
0704 chloe:收到銀行通知USD1838</t>
        </r>
      </text>
    </comment>
    <comment ref="K2315" authorId="0" shapeId="0" xr:uid="{87E93808-C0CD-4F4B-B759-0324C7885629}">
      <text>
        <r>
          <rPr>
            <sz val="10"/>
            <color rgb="FF000000"/>
            <rFont val="Aptos Narrow"/>
            <scheme val="minor"/>
          </rPr>
          <t>======
ID#AAABjx7qQ6k
    (2025-05-21 11:33:25)
Hi Chloe,
20170629B的INVOICE，請注意下列事項：
１）出貨invoice &amp; packing list移除 w/ EU adapter 字眼. 避免海闗查
２）加HSN : 85176990在invoice備註中</t>
        </r>
      </text>
    </comment>
    <comment ref="H2316" authorId="0" shapeId="0" xr:uid="{9BFEFD74-7060-034D-8ED9-0E0380529C84}">
      <text>
        <r>
          <rPr>
            <sz val="10"/>
            <color rgb="FF000000"/>
            <rFont val="Aptos Narrow"/>
            <scheme val="minor"/>
          </rPr>
          <t>======
ID#AAABjx7qTBo
    (2025-05-21 11:33:26)
0706 chloe:收到轉帳NT6202</t>
        </r>
      </text>
    </comment>
    <comment ref="H2317" authorId="0" shapeId="0" xr:uid="{D14D3018-7314-DC44-A7CB-F4129965B0A9}">
      <text>
        <r>
          <rPr>
            <sz val="10"/>
            <color rgb="FF000000"/>
            <rFont val="Aptos Narrow"/>
            <scheme val="minor"/>
          </rPr>
          <t>======
ID#AAABjx7qN40
    (2025-05-21 11:33:23)
0706 chloe:收到轉帳NT6202</t>
        </r>
      </text>
    </comment>
    <comment ref="H2318" authorId="0" shapeId="0" xr:uid="{BFBAC728-4063-8E4F-9ED4-55CA690FB154}">
      <text>
        <r>
          <rPr>
            <sz val="10"/>
            <color rgb="FF000000"/>
            <rFont val="Aptos Narrow"/>
            <scheme val="minor"/>
          </rPr>
          <t>======
ID#AAABjx7qRn4
    (2025-05-21 11:33:25)
0821 chloe: 收到銀行通知USD993</t>
        </r>
      </text>
    </comment>
    <comment ref="H2319" authorId="0" shapeId="0" xr:uid="{1D0AA5DB-3B10-C845-9CC6-0858251C8811}">
      <text>
        <r>
          <rPr>
            <sz val="10"/>
            <color rgb="FF000000"/>
            <rFont val="Aptos Narrow"/>
            <scheme val="minor"/>
          </rPr>
          <t>======
ID#AAABjx7qQWI
    (2025-05-21 11:33:25)
0821 chloe: 收到銀行通知USD993</t>
        </r>
      </text>
    </comment>
    <comment ref="H2320" authorId="0" shapeId="0" xr:uid="{1745CE38-6316-2645-A057-0E54C8B3D5B7}">
      <text>
        <r>
          <rPr>
            <sz val="10"/>
            <color rgb="FF000000"/>
            <rFont val="Aptos Narrow"/>
            <scheme val="minor"/>
          </rPr>
          <t>======
ID#AAABjx7qTBk
    (2025-05-21 11:33:26)
0821 chloe: 收到銀行通知USD993</t>
        </r>
      </text>
    </comment>
    <comment ref="H2321" authorId="0" shapeId="0" xr:uid="{5A99C338-645A-1E4A-B6F3-E15C2197C131}">
      <text>
        <r>
          <rPr>
            <sz val="10"/>
            <color rgb="FF000000"/>
            <rFont val="Aptos Narrow"/>
            <scheme val="minor"/>
          </rPr>
          <t>======
ID#AAABjx7qP5A
    (2025-05-21 11:33:24)
0821 chloe: 收到銀行通知USD993</t>
        </r>
      </text>
    </comment>
    <comment ref="G2322" authorId="0" shapeId="0" xr:uid="{FBDD8023-B5EC-0640-A1A1-51919888997D}">
      <text>
        <r>
          <rPr>
            <sz val="10"/>
            <color rgb="FF000000"/>
            <rFont val="Aptos Narrow"/>
            <scheme val="minor"/>
          </rPr>
          <t>======
ID#AAABjx7qR8s
    (2025-05-21 11:33:25)
w/5%VAT</t>
        </r>
      </text>
    </comment>
    <comment ref="H2322" authorId="0" shapeId="0" xr:uid="{13E9B370-3356-064B-84D4-27B98EE987D0}">
      <text>
        <r>
          <rPr>
            <sz val="10"/>
            <color rgb="FF000000"/>
            <rFont val="Aptos Narrow"/>
            <scheme val="minor"/>
          </rPr>
          <t>======
ID#AAABjx7qNFg
    (2025-05-21 11:33:23)
0927 chloe: 收到銀行通知NT$18135</t>
        </r>
      </text>
    </comment>
    <comment ref="H2323" authorId="0" shapeId="0" xr:uid="{39A2000E-1446-C542-83E9-6B4A3D2CF638}">
      <text>
        <r>
          <rPr>
            <sz val="10"/>
            <color rgb="FF000000"/>
            <rFont val="Aptos Narrow"/>
            <scheme val="minor"/>
          </rPr>
          <t>======
ID#AAABjx7qSxo
    (2025-05-21 11:33:26)
0817 chloe: 收到銀行通知USD16029.3 (原 16657.3- 620)</t>
        </r>
      </text>
    </comment>
    <comment ref="H2324" authorId="0" shapeId="0" xr:uid="{44B4C3C9-49E5-EA4D-82ED-630A52BDD418}">
      <text>
        <r>
          <rPr>
            <sz val="10"/>
            <color rgb="FF000000"/>
            <rFont val="Aptos Narrow"/>
            <scheme val="minor"/>
          </rPr>
          <t>======
ID#AAABjx7qQuw
    (2025-05-21 11:33:25)
0817 chloe: 收到銀行通知USD16029.3 (原 16657.3- 620)</t>
        </r>
      </text>
    </comment>
    <comment ref="H2325" authorId="0" shapeId="0" xr:uid="{F3026B5A-C43B-9B4F-9CB6-A8A93CA026E0}">
      <text>
        <r>
          <rPr>
            <sz val="10"/>
            <color rgb="FF000000"/>
            <rFont val="Aptos Narrow"/>
            <scheme val="minor"/>
          </rPr>
          <t>======
ID#AAABjx7qTB4
    (2025-05-21 11:33:26)
0817 chloe: 收到銀行通知USD16029.3 (原 16657.3- 620)</t>
        </r>
      </text>
    </comment>
    <comment ref="K2325" authorId="0" shapeId="0" xr:uid="{C35A1DC4-D88D-E14C-A941-A263701911BF}">
      <text>
        <r>
          <rPr>
            <sz val="10"/>
            <color rgb="FF000000"/>
            <rFont val="Aptos Narrow"/>
            <scheme val="minor"/>
          </rPr>
          <t>======
ID#AAABjx7qRdg
    (2025-05-21 11:33:25)
35*29*17(CM)  3.7 KG→一箱</t>
        </r>
      </text>
    </comment>
    <comment ref="H2326" authorId="0" shapeId="0" xr:uid="{9A85661D-0433-E44F-850C-C5728FE261FB}">
      <text>
        <r>
          <rPr>
            <sz val="10"/>
            <color rgb="FF000000"/>
            <rFont val="Aptos Narrow"/>
            <scheme val="minor"/>
          </rPr>
          <t>======
ID#AAABjx7qNLs
    (2025-05-21 11:33:23)
0817 chloe: 收到銀行通知USD16029.3 (原 16657.3- 620)</t>
        </r>
      </text>
    </comment>
    <comment ref="H2327" authorId="0" shapeId="0" xr:uid="{A9A25761-9AED-7648-894B-B9D1CB1E9D96}">
      <text>
        <r>
          <rPr>
            <sz val="10"/>
            <color rgb="FF000000"/>
            <rFont val="Aptos Narrow"/>
            <scheme val="minor"/>
          </rPr>
          <t>======
ID#AAABjx7qM4k
    (2025-05-21 11:33:23)
0817 chloe: 收到銀行通知USD16029.3 (原 16657.3- 620)</t>
        </r>
      </text>
    </comment>
    <comment ref="H2328" authorId="0" shapeId="0" xr:uid="{FB50985D-CE89-7A4A-B0F3-2B017DC09314}">
      <text>
        <r>
          <rPr>
            <sz val="10"/>
            <color rgb="FF000000"/>
            <rFont val="Aptos Narrow"/>
            <scheme val="minor"/>
          </rPr>
          <t>======
ID#AAABjx7qNZQ
    (2025-05-21 11:33:23)
0817 chloe: 收到銀行通知USD16029.3 (原 16657.3- 620)</t>
        </r>
      </text>
    </comment>
    <comment ref="G2329" authorId="0" shapeId="0" xr:uid="{EA4F104E-18D2-4A4A-9250-BB763D65FBD3}">
      <text>
        <r>
          <rPr>
            <sz val="10"/>
            <color rgb="FF000000"/>
            <rFont val="Aptos Narrow"/>
            <scheme val="minor"/>
          </rPr>
          <t>======
ID#AAABjx7qNcU
    (2025-05-21 11:33:23)
匯率：30.325</t>
        </r>
      </text>
    </comment>
    <comment ref="H2329" authorId="0" shapeId="0" xr:uid="{A12ACFE5-B8C3-F14D-A134-CC1B678A4FA0}">
      <text>
        <r>
          <rPr>
            <sz val="10"/>
            <color rgb="FF000000"/>
            <rFont val="Aptos Narrow"/>
            <scheme val="minor"/>
          </rPr>
          <t>======
ID#AAABjx7qQWY
    (2025-05-21 11:33:25)
0810 chloe:已發對帳單
0821 chloe: 已收到貨款 NT4824</t>
        </r>
      </text>
    </comment>
    <comment ref="H2330" authorId="0" shapeId="0" xr:uid="{CE00515E-DE63-FB46-A8A7-72E28E45CE35}">
      <text>
        <r>
          <rPr>
            <sz val="10"/>
            <color rgb="FF000000"/>
            <rFont val="Aptos Narrow"/>
            <scheme val="minor"/>
          </rPr>
          <t>======
ID#AAABjx7qUwU
    (2025-05-21 11:33:26)
0822 chloe:已收到銀行通知USD17120</t>
        </r>
      </text>
    </comment>
    <comment ref="K2330" authorId="0" shapeId="0" xr:uid="{6B69F498-9BCA-344A-A9A5-B4117401749A}">
      <text>
        <r>
          <rPr>
            <sz val="10"/>
            <color rgb="FF000000"/>
            <rFont val="Aptos Narrow"/>
            <scheme val="minor"/>
          </rPr>
          <t>======
ID#AAABjx7qNjI
    (2025-05-21 11:33:23)
0731 chloe:待客戶付款</t>
        </r>
      </text>
    </comment>
    <comment ref="H2331" authorId="0" shapeId="0" xr:uid="{85F794AA-F1C8-4647-8706-E47B90CFFE13}">
      <text>
        <r>
          <rPr>
            <sz val="10"/>
            <color rgb="FF000000"/>
            <rFont val="Aptos Narrow"/>
            <scheme val="minor"/>
          </rPr>
          <t>======
ID#AAABjx7qOAE
    (2025-05-21 11:33:24)
0822 chloe:已收到銀行通知USD17120</t>
        </r>
      </text>
    </comment>
    <comment ref="K2331" authorId="0" shapeId="0" xr:uid="{B02E668E-4DDB-F544-B2F2-1CD40758D609}">
      <text>
        <r>
          <rPr>
            <sz val="10"/>
            <color rgb="FF000000"/>
            <rFont val="Aptos Narrow"/>
            <scheme val="minor"/>
          </rPr>
          <t>======
ID#AAABjx7qRJA
    (2025-05-21 11:33:25)
0731 chloe:待客戶付款</t>
        </r>
      </text>
    </comment>
    <comment ref="H2332" authorId="0" shapeId="0" xr:uid="{44869B05-B212-A247-8B28-06DA6E3E9955}">
      <text>
        <r>
          <rPr>
            <sz val="10"/>
            <color rgb="FF000000"/>
            <rFont val="Aptos Narrow"/>
            <scheme val="minor"/>
          </rPr>
          <t>======
ID#AAABjx7qVaA
    (2025-05-21 11:33:27)
1025chloe:收到銀行通知US$35416.8</t>
        </r>
      </text>
    </comment>
    <comment ref="K2332" authorId="0" shapeId="0" xr:uid="{84FEDC3F-48E6-D841-868C-2D93C0136A78}">
      <text>
        <r>
          <rPr>
            <sz val="10"/>
            <color rgb="FF000000"/>
            <rFont val="Aptos Narrow"/>
            <scheme val="minor"/>
          </rPr>
          <t>======
ID#AAABjx7qR64
    (2025-05-21 11:33:25)
PI-20170523A 20台 材積: 67*34*38 cm
與業務確認後再出貨
使用宸耀材積出貨</t>
        </r>
      </text>
    </comment>
    <comment ref="H2333" authorId="0" shapeId="0" xr:uid="{0F7F872A-3CE1-8044-B34D-665F97E8E275}">
      <text>
        <r>
          <rPr>
            <sz val="10"/>
            <color rgb="FF000000"/>
            <rFont val="Aptos Narrow"/>
            <scheme val="minor"/>
          </rPr>
          <t>======
ID#AAABjx7qSQg
    (2025-05-21 11:33:26)
1025chloe:收到銀行通知US$35416.8</t>
        </r>
      </text>
    </comment>
    <comment ref="K2333" authorId="0" shapeId="0" xr:uid="{C9604440-ABBB-A243-9F62-F7313E4FD4A9}">
      <text>
        <r>
          <rPr>
            <sz val="10"/>
            <color rgb="FF000000"/>
            <rFont val="Aptos Narrow"/>
            <scheme val="minor"/>
          </rPr>
          <t>======
ID#AAABjx7qTf0
    (2025-05-21 11:33:26)
PI-20170523A 20台 材積: 67*34*38 cm
與業務確認後再出貨
使用宸耀材積出貨</t>
        </r>
      </text>
    </comment>
    <comment ref="Q2333" authorId="0" shapeId="0" xr:uid="{C3124B37-7035-9E41-BB43-ADB24745F305}">
      <text>
        <r>
          <rPr>
            <sz val="10"/>
            <color rgb="FF000000"/>
            <rFont val="Aptos Narrow"/>
            <scheme val="minor"/>
          </rPr>
          <t>======
ID#AAABjx7qON4
    (2025-05-21 11:33:24)
47.2 USD / pcs</t>
        </r>
      </text>
    </comment>
    <comment ref="E2334" authorId="0" shapeId="0" xr:uid="{37EBD441-AE6E-0540-9F21-7ED0D24FF38E}">
      <text>
        <r>
          <rPr>
            <sz val="10"/>
            <color rgb="FF000000"/>
            <rFont val="Aptos Narrow"/>
            <scheme val="minor"/>
          </rPr>
          <t>======
ID#AAABjx7qVT0
    (2025-05-21 11:33:27)
Chloe: 2.5” SSD A3A 128GB, -40°C~+85°C</t>
        </r>
      </text>
    </comment>
    <comment ref="H2334" authorId="0" shapeId="0" xr:uid="{FA559A62-F278-954D-A5F8-27F8B81BD14F}">
      <text>
        <r>
          <rPr>
            <sz val="10"/>
            <color rgb="FF000000"/>
            <rFont val="Aptos Narrow"/>
            <scheme val="minor"/>
          </rPr>
          <t>======
ID#AAABjx7qO7k
    (2025-05-21 11:33:24)
1025chloe:收到銀行通知US$35416.8</t>
        </r>
      </text>
    </comment>
    <comment ref="K2334" authorId="0" shapeId="0" xr:uid="{E2F0B0D3-30DD-2246-8EE0-A649DDA64EB0}">
      <text>
        <r>
          <rPr>
            <sz val="10"/>
            <color rgb="FF000000"/>
            <rFont val="Aptos Narrow"/>
            <scheme val="minor"/>
          </rPr>
          <t>======
ID#AAABjx7qSRk
    (2025-05-21 11:33:26)
PI-20170523A 20台 材積: 67*34*38 cm
與業務確認後再出貨
使用宸耀材積出貨</t>
        </r>
      </text>
    </comment>
    <comment ref="H2335" authorId="0" shapeId="0" xr:uid="{A9810976-D725-1A47-876C-7A66F94109E7}">
      <text>
        <r>
          <rPr>
            <sz val="10"/>
            <color rgb="FF000000"/>
            <rFont val="Aptos Narrow"/>
            <scheme val="minor"/>
          </rPr>
          <t>======
ID#AAABjx7qPeE
    (2025-05-21 11:33:24)
1017chloe:收到銀行通知US$24736</t>
        </r>
      </text>
    </comment>
    <comment ref="K2335" authorId="0" shapeId="0" xr:uid="{6425FAC5-751D-3844-8758-7C5B3B2582E8}">
      <text>
        <r>
          <rPr>
            <sz val="10"/>
            <color rgb="FF000000"/>
            <rFont val="Aptos Narrow"/>
            <scheme val="minor"/>
          </rPr>
          <t>======
ID#AAABjx7qWAk
    (2025-05-21 11:33:27)
POC 212  *25  PCS  67x34x38cm  26KG   兩箱
與業務確認後再出貨
使用宸耀材積出貨</t>
        </r>
      </text>
    </comment>
    <comment ref="P2335" authorId="0" shapeId="0" xr:uid="{75F34A46-9D04-0C4A-A5A3-A4A9FAE442D8}">
      <text>
        <r>
          <rPr>
            <sz val="10"/>
            <color rgb="FF000000"/>
            <rFont val="Aptos Narrow"/>
            <scheme val="minor"/>
          </rPr>
          <t>======
ID#AAABjx7qQfw
    (2025-05-21 11:33:25)
PO-20170523A-1 Rebate USD28*20=USD560 * 1.05= USD588</t>
        </r>
      </text>
    </comment>
    <comment ref="H2336" authorId="0" shapeId="0" xr:uid="{D7251732-3359-924C-9FB4-90E5A05418A5}">
      <text>
        <r>
          <rPr>
            <sz val="10"/>
            <color rgb="FF000000"/>
            <rFont val="Aptos Narrow"/>
            <scheme val="minor"/>
          </rPr>
          <t>======
ID#AAABjx7qVj4
    (2025-05-21 11:33:27)
1017chloe:收到銀行通知US$24736</t>
        </r>
      </text>
    </comment>
    <comment ref="K2336" authorId="0" shapeId="0" xr:uid="{9FF9BCA4-F582-F74C-8B43-AA52B21CAD52}">
      <text>
        <r>
          <rPr>
            <sz val="10"/>
            <color rgb="FF000000"/>
            <rFont val="Aptos Narrow"/>
            <scheme val="minor"/>
          </rPr>
          <t>======
ID#AAABjx7qVJ4
    (2025-05-21 11:33:27)
POC 212  *25  PCS  67x34x38cm  26KG   兩箱
與業務確認後再出貨
使用宸耀材積出貨</t>
        </r>
      </text>
    </comment>
    <comment ref="Q2336" authorId="0" shapeId="0" xr:uid="{3FCD1EA1-EA1D-D64A-970E-D7CFB1BF914E}">
      <text>
        <r>
          <rPr>
            <sz val="10"/>
            <color rgb="FF000000"/>
            <rFont val="Aptos Narrow"/>
            <scheme val="minor"/>
          </rPr>
          <t>======
ID#AAABjx7qR74
    (2025-05-21 11:33:25)
47.2 USD / pcs</t>
        </r>
      </text>
    </comment>
    <comment ref="E2337" authorId="0" shapeId="0" xr:uid="{ED56B386-90B6-3344-B95A-30CF027C80C5}">
      <text>
        <r>
          <rPr>
            <sz val="10"/>
            <color rgb="FF000000"/>
            <rFont val="Aptos Narrow"/>
            <scheme val="minor"/>
          </rPr>
          <t>======
ID#AAABjx7qPxI
    (2025-05-21 11:33:24)
Chloe: 2.5” SSD A3A 128GB, -40°C~+85°C</t>
        </r>
      </text>
    </comment>
    <comment ref="H2337" authorId="0" shapeId="0" xr:uid="{6A85C758-9CD2-8E46-BBAF-939BC5F0D423}">
      <text>
        <r>
          <rPr>
            <sz val="10"/>
            <color rgb="FF000000"/>
            <rFont val="Aptos Narrow"/>
            <scheme val="minor"/>
          </rPr>
          <t>======
ID#AAABjx7qRWI
    (2025-05-21 11:33:25)
1017chloe:收到銀行通知US$24736</t>
        </r>
      </text>
    </comment>
    <comment ref="K2337" authorId="0" shapeId="0" xr:uid="{E577961A-3FC7-3441-AEB1-B54EAFF94D31}">
      <text>
        <r>
          <rPr>
            <sz val="10"/>
            <color rgb="FF000000"/>
            <rFont val="Aptos Narrow"/>
            <scheme val="minor"/>
          </rPr>
          <t>======
ID#AAABjx7qRzQ
    (2025-05-21 11:33:25)
POC 212  *25  PCS  67x34x38cm  26KG   兩箱
與業務確認後再出貨
使用宸耀材積出貨</t>
        </r>
      </text>
    </comment>
    <comment ref="E2338" authorId="0" shapeId="0" xr:uid="{8F30A215-AAF2-8D4C-8880-4C7CDDEDF9A5}">
      <text>
        <r>
          <rPr>
            <sz val="10"/>
            <color rgb="FF000000"/>
            <rFont val="Aptos Narrow"/>
            <scheme val="minor"/>
          </rPr>
          <t>======
ID#AAABjx7qV-8
    (2025-05-21 11:33:27)
Chloe: 2.5” SSD A3A 128GB, -40°C~+85°C</t>
        </r>
      </text>
    </comment>
    <comment ref="H2338" authorId="0" shapeId="0" xr:uid="{5EA00D73-0EF0-6647-88F9-07C9D4E44F11}">
      <text>
        <r>
          <rPr>
            <sz val="10"/>
            <color rgb="FF000000"/>
            <rFont val="Aptos Narrow"/>
            <scheme val="minor"/>
          </rPr>
          <t>======
ID#AAABjx7qOxs
    (2025-05-21 11:33:24)
0928 chloe:收到銀行通知US$46,724</t>
        </r>
      </text>
    </comment>
    <comment ref="E2339" authorId="0" shapeId="0" xr:uid="{E31206A7-4300-1B49-9BE7-A4945A1F1862}">
      <text>
        <r>
          <rPr>
            <sz val="10"/>
            <color rgb="FF000000"/>
            <rFont val="Aptos Narrow"/>
            <scheme val="minor"/>
          </rPr>
          <t>======
ID#AAABjx7qU48
    (2025-05-21 11:33:26)
Chloe: 2.5” SSD A3A 128GB, -40°C~+85°C</t>
        </r>
      </text>
    </comment>
    <comment ref="H2339" authorId="0" shapeId="0" xr:uid="{AD129331-59A4-8B41-AF91-0AF55AAB3D8D}">
      <text>
        <r>
          <rPr>
            <sz val="10"/>
            <color rgb="FF000000"/>
            <rFont val="Aptos Narrow"/>
            <scheme val="minor"/>
          </rPr>
          <t>======
ID#AAABjx7qOwY
    (2025-05-21 11:33:24)
0928 chloe:收到銀行通知US$46,724</t>
        </r>
      </text>
    </comment>
    <comment ref="H2340" authorId="0" shapeId="0" xr:uid="{184CEB10-085D-264D-99B6-4F6942C69EF9}">
      <text>
        <r>
          <rPr>
            <sz val="10"/>
            <color rgb="FF000000"/>
            <rFont val="Aptos Narrow"/>
            <scheme val="minor"/>
          </rPr>
          <t>======
ID#AAABjx7qVvo
    (2025-05-21 11:33:27)
0928 chloe:收到銀行通知US$46,724</t>
        </r>
      </text>
    </comment>
    <comment ref="K2340" authorId="0" shapeId="0" xr:uid="{0FC8CAF6-5506-9347-8ADD-530925617DFB}">
      <text>
        <r>
          <rPr>
            <sz val="10"/>
            <color rgb="FF000000"/>
            <rFont val="Aptos Narrow"/>
            <scheme val="minor"/>
          </rPr>
          <t>======
ID#AAABjx7qThE
    (2025-05-21 11:33:26)
與業務確認後再出貨
使用宸耀材積出貨
POC 212  *25  PCS  67x34x38cm  26KG   兩箱
POC 212  *10  PCS  35x40x40cm  11KG   一箱</t>
        </r>
      </text>
    </comment>
    <comment ref="Q2340" authorId="0" shapeId="0" xr:uid="{D15E0CA5-2043-6547-A242-0CB58B274CD0}">
      <text>
        <r>
          <rPr>
            <sz val="10"/>
            <color rgb="FF000000"/>
            <rFont val="Aptos Narrow"/>
            <scheme val="minor"/>
          </rPr>
          <t>======
ID#AAABjx7qObY
    (2025-05-21 11:33:24)
匯率用台灣銀行即期匯率的平均計算30.195</t>
        </r>
      </text>
    </comment>
    <comment ref="H2341" authorId="0" shapeId="0" xr:uid="{F7ACBE0E-E564-1F43-BBEE-1C104F20A59A}">
      <text>
        <r>
          <rPr>
            <sz val="10"/>
            <color rgb="FF000000"/>
            <rFont val="Aptos Narrow"/>
            <scheme val="minor"/>
          </rPr>
          <t>======
ID#AAABjx7qSgk
    (2025-05-21 11:33:26)
0928 chloe:收到銀行通知US$46,724</t>
        </r>
      </text>
    </comment>
    <comment ref="K2341" authorId="0" shapeId="0" xr:uid="{C737CFA5-0EA0-F247-A0CB-ED8D7567E81D}">
      <text>
        <r>
          <rPr>
            <sz val="10"/>
            <color rgb="FF000000"/>
            <rFont val="Aptos Narrow"/>
            <scheme val="minor"/>
          </rPr>
          <t>======
ID#AAABjx7qNT8
    (2025-05-21 11:33:23)
與業務確認後再出貨
使用宸耀材積出貨
POC 212  *25  PCS  67x34x38cm  26KG   兩箱
POC 212  *10  PCS  35x40x40cm  11KG   一箱</t>
        </r>
      </text>
    </comment>
    <comment ref="Q2341" authorId="0" shapeId="0" xr:uid="{89871015-127A-EE4D-8B6D-C24765F49D28}">
      <text>
        <r>
          <rPr>
            <sz val="10"/>
            <color rgb="FF000000"/>
            <rFont val="Aptos Narrow"/>
            <scheme val="minor"/>
          </rPr>
          <t>======
ID#AAABjx7qUrw
    (2025-05-21 11:33:26)
匯率用台灣銀行即期匯率的平均計算30.195</t>
        </r>
      </text>
    </comment>
    <comment ref="H2342" authorId="0" shapeId="0" xr:uid="{A02A2743-C09A-3948-8379-4E3552219F57}">
      <text>
        <r>
          <rPr>
            <sz val="10"/>
            <color rgb="FF000000"/>
            <rFont val="Aptos Narrow"/>
            <scheme val="minor"/>
          </rPr>
          <t>======
ID#AAABjx7qOCY
    (2025-05-21 11:33:24)
0928 chloe:收到銀行通知US$46,724</t>
        </r>
      </text>
    </comment>
    <comment ref="M2342" authorId="0" shapeId="0" xr:uid="{0C05A097-6ACC-8348-A76F-2CABDA795FB6}">
      <text>
        <r>
          <rPr>
            <sz val="10"/>
            <color rgb="FF000000"/>
            <rFont val="Aptos Narrow"/>
            <scheme val="minor"/>
          </rPr>
          <t>======
ID#AAABjx7qVgc
    (2025-05-21 11:33:27)
0724 chloe: 工廠尚未回覆，確定要7/26 才知道
0724 chloe: 敏博約2週即可交貨</t>
        </r>
      </text>
    </comment>
    <comment ref="Q2342" authorId="0" shapeId="0" xr:uid="{9353DB65-17CB-B542-85B9-CEC2C27CA23C}">
      <text>
        <r>
          <rPr>
            <sz val="10"/>
            <color rgb="FF000000"/>
            <rFont val="Aptos Narrow"/>
            <scheme val="minor"/>
          </rPr>
          <t>======
ID#AAABjx7qOaA
    (2025-05-21 11:33:24)
47.2 USD / pcs</t>
        </r>
      </text>
    </comment>
    <comment ref="H2343" authorId="0" shapeId="0" xr:uid="{ED2B338A-B8E9-CF46-9FC4-A8269FAC79D6}">
      <text>
        <r>
          <rPr>
            <sz val="10"/>
            <color rgb="FF000000"/>
            <rFont val="Aptos Narrow"/>
            <scheme val="minor"/>
          </rPr>
          <t>======
ID#AAABjx7qSkc
    (2025-05-21 11:33:26)
0928 chloe:收到銀行通知US$46,724</t>
        </r>
      </text>
    </comment>
    <comment ref="M2343" authorId="0" shapeId="0" xr:uid="{D934496F-BC4E-F945-96B0-32591507FFD0}">
      <text>
        <r>
          <rPr>
            <sz val="10"/>
            <color rgb="FF000000"/>
            <rFont val="Aptos Narrow"/>
            <scheme val="minor"/>
          </rPr>
          <t>======
ID#AAABjx7qOz0
    (2025-05-21 11:33:24)
0724 chloe: 工廠尚未回覆，確定要7/26 才知道
0724 chloe: 敏博約2週即可交貨</t>
        </r>
      </text>
    </comment>
    <comment ref="H2344" authorId="0" shapeId="0" xr:uid="{F16FD5B9-08B3-B845-842F-2CFE8C71B2B9}">
      <text>
        <r>
          <rPr>
            <sz val="10"/>
            <color rgb="FF000000"/>
            <rFont val="Aptos Narrow"/>
            <scheme val="minor"/>
          </rPr>
          <t>======
ID#AAABjx7qWSQ
    (2025-05-21 11:33:27)
20170808 chloe:收到銀行通知USD 19175</t>
        </r>
      </text>
    </comment>
    <comment ref="P2344" authorId="0" shapeId="0" xr:uid="{172284B7-0680-E24F-9604-2010CB403338}">
      <text>
        <r>
          <rPr>
            <sz val="10"/>
            <color rgb="FF000000"/>
            <rFont val="Aptos Narrow"/>
            <scheme val="minor"/>
          </rPr>
          <t>======
ID#AAABjx7qSRI
    (2025-05-21 11:33:26)
170706 原US$331*5*105% = US$1737.75, 扣抵金額(含稅)US$126,應支付貨款(含稅)為US$1611.75元</t>
        </r>
      </text>
    </comment>
    <comment ref="E2345" authorId="0" shapeId="0" xr:uid="{1B0C15EE-9985-E74E-B1E9-E3D0946F594D}">
      <text>
        <r>
          <rPr>
            <sz val="10"/>
            <color rgb="FF000000"/>
            <rFont val="Aptos Narrow"/>
            <scheme val="minor"/>
          </rPr>
          <t>======
ID#AAABjx7qSrQ
    (2025-05-21 11:33:26)
20170104 Santiago: 和之前訂單一樣, w/o adapter</t>
        </r>
      </text>
    </comment>
    <comment ref="H2345" authorId="0" shapeId="0" xr:uid="{210D2326-785D-6F4E-AEC0-6E44E5CF14E5}">
      <text>
        <r>
          <rPr>
            <sz val="10"/>
            <color rgb="FF000000"/>
            <rFont val="Aptos Narrow"/>
            <scheme val="minor"/>
          </rPr>
          <t>======
ID#AAABjx7qU38
    (2025-05-21 11:33:26)
0703 chloe:已收到NT595537</t>
        </r>
      </text>
    </comment>
    <comment ref="K2345" authorId="0" shapeId="0" xr:uid="{0C405BF2-F3E5-2D4A-BFB9-23650BA5663C}">
      <text>
        <r>
          <rPr>
            <sz val="10"/>
            <color rgb="FF000000"/>
            <rFont val="Aptos Narrow"/>
            <scheme val="minor"/>
          </rPr>
          <t>======
ID#AAABjx7qTYM
    (2025-05-21 11:33:26)
0707 Santiago: 希望交期</t>
        </r>
      </text>
    </comment>
    <comment ref="H2346" authorId="0" shapeId="0" xr:uid="{B0AD5F82-99F0-D347-9CA7-BC6038529079}">
      <text>
        <r>
          <rPr>
            <sz val="10"/>
            <color rgb="FF000000"/>
            <rFont val="Aptos Narrow"/>
            <scheme val="minor"/>
          </rPr>
          <t>======
ID#AAABjx7qQ10
    (2025-05-21 11:33:25)
0703 chloe:已收到NT595537</t>
        </r>
      </text>
    </comment>
    <comment ref="K2346" authorId="0" shapeId="0" xr:uid="{BD2C2D25-044A-C84C-B327-D5CDE8485D9C}">
      <text>
        <r>
          <rPr>
            <sz val="10"/>
            <color rgb="FF000000"/>
            <rFont val="Aptos Narrow"/>
            <scheme val="minor"/>
          </rPr>
          <t>======
ID#AAABjx7qPOQ
    (2025-05-21 11:33:24)
0707 Santiago: 希望交期</t>
        </r>
      </text>
    </comment>
    <comment ref="H2347" authorId="0" shapeId="0" xr:uid="{30B8B25A-B388-E247-B93A-D3ACDC5114C5}">
      <text>
        <r>
          <rPr>
            <sz val="10"/>
            <color rgb="FF000000"/>
            <rFont val="Aptos Narrow"/>
            <scheme val="minor"/>
          </rPr>
          <t>======
ID#AAABjx7qPGE
    (2025-05-21 11:33:24)
0719 chloe: 收到銀行通知USD3160</t>
        </r>
      </text>
    </comment>
    <comment ref="K2347" authorId="0" shapeId="0" xr:uid="{049FF207-D7FC-D647-B7EC-EDD16F057B12}">
      <text>
        <r>
          <rPr>
            <sz val="10"/>
            <color rgb="FF000000"/>
            <rFont val="Aptos Narrow"/>
            <scheme val="minor"/>
          </rPr>
          <t>======
ID#AAABjx7qOcI
    (2025-05-21 11:33:24)
42*35*31  9KG</t>
        </r>
      </text>
    </comment>
    <comment ref="O2347" authorId="0" shapeId="0" xr:uid="{8863676F-B680-CF46-BC60-4FB539CF86E3}">
      <text>
        <r>
          <rPr>
            <sz val="10"/>
            <color rgb="FF000000"/>
            <rFont val="Aptos Narrow"/>
            <scheme val="minor"/>
          </rPr>
          <t>======
ID#AAABjx7qOpk
    (2025-05-21 11:33:24)
要求要序號</t>
        </r>
      </text>
    </comment>
    <comment ref="H2348" authorId="0" shapeId="0" xr:uid="{5D171B3B-FAAA-AA48-995F-D05F53488277}">
      <text>
        <r>
          <rPr>
            <sz val="10"/>
            <color rgb="FF000000"/>
            <rFont val="Aptos Narrow"/>
            <scheme val="minor"/>
          </rPr>
          <t>======
ID#AAABjx7qPfQ
    (2025-05-21 11:33:24)
0711 chloe:收到銀行通知USD1060</t>
        </r>
      </text>
    </comment>
    <comment ref="H2349" authorId="0" shapeId="0" xr:uid="{7658108E-51E7-3E4F-8EED-A7A3B6CC0DCD}">
      <text>
        <r>
          <rPr>
            <sz val="10"/>
            <color rgb="FF000000"/>
            <rFont val="Aptos Narrow"/>
            <scheme val="minor"/>
          </rPr>
          <t>======
ID#AAABjx7qNmc
    (2025-05-21 11:33:23)
0719 chloe: 收到銀行通知USD3160</t>
        </r>
      </text>
    </comment>
    <comment ref="H2350" authorId="0" shapeId="0" xr:uid="{8F3C2EE9-0917-D947-934E-DC0D71EE7FCB}">
      <text>
        <r>
          <rPr>
            <sz val="10"/>
            <color rgb="FF000000"/>
            <rFont val="Aptos Narrow"/>
            <scheme val="minor"/>
          </rPr>
          <t>======
ID#AAABjx7qNoc
    (2025-05-21 11:33:23)
20170808 chloe:收到銀行通知USD 19175</t>
        </r>
      </text>
    </comment>
    <comment ref="P2350" authorId="0" shapeId="0" xr:uid="{17650B7C-8AC2-1B45-BBC3-11F3A57C5991}">
      <text>
        <r>
          <rPr>
            <sz val="10"/>
            <color rgb="FF000000"/>
            <rFont val="Aptos Narrow"/>
            <scheme val="minor"/>
          </rPr>
          <t>======
ID#AAABjx7qOiY
    (2025-05-21 11:33:24)
16590+10(科技國給MOXA手續費)+10(7月單子未給)</t>
        </r>
      </text>
    </comment>
    <comment ref="H2351" authorId="0" shapeId="0" xr:uid="{987EF297-DE34-F340-97D9-85927155F68E}">
      <text>
        <r>
          <rPr>
            <sz val="10"/>
            <color rgb="FF000000"/>
            <rFont val="Aptos Narrow"/>
            <scheme val="minor"/>
          </rPr>
          <t>======
ID#AAABj82dpLE
    (2025-05-21 11:33:23)
0717 chloe: 收到銀行通知USD202.5</t>
        </r>
      </text>
    </comment>
    <comment ref="H2352" authorId="0" shapeId="0" xr:uid="{7D1B140A-E15B-AC43-AC92-681265C00071}">
      <text>
        <r>
          <rPr>
            <sz val="10"/>
            <color rgb="FF000000"/>
            <rFont val="Aptos Narrow"/>
            <scheme val="minor"/>
          </rPr>
          <t>======
ID#AAABjx7qWRk
    (2025-05-21 11:33:27)
0717 chloe: 收到銀行通知USD202.5</t>
        </r>
      </text>
    </comment>
    <comment ref="H2353" authorId="0" shapeId="0" xr:uid="{B464A318-A705-8246-941A-0C1E138FAB9B}">
      <text>
        <r>
          <rPr>
            <sz val="10"/>
            <color rgb="FF000000"/>
            <rFont val="Aptos Narrow"/>
            <scheme val="minor"/>
          </rPr>
          <t>======
ID#AAABjx7qTmE
    (2025-05-21 11:33:26)
0908 chloe:收到銀行通知 US$248</t>
        </r>
      </text>
    </comment>
    <comment ref="H2354" authorId="0" shapeId="0" xr:uid="{D5B11C01-E3DC-0A4D-80C9-A4BCD2B98B11}">
      <text>
        <r>
          <rPr>
            <sz val="10"/>
            <color rgb="FF000000"/>
            <rFont val="Aptos Narrow"/>
            <scheme val="minor"/>
          </rPr>
          <t>======
ID#AAABjx7qNC4
    (2025-05-21 11:33:23)
0720 chloe:客戶匯款，但戎克戶名錯誤，待客戶修改
0727 chloe: 戶名已修改，已匯入USD870</t>
        </r>
      </text>
    </comment>
    <comment ref="H2355" authorId="0" shapeId="0" xr:uid="{75AE3324-EFF6-EA45-AE87-764D95391A61}">
      <text>
        <r>
          <rPr>
            <sz val="10"/>
            <color rgb="FF000000"/>
            <rFont val="Aptos Narrow"/>
            <scheme val="minor"/>
          </rPr>
          <t>======
ID#AAABjx7qM-0
    (2025-05-21 11:33:23)
0720 chloe:客戶匯款，但戎克戶名錯誤，待客戶修改
0727 chloe: 戶名已修改，已匯入USD870</t>
        </r>
      </text>
    </comment>
    <comment ref="H2356" authorId="0" shapeId="0" xr:uid="{FCAFB944-F568-EC4B-B14B-DCFFAA16836C}">
      <text>
        <r>
          <rPr>
            <sz val="10"/>
            <color rgb="FF000000"/>
            <rFont val="Aptos Narrow"/>
            <scheme val="minor"/>
          </rPr>
          <t>======
ID#AAABjx7qVvc
    (2025-05-21 11:33:27)
0720 chloe:客戶匯款，但戎克戶名錯誤，待客戶修改
0727 chloe: 戶名已修改，已匯入USD870</t>
        </r>
      </text>
    </comment>
    <comment ref="H2357" authorId="0" shapeId="0" xr:uid="{7D710E11-5083-9847-A640-6359809F0F42}">
      <text>
        <r>
          <rPr>
            <sz val="10"/>
            <color rgb="FF000000"/>
            <rFont val="Aptos Narrow"/>
            <scheme val="minor"/>
          </rPr>
          <t>======
ID#AAABjx7qRGg
    (2025-05-21 11:33:25)
0911 chloe:收到銀行通知USD3174</t>
        </r>
      </text>
    </comment>
    <comment ref="K2357" authorId="0" shapeId="0" xr:uid="{66C0D3DD-8BCA-4A4A-97C2-1CEA76EA204E}">
      <text>
        <r>
          <rPr>
            <sz val="10"/>
            <color rgb="FF000000"/>
            <rFont val="Aptos Narrow"/>
            <scheme val="minor"/>
          </rPr>
          <t>======
ID#AAABjx7qQBA
    (2025-05-21 11:33:25)
43x23x25</t>
        </r>
      </text>
    </comment>
    <comment ref="M2357" authorId="0" shapeId="0" xr:uid="{E5C27D65-9D45-FE4B-B2C0-9F4986F1297C}">
      <text>
        <r>
          <rPr>
            <sz val="10"/>
            <color rgb="FF000000"/>
            <rFont val="Aptos Narrow"/>
            <scheme val="minor"/>
          </rPr>
          <t>======
ID#AAABjx7qU7c
    (2025-05-21 11:33:27)
0731 chloe:待宸耀回覆交期</t>
        </r>
      </text>
    </comment>
    <comment ref="E2358" authorId="0" shapeId="0" xr:uid="{B87C8D5E-5B16-FA41-8587-6A8696D0C786}">
      <text>
        <r>
          <rPr>
            <sz val="10"/>
            <color rgb="FF000000"/>
            <rFont val="Aptos Narrow"/>
            <scheme val="minor"/>
          </rPr>
          <t>======
ID#AAABjx7qRgw
    (2025-05-21 11:33:25)
3/16 Michelle:Demand3008 8" 這次樣品可以勉強接受2 Pin. 
但未來出貨一定要用3 pin 鳯凰接頭</t>
        </r>
      </text>
    </comment>
    <comment ref="H2358" authorId="0" shapeId="0" xr:uid="{1557360A-004A-794C-902E-0D61A9E9EC69}">
      <text>
        <r>
          <rPr>
            <sz val="10"/>
            <color rgb="FF000000"/>
            <rFont val="Aptos Narrow"/>
            <scheme val="minor"/>
          </rPr>
          <t>======
ID#AAABjx7qV10
    (2025-05-21 11:33:27)
0911 chloe:收到銀行通知USD3174</t>
        </r>
      </text>
    </comment>
    <comment ref="H2359" authorId="0" shapeId="0" xr:uid="{17DC02BB-8CCD-5F44-B68A-30825FDF7619}">
      <text>
        <r>
          <rPr>
            <sz val="10"/>
            <color rgb="FF000000"/>
            <rFont val="Aptos Narrow"/>
            <scheme val="minor"/>
          </rPr>
          <t>======
ID#AAABjx7qQwM
    (2025-05-21 11:33:25)
0911 chloe:收到銀行通知USD3174</t>
        </r>
      </text>
    </comment>
    <comment ref="H2360" authorId="0" shapeId="0" xr:uid="{325F718F-7EF0-F74B-AA3B-6EE8DCF51532}">
      <text>
        <r>
          <rPr>
            <sz val="10"/>
            <color rgb="FF000000"/>
            <rFont val="Aptos Narrow"/>
            <scheme val="minor"/>
          </rPr>
          <t>======
ID#AAABjx7qQhQ
    (2025-05-21 11:33:25)
0724 chloe:收到銀行通知USD 518</t>
        </r>
      </text>
    </comment>
    <comment ref="H2361" authorId="0" shapeId="0" xr:uid="{E20603E8-B9F4-4F4D-9529-8DD7999057AD}">
      <text>
        <r>
          <rPr>
            <sz val="10"/>
            <color rgb="FF000000"/>
            <rFont val="Aptos Narrow"/>
            <scheme val="minor"/>
          </rPr>
          <t>======
ID#AAABjx7qQ9I
    (2025-05-21 11:33:25)
0724 chloe:收到銀行通知USD 518</t>
        </r>
      </text>
    </comment>
    <comment ref="H2362" authorId="0" shapeId="0" xr:uid="{6127C8C9-2D63-6248-B2C5-17FE9367FEFB}">
      <text>
        <r>
          <rPr>
            <sz val="10"/>
            <color rgb="FF000000"/>
            <rFont val="Aptos Narrow"/>
            <scheme val="minor"/>
          </rPr>
          <t>======
ID#AAABjx7qU7E
    (2025-05-21 11:33:27)
0724 chloe:收到銀行通知USD 518</t>
        </r>
      </text>
    </comment>
    <comment ref="H2363" authorId="0" shapeId="0" xr:uid="{DBC841EB-B425-1244-AEF7-F06BC1942DB6}">
      <text>
        <r>
          <rPr>
            <sz val="10"/>
            <color rgb="FF000000"/>
            <rFont val="Aptos Narrow"/>
            <scheme val="minor"/>
          </rPr>
          <t>======
ID#AAABjx7qO1Q
    (2025-05-21 11:33:24)
0911 chloe:收到銀行通知USD3174</t>
        </r>
      </text>
    </comment>
    <comment ref="H2364" authorId="0" shapeId="0" xr:uid="{6DCD7E83-01EF-0243-BF4C-A09768EDA004}">
      <text>
        <r>
          <rPr>
            <sz val="10"/>
            <color rgb="FF000000"/>
            <rFont val="Aptos Narrow"/>
            <scheme val="minor"/>
          </rPr>
          <t>======
ID#AAABjx7qS6Y
    (2025-05-21 11:33:26)
0728 chloe: 收到銀行通知USD11540</t>
        </r>
      </text>
    </comment>
    <comment ref="H2365" authorId="0" shapeId="0" xr:uid="{05D8EF80-EC35-9340-B8C3-A897A54E7D12}">
      <text>
        <r>
          <rPr>
            <sz val="10"/>
            <color rgb="FF000000"/>
            <rFont val="Aptos Narrow"/>
            <scheme val="minor"/>
          </rPr>
          <t>======
ID#AAABjx7qOrQ
    (2025-05-21 11:33:24)
0908 chloe:收到銀行通知 US$248</t>
        </r>
      </text>
    </comment>
    <comment ref="H2367" authorId="0" shapeId="0" xr:uid="{B91EA9DD-6D17-ED4E-B3A4-D574C2B8FCD7}">
      <text>
        <r>
          <rPr>
            <sz val="10"/>
            <color rgb="FF000000"/>
            <rFont val="Aptos Narrow"/>
            <scheme val="minor"/>
          </rPr>
          <t>======
ID#AAABjx7qQDk
    (2025-05-21 11:33:25)
0822 chloe:已收到銀行通知USD17120</t>
        </r>
      </text>
    </comment>
    <comment ref="K2367" authorId="0" shapeId="0" xr:uid="{7CF48E00-1867-C646-B132-A5E29EB73461}">
      <text>
        <r>
          <rPr>
            <sz val="10"/>
            <color rgb="FF000000"/>
            <rFont val="Aptos Narrow"/>
            <scheme val="minor"/>
          </rPr>
          <t>======
ID#AAABjx7qO_8
    (2025-05-21 11:33:24)
0731 chloe:待客戶付款</t>
        </r>
      </text>
    </comment>
    <comment ref="H2368" authorId="0" shapeId="0" xr:uid="{DB8D116D-FAC1-484D-A4ED-34FE73E0A0A6}">
      <text>
        <r>
          <rPr>
            <sz val="10"/>
            <color rgb="FF000000"/>
            <rFont val="Aptos Narrow"/>
            <scheme val="minor"/>
          </rPr>
          <t>======
ID#AAABjx7qSnE
    (2025-05-21 11:33:26)
0822 chloe:已收到銀行通知USD17120</t>
        </r>
      </text>
    </comment>
    <comment ref="K2368" authorId="0" shapeId="0" xr:uid="{AAAC6357-F166-4D49-B279-A9825E7CEB15}">
      <text>
        <r>
          <rPr>
            <sz val="10"/>
            <color rgb="FF000000"/>
            <rFont val="Aptos Narrow"/>
            <scheme val="minor"/>
          </rPr>
          <t>======
ID#AAABjx7qRUA
    (2025-05-21 11:33:25)
0731 chloe:待客戶付款</t>
        </r>
      </text>
    </comment>
    <comment ref="H2369" authorId="0" shapeId="0" xr:uid="{499CDD60-2789-0D4B-AEA4-87060FF4B7C6}">
      <text>
        <r>
          <rPr>
            <sz val="10"/>
            <color rgb="FF000000"/>
            <rFont val="Aptos Narrow"/>
            <scheme val="minor"/>
          </rPr>
          <t>======
ID#AAABjx7qTCg
    (2025-05-21 11:33:26)
0822 chloe:已收到銀行通知USD17120</t>
        </r>
      </text>
    </comment>
    <comment ref="K2369" authorId="0" shapeId="0" xr:uid="{73398530-6A37-7D49-B03D-BA73552AA69B}">
      <text>
        <r>
          <rPr>
            <sz val="10"/>
            <color rgb="FF000000"/>
            <rFont val="Aptos Narrow"/>
            <scheme val="minor"/>
          </rPr>
          <t>======
ID#AAABjx7qR88
    (2025-05-21 11:33:25)
0731 chloe:待客戶付款</t>
        </r>
      </text>
    </comment>
    <comment ref="H2370" authorId="0" shapeId="0" xr:uid="{AE9362D6-4747-074A-A9B6-607EB852E3B1}">
      <text>
        <r>
          <rPr>
            <sz val="10"/>
            <color rgb="FF000000"/>
            <rFont val="Aptos Narrow"/>
            <scheme val="minor"/>
          </rPr>
          <t>======
ID#AAABjx7qVsE
    (2025-05-21 11:33:27)
0822 chloe:已收到銀行通知USD17120</t>
        </r>
      </text>
    </comment>
    <comment ref="K2370" authorId="0" shapeId="0" xr:uid="{55E22A07-BC5B-6745-A026-5534363DBB8B}">
      <text>
        <r>
          <rPr>
            <sz val="10"/>
            <color rgb="FF000000"/>
            <rFont val="Aptos Narrow"/>
            <scheme val="minor"/>
          </rPr>
          <t>======
ID#AAABjx7qTfU
    (2025-05-21 11:33:26)
0731 chloe:待客戶付款</t>
        </r>
      </text>
    </comment>
    <comment ref="H2371" authorId="0" shapeId="0" xr:uid="{21384834-5429-F443-96E6-F2F032C8D159}">
      <text>
        <r>
          <rPr>
            <sz val="10"/>
            <color rgb="FF000000"/>
            <rFont val="Aptos Narrow"/>
            <scheme val="minor"/>
          </rPr>
          <t>======
ID#AAABjx7qSEM
    (2025-05-21 11:33:26)
1002 chloe:收到銀行通知US$2700</t>
        </r>
      </text>
    </comment>
    <comment ref="H2372" authorId="0" shapeId="0" xr:uid="{7633899D-78F6-C24B-85B9-B691A0831D5E}">
      <text>
        <r>
          <rPr>
            <sz val="10"/>
            <color rgb="FF000000"/>
            <rFont val="Aptos Narrow"/>
            <scheme val="minor"/>
          </rPr>
          <t>======
ID#AAABjx7qS7g
    (2025-05-21 11:33:26)
0731 chloe: 收到銀行通知USD 2381</t>
        </r>
      </text>
    </comment>
    <comment ref="H2373" authorId="0" shapeId="0" xr:uid="{2C4005C2-460D-B04B-85D7-4A2921FF1F09}">
      <text>
        <r>
          <rPr>
            <sz val="10"/>
            <color rgb="FF000000"/>
            <rFont val="Aptos Narrow"/>
            <scheme val="minor"/>
          </rPr>
          <t>======
ID#AAABjx7qVZI
    (2025-05-21 11:33:27)
0731 chloe: 收到銀行通知USD 2381</t>
        </r>
      </text>
    </comment>
    <comment ref="H2374" authorId="0" shapeId="0" xr:uid="{18E2462A-8A51-CC42-97D0-D737C2B3E42F}">
      <text>
        <r>
          <rPr>
            <sz val="10"/>
            <color rgb="FF000000"/>
            <rFont val="Aptos Narrow"/>
            <scheme val="minor"/>
          </rPr>
          <t>======
ID#AAABjx7qSIg
    (2025-05-21 11:33:26)
0731 chloe: 收到銀行通知USD 2381</t>
        </r>
      </text>
    </comment>
    <comment ref="H2375" authorId="0" shapeId="0" xr:uid="{763D6ECF-5C63-BE40-8AD1-B55B25BDEBC7}">
      <text>
        <r>
          <rPr>
            <sz val="10"/>
            <color rgb="FF000000"/>
            <rFont val="Aptos Narrow"/>
            <scheme val="minor"/>
          </rPr>
          <t>======
ID#AAABjx7qQN8
    (2025-05-21 11:33:25)
0731 chloe: 收到銀行通知USD 2381</t>
        </r>
      </text>
    </comment>
    <comment ref="H2376" authorId="0" shapeId="0" xr:uid="{D5B8EBB9-CF6D-7B40-B247-3C2A93A26799}">
      <text>
        <r>
          <rPr>
            <sz val="10"/>
            <color rgb="FF000000"/>
            <rFont val="Aptos Narrow"/>
            <scheme val="minor"/>
          </rPr>
          <t>======
ID#AAABjx7qS6w
    (2025-05-21 11:33:26)
1012 chloe: 收到銀行通知US$52,255</t>
        </r>
      </text>
    </comment>
    <comment ref="K2376" authorId="0" shapeId="0" xr:uid="{F5414CEB-16EA-894D-B169-8E4B842261B4}">
      <text>
        <r>
          <rPr>
            <sz val="10"/>
            <color rgb="FF000000"/>
            <rFont val="Aptos Narrow"/>
            <scheme val="minor"/>
          </rPr>
          <t>======
ID#AAABjx7qVpg
    (2025-05-21 11:33:27)
0828 Santiago: 延到9/28
0817 Santiago: 延到9/7
0814 chloe: 0821與Santiago確認是否可出→已延遲出貨</t>
        </r>
      </text>
    </comment>
    <comment ref="E2377" authorId="0" shapeId="0" xr:uid="{B35504B8-DC90-B944-836D-43AB6C5D51CA}">
      <text>
        <r>
          <rPr>
            <sz val="10"/>
            <color rgb="FF000000"/>
            <rFont val="Aptos Narrow"/>
            <scheme val="minor"/>
          </rPr>
          <t>======
ID#AAABjx7qRX8
    (2025-05-21 11:33:25)
MOXA 借貨60天</t>
        </r>
      </text>
    </comment>
    <comment ref="H2377" authorId="0" shapeId="0" xr:uid="{0BDF782A-96DE-7D48-BD63-3F74FE693C76}">
      <text>
        <r>
          <rPr>
            <sz val="10"/>
            <color rgb="FF000000"/>
            <rFont val="Aptos Narrow"/>
            <scheme val="minor"/>
          </rPr>
          <t>======
ID#AAABjx7qRow
    (2025-05-21 11:33:25)
0920 chloe:借轉銷，樣品已在客戶手上，不報關
1012 chloe: 收到銀行通知US$52,255</t>
        </r>
      </text>
    </comment>
    <comment ref="M2377" authorId="0" shapeId="0" xr:uid="{8DC6D1DF-4FCE-DA47-A175-900AD7CD4787}">
      <text>
        <r>
          <rPr>
            <sz val="10"/>
            <color rgb="FF000000"/>
            <rFont val="Aptos Narrow"/>
            <scheme val="minor"/>
          </rPr>
          <t>======
ID#AAABjx7qV6w
    (2025-05-21 11:33:27)
0731 chloe:出貨單簽名後回傳給TAMMY
(附上樣品借出單?)</t>
        </r>
      </text>
    </comment>
    <comment ref="P2377" authorId="0" shapeId="0" xr:uid="{3808BFC1-8F7F-A045-A486-AC9CD5CE12A4}">
      <text>
        <r>
          <rPr>
            <sz val="10"/>
            <color rgb="FF000000"/>
            <rFont val="Aptos Narrow"/>
            <scheme val="minor"/>
          </rPr>
          <t>======
ID#AAABjx7qRLg
    (2025-05-21 11:33:25)
171204 會放入到20171129B中一起沖帳</t>
        </r>
      </text>
    </comment>
    <comment ref="X2377" authorId="0" shapeId="0" xr:uid="{E92A9CA8-E907-DE4A-8180-FCDEF72E82B4}">
      <text>
        <r>
          <rPr>
            <sz val="10"/>
            <color rgb="FF000000"/>
            <rFont val="Aptos Narrow"/>
            <scheme val="minor"/>
          </rPr>
          <t>======
ID#AAABjx7qQRE
    (2025-05-21 11:33:25)
無法轉銷貨，故須先把原本借測寄回再出新品
1101 發信詢問，回覆目前還沒取得共識</t>
        </r>
      </text>
    </comment>
    <comment ref="Y2377" authorId="0" shapeId="0" xr:uid="{F9196A97-8786-AD4B-96E4-88584326E97E}">
      <text>
        <r>
          <rPr>
            <sz val="10"/>
            <color rgb="FF000000"/>
            <rFont val="Aptos Narrow"/>
            <scheme val="minor"/>
          </rPr>
          <t>======
ID#AAABjx7qNGU
    (2025-05-21 11:33:23)
無法轉銷貨，故須先把原本借測寄回再出新品</t>
        </r>
      </text>
    </comment>
    <comment ref="Z2377" authorId="0" shapeId="0" xr:uid="{AEB117E1-24E6-264A-8585-6521B65EC1E1}">
      <text>
        <r>
          <rPr>
            <sz val="10"/>
            <color rgb="FF000000"/>
            <rFont val="Aptos Narrow"/>
            <scheme val="minor"/>
          </rPr>
          <t>======
ID#AAABjx7qQ4I
    (2025-05-21 11:33:25)
無法轉銷貨，故須先把原本借測寄回再出新品</t>
        </r>
      </text>
    </comment>
    <comment ref="AA2377" authorId="0" shapeId="0" xr:uid="{B1C9E6D2-9575-2B45-B3A1-72A8C06ECF9B}">
      <text>
        <r>
          <rPr>
            <sz val="10"/>
            <color rgb="FF000000"/>
            <rFont val="Aptos Narrow"/>
            <scheme val="minor"/>
          </rPr>
          <t>======
ID#AAABjx7qTcY
Santiago 20180124    (2025-05-21 11:33:26)
之前1/10 多付這筆費用, 
因為MOXA的帳上沒有這筆, 
所以移除, 並重新和MOXA討論</t>
        </r>
      </text>
    </comment>
    <comment ref="E2378" authorId="0" shapeId="0" xr:uid="{07D137FB-B3A4-D042-B698-50D1701681F8}">
      <text>
        <r>
          <rPr>
            <sz val="10"/>
            <color rgb="FF000000"/>
            <rFont val="Aptos Narrow"/>
            <scheme val="minor"/>
          </rPr>
          <t>======
ID#AAABjx7qSTk
    (2025-05-21 11:33:26)
AWK-3131A-EU</t>
        </r>
      </text>
    </comment>
    <comment ref="M2378" authorId="0" shapeId="0" xr:uid="{EDBEBD32-A4C9-7143-9060-CA9E6C946614}">
      <text>
        <r>
          <rPr>
            <sz val="10"/>
            <color rgb="FF000000"/>
            <rFont val="Aptos Narrow"/>
            <scheme val="minor"/>
          </rPr>
          <t>======
ID#AAABjx7qNCw
    (2025-05-21 11:33:23)
0731 chloe:出貨單簽名後回傳給TAMMY
(附上樣品借出單?)</t>
        </r>
      </text>
    </comment>
    <comment ref="H2379" authorId="0" shapeId="0" xr:uid="{DFE61D07-76FD-A44F-89A3-BF34F4CA5980}">
      <text>
        <r>
          <rPr>
            <sz val="10"/>
            <color rgb="FF000000"/>
            <rFont val="Aptos Narrow"/>
            <scheme val="minor"/>
          </rPr>
          <t>======
ID#AAABjx7qQw0
    (2025-05-21 11:33:25)
0928 chloe:收到銀行通知US$46,724</t>
        </r>
      </text>
    </comment>
    <comment ref="K2379" authorId="0" shapeId="0" xr:uid="{35C13D97-4CD6-D942-AABA-1BA525BE8CDD}">
      <text>
        <r>
          <rPr>
            <sz val="10"/>
            <color rgb="FF000000"/>
            <rFont val="Aptos Narrow"/>
            <scheme val="minor"/>
          </rPr>
          <t>======
ID#AAABjx7qQ78
    (2025-05-21 11:33:25)
chloe:出貨前照相及拆解分析</t>
        </r>
      </text>
    </comment>
    <comment ref="M2379" authorId="0" shapeId="0" xr:uid="{62B2D95B-4A2F-8041-81F7-B8EFF6E7D654}">
      <text>
        <r>
          <rPr>
            <sz val="10"/>
            <color rgb="FF000000"/>
            <rFont val="Aptos Narrow"/>
            <scheme val="minor"/>
          </rPr>
          <t>======
ID#AAABjx7qO_Y
    (2025-05-21 11:33:24)
USD1,150 (2-3 週 )</t>
        </r>
      </text>
    </comment>
    <comment ref="H2380" authorId="0" shapeId="0" xr:uid="{C158BB01-E134-784B-B6E0-FB2A8C2A96CE}">
      <text>
        <r>
          <rPr>
            <sz val="10"/>
            <color rgb="FF000000"/>
            <rFont val="Aptos Narrow"/>
            <scheme val="minor"/>
          </rPr>
          <t>======
ID#AAABjx7qWVo
    (2025-05-21 11:33:27)
0928 chloe:收到銀行通知US$46,724</t>
        </r>
      </text>
    </comment>
    <comment ref="M2380" authorId="0" shapeId="0" xr:uid="{46BFFF4A-1606-9C4B-B23B-964AFD0513E1}">
      <text>
        <r>
          <rPr>
            <sz val="10"/>
            <color rgb="FF000000"/>
            <rFont val="Aptos Narrow"/>
            <scheme val="minor"/>
          </rPr>
          <t>======
ID#AAABjx7qRvU
    (2025-05-21 11:33:25)
USD1,150 (2-3 週 )</t>
        </r>
      </text>
    </comment>
    <comment ref="H2381" authorId="0" shapeId="0" xr:uid="{4B81AB57-B363-2C43-BEC2-3E55890D1015}">
      <text>
        <r>
          <rPr>
            <sz val="10"/>
            <color rgb="FF000000"/>
            <rFont val="Aptos Narrow"/>
            <scheme val="minor"/>
          </rPr>
          <t>======
ID#AAABjx7qOJo
    (2025-05-21 11:33:24)
0928 chloe:收到銀行通知US$46,724</t>
        </r>
      </text>
    </comment>
    <comment ref="M2381" authorId="0" shapeId="0" xr:uid="{FD5C4244-B76B-6544-975F-51B9EECCB0D7}">
      <text>
        <r>
          <rPr>
            <sz val="10"/>
            <color rgb="FF000000"/>
            <rFont val="Aptos Narrow"/>
            <scheme val="minor"/>
          </rPr>
          <t>======
ID#AAABjx7qQzI
    (2025-05-21 11:33:25)
US$288 (7-14 天)
0801 : 無現貨 2-4週，已告知超恩</t>
        </r>
      </text>
    </comment>
    <comment ref="H2382" authorId="0" shapeId="0" xr:uid="{61C2D2AA-C426-6141-8E25-197AA5C17B8B}">
      <text>
        <r>
          <rPr>
            <sz val="10"/>
            <color rgb="FF000000"/>
            <rFont val="Aptos Narrow"/>
            <scheme val="minor"/>
          </rPr>
          <t>======
ID#AAABjx7qVIc
    (2025-05-21 11:33:27)
0928 chloe:收到銀行通知US$46,724</t>
        </r>
      </text>
    </comment>
    <comment ref="M2382" authorId="0" shapeId="0" xr:uid="{5480718A-AC43-C64E-8323-01113BC641CB}">
      <text>
        <r>
          <rPr>
            <sz val="10"/>
            <color rgb="FF000000"/>
            <rFont val="Aptos Narrow"/>
            <scheme val="minor"/>
          </rPr>
          <t>======
ID#AAABjx7qTSg
    (2025-05-21 11:33:26)
待確認交期</t>
        </r>
      </text>
    </comment>
    <comment ref="H2383" authorId="0" shapeId="0" xr:uid="{0857F8BF-34B5-8149-AD79-CA05E536F269}">
      <text>
        <r>
          <rPr>
            <sz val="10"/>
            <color rgb="FF000000"/>
            <rFont val="Aptos Narrow"/>
            <scheme val="minor"/>
          </rPr>
          <t>======
ID#AAABjx7qM70
    (2025-05-21 11:33:23)
0803 chloe:收到銀行通知USD4041</t>
        </r>
      </text>
    </comment>
    <comment ref="H2384" authorId="0" shapeId="0" xr:uid="{B4900B68-918C-2041-AC4A-4DB4CC6F90EE}">
      <text>
        <r>
          <rPr>
            <sz val="10"/>
            <color rgb="FF000000"/>
            <rFont val="Aptos Narrow"/>
            <scheme val="minor"/>
          </rPr>
          <t>======
ID#AAABjx7qNU8
    (2025-05-21 11:33:23)
0803 chloe:收到銀行通知USD4041</t>
        </r>
      </text>
    </comment>
    <comment ref="H2385" authorId="0" shapeId="0" xr:uid="{FBFA6D8C-AFA0-754C-8EFE-88BDE9EE700C}">
      <text>
        <r>
          <rPr>
            <sz val="10"/>
            <color rgb="FF000000"/>
            <rFont val="Aptos Narrow"/>
            <scheme val="minor"/>
          </rPr>
          <t>======
ID#AAABjx7qVBE
    (2025-05-21 11:33:27)
1020 chloe:收到銀行通知US$9,895</t>
        </r>
      </text>
    </comment>
    <comment ref="M2385" authorId="0" shapeId="0" xr:uid="{4D232B7B-3128-4E48-8772-F698FCCFB4F0}">
      <text>
        <r>
          <rPr>
            <sz val="10"/>
            <color rgb="FF000000"/>
            <rFont val="Aptos Narrow"/>
            <scheme val="minor"/>
          </rPr>
          <t>======
ID#AAABjx7qVks
    (2025-05-21 11:33:27)
8/4 詢問交期</t>
        </r>
      </text>
    </comment>
    <comment ref="H2386" authorId="0" shapeId="0" xr:uid="{D9EF0E7F-9287-3D42-9121-02C90E966CE8}">
      <text>
        <r>
          <rPr>
            <sz val="10"/>
            <color rgb="FF000000"/>
            <rFont val="Aptos Narrow"/>
            <scheme val="minor"/>
          </rPr>
          <t>======
ID#AAABjx7qV9E
    (2025-05-21 11:33:27)
0803 chloe:收到銀行通知USD4041</t>
        </r>
      </text>
    </comment>
    <comment ref="H2387" authorId="0" shapeId="0" xr:uid="{C6BA2EC1-D300-7949-94BE-771078BC6B79}">
      <text>
        <r>
          <rPr>
            <sz val="10"/>
            <color rgb="FF000000"/>
            <rFont val="Aptos Narrow"/>
            <scheme val="minor"/>
          </rPr>
          <t>======
ID#AAABjx7qO-8
    (2025-05-21 11:33:24)
0928 chloe:收到銀行通知US$46,724</t>
        </r>
      </text>
    </comment>
    <comment ref="E2388" authorId="0" shapeId="0" xr:uid="{509032EF-855A-7747-9D2E-FA41FAB525EA}">
      <text>
        <r>
          <rPr>
            <sz val="10"/>
            <color rgb="FF000000"/>
            <rFont val="Aptos Narrow"/>
            <scheme val="minor"/>
          </rPr>
          <t>======
ID#AAABjx7qQPQ
    (2025-05-21 11:33:25)
Chloe: 2.5” SSD A3A 128GB, -40°C~+85°C</t>
        </r>
      </text>
    </comment>
    <comment ref="H2388" authorId="0" shapeId="0" xr:uid="{250246F4-9F0C-9A42-A861-D3DD6C10F3E4}">
      <text>
        <r>
          <rPr>
            <sz val="10"/>
            <color rgb="FF000000"/>
            <rFont val="Aptos Narrow"/>
            <scheme val="minor"/>
          </rPr>
          <t>======
ID#AAABjx7qSLM
    (2025-05-21 11:33:26)
0911 chloe:收到銀行通知USD3174</t>
        </r>
      </text>
    </comment>
    <comment ref="H2389" authorId="0" shapeId="0" xr:uid="{1D09F82A-DA8B-1848-A3B4-FED689AF9FC6}">
      <text>
        <r>
          <rPr>
            <sz val="10"/>
            <color rgb="FF000000"/>
            <rFont val="Aptos Narrow"/>
            <scheme val="minor"/>
          </rPr>
          <t>======
ID#AAABjx7qSHw
    (2025-05-21 11:33:26)
0803 chloe:收到銀行通知USD4041</t>
        </r>
      </text>
    </comment>
    <comment ref="H2390" authorId="0" shapeId="0" xr:uid="{4DB89C2F-09D9-FF4C-A6F7-BD9DA80E4FD9}">
      <text>
        <r>
          <rPr>
            <sz val="10"/>
            <color rgb="FF000000"/>
            <rFont val="Aptos Narrow"/>
            <scheme val="minor"/>
          </rPr>
          <t>======
ID#AAABj82dpNY
    (2025-05-21 11:33:23)
0911 chloe:已收到NT$555,292</t>
        </r>
      </text>
    </comment>
    <comment ref="H2391" authorId="0" shapeId="0" xr:uid="{A9FE5F83-57CE-234A-99FD-63B57202E62E}">
      <text>
        <r>
          <rPr>
            <sz val="10"/>
            <color rgb="FF000000"/>
            <rFont val="Aptos Narrow"/>
            <scheme val="minor"/>
          </rPr>
          <t>======
ID#AAABjx7qNW8
    (2025-05-21 11:33:23)
0809 chloe:收到銀行通知USD3729</t>
        </r>
      </text>
    </comment>
    <comment ref="M2391" authorId="0" shapeId="0" xr:uid="{FCFEB0C8-DDB4-0D40-9622-3BBC41BC4013}">
      <text>
        <r>
          <rPr>
            <sz val="10"/>
            <color rgb="FF000000"/>
            <rFont val="Aptos Narrow"/>
            <scheme val="minor"/>
          </rPr>
          <t>======
ID#AAABjx7qTfw
    (2025-05-21 11:33:26)
0804 下單 預計5-6 周交貨
0816 詢問確定交期 →預計9/4-9/8可交貨</t>
        </r>
      </text>
    </comment>
    <comment ref="H2392" authorId="0" shapeId="0" xr:uid="{A4875705-8DE6-FB4C-9138-E56DD4AA6B81}">
      <text>
        <r>
          <rPr>
            <sz val="10"/>
            <color rgb="FF000000"/>
            <rFont val="Aptos Narrow"/>
            <scheme val="minor"/>
          </rPr>
          <t>======
ID#AAABjx7qVzI
    (2025-05-21 11:33:27)
0809 chloe:收到銀行通知USD3729</t>
        </r>
      </text>
    </comment>
    <comment ref="M2392" authorId="0" shapeId="0" xr:uid="{605ABA04-D9BE-7741-AE27-8361C0C3A191}">
      <text>
        <r>
          <rPr>
            <sz val="10"/>
            <color rgb="FF000000"/>
            <rFont val="Aptos Narrow"/>
            <scheme val="minor"/>
          </rPr>
          <t>======
ID#AAABjx7qQco
    (2025-05-21 11:33:25)
0804 下單 預計5-6 周交貨
0816 詢問確定交期 →預計9/4-9/8可交貨</t>
        </r>
      </text>
    </comment>
    <comment ref="H2393" authorId="0" shapeId="0" xr:uid="{745B618B-83CF-9C4D-9C09-F00F01128F95}">
      <text>
        <r>
          <rPr>
            <sz val="10"/>
            <color rgb="FF000000"/>
            <rFont val="Aptos Narrow"/>
            <scheme val="minor"/>
          </rPr>
          <t>======
ID#AAABjx7qU84
    (2025-05-21 11:33:27)
0809 chloe:收到銀行通知USD3729</t>
        </r>
      </text>
    </comment>
    <comment ref="M2393" authorId="0" shapeId="0" xr:uid="{59CAE7DC-4781-C347-98D9-C8C6A1BEBBB9}">
      <text>
        <r>
          <rPr>
            <sz val="10"/>
            <color rgb="FF000000"/>
            <rFont val="Aptos Narrow"/>
            <scheme val="minor"/>
          </rPr>
          <t>======
ID#AAABjx7qN0g
    (2025-05-21 11:33:23)
35 PCS 8/14到</t>
        </r>
      </text>
    </comment>
    <comment ref="H2394" authorId="0" shapeId="0" xr:uid="{E2867C17-3538-8444-822C-94076A89018B}">
      <text>
        <r>
          <rPr>
            <sz val="10"/>
            <color rgb="FF000000"/>
            <rFont val="Aptos Narrow"/>
            <scheme val="minor"/>
          </rPr>
          <t>======
ID#AAABjx7qRwI
    (2025-05-21 11:33:25)
0809 chloe:收到銀行通知USD3729</t>
        </r>
      </text>
    </comment>
    <comment ref="H2395" authorId="0" shapeId="0" xr:uid="{225E6BC0-0BC0-9E45-AB59-AEB717A15DCE}">
      <text>
        <r>
          <rPr>
            <sz val="10"/>
            <color rgb="FF000000"/>
            <rFont val="Aptos Narrow"/>
            <scheme val="minor"/>
          </rPr>
          <t>======
ID#AAABjx7qNB8
    (2025-05-21 11:33:23)
0809 chloe:收到銀行通知USD3729</t>
        </r>
      </text>
    </comment>
    <comment ref="H2396" authorId="0" shapeId="0" xr:uid="{B914134C-9E2F-6D46-891C-880959E48061}">
      <text>
        <r>
          <rPr>
            <sz val="10"/>
            <color rgb="FF000000"/>
            <rFont val="Aptos Narrow"/>
            <scheme val="minor"/>
          </rPr>
          <t>======
ID#AAABjx7qSD4
    (2025-05-21 11:33:25)
0809 chloe:收到銀行通知USD3729</t>
        </r>
      </text>
    </comment>
    <comment ref="H2397" authorId="0" shapeId="0" xr:uid="{68F0C407-85E8-2640-9148-71B403243C4E}">
      <text>
        <r>
          <rPr>
            <sz val="10"/>
            <color rgb="FF000000"/>
            <rFont val="Aptos Narrow"/>
            <scheme val="minor"/>
          </rPr>
          <t>======
ID#AAABjx7qOik
    (2025-05-21 11:33:24)
0922 chloe:收到銀行通知US$5030</t>
        </r>
      </text>
    </comment>
    <comment ref="H2398" authorId="0" shapeId="0" xr:uid="{5F7895AA-F003-2948-81B2-A42DA5CEA14A}">
      <text>
        <r>
          <rPr>
            <sz val="10"/>
            <color rgb="FF000000"/>
            <rFont val="Aptos Narrow"/>
            <scheme val="minor"/>
          </rPr>
          <t>======
ID#AAABjx7qUzY
    (2025-05-21 11:33:26)
0922 chloe:收到銀行通知US$5030</t>
        </r>
      </text>
    </comment>
    <comment ref="H2399" authorId="0" shapeId="0" xr:uid="{3147FA82-5D09-CA45-B6C5-585D98B4082D}">
      <text>
        <r>
          <rPr>
            <sz val="10"/>
            <color rgb="FF000000"/>
            <rFont val="Aptos Narrow"/>
            <scheme val="minor"/>
          </rPr>
          <t>======
ID#AAABjx7qOL4
    (2025-05-21 11:33:24)
0922 chloe:收到銀行通知US$5030</t>
        </r>
      </text>
    </comment>
    <comment ref="H2400" authorId="0" shapeId="0" xr:uid="{4C802628-21D6-AA48-994A-2721217C72A2}">
      <text>
        <r>
          <rPr>
            <sz val="10"/>
            <color rgb="FF000000"/>
            <rFont val="Aptos Narrow"/>
            <scheme val="minor"/>
          </rPr>
          <t>======
ID#AAABjx7qODw
    (2025-05-21 11:33:24)
0922 chloe:收到銀行通知US$5030</t>
        </r>
      </text>
    </comment>
    <comment ref="H2401" authorId="0" shapeId="0" xr:uid="{EC9B5758-F281-734D-9331-E4D57D836520}">
      <text>
        <r>
          <rPr>
            <sz val="10"/>
            <color rgb="FF000000"/>
            <rFont val="Aptos Narrow"/>
            <scheme val="minor"/>
          </rPr>
          <t>======
ID#AAABjx7qORo
    (2025-05-21 11:33:24)
0922 chloe:收到銀行通知US$5030</t>
        </r>
      </text>
    </comment>
    <comment ref="H2402" authorId="0" shapeId="0" xr:uid="{DE00794D-B278-B74A-95CD-4696DC20BAE6}">
      <text>
        <r>
          <rPr>
            <sz val="10"/>
            <color rgb="FF000000"/>
            <rFont val="Aptos Narrow"/>
            <scheme val="minor"/>
          </rPr>
          <t>======
ID#AAABjx7qQI4
    (2025-05-21 11:33:25)
0922 chloe:收到銀行通知US$5030</t>
        </r>
      </text>
    </comment>
    <comment ref="H2403" authorId="0" shapeId="0" xr:uid="{AA24172B-40BF-1B49-801F-2791D4D72663}">
      <text>
        <r>
          <rPr>
            <sz val="10"/>
            <color rgb="FF000000"/>
            <rFont val="Aptos Narrow"/>
            <scheme val="minor"/>
          </rPr>
          <t>======
ID#AAABjx7qWWQ
    (2025-05-21 11:33:27)
0922 chloe:收到銀行通知US$5030</t>
        </r>
      </text>
    </comment>
    <comment ref="H2404" authorId="0" shapeId="0" xr:uid="{3A2DDF5E-DA61-7449-9103-10FE039E18DE}">
      <text>
        <r>
          <rPr>
            <sz val="10"/>
            <color rgb="FF000000"/>
            <rFont val="Aptos Narrow"/>
            <scheme val="minor"/>
          </rPr>
          <t>======
ID#AAABjx7qPwI
    (2025-05-21 11:33:24)
0928 chloe:收到銀行通知US$46,724</t>
        </r>
      </text>
    </comment>
    <comment ref="H2405" authorId="0" shapeId="0" xr:uid="{5E4C4848-EDEB-124D-988F-933040FAF14A}">
      <text>
        <r>
          <rPr>
            <sz val="10"/>
            <color rgb="FF000000"/>
            <rFont val="Aptos Narrow"/>
            <scheme val="minor"/>
          </rPr>
          <t>======
ID#AAABjx7qWZ8
    (2025-05-21 11:33:27)
0901 chloe:收到銀行通知USD17424</t>
        </r>
      </text>
    </comment>
    <comment ref="K2405" authorId="0" shapeId="0" xr:uid="{4B4E4AEF-5EA7-D945-8176-D01E25788F23}">
      <text>
        <r>
          <rPr>
            <sz val="10"/>
            <color rgb="FF000000"/>
            <rFont val="Aptos Narrow"/>
            <scheme val="minor"/>
          </rPr>
          <t>======
ID#AAABjx7qNag
    (2025-05-21 11:33:23)
0821 chloe:併兩台 RMA 出貨(RMA-20170412A、RMA-20170809B)</t>
        </r>
      </text>
    </comment>
    <comment ref="P2405" authorId="0" shapeId="0" xr:uid="{EE2D2131-F112-7645-94C6-154A9F56AE2D}">
      <text>
        <r>
          <rPr>
            <sz val="10"/>
            <color rgb="FF000000"/>
            <rFont val="Aptos Narrow"/>
            <scheme val="minor"/>
          </rPr>
          <t>======
ID#AAABjx7qRig
    (2025-05-21 11:33:25)
0814 Santiago : 16590+10 (科技國給MOXA手續費)</t>
        </r>
      </text>
    </comment>
    <comment ref="D2406" authorId="0" shapeId="0" xr:uid="{1EB11B4D-7BAC-844F-9C2A-70FA1E2E9A15}">
      <text>
        <r>
          <rPr>
            <sz val="10"/>
            <color rgb="FF000000"/>
            <rFont val="Aptos Narrow"/>
            <scheme val="minor"/>
          </rPr>
          <t>======
ID#AAABjx7qR0k
    (2025-05-21 11:33:25)
已歸還</t>
        </r>
      </text>
    </comment>
    <comment ref="D2407" authorId="0" shapeId="0" xr:uid="{8D4EE235-F5C8-4544-A635-677587B942CB}">
      <text>
        <r>
          <rPr>
            <sz val="10"/>
            <color rgb="FF000000"/>
            <rFont val="Aptos Narrow"/>
            <scheme val="minor"/>
          </rPr>
          <t>======
ID#AAABjx7qRf0
    (2025-05-21 11:33:25)
已歸還</t>
        </r>
      </text>
    </comment>
    <comment ref="D2408" authorId="0" shapeId="0" xr:uid="{C4371148-66F4-774F-B079-06E2D3F4B964}">
      <text>
        <r>
          <rPr>
            <sz val="10"/>
            <color rgb="FF000000"/>
            <rFont val="Aptos Narrow"/>
            <scheme val="minor"/>
          </rPr>
          <t>======
ID#AAABjx7qOCc
    (2025-05-21 11:33:24)
已歸還</t>
        </r>
      </text>
    </comment>
    <comment ref="H2409" authorId="0" shapeId="0" xr:uid="{8CD38839-84A5-6246-91AE-A7D49F0977E5}">
      <text>
        <r>
          <rPr>
            <sz val="10"/>
            <color rgb="FF000000"/>
            <rFont val="Aptos Narrow"/>
            <scheme val="minor"/>
          </rPr>
          <t>======
ID#AAABjx7qNLE
    (2025-05-21 11:33:23)
1025chloe:收到銀行通知US$35416.8</t>
        </r>
      </text>
    </comment>
    <comment ref="K2409" authorId="0" shapeId="0" xr:uid="{6D98AA3A-D856-1142-9480-F68D8DBC39C0}">
      <text>
        <r>
          <rPr>
            <sz val="10"/>
            <color rgb="FF000000"/>
            <rFont val="Aptos Narrow"/>
            <scheme val="minor"/>
          </rPr>
          <t>======
ID#AAABjx7qOcs
    (2025-05-21 11:33:24)
0921 chloe:實際出貨0921</t>
        </r>
      </text>
    </comment>
    <comment ref="H2410" authorId="0" shapeId="0" xr:uid="{22FD7C61-21D8-9242-B732-0125EC911DC4}">
      <text>
        <r>
          <rPr>
            <sz val="10"/>
            <color rgb="FF000000"/>
            <rFont val="Aptos Narrow"/>
            <scheme val="minor"/>
          </rPr>
          <t>======
ID#AAABjx7qVLk
    (2025-05-21 11:33:27)
0828 chloe:收到銀行通知USD652</t>
        </r>
      </text>
    </comment>
    <comment ref="K2410" authorId="0" shapeId="0" xr:uid="{EFE80727-AB8D-C844-BB2E-67334F97D01D}">
      <text>
        <r>
          <rPr>
            <sz val="10"/>
            <color rgb="FF000000"/>
            <rFont val="Aptos Narrow"/>
            <scheme val="minor"/>
          </rPr>
          <t>======
ID#AAABjx7qVIg
    (2025-05-21 11:33:27)
待付款後再予以出貨</t>
        </r>
      </text>
    </comment>
    <comment ref="B2411" authorId="0" shapeId="0" xr:uid="{38D06CF0-BE10-EF41-B20B-426B16B23DF2}">
      <text>
        <r>
          <rPr>
            <sz val="10"/>
            <color rgb="FF000000"/>
            <rFont val="Aptos Narrow"/>
            <scheme val="minor"/>
          </rPr>
          <t>======
ID#AAABjx7qSwM
    (2025-05-21 11:33:26)
chloe:收到款項後才能下單
1005 chloe: 待Charles 通知再計算獎金</t>
        </r>
      </text>
    </comment>
    <comment ref="E2411" authorId="0" shapeId="0" xr:uid="{EB647558-4138-D844-95B8-E2B3CCF6D15A}">
      <text>
        <r>
          <rPr>
            <sz val="10"/>
            <color rgb="FF000000"/>
            <rFont val="Aptos Narrow"/>
            <scheme val="minor"/>
          </rPr>
          <t>======
ID#AAABjx7qNDA
    (2025-05-21 11:33:23)
20170908 Karen: 下單Nport W2150A-EU BAND w/EU adaptor</t>
        </r>
      </text>
    </comment>
    <comment ref="H2411" authorId="0" shapeId="0" xr:uid="{60C22814-2BB2-674E-871C-0A0FBDEAAB5F}">
      <text>
        <r>
          <rPr>
            <sz val="10"/>
            <color rgb="FF000000"/>
            <rFont val="Aptos Narrow"/>
            <scheme val="minor"/>
          </rPr>
          <t>======
ID#AAABjx7qPmM
    (2025-05-21 11:33:24)
0911 chloe:收到銀行通知 USD8305</t>
        </r>
      </text>
    </comment>
    <comment ref="B2412" authorId="0" shapeId="0" xr:uid="{D45502C4-F9DC-5540-B7F3-27B5779D1B87}">
      <text>
        <r>
          <rPr>
            <sz val="10"/>
            <color rgb="FF000000"/>
            <rFont val="Aptos Narrow"/>
            <scheme val="minor"/>
          </rPr>
          <t>======
ID#AAABjx7qNKg
    (2025-05-21 11:33:23)
chloe:收到款項後才能下單
1005 chloe: 待Charles 通知再計算獎金</t>
        </r>
      </text>
    </comment>
    <comment ref="H2412" authorId="0" shapeId="0" xr:uid="{FAFEA668-5352-D849-9ED0-202CBA8FBB0E}">
      <text>
        <r>
          <rPr>
            <sz val="10"/>
            <color rgb="FF000000"/>
            <rFont val="Aptos Narrow"/>
            <scheme val="minor"/>
          </rPr>
          <t>======
ID#AAABjx7qNpU
    (2025-05-21 11:33:23)
0911 chloe:收到銀行通知 USD8305</t>
        </r>
      </text>
    </comment>
    <comment ref="B2413" authorId="0" shapeId="0" xr:uid="{4E52E064-D3DC-BC4F-9B3A-17CEC6661229}">
      <text>
        <r>
          <rPr>
            <sz val="10"/>
            <color rgb="FF000000"/>
            <rFont val="Aptos Narrow"/>
            <scheme val="minor"/>
          </rPr>
          <t>======
ID#AAABjx7qNrI
    (2025-05-21 11:33:23)
chloe:收到款項後才能下單
1005 chloe: 待Charles 通知再計算獎金</t>
        </r>
      </text>
    </comment>
    <comment ref="H2413" authorId="0" shapeId="0" xr:uid="{A8274382-6735-F944-9AD5-CA8064F41CAB}">
      <text>
        <r>
          <rPr>
            <sz val="10"/>
            <color rgb="FF000000"/>
            <rFont val="Aptos Narrow"/>
            <scheme val="minor"/>
          </rPr>
          <t>======
ID#AAABjx7qWKQ
    (2025-05-21 11:33:27)
0911 chloe:收到銀行通知 USD8305</t>
        </r>
      </text>
    </comment>
    <comment ref="J2413" authorId="0" shapeId="0" xr:uid="{39844426-3334-C644-9BD9-8410CF2F7998}">
      <text>
        <r>
          <rPr>
            <sz val="10"/>
            <color rgb="FF000000"/>
            <rFont val="Aptos Narrow"/>
            <scheme val="minor"/>
          </rPr>
          <t>======
ID#AAABjx7qV4A
    (2025-05-21 11:33:27)
1012 chloe:漏寄，故使用戎克帳號出貨 運費 NT2311</t>
        </r>
      </text>
    </comment>
    <comment ref="B2414" authorId="0" shapeId="0" xr:uid="{68BCED1C-EB9C-4746-B67E-0D8BABBE9216}">
      <text>
        <r>
          <rPr>
            <sz val="10"/>
            <color rgb="FF000000"/>
            <rFont val="Aptos Narrow"/>
            <scheme val="minor"/>
          </rPr>
          <t>======
ID#AAABjx7qON8
    (2025-05-21 11:33:24)
chloe:收到款項後才能下單
1005 chloe: 待Charles 通知再計算獎金</t>
        </r>
      </text>
    </comment>
    <comment ref="H2414" authorId="0" shapeId="0" xr:uid="{186D43CD-225D-BB4C-8175-403062820FCC}">
      <text>
        <r>
          <rPr>
            <sz val="10"/>
            <color rgb="FF000000"/>
            <rFont val="Aptos Narrow"/>
            <scheme val="minor"/>
          </rPr>
          <t>======
ID#AAABjx7qPSo
    (2025-05-21 11:33:24)
0825 chloe: 收到銀行通知USD188</t>
        </r>
      </text>
    </comment>
    <comment ref="H2415" authorId="0" shapeId="0" xr:uid="{83465DD2-F3DA-9A49-A0EF-CA0BAD6F3180}">
      <text>
        <r>
          <rPr>
            <sz val="10"/>
            <color rgb="FF000000"/>
            <rFont val="Aptos Narrow"/>
            <scheme val="minor"/>
          </rPr>
          <t>======
ID#AAABjx7qO28
    (2025-05-21 11:33:24)
0828 chloe:收到銀行通知USD458</t>
        </r>
      </text>
    </comment>
    <comment ref="M2415" authorId="0" shapeId="0" xr:uid="{5A85EB89-DF77-E54C-99F7-742BB467D5DF}">
      <text>
        <r>
          <rPr>
            <sz val="10"/>
            <color rgb="FF000000"/>
            <rFont val="Aptos Narrow"/>
            <scheme val="minor"/>
          </rPr>
          <t>======
ID#AAABjx7qSAM
    (2025-05-21 11:33:25)
0824 chloe:工廠確認中</t>
        </r>
      </text>
    </comment>
    <comment ref="H2416" authorId="0" shapeId="0" xr:uid="{19F11421-9C00-C747-B692-CFC8C5FCFF4B}">
      <text>
        <r>
          <rPr>
            <sz val="10"/>
            <color rgb="FF000000"/>
            <rFont val="Aptos Narrow"/>
            <scheme val="minor"/>
          </rPr>
          <t>======
ID#AAABjx7qNsk
    (2025-05-21 11:33:23)
0906 chloe:收到銀行通知USD2102</t>
        </r>
      </text>
    </comment>
    <comment ref="K2416" authorId="0" shapeId="0" xr:uid="{FBED1200-1975-1E4E-9D0F-4656E12EA244}">
      <text>
        <r>
          <rPr>
            <sz val="10"/>
            <color rgb="FF000000"/>
            <rFont val="Aptos Narrow"/>
            <scheme val="minor"/>
          </rPr>
          <t>======
ID#AAABjx7qQlc
    (2025-05-21 11:33:25)
1.需增加(研華ECU-4784-D55SAE)
2.出口報單要給研華核銷(出口金額空白)
3. Santiago要照相</t>
        </r>
      </text>
    </comment>
    <comment ref="H2417" authorId="0" shapeId="0" xr:uid="{6AAE11B5-C00A-3642-983C-7739DCA3AA0E}">
      <text>
        <r>
          <rPr>
            <sz val="10"/>
            <color rgb="FF000000"/>
            <rFont val="Aptos Narrow"/>
            <scheme val="minor"/>
          </rPr>
          <t>======
ID#AAABjx7qOv0
    (2025-05-21 11:33:24)
1018 chloe:收到銀行通知US$1135</t>
        </r>
      </text>
    </comment>
    <comment ref="H2418" authorId="0" shapeId="0" xr:uid="{A3D2FE20-D574-334E-A52C-F4C436924459}">
      <text>
        <r>
          <rPr>
            <sz val="10"/>
            <color rgb="FF000000"/>
            <rFont val="Aptos Narrow"/>
            <scheme val="minor"/>
          </rPr>
          <t>======
ID#AAABjx7qQ0o
    (2025-05-21 11:33:25)
1018 chloe:收到銀行通知US$1135</t>
        </r>
      </text>
    </comment>
    <comment ref="H2419" authorId="0" shapeId="0" xr:uid="{BBB7155D-F20D-EF41-BD03-43037E64F5E9}">
      <text>
        <r>
          <rPr>
            <sz val="10"/>
            <color rgb="FF000000"/>
            <rFont val="Aptos Narrow"/>
            <scheme val="minor"/>
          </rPr>
          <t>======
ID#AAABjx7qP-s
    (2025-05-21 11:33:25)
1018 chloe:收到銀行通知US$1135</t>
        </r>
      </text>
    </comment>
    <comment ref="H2420" authorId="0" shapeId="0" xr:uid="{D064748B-8CF3-BC4B-A154-AEEB244B003B}">
      <text>
        <r>
          <rPr>
            <sz val="10"/>
            <color rgb="FF000000"/>
            <rFont val="Aptos Narrow"/>
            <scheme val="minor"/>
          </rPr>
          <t>======
ID#AAABjx7qRYY
    (2025-05-21 11:33:25)
1018 chloe:收到銀行通知US$1135</t>
        </r>
      </text>
    </comment>
    <comment ref="H2421" authorId="0" shapeId="0" xr:uid="{61310238-377C-DE4E-B97E-7DEAB9E5C87C}">
      <text>
        <r>
          <rPr>
            <sz val="10"/>
            <color rgb="FF000000"/>
            <rFont val="Aptos Narrow"/>
            <scheme val="minor"/>
          </rPr>
          <t>======
ID#AAABjx7qP8s
    (2025-05-21 11:33:24)
1018 chloe:收到銀行通知US$1135</t>
        </r>
      </text>
    </comment>
    <comment ref="H2422" authorId="0" shapeId="0" xr:uid="{37FD6E34-8B84-7947-853E-8E5521B4A756}">
      <text>
        <r>
          <rPr>
            <sz val="10"/>
            <color rgb="FF000000"/>
            <rFont val="Aptos Narrow"/>
            <scheme val="minor"/>
          </rPr>
          <t>======
ID#AAABjx7qMuY
    (2025-05-21 11:33:23)
1018 chloe:收到銀行通知US$1135</t>
        </r>
      </text>
    </comment>
    <comment ref="H2423" authorId="0" shapeId="0" xr:uid="{2C63B1C8-B7A9-5847-ABC5-3A4E0CDB4551}">
      <text>
        <r>
          <rPr>
            <sz val="10"/>
            <color rgb="FF000000"/>
            <rFont val="Aptos Narrow"/>
            <scheme val="minor"/>
          </rPr>
          <t>======
ID#AAABjx7qQWg
    (2025-05-21 11:33:25)
1018 chloe:收到銀行通知US$1135</t>
        </r>
      </text>
    </comment>
    <comment ref="H2424" authorId="0" shapeId="0" xr:uid="{7E78310E-47AC-A54A-AB6B-706BC440DCEC}">
      <text>
        <r>
          <rPr>
            <sz val="10"/>
            <color rgb="FF000000"/>
            <rFont val="Aptos Narrow"/>
            <scheme val="minor"/>
          </rPr>
          <t>======
ID#AAABjx7qVfA
    (2025-05-21 11:33:27)
1018 chloe:收到銀行通知US$1135</t>
        </r>
      </text>
    </comment>
    <comment ref="H2425" authorId="0" shapeId="0" xr:uid="{7408F1EB-E7BA-5B4D-8361-4C5948F11F9C}">
      <text>
        <r>
          <rPr>
            <sz val="10"/>
            <color rgb="FF000000"/>
            <rFont val="Aptos Narrow"/>
            <scheme val="minor"/>
          </rPr>
          <t>======
ID#AAABjx7qSSg
    (2025-05-21 11:33:26)
1018 chloe:收到銀行通知US$1135</t>
        </r>
      </text>
    </comment>
    <comment ref="H2426" authorId="0" shapeId="0" xr:uid="{D6C04E93-52CF-8547-B862-407311310A3D}">
      <text>
        <r>
          <rPr>
            <sz val="10"/>
            <color rgb="FF000000"/>
            <rFont val="Aptos Narrow"/>
            <scheme val="minor"/>
          </rPr>
          <t>======
ID#AAABjx7qRF4
    (2025-05-21 11:33:25)
1018 chloe:收到銀行通知US$1135</t>
        </r>
      </text>
    </comment>
    <comment ref="H2427" authorId="0" shapeId="0" xr:uid="{9BCAEC8B-7C52-3E4B-9DA5-4315AEFA4F43}">
      <text>
        <r>
          <rPr>
            <sz val="10"/>
            <color rgb="FF000000"/>
            <rFont val="Aptos Narrow"/>
            <scheme val="minor"/>
          </rPr>
          <t>======
ID#AAABjx7qQ1k
    (2025-05-21 11:33:25)
0828 chloe:收到銀行通知USD458</t>
        </r>
      </text>
    </comment>
    <comment ref="E2428" authorId="0" shapeId="0" xr:uid="{494929E2-1074-554B-98E5-1FF7F9FE0B63}">
      <text>
        <r>
          <rPr>
            <sz val="10"/>
            <color rgb="FF000000"/>
            <rFont val="Aptos Narrow"/>
            <scheme val="minor"/>
          </rPr>
          <t>======
ID#AAABjx7qM9I
    (2025-05-21 11:33:23)
1012 chloe: Apacer 無提供Cable,已提供圖面給Bebe做樣品 3 條(已出貨2條)</t>
        </r>
      </text>
    </comment>
    <comment ref="K2428" authorId="0" shapeId="0" xr:uid="{EBDFDC84-1516-3647-91E0-AD879AA52407}">
      <text>
        <r>
          <rPr>
            <sz val="10"/>
            <color rgb="FF000000"/>
            <rFont val="Aptos Narrow"/>
            <scheme val="minor"/>
          </rPr>
          <t>======
ID#AAABjx7qQVY
    (2025-05-21 11:33:25)
Christine 0925 :缺少cable</t>
        </r>
      </text>
    </comment>
    <comment ref="E2429" authorId="0" shapeId="0" xr:uid="{E6EEC461-E2A0-0A41-B314-880655E65A28}">
      <text>
        <r>
          <rPr>
            <sz val="10"/>
            <color rgb="FF000000"/>
            <rFont val="Aptos Narrow"/>
            <scheme val="minor"/>
          </rPr>
          <t>======
ID#AAABjx7qWVs
    (2025-05-21 11:33:27)
1012 chloe: Apacer 無提供Cable,已提供圖面給Bebe</t>
        </r>
      </text>
    </comment>
    <comment ref="K2429" authorId="0" shapeId="0" xr:uid="{E866DB5B-F2F3-F241-AA1C-8B81A0945A41}">
      <text>
        <r>
          <rPr>
            <sz val="10"/>
            <color rgb="FF000000"/>
            <rFont val="Aptos Narrow"/>
            <scheme val="minor"/>
          </rPr>
          <t>======
ID#AAABjx7qNEA
    (2025-05-21 11:33:23)
Christine 0925 :缺少cable</t>
        </r>
      </text>
    </comment>
    <comment ref="E2430" authorId="0" shapeId="0" xr:uid="{29DAE576-EC07-784D-9BF9-95130C2F32D7}">
      <text>
        <r>
          <rPr>
            <sz val="10"/>
            <color rgb="FF000000"/>
            <rFont val="Aptos Narrow"/>
            <scheme val="minor"/>
          </rPr>
          <t>======
ID#AAABjx7qPtE
    (2025-05-21 11:33:24)
1012 chloe: Apacer 無提供Cable,已提供圖面給Bebe做樣品 3 條(已出貨2條)</t>
        </r>
      </text>
    </comment>
    <comment ref="K2430" authorId="0" shapeId="0" xr:uid="{7FBBB357-DE2D-494D-8F5D-831AB48A20DA}">
      <text>
        <r>
          <rPr>
            <sz val="10"/>
            <color rgb="FF000000"/>
            <rFont val="Aptos Narrow"/>
            <scheme val="minor"/>
          </rPr>
          <t>======
ID#AAABjx7qTnk
    (2025-05-21 11:33:26)
Christine 0925 :缺少cable</t>
        </r>
      </text>
    </comment>
    <comment ref="E2431" authorId="0" shapeId="0" xr:uid="{228DDC32-B69B-A14F-8433-9198D468AAAE}">
      <text>
        <r>
          <rPr>
            <sz val="10"/>
            <color rgb="FF000000"/>
            <rFont val="Aptos Narrow"/>
            <scheme val="minor"/>
          </rPr>
          <t>======
ID#AAABjx7qVUo
    (2025-05-21 11:33:27)
1012 chloe: Apacer 無提供Cable,已提供圖面給Bebe</t>
        </r>
      </text>
    </comment>
    <comment ref="K2431" authorId="0" shapeId="0" xr:uid="{1963BC60-1421-1140-8ABC-B1F2C46FDF34}">
      <text>
        <r>
          <rPr>
            <sz val="10"/>
            <color rgb="FF000000"/>
            <rFont val="Aptos Narrow"/>
            <scheme val="minor"/>
          </rPr>
          <t>======
ID#AAABjx7qUuA
    (2025-05-21 11:33:26)
Christine 0925 :缺少cable</t>
        </r>
      </text>
    </comment>
    <comment ref="H2432" authorId="0" shapeId="0" xr:uid="{B90247C5-D2E3-E949-A1CA-187D74DC137A}">
      <text>
        <r>
          <rPr>
            <sz val="10"/>
            <color rgb="FF000000"/>
            <rFont val="Aptos Narrow"/>
            <scheme val="minor"/>
          </rPr>
          <t>======
ID#AAABjx7qNYc
    (2025-05-21 11:33:23)
1124 Santiago 收到匯款</t>
        </r>
      </text>
    </comment>
    <comment ref="K2432" authorId="0" shapeId="0" xr:uid="{C8132AE5-10C9-084C-89BA-6999D9BB19E3}">
      <text>
        <r>
          <rPr>
            <sz val="10"/>
            <color rgb="FF000000"/>
            <rFont val="Aptos Narrow"/>
            <scheme val="minor"/>
          </rPr>
          <t>======
ID#AAABjx7qSgU
    (2025-05-21 11:33:26)
Christine 0925 :缺少cable</t>
        </r>
      </text>
    </comment>
    <comment ref="M2432" authorId="0" shapeId="0" xr:uid="{5AF0292B-E365-7C4A-BAE5-73255601BD7B}">
      <text>
        <r>
          <rPr>
            <sz val="10"/>
            <color rgb="FF000000"/>
            <rFont val="Aptos Narrow"/>
            <scheme val="minor"/>
          </rPr>
          <t>======
ID#AAABjx7qVqk
    (2025-05-21 11:33:27)
0829 chloe:交期四周，會再PULL IN
0912 chloe:發信詢問交期</t>
        </r>
      </text>
    </comment>
    <comment ref="H2433" authorId="0" shapeId="0" xr:uid="{301665E6-8BB3-F64C-A579-E45C101BD137}">
      <text>
        <r>
          <rPr>
            <sz val="10"/>
            <color rgb="FF000000"/>
            <rFont val="Aptos Narrow"/>
            <scheme val="minor"/>
          </rPr>
          <t>======
ID#AAABjx7qUx0
    (2025-05-21 11:33:26)
1124 Santiago 收到匯款</t>
        </r>
      </text>
    </comment>
    <comment ref="K2433" authorId="0" shapeId="0" xr:uid="{A7359671-8B7D-994A-AEB3-699F9792CF5B}">
      <text>
        <r>
          <rPr>
            <sz val="10"/>
            <color rgb="FF000000"/>
            <rFont val="Aptos Narrow"/>
            <scheme val="minor"/>
          </rPr>
          <t>======
ID#AAABjx7qTp0
    (2025-05-21 11:33:26)
Christine 0925 :缺少cable</t>
        </r>
      </text>
    </comment>
    <comment ref="M2433" authorId="0" shapeId="0" xr:uid="{6107F7CC-1F8E-504B-9B6C-11A8E00A6492}">
      <text>
        <r>
          <rPr>
            <sz val="10"/>
            <color rgb="FF000000"/>
            <rFont val="Aptos Narrow"/>
            <scheme val="minor"/>
          </rPr>
          <t>======
ID#AAABjx7qRXc
    (2025-05-21 11:33:25)
0829 chloe:交期四周，會再PULL IN
0912 chloe:發信詢問交期</t>
        </r>
      </text>
    </comment>
    <comment ref="H2434" authorId="0" shapeId="0" xr:uid="{27FB507E-DB1F-244E-B373-2143D580AF9A}">
      <text>
        <r>
          <rPr>
            <sz val="10"/>
            <color rgb="FF000000"/>
            <rFont val="Aptos Narrow"/>
            <scheme val="minor"/>
          </rPr>
          <t>======
ID#AAABjx7qTag
    (2025-05-21 11:33:26)
1025chloe:收到銀行通知US$35416.8</t>
        </r>
      </text>
    </comment>
    <comment ref="J2434" authorId="0" shapeId="0" xr:uid="{049022CA-0846-2D43-B56A-025683EBA730}">
      <text>
        <r>
          <rPr>
            <sz val="10"/>
            <color rgb="FF000000"/>
            <rFont val="Aptos Narrow"/>
            <scheme val="minor"/>
          </rPr>
          <t>======
ID#AAABjx7qUz4
    (2025-05-21 11:33:26)
to Melbourne address</t>
        </r>
      </text>
    </comment>
    <comment ref="K2434" authorId="0" shapeId="0" xr:uid="{BF02E4B3-DA3B-FF46-A034-8D335C2896B6}">
      <text>
        <r>
          <rPr>
            <sz val="10"/>
            <color rgb="FF000000"/>
            <rFont val="Aptos Narrow"/>
            <scheme val="minor"/>
          </rPr>
          <t>======
ID#AAABjx7qPv0
    (2025-05-21 11:33:24)
leon要測試檢查, benson要提供資料夾連結給客戶</t>
        </r>
      </text>
    </comment>
    <comment ref="M2434" authorId="0" shapeId="0" xr:uid="{336D5C2F-5C92-1E4F-9811-361331B17437}">
      <text>
        <r>
          <rPr>
            <sz val="10"/>
            <color rgb="FF000000"/>
            <rFont val="Aptos Narrow"/>
            <scheme val="minor"/>
          </rPr>
          <t>======
ID#AAABjx7qM1w
    (2025-05-21 11:33:23)
0825:9月初會再PUSH</t>
        </r>
      </text>
    </comment>
    <comment ref="H2435" authorId="0" shapeId="0" xr:uid="{E3CBD981-5DD9-D448-90DD-39C02AC10A2D}">
      <text>
        <r>
          <rPr>
            <sz val="10"/>
            <color rgb="FF000000"/>
            <rFont val="Aptos Narrow"/>
            <scheme val="minor"/>
          </rPr>
          <t>======
ID#AAABjx7qO40
    (2025-05-21 11:33:24)
1025chloe:收到銀行通知US$35416.8</t>
        </r>
      </text>
    </comment>
    <comment ref="J2435" authorId="0" shapeId="0" xr:uid="{70EE435E-60C3-DF41-B77F-61239D4C1E27}">
      <text>
        <r>
          <rPr>
            <sz val="10"/>
            <color rgb="FF000000"/>
            <rFont val="Aptos Narrow"/>
            <scheme val="minor"/>
          </rPr>
          <t>======
ID#AAABj82dpOo
    (2025-05-21 11:33:23)
to Melbourne address</t>
        </r>
      </text>
    </comment>
    <comment ref="M2435" authorId="0" shapeId="0" xr:uid="{857FF153-03D7-AB4A-ADFE-D5910599256F}">
      <text>
        <r>
          <rPr>
            <sz val="10"/>
            <color rgb="FF000000"/>
            <rFont val="Aptos Narrow"/>
            <scheme val="minor"/>
          </rPr>
          <t>======
ID#AAABjx7qPAg
    (2025-05-21 11:33:24)
0825:9月初會再PUSH</t>
        </r>
      </text>
    </comment>
    <comment ref="H2436" authorId="0" shapeId="0" xr:uid="{4757593E-E41D-044E-B95F-D6A241CADC83}">
      <text>
        <r>
          <rPr>
            <sz val="10"/>
            <color rgb="FF000000"/>
            <rFont val="Aptos Narrow"/>
            <scheme val="minor"/>
          </rPr>
          <t>======
ID#AAABjx7qTBs
    (2025-05-21 11:33:26)
1017chloe:收到銀行通知US$24736</t>
        </r>
      </text>
    </comment>
    <comment ref="J2436" authorId="0" shapeId="0" xr:uid="{83DBD97D-43C7-A048-8971-C467205F2C70}">
      <text>
        <r>
          <rPr>
            <sz val="10"/>
            <color rgb="FF000000"/>
            <rFont val="Aptos Narrow"/>
            <scheme val="minor"/>
          </rPr>
          <t>======
ID#AAABjx7qU5s
    (2025-05-21 11:33:27)
to Melbourne address</t>
        </r>
      </text>
    </comment>
    <comment ref="K2436" authorId="0" shapeId="0" xr:uid="{3D7C261E-155A-0C4D-A4E8-E76A9E4B9BD6}">
      <text>
        <r>
          <rPr>
            <sz val="10"/>
            <color rgb="FF000000"/>
            <rFont val="Aptos Narrow"/>
            <scheme val="minor"/>
          </rPr>
          <t>======
ID#AAABjx7qRv0
    (2025-05-21 11:33:25)
併1台RMA-20170731A出貨</t>
        </r>
      </text>
    </comment>
    <comment ref="M2436" authorId="0" shapeId="0" xr:uid="{77426989-2C5E-F747-8F2F-B58CB553FCAB}">
      <text>
        <r>
          <rPr>
            <sz val="10"/>
            <color rgb="FF000000"/>
            <rFont val="Aptos Narrow"/>
            <scheme val="minor"/>
          </rPr>
          <t>======
ID#AAABjx7qN3U
    (2025-05-21 11:33:23)
下單後10個工作天</t>
        </r>
      </text>
    </comment>
    <comment ref="O2436" authorId="0" shapeId="0" xr:uid="{AE5E66FE-A282-294B-830E-4886980D7484}">
      <text>
        <r>
          <rPr>
            <sz val="10"/>
            <color rgb="FF000000"/>
            <rFont val="Aptos Narrow"/>
            <scheme val="minor"/>
          </rPr>
          <t>======
ID#AAABjx7qU0c
    (2025-05-21 11:33:26)
廠商報錯型號，故待客人確認後再重新下單</t>
        </r>
      </text>
    </comment>
    <comment ref="E2437" authorId="0" shapeId="0" xr:uid="{F837477A-B0C4-7544-A11F-2F4578F93070}">
      <text>
        <r>
          <rPr>
            <sz val="10"/>
            <color rgb="FF000000"/>
            <rFont val="Aptos Narrow"/>
            <scheme val="minor"/>
          </rPr>
          <t>======
ID#AAABjx7qReQ
    (2025-05-21 11:33:25)
20170104 Santiago: 和之前訂單一樣, w/o adapter</t>
        </r>
      </text>
    </comment>
    <comment ref="H2437" authorId="0" shapeId="0" xr:uid="{8364F2B1-E0B7-B445-80D0-CDC10FE83FC5}">
      <text>
        <r>
          <rPr>
            <sz val="10"/>
            <color rgb="FF000000"/>
            <rFont val="Aptos Narrow"/>
            <scheme val="minor"/>
          </rPr>
          <t>======
ID#AAABjx7qOpc
    (2025-05-21 11:33:24)
1106 chloe:已收到NT$1,048,766</t>
        </r>
      </text>
    </comment>
    <comment ref="H2438" authorId="0" shapeId="0" xr:uid="{E604C533-F4A8-7840-83C8-1F9662A312AE}">
      <text>
        <r>
          <rPr>
            <sz val="10"/>
            <color rgb="FF000000"/>
            <rFont val="Aptos Narrow"/>
            <scheme val="minor"/>
          </rPr>
          <t>======
ID#AAABjx7qWW4
    (2025-05-21 11:33:27)
1106 chloe:已收到NT$1,048,766</t>
        </r>
      </text>
    </comment>
    <comment ref="H2439" authorId="0" shapeId="0" xr:uid="{CE9A8835-CBD9-F94B-B8BD-37A7DCA587C1}">
      <text>
        <r>
          <rPr>
            <sz val="10"/>
            <color rgb="FF000000"/>
            <rFont val="Aptos Narrow"/>
            <scheme val="minor"/>
          </rPr>
          <t>======
ID#AAABjx7qOE4
    (2025-05-21 11:33:24)
1017chloe:收到銀行通知US$24736</t>
        </r>
      </text>
    </comment>
    <comment ref="J2439" authorId="0" shapeId="0" xr:uid="{53FABE6F-6992-4C45-A99F-99A84FE76A1A}">
      <text>
        <r>
          <rPr>
            <sz val="10"/>
            <color rgb="FF000000"/>
            <rFont val="Aptos Narrow"/>
            <scheme val="minor"/>
          </rPr>
          <t>======
ID#AAABjx7qRFY
    (2025-05-21 11:33:25)
to Melbourne address</t>
        </r>
      </text>
    </comment>
    <comment ref="M2439" authorId="0" shapeId="0" xr:uid="{AA25FC7A-94E1-4B47-8995-5918BB4C956C}">
      <text>
        <r>
          <rPr>
            <sz val="10"/>
            <color rgb="FF000000"/>
            <rFont val="Aptos Narrow"/>
            <scheme val="minor"/>
          </rPr>
          <t>======
ID#AAABjx7qTTc
    (2025-05-21 11:33:26)
0828 待供應商給予確定交期
0901 更改數量2PCS待交期回覆
→追加後延至 9/15 會持續PULL IN
0908 詢問交提前?</t>
        </r>
      </text>
    </comment>
    <comment ref="H2440" authorId="0" shapeId="0" xr:uid="{1A44C022-3B8A-4541-82EB-FCE9FBE52A28}">
      <text>
        <r>
          <rPr>
            <sz val="10"/>
            <color rgb="FF000000"/>
            <rFont val="Aptos Narrow"/>
            <scheme val="minor"/>
          </rPr>
          <t>======
ID#AAABjx7qN0Y
    (2025-05-21 11:33:23)
1025chloe:收到銀行通知US$35416.8</t>
        </r>
      </text>
    </comment>
    <comment ref="J2440" authorId="0" shapeId="0" xr:uid="{702CE542-B1AC-0E4C-8C74-17FC41206C25}">
      <text>
        <r>
          <rPr>
            <sz val="10"/>
            <color rgb="FF000000"/>
            <rFont val="Aptos Narrow"/>
            <scheme val="minor"/>
          </rPr>
          <t>======
ID#AAABjx7qS3E
    (2025-05-21 11:33:26)
to Melbourne address</t>
        </r>
      </text>
    </comment>
    <comment ref="O2440" authorId="0" shapeId="0" xr:uid="{956F30DC-0677-4744-8B83-7D9D8ADAAE78}">
      <text>
        <r>
          <rPr>
            <sz val="10"/>
            <color rgb="FF000000"/>
            <rFont val="Aptos Narrow"/>
            <scheme val="minor"/>
          </rPr>
          <t>======
ID#AAABjx7qRyo
    (2025-05-21 11:33:25)
尚未借轉銷
1005 chloe:已借轉銷</t>
        </r>
      </text>
    </comment>
    <comment ref="G2441" authorId="0" shapeId="0" xr:uid="{73A4A544-3364-2845-86B8-80DE03D4447A}">
      <text>
        <r>
          <rPr>
            <sz val="10"/>
            <color rgb="FF000000"/>
            <rFont val="Aptos Narrow"/>
            <scheme val="minor"/>
          </rPr>
          <t>======
ID#AAABjx7qNbc
Santiago 0828    (2025-05-21 11:33:23)
US$150 x 1.05 =157.5
157.5 x 30.5 =4803.75</t>
        </r>
      </text>
    </comment>
    <comment ref="H2441" authorId="0" shapeId="0" xr:uid="{61BE257E-DC2A-A147-905B-F320711D2647}">
      <text>
        <r>
          <rPr>
            <sz val="10"/>
            <color rgb="FF000000"/>
            <rFont val="Aptos Narrow"/>
            <scheme val="minor"/>
          </rPr>
          <t>======
ID#AAABjx7qSn8
    (2025-05-21 11:33:26)
0915 chloe: 收到款項NT 10699</t>
        </r>
      </text>
    </comment>
    <comment ref="H2442" authorId="0" shapeId="0" xr:uid="{9D4F690A-28BB-4D4F-8543-4D90A6F36159}">
      <text>
        <r>
          <rPr>
            <sz val="10"/>
            <color rgb="FF000000"/>
            <rFont val="Aptos Narrow"/>
            <scheme val="minor"/>
          </rPr>
          <t>======
ID#AAABjx7qQio
    (2025-05-21 11:33:25)
1012chloe:收到客戶水單，待銀行解款
1013 chloe:收到銀行通知USD15,415</t>
        </r>
      </text>
    </comment>
    <comment ref="K2442" authorId="0" shapeId="0" xr:uid="{F9119821-6688-B04C-94A8-2F44FA411D26}">
      <text>
        <r>
          <rPr>
            <sz val="10"/>
            <color rgb="FF000000"/>
            <rFont val="Aptos Narrow"/>
            <scheme val="minor"/>
          </rPr>
          <t>======
ID#AAABjx7qPsc
    (2025-05-21 11:33:24)
christine0925:待客戶付款</t>
        </r>
      </text>
    </comment>
    <comment ref="H2443" authorId="0" shapeId="0" xr:uid="{2CE2BBA7-6D8B-9C40-B44A-393B4D875B4B}">
      <text>
        <r>
          <rPr>
            <sz val="10"/>
            <color rgb="FF000000"/>
            <rFont val="Aptos Narrow"/>
            <scheme val="minor"/>
          </rPr>
          <t>======
ID#AAABjx7qTWQ
    (2025-05-21 11:33:26)
1012chloe:收到客戶水單，待銀行解款
1013 chloe:收到銀行通知USD15,415</t>
        </r>
      </text>
    </comment>
    <comment ref="K2443" authorId="0" shapeId="0" xr:uid="{ADF23A64-73A2-7247-BBC5-CF5660E66EE5}">
      <text>
        <r>
          <rPr>
            <sz val="10"/>
            <color rgb="FF000000"/>
            <rFont val="Aptos Narrow"/>
            <scheme val="minor"/>
          </rPr>
          <t>======
ID#AAABjx7qRwM
    (2025-05-21 11:33:25)
christine0925:待客戶付款</t>
        </r>
      </text>
    </comment>
    <comment ref="H2444" authorId="0" shapeId="0" xr:uid="{920E94EF-6065-0949-BDD0-0747CD76E3A0}">
      <text>
        <r>
          <rPr>
            <sz val="10"/>
            <color rgb="FF000000"/>
            <rFont val="Aptos Narrow"/>
            <scheme val="minor"/>
          </rPr>
          <t>======
ID#AAABjx7qU70
    (2025-05-21 11:33:27)
1012chloe:收到客戶水單，待銀行解款
1013 chloe:收到銀行通知USD15,415</t>
        </r>
      </text>
    </comment>
    <comment ref="K2444" authorId="0" shapeId="0" xr:uid="{D441D745-9903-3B45-A6D9-8649B55D77D7}">
      <text>
        <r>
          <rPr>
            <sz val="10"/>
            <color rgb="FF000000"/>
            <rFont val="Aptos Narrow"/>
            <scheme val="minor"/>
          </rPr>
          <t>======
ID#AAABjx7qOqw
    (2025-05-21 11:33:24)
christine0925:待客戶付款</t>
        </r>
      </text>
    </comment>
    <comment ref="H2445" authorId="0" shapeId="0" xr:uid="{C6DAA627-7792-7345-8ADF-5AD9B8357313}">
      <text>
        <r>
          <rPr>
            <sz val="10"/>
            <color rgb="FF000000"/>
            <rFont val="Aptos Narrow"/>
            <scheme val="minor"/>
          </rPr>
          <t>======
ID#AAABjx7qOyQ
    (2025-05-21 11:33:24)
1012chloe:收到客戶水單，待銀行解款
1013 chloe:收到銀行通知USD15,415</t>
        </r>
      </text>
    </comment>
    <comment ref="K2445" authorId="0" shapeId="0" xr:uid="{5AA65E63-FC08-E049-BFA1-6365D2986A7C}">
      <text>
        <r>
          <rPr>
            <sz val="10"/>
            <color rgb="FF000000"/>
            <rFont val="Aptos Narrow"/>
            <scheme val="minor"/>
          </rPr>
          <t>======
ID#AAABjx7qRTc
    (2025-05-21 11:33:25)
christine0925:待客戶付款</t>
        </r>
      </text>
    </comment>
    <comment ref="H2446" authorId="0" shapeId="0" xr:uid="{15DBE2A9-B842-F449-B8B1-C8395D680A14}">
      <text>
        <r>
          <rPr>
            <sz val="10"/>
            <color rgb="FF000000"/>
            <rFont val="Aptos Narrow"/>
            <scheme val="minor"/>
          </rPr>
          <t>======
ID#AAABjx7qNF0
    (2025-05-21 11:33:23)
1012chloe:收到客戶水單，待銀行解款
1013 chloe:收到銀行通知USD15,415</t>
        </r>
      </text>
    </comment>
    <comment ref="K2446" authorId="0" shapeId="0" xr:uid="{D2EEFAA0-3A89-A54E-8BA5-E0487917A7FB}">
      <text>
        <r>
          <rPr>
            <sz val="10"/>
            <color rgb="FF000000"/>
            <rFont val="Aptos Narrow"/>
            <scheme val="minor"/>
          </rPr>
          <t>======
ID#AAABjx7qQ8s
    (2025-05-21 11:33:25)
christine0925:待客戶付款</t>
        </r>
      </text>
    </comment>
    <comment ref="H2447" authorId="0" shapeId="0" xr:uid="{C9142141-036F-5040-955C-50BC25EE381B}">
      <text>
        <r>
          <rPr>
            <sz val="10"/>
            <color rgb="FF000000"/>
            <rFont val="Aptos Narrow"/>
            <scheme val="minor"/>
          </rPr>
          <t>======
ID#AAABjx7qSPs
    (2025-05-21 11:33:26)
1012chloe:收到客戶水單，待銀行解款
1013 chloe:收到銀行通知USD15,415</t>
        </r>
      </text>
    </comment>
    <comment ref="K2447" authorId="0" shapeId="0" xr:uid="{95EC8960-4906-9844-8039-58C13E0E9F78}">
      <text>
        <r>
          <rPr>
            <sz val="10"/>
            <color rgb="FF000000"/>
            <rFont val="Aptos Narrow"/>
            <scheme val="minor"/>
          </rPr>
          <t>======
ID#AAABjx7qMys
    (2025-05-21 11:33:23)
christine0925:待客戶付款</t>
        </r>
      </text>
    </comment>
    <comment ref="H2448" authorId="0" shapeId="0" xr:uid="{799674F0-0BE4-DF48-8AE2-595A4F41A124}">
      <text>
        <r>
          <rPr>
            <sz val="10"/>
            <color rgb="FF000000"/>
            <rFont val="Aptos Narrow"/>
            <scheme val="minor"/>
          </rPr>
          <t>======
ID#AAABjx7qQ_I
    (2025-05-21 11:33:25)
1012chloe:收到客戶水單，待銀行解款
1013 chloe:收到銀行通知USD15,415</t>
        </r>
      </text>
    </comment>
    <comment ref="K2448" authorId="0" shapeId="0" xr:uid="{F5EE4C71-3CB8-6D44-8636-9959EAF53391}">
      <text>
        <r>
          <rPr>
            <sz val="10"/>
            <color rgb="FF000000"/>
            <rFont val="Aptos Narrow"/>
            <scheme val="minor"/>
          </rPr>
          <t>======
ID#AAABjx7qOL0
    (2025-05-21 11:33:24)
christine0925:待客戶付款</t>
        </r>
      </text>
    </comment>
    <comment ref="H2449" authorId="0" shapeId="0" xr:uid="{F15CE86F-AE16-DD45-9F69-8F36FAFA06FC}">
      <text>
        <r>
          <rPr>
            <sz val="10"/>
            <color rgb="FF000000"/>
            <rFont val="Aptos Narrow"/>
            <scheme val="minor"/>
          </rPr>
          <t>======
ID#AAABjx7qQhU
    (2025-05-21 11:33:25)
1012chloe:收到客戶水單，待銀行解款
1013 chloe:收到銀行通知USD15,415</t>
        </r>
      </text>
    </comment>
    <comment ref="K2449" authorId="0" shapeId="0" xr:uid="{76FDF1C7-766F-684E-B084-D84A825CC2EB}">
      <text>
        <r>
          <rPr>
            <sz val="10"/>
            <color rgb="FF000000"/>
            <rFont val="Aptos Narrow"/>
            <scheme val="minor"/>
          </rPr>
          <t>======
ID#AAABjx7qSEQ
    (2025-05-21 11:33:26)
christine0925:待客戶付款</t>
        </r>
      </text>
    </comment>
    <comment ref="H2450" authorId="0" shapeId="0" xr:uid="{A8350261-66BC-F342-812F-5607981A2BDF}">
      <text>
        <r>
          <rPr>
            <sz val="10"/>
            <color rgb="FF000000"/>
            <rFont val="Aptos Narrow"/>
            <scheme val="minor"/>
          </rPr>
          <t>======
ID#AAABjx7qU6A
    (2025-05-21 11:33:27)
1012chloe:收到客戶水單，待銀行解款
1013 chloe:收到銀行通知USD15,415</t>
        </r>
      </text>
    </comment>
    <comment ref="K2450" authorId="0" shapeId="0" xr:uid="{78D65FCA-DF7E-F44B-A18A-2C48397F5F98}">
      <text>
        <r>
          <rPr>
            <sz val="10"/>
            <color rgb="FF000000"/>
            <rFont val="Aptos Narrow"/>
            <scheme val="minor"/>
          </rPr>
          <t>======
ID#AAABjx7qM6o
    (2025-05-21 11:33:23)
christine0925:待客戶付款</t>
        </r>
      </text>
    </comment>
    <comment ref="H2451" authorId="0" shapeId="0" xr:uid="{E13DD5B2-6257-E04F-A032-97D387137AA4}">
      <text>
        <r>
          <rPr>
            <sz val="10"/>
            <color rgb="FF000000"/>
            <rFont val="Aptos Narrow"/>
            <scheme val="minor"/>
          </rPr>
          <t>======
ID#AAABjx7qTMw
    (2025-05-21 11:33:26)
1108 chloe: 匯入US$25553
尾款 US$9145 預計 1113 匯出
1114 chloe: 收到銀行通知 尾款匯入 US$9135</t>
        </r>
      </text>
    </comment>
    <comment ref="K2451" authorId="0" shapeId="0" xr:uid="{E166294C-3485-5447-949C-2F6E1D627CF5}">
      <text>
        <r>
          <rPr>
            <sz val="10"/>
            <color rgb="FF000000"/>
            <rFont val="Aptos Narrow"/>
            <scheme val="minor"/>
          </rPr>
          <t>======
ID#AAABjx7qNQE
    (2025-05-21 11:33:23)
christine0925:待客戶付款</t>
        </r>
      </text>
    </comment>
    <comment ref="H2452" authorId="0" shapeId="0" xr:uid="{8B1F7BE3-783E-C647-A191-FFB09BF99C7F}">
      <text>
        <r>
          <rPr>
            <sz val="10"/>
            <color rgb="FF000000"/>
            <rFont val="Aptos Narrow"/>
            <scheme val="minor"/>
          </rPr>
          <t>======
ID#AAABjx7qRfU
    (2025-05-21 11:33:25)
1108 chloe: 匯入US$25553
尾款 US$9145 預計 1113 匯出
1114 chloe: 收到銀行通知 尾款匯入 US$9135</t>
        </r>
      </text>
    </comment>
    <comment ref="K2452" authorId="0" shapeId="0" xr:uid="{B6618B82-77CA-7A4D-B7CD-8FC983FD79C6}">
      <text>
        <r>
          <rPr>
            <sz val="10"/>
            <color rgb="FF000000"/>
            <rFont val="Aptos Narrow"/>
            <scheme val="minor"/>
          </rPr>
          <t>======
ID#AAABjx7qUuY
    (2025-05-21 11:33:26)
christine0925:待客戶付款</t>
        </r>
      </text>
    </comment>
    <comment ref="H2453" authorId="0" shapeId="0" xr:uid="{379AD000-0581-6846-9AC2-50B4D9EC1F3E}">
      <text>
        <r>
          <rPr>
            <sz val="10"/>
            <color rgb="FF000000"/>
            <rFont val="Aptos Narrow"/>
            <scheme val="minor"/>
          </rPr>
          <t>======
ID#AAABjx7qRG8
    (2025-05-21 11:33:25)
1108 chloe: 匯入US$25553
尾款 US$9145 預計 1113 匯出
1114 chloe: 收到銀行通知 尾款匯入 US$9135</t>
        </r>
      </text>
    </comment>
    <comment ref="K2453" authorId="0" shapeId="0" xr:uid="{6FE97940-AC86-FE48-A646-E8612C327F95}">
      <text>
        <r>
          <rPr>
            <sz val="10"/>
            <color rgb="FF000000"/>
            <rFont val="Aptos Narrow"/>
            <scheme val="minor"/>
          </rPr>
          <t>======
ID#AAABjx7qQi4
    (2025-05-21 11:33:25)
christine0925:待客戶付款</t>
        </r>
      </text>
    </comment>
    <comment ref="H2454" authorId="0" shapeId="0" xr:uid="{E586A4A1-E876-6B44-AABD-F65D023B6D6A}">
      <text>
        <r>
          <rPr>
            <sz val="10"/>
            <color rgb="FF000000"/>
            <rFont val="Aptos Narrow"/>
            <scheme val="minor"/>
          </rPr>
          <t>======
ID#AAABjx7qQE8
    (2025-05-21 11:33:25)
1108 chloe: 匯入US$25553
尾款 US$9145 預計 1113 匯出</t>
        </r>
      </text>
    </comment>
    <comment ref="K2454" authorId="0" shapeId="0" xr:uid="{40560D0E-1A7D-0F49-8A25-5EBEE2409C53}">
      <text>
        <r>
          <rPr>
            <sz val="10"/>
            <color rgb="FF000000"/>
            <rFont val="Aptos Narrow"/>
            <scheme val="minor"/>
          </rPr>
          <t>======
ID#AAABjx7qOJA
    (2025-05-21 11:33:24)
christine0925:待客戶付款</t>
        </r>
      </text>
    </comment>
    <comment ref="H2455" authorId="0" shapeId="0" xr:uid="{774FDF75-EDF8-A245-8266-62D2FB4516D3}">
      <text>
        <r>
          <rPr>
            <sz val="10"/>
            <color rgb="FF000000"/>
            <rFont val="Aptos Narrow"/>
            <scheme val="minor"/>
          </rPr>
          <t>======
ID#AAABjx7qVRg
    (2025-05-21 11:33:27)
1108 chloe: 匯入US$25553
尾款 US$9145 預計 1113 匯出1114 chloe: 收到銀行通知 尾款匯入 US$9135</t>
        </r>
      </text>
    </comment>
    <comment ref="K2455" authorId="0" shapeId="0" xr:uid="{93F2897A-E442-004E-93E7-B10D27F7A81D}">
      <text>
        <r>
          <rPr>
            <sz val="10"/>
            <color rgb="FF000000"/>
            <rFont val="Aptos Narrow"/>
            <scheme val="minor"/>
          </rPr>
          <t>======
ID#AAABjx7qQGQ
    (2025-05-21 11:33:25)
christine0925:待客戶付款</t>
        </r>
      </text>
    </comment>
    <comment ref="H2456" authorId="0" shapeId="0" xr:uid="{37E2FE7A-5F79-F744-A329-4712A0015602}">
      <text>
        <r>
          <rPr>
            <sz val="10"/>
            <color rgb="FF000000"/>
            <rFont val="Aptos Narrow"/>
            <scheme val="minor"/>
          </rPr>
          <t>======
ID#AAABjx7qSlE
    (2025-05-21 11:33:26)
1012 chloe: 收到銀行通知US$52,255</t>
        </r>
      </text>
    </comment>
    <comment ref="K2456" authorId="0" shapeId="0" xr:uid="{F571A689-A327-D340-A393-9094E541D665}">
      <text>
        <r>
          <rPr>
            <sz val="10"/>
            <color rgb="FF000000"/>
            <rFont val="Aptos Narrow"/>
            <scheme val="minor"/>
          </rPr>
          <t>======
ID#AAABjx7qWUs
    (2025-05-21 11:33:27)
併RMA-20170614A&amp; RMA-20170704A   2台出貨</t>
        </r>
      </text>
    </comment>
    <comment ref="P2456" authorId="0" shapeId="0" xr:uid="{E890C548-8551-BF43-9B33-13E5787800CD}">
      <text>
        <r>
          <rPr>
            <sz val="10"/>
            <color rgb="FF000000"/>
            <rFont val="Aptos Narrow"/>
            <scheme val="minor"/>
          </rPr>
          <t>======
ID#AAABjx7qS4A
    (2025-05-21 11:33:26)
10 (科技國給MOXA手續費)</t>
        </r>
      </text>
    </comment>
    <comment ref="H2457" authorId="0" shapeId="0" xr:uid="{BF035E1D-4F18-5F49-9983-3E7F204C1B1E}">
      <text>
        <r>
          <rPr>
            <sz val="10"/>
            <color rgb="FF000000"/>
            <rFont val="Aptos Narrow"/>
            <scheme val="minor"/>
          </rPr>
          <t>======
ID#AAABjx7qScI
    (2025-05-21 11:33:26)
1025chloe:收到銀行通知US$35416.8</t>
        </r>
      </text>
    </comment>
    <comment ref="M2457" authorId="0" shapeId="0" xr:uid="{D04A3A08-9100-8245-A5AF-6215DA1E2B41}">
      <text>
        <r>
          <rPr>
            <sz val="10"/>
            <color rgb="FF000000"/>
            <rFont val="Aptos Narrow"/>
            <scheme val="minor"/>
          </rPr>
          <t>======
ID#AAABjx7qRNQ
    (2025-05-21 11:33:25)
0906 再PULL IN 看看</t>
        </r>
      </text>
    </comment>
    <comment ref="H2458" authorId="0" shapeId="0" xr:uid="{D6BAECD6-AEFF-7044-B732-928E872D4B93}">
      <text>
        <r>
          <rPr>
            <sz val="10"/>
            <color rgb="FF000000"/>
            <rFont val="Aptos Narrow"/>
            <scheme val="minor"/>
          </rPr>
          <t>======
ID#AAABjx7qU0o
    (2025-05-21 11:33:26)
1017chloe:收到銀行通知US$24736</t>
        </r>
      </text>
    </comment>
    <comment ref="K2458" authorId="0" shapeId="0" xr:uid="{A1C85744-C122-864F-8757-90200C457A41}">
      <text>
        <r>
          <rPr>
            <sz val="10"/>
            <color rgb="FF000000"/>
            <rFont val="Aptos Narrow"/>
            <scheme val="minor"/>
          </rPr>
          <t>======
ID#AAABjx7qUvI
    (2025-05-21 11:33:26)
0831 chloe: 出貨前Santiago 要拍照</t>
        </r>
      </text>
    </comment>
    <comment ref="H2459" authorId="0" shapeId="0" xr:uid="{3BDA6C67-8A3A-6D45-AE7F-0CC66E83D6CD}">
      <text>
        <r>
          <rPr>
            <sz val="10"/>
            <color rgb="FF000000"/>
            <rFont val="Aptos Narrow"/>
            <scheme val="minor"/>
          </rPr>
          <t>======
ID#AAABjx7qNzs
    (2025-05-21 11:33:23)
1017chloe:收到銀行通知US$24736</t>
        </r>
      </text>
    </comment>
    <comment ref="H2460" authorId="0" shapeId="0" xr:uid="{8DDC5D1C-6CCD-894E-BFF3-1FE56B8B1BF6}">
      <text>
        <r>
          <rPr>
            <sz val="10"/>
            <color rgb="FF000000"/>
            <rFont val="Aptos Narrow"/>
            <scheme val="minor"/>
          </rPr>
          <t>======
ID#AAABjx7qPi0
    (2025-05-21 11:33:24)
1017chloe:收到銀行通知US$24736</t>
        </r>
      </text>
    </comment>
    <comment ref="H2461" authorId="0" shapeId="0" xr:uid="{042E671E-4009-1649-8F38-7486B60B04ED}">
      <text>
        <r>
          <rPr>
            <sz val="10"/>
            <color rgb="FF000000"/>
            <rFont val="Aptos Narrow"/>
            <scheme val="minor"/>
          </rPr>
          <t>======
ID#AAABjx7qNSI
    (2025-05-21 11:33:23)
1020 chloe:收到銀行通知US$9,895</t>
        </r>
      </text>
    </comment>
    <comment ref="H2462" authorId="0" shapeId="0" xr:uid="{FD6D297D-E5E4-3D4C-A1D5-754A52678FB0}">
      <text>
        <r>
          <rPr>
            <sz val="10"/>
            <color rgb="FF000000"/>
            <rFont val="Aptos Narrow"/>
            <scheme val="minor"/>
          </rPr>
          <t>======
ID#AAABjx7qNvg
    (2025-05-21 11:33:23)
1020 chloe:收到銀行通知US$9,895</t>
        </r>
      </text>
    </comment>
    <comment ref="H2463" authorId="0" shapeId="0" xr:uid="{634BB33D-069D-5C48-9F0C-C8327A412A40}">
      <text>
        <r>
          <rPr>
            <sz val="10"/>
            <color rgb="FF000000"/>
            <rFont val="Aptos Narrow"/>
            <scheme val="minor"/>
          </rPr>
          <t>======
ID#AAABjx7qTgk
    (2025-05-21 11:33:26)
1020 chloe:收到銀行通知US$9,895</t>
        </r>
      </text>
    </comment>
    <comment ref="H2464" authorId="0" shapeId="0" xr:uid="{F6952A98-E2B4-0E41-BCC1-1C841D2A7266}">
      <text>
        <r>
          <rPr>
            <sz val="10"/>
            <color rgb="FF000000"/>
            <rFont val="Aptos Narrow"/>
            <scheme val="minor"/>
          </rPr>
          <t>======
ID#AAABjx7qSI4
    (2025-05-21 11:33:26)
1025 chloe:收到銀行通知US$1181</t>
        </r>
      </text>
    </comment>
    <comment ref="H2465" authorId="0" shapeId="0" xr:uid="{221FB094-AAC9-5147-95E8-80B9F450877C}">
      <text>
        <r>
          <rPr>
            <sz val="10"/>
            <color rgb="FF000000"/>
            <rFont val="Aptos Narrow"/>
            <scheme val="minor"/>
          </rPr>
          <t>======
ID#AAABjx7qO00
    (2025-05-21 11:33:24)
1025 chloe:收到銀行通知US$1181</t>
        </r>
      </text>
    </comment>
    <comment ref="H2466" authorId="0" shapeId="0" xr:uid="{8E6D44AF-86DE-6241-98C3-1DCD43D34303}">
      <text>
        <r>
          <rPr>
            <sz val="10"/>
            <color rgb="FF000000"/>
            <rFont val="Aptos Narrow"/>
            <scheme val="minor"/>
          </rPr>
          <t>======
ID#AAABjx7qS20
    (2025-05-21 11:33:26)
1025chloe:收到銀行通知US$35416.8</t>
        </r>
      </text>
    </comment>
    <comment ref="H2467" authorId="0" shapeId="0" xr:uid="{360AB513-08B7-9246-98FC-7864060ADA80}">
      <text>
        <r>
          <rPr>
            <sz val="10"/>
            <color rgb="FF000000"/>
            <rFont val="Aptos Narrow"/>
            <scheme val="minor"/>
          </rPr>
          <t>======
ID#AAABjx7qPWY
    (2025-05-21 11:33:24)
1025chloe:收到銀行通知US$35416.8</t>
        </r>
      </text>
    </comment>
    <comment ref="H2468" authorId="0" shapeId="0" xr:uid="{97D2D0DD-E849-DD44-991F-DE4425F647CE}">
      <text>
        <r>
          <rPr>
            <sz val="10"/>
            <color rgb="FF000000"/>
            <rFont val="Aptos Narrow"/>
            <scheme val="minor"/>
          </rPr>
          <t>======
ID#AAABjx7qRFw
    (2025-05-21 11:33:25)
1003 chloe:收到銀行通知USD2160</t>
        </r>
      </text>
    </comment>
    <comment ref="K2468" authorId="0" shapeId="0" xr:uid="{4D044279-2A70-1142-88E1-06C0FE26DC66}">
      <text>
        <r>
          <rPr>
            <sz val="10"/>
            <color rgb="FF000000"/>
            <rFont val="Aptos Narrow"/>
            <scheme val="minor"/>
          </rPr>
          <t>======
ID#AAABjx7qTJ0
    (2025-05-21 11:33:26)
Christine1002: 待付款</t>
        </r>
      </text>
    </comment>
    <comment ref="M2468" authorId="0" shapeId="0" xr:uid="{E9916455-5AD2-704E-B1BF-36E78B93B71C}">
      <text>
        <r>
          <rPr>
            <sz val="10"/>
            <color rgb="FF000000"/>
            <rFont val="Aptos Narrow"/>
            <scheme val="minor"/>
          </rPr>
          <t>======
ID#AAABjx7qTQQ
    (2025-05-21 11:33:26)
Leon 預計10/2到貨</t>
        </r>
      </text>
    </comment>
    <comment ref="H2469" authorId="0" shapeId="0" xr:uid="{360FF12C-1695-934F-9948-37B7AC41A2C6}">
      <text>
        <r>
          <rPr>
            <sz val="10"/>
            <color rgb="FF000000"/>
            <rFont val="Aptos Narrow"/>
            <scheme val="minor"/>
          </rPr>
          <t>======
ID#AAABjx7qVV4
    (2025-05-21 11:33:27)
1003 chloe:收到銀行通知USD2160</t>
        </r>
      </text>
    </comment>
    <comment ref="K2469" authorId="0" shapeId="0" xr:uid="{DB0DD2C1-9661-BB49-B0A6-0E4F2EE8B615}">
      <text>
        <r>
          <rPr>
            <sz val="10"/>
            <color rgb="FF000000"/>
            <rFont val="Aptos Narrow"/>
            <scheme val="minor"/>
          </rPr>
          <t>======
ID#AAABjx7qSrE
    (2025-05-21 11:33:26)
Christine1002: 待付款</t>
        </r>
      </text>
    </comment>
    <comment ref="M2469" authorId="0" shapeId="0" xr:uid="{3A16BC7A-9B71-984E-8813-15458B5292D4}">
      <text>
        <r>
          <rPr>
            <sz val="10"/>
            <color rgb="FF000000"/>
            <rFont val="Aptos Narrow"/>
            <scheme val="minor"/>
          </rPr>
          <t>======
ID#AAABjx7qPtI
    (2025-05-21 11:33:24)
Leon 預計10/2到貨</t>
        </r>
      </text>
    </comment>
    <comment ref="H2470" authorId="0" shapeId="0" xr:uid="{029A1B7C-FD06-134F-B2CF-E02BACCA8665}">
      <text>
        <r>
          <rPr>
            <sz val="10"/>
            <color rgb="FF000000"/>
            <rFont val="Aptos Narrow"/>
            <scheme val="minor"/>
          </rPr>
          <t>======
ID#AAABjx7qSw8
    (2025-05-21 11:33:26)
1106 chloe:已收到NT$1,048,766</t>
        </r>
      </text>
    </comment>
    <comment ref="H2471" authorId="0" shapeId="0" xr:uid="{48E0E203-C9F0-744A-9F2D-590644D3C00E}">
      <text>
        <r>
          <rPr>
            <sz val="10"/>
            <color rgb="FF000000"/>
            <rFont val="Aptos Narrow"/>
            <scheme val="minor"/>
          </rPr>
          <t>======
ID#AAABjx7qQSY
    (2025-05-21 11:33:25)
0915 chloe: 收到款項NT 10699</t>
        </r>
      </text>
    </comment>
    <comment ref="H2472" authorId="0" shapeId="0" xr:uid="{08C34B39-428C-3D4F-8CB1-11116DF00374}">
      <text>
        <r>
          <rPr>
            <sz val="10"/>
            <color rgb="FF000000"/>
            <rFont val="Aptos Narrow"/>
            <scheme val="minor"/>
          </rPr>
          <t>======
ID#AAABjx7qTlE
    (2025-05-21 11:33:26)
1031 chloe: 收到銀行通知US$4,574.7</t>
        </r>
      </text>
    </comment>
    <comment ref="M2472" authorId="0" shapeId="0" xr:uid="{B47D55FE-7CB7-1646-B77E-566AB556DCC9}">
      <text>
        <r>
          <rPr>
            <sz val="10"/>
            <color rgb="FF000000"/>
            <rFont val="Aptos Narrow"/>
            <scheme val="minor"/>
          </rPr>
          <t>======
ID#AAABjx7qSx8
    (2025-05-21 11:33:26)
原預交日10/2，到貨9/26</t>
        </r>
      </text>
    </comment>
    <comment ref="E2473" authorId="0" shapeId="0" xr:uid="{A664BCCE-625C-C54F-A064-4FA1C5125F7D}">
      <text>
        <r>
          <rPr>
            <sz val="10"/>
            <color rgb="FF000000"/>
            <rFont val="Aptos Narrow"/>
            <scheme val="minor"/>
          </rPr>
          <t>======
ID#AAABjx7qPms
    (2025-05-21 11:33:24)
3/16 Michelle:Demand3008 8" 這次樣品可以勉強接受2 Pin. 
但未來出貨一定要用3 pin 鳯凰接頭</t>
        </r>
      </text>
    </comment>
    <comment ref="H2473" authorId="0" shapeId="0" xr:uid="{7EB974E0-856A-FA43-9F2F-93D31F8646FE}">
      <text>
        <r>
          <rPr>
            <sz val="10"/>
            <color rgb="FF000000"/>
            <rFont val="Aptos Narrow"/>
            <scheme val="minor"/>
          </rPr>
          <t>======
ID#AAABjx7qVb4
    (2025-05-21 11:33:27)
1025chloe:收到銀行通知US$35416.8</t>
        </r>
      </text>
    </comment>
    <comment ref="H2474" authorId="0" shapeId="0" xr:uid="{9E6822D7-AE36-C840-BDF5-0C0D138CD64F}">
      <text>
        <r>
          <rPr>
            <sz val="10"/>
            <color rgb="FF000000"/>
            <rFont val="Aptos Narrow"/>
            <scheme val="minor"/>
          </rPr>
          <t>======
ID#AAABjx7qTB8
    (2025-05-21 11:33:26)
1020 chloe:收到銀行通知US$9,895</t>
        </r>
      </text>
    </comment>
    <comment ref="H2475" authorId="0" shapeId="0" xr:uid="{47F5F9CB-C0CA-A64A-A156-2DA7A9C6DD4A}">
      <text>
        <r>
          <rPr>
            <sz val="10"/>
            <color rgb="FF000000"/>
            <rFont val="Aptos Narrow"/>
            <scheme val="minor"/>
          </rPr>
          <t>======
ID#AAABjx7qOxw
    (2025-05-21 11:33:24)
1025 chloe:收到銀行通知US$1181</t>
        </r>
      </text>
    </comment>
    <comment ref="H2476" authorId="0" shapeId="0" xr:uid="{F3805555-F012-D942-86CD-157EF73733C8}">
      <text>
        <r>
          <rPr>
            <sz val="10"/>
            <color rgb="FF000000"/>
            <rFont val="Aptos Narrow"/>
            <scheme val="minor"/>
          </rPr>
          <t>======
ID#AAABjx7qSv4
    (2025-05-21 11:33:26)
1025 chloe:收到銀行通知US$1181</t>
        </r>
      </text>
    </comment>
    <comment ref="H2477" authorId="0" shapeId="0" xr:uid="{8AE2DFCF-9769-0746-964D-0BD33CD9F034}">
      <text>
        <r>
          <rPr>
            <sz val="10"/>
            <color rgb="FF000000"/>
            <rFont val="Aptos Narrow"/>
            <scheme val="minor"/>
          </rPr>
          <t>======
ID#AAABjx7qRAM
    (2025-05-21 11:33:25)
1025 chloe:收到銀行通知US$1181</t>
        </r>
      </text>
    </comment>
    <comment ref="H2478" authorId="0" shapeId="0" xr:uid="{E89C8488-3865-594B-8CFB-752AE14DF6AC}">
      <text>
        <r>
          <rPr>
            <sz val="10"/>
            <color rgb="FF000000"/>
            <rFont val="Aptos Narrow"/>
            <scheme val="minor"/>
          </rPr>
          <t>======
ID#AAABjx7qRiw
    (2025-05-21 11:33:25)
1011 chloe:收到銀行通知US$13950</t>
        </r>
      </text>
    </comment>
    <comment ref="K2478" authorId="0" shapeId="0" xr:uid="{BC8CEEE9-5F35-E14A-85BB-1F82BFDD7902}">
      <text>
        <r>
          <rPr>
            <sz val="10"/>
            <color rgb="FF000000"/>
            <rFont val="Aptos Narrow"/>
            <scheme val="minor"/>
          </rPr>
          <t>======
ID#AAABjx7qRWY
    (2025-05-21 11:33:25)
christine 0925: 待付款</t>
        </r>
      </text>
    </comment>
    <comment ref="M2478" authorId="0" shapeId="0" xr:uid="{A9B566EB-9403-3945-9052-4CD067ABBEEE}">
      <text>
        <r>
          <rPr>
            <sz val="10"/>
            <color rgb="FF000000"/>
            <rFont val="Aptos Narrow"/>
            <scheme val="minor"/>
          </rPr>
          <t>======
ID#AAABjx7qWHg
    (2025-05-21 11:33:27)
9/25</t>
        </r>
      </text>
    </comment>
    <comment ref="H2479" authorId="0" shapeId="0" xr:uid="{1E523CE5-285A-A744-AD9E-947A4307352F}">
      <text>
        <r>
          <rPr>
            <sz val="10"/>
            <color rgb="FF000000"/>
            <rFont val="Aptos Narrow"/>
            <scheme val="minor"/>
          </rPr>
          <t>======
ID#AAABjx7qSro
    (2025-05-21 11:33:26)
1011 chloe:收到銀行通知US$13950</t>
        </r>
      </text>
    </comment>
    <comment ref="K2479" authorId="0" shapeId="0" xr:uid="{15E88718-B192-284E-8F74-28AFDB25D152}">
      <text>
        <r>
          <rPr>
            <sz val="10"/>
            <color rgb="FF000000"/>
            <rFont val="Aptos Narrow"/>
            <scheme val="minor"/>
          </rPr>
          <t>======
ID#AAABj82dpEU
    (2025-05-21 11:33:23)
christine 0925: 待付款</t>
        </r>
      </text>
    </comment>
    <comment ref="M2479" authorId="0" shapeId="0" xr:uid="{C22ABB12-71D6-4F4E-8BEA-9E8427D9EFF9}">
      <text>
        <r>
          <rPr>
            <sz val="10"/>
            <color rgb="FF000000"/>
            <rFont val="Aptos Narrow"/>
            <scheme val="minor"/>
          </rPr>
          <t>======
ID#AAABjx7qPTQ
    (2025-05-21 11:33:24)
9/25</t>
        </r>
      </text>
    </comment>
    <comment ref="H2480" authorId="0" shapeId="0" xr:uid="{1E9E0BC0-634B-C449-9BD2-855C1AC2019F}">
      <text>
        <r>
          <rPr>
            <sz val="10"/>
            <color rgb="FF000000"/>
            <rFont val="Aptos Narrow"/>
            <scheme val="minor"/>
          </rPr>
          <t>======
ID#AAABjx7qU44
    (2025-05-21 11:33:26)
1011 chloe:收到銀行通知US$13950</t>
        </r>
      </text>
    </comment>
    <comment ref="K2480" authorId="0" shapeId="0" xr:uid="{1CDDA2DE-0437-AA42-997F-5C1CE7A38445}">
      <text>
        <r>
          <rPr>
            <sz val="10"/>
            <color rgb="FF000000"/>
            <rFont val="Aptos Narrow"/>
            <scheme val="minor"/>
          </rPr>
          <t>======
ID#AAABjx7qQEQ
    (2025-05-21 11:33:25)
christine 0925: 待付款</t>
        </r>
      </text>
    </comment>
    <comment ref="M2480" authorId="0" shapeId="0" xr:uid="{DD6F720C-E5B6-4C47-A5E2-7EAF43CA582D}">
      <text>
        <r>
          <rPr>
            <sz val="10"/>
            <color rgb="FF000000"/>
            <rFont val="Aptos Narrow"/>
            <scheme val="minor"/>
          </rPr>
          <t>======
ID#AAABjx7qR8A
    (2025-05-21 11:33:25)
9/25</t>
        </r>
      </text>
    </comment>
    <comment ref="H2481" authorId="0" shapeId="0" xr:uid="{C6E92528-EF14-E040-A53C-38A2424CFF59}">
      <text>
        <r>
          <rPr>
            <sz val="10"/>
            <color rgb="FF000000"/>
            <rFont val="Aptos Narrow"/>
            <scheme val="minor"/>
          </rPr>
          <t>======
ID#AAABjx7qPck
    (2025-05-21 11:33:24)
1011 chloe:收到銀行通知US$13950</t>
        </r>
      </text>
    </comment>
    <comment ref="K2481" authorId="0" shapeId="0" xr:uid="{8F1A56C2-E6A7-AB4B-ACD0-A7E38AFEE5B4}">
      <text>
        <r>
          <rPr>
            <sz val="10"/>
            <color rgb="FF000000"/>
            <rFont val="Aptos Narrow"/>
            <scheme val="minor"/>
          </rPr>
          <t>======
ID#AAABjx7qRio
    (2025-05-21 11:33:25)
christine 0925: 待付款</t>
        </r>
      </text>
    </comment>
    <comment ref="M2481" authorId="0" shapeId="0" xr:uid="{86DB5364-D334-E640-88E5-77B938736C64}">
      <text>
        <r>
          <rPr>
            <sz val="10"/>
            <color rgb="FF000000"/>
            <rFont val="Aptos Narrow"/>
            <scheme val="minor"/>
          </rPr>
          <t>======
ID#AAABjx7qV-k
    (2025-05-21 11:33:27)
9/25</t>
        </r>
      </text>
    </comment>
    <comment ref="H2482" authorId="0" shapeId="0" xr:uid="{943FC437-FE7E-1443-8C33-2F9B6F112D53}">
      <text>
        <r>
          <rPr>
            <sz val="10"/>
            <color rgb="FF000000"/>
            <rFont val="Aptos Narrow"/>
            <scheme val="minor"/>
          </rPr>
          <t>======
ID#AAABjx7qWBY
    (2025-05-21 11:33:27)
1011 chloe:收到銀行通知US$13950</t>
        </r>
      </text>
    </comment>
    <comment ref="K2482" authorId="0" shapeId="0" xr:uid="{1A0F989E-D959-ED43-857A-D639873DC4CA}">
      <text>
        <r>
          <rPr>
            <sz val="10"/>
            <color rgb="FF000000"/>
            <rFont val="Aptos Narrow"/>
            <scheme val="minor"/>
          </rPr>
          <t>======
ID#AAABjx7qTJg
    (2025-05-21 11:33:26)
christine 0925: 待付款</t>
        </r>
      </text>
    </comment>
    <comment ref="M2482" authorId="0" shapeId="0" xr:uid="{3A524E9A-E0E1-BF43-A1E5-C0346E2CFCAE}">
      <text>
        <r>
          <rPr>
            <sz val="10"/>
            <color rgb="FF000000"/>
            <rFont val="Aptos Narrow"/>
            <scheme val="minor"/>
          </rPr>
          <t>======
ID#AAABjx7qVEs
    (2025-05-21 11:33:27)
9/25</t>
        </r>
      </text>
    </comment>
    <comment ref="H2483" authorId="0" shapeId="0" xr:uid="{05376F99-50B2-A740-9C10-4ED109173E0F}">
      <text>
        <r>
          <rPr>
            <sz val="10"/>
            <color rgb="FF000000"/>
            <rFont val="Aptos Narrow"/>
            <scheme val="minor"/>
          </rPr>
          <t>======
ID#AAABjx7qOHQ
    (2025-05-21 11:33:24)
1011 chloe:收到銀行通知US$13950</t>
        </r>
      </text>
    </comment>
    <comment ref="K2483" authorId="0" shapeId="0" xr:uid="{88405C6C-8C17-9242-A2F5-398447D257FE}">
      <text>
        <r>
          <rPr>
            <sz val="10"/>
            <color rgb="FF000000"/>
            <rFont val="Aptos Narrow"/>
            <scheme val="minor"/>
          </rPr>
          <t>======
ID#AAABjx7qRBY
    (2025-05-21 11:33:25)
christine 0925: 待付款</t>
        </r>
      </text>
    </comment>
    <comment ref="M2483" authorId="0" shapeId="0" xr:uid="{4D62AC12-E232-FD48-A8C1-5B53BC8A7D5E}">
      <text>
        <r>
          <rPr>
            <sz val="10"/>
            <color rgb="FF000000"/>
            <rFont val="Aptos Narrow"/>
            <scheme val="minor"/>
          </rPr>
          <t>======
ID#AAABjx7qTJM
    (2025-05-21 11:33:26)
9/25</t>
        </r>
      </text>
    </comment>
    <comment ref="H2484" authorId="0" shapeId="0" xr:uid="{582FD216-74C8-DC41-BED6-B8C2F4DD81DA}">
      <text>
        <r>
          <rPr>
            <sz val="10"/>
            <color rgb="FF000000"/>
            <rFont val="Aptos Narrow"/>
            <scheme val="minor"/>
          </rPr>
          <t>======
ID#AAABjx7qR9A
    (2025-05-21 11:33:25)
1011 chloe:收到銀行通知US$13950</t>
        </r>
      </text>
    </comment>
    <comment ref="K2484" authorId="0" shapeId="0" xr:uid="{8DEEE1A6-E716-0442-B877-90644C5FF36A}">
      <text>
        <r>
          <rPr>
            <sz val="10"/>
            <color rgb="FF000000"/>
            <rFont val="Aptos Narrow"/>
            <scheme val="minor"/>
          </rPr>
          <t>======
ID#AAABjx7qSzA
    (2025-05-21 11:33:26)
christine 0925: 待付款</t>
        </r>
      </text>
    </comment>
    <comment ref="M2484" authorId="0" shapeId="0" xr:uid="{E392CE69-B495-7347-96B5-688F3BBA1F80}">
      <text>
        <r>
          <rPr>
            <sz val="10"/>
            <color rgb="FF000000"/>
            <rFont val="Aptos Narrow"/>
            <scheme val="minor"/>
          </rPr>
          <t>======
ID#AAABjx7qSZ0
    (2025-05-21 11:33:26)
價格:$215
交期:7~10day</t>
        </r>
      </text>
    </comment>
    <comment ref="H2485" authorId="0" shapeId="0" xr:uid="{8A26D80A-5B01-5740-968A-A6847E92381E}">
      <text>
        <r>
          <rPr>
            <sz val="10"/>
            <color rgb="FF000000"/>
            <rFont val="Aptos Narrow"/>
            <scheme val="minor"/>
          </rPr>
          <t>======
ID#AAABjx7qTkk
    (2025-05-21 11:33:26)
1011 chloe:收到銀行通知US$13950</t>
        </r>
      </text>
    </comment>
    <comment ref="K2485" authorId="0" shapeId="0" xr:uid="{37E4AEE6-713D-6343-8BB9-7E91AD875706}">
      <text>
        <r>
          <rPr>
            <sz val="10"/>
            <color rgb="FF000000"/>
            <rFont val="Aptos Narrow"/>
            <scheme val="minor"/>
          </rPr>
          <t>======
ID#AAABjx7qOdY
    (2025-05-21 11:33:24)
christine 0925: 待付款</t>
        </r>
      </text>
    </comment>
    <comment ref="M2485" authorId="0" shapeId="0" xr:uid="{9C9AC3E0-63B8-7348-B39E-B27B6F46C151}">
      <text>
        <r>
          <rPr>
            <sz val="10"/>
            <color rgb="FF000000"/>
            <rFont val="Aptos Narrow"/>
            <scheme val="minor"/>
          </rPr>
          <t>======
ID#AAABjx7qVAU
    (2025-05-21 11:33:27)
價格: $55
交期:5~7day</t>
        </r>
      </text>
    </comment>
    <comment ref="H2486" authorId="0" shapeId="0" xr:uid="{449C06F0-BAFE-0A43-BC96-FC7F5DB1A84B}">
      <text>
        <r>
          <rPr>
            <sz val="10"/>
            <color rgb="FF000000"/>
            <rFont val="Aptos Narrow"/>
            <scheme val="minor"/>
          </rPr>
          <t>======
ID#AAABjx7qR94
    (2025-05-21 11:33:25)
0920 chloe:收到轉帳NT2966</t>
        </r>
      </text>
    </comment>
    <comment ref="M2486" authorId="0" shapeId="0" xr:uid="{467382EE-C694-EE4C-8701-ADD6E01D0F32}">
      <text>
        <r>
          <rPr>
            <sz val="10"/>
            <color rgb="FF000000"/>
            <rFont val="Aptos Narrow"/>
            <scheme val="minor"/>
          </rPr>
          <t>======
ID#AAABj82dpGE
    (2025-05-21 11:33:23)
現貨
0915到貨</t>
        </r>
      </text>
    </comment>
    <comment ref="H2487" authorId="0" shapeId="0" xr:uid="{34AFB858-9124-5845-8EA0-4CF488B7B875}">
      <text>
        <r>
          <rPr>
            <sz val="10"/>
            <color rgb="FF000000"/>
            <rFont val="Aptos Narrow"/>
            <scheme val="minor"/>
          </rPr>
          <t>======
ID#AAABjx7qVOc
    (2025-05-21 11:33:27)
1025chloe:收到銀行通知US$35416.8</t>
        </r>
      </text>
    </comment>
    <comment ref="J2487" authorId="0" shapeId="0" xr:uid="{7743CCC8-513F-824F-A81E-A0D7F1A07E33}">
      <text>
        <r>
          <rPr>
            <sz val="10"/>
            <color rgb="FF000000"/>
            <rFont val="Aptos Narrow"/>
            <scheme val="minor"/>
          </rPr>
          <t>======
ID#AAABjx7qOxU
    (2025-05-21 11:33:24)
to Melbourne address</t>
        </r>
      </text>
    </comment>
    <comment ref="M2487" authorId="0" shapeId="0" xr:uid="{4FDC931E-A1D4-CA42-80D0-9F5D659FC99A}">
      <text>
        <r>
          <rPr>
            <sz val="10"/>
            <color rgb="FF000000"/>
            <rFont val="Aptos Narrow"/>
            <scheme val="minor"/>
          </rPr>
          <t>======
ID#AAABjx7qTSI
    (2025-05-21 11:33:26)
機車快遞當天到貨
0921到貨</t>
        </r>
      </text>
    </comment>
    <comment ref="H2488" authorId="0" shapeId="0" xr:uid="{C53A8E8B-E5CF-BE4E-A787-07496E70BCD8}">
      <text>
        <r>
          <rPr>
            <sz val="10"/>
            <color rgb="FF000000"/>
            <rFont val="Aptos Narrow"/>
            <scheme val="minor"/>
          </rPr>
          <t>======
ID#AAABjx7qNpw
    (2025-05-21 11:33:23)
1025chloe:收到銀行通知US$35416.8</t>
        </r>
      </text>
    </comment>
    <comment ref="J2488" authorId="0" shapeId="0" xr:uid="{239FE0FF-195E-D848-B556-049B9240F763}">
      <text>
        <r>
          <rPr>
            <sz val="10"/>
            <color rgb="FF000000"/>
            <rFont val="Aptos Narrow"/>
            <scheme val="minor"/>
          </rPr>
          <t>======
ID#AAABj82dpEY
    (2025-05-21 11:33:23)
to Melbourne address</t>
        </r>
      </text>
    </comment>
    <comment ref="M2488" authorId="0" shapeId="0" xr:uid="{E319036D-996F-414A-8E4C-9902DFE08FD9}">
      <text>
        <r>
          <rPr>
            <sz val="10"/>
            <color rgb="FF000000"/>
            <rFont val="Aptos Narrow"/>
            <scheme val="minor"/>
          </rPr>
          <t>======
ID#AAABjx7qNZA
    (2025-05-21 11:33:23)
機車快遞當天到貨
0921到貨</t>
        </r>
      </text>
    </comment>
    <comment ref="H2489" authorId="0" shapeId="0" xr:uid="{E41C382B-DA6D-0F42-BBC7-0B25107D981D}">
      <text>
        <r>
          <rPr>
            <sz val="10"/>
            <color rgb="FF000000"/>
            <rFont val="Aptos Narrow"/>
            <scheme val="minor"/>
          </rPr>
          <t>======
ID#AAABjx7qV9k
    (2025-05-21 11:33:27)
1025chloe:收到銀行通知US$35416.8</t>
        </r>
      </text>
    </comment>
    <comment ref="J2489" authorId="0" shapeId="0" xr:uid="{671A2D8F-ECE6-574C-9AE3-C84A5EED9FE1}">
      <text>
        <r>
          <rPr>
            <sz val="10"/>
            <color rgb="FF000000"/>
            <rFont val="Aptos Narrow"/>
            <scheme val="minor"/>
          </rPr>
          <t>======
ID#AAABjx7qWII
    (2025-05-21 11:33:27)
to Melbourne address</t>
        </r>
      </text>
    </comment>
    <comment ref="O2489" authorId="0" shapeId="0" xr:uid="{EF02B95C-BD63-684F-9D3A-8BB6F5E5732C}">
      <text>
        <r>
          <rPr>
            <sz val="10"/>
            <color rgb="FF000000"/>
            <rFont val="Aptos Narrow"/>
            <scheme val="minor"/>
          </rPr>
          <t>======
ID#AAABjx7qPk4
    (2025-05-21 11:33:24)
尚未借轉銷
1005 chloe:已借轉銷</t>
        </r>
      </text>
    </comment>
    <comment ref="H2490" authorId="0" shapeId="0" xr:uid="{3E00CCFD-D2F4-B547-A02B-9C568294FB04}">
      <text>
        <r>
          <rPr>
            <sz val="10"/>
            <color rgb="FF000000"/>
            <rFont val="Aptos Narrow"/>
            <scheme val="minor"/>
          </rPr>
          <t>======
ID#AAABjx7qTck
    (2025-05-21 11:33:26)
1012 chloe: 收到銀行通知US$52,255</t>
        </r>
      </text>
    </comment>
    <comment ref="H2491" authorId="0" shapeId="0" xr:uid="{D43DF811-33AD-454F-B625-8B7D80C73545}">
      <text>
        <r>
          <rPr>
            <sz val="10"/>
            <color rgb="FF000000"/>
            <rFont val="Aptos Narrow"/>
            <scheme val="minor"/>
          </rPr>
          <t>======
ID#AAABjx7qUtg
    (2025-05-21 11:33:26)
1012 chloe: 收到銀行通知US$52,255</t>
        </r>
      </text>
    </comment>
    <comment ref="H2492" authorId="0" shapeId="0" xr:uid="{A71C9D75-9735-1744-9AA8-17F2C4AE8DE3}">
      <text>
        <r>
          <rPr>
            <sz val="10"/>
            <color rgb="FF000000"/>
            <rFont val="Aptos Narrow"/>
            <scheme val="minor"/>
          </rPr>
          <t>======
ID#AAABjx7qRx4
    (2025-05-21 11:33:25)
1101 chloe:收到銀通知US$7340</t>
        </r>
      </text>
    </comment>
    <comment ref="K2492" authorId="0" shapeId="0" xr:uid="{D7BE91DB-A88E-564B-909D-E9553CE82B25}">
      <text>
        <r>
          <rPr>
            <sz val="10"/>
            <color rgb="FF000000"/>
            <rFont val="Aptos Narrow"/>
            <scheme val="minor"/>
          </rPr>
          <t>======
ID#AAABjx7qWYU
    (2025-05-21 11:33:27)
christine 0925: 待付款</t>
        </r>
      </text>
    </comment>
    <comment ref="M2492" authorId="0" shapeId="0" xr:uid="{27AEEF9E-8095-5E45-8AF8-F1DA980F155A}">
      <text>
        <r>
          <rPr>
            <sz val="10"/>
            <color rgb="FF000000"/>
            <rFont val="Aptos Narrow"/>
            <scheme val="minor"/>
          </rPr>
          <t>======
ID#AAABjx7qPzw
    (2025-05-21 11:33:24)
chloe: 9月底詢問交期是否能提前
10/11</t>
        </r>
      </text>
    </comment>
    <comment ref="D2493" authorId="0" shapeId="0" xr:uid="{0FA31160-1E0E-A84B-B1F0-BAC74DC80F5F}">
      <text>
        <r>
          <rPr>
            <sz val="10"/>
            <color rgb="FF000000"/>
            <rFont val="Aptos Narrow"/>
            <scheme val="minor"/>
          </rPr>
          <t>======
ID#AAABjx7qPh0
20171003 Santiago    (2025-05-21 11:33:24)
己通知客戶. 客戶確認時間拖太久, 取消PI</t>
        </r>
      </text>
    </comment>
    <comment ref="D2494" authorId="0" shapeId="0" xr:uid="{FD9E06CA-A7CF-3A44-8670-B18DE29010E2}">
      <text>
        <r>
          <rPr>
            <sz val="10"/>
            <color rgb="FF000000"/>
            <rFont val="Aptos Narrow"/>
            <scheme val="minor"/>
          </rPr>
          <t>======
ID#AAABjx7qO1A
20171003 Santiago    (2025-05-21 11:33:24)
己通知客戶. 客戶確認時間拖太久, 取消PI</t>
        </r>
      </text>
    </comment>
    <comment ref="H2495" authorId="0" shapeId="0" xr:uid="{95016849-AD6C-4E40-904E-D425E53D5085}">
      <text>
        <r>
          <rPr>
            <sz val="10"/>
            <color rgb="FF000000"/>
            <rFont val="Aptos Narrow"/>
            <scheme val="minor"/>
          </rPr>
          <t>======
ID#AAABjx7qR4s
    (2025-05-21 11:33:25)
1025chloe:收到銀行通知US$35416.8</t>
        </r>
      </text>
    </comment>
    <comment ref="H2496" authorId="0" shapeId="0" xr:uid="{46FCC602-454A-934B-8957-181A651B300A}">
      <text>
        <r>
          <rPr>
            <sz val="10"/>
            <color rgb="FF000000"/>
            <rFont val="Aptos Narrow"/>
            <scheme val="minor"/>
          </rPr>
          <t>======
ID#AAABjx7qQjU
    (2025-05-21 11:33:25)
1107 chloe:收到銀行通知US$853</t>
        </r>
      </text>
    </comment>
    <comment ref="H2497" authorId="0" shapeId="0" xr:uid="{545815BA-BEE1-D046-8867-CEF2D10B4D65}">
      <text>
        <r>
          <rPr>
            <sz val="10"/>
            <color rgb="FF000000"/>
            <rFont val="Aptos Narrow"/>
            <scheme val="minor"/>
          </rPr>
          <t>======
ID#AAABjx7qV_A
    (2025-05-21 11:33:27)
1107 chloe:收到銀行通知US$853</t>
        </r>
      </text>
    </comment>
    <comment ref="H2498" authorId="0" shapeId="0" xr:uid="{BD26223C-C5FC-2D4A-89DA-498BC0E641E5}">
      <text>
        <r>
          <rPr>
            <sz val="10"/>
            <color rgb="FF000000"/>
            <rFont val="Aptos Narrow"/>
            <scheme val="minor"/>
          </rPr>
          <t>======
ID#AAABj82dpQg
    (2025-05-21 11:33:23)
0925 chloe:收到銀行通知US$3047</t>
        </r>
      </text>
    </comment>
    <comment ref="K2498" authorId="0" shapeId="0" xr:uid="{8EE9819D-CE68-C446-BAD8-49B6387406EA}">
      <text>
        <r>
          <rPr>
            <sz val="10"/>
            <color rgb="FF000000"/>
            <rFont val="Aptos Narrow"/>
            <scheme val="minor"/>
          </rPr>
          <t>======
ID#AAABjx7qVbo
    (2025-05-21 11:33:27)
0920 chloe: 待收到貨款後出貨
0922 chloe: 待0925銀行解款，可安排出貨</t>
        </r>
      </text>
    </comment>
    <comment ref="H2499" authorId="0" shapeId="0" xr:uid="{DD0C5306-F5BF-7E48-A216-E143E691593A}">
      <text>
        <r>
          <rPr>
            <sz val="10"/>
            <color rgb="FF000000"/>
            <rFont val="Aptos Narrow"/>
            <scheme val="minor"/>
          </rPr>
          <t>======
ID#AAABjx7qVMc
    (2025-05-21 11:33:27)
0925 chloe:收到銀行通知US$3047</t>
        </r>
      </text>
    </comment>
    <comment ref="K2499" authorId="0" shapeId="0" xr:uid="{F161C81B-5AA2-BD4E-8C52-E9D93CE1160D}">
      <text>
        <r>
          <rPr>
            <sz val="10"/>
            <color rgb="FF000000"/>
            <rFont val="Aptos Narrow"/>
            <scheme val="minor"/>
          </rPr>
          <t>======
ID#AAABjx7qR5o
    (2025-05-21 11:33:25)
0920 chloe: 待收到貨款後出貨
0922 chloe: 待0925銀行解款，可安排出貨</t>
        </r>
      </text>
    </comment>
    <comment ref="H2500" authorId="0" shapeId="0" xr:uid="{D89581D8-1760-8640-AA3B-89769BD8F542}">
      <text>
        <r>
          <rPr>
            <sz val="10"/>
            <color rgb="FF000000"/>
            <rFont val="Aptos Narrow"/>
            <scheme val="minor"/>
          </rPr>
          <t>======
ID#AAABjx7qNFM
    (2025-05-21 11:33:23)
1012 chloe: 收到銀行通知US$52,255</t>
        </r>
      </text>
    </comment>
    <comment ref="M2500" authorId="0" shapeId="0" xr:uid="{1F185BAA-50A9-564E-A33E-DDA36F2F981C}">
      <text>
        <r>
          <rPr>
            <sz val="10"/>
            <color rgb="FF000000"/>
            <rFont val="Aptos Narrow"/>
            <scheme val="minor"/>
          </rPr>
          <t>======
ID#AAABjx7qSsM
    (2025-05-21 11:33:26)
Leon 預計10/2到貨</t>
        </r>
      </text>
    </comment>
    <comment ref="H2501" authorId="0" shapeId="0" xr:uid="{B241C541-532E-D24D-A422-0FB2574FB9FD}">
      <text>
        <r>
          <rPr>
            <sz val="10"/>
            <color rgb="FF000000"/>
            <rFont val="Aptos Narrow"/>
            <scheme val="minor"/>
          </rPr>
          <t>======
ID#AAABjx7qPdA
    (2025-05-21 11:33:24)
1031 chloe: 收到銀行通知US$4,574.7</t>
        </r>
      </text>
    </comment>
    <comment ref="M2501" authorId="0" shapeId="0" xr:uid="{D1159478-158B-944C-A8E4-C8416D84787C}">
      <text>
        <r>
          <rPr>
            <sz val="10"/>
            <color rgb="FF000000"/>
            <rFont val="Aptos Narrow"/>
            <scheme val="minor"/>
          </rPr>
          <t>======
ID#AAABjx7qVt4
    (2025-05-21 11:33:27)
1003 chloe: 只送來10 PCS
追加 6 PCS (10/6 機車快遞送貨)</t>
        </r>
      </text>
    </comment>
    <comment ref="H2502" authorId="0" shapeId="0" xr:uid="{BD1B6163-56DD-6240-8300-FC57670AF8F0}">
      <text>
        <r>
          <rPr>
            <sz val="10"/>
            <color rgb="FF000000"/>
            <rFont val="Aptos Narrow"/>
            <scheme val="minor"/>
          </rPr>
          <t>======
ID#AAABjx7qQuA
    (2025-05-21 11:33:25)
1124 Santiago : 已收到匯款2950</t>
        </r>
      </text>
    </comment>
    <comment ref="H2503" authorId="0" shapeId="0" xr:uid="{B3C53E2F-8A0B-6D4A-9626-E5B02068D323}">
      <text>
        <r>
          <rPr>
            <sz val="10"/>
            <color rgb="FF000000"/>
            <rFont val="Aptos Narrow"/>
            <scheme val="minor"/>
          </rPr>
          <t>======
ID#AAABjx7qQTA
    (2025-05-21 11:33:25)
1124 Santiago : 已收到匯款2950</t>
        </r>
      </text>
    </comment>
    <comment ref="H2504" authorId="0" shapeId="0" xr:uid="{1AFB4E10-EB2D-ED44-AC89-F0F1E02DF7C6}">
      <text>
        <r>
          <rPr>
            <sz val="10"/>
            <color rgb="FF000000"/>
            <rFont val="Aptos Narrow"/>
            <scheme val="minor"/>
          </rPr>
          <t>======
ID#AAABjx7qRz4
    (2025-05-21 11:33:25)
1002 chloe:收到銀行通知US$634</t>
        </r>
      </text>
    </comment>
    <comment ref="M2504" authorId="0" shapeId="0" xr:uid="{4B786505-1E7D-014B-9A0D-947B7199F88F}">
      <text>
        <r>
          <rPr>
            <sz val="10"/>
            <color rgb="FF000000"/>
            <rFont val="Aptos Narrow"/>
            <scheme val="minor"/>
          </rPr>
          <t>======
ID#AAABjx7qWIw
    (2025-05-21 11:33:27)
2週
預計10/4到貨</t>
        </r>
      </text>
    </comment>
    <comment ref="H2505" authorId="0" shapeId="0" xr:uid="{4395570B-3ADE-5E4F-8931-37F74620A8E4}">
      <text>
        <r>
          <rPr>
            <sz val="10"/>
            <color rgb="FF000000"/>
            <rFont val="Aptos Narrow"/>
            <scheme val="minor"/>
          </rPr>
          <t>======
ID#AAABjx7qRBM
    (2025-05-21 11:33:25)
1002 chloe:收到銀行通知US$634</t>
        </r>
      </text>
    </comment>
    <comment ref="M2505" authorId="0" shapeId="0" xr:uid="{FF407857-4866-B64F-AAC8-0B417797FA78}">
      <text>
        <r>
          <rPr>
            <sz val="10"/>
            <color rgb="FF000000"/>
            <rFont val="Aptos Narrow"/>
            <scheme val="minor"/>
          </rPr>
          <t>======
ID#AAABjx7qN-U
    (2025-05-21 11:33:23)
2週
預計10/4到貨</t>
        </r>
      </text>
    </comment>
    <comment ref="H2506" authorId="0" shapeId="0" xr:uid="{70D44FB7-0D02-A24F-A938-0D0BF9B62D16}">
      <text>
        <r>
          <rPr>
            <sz val="10"/>
            <color rgb="FF000000"/>
            <rFont val="Aptos Narrow"/>
            <scheme val="minor"/>
          </rPr>
          <t>======
ID#AAABjx7qSr4
    (2025-05-21 11:33:26)
1002 chloe:收到銀行通知US$634</t>
        </r>
      </text>
    </comment>
    <comment ref="M2506" authorId="0" shapeId="0" xr:uid="{10F9B556-567D-9A46-B145-611C9E0A4D51}">
      <text>
        <r>
          <rPr>
            <sz val="10"/>
            <color rgb="FF000000"/>
            <rFont val="Aptos Narrow"/>
            <scheme val="minor"/>
          </rPr>
          <t>======
ID#AAABjx7qVFI
    (2025-05-21 11:33:27)
2週
20170927到貨</t>
        </r>
      </text>
    </comment>
    <comment ref="H2507" authorId="0" shapeId="0" xr:uid="{3523ACE3-1C43-8D42-87BE-11EE20620096}">
      <text>
        <r>
          <rPr>
            <sz val="10"/>
            <color rgb="FF000000"/>
            <rFont val="Aptos Narrow"/>
            <scheme val="minor"/>
          </rPr>
          <t>======
ID#AAABjx7qQa0
    (2025-05-21 11:33:25)
1002 chloe:收到銀行通知US$634</t>
        </r>
      </text>
    </comment>
    <comment ref="M2507" authorId="0" shapeId="0" xr:uid="{FC173E1F-2380-E34F-AD0A-AE4D83B0E660}">
      <text>
        <r>
          <rPr>
            <sz val="10"/>
            <color rgb="FF000000"/>
            <rFont val="Aptos Narrow"/>
            <scheme val="minor"/>
          </rPr>
          <t>======
ID#AAABjx7qVM8
    (2025-05-21 11:33:27)
交期5天，US$34.1 
0925 chloe:詢問交期是否可更改10/2</t>
        </r>
      </text>
    </comment>
    <comment ref="H2508" authorId="0" shapeId="0" xr:uid="{0C49ABB9-3F6F-6944-A778-DCC2A7AE918A}">
      <text>
        <r>
          <rPr>
            <sz val="10"/>
            <color rgb="FF000000"/>
            <rFont val="Aptos Narrow"/>
            <scheme val="minor"/>
          </rPr>
          <t>======
ID#AAABjx7qWKU
    (2025-05-21 11:33:27)
1002 chloe:收到銀行通知US$634</t>
        </r>
      </text>
    </comment>
    <comment ref="M2508" authorId="0" shapeId="0" xr:uid="{ED0DEFA0-8288-9347-A712-B4B4843BC4B3}">
      <text>
        <r>
          <rPr>
            <sz val="10"/>
            <color rgb="FF000000"/>
            <rFont val="Aptos Narrow"/>
            <scheme val="minor"/>
          </rPr>
          <t>======
ID#AAABjx7qPz4
    (2025-05-21 11:33:24)
3D缺料，2D有現貨MI3MB1125604SN
0925 chloe:詢問交期是否可更改10/2</t>
        </r>
      </text>
    </comment>
    <comment ref="E2509" authorId="0" shapeId="0" xr:uid="{B4ECF5FA-D595-6B45-AD96-924BBD0BBAD1}">
      <text>
        <r>
          <rPr>
            <sz val="10"/>
            <color rgb="FF000000"/>
            <rFont val="Aptos Narrow"/>
            <scheme val="minor"/>
          </rPr>
          <t>======
ID#AAABjx7qWCQ
    (2025-05-21 11:33:27)
請新漢提供 Windows Embedded Standard 7 - WES 7 (7WT-00049)的下載Link及金鑰
1102 chloe: 已取得 新漢NISE 104  OS Image</t>
        </r>
      </text>
    </comment>
    <comment ref="H2509" authorId="0" shapeId="0" xr:uid="{AA19EDBF-6EC9-B942-92FF-16FA636F3277}">
      <text>
        <r>
          <rPr>
            <sz val="10"/>
            <color rgb="FF000000"/>
            <rFont val="Aptos Narrow"/>
            <scheme val="minor"/>
          </rPr>
          <t>======
ID#AAABjx7qTSs
    (2025-05-21 11:33:26)
1002 chloe:收到銀行通知US$634</t>
        </r>
      </text>
    </comment>
    <comment ref="M2509" authorId="0" shapeId="0" xr:uid="{B464825A-F73B-FD46-8C64-65F197A277D0}">
      <text>
        <r>
          <rPr>
            <sz val="10"/>
            <color rgb="FF000000"/>
            <rFont val="Aptos Narrow"/>
            <scheme val="minor"/>
          </rPr>
          <t>======
ID#AAABjx7qOX0
    (2025-05-21 11:33:24)
研華 交期:10/4；價格:US$78
捷毅 交期: 3天；價格:US$72
新漢 交期:1-2週；價格:US$70</t>
        </r>
      </text>
    </comment>
    <comment ref="H2510" authorId="0" shapeId="0" xr:uid="{A3F40D22-B0AE-7F48-84FB-74FA27D63CC9}">
      <text>
        <r>
          <rPr>
            <sz val="10"/>
            <color rgb="FF000000"/>
            <rFont val="Aptos Narrow"/>
            <scheme val="minor"/>
          </rPr>
          <t>======
ID#AAABjx7qN3o
    (2025-05-21 11:33:23)
1002 chloe:收到銀行通知US$634</t>
        </r>
      </text>
    </comment>
    <comment ref="M2510" authorId="0" shapeId="0" xr:uid="{F7C3259C-B9B6-2843-B8AE-811A075AEA46}">
      <text>
        <r>
          <rPr>
            <sz val="10"/>
            <color rgb="FF000000"/>
            <rFont val="Aptos Narrow"/>
            <scheme val="minor"/>
          </rPr>
          <t>======
ID#AAABjx7qNXg
    (2025-05-21 11:33:23)
研華 交期:10/4；價格:US$78
捷毅 交期: 3天；價格:US$72
新漢 交期:1-2週；價格:US$70</t>
        </r>
      </text>
    </comment>
    <comment ref="H2511" authorId="0" shapeId="0" xr:uid="{7870D04D-2A6E-BA4B-86B5-E49511886B8C}">
      <text>
        <r>
          <rPr>
            <sz val="10"/>
            <color rgb="FF000000"/>
            <rFont val="Aptos Narrow"/>
            <scheme val="minor"/>
          </rPr>
          <t>======
ID#AAABj82dpEg
    (2025-05-21 11:33:23)
1124 Santiago 收到匯款US$10707</t>
        </r>
      </text>
    </comment>
    <comment ref="M2511" authorId="0" shapeId="0" xr:uid="{B2194C54-50E1-5844-8920-D9E8323F3A38}">
      <text>
        <r>
          <rPr>
            <sz val="10"/>
            <color rgb="FF000000"/>
            <rFont val="Aptos Narrow"/>
            <scheme val="minor"/>
          </rPr>
          <t>======
ID#AAABjx7qOKo
    (2025-05-21 11:33:24)
0929 已交給Leon</t>
        </r>
      </text>
    </comment>
    <comment ref="H2512" authorId="0" shapeId="0" xr:uid="{A4246DD3-7865-9742-B687-B8ED5DC89117}">
      <text>
        <r>
          <rPr>
            <sz val="10"/>
            <color rgb="FF000000"/>
            <rFont val="Aptos Narrow"/>
            <scheme val="minor"/>
          </rPr>
          <t>======
ID#AAABjx7qPQw
    (2025-05-21 11:33:24)
20171124 Santiago 收到US$10707</t>
        </r>
      </text>
    </comment>
    <comment ref="K2512" authorId="0" shapeId="0" xr:uid="{27B005A1-8375-9C4F-81A7-626A5CEC4ED2}">
      <text>
        <r>
          <rPr>
            <sz val="10"/>
            <color rgb="FF000000"/>
            <rFont val="Aptos Narrow"/>
            <scheme val="minor"/>
          </rPr>
          <t>======
ID#AAABjx7qNXw
    (2025-05-21 11:33:23)
兩箱
5002LPx4 (70x40x40cm)
5002LPx1 (38x34x17cm)</t>
        </r>
      </text>
    </comment>
    <comment ref="M2512" authorId="0" shapeId="0" xr:uid="{E886840F-CA2E-9A44-9B49-3B74E1358FA6}">
      <text>
        <r>
          <rPr>
            <sz val="10"/>
            <color rgb="FF000000"/>
            <rFont val="Aptos Narrow"/>
            <scheme val="minor"/>
          </rPr>
          <t>======
ID#AAABjx7qPj0
    (2025-05-21 11:33:24)
交期1週</t>
        </r>
      </text>
    </comment>
    <comment ref="H2513" authorId="0" shapeId="0" xr:uid="{39870C5D-0247-174B-AEA5-17BDD3EFCD4F}">
      <text>
        <r>
          <rPr>
            <sz val="10"/>
            <color rgb="FF000000"/>
            <rFont val="Aptos Narrow"/>
            <scheme val="minor"/>
          </rPr>
          <t>======
ID#AAABjx7qOPI
    (2025-05-21 11:33:24)
20171124 Santiago 收到US$10707</t>
        </r>
      </text>
    </comment>
    <comment ref="K2513" authorId="0" shapeId="0" xr:uid="{A9B1515F-F659-0840-ABF7-67AD93F2A6DA}">
      <text>
        <r>
          <rPr>
            <sz val="10"/>
            <color rgb="FF000000"/>
            <rFont val="Aptos Narrow"/>
            <scheme val="minor"/>
          </rPr>
          <t>======
ID#AAABjx7qR20
    (2025-05-21 11:33:25)
兩箱
5002LPx4 (70x40x40cm)
5002LPx1 (38x34x17cm)</t>
        </r>
      </text>
    </comment>
    <comment ref="M2513" authorId="0" shapeId="0" xr:uid="{7C4D761B-6E7C-0C4E-B511-6FA32A7C7F71}">
      <text>
        <r>
          <rPr>
            <sz val="10"/>
            <color rgb="FF000000"/>
            <rFont val="Aptos Narrow"/>
            <scheme val="minor"/>
          </rPr>
          <t>======
ID#AAABjx7qOmo
    (2025-05-21 11:33:24)
交期1週</t>
        </r>
      </text>
    </comment>
    <comment ref="M2514" authorId="0" shapeId="0" xr:uid="{C2EE7399-B498-7446-AA5B-0A3C98B03397}">
      <text>
        <r>
          <rPr>
            <sz val="10"/>
            <color rgb="FF000000"/>
            <rFont val="Aptos Narrow"/>
            <scheme val="minor"/>
          </rPr>
          <t>======
ID#AAABjx7qRq4
    (2025-05-21 11:33:25)
預計10/13到貨</t>
        </r>
      </text>
    </comment>
    <comment ref="H2515" authorId="0" shapeId="0" xr:uid="{956C91D9-0A46-524B-AD1E-8E0AE9A8A464}">
      <text>
        <r>
          <rPr>
            <sz val="10"/>
            <color rgb="FF000000"/>
            <rFont val="Aptos Narrow"/>
            <scheme val="minor"/>
          </rPr>
          <t>======
ID#AAABjx7qM08
    (2025-05-21 11:33:23)
1124 Santiago 收到匯款US$10707</t>
        </r>
      </text>
    </comment>
    <comment ref="M2515" authorId="0" shapeId="0" xr:uid="{50B036E1-DA53-7149-88C8-3FEA4B8ED979}">
      <text>
        <r>
          <rPr>
            <sz val="10"/>
            <color rgb="FF000000"/>
            <rFont val="Aptos Narrow"/>
            <scheme val="minor"/>
          </rPr>
          <t>======
ID#AAABjx7qNfo
    (2025-05-21 11:33:23)
2週
Leon 預計10/5到貨</t>
        </r>
      </text>
    </comment>
    <comment ref="H2516" authorId="0" shapeId="0" xr:uid="{D1F0975C-73B6-3340-9DBB-E61225F6FCAF}">
      <text>
        <r>
          <rPr>
            <sz val="10"/>
            <color rgb="FF000000"/>
            <rFont val="Aptos Narrow"/>
            <scheme val="minor"/>
          </rPr>
          <t>======
ID#AAABjx7qVmw
    (2025-05-21 11:33:27)
20171124 Santiago 收到US$10707</t>
        </r>
      </text>
    </comment>
    <comment ref="K2516" authorId="0" shapeId="0" xr:uid="{198C0C00-582B-3F41-AC6A-DF6104AD131B}">
      <text>
        <r>
          <rPr>
            <sz val="10"/>
            <color rgb="FF000000"/>
            <rFont val="Aptos Narrow"/>
            <scheme val="minor"/>
          </rPr>
          <t>======
ID#AAABjx7qRDY
    (2025-05-21 11:33:25)
兩箱
5002LPx4 (70x40x40cm)
5002LPx1 (38x34x17cm)</t>
        </r>
      </text>
    </comment>
    <comment ref="M2516" authorId="0" shapeId="0" xr:uid="{216E68C6-8C51-3D43-A039-A8EEBBE1E607}">
      <text>
        <r>
          <rPr>
            <sz val="10"/>
            <color rgb="FF000000"/>
            <rFont val="Aptos Narrow"/>
            <scheme val="minor"/>
          </rPr>
          <t>======
ID#AAABjx7qQd8
    (2025-05-21 11:33:25)
交期7~10天</t>
        </r>
      </text>
    </comment>
    <comment ref="H2517" authorId="0" shapeId="0" xr:uid="{762A02C6-6AFC-0F4D-8E36-D9D0DEBDD41C}">
      <text>
        <r>
          <rPr>
            <sz val="10"/>
            <color rgb="FF000000"/>
            <rFont val="Aptos Narrow"/>
            <scheme val="minor"/>
          </rPr>
          <t>======
ID#AAABjx7qQuo
    (2025-05-21 11:33:25)
20171124 Santiago 收到US$10707</t>
        </r>
      </text>
    </comment>
    <comment ref="K2517" authorId="0" shapeId="0" xr:uid="{690C3FD7-050A-B44F-B117-A03BFD4B82B6}">
      <text>
        <r>
          <rPr>
            <sz val="10"/>
            <color rgb="FF000000"/>
            <rFont val="Aptos Narrow"/>
            <scheme val="minor"/>
          </rPr>
          <t>======
ID#AAABjx7qObk
    (2025-05-21 11:33:24)
兩箱
5002LPx4 (70x40x40cm)
5002LPx1 (38x34x17cm)</t>
        </r>
      </text>
    </comment>
    <comment ref="M2517" authorId="0" shapeId="0" xr:uid="{077A0B43-EA54-754D-B1B6-3066B9ACD030}">
      <text>
        <r>
          <rPr>
            <sz val="10"/>
            <color rgb="FF000000"/>
            <rFont val="Aptos Narrow"/>
            <scheme val="minor"/>
          </rPr>
          <t>======
ID#AAABjx7qNjw
    (2025-05-21 11:33:23)
有庫存</t>
        </r>
      </text>
    </comment>
    <comment ref="H2518" authorId="0" shapeId="0" xr:uid="{46E8C8F8-315F-F943-A653-281C4505DD75}">
      <text>
        <r>
          <rPr>
            <sz val="10"/>
            <color rgb="FF000000"/>
            <rFont val="Aptos Narrow"/>
            <scheme val="minor"/>
          </rPr>
          <t>======
ID#AAABjx7qPWI
    (2025-05-21 11:33:24)
20171124 Santiago 收到US$10707</t>
        </r>
      </text>
    </comment>
    <comment ref="K2518" authorId="0" shapeId="0" xr:uid="{40BE0949-EF6E-7940-8B36-4F04C8A10502}">
      <text>
        <r>
          <rPr>
            <sz val="10"/>
            <color rgb="FF000000"/>
            <rFont val="Aptos Narrow"/>
            <scheme val="minor"/>
          </rPr>
          <t>======
ID#AAABjx7qOGw
    (2025-05-21 11:33:24)
兩箱
5002LPx4 (70x40x40cm)
5002LPx1 (38x34x17cm)</t>
        </r>
      </text>
    </comment>
    <comment ref="M2518" authorId="0" shapeId="0" xr:uid="{12D23637-086F-0D48-8BC3-50EC3709DA22}">
      <text>
        <r>
          <rPr>
            <sz val="10"/>
            <color rgb="FF000000"/>
            <rFont val="Aptos Narrow"/>
            <scheme val="minor"/>
          </rPr>
          <t>======
ID#AAABjx7qVEw
    (2025-05-21 11:33:27)
交期7~10天</t>
        </r>
      </text>
    </comment>
    <comment ref="H2519" authorId="0" shapeId="0" xr:uid="{B2FF52BC-3693-D94F-B005-F1D382E6FD18}">
      <text>
        <r>
          <rPr>
            <sz val="10"/>
            <color rgb="FF000000"/>
            <rFont val="Aptos Narrow"/>
            <scheme val="minor"/>
          </rPr>
          <t>======
ID#AAABjx7qM74
    (2025-05-21 11:33:23)
20171124 Santiago 收到US$10707</t>
        </r>
      </text>
    </comment>
    <comment ref="K2519" authorId="0" shapeId="0" xr:uid="{E6F3D4A7-5E75-B148-A923-8BE3B91DCC8F}">
      <text>
        <r>
          <rPr>
            <sz val="10"/>
            <color rgb="FF000000"/>
            <rFont val="Aptos Narrow"/>
            <scheme val="minor"/>
          </rPr>
          <t>======
ID#AAABjx7qMsM
    (2025-05-21 11:33:23)
兩箱
5002LPx4 (70x40x40cm)
5002LPx1 (38x34x17cm)</t>
        </r>
      </text>
    </comment>
    <comment ref="M2519" authorId="0" shapeId="0" xr:uid="{0CF129E8-13F6-BE49-8F4B-09821388AB7B}">
      <text>
        <r>
          <rPr>
            <sz val="10"/>
            <color rgb="FF000000"/>
            <rFont val="Aptos Narrow"/>
            <scheme val="minor"/>
          </rPr>
          <t>======
ID#AAABjx7qQss
    (2025-05-21 11:33:25)
有庫存</t>
        </r>
      </text>
    </comment>
    <comment ref="H2521" authorId="0" shapeId="0" xr:uid="{4CCC40D8-7DDB-E248-938C-F150066F305A}">
      <text>
        <r>
          <rPr>
            <sz val="10"/>
            <color rgb="FF000000"/>
            <rFont val="Aptos Narrow"/>
            <scheme val="minor"/>
          </rPr>
          <t>======
ID#AAABjx7qTiY
    (2025-05-21 11:33:26)
1020 收到支票 NT51075元，待10
/30 兌現
1030 chloe 入帳</t>
        </r>
      </text>
    </comment>
    <comment ref="Z2521" authorId="0" shapeId="0" xr:uid="{10C70778-C5C9-9C49-9C88-FEF0C814AAAE}">
      <text>
        <r>
          <rPr>
            <sz val="10"/>
            <color rgb="FF000000"/>
            <rFont val="Aptos Narrow"/>
            <scheme val="minor"/>
          </rPr>
          <t>======
ID#AAABjx7qPCM
    (2025-05-21 11:33:24)
1003 Chloe: 發票10/5會開立寄出
1012 chloe:發票已在9月給會計</t>
        </r>
      </text>
    </comment>
    <comment ref="H2522" authorId="0" shapeId="0" xr:uid="{21F837A5-C568-2345-9AD1-B1FFA47D0189}">
      <text>
        <r>
          <rPr>
            <sz val="10"/>
            <color rgb="FF000000"/>
            <rFont val="Aptos Narrow"/>
            <scheme val="minor"/>
          </rPr>
          <t>======
ID#AAABjx7qM9Q
    (2025-05-21 11:33:23)
1020 收到支票 NT51075元，待10
/30 兌現
1030 chloe 入帳</t>
        </r>
      </text>
    </comment>
    <comment ref="Z2522" authorId="0" shapeId="0" xr:uid="{4D8E5964-C138-A04E-AC4C-02C91E09DBB5}">
      <text>
        <r>
          <rPr>
            <sz val="10"/>
            <color rgb="FF000000"/>
            <rFont val="Aptos Narrow"/>
            <scheme val="minor"/>
          </rPr>
          <t>======
ID#AAABjx7qNZk
    (2025-05-21 11:33:23)
1003 Chloe: 發票10/5會開立寄出</t>
        </r>
      </text>
    </comment>
    <comment ref="H2523" authorId="0" shapeId="0" xr:uid="{0C8234E3-B50C-6749-B9FE-D2DE1EA7CDE4}">
      <text>
        <r>
          <rPr>
            <sz val="10"/>
            <color rgb="FF000000"/>
            <rFont val="Aptos Narrow"/>
            <scheme val="minor"/>
          </rPr>
          <t>======
ID#AAABjx7qSt8
    (2025-05-21 11:33:26)
1124 Santiago : 已收到匯款2950</t>
        </r>
      </text>
    </comment>
    <comment ref="H2524" authorId="0" shapeId="0" xr:uid="{CFA8769B-DDDB-2A4E-BBB0-97E3763E767B}">
      <text>
        <r>
          <rPr>
            <sz val="10"/>
            <color rgb="FF000000"/>
            <rFont val="Aptos Narrow"/>
            <scheme val="minor"/>
          </rPr>
          <t>======
ID#AAABjx7qSqA
    (2025-05-21 11:33:26)
1124 Santiago : 已收到匯款2950</t>
        </r>
      </text>
    </comment>
    <comment ref="E2525" authorId="0" shapeId="0" xr:uid="{4F2D024C-DF65-D343-8759-DB1E32455DF1}">
      <text>
        <r>
          <rPr>
            <sz val="10"/>
            <color rgb="FF000000"/>
            <rFont val="Aptos Narrow"/>
            <scheme val="minor"/>
          </rPr>
          <t>======
ID#AAABjx7qTZw
    (2025-05-21 11:33:26)
20170928 chloe: EOL，替代:HDR-15-12</t>
        </r>
      </text>
    </comment>
    <comment ref="H2525" authorId="0" shapeId="0" xr:uid="{292F258F-318E-B04B-8510-AD532631BC46}">
      <text>
        <r>
          <rPr>
            <sz val="10"/>
            <color rgb="FF000000"/>
            <rFont val="Aptos Narrow"/>
            <scheme val="minor"/>
          </rPr>
          <t>======
ID#AAABjx7qTVc
    (2025-05-21 11:33:26)
1003 chloe:收到轉帳NT2684</t>
        </r>
      </text>
    </comment>
    <comment ref="M2525" authorId="0" shapeId="0" xr:uid="{46351F4C-1E9E-D142-A6D9-A60082EAF7D8}">
      <text>
        <r>
          <rPr>
            <sz val="10"/>
            <color rgb="FF000000"/>
            <rFont val="Aptos Narrow"/>
            <scheme val="minor"/>
          </rPr>
          <t>======
ID#AAABjx7qPu8
    (2025-05-21 11:33:24)
現貨:9 PCS(EOL)
改為HDR-15-12</t>
        </r>
      </text>
    </comment>
    <comment ref="H2526" authorId="0" shapeId="0" xr:uid="{1BE21DD5-D345-3F4A-8B58-1B693B0E30CE}">
      <text>
        <r>
          <rPr>
            <sz val="10"/>
            <color rgb="FF000000"/>
            <rFont val="Aptos Narrow"/>
            <scheme val="minor"/>
          </rPr>
          <t>======
ID#AAABjx7qQA4
    (2025-05-21 11:33:25)
1031 chloe: 收到銀行通知US$4,574.7</t>
        </r>
      </text>
    </comment>
    <comment ref="H2527" authorId="0" shapeId="0" xr:uid="{71E2E378-6859-6343-AD18-C86202DE0DAE}">
      <text>
        <r>
          <rPr>
            <sz val="10"/>
            <color rgb="FF000000"/>
            <rFont val="Aptos Narrow"/>
            <scheme val="minor"/>
          </rPr>
          <t>======
ID#AAABjx7qTpQ
    (2025-05-21 11:33:26)
1031 chloe: 收到銀行通知US$4,574.7</t>
        </r>
      </text>
    </comment>
    <comment ref="M2527" authorId="0" shapeId="0" xr:uid="{C8F69E80-06E0-D146-8542-00BA5F29030D}">
      <text>
        <r>
          <rPr>
            <sz val="10"/>
            <color rgb="FF000000"/>
            <rFont val="Aptos Narrow"/>
            <scheme val="minor"/>
          </rPr>
          <t>======
ID#AAABjx7qQNw
    (2025-05-21 11:33:25)
戎克庫存:5 PCS
亞驪 7 PCS交期待回覆</t>
        </r>
      </text>
    </comment>
    <comment ref="H2528" authorId="0" shapeId="0" xr:uid="{4DA2BE09-B6B8-124A-9CD3-2991CC8856C0}">
      <text>
        <r>
          <rPr>
            <sz val="10"/>
            <color rgb="FF000000"/>
            <rFont val="Aptos Narrow"/>
            <scheme val="minor"/>
          </rPr>
          <t>======
ID#AAABjx7qRw0
    (2025-05-21 11:33:25)
1225 Santiago: US$18317 入帳
客戶多付US$40 RMA 費用</t>
        </r>
      </text>
    </comment>
    <comment ref="H2529" authorId="0" shapeId="0" xr:uid="{839A44D9-BB17-D143-B338-C61D1FB7F03F}">
      <text>
        <r>
          <rPr>
            <sz val="10"/>
            <color rgb="FF000000"/>
            <rFont val="Aptos Narrow"/>
            <scheme val="minor"/>
          </rPr>
          <t>======
ID#AAABjx7qOZk
    (2025-05-21 11:33:24)
1225 Santiago: US$18317 入帳
客戶多付US$40 RMA 費用</t>
        </r>
      </text>
    </comment>
    <comment ref="H2530" authorId="0" shapeId="0" xr:uid="{2D9079E7-2C6F-E54B-BF33-B6E3DA93BBC5}">
      <text>
        <r>
          <rPr>
            <sz val="10"/>
            <color rgb="FF000000"/>
            <rFont val="Aptos Narrow"/>
            <scheme val="minor"/>
          </rPr>
          <t>======
ID#AAABjx7qR4k
    (2025-05-21 11:33:25)
1225 Santiago: US$18317 入帳
客戶多付US$40 RMA 費用</t>
        </r>
      </text>
    </comment>
    <comment ref="H2531" authorId="0" shapeId="0" xr:uid="{F21FBFB9-9B23-3F46-A47F-CB193230B16A}">
      <text>
        <r>
          <rPr>
            <sz val="10"/>
            <color rgb="FF000000"/>
            <rFont val="Aptos Narrow"/>
            <scheme val="minor"/>
          </rPr>
          <t>======
ID#AAABjx7qS-8
    (2025-05-21 11:33:26)
1225 Santiago: US$18317 入帳
客戶多付US$40 RMA 費用</t>
        </r>
      </text>
    </comment>
    <comment ref="M2531" authorId="0" shapeId="0" xr:uid="{CDB124B4-4E34-AF48-A06D-DD3EA6BDE5D7}">
      <text>
        <r>
          <rPr>
            <sz val="10"/>
            <color rgb="FF000000"/>
            <rFont val="Aptos Narrow"/>
            <scheme val="minor"/>
          </rPr>
          <t>======
ID#AAABjx7qNaQ
    (2025-05-21 11:33:23)
預計11/6到貨</t>
        </r>
      </text>
    </comment>
    <comment ref="H2532" authorId="0" shapeId="0" xr:uid="{7E0695D9-1D9D-B249-9D7C-FE196FA7D8D0}">
      <text>
        <r>
          <rPr>
            <sz val="10"/>
            <color rgb="FF000000"/>
            <rFont val="Aptos Narrow"/>
            <scheme val="minor"/>
          </rPr>
          <t>======
ID#AAABjx7qQqs
    (2025-05-21 11:33:25)
1225 Santiago: US$18317 入帳
客戶多付US$40 RMA 費用</t>
        </r>
      </text>
    </comment>
    <comment ref="M2532" authorId="0" shapeId="0" xr:uid="{C206DFB0-50F4-E146-A58D-5F626D68107D}">
      <text>
        <r>
          <rPr>
            <sz val="10"/>
            <color rgb="FF000000"/>
            <rFont val="Aptos Narrow"/>
            <scheme val="minor"/>
          </rPr>
          <t>======
ID#AAABjx7qSUU
    (2025-05-21 11:33:26)
預計11/6到貨</t>
        </r>
      </text>
    </comment>
    <comment ref="H2533" authorId="0" shapeId="0" xr:uid="{C6FD61C1-FE02-BD4E-8034-E77AC9190F7F}">
      <text>
        <r>
          <rPr>
            <sz val="10"/>
            <color rgb="FF000000"/>
            <rFont val="Aptos Narrow"/>
            <scheme val="minor"/>
          </rPr>
          <t>======
ID#AAABjx7qO90
    (2025-05-21 11:33:24)
1225 Santiago: US$18317 入帳
客戶多付US$40 RMA 費用</t>
        </r>
      </text>
    </comment>
    <comment ref="M2533" authorId="0" shapeId="0" xr:uid="{4916416B-550B-E54F-B15B-8567685AD9D7}">
      <text>
        <r>
          <rPr>
            <sz val="10"/>
            <color rgb="FF000000"/>
            <rFont val="Aptos Narrow"/>
            <scheme val="minor"/>
          </rPr>
          <t>======
ID#AAABjx7qSjU
    (2025-05-21 11:33:26)
預計11/6到貨</t>
        </r>
      </text>
    </comment>
    <comment ref="E2534" authorId="0" shapeId="0" xr:uid="{014CFEFB-6788-8543-98A9-3F2D18BB241D}">
      <text>
        <r>
          <rPr>
            <sz val="10"/>
            <color rgb="FF000000"/>
            <rFont val="Aptos Narrow"/>
            <scheme val="minor"/>
          </rPr>
          <t>======
ID#AAABjx7qQhM
    (2025-05-21 11:33:25)
11/12 michelle: 58-80024-0000</t>
        </r>
      </text>
    </comment>
    <comment ref="H2534" authorId="0" shapeId="0" xr:uid="{9752C858-6144-E847-B3AB-EA3F78A05CF3}">
      <text>
        <r>
          <rPr>
            <sz val="10"/>
            <color rgb="FF000000"/>
            <rFont val="Aptos Narrow"/>
            <scheme val="minor"/>
          </rPr>
          <t>======
ID#AAABjx7qPmU
    (2025-05-21 11:33:24)
1225 Santiago: US$18317 入帳
客戶多付US$40 RMA 費用</t>
        </r>
      </text>
    </comment>
    <comment ref="M2534" authorId="0" shapeId="0" xr:uid="{CDB92007-78B6-5141-8A9A-FD73625C6A63}">
      <text>
        <r>
          <rPr>
            <sz val="10"/>
            <color rgb="FF000000"/>
            <rFont val="Aptos Narrow"/>
            <scheme val="minor"/>
          </rPr>
          <t>======
ID#AAABjx7qPvA
    (2025-05-21 11:33:24)
預計11/6到貨</t>
        </r>
      </text>
    </comment>
    <comment ref="H2535" authorId="0" shapeId="0" xr:uid="{21CF471C-6DC6-3D44-9F3E-AC89E7CE2193}">
      <text>
        <r>
          <rPr>
            <sz val="10"/>
            <color rgb="FF000000"/>
            <rFont val="Aptos Narrow"/>
            <scheme val="minor"/>
          </rPr>
          <t>======
ID#AAABjx7qR2A
    (2025-05-21 11:33:25)
1225 Santiago, 短缺105 已補
1124 Santiago :
P172909NP2 + P171004NP0 應付US$1840
由於Benson 原始PI只寫US$1735, 
因此短缺US$105</t>
        </r>
      </text>
    </comment>
    <comment ref="M2535" authorId="0" shapeId="0" xr:uid="{08EE43AE-2498-7C43-B7BB-73C27E7CE6CF}">
      <text>
        <r>
          <rPr>
            <sz val="10"/>
            <color rgb="FF000000"/>
            <rFont val="Aptos Narrow"/>
            <scheme val="minor"/>
          </rPr>
          <t>======
ID#AAABjx7qOV4
    (2025-05-21 11:33:24)
10月第二三週
1005 chloe:已發信詢問
1006 chloe:宸曜系統問題，故無法回交期
1011 chloe:  交期仍然無法回覆
預計到貨10/25</t>
        </r>
      </text>
    </comment>
    <comment ref="H2536" authorId="0" shapeId="0" xr:uid="{55868BC1-A17F-3841-9F18-A47B86085FD0}">
      <text>
        <r>
          <rPr>
            <sz val="10"/>
            <color rgb="FF000000"/>
            <rFont val="Aptos Narrow"/>
            <scheme val="minor"/>
          </rPr>
          <t>======
ID#AAABjx7qQEE
    (2025-05-21 11:33:25)
1225 Santiago, 短缺105 已補
1124 Santiago :
P172909NP2 + P171004NP0 應付US$1840
由於Benson 原始PI只寫US$1735, 
因此短缺US$105</t>
        </r>
      </text>
    </comment>
    <comment ref="M2536" authorId="0" shapeId="0" xr:uid="{A291A66A-B3A0-8745-9D43-13D5C3E860E2}">
      <text>
        <r>
          <rPr>
            <sz val="10"/>
            <color rgb="FF000000"/>
            <rFont val="Aptos Narrow"/>
            <scheme val="minor"/>
          </rPr>
          <t>======
ID#AAABj82dpGo
    (2025-05-21 11:33:23)
10月第二三週
1005 chloe:已發信詢問
1006 chloe:宸曜系統問題，故無法回交期
1011 chloe:  交期仍然無法回覆
預計到貨10/25</t>
        </r>
      </text>
    </comment>
    <comment ref="M2537" authorId="0" shapeId="0" xr:uid="{155F5212-C7E8-3241-991B-B18F91C8768B}">
      <text>
        <r>
          <rPr>
            <sz val="10"/>
            <color rgb="FF000000"/>
            <rFont val="Aptos Narrow"/>
            <scheme val="minor"/>
          </rPr>
          <t>======
ID#AAABjx7qNlc
    (2025-05-21 11:33:23)
預計10/20到貨</t>
        </r>
      </text>
    </comment>
    <comment ref="E2538" authorId="0" shapeId="0" xr:uid="{925A28C7-A259-184A-B0BA-FDC5241E9336}">
      <text>
        <r>
          <rPr>
            <sz val="10"/>
            <color rgb="FF000000"/>
            <rFont val="Aptos Narrow"/>
            <scheme val="minor"/>
          </rPr>
          <t>======
ID#AAABjx7qPyM
    (2025-05-21 11:33:24)
規格:EU</t>
        </r>
      </text>
    </comment>
    <comment ref="M2538" authorId="0" shapeId="0" xr:uid="{2C0A6E20-2DB9-434A-8021-793A0689282B}">
      <text>
        <r>
          <rPr>
            <sz val="10"/>
            <color rgb="FF000000"/>
            <rFont val="Aptos Narrow"/>
            <scheme val="minor"/>
          </rPr>
          <t>======
ID#AAABjx7qOvw
    (2025-05-21 11:33:24)
預計10/20到貨</t>
        </r>
      </text>
    </comment>
    <comment ref="H2539" authorId="0" shapeId="0" xr:uid="{F128FCDE-75FC-0043-8ED8-8DB7AED0E9A4}">
      <text>
        <r>
          <rPr>
            <sz val="10"/>
            <color rgb="FF000000"/>
            <rFont val="Aptos Narrow"/>
            <scheme val="minor"/>
          </rPr>
          <t>======
ID#AAABjx7qQV0
    (2025-05-21 11:33:25)
1124 Santiago 收到匯款US$10707</t>
        </r>
      </text>
    </comment>
    <comment ref="H2540" authorId="0" shapeId="0" xr:uid="{A83842BF-9B6D-FA45-B692-4908460F4DDA}">
      <text>
        <r>
          <rPr>
            <sz val="10"/>
            <color rgb="FF000000"/>
            <rFont val="Aptos Narrow"/>
            <scheme val="minor"/>
          </rPr>
          <t>======
ID#AAABjx7qQis
    (2025-05-21 11:33:25)
1225 Santiago, 短缺105 已補
1124 Santiago :
P172909NP2 + P171004NP0 應付US$1840
由於Benson 原始PI只寫US$1735, 
因此短缺US$105</t>
        </r>
      </text>
    </comment>
    <comment ref="M2540" authorId="0" shapeId="0" xr:uid="{6741F026-09EB-D847-A5BD-5C3EA5173A3D}">
      <text>
        <r>
          <rPr>
            <sz val="10"/>
            <color rgb="FF000000"/>
            <rFont val="Aptos Narrow"/>
            <scheme val="minor"/>
          </rPr>
          <t>======
ID#AAABjx7qNyc
    (2025-05-21 11:33:23)
交期五天
預計交期10/13</t>
        </r>
      </text>
    </comment>
    <comment ref="H2541" authorId="0" shapeId="0" xr:uid="{561D0EF2-F193-374C-A6E3-865A948D5E35}">
      <text>
        <r>
          <rPr>
            <sz val="10"/>
            <color rgb="FF000000"/>
            <rFont val="Aptos Narrow"/>
            <scheme val="minor"/>
          </rPr>
          <t>======
ID#AAABjx7qV3c
    (2025-05-21 11:33:27)
1124 Sntiago 收到匯款US$10707</t>
        </r>
      </text>
    </comment>
    <comment ref="M2541" authorId="0" shapeId="0" xr:uid="{AB28BCD9-FE02-834D-BF41-2278D3F05603}">
      <text>
        <r>
          <rPr>
            <sz val="10"/>
            <color rgb="FF000000"/>
            <rFont val="Aptos Narrow"/>
            <scheme val="minor"/>
          </rPr>
          <t>======
ID#AAABjx7qTCY
    (2025-05-21 11:33:26)
交期:10/20 那週
1011 chloe:  交期仍然無法回覆
預計到貨10/25</t>
        </r>
      </text>
    </comment>
    <comment ref="H2542" authorId="0" shapeId="0" xr:uid="{3F458790-B8AE-8D4F-AD96-2312B5510F32}">
      <text>
        <r>
          <rPr>
            <sz val="10"/>
            <color rgb="FF000000"/>
            <rFont val="Aptos Narrow"/>
            <scheme val="minor"/>
          </rPr>
          <t>======
ID#AAABjx7qSRU
    (2025-05-21 11:33:26)
1124 Santiago 收到匯款US$10707</t>
        </r>
      </text>
    </comment>
    <comment ref="M2542" authorId="0" shapeId="0" xr:uid="{E3CB77F7-71D7-6E41-A5C6-201256324A6A}">
      <text>
        <r>
          <rPr>
            <sz val="10"/>
            <color rgb="FF000000"/>
            <rFont val="Aptos Narrow"/>
            <scheme val="minor"/>
          </rPr>
          <t>======
ID#AAABjx7qV64
    (2025-05-21 11:33:27)
交期:10/20 那週
1011 chloe:  交期仍然無法回覆
預計到貨10/25</t>
        </r>
      </text>
    </comment>
    <comment ref="H2543" authorId="0" shapeId="0" xr:uid="{86754CED-F3DA-214E-8DE8-DF366E7F75D0}">
      <text>
        <r>
          <rPr>
            <sz val="10"/>
            <color rgb="FF000000"/>
            <rFont val="Aptos Narrow"/>
            <scheme val="minor"/>
          </rPr>
          <t>======
ID#AAABjx7qRjU
    (2025-05-21 11:33:25)
1124 Santiago 收到匯款US$10707</t>
        </r>
      </text>
    </comment>
    <comment ref="M2543" authorId="0" shapeId="0" xr:uid="{9A339ECE-0A24-9E4F-90E3-86BAD38FCD49}">
      <text>
        <r>
          <rPr>
            <sz val="10"/>
            <color rgb="FF000000"/>
            <rFont val="Aptos Narrow"/>
            <scheme val="minor"/>
          </rPr>
          <t>======
ID#AAABjx7qTLc
    (2025-05-21 11:33:26)
交期5天</t>
        </r>
      </text>
    </comment>
    <comment ref="H2544" authorId="0" shapeId="0" xr:uid="{B706348A-7DAA-E244-8E53-58CD6414967D}">
      <text>
        <r>
          <rPr>
            <sz val="10"/>
            <color rgb="FF000000"/>
            <rFont val="Aptos Narrow"/>
            <scheme val="minor"/>
          </rPr>
          <t>======
ID#AAABjx7qVgg
    (2025-05-21 11:33:27)
1124 Santiago 收到匯款US$10707</t>
        </r>
      </text>
    </comment>
    <comment ref="M2544" authorId="0" shapeId="0" xr:uid="{58D04065-D2D8-9E46-8EF2-AD68CBA5BEA6}">
      <text>
        <r>
          <rPr>
            <sz val="10"/>
            <color rgb="FF000000"/>
            <rFont val="Aptos Narrow"/>
            <scheme val="minor"/>
          </rPr>
          <t>======
ID#AAABjx7qVw8
    (2025-05-21 11:33:27)
有庫存</t>
        </r>
      </text>
    </comment>
    <comment ref="H2545" authorId="0" shapeId="0" xr:uid="{D5339C83-4916-BB49-B0DC-A50CBF60DD8D}">
      <text>
        <r>
          <rPr>
            <sz val="10"/>
            <color rgb="FF000000"/>
            <rFont val="Aptos Narrow"/>
            <scheme val="minor"/>
          </rPr>
          <t>======
ID#AAABjx7qMyU
    (2025-05-21 11:33:23)
1024 chloe: 收到銀行通知US$1763</t>
        </r>
      </text>
    </comment>
    <comment ref="K2545" authorId="0" shapeId="0" xr:uid="{0CDE16C1-1AC5-B44B-8447-ADA191ECB0E5}">
      <text>
        <r>
          <rPr>
            <sz val="10"/>
            <color rgb="FF000000"/>
            <rFont val="Aptos Narrow"/>
            <scheme val="minor"/>
          </rPr>
          <t>======
ID#AAABjx7qNK8
    (2025-05-21 11:33:23)
1020 chloe: 待客戶付款後才能出貨</t>
        </r>
      </text>
    </comment>
    <comment ref="H2546" authorId="0" shapeId="0" xr:uid="{60047582-E1BF-D345-BD78-129EF45FD4AF}">
      <text>
        <r>
          <rPr>
            <sz val="10"/>
            <color rgb="FF000000"/>
            <rFont val="Aptos Narrow"/>
            <scheme val="minor"/>
          </rPr>
          <t>======
ID#AAABjx7qRYA
    (2025-05-21 11:33:25)
1024 chloe: 收到銀行通知US$1763</t>
        </r>
      </text>
    </comment>
    <comment ref="K2546" authorId="0" shapeId="0" xr:uid="{882C964D-C941-A740-A3C3-0C5A67FC77C5}">
      <text>
        <r>
          <rPr>
            <sz val="10"/>
            <color rgb="FF000000"/>
            <rFont val="Aptos Narrow"/>
            <scheme val="minor"/>
          </rPr>
          <t>======
ID#AAABjx7qVfs
    (2025-05-21 11:33:27)
1020 chloe: 待客戶付款後才能出貨</t>
        </r>
      </text>
    </comment>
    <comment ref="H2547" authorId="0" shapeId="0" xr:uid="{EE90545B-2920-6346-BAAF-7C5D8804BEFE}">
      <text>
        <r>
          <rPr>
            <sz val="10"/>
            <color rgb="FF000000"/>
            <rFont val="Aptos Narrow"/>
            <scheme val="minor"/>
          </rPr>
          <t>======
ID#AAABjx7qOiQ
    (2025-05-21 11:33:24)
1024 chloe: 收到銀行通知US$1763</t>
        </r>
      </text>
    </comment>
    <comment ref="K2547" authorId="0" shapeId="0" xr:uid="{AC8A7731-DA53-DA4F-86E3-06420A6731A4}">
      <text>
        <r>
          <rPr>
            <sz val="10"/>
            <color rgb="FF000000"/>
            <rFont val="Aptos Narrow"/>
            <scheme val="minor"/>
          </rPr>
          <t>======
ID#AAABjx7qMu8
    (2025-05-21 11:33:23)
1020 chloe: 待客戶付款後才能出貨</t>
        </r>
      </text>
    </comment>
    <comment ref="M2548" authorId="0" shapeId="0" xr:uid="{795CC542-536C-5C42-BC5A-CEE5D50EFD92}">
      <text>
        <r>
          <rPr>
            <sz val="10"/>
            <color rgb="FF000000"/>
            <rFont val="Aptos Narrow"/>
            <scheme val="minor"/>
          </rPr>
          <t>======
ID#AAABjx7qP6o
    (2025-05-21 11:33:24)
預計10/13到貨</t>
        </r>
      </text>
    </comment>
    <comment ref="M2549" authorId="0" shapeId="0" xr:uid="{6DE18A51-B61E-D24E-A523-7C23DD1DF941}">
      <text>
        <r>
          <rPr>
            <sz val="10"/>
            <color rgb="FF000000"/>
            <rFont val="Aptos Narrow"/>
            <scheme val="minor"/>
          </rPr>
          <t>======
ID#AAABjx7qTPg
    (2025-05-21 11:33:26)
預計10/13到貨</t>
        </r>
      </text>
    </comment>
    <comment ref="D2550" authorId="0" shapeId="0" xr:uid="{A7900D0E-28BD-6C4F-8678-73F7AE24079F}">
      <text>
        <r>
          <rPr>
            <sz val="10"/>
            <color rgb="FF000000"/>
            <rFont val="Aptos Narrow"/>
            <scheme val="minor"/>
          </rPr>
          <t>======
ID#AAABjx7qRhU
    (2025-05-21 11:33:25)
NISE 3500和3600客戶沒買DRAM，所以無法抽測，只抽測NISE 2300M 2 PCS</t>
        </r>
      </text>
    </comment>
    <comment ref="H2550" authorId="0" shapeId="0" xr:uid="{9F349D50-9E42-DC49-9C40-117B3219F9F8}">
      <text>
        <r>
          <rPr>
            <sz val="10"/>
            <color rgb="FF000000"/>
            <rFont val="Aptos Narrow"/>
            <scheme val="minor"/>
          </rPr>
          <t>======
ID#AAABjx7qOkQ
    (2025-05-21 11:33:24)
1103 chloe: 收到US$9770 
( 另外US$7350尚未收到)
1213 Santiago : US$7483 已到</t>
        </r>
      </text>
    </comment>
    <comment ref="M2550" authorId="0" shapeId="0" xr:uid="{91889C85-B1DF-294C-893B-40529B983B87}">
      <text>
        <r>
          <rPr>
            <sz val="10"/>
            <color rgb="FF000000"/>
            <rFont val="Aptos Narrow"/>
            <scheme val="minor"/>
          </rPr>
          <t>======
ID#AAABjx7qOPM
    (2025-05-21 11:33:24)
預計10/30到貨</t>
        </r>
      </text>
    </comment>
    <comment ref="H2551" authorId="0" shapeId="0" xr:uid="{BE337197-6F65-FC4E-B4DF-CD3323740D76}">
      <text>
        <r>
          <rPr>
            <sz val="10"/>
            <color rgb="FF000000"/>
            <rFont val="Aptos Narrow"/>
            <scheme val="minor"/>
          </rPr>
          <t>======
ID#AAABjx7qQuY
    (2025-05-21 11:33:25)
1213 Santiago : US$7483 已到
1103 chloe: 收到US$9770 
( 另外US$7350尚未收到)</t>
        </r>
      </text>
    </comment>
    <comment ref="M2551" authorId="0" shapeId="0" xr:uid="{2C4743DB-1C82-5749-9AD4-2ACA288E6FAA}">
      <text>
        <r>
          <rPr>
            <sz val="10"/>
            <color rgb="FF000000"/>
            <rFont val="Aptos Narrow"/>
            <scheme val="minor"/>
          </rPr>
          <t>======
ID#AAABjx7qQd4
    (2025-05-21 11:33:25)
預計10/30到貨</t>
        </r>
      </text>
    </comment>
    <comment ref="H2552" authorId="0" shapeId="0" xr:uid="{A2ECD566-955A-A545-99A1-9AB3E13309BE}">
      <text>
        <r>
          <rPr>
            <sz val="10"/>
            <color rgb="FF000000"/>
            <rFont val="Aptos Narrow"/>
            <scheme val="minor"/>
          </rPr>
          <t>======
ID#AAABjx7qViA
    (2025-05-21 11:33:27)
1213 Santiago : US$7483 已到
1103 chloe: 收到US$9770 
( 另外US$7350尚未收到)</t>
        </r>
      </text>
    </comment>
    <comment ref="M2552" authorId="0" shapeId="0" xr:uid="{EB32169F-1219-6A4D-B27C-CA38857CD9E8}">
      <text>
        <r>
          <rPr>
            <sz val="10"/>
            <color rgb="FF000000"/>
            <rFont val="Aptos Narrow"/>
            <scheme val="minor"/>
          </rPr>
          <t>======
ID#AAABjx7qSEA
    (2025-05-21 11:33:25)
預計10/30到貨</t>
        </r>
      </text>
    </comment>
    <comment ref="H2553" authorId="0" shapeId="0" xr:uid="{48EA2191-6D62-E94D-A5D9-05738E1CF376}">
      <text>
        <r>
          <rPr>
            <sz val="10"/>
            <color rgb="FF000000"/>
            <rFont val="Aptos Narrow"/>
            <scheme val="minor"/>
          </rPr>
          <t>======
ID#AAABjx7qM2Y
    (2025-05-21 11:33:23)
1213 Santiago : US$7483 已到
1103 chloe: 收到US$9770 
( 另外US$7350尚未收到)</t>
        </r>
      </text>
    </comment>
    <comment ref="H2554" authorId="0" shapeId="0" xr:uid="{699F7D69-14D0-864F-9ED5-71C578343B35}">
      <text>
        <r>
          <rPr>
            <sz val="10"/>
            <color rgb="FF000000"/>
            <rFont val="Aptos Narrow"/>
            <scheme val="minor"/>
          </rPr>
          <t>======
ID#AAABjx7qPkQ
    (2025-05-21 11:33:24)
1213 Santiago : US$7483 已到
1103 chloe: 收到US$9770 
( 另外US$7350尚未收到)</t>
        </r>
      </text>
    </comment>
    <comment ref="M2554" authorId="0" shapeId="0" xr:uid="{F6F9B5CB-AC7C-0943-B8CE-325A2CF91C36}">
      <text>
        <r>
          <rPr>
            <sz val="10"/>
            <color rgb="FF000000"/>
            <rFont val="Aptos Narrow"/>
            <scheme val="minor"/>
          </rPr>
          <t>======
ID#AAABjx7qPno
    (2025-05-21 11:33:24)
預計10/25到貨</t>
        </r>
      </text>
    </comment>
    <comment ref="H2555" authorId="0" shapeId="0" xr:uid="{3D01F6AF-6AA8-1641-A33B-13D8AFDE178F}">
      <text>
        <r>
          <rPr>
            <sz val="10"/>
            <color rgb="FF000000"/>
            <rFont val="Aptos Narrow"/>
            <scheme val="minor"/>
          </rPr>
          <t>======
ID#AAABjx7qRl0
    (2025-05-21 11:33:25)
1213 Santiago : US$7483 已到
1103 chloe: 收到US$9770 
( 另外US$7350尚未收到)</t>
        </r>
      </text>
    </comment>
    <comment ref="M2555" authorId="0" shapeId="0" xr:uid="{4A101F47-724D-FF42-8362-EBE82CDBB1F7}">
      <text>
        <r>
          <rPr>
            <sz val="10"/>
            <color rgb="FF000000"/>
            <rFont val="Aptos Narrow"/>
            <scheme val="minor"/>
          </rPr>
          <t>======
ID#AAABjx7qWTY
    (2025-05-21 11:33:27)
預計10/25到貨</t>
        </r>
      </text>
    </comment>
    <comment ref="H2556" authorId="0" shapeId="0" xr:uid="{FBCFE4C0-1F8F-6E4F-BE78-BBB485B4B5A0}">
      <text>
        <r>
          <rPr>
            <sz val="10"/>
            <color rgb="FF000000"/>
            <rFont val="Aptos Narrow"/>
            <scheme val="minor"/>
          </rPr>
          <t>======
ID#AAABjx7qTko
    (2025-05-21 11:33:26)
1213 Santiago : US$7483 已到
1103 chloe: 收到US$9770 
( 另外US$7350尚未收到)</t>
        </r>
      </text>
    </comment>
    <comment ref="M2556" authorId="0" shapeId="0" xr:uid="{6D6FB51E-DFA9-1A41-9D06-B00FC19FC585}">
      <text>
        <r>
          <rPr>
            <sz val="10"/>
            <color rgb="FF000000"/>
            <rFont val="Aptos Narrow"/>
            <scheme val="minor"/>
          </rPr>
          <t>======
ID#AAABjx7qQqU
    (2025-05-21 11:33:25)
預計10/25到貨</t>
        </r>
      </text>
    </comment>
    <comment ref="H2557" authorId="0" shapeId="0" xr:uid="{E49F76EC-0417-D34A-88A0-2D6497A8D6E2}">
      <text>
        <r>
          <rPr>
            <sz val="10"/>
            <color rgb="FF000000"/>
            <rFont val="Aptos Narrow"/>
            <scheme val="minor"/>
          </rPr>
          <t>======
ID#AAABjx7qSmw
    (2025-05-21 11:33:26)
1213 Santiago : US$7483 已到
1103 chloe: 收到US$9770 
( 另外US$7493尚未收到)</t>
        </r>
      </text>
    </comment>
    <comment ref="M2557" authorId="0" shapeId="0" xr:uid="{932E3ECF-CEF0-9D4B-AC69-8AEE931E923C}">
      <text>
        <r>
          <rPr>
            <sz val="10"/>
            <color rgb="FF000000"/>
            <rFont val="Aptos Narrow"/>
            <scheme val="minor"/>
          </rPr>
          <t>======
ID#AAABjx7qSiU
    (2025-05-21 11:33:26)
預計10/25到貨</t>
        </r>
      </text>
    </comment>
    <comment ref="H2558" authorId="0" shapeId="0" xr:uid="{42A352B6-849F-7F46-8DCF-42356A10A502}">
      <text>
        <r>
          <rPr>
            <sz val="10"/>
            <color rgb="FF000000"/>
            <rFont val="Aptos Narrow"/>
            <scheme val="minor"/>
          </rPr>
          <t>======
ID#AAABjx7qV4s
    (2025-05-21 11:33:27)
1225 Santiago, 短缺105 已補
1124 Santiago :
P172909NP2 + P171004NP0 應付US$1840
由於Benson 原始PI只寫US$1735, 
因此短缺US$105</t>
        </r>
      </text>
    </comment>
    <comment ref="M2558" authorId="0" shapeId="0" xr:uid="{EB113232-A8F2-4D49-9A30-EC329F5E3E5A}">
      <text>
        <r>
          <rPr>
            <sz val="10"/>
            <color rgb="FF000000"/>
            <rFont val="Aptos Narrow"/>
            <scheme val="minor"/>
          </rPr>
          <t>======
ID#AAABjx7qSmE
    (2025-05-21 11:33:26)
MezIO-R11: USD15/pcs
1011 chloe:  交期應該這兩天可以回覆
1013 chloe: 10/16 才能得知交期
預計10/19到貨</t>
        </r>
      </text>
    </comment>
    <comment ref="H2559" authorId="0" shapeId="0" xr:uid="{F65B925B-7CF5-F042-886C-851F0F8D4D2D}">
      <text>
        <r>
          <rPr>
            <sz val="10"/>
            <color rgb="FF000000"/>
            <rFont val="Aptos Narrow"/>
            <scheme val="minor"/>
          </rPr>
          <t>======
ID#AAABjx7qQDY
    (2025-05-21 11:33:25)
1213 Santiago : US$7483 已到
1103 chloe: 收到US$9770 
( 另外US$7350尚未收到)</t>
        </r>
      </text>
    </comment>
    <comment ref="M2559" authorId="0" shapeId="0" xr:uid="{8F38CB33-6DA0-7543-8B14-73108B6E7A2C}">
      <text>
        <r>
          <rPr>
            <sz val="10"/>
            <color rgb="FF000000"/>
            <rFont val="Aptos Narrow"/>
            <scheme val="minor"/>
          </rPr>
          <t>======
ID#AAABjx7qNTQ
    (2025-05-21 11:33:23)
7-10天</t>
        </r>
      </text>
    </comment>
    <comment ref="H2560" authorId="0" shapeId="0" xr:uid="{C0339A87-F87D-0D4E-B7AF-AFD85CCD9FDE}">
      <text>
        <r>
          <rPr>
            <sz val="10"/>
            <color rgb="FF000000"/>
            <rFont val="Aptos Narrow"/>
            <scheme val="minor"/>
          </rPr>
          <t>======
ID#AAABjx7qP_4
    (2025-05-21 11:33:25)
1213 Santiago : US$7483 已到
1103 chloe: 收到US$9770 
( 另外US$7350尚未收到)</t>
        </r>
      </text>
    </comment>
    <comment ref="M2560" authorId="0" shapeId="0" xr:uid="{9555A868-4025-FE4E-B70A-0CF845B2D1B0}">
      <text>
        <r>
          <rPr>
            <sz val="10"/>
            <color rgb="FF000000"/>
            <rFont val="Aptos Narrow"/>
            <scheme val="minor"/>
          </rPr>
          <t>======
ID#AAABjx7qSQI
    (2025-05-21 11:33:26)
7-10天</t>
        </r>
      </text>
    </comment>
    <comment ref="H2561" authorId="0" shapeId="0" xr:uid="{7E253881-8026-C149-A080-CF98FC9887C7}">
      <text>
        <r>
          <rPr>
            <sz val="10"/>
            <color rgb="FF000000"/>
            <rFont val="Aptos Narrow"/>
            <scheme val="minor"/>
          </rPr>
          <t>======
ID#AAABjx7qNNY
    (2025-05-21 11:33:23)
1012chloe:收到客戶水單，待銀行通知解款
1016 chloe:收到銀行通知US$2,325</t>
        </r>
      </text>
    </comment>
    <comment ref="K2561" authorId="0" shapeId="0" xr:uid="{F56928AE-4232-2849-BF99-83502842C759}">
      <text>
        <r>
          <rPr>
            <sz val="10"/>
            <color rgb="FF000000"/>
            <rFont val="Aptos Narrow"/>
            <scheme val="minor"/>
          </rPr>
          <t>======
ID#AAABjx7qObs
20171011 Santiago     (2025-05-21 11:33:24)
出貨前通知我照相
20171012 chloe: 已收到客戶水單，可先行出貨</t>
        </r>
      </text>
    </comment>
    <comment ref="M2561" authorId="0" shapeId="0" xr:uid="{A12F2AF6-056B-8B4F-9EF8-842370D7BBEA}">
      <text>
        <r>
          <rPr>
            <sz val="10"/>
            <color rgb="FF000000"/>
            <rFont val="Aptos Narrow"/>
            <scheme val="minor"/>
          </rPr>
          <t>======
ID#AAABjx7qWRs
    (2025-05-21 11:33:27)
預計10/16到貨</t>
        </r>
      </text>
    </comment>
    <comment ref="H2562" authorId="0" shapeId="0" xr:uid="{D235390F-69F5-324C-87EC-C34A18E0A6E0}">
      <text>
        <r>
          <rPr>
            <sz val="10"/>
            <color rgb="FF000000"/>
            <rFont val="Aptos Narrow"/>
            <scheme val="minor"/>
          </rPr>
          <t>======
ID#AAABjx7qNqo
    (2025-05-21 11:33:23)
20171204 Santiago收到銀行通知</t>
        </r>
      </text>
    </comment>
    <comment ref="H2563" authorId="0" shapeId="0" xr:uid="{57A89882-B8F9-2347-A8F1-FAFE8AB3F350}">
      <text>
        <r>
          <rPr>
            <sz val="10"/>
            <color rgb="FF000000"/>
            <rFont val="Aptos Narrow"/>
            <scheme val="minor"/>
          </rPr>
          <t>======
ID#AAABjx7qNew
    (2025-05-21 11:33:23)
1024 chloe:收到銀行通知US$859</t>
        </r>
      </text>
    </comment>
    <comment ref="H2564" authorId="0" shapeId="0" xr:uid="{A4A108AB-043F-2348-AFC3-A70955218299}">
      <text>
        <r>
          <rPr>
            <sz val="10"/>
            <color rgb="FF000000"/>
            <rFont val="Aptos Narrow"/>
            <scheme val="minor"/>
          </rPr>
          <t>======
ID#AAABjx7qMtM
    (2025-05-21 11:33:23)
1024 chloe:收到銀行通知US$859</t>
        </r>
      </text>
    </comment>
    <comment ref="H2565" authorId="0" shapeId="0" xr:uid="{00D5ECEB-00A9-044E-8C9D-00214DD411E7}">
      <text>
        <r>
          <rPr>
            <sz val="10"/>
            <color rgb="FF000000"/>
            <rFont val="Aptos Narrow"/>
            <scheme val="minor"/>
          </rPr>
          <t>======
ID#AAABjx7qP7o
    (2025-05-21 11:33:24)
1018 chloe:收到銀行通知 US$527</t>
        </r>
      </text>
    </comment>
    <comment ref="M2566" authorId="0" shapeId="0" xr:uid="{F7AF02B8-FE24-BB4C-BF22-F6B1FBE333CF}">
      <text>
        <r>
          <rPr>
            <sz val="10"/>
            <color rgb="FF000000"/>
            <rFont val="Aptos Narrow"/>
            <scheme val="minor"/>
          </rPr>
          <t>======
ID#AAABjx7qOrE
    (2025-05-21 11:33:24)
預計10/19到貨</t>
        </r>
      </text>
    </comment>
    <comment ref="M2567" authorId="0" shapeId="0" xr:uid="{21F95535-3E2F-8D47-9FA6-FB8F19DD681A}">
      <text>
        <r>
          <rPr>
            <sz val="10"/>
            <color rgb="FF000000"/>
            <rFont val="Aptos Narrow"/>
            <scheme val="minor"/>
          </rPr>
          <t>======
ID#AAABjx7qOj4
    (2025-05-21 11:33:24)
預計10/19到貨</t>
        </r>
      </text>
    </comment>
    <comment ref="H2568" authorId="0" shapeId="0" xr:uid="{4404E6B9-5FA1-6C48-BC90-0C63C62ADA1E}">
      <text>
        <r>
          <rPr>
            <sz val="10"/>
            <color rgb="FF000000"/>
            <rFont val="Aptos Narrow"/>
            <scheme val="minor"/>
          </rPr>
          <t>======
ID#AAABjx7qVMQ
    (2025-05-21 11:33:27)
1115 chloe:收到轉帳NT1044</t>
        </r>
      </text>
    </comment>
    <comment ref="M2568" authorId="0" shapeId="0" xr:uid="{18251B80-D720-9B4F-B7C6-37C9190C67E7}">
      <text>
        <r>
          <rPr>
            <sz val="10"/>
            <color rgb="FF000000"/>
            <rFont val="Aptos Narrow"/>
            <scheme val="minor"/>
          </rPr>
          <t>======
ID#AAABjx7qPHA
    (2025-05-21 11:33:24)
1020 chloe : 發信詢問交期
原定交期11/20</t>
        </r>
      </text>
    </comment>
    <comment ref="Q2568" authorId="0" shapeId="0" xr:uid="{F5E05FC9-51F5-A444-B7F9-F8525656FBC7}">
      <text>
        <r>
          <rPr>
            <sz val="10"/>
            <color rgb="FF000000"/>
            <rFont val="Aptos Narrow"/>
            <scheme val="minor"/>
          </rPr>
          <t>======
ID#AAABjx7qOog
    (2025-05-21 11:33:24)
不含運費63</t>
        </r>
      </text>
    </comment>
    <comment ref="H2569" authorId="0" shapeId="0" xr:uid="{13FA5C0A-3C8B-6D46-8AD4-FE28E7A7A23B}">
      <text>
        <r>
          <rPr>
            <sz val="10"/>
            <color rgb="FF000000"/>
            <rFont val="Aptos Narrow"/>
            <scheme val="minor"/>
          </rPr>
          <t>======
ID#AAABjx7qNeo
    (2025-05-21 11:33:23)
1019 chloe:收到銀行通知US$7496</t>
        </r>
      </text>
    </comment>
    <comment ref="H2570" authorId="0" shapeId="0" xr:uid="{340F2EA0-1C57-4243-86ED-7DC1F2062656}">
      <text>
        <r>
          <rPr>
            <sz val="10"/>
            <color rgb="FF000000"/>
            <rFont val="Aptos Narrow"/>
            <scheme val="minor"/>
          </rPr>
          <t>======
ID#AAABjx7qSBM
    (2025-05-21 11:33:25)
1019 chloe:收到銀行通知US$7496</t>
        </r>
      </text>
    </comment>
    <comment ref="M2570" authorId="0" shapeId="0" xr:uid="{DEDCA354-3CEF-D146-8971-CFD0107AA84C}">
      <text>
        <r>
          <rPr>
            <sz val="10"/>
            <color rgb="FF000000"/>
            <rFont val="Aptos Narrow"/>
            <scheme val="minor"/>
          </rPr>
          <t>======
ID#AAABjx7qMrA
    (2025-05-21 11:33:23)
有庫存
預計10/23到貨</t>
        </r>
      </text>
    </comment>
    <comment ref="H2571" authorId="0" shapeId="0" xr:uid="{C79518DB-C672-CF44-B204-41E3AE655702}">
      <text>
        <r>
          <rPr>
            <sz val="10"/>
            <color rgb="FF000000"/>
            <rFont val="Aptos Narrow"/>
            <scheme val="minor"/>
          </rPr>
          <t>======
ID#AAABjx7qR-I
    (2025-05-21 11:33:25)
1019 chloe:收到銀行通知US$7496</t>
        </r>
      </text>
    </comment>
    <comment ref="M2571" authorId="0" shapeId="0" xr:uid="{2B552D4F-08EA-384C-B24C-1BA870871B43}">
      <text>
        <r>
          <rPr>
            <sz val="10"/>
            <color rgb="FF000000"/>
            <rFont val="Aptos Narrow"/>
            <scheme val="minor"/>
          </rPr>
          <t>======
ID#AAABjx7qP1M
    (2025-05-21 11:33:24)
17 PCS 庫存
8 PCS 11月中旬
預計10/23到貨</t>
        </r>
      </text>
    </comment>
    <comment ref="H2572" authorId="0" shapeId="0" xr:uid="{3FF73BC5-1ABC-D44C-9188-0BCA5F401B45}">
      <text>
        <r>
          <rPr>
            <sz val="10"/>
            <color rgb="FF000000"/>
            <rFont val="Aptos Narrow"/>
            <scheme val="minor"/>
          </rPr>
          <t>======
ID#AAABjx7qTDQ
    (2025-05-21 11:33:26)
1019 chloe:收到銀行通知US$7496</t>
        </r>
      </text>
    </comment>
    <comment ref="M2572" authorId="0" shapeId="0" xr:uid="{9C4D0902-9E7B-924E-813F-06EF392550B2}">
      <text>
        <r>
          <rPr>
            <sz val="10"/>
            <color rgb="FF000000"/>
            <rFont val="Aptos Narrow"/>
            <scheme val="minor"/>
          </rPr>
          <t>======
ID#AAABjx7qRKc
    (2025-05-21 11:33:25)
有庫存
預計10/23到貨</t>
        </r>
      </text>
    </comment>
    <comment ref="H2573" authorId="0" shapeId="0" xr:uid="{92758C32-24EA-F24A-80B3-79273BFA9A63}">
      <text>
        <r>
          <rPr>
            <sz val="10"/>
            <color rgb="FF000000"/>
            <rFont val="Aptos Narrow"/>
            <scheme val="minor"/>
          </rPr>
          <t>======
ID#AAABjx7qQgE
    (2025-05-21 11:33:25)
1018 chloe:收到轉帳NT2,434</t>
        </r>
      </text>
    </comment>
    <comment ref="M2573" authorId="0" shapeId="0" xr:uid="{5F652386-FF88-9D45-88AC-DDED1D4A8E25}">
      <text>
        <r>
          <rPr>
            <sz val="10"/>
            <color rgb="FF000000"/>
            <rFont val="Aptos Narrow"/>
            <scheme val="minor"/>
          </rPr>
          <t>======
ID#AAABjx7qRxw
    (2025-05-21 11:33:25)
現貨 7PCS
10/16只到貨7PCS</t>
        </r>
      </text>
    </comment>
    <comment ref="H2574" authorId="0" shapeId="0" xr:uid="{EB52DD00-3629-D749-9EDE-AE2A0E7C3B42}">
      <text>
        <r>
          <rPr>
            <sz val="10"/>
            <color rgb="FF000000"/>
            <rFont val="Aptos Narrow"/>
            <scheme val="minor"/>
          </rPr>
          <t>======
ID#AAABjx7qOiE
    (2025-05-21 11:33:24)
1113 chloe:收到銀行通知US$753</t>
        </r>
      </text>
    </comment>
    <comment ref="M2574" authorId="0" shapeId="0" xr:uid="{D786CB13-1E65-B048-A2A9-810504773216}">
      <text>
        <r>
          <rPr>
            <sz val="10"/>
            <color rgb="FF000000"/>
            <rFont val="Aptos Narrow"/>
            <scheme val="minor"/>
          </rPr>
          <t>======
ID#AAABjx7qNwE
    (2025-05-21 11:33:23)
預計11/10到貨</t>
        </r>
      </text>
    </comment>
    <comment ref="P2574" authorId="0" shapeId="0" xr:uid="{5DF5DFC8-B1ED-A347-8918-2405F956A1A4}">
      <text>
        <r>
          <rPr>
            <sz val="10"/>
            <color rgb="FF000000"/>
            <rFont val="Aptos Narrow"/>
            <scheme val="minor"/>
          </rPr>
          <t>======
ID#AAABjx7qSQc
    (2025-05-21 11:33:26)
1127 Santiago 匯出NT17967</t>
        </r>
      </text>
    </comment>
    <comment ref="H2575" authorId="0" shapeId="0" xr:uid="{C4459128-568D-2141-BE30-5634A0A01733}">
      <text>
        <r>
          <rPr>
            <sz val="10"/>
            <color rgb="FF000000"/>
            <rFont val="Aptos Narrow"/>
            <scheme val="minor"/>
          </rPr>
          <t>======
ID#AAABjx7qTnw
    (2025-05-21 11:33:26)
1113 chloe:收到銀行通知US$753</t>
        </r>
      </text>
    </comment>
    <comment ref="M2575" authorId="0" shapeId="0" xr:uid="{28F0AD58-ECE7-564E-A72F-D7A758093CD0}">
      <text>
        <r>
          <rPr>
            <sz val="10"/>
            <color rgb="FF000000"/>
            <rFont val="Aptos Narrow"/>
            <scheme val="minor"/>
          </rPr>
          <t>======
ID#AAABjx7qPKc
    (2025-05-21 11:33:24)
預計11/10到貨</t>
        </r>
      </text>
    </comment>
    <comment ref="P2575" authorId="0" shapeId="0" xr:uid="{E5B75091-9175-CA46-A176-A81449C7CD09}">
      <text>
        <r>
          <rPr>
            <sz val="10"/>
            <color rgb="FF000000"/>
            <rFont val="Aptos Narrow"/>
            <scheme val="minor"/>
          </rPr>
          <t>======
ID#AAABjx7qSgA
    (2025-05-21 11:33:26)
1127 Santiago 匯出NT17967</t>
        </r>
      </text>
    </comment>
    <comment ref="H2576" authorId="0" shapeId="0" xr:uid="{4E5C42A9-ACAD-9A43-90EF-CE1D4F36663A}">
      <text>
        <r>
          <rPr>
            <sz val="10"/>
            <color rgb="FF000000"/>
            <rFont val="Aptos Narrow"/>
            <scheme val="minor"/>
          </rPr>
          <t>======
ID#AAABjx7qSNs
    (2025-05-21 11:33:26)
1113 chloe:收到銀行通知US$753</t>
        </r>
      </text>
    </comment>
    <comment ref="M2576" authorId="0" shapeId="0" xr:uid="{9522C3CC-50AD-394E-BC8B-2F57E5044E2C}">
      <text>
        <r>
          <rPr>
            <sz val="10"/>
            <color rgb="FF000000"/>
            <rFont val="Aptos Narrow"/>
            <scheme val="minor"/>
          </rPr>
          <t>======
ID#AAABjx7qQGk
    (2025-05-21 11:33:25)
預計11/10到貨</t>
        </r>
      </text>
    </comment>
    <comment ref="P2576" authorId="0" shapeId="0" xr:uid="{52F1E85A-EFC0-274E-90F4-2D23B82C0411}">
      <text>
        <r>
          <rPr>
            <sz val="10"/>
            <color rgb="FF000000"/>
            <rFont val="Aptos Narrow"/>
            <scheme val="minor"/>
          </rPr>
          <t>======
ID#AAABjx7qO7I
    (2025-05-21 11:33:24)
1127 Santiago 匯出NT17967</t>
        </r>
      </text>
    </comment>
    <comment ref="H2577" authorId="0" shapeId="0" xr:uid="{C9DD8F5E-BF07-114E-A0B9-DE120F813254}">
      <text>
        <r>
          <rPr>
            <sz val="10"/>
            <color rgb="FF000000"/>
            <rFont val="Aptos Narrow"/>
            <scheme val="minor"/>
          </rPr>
          <t>======
ID#AAABjx7qPt4
    (2025-05-21 11:33:24)
1113 chloe:收到銀行通知US$753</t>
        </r>
      </text>
    </comment>
    <comment ref="M2577" authorId="0" shapeId="0" xr:uid="{69CDD6B3-07EC-8240-843D-B072A9E79E54}">
      <text>
        <r>
          <rPr>
            <sz val="10"/>
            <color rgb="FF000000"/>
            <rFont val="Aptos Narrow"/>
            <scheme val="minor"/>
          </rPr>
          <t>======
ID#AAABjx7qO5A
    (2025-05-21 11:33:24)
1109 chloe: 空運延遲，到貨時間11/13</t>
        </r>
      </text>
    </comment>
    <comment ref="P2577" authorId="0" shapeId="0" xr:uid="{15C29334-16E1-D54A-B0CA-EA05E73A9680}">
      <text>
        <r>
          <rPr>
            <sz val="10"/>
            <color rgb="FF000000"/>
            <rFont val="Aptos Narrow"/>
            <scheme val="minor"/>
          </rPr>
          <t>======
ID#AAABjx7qV88
    (2025-05-21 11:33:27)
1127 Santiago 匯出NT17967</t>
        </r>
      </text>
    </comment>
    <comment ref="H2578" authorId="0" shapeId="0" xr:uid="{B92C0562-DB46-AF4A-838F-4DBAE33F4811}">
      <text>
        <r>
          <rPr>
            <sz val="10"/>
            <color rgb="FF000000"/>
            <rFont val="Aptos Narrow"/>
            <scheme val="minor"/>
          </rPr>
          <t>======
ID#AAABjx7qQiw
    (2025-05-21 11:33:25)
1113 chloe:收到銀行通知US$753</t>
        </r>
      </text>
    </comment>
    <comment ref="H2579" authorId="0" shapeId="0" xr:uid="{45CBD766-7F81-EF47-83EE-4D560DA57C5E}">
      <text>
        <r>
          <rPr>
            <sz val="10"/>
            <color rgb="FF000000"/>
            <rFont val="Aptos Narrow"/>
            <scheme val="minor"/>
          </rPr>
          <t>======
ID#AAABjx7qPTA
    (2025-05-21 11:33:24)
1113 chloe:收到銀行通知US$8740</t>
        </r>
      </text>
    </comment>
    <comment ref="M2579" authorId="0" shapeId="0" xr:uid="{70124B23-EE0A-1F4A-9BA3-C786A8108F51}">
      <text>
        <r>
          <rPr>
            <sz val="10"/>
            <color rgb="FF000000"/>
            <rFont val="Aptos Narrow"/>
            <scheme val="minor"/>
          </rPr>
          <t>======
ID#AAABjx7qSYY
    (2025-05-21 11:33:26)
7-10天
預計11/8到貨</t>
        </r>
      </text>
    </comment>
    <comment ref="H2580" authorId="0" shapeId="0" xr:uid="{5499971B-8E5D-7C44-9A9B-14B95052AE4D}">
      <text>
        <r>
          <rPr>
            <sz val="10"/>
            <color rgb="FF000000"/>
            <rFont val="Aptos Narrow"/>
            <scheme val="minor"/>
          </rPr>
          <t>======
ID#AAABjx7qS2g
    (2025-05-21 11:33:26)
1113 chloe:收到銀行通知US$8740</t>
        </r>
      </text>
    </comment>
    <comment ref="M2580" authorId="0" shapeId="0" xr:uid="{CA0966BB-147A-3342-A74B-07E7F464F660}">
      <text>
        <r>
          <rPr>
            <sz val="10"/>
            <color rgb="FF000000"/>
            <rFont val="Aptos Narrow"/>
            <scheme val="minor"/>
          </rPr>
          <t>======
ID#AAABjx7qQpA
    (2025-05-21 11:33:25)
7-10天
預計11/8到貨</t>
        </r>
      </text>
    </comment>
    <comment ref="H2581" authorId="0" shapeId="0" xr:uid="{847879B5-C09F-BD40-A0D3-B0C4FCCEF211}">
      <text>
        <r>
          <rPr>
            <sz val="10"/>
            <color rgb="FF000000"/>
            <rFont val="Aptos Narrow"/>
            <scheme val="minor"/>
          </rPr>
          <t>======
ID#AAABjx7qRl4
    (2025-05-21 11:33:25)
1113 chloe:收到銀行通知US$8740</t>
        </r>
      </text>
    </comment>
    <comment ref="M2581" authorId="0" shapeId="0" xr:uid="{8564B60B-E467-8C4E-898C-6D0DA7E8FA25}">
      <text>
        <r>
          <rPr>
            <sz val="10"/>
            <color rgb="FF000000"/>
            <rFont val="Aptos Narrow"/>
            <scheme val="minor"/>
          </rPr>
          <t>======
ID#AAABjx7qOMY
    (2025-05-21 11:33:24)
7-10天
預計11/8到貨</t>
        </r>
      </text>
    </comment>
    <comment ref="H2582" authorId="0" shapeId="0" xr:uid="{91234FA2-C893-204A-A5B9-C239E1178C96}">
      <text>
        <r>
          <rPr>
            <sz val="10"/>
            <color rgb="FF000000"/>
            <rFont val="Aptos Narrow"/>
            <scheme val="minor"/>
          </rPr>
          <t>======
ID#AAABjx7qVlI
    (2025-05-21 11:33:27)
1113 chloe:收到銀行通知US$8740</t>
        </r>
      </text>
    </comment>
    <comment ref="M2582" authorId="0" shapeId="0" xr:uid="{ADCB2CD9-A946-C645-BCAD-117E17B9B950}">
      <text>
        <r>
          <rPr>
            <sz val="10"/>
            <color rgb="FF000000"/>
            <rFont val="Aptos Narrow"/>
            <scheme val="minor"/>
          </rPr>
          <t>======
ID#AAABjx7qO9s
    (2025-05-21 11:33:24)
7-10天
Jeff 親送</t>
        </r>
      </text>
    </comment>
    <comment ref="H2583" authorId="0" shapeId="0" xr:uid="{4FEBC298-DCF2-324D-8080-870EF0D386F1}">
      <text>
        <r>
          <rPr>
            <sz val="10"/>
            <color rgb="FF000000"/>
            <rFont val="Aptos Narrow"/>
            <scheme val="minor"/>
          </rPr>
          <t>======
ID#AAABjx7qR9Y
    (2025-05-21 11:33:25)
20171124 Santiago 收到US$10707</t>
        </r>
      </text>
    </comment>
    <comment ref="P2583" authorId="0" shapeId="0" xr:uid="{E3474DF4-BE3F-014A-9473-71DA173A4B0A}">
      <text>
        <r>
          <rPr>
            <sz val="10"/>
            <color rgb="FF000000"/>
            <rFont val="Aptos Narrow"/>
            <scheme val="minor"/>
          </rPr>
          <t>======
ID#AAABjx7qQXA
    (2025-05-21 11:33:25)
Santiago 1207 : 實付20740</t>
        </r>
      </text>
    </comment>
    <comment ref="H2584" authorId="0" shapeId="0" xr:uid="{51912DE0-0EB8-7646-B6AC-B1EED6FD1316}">
      <text>
        <r>
          <rPr>
            <sz val="10"/>
            <color rgb="FF000000"/>
            <rFont val="Aptos Narrow"/>
            <scheme val="minor"/>
          </rPr>
          <t>======
ID#AAABjx7qPn8
    (2025-05-21 11:33:24)
20171124 Santiago 收到US$10707</t>
        </r>
      </text>
    </comment>
    <comment ref="P2584" authorId="0" shapeId="0" xr:uid="{918E25E7-E82D-B044-9729-0A1F24FF2404}">
      <text>
        <r>
          <rPr>
            <sz val="10"/>
            <color rgb="FF000000"/>
            <rFont val="Aptos Narrow"/>
            <scheme val="minor"/>
          </rPr>
          <t>======
ID#AAABjx7qOoo
    (2025-05-21 11:33:24)
實付20740</t>
        </r>
      </text>
    </comment>
    <comment ref="H2585" authorId="0" shapeId="0" xr:uid="{9EBB07BB-D5EB-854F-A3D7-3D02BE125187}">
      <text>
        <r>
          <rPr>
            <sz val="10"/>
            <color rgb="FF000000"/>
            <rFont val="Aptos Narrow"/>
            <scheme val="minor"/>
          </rPr>
          <t>======
ID#AAABjx7qSG4
    (2025-05-21 11:33:26)
1213 Santiago : US$7483 已到
1103 chloe: 收到US$9770 
( 另外US$7493尚未收到)</t>
        </r>
      </text>
    </comment>
    <comment ref="M2585" authorId="0" shapeId="0" xr:uid="{D3EB04BA-B289-C445-BF30-1D5E019B70DC}">
      <text>
        <r>
          <rPr>
            <sz val="10"/>
            <color rgb="FF000000"/>
            <rFont val="Aptos Narrow"/>
            <scheme val="minor"/>
          </rPr>
          <t>======
ID#AAABjx7qQUU
    (2025-05-21 11:33:25)
預計10/27到貨</t>
        </r>
      </text>
    </comment>
    <comment ref="H2586" authorId="0" shapeId="0" xr:uid="{A4406A44-B59D-FF45-9900-DEAE22E11C0A}">
      <text>
        <r>
          <rPr>
            <sz val="10"/>
            <color rgb="FF000000"/>
            <rFont val="Aptos Narrow"/>
            <scheme val="minor"/>
          </rPr>
          <t>======
ID#AAABjx7qOKE
    (2025-05-21 11:33:24)
20171204 Santiago收到銀行通知</t>
        </r>
      </text>
    </comment>
    <comment ref="M2586" authorId="0" shapeId="0" xr:uid="{D42720CC-B953-874C-A94C-0C7101CE9168}">
      <text>
        <r>
          <rPr>
            <sz val="10"/>
            <color rgb="FF000000"/>
            <rFont val="Aptos Narrow"/>
            <scheme val="minor"/>
          </rPr>
          <t>======
ID#AAABjx7qSPg
    (2025-05-21 11:33:26)
預計10/27到貨</t>
        </r>
      </text>
    </comment>
    <comment ref="H2587" authorId="0" shapeId="0" xr:uid="{2176A14F-8E36-0845-84B5-BC3FC7DA05DA}">
      <text>
        <r>
          <rPr>
            <sz val="10"/>
            <color rgb="FF000000"/>
            <rFont val="Aptos Narrow"/>
            <scheme val="minor"/>
          </rPr>
          <t>======
ID#AAABjx7qN_g
    (2025-05-21 11:33:24)
20171204 Santiago收到銀行通知</t>
        </r>
      </text>
    </comment>
    <comment ref="M2587" authorId="0" shapeId="0" xr:uid="{C4993F0D-81BF-E049-B7A1-D4FF2E9A99CC}">
      <text>
        <r>
          <rPr>
            <sz val="10"/>
            <color rgb="FF000000"/>
            <rFont val="Aptos Narrow"/>
            <scheme val="minor"/>
          </rPr>
          <t>======
ID#AAABjx7qOHA
    (2025-05-21 11:33:24)
預計10/27到貨</t>
        </r>
      </text>
    </comment>
    <comment ref="H2590" authorId="0" shapeId="0" xr:uid="{6CCAAEB1-4FE2-2049-849C-CFFF5AF94C3D}">
      <text>
        <r>
          <rPr>
            <sz val="10"/>
            <color rgb="FF000000"/>
            <rFont val="Aptos Narrow"/>
            <scheme val="minor"/>
          </rPr>
          <t>======
ID#AAABjx7qQjk
    (2025-05-21 11:33:25)
1113 chloe: 收到銀行通知US$17423</t>
        </r>
      </text>
    </comment>
    <comment ref="P2590" authorId="0" shapeId="0" xr:uid="{CA57F67A-E2BC-BD47-BF48-7760EAD99796}">
      <text>
        <r>
          <rPr>
            <sz val="10"/>
            <color rgb="FF000000"/>
            <rFont val="Aptos Narrow"/>
            <scheme val="minor"/>
          </rPr>
          <t>======
ID#AAABjx7qRes
    (2025-05-21 11:33:25)
16590+10 (科技國給MOXA手續費)</t>
        </r>
      </text>
    </comment>
    <comment ref="E2591" authorId="0" shapeId="0" xr:uid="{3824CAB3-0CB8-2A45-BAF0-F5100BA8A457}">
      <text>
        <r>
          <rPr>
            <sz val="10"/>
            <color rgb="FF000000"/>
            <rFont val="Aptos Narrow"/>
            <scheme val="minor"/>
          </rPr>
          <t>======
ID#AAABj82dpNI
    (2025-05-21 11:33:23)
1020 chloe: 17.3 " Moniter</t>
        </r>
      </text>
    </comment>
    <comment ref="H2591" authorId="0" shapeId="0" xr:uid="{E6DDE0EA-686B-FE4B-9013-D4D5436C4286}">
      <text>
        <r>
          <rPr>
            <sz val="10"/>
            <color rgb="FF000000"/>
            <rFont val="Aptos Narrow"/>
            <scheme val="minor"/>
          </rPr>
          <t>======
ID#AAABjx7qRA0
    (2025-05-21 11:33:25)
20171127 Santiago 收到玉山匯款通知</t>
        </r>
      </text>
    </comment>
    <comment ref="C2592" authorId="0" shapeId="0" xr:uid="{B72682E5-B775-B144-8746-0CC33C01F7A6}">
      <text>
        <r>
          <rPr>
            <sz val="10"/>
            <color rgb="FF000000"/>
            <rFont val="Aptos Narrow"/>
            <scheme val="minor"/>
          </rPr>
          <t>======
ID#AAABjx7qSH4
    (2025-05-21 11:33:26)
180306 更正PO號, 原始號碼7000133435</t>
        </r>
      </text>
    </comment>
    <comment ref="H2592" authorId="0" shapeId="0" xr:uid="{F6E57DDA-5B3A-FE46-B485-FE263A730F71}">
      <text>
        <r>
          <rPr>
            <sz val="10"/>
            <color rgb="FF000000"/>
            <rFont val="Aptos Narrow"/>
            <scheme val="minor"/>
          </rPr>
          <t>======
ID#AAABjx7qM7k
    (2025-05-21 11:33:23)
0323 chloe: 匯款匯入US$3757</t>
        </r>
      </text>
    </comment>
    <comment ref="K2592" authorId="0" shapeId="0" xr:uid="{1FCA5BFC-0CD9-C04F-84DD-B38A6BE6F0FB}">
      <text>
        <r>
          <rPr>
            <sz val="10"/>
            <color rgb="FF000000"/>
            <rFont val="Aptos Narrow"/>
            <scheme val="minor"/>
          </rPr>
          <t>======
ID#AAABjx7qPQM
    (2025-05-21 11:33:24)
借出3週，3週後付款或寄回戎克</t>
        </r>
      </text>
    </comment>
    <comment ref="O2592" authorId="0" shapeId="0" xr:uid="{A76996B9-35B3-9046-B385-3C49BFD96E80}">
      <text>
        <r>
          <rPr>
            <sz val="10"/>
            <color rgb="FF000000"/>
            <rFont val="Aptos Narrow"/>
            <scheme val="minor"/>
          </rPr>
          <t>======
ID#AAABjx7qRWs
    (2025-05-21 11:33:25)
●RDMPO-20170821D(Revised) 7155元</t>
        </r>
      </text>
    </comment>
    <comment ref="AB2592" authorId="0" shapeId="0" xr:uid="{A98EBF75-D155-574C-99E5-9B6C47A08CC2}">
      <text>
        <r>
          <rPr>
            <sz val="10"/>
            <color rgb="FF000000"/>
            <rFont val="Aptos Narrow"/>
            <scheme val="minor"/>
          </rPr>
          <t>======
ID#AAABjx7qRwk
    (2025-05-21 11:33:25)
簡易報關</t>
        </r>
      </text>
    </comment>
    <comment ref="C2593" authorId="0" shapeId="0" xr:uid="{3B560C45-00B0-304D-AAD0-03EDD2861D17}">
      <text>
        <r>
          <rPr>
            <sz val="10"/>
            <color rgb="FF000000"/>
            <rFont val="Aptos Narrow"/>
            <scheme val="minor"/>
          </rPr>
          <t>======
ID#AAABjx7qPR0
    (2025-05-21 11:33:24)
180306 更正PO號, 原始號碼7000133435</t>
        </r>
      </text>
    </comment>
    <comment ref="H2593" authorId="0" shapeId="0" xr:uid="{942A5641-5C2B-4541-9CE4-CC3F73CED824}">
      <text>
        <r>
          <rPr>
            <sz val="10"/>
            <color rgb="FF000000"/>
            <rFont val="Aptos Narrow"/>
            <scheme val="minor"/>
          </rPr>
          <t>======
ID#AAABjx7qOgk
    (2025-05-21 11:33:24)
0323 chloe: 匯款匯入US$3757</t>
        </r>
      </text>
    </comment>
    <comment ref="K2593" authorId="0" shapeId="0" xr:uid="{D1E65D4B-CD13-404E-8CF4-81BCAA8519FC}">
      <text>
        <r>
          <rPr>
            <sz val="10"/>
            <color rgb="FF000000"/>
            <rFont val="Aptos Narrow"/>
            <scheme val="minor"/>
          </rPr>
          <t>======
ID#AAABjx7qPnM
    (2025-05-21 11:33:24)
借出3週，3週後付款或寄回戎克</t>
        </r>
      </text>
    </comment>
    <comment ref="O2593" authorId="0" shapeId="0" xr:uid="{D2D6B154-98F4-A440-A1F2-6A9D42616C00}">
      <text>
        <r>
          <rPr>
            <sz val="10"/>
            <color rgb="FF000000"/>
            <rFont val="Aptos Narrow"/>
            <scheme val="minor"/>
          </rPr>
          <t>======
ID#AAABjx7qOK0
    (2025-05-21 11:33:24)
●RDMPO-20170821D(Revised) 7155元</t>
        </r>
      </text>
    </comment>
    <comment ref="AB2593" authorId="0" shapeId="0" xr:uid="{FBD9A2A1-7C1D-C045-AFF1-60C604E3EAF3}">
      <text>
        <r>
          <rPr>
            <sz val="10"/>
            <color rgb="FF000000"/>
            <rFont val="Aptos Narrow"/>
            <scheme val="minor"/>
          </rPr>
          <t>======
ID#AAABjx7qQMc
    (2025-05-21 11:33:25)
簡易報關</t>
        </r>
      </text>
    </comment>
    <comment ref="C2594" authorId="0" shapeId="0" xr:uid="{EFD029C0-8DF7-DE4E-AB29-7724B73B2B8C}">
      <text>
        <r>
          <rPr>
            <sz val="10"/>
            <color rgb="FF000000"/>
            <rFont val="Aptos Narrow"/>
            <scheme val="minor"/>
          </rPr>
          <t>======
ID#AAABjx7qR4A
    (2025-05-21 11:33:25)
180306 更正PO號, 原始號碼7000133435</t>
        </r>
      </text>
    </comment>
    <comment ref="H2594" authorId="0" shapeId="0" xr:uid="{B21CEC09-C2E7-8B48-B7AB-4890823D249A}">
      <text>
        <r>
          <rPr>
            <sz val="10"/>
            <color rgb="FF000000"/>
            <rFont val="Aptos Narrow"/>
            <scheme val="minor"/>
          </rPr>
          <t>======
ID#AAABjx7qQeM
    (2025-05-21 11:33:25)
0323 chloe: 匯款匯入US$3757</t>
        </r>
      </text>
    </comment>
    <comment ref="K2594" authorId="0" shapeId="0" xr:uid="{8D40D54A-5471-6748-8A38-3401407352D8}">
      <text>
        <r>
          <rPr>
            <sz val="10"/>
            <color rgb="FF000000"/>
            <rFont val="Aptos Narrow"/>
            <scheme val="minor"/>
          </rPr>
          <t>======
ID#AAABjx7qVd4
    (2025-05-21 11:33:27)
借出3週，3週後付款或寄回戎克</t>
        </r>
      </text>
    </comment>
    <comment ref="O2594" authorId="0" shapeId="0" xr:uid="{C50BA435-49A9-5644-A351-2C29F1F17175}">
      <text>
        <r>
          <rPr>
            <sz val="10"/>
            <color rgb="FF000000"/>
            <rFont val="Aptos Narrow"/>
            <scheme val="minor"/>
          </rPr>
          <t>======
ID#AAABjx7qPoU
    (2025-05-21 11:33:24)
●RDMPO-20170821D(Revised) 7155元</t>
        </r>
      </text>
    </comment>
    <comment ref="AB2594" authorId="0" shapeId="0" xr:uid="{F8173D19-D193-9942-A6AB-A5B0194957AA}">
      <text>
        <r>
          <rPr>
            <sz val="10"/>
            <color rgb="FF000000"/>
            <rFont val="Aptos Narrow"/>
            <scheme val="minor"/>
          </rPr>
          <t>======
ID#AAABjx7qSUk
    (2025-05-21 11:33:26)
簡易報關</t>
        </r>
      </text>
    </comment>
    <comment ref="H2595" authorId="0" shapeId="0" xr:uid="{D657EDA4-65F9-0C4F-A0AA-1493BA3356DA}">
      <text>
        <r>
          <rPr>
            <sz val="10"/>
            <color rgb="FF000000"/>
            <rFont val="Aptos Narrow"/>
            <scheme val="minor"/>
          </rPr>
          <t>======
ID#AAABjx7qSeM
    (2025-05-21 11:33:26)
1130 Santiago 合庫請我去簽切結書，他們通融入匯款
1108 Chloe:合庫帳號有誤故無法放款(已告知業務)
1116 chloe:合庫尚未收到修改電文(已告知業務)</t>
        </r>
      </text>
    </comment>
    <comment ref="K2595" authorId="0" shapeId="0" xr:uid="{D2DD19C7-F3B2-BE4A-B9F6-FAE09C603AF9}">
      <text>
        <r>
          <rPr>
            <sz val="10"/>
            <color rgb="FF000000"/>
            <rFont val="Aptos Narrow"/>
            <scheme val="minor"/>
          </rPr>
          <t>======
ID#AAABjx7qQdU
    (2025-05-21 11:33:25)
christine0925:待客戶付款</t>
        </r>
      </text>
    </comment>
    <comment ref="H2596" authorId="0" shapeId="0" xr:uid="{CF248375-0426-EC46-86F7-2E9BA44CB4F6}">
      <text>
        <r>
          <rPr>
            <sz val="10"/>
            <color rgb="FF000000"/>
            <rFont val="Aptos Narrow"/>
            <scheme val="minor"/>
          </rPr>
          <t>======
ID#AAABjx7qOPg
    (2025-05-21 11:33:24)
1130 Santiago 合庫請我去簽切結書，他們通融入匯款
1108 Chloe:合庫帳號有誤故無法放款(已告知業務)
1116 chloe:合庫尚未收到修改電文(已告知業務)</t>
        </r>
      </text>
    </comment>
    <comment ref="K2596" authorId="0" shapeId="0" xr:uid="{0FCCDE89-155D-E94F-99A2-4D5EF7004568}">
      <text>
        <r>
          <rPr>
            <sz val="10"/>
            <color rgb="FF000000"/>
            <rFont val="Aptos Narrow"/>
            <scheme val="minor"/>
          </rPr>
          <t>======
ID#AAABjx7qQCI
    (2025-05-21 11:33:25)
christine0925:待客戶付款</t>
        </r>
      </text>
    </comment>
    <comment ref="N2596" authorId="0" shapeId="0" xr:uid="{D5F2FF51-E631-A24F-8FFB-2D4C7F0FA9D9}">
      <text>
        <r>
          <rPr>
            <sz val="10"/>
            <color rgb="FF000000"/>
            <rFont val="Aptos Narrow"/>
            <scheme val="minor"/>
          </rPr>
          <t>======
ID#AAABjx7qRkY
    (2025-05-21 11:33:25)
採購為TAMMY</t>
        </r>
      </text>
    </comment>
    <comment ref="H2597" authorId="0" shapeId="0" xr:uid="{97659FEA-63FC-0F4E-892A-A3CA9664831F}">
      <text>
        <r>
          <rPr>
            <sz val="10"/>
            <color rgb="FF000000"/>
            <rFont val="Aptos Narrow"/>
            <scheme val="minor"/>
          </rPr>
          <t>======
ID#AAABjx7qQ_M
    (2025-05-21 11:33:25)
1106 chloe : 收到銀行通知US$469</t>
        </r>
      </text>
    </comment>
    <comment ref="H2598" authorId="0" shapeId="0" xr:uid="{AD680BCB-438B-A643-80E8-215853E0088A}">
      <text>
        <r>
          <rPr>
            <sz val="10"/>
            <color rgb="FF000000"/>
            <rFont val="Aptos Narrow"/>
            <scheme val="minor"/>
          </rPr>
          <t>======
ID#AAABjx7qS7E
    (2025-05-21 11:33:26)
1106 chloe : 收到銀行通知US$469</t>
        </r>
      </text>
    </comment>
    <comment ref="M2598" authorId="0" shapeId="0" xr:uid="{8F28290B-23A5-A146-BC7F-C79A40E45B45}">
      <text>
        <r>
          <rPr>
            <sz val="10"/>
            <color rgb="FF000000"/>
            <rFont val="Aptos Narrow"/>
            <scheme val="minor"/>
          </rPr>
          <t>======
ID#AAABjx7qTNw
    (2025-05-21 11:33:26)
已交由LEON</t>
        </r>
      </text>
    </comment>
    <comment ref="E2599" authorId="0" shapeId="0" xr:uid="{31463287-B02E-D447-AB42-CDD35BE5D597}">
      <text>
        <r>
          <rPr>
            <sz val="10"/>
            <color rgb="FF000000"/>
            <rFont val="Aptos Narrow"/>
            <scheme val="minor"/>
          </rPr>
          <t>======
ID#AAABjx7qUug
    (2025-05-21 11:33:26)
下單請用FPM2150GR3B1601E-T
出貨文件上秀:
FPM-2150G-R3BE
(FPM2150GRB1601E-T)</t>
        </r>
      </text>
    </comment>
    <comment ref="H2599" authorId="0" shapeId="0" xr:uid="{A958EA98-62DD-6946-90EE-E5381EEDDC1F}">
      <text>
        <r>
          <rPr>
            <sz val="10"/>
            <color rgb="FF000000"/>
            <rFont val="Aptos Narrow"/>
            <scheme val="minor"/>
          </rPr>
          <t>======
ID#AAABjx7qRt8
    (2025-05-21 11:33:25)
0108 Santiago: US$10,177.50 匯入玉山</t>
        </r>
      </text>
    </comment>
    <comment ref="M2599" authorId="0" shapeId="0" xr:uid="{1D710F4F-E906-3D48-A655-4148367AF0DA}">
      <text>
        <r>
          <rPr>
            <sz val="10"/>
            <color rgb="FF000000"/>
            <rFont val="Aptos Narrow"/>
            <scheme val="minor"/>
          </rPr>
          <t>======
ID#AAABjx7qMxY
    (2025-05-21 11:33:23)
預計11/30到貨</t>
        </r>
      </text>
    </comment>
    <comment ref="H2600" authorId="0" shapeId="0" xr:uid="{7D330FEA-5C61-B746-A360-542C2F1BCD25}">
      <text>
        <r>
          <rPr>
            <sz val="10"/>
            <color rgb="FF000000"/>
            <rFont val="Aptos Narrow"/>
            <scheme val="minor"/>
          </rPr>
          <t>======
ID#AAABjx7qNj0
    (2025-05-21 11:33:23)
1102收到客戶水單，本地銀行尚未通知
1106 chloe:收到銀行通知US$1780</t>
        </r>
      </text>
    </comment>
    <comment ref="H2601" authorId="0" shapeId="0" xr:uid="{49AC450D-0C6C-6345-A640-0902294FCC1B}">
      <text>
        <r>
          <rPr>
            <sz val="10"/>
            <color rgb="FF000000"/>
            <rFont val="Aptos Narrow"/>
            <scheme val="minor"/>
          </rPr>
          <t>======
ID#AAABjx7qNgk
    (2025-05-21 11:33:23)
0108 Santiago: US$10,177.50 匯入玉山</t>
        </r>
      </text>
    </comment>
    <comment ref="H2602" authorId="0" shapeId="0" xr:uid="{7BB73A39-0729-F244-B28B-6447AB77B3A5}">
      <text>
        <r>
          <rPr>
            <sz val="10"/>
            <color rgb="FF000000"/>
            <rFont val="Aptos Narrow"/>
            <scheme val="minor"/>
          </rPr>
          <t>======
ID#AAABjx7qOcA
    (2025-05-21 11:33:24)
1106 chloe : 收到銀行通知US$469</t>
        </r>
      </text>
    </comment>
    <comment ref="H2603" authorId="0" shapeId="0" xr:uid="{60E3649C-8928-6E46-B59D-D1FFA3FA1209}">
      <text>
        <r>
          <rPr>
            <sz val="10"/>
            <color rgb="FF000000"/>
            <rFont val="Aptos Narrow"/>
            <scheme val="minor"/>
          </rPr>
          <t>======
ID#AAABjx7qPo8
    (2025-05-21 11:33:24)
1211 chloe:已收到NT$267,501</t>
        </r>
      </text>
    </comment>
    <comment ref="E2604" authorId="0" shapeId="0" xr:uid="{F62F2DA8-D8AD-AE4F-98E4-0E807F5C8412}">
      <text>
        <r>
          <rPr>
            <sz val="10"/>
            <color rgb="FF000000"/>
            <rFont val="Aptos Narrow"/>
            <scheme val="minor"/>
          </rPr>
          <t>======
ID#AAABjx7qVhg
    (2025-05-21 11:33:27)
20170104 Santiago: 和之前訂單一樣, w/o adapter</t>
        </r>
      </text>
    </comment>
    <comment ref="H2604" authorId="0" shapeId="0" xr:uid="{F4CD6377-8FFD-7947-AC72-75F794E906FB}">
      <text>
        <r>
          <rPr>
            <sz val="10"/>
            <color rgb="FF000000"/>
            <rFont val="Aptos Narrow"/>
            <scheme val="minor"/>
          </rPr>
          <t>======
ID#AAABjx7qOd8
    (2025-05-21 11:33:24)
1211 chloe:已收到NT$267,501</t>
        </r>
      </text>
    </comment>
    <comment ref="H2605" authorId="0" shapeId="0" xr:uid="{6AA773B3-0CB6-3C43-A705-0411514F7B2A}">
      <text>
        <r>
          <rPr>
            <sz val="10"/>
            <color rgb="FF000000"/>
            <rFont val="Aptos Narrow"/>
            <scheme val="minor"/>
          </rPr>
          <t>======
ID#AAABjx7qSdA
    (2025-05-21 11:33:26)
20171128 Santiago: 已匯入</t>
        </r>
      </text>
    </comment>
    <comment ref="H2606" authorId="0" shapeId="0" xr:uid="{9C5DD789-C623-9A46-B094-0D394D2FCF6F}">
      <text>
        <r>
          <rPr>
            <sz val="10"/>
            <color rgb="FF000000"/>
            <rFont val="Aptos Narrow"/>
            <scheme val="minor"/>
          </rPr>
          <t>======
ID#AAABjx7qQPA
    (2025-05-21 11:33:25)
1225 Santiago: US$18317 入帳
客戶多付US$40 RMA 費用</t>
        </r>
      </text>
    </comment>
    <comment ref="M2606" authorId="0" shapeId="0" xr:uid="{786E9047-E565-244B-BD8D-C37DAE4B09A4}">
      <text>
        <r>
          <rPr>
            <sz val="10"/>
            <color rgb="FF000000"/>
            <rFont val="Aptos Narrow"/>
            <scheme val="minor"/>
          </rPr>
          <t>======
ID#AAABjx7qM6A
    (2025-05-21 11:33:23)
預計11/10到貨</t>
        </r>
      </text>
    </comment>
    <comment ref="H2607" authorId="0" shapeId="0" xr:uid="{08D42E94-116F-C04E-B35F-0A3427C30DD2}">
      <text>
        <r>
          <rPr>
            <sz val="10"/>
            <color rgb="FF000000"/>
            <rFont val="Aptos Narrow"/>
            <scheme val="minor"/>
          </rPr>
          <t>======
ID#AAABjx7qRlg
    (2025-05-21 11:33:25)
0108 Santiago: US$10,177.50 匯入玉山</t>
        </r>
      </text>
    </comment>
    <comment ref="M2607" authorId="0" shapeId="0" xr:uid="{D618C7E0-285D-C54D-AB78-1EF7B9CCEB0F}">
      <text>
        <r>
          <rPr>
            <sz val="10"/>
            <color rgb="FF000000"/>
            <rFont val="Aptos Narrow"/>
            <scheme val="minor"/>
          </rPr>
          <t>======
ID#AAABjx7qTco
    (2025-05-21 11:33:26)
預計11/15到貨</t>
        </r>
      </text>
    </comment>
    <comment ref="H2608" authorId="0" shapeId="0" xr:uid="{2657ABEB-2BF3-2946-8C91-D43A0150AC4F}">
      <text>
        <r>
          <rPr>
            <sz val="10"/>
            <color rgb="FF000000"/>
            <rFont val="Aptos Narrow"/>
            <scheme val="minor"/>
          </rPr>
          <t>======
ID#AAABjx7qSD8
    (2025-05-21 11:33:25)
20171128 Santiago: 已匯入</t>
        </r>
      </text>
    </comment>
    <comment ref="P2608" authorId="0" shapeId="0" xr:uid="{803BB4DD-95BA-114F-8CEC-5F89072A5602}">
      <text>
        <r>
          <rPr>
            <sz val="10"/>
            <color rgb="FF000000"/>
            <rFont val="Aptos Narrow"/>
            <scheme val="minor"/>
          </rPr>
          <t>======
ID#AAABjx7qSm0
    (2025-05-21 11:33:26)
1102 匯入</t>
        </r>
      </text>
    </comment>
    <comment ref="H2609" authorId="0" shapeId="0" xr:uid="{EDAC05D5-4A2A-7E46-B312-701936D79BB6}">
      <text>
        <r>
          <rPr>
            <sz val="10"/>
            <color rgb="FF000000"/>
            <rFont val="Aptos Narrow"/>
            <scheme val="minor"/>
          </rPr>
          <t>======
ID#AAABjx7qTNs
    (2025-05-21 11:33:26)
20171128 Santiago: 已匯入</t>
        </r>
      </text>
    </comment>
    <comment ref="M2609" authorId="0" shapeId="0" xr:uid="{2C7B865F-C83B-E349-BE39-0971691312B7}">
      <text>
        <r>
          <rPr>
            <sz val="10"/>
            <color rgb="FF000000"/>
            <rFont val="Aptos Narrow"/>
            <scheme val="minor"/>
          </rPr>
          <t>======
ID#AAABjx7qQSE
    (2025-05-21 11:33:25)
預計11/15到貨</t>
        </r>
      </text>
    </comment>
    <comment ref="H2614" authorId="0" shapeId="0" xr:uid="{3375D1E9-B002-1747-809D-BEF0DA2060F5}">
      <text>
        <r>
          <rPr>
            <sz val="10"/>
            <color rgb="FF000000"/>
            <rFont val="Aptos Narrow"/>
            <scheme val="minor"/>
          </rPr>
          <t>======
ID#AAABjx7qV7g
    (2025-05-21 11:33:27)
20171128 Santiago: 已匯入</t>
        </r>
      </text>
    </comment>
    <comment ref="P2614" authorId="0" shapeId="0" xr:uid="{CB2BDC93-EDF5-A545-AAD6-A0335A506B96}">
      <text>
        <r>
          <rPr>
            <sz val="10"/>
            <color rgb="FF000000"/>
            <rFont val="Aptos Narrow"/>
            <scheme val="minor"/>
          </rPr>
          <t>======
ID#AAABjx7qPB4
    (2025-05-21 11:33:24)
32018.7+10 (科技國給MOXA手續費)</t>
        </r>
      </text>
    </comment>
    <comment ref="H2615" authorId="0" shapeId="0" xr:uid="{74D003B6-F422-9948-8625-D27F5347E3A9}">
      <text>
        <r>
          <rPr>
            <sz val="10"/>
            <color rgb="FF000000"/>
            <rFont val="Aptos Narrow"/>
            <scheme val="minor"/>
          </rPr>
          <t>======
ID#AAABjx7qSjs
    (2025-05-21 11:33:26)
1103收到客戶水單US$2700(預計11/7付款預計4-5天貨款會到)
本地銀行尚未通知
1110 chloe: 收到銀行通知US$2690</t>
        </r>
      </text>
    </comment>
    <comment ref="M2615" authorId="0" shapeId="0" xr:uid="{0BD85A24-F8EF-5B43-8627-AFCF4A9CAFE3}">
      <text>
        <r>
          <rPr>
            <sz val="10"/>
            <color rgb="FF000000"/>
            <rFont val="Aptos Narrow"/>
            <scheme val="minor"/>
          </rPr>
          <t>======
ID#AAABjx7qWRQ
    (2025-05-21 11:33:27)
預計11/8到貨</t>
        </r>
      </text>
    </comment>
    <comment ref="H2616" authorId="0" shapeId="0" xr:uid="{60322BB9-2E2D-B745-84BD-859CE11D44E3}">
      <text>
        <r>
          <rPr>
            <sz val="10"/>
            <color rgb="FF000000"/>
            <rFont val="Aptos Narrow"/>
            <scheme val="minor"/>
          </rPr>
          <t>======
ID#AAABjx7qQF0
    (2025-05-21 11:33:25)
0131 chloe:已匯入US$48618</t>
        </r>
      </text>
    </comment>
    <comment ref="H2617" authorId="0" shapeId="0" xr:uid="{C4A63BDC-28E9-8F40-9516-48E64A37ADFB}">
      <text>
        <r>
          <rPr>
            <sz val="10"/>
            <color rgb="FF000000"/>
            <rFont val="Aptos Narrow"/>
            <scheme val="minor"/>
          </rPr>
          <t>======
ID#AAABjx7qSjM
    (2025-05-21 11:33:26)
0131 chloe:已匯入US$48618</t>
        </r>
      </text>
    </comment>
    <comment ref="H2618" authorId="0" shapeId="0" xr:uid="{DAD3EA12-D9E6-CE4B-B9B0-01D73BA213A0}">
      <text>
        <r>
          <rPr>
            <sz val="10"/>
            <color rgb="FF000000"/>
            <rFont val="Aptos Narrow"/>
            <scheme val="minor"/>
          </rPr>
          <t>======
ID#AAABjx7qSg8
    (2025-05-21 11:33:26)
0131 chloe:已匯入US$48618</t>
        </r>
      </text>
    </comment>
    <comment ref="H2619" authorId="0" shapeId="0" xr:uid="{E9206461-A128-D44C-AC74-E2B91B1B56AA}">
      <text>
        <r>
          <rPr>
            <sz val="10"/>
            <color rgb="FF000000"/>
            <rFont val="Aptos Narrow"/>
            <scheme val="minor"/>
          </rPr>
          <t>======
ID#AAABjx7qTeA
    (2025-05-21 11:33:26)
0131 chloe:已匯入US$48618</t>
        </r>
      </text>
    </comment>
    <comment ref="H2620" authorId="0" shapeId="0" xr:uid="{BC62AC6C-9E5D-384E-8E99-A51260234E39}">
      <text>
        <r>
          <rPr>
            <sz val="10"/>
            <color rgb="FF000000"/>
            <rFont val="Aptos Narrow"/>
            <scheme val="minor"/>
          </rPr>
          <t>======
ID#AAABjx7qWBE
    (2025-05-21 11:33:27)
0131 chloe:已匯入US$48618</t>
        </r>
      </text>
    </comment>
    <comment ref="H2621" authorId="0" shapeId="0" xr:uid="{5B27DC10-B3C4-5C42-88FB-875D250185FA}">
      <text>
        <r>
          <rPr>
            <sz val="10"/>
            <color rgb="FF000000"/>
            <rFont val="Aptos Narrow"/>
            <scheme val="minor"/>
          </rPr>
          <t>======
ID#AAABjx7qWIQ
    (2025-05-21 11:33:27)
0131 chloe:已匯入US$48618</t>
        </r>
      </text>
    </comment>
    <comment ref="E2622" authorId="0" shapeId="0" xr:uid="{BD23DDBF-8129-3C44-A592-4F1403DFA099}">
      <text>
        <r>
          <rPr>
            <sz val="10"/>
            <color rgb="FF000000"/>
            <rFont val="Aptos Narrow"/>
            <scheme val="minor"/>
          </rPr>
          <t>======
ID#AAABjx7qNcc
    (2025-05-21 11:33:23)
11/12 michelle: 58-80024-0000</t>
        </r>
      </text>
    </comment>
    <comment ref="H2622" authorId="0" shapeId="0" xr:uid="{D522590A-0024-2944-981E-295268CE2B44}">
      <text>
        <r>
          <rPr>
            <sz val="10"/>
            <color rgb="FF000000"/>
            <rFont val="Aptos Narrow"/>
            <scheme val="minor"/>
          </rPr>
          <t>======
ID#AAABjx7qR2Y
    (2025-05-21 11:33:25)
0131 chloe:已匯入US$48618</t>
        </r>
      </text>
    </comment>
    <comment ref="G2623" authorId="0" shapeId="0" xr:uid="{2DF8203F-B3C4-E64E-BEE2-A79E5E88AA62}">
      <text>
        <r>
          <rPr>
            <sz val="10"/>
            <color rgb="FF000000"/>
            <rFont val="Aptos Narrow"/>
            <scheme val="minor"/>
          </rPr>
          <t>======
ID#AAABjx7qWQY
    (2025-05-21 11:33:27)
w/5%VAT</t>
        </r>
      </text>
    </comment>
    <comment ref="H2623" authorId="0" shapeId="0" xr:uid="{30DBC9F7-ECB2-0341-A584-A393A8104E7A}">
      <text>
        <r>
          <rPr>
            <sz val="10"/>
            <color rgb="FF000000"/>
            <rFont val="Aptos Narrow"/>
            <scheme val="minor"/>
          </rPr>
          <t>======
ID#AAABjx7qWM8
    (2025-05-21 11:33:27)
0128 chloe: 收到銀行通知NT$9017</t>
        </r>
      </text>
    </comment>
    <comment ref="H2624" authorId="0" shapeId="0" xr:uid="{010A6114-7B88-4F4D-B985-73AB037C5131}">
      <text>
        <r>
          <rPr>
            <sz val="10"/>
            <color rgb="FF000000"/>
            <rFont val="Aptos Narrow"/>
            <scheme val="minor"/>
          </rPr>
          <t>======
ID#AAABjx7qPgU
    (2025-05-21 11:33:24)
1213 Santiago : 合庫收到匯款NT3140</t>
        </r>
      </text>
    </comment>
    <comment ref="H2625" authorId="0" shapeId="0" xr:uid="{D729BFCD-8DF2-7B44-B0CE-4EB7E1BEBE5A}">
      <text>
        <r>
          <rPr>
            <sz val="10"/>
            <color rgb="FF000000"/>
            <rFont val="Aptos Narrow"/>
            <scheme val="minor"/>
          </rPr>
          <t>======
ID#AAABjx7qP28
    (2025-05-21 11:33:24)
1114 chloe: 收到款項NT5862</t>
        </r>
      </text>
    </comment>
    <comment ref="H2626" authorId="0" shapeId="0" xr:uid="{62E21B17-531E-FC45-94ED-B33CD7B07490}">
      <text>
        <r>
          <rPr>
            <sz val="10"/>
            <color rgb="FF000000"/>
            <rFont val="Aptos Narrow"/>
            <scheme val="minor"/>
          </rPr>
          <t>======
ID#AAABjx7qVdA
    (2025-05-21 11:33:27)
1114 chloe: 收到款項NT5862</t>
        </r>
      </text>
    </comment>
    <comment ref="H2627" authorId="0" shapeId="0" xr:uid="{8F8BCC68-AF6A-0C45-AF9A-F5955B35E9AE}">
      <text>
        <r>
          <rPr>
            <sz val="10"/>
            <color rgb="FF000000"/>
            <rFont val="Aptos Narrow"/>
            <scheme val="minor"/>
          </rPr>
          <t>======
ID#AAABjx7qNUQ
    (2025-05-21 11:33:23)
1120 Santiago : 已收到匯款US$1910
1116 chloe:已有客戶水單，待銀行通知(可先出貨)</t>
        </r>
      </text>
    </comment>
    <comment ref="H2628" authorId="0" shapeId="0" xr:uid="{181AAB4F-280E-904B-8BC3-B6BD4DEAED61}">
      <text>
        <r>
          <rPr>
            <sz val="10"/>
            <color rgb="FF000000"/>
            <rFont val="Aptos Narrow"/>
            <scheme val="minor"/>
          </rPr>
          <t>======
ID#AAABjx7qTA0
    (2025-05-21 11:33:26)
1120 Santiago 已收到客戶匯款US$1910
1116 chloe:已有客戶水單，待銀行通知(可先出貨)</t>
        </r>
      </text>
    </comment>
    <comment ref="H2629" authorId="0" shapeId="0" xr:uid="{6C80F696-D432-AC48-B731-E7DAD502BD35}">
      <text>
        <r>
          <rPr>
            <sz val="10"/>
            <color rgb="FF000000"/>
            <rFont val="Aptos Narrow"/>
            <scheme val="minor"/>
          </rPr>
          <t>======
ID#AAABjx7qOuc
    (2025-05-21 11:33:24)
1218 santiago: 已收到貨款</t>
        </r>
      </text>
    </comment>
    <comment ref="K2629" authorId="0" shapeId="0" xr:uid="{528D20F7-17E7-634D-ADDF-3809E6822597}">
      <text>
        <r>
          <rPr>
            <sz val="10"/>
            <color rgb="FF000000"/>
            <rFont val="Aptos Narrow"/>
            <scheme val="minor"/>
          </rPr>
          <t>======
ID#AAABjx7qS4M
    (2025-05-21 11:33:26)
Christine1120: RMA-20171011A一起返回</t>
        </r>
      </text>
    </comment>
    <comment ref="M2629" authorId="0" shapeId="0" xr:uid="{48F7E111-F6F4-7E48-B8EE-3B3891F60959}">
      <text>
        <r>
          <rPr>
            <sz val="10"/>
            <color rgb="FF000000"/>
            <rFont val="Aptos Narrow"/>
            <scheme val="minor"/>
          </rPr>
          <t>======
ID#AAABjx7qVao
    (2025-05-21 11:33:27)
預計11/22到貨</t>
        </r>
      </text>
    </comment>
    <comment ref="H2630" authorId="0" shapeId="0" xr:uid="{91FAA3EB-A2D6-E44E-A0B1-36F528734E9F}">
      <text>
        <r>
          <rPr>
            <sz val="10"/>
            <color rgb="FF000000"/>
            <rFont val="Aptos Narrow"/>
            <scheme val="minor"/>
          </rPr>
          <t>======
ID#AAABjx7qMwQ
    (2025-05-21 11:33:23)
1218 santiago: 已收到貨款</t>
        </r>
      </text>
    </comment>
    <comment ref="H2631" authorId="0" shapeId="0" xr:uid="{3C310C1F-0DA9-2148-97CE-ADC37432B762}">
      <text>
        <r>
          <rPr>
            <sz val="10"/>
            <color rgb="FF000000"/>
            <rFont val="Aptos Narrow"/>
            <scheme val="minor"/>
          </rPr>
          <t>======
ID#AAABj82dpLI
    (2025-05-21 11:33:23)
0108 Santiago: US$10,177.50 匯入玉山</t>
        </r>
      </text>
    </comment>
    <comment ref="AB2631" authorId="0" shapeId="0" xr:uid="{F6E34BA6-3CD4-2C46-BE2C-75CF093B3C03}">
      <text>
        <r>
          <rPr>
            <sz val="10"/>
            <color rgb="FF000000"/>
            <rFont val="Aptos Narrow"/>
            <scheme val="minor"/>
          </rPr>
          <t>======
ID#AAABjx7qWQw
    (2025-05-21 11:33:27)
簡易出口</t>
        </r>
      </text>
    </comment>
    <comment ref="H2632" authorId="0" shapeId="0" xr:uid="{ED8EA866-99C8-CF4D-96AB-3B79170DB5A1}">
      <text>
        <r>
          <rPr>
            <sz val="10"/>
            <color rgb="FF000000"/>
            <rFont val="Aptos Narrow"/>
            <scheme val="minor"/>
          </rPr>
          <t>======
ID#AAABjx7qVUg
    (2025-05-21 11:33:27)
0108 Santiago: US$10,177.50 匯入玉山</t>
        </r>
      </text>
    </comment>
    <comment ref="AB2632" authorId="0" shapeId="0" xr:uid="{9A2E85B5-2E8F-D747-964F-0ACBDE9540B8}">
      <text>
        <r>
          <rPr>
            <sz val="10"/>
            <color rgb="FF000000"/>
            <rFont val="Aptos Narrow"/>
            <scheme val="minor"/>
          </rPr>
          <t>======
ID#AAABjx7qOYM
    (2025-05-21 11:33:24)
簡易出口</t>
        </r>
      </text>
    </comment>
    <comment ref="H2633" authorId="0" shapeId="0" xr:uid="{AD967A30-1F86-2449-A95E-B28A888A7443}">
      <text>
        <r>
          <rPr>
            <sz val="10"/>
            <color rgb="FF000000"/>
            <rFont val="Aptos Narrow"/>
            <scheme val="minor"/>
          </rPr>
          <t>======
ID#AAABjx7qOyc
    (2025-05-21 11:33:24)
0108 Santiago: US$10,177.50 匯入玉山</t>
        </r>
      </text>
    </comment>
    <comment ref="AB2633" authorId="0" shapeId="0" xr:uid="{7AD5801C-10E1-2340-965E-38F25383C2F4}">
      <text>
        <r>
          <rPr>
            <sz val="10"/>
            <color rgb="FF000000"/>
            <rFont val="Aptos Narrow"/>
            <scheme val="minor"/>
          </rPr>
          <t>======
ID#AAABj82dpGg
    (2025-05-21 11:33:23)
簡易出口</t>
        </r>
      </text>
    </comment>
    <comment ref="H2634" authorId="0" shapeId="0" xr:uid="{4DE6AE70-94E0-3847-80B2-0B841867E846}">
      <text>
        <r>
          <rPr>
            <sz val="10"/>
            <color rgb="FF000000"/>
            <rFont val="Aptos Narrow"/>
            <scheme val="minor"/>
          </rPr>
          <t>======
ID#AAABjx7qQCU
    (2025-05-21 11:33:25)
0108 Santiago: US$10,177.50 匯入玉山</t>
        </r>
      </text>
    </comment>
    <comment ref="AB2634" authorId="0" shapeId="0" xr:uid="{CAB7A0A2-2B88-F649-89F8-62C738B57918}">
      <text>
        <r>
          <rPr>
            <sz val="10"/>
            <color rgb="FF000000"/>
            <rFont val="Aptos Narrow"/>
            <scheme val="minor"/>
          </rPr>
          <t>======
ID#AAABjx7qVLA
    (2025-05-21 11:33:27)
簡易出口</t>
        </r>
      </text>
    </comment>
    <comment ref="H2635" authorId="0" shapeId="0" xr:uid="{9BF14FA9-14EA-9640-A7E9-108028D66F70}">
      <text>
        <r>
          <rPr>
            <sz val="10"/>
            <color rgb="FF000000"/>
            <rFont val="Aptos Narrow"/>
            <scheme val="minor"/>
          </rPr>
          <t>======
ID#AAABjx7qO70
    (2025-05-21 11:33:24)
0108 Santiago: US$10,177.50 匯入玉山</t>
        </r>
      </text>
    </comment>
    <comment ref="AB2635" authorId="0" shapeId="0" xr:uid="{8025BFBC-0447-1342-82A0-CB5A65A64B1A}">
      <text>
        <r>
          <rPr>
            <sz val="10"/>
            <color rgb="FF000000"/>
            <rFont val="Aptos Narrow"/>
            <scheme val="minor"/>
          </rPr>
          <t>======
ID#AAABjx7qVU4
    (2025-05-21 11:33:27)
簡易出口</t>
        </r>
      </text>
    </comment>
    <comment ref="H2636" authorId="0" shapeId="0" xr:uid="{0F0ABD17-333A-E440-83F4-2DF3B8538A4D}">
      <text>
        <r>
          <rPr>
            <sz val="10"/>
            <color rgb="FF000000"/>
            <rFont val="Aptos Narrow"/>
            <scheme val="minor"/>
          </rPr>
          <t>======
ID#AAABjx7qMts
    (2025-05-21 11:33:23)
20180201 收到支票 NT6636元，待兌現
20180207 確定兌現</t>
        </r>
      </text>
    </comment>
    <comment ref="H2637" authorId="0" shapeId="0" xr:uid="{BC30465E-DAED-4C4A-8D5A-1E92878EEAC9}">
      <text>
        <r>
          <rPr>
            <sz val="10"/>
            <color rgb="FF000000"/>
            <rFont val="Aptos Narrow"/>
            <scheme val="minor"/>
          </rPr>
          <t>======
ID#AAABjx7qOlU
    (2025-05-21 11:33:24)
0227 chloe: 收到 匯款NT2,990,255</t>
        </r>
      </text>
    </comment>
    <comment ref="H2638" authorId="0" shapeId="0" xr:uid="{D9DB47D6-DB7E-6547-9ADA-062674655519}">
      <text>
        <r>
          <rPr>
            <sz val="10"/>
            <color rgb="FF000000"/>
            <rFont val="Aptos Narrow"/>
            <scheme val="minor"/>
          </rPr>
          <t>======
ID#AAABjx7qRyU
    (2025-05-21 11:33:25)
0227 chloe: 收到 匯款NT2,990,255</t>
        </r>
      </text>
    </comment>
    <comment ref="H2639" authorId="0" shapeId="0" xr:uid="{0250D663-59B3-9B43-8A3D-5A0CC7F0695E}">
      <text>
        <r>
          <rPr>
            <sz val="10"/>
            <color rgb="FF000000"/>
            <rFont val="Aptos Narrow"/>
            <scheme val="minor"/>
          </rPr>
          <t>======
ID#AAABjx7qWLY
    (2025-05-21 11:33:27)
0227 chloe: 收到 匯款NT2,990,255</t>
        </r>
      </text>
    </comment>
    <comment ref="H2640" authorId="0" shapeId="0" xr:uid="{D3675812-02AB-704D-86AA-AA5CDD77568D}">
      <text>
        <r>
          <rPr>
            <sz val="10"/>
            <color rgb="FF000000"/>
            <rFont val="Aptos Narrow"/>
            <scheme val="minor"/>
          </rPr>
          <t>======
ID#AAABjx7qVqI
    (2025-05-21 11:33:27)
0227 chloe: 收到 匯款NT2,990,255</t>
        </r>
      </text>
    </comment>
    <comment ref="H2641" authorId="0" shapeId="0" xr:uid="{0527525E-AACB-2E47-A950-5134A9594CF2}">
      <text>
        <r>
          <rPr>
            <sz val="10"/>
            <color rgb="FF000000"/>
            <rFont val="Aptos Narrow"/>
            <scheme val="minor"/>
          </rPr>
          <t>======
ID#AAABjx7qOio
    (2025-05-21 11:33:24)
0227 chloe: 收到 匯款NT2,990,255</t>
        </r>
      </text>
    </comment>
    <comment ref="H2642" authorId="0" shapeId="0" xr:uid="{2BBA3D54-203C-0C47-A778-CD53FD75260D}">
      <text>
        <r>
          <rPr>
            <sz val="10"/>
            <color rgb="FF000000"/>
            <rFont val="Aptos Narrow"/>
            <scheme val="minor"/>
          </rPr>
          <t>======
ID#AAABjx7qSzo
    (2025-05-21 11:33:26)
0227 chloe: 收到 匯款NT2,990,255</t>
        </r>
      </text>
    </comment>
    <comment ref="H2643" authorId="0" shapeId="0" xr:uid="{44CA1FE4-D2BC-794E-AEBF-F8A214EAFCD6}">
      <text>
        <r>
          <rPr>
            <sz val="10"/>
            <color rgb="FF000000"/>
            <rFont val="Aptos Narrow"/>
            <scheme val="minor"/>
          </rPr>
          <t>======
ID#AAABjx7qRA8
    (2025-05-21 11:33:25)
0227 chloe: 收到 匯款NT2,990,255</t>
        </r>
      </text>
    </comment>
    <comment ref="H2644" authorId="0" shapeId="0" xr:uid="{BE463730-A540-464D-852F-046FB0EA5DA2}">
      <text>
        <r>
          <rPr>
            <sz val="10"/>
            <color rgb="FF000000"/>
            <rFont val="Aptos Narrow"/>
            <scheme val="minor"/>
          </rPr>
          <t>======
ID#AAABjx7qTpY
    (2025-05-21 11:33:26)
0227 chloe: 收到 匯款NT2,990,255</t>
        </r>
      </text>
    </comment>
    <comment ref="H2645" authorId="0" shapeId="0" xr:uid="{F8E03D89-D598-4E44-9E93-41987D2B1C94}">
      <text>
        <r>
          <rPr>
            <sz val="10"/>
            <color rgb="FF000000"/>
            <rFont val="Aptos Narrow"/>
            <scheme val="minor"/>
          </rPr>
          <t>======
ID#AAABjx7qPpg
    (2025-05-21 11:33:24)
0227 chloe: 收到 匯款NT2,990,255</t>
        </r>
      </text>
    </comment>
    <comment ref="H2646" authorId="0" shapeId="0" xr:uid="{C3273F06-378A-1A4A-9487-BC3B920B0955}">
      <text>
        <r>
          <rPr>
            <sz val="10"/>
            <color rgb="FF000000"/>
            <rFont val="Aptos Narrow"/>
            <scheme val="minor"/>
          </rPr>
          <t>======
ID#AAABjx7qS2k
    (2025-05-21 11:33:26)
0227 chloe: 收到 匯款NT2,990,255</t>
        </r>
      </text>
    </comment>
    <comment ref="H2647" authorId="0" shapeId="0" xr:uid="{79B6205B-C426-B249-9EC6-D812E8B4AB8C}">
      <text>
        <r>
          <rPr>
            <sz val="10"/>
            <color rgb="FF000000"/>
            <rFont val="Aptos Narrow"/>
            <scheme val="minor"/>
          </rPr>
          <t>======
ID#AAABjx7qQ14
    (2025-05-21 11:33:25)
0227 chloe: 收到 匯款NT2,990,255</t>
        </r>
      </text>
    </comment>
    <comment ref="E2648" authorId="0" shapeId="0" xr:uid="{814D8760-C7C0-0644-A907-FAF59EFAB83B}">
      <text>
        <r>
          <rPr>
            <sz val="10"/>
            <color rgb="FF000000"/>
            <rFont val="Aptos Narrow"/>
            <scheme val="minor"/>
          </rPr>
          <t>======
ID#AAABjx7qSDA
    (2025-05-21 11:33:25)
S/N:1743-238107&amp;1743-238114</t>
        </r>
      </text>
    </comment>
    <comment ref="H2648" authorId="0" shapeId="0" xr:uid="{0E334A0D-D840-F849-87CE-558039FDF8D6}">
      <text>
        <r>
          <rPr>
            <sz val="10"/>
            <color rgb="FF000000"/>
            <rFont val="Aptos Narrow"/>
            <scheme val="minor"/>
          </rPr>
          <t>======
ID#AAABjx7qOug
    (2025-05-21 11:33:24)
0110 Santiago : 收到玉山通知</t>
        </r>
      </text>
    </comment>
    <comment ref="H2649" authorId="0" shapeId="0" xr:uid="{CF50DAC0-AD3D-6148-8C11-AC0DBD0C140F}">
      <text>
        <r>
          <rPr>
            <sz val="10"/>
            <color rgb="FF000000"/>
            <rFont val="Aptos Narrow"/>
            <scheme val="minor"/>
          </rPr>
          <t>======
ID#AAABjx7qQWM
    (2025-05-21 11:33:25)
0108 Santiago: US$10,177.50 匯入玉山</t>
        </r>
      </text>
    </comment>
    <comment ref="H2650" authorId="0" shapeId="0" xr:uid="{D259DB87-F873-4147-90D4-930F903BF343}">
      <text>
        <r>
          <rPr>
            <sz val="10"/>
            <color rgb="FF000000"/>
            <rFont val="Aptos Narrow"/>
            <scheme val="minor"/>
          </rPr>
          <t>======
ID#AAABjx7qM5w
    (2025-05-21 11:33:23)
Santiago 0108 : 玉山收到US$22291</t>
        </r>
      </text>
    </comment>
    <comment ref="M2650" authorId="0" shapeId="0" xr:uid="{590BCD6F-E8B7-E943-A4DD-3D6CF2481150}">
      <text>
        <r>
          <rPr>
            <sz val="10"/>
            <color rgb="FF000000"/>
            <rFont val="Aptos Narrow"/>
            <scheme val="minor"/>
          </rPr>
          <t>======
ID#AAABjx7qOzg
    (2025-05-21 11:33:24)
預計12/15到貨</t>
        </r>
      </text>
    </comment>
    <comment ref="H2651" authorId="0" shapeId="0" xr:uid="{D5241D0A-011E-3247-AA3F-1A41B82D5411}">
      <text>
        <r>
          <rPr>
            <sz val="10"/>
            <color rgb="FF000000"/>
            <rFont val="Aptos Narrow"/>
            <scheme val="minor"/>
          </rPr>
          <t>======
ID#AAABjx7qN7w
    (2025-05-21 11:33:23)
Santiago 0108 : 玉山收到US$22291</t>
        </r>
      </text>
    </comment>
    <comment ref="M2651" authorId="0" shapeId="0" xr:uid="{A9358459-24CC-284A-B302-1B1E7FC561AF}">
      <text>
        <r>
          <rPr>
            <sz val="10"/>
            <color rgb="FF000000"/>
            <rFont val="Aptos Narrow"/>
            <scheme val="minor"/>
          </rPr>
          <t>======
ID#AAABjx7qS8s
    (2025-05-21 11:33:26)
預計12/6到貨</t>
        </r>
      </text>
    </comment>
    <comment ref="H2652" authorId="0" shapeId="0" xr:uid="{7F7E5C44-00C9-1C45-A509-91565F25E7D0}">
      <text>
        <r>
          <rPr>
            <sz val="10"/>
            <color rgb="FF000000"/>
            <rFont val="Aptos Narrow"/>
            <scheme val="minor"/>
          </rPr>
          <t>======
ID#AAABjx7qO1E
    (2025-05-21 11:33:24)
Santiago 0108 : 玉山收到US$22291</t>
        </r>
      </text>
    </comment>
    <comment ref="M2652" authorId="0" shapeId="0" xr:uid="{B2BBF1EC-CA8D-5C42-AC55-4F2995C82480}">
      <text>
        <r>
          <rPr>
            <sz val="10"/>
            <color rgb="FF000000"/>
            <rFont val="Aptos Narrow"/>
            <scheme val="minor"/>
          </rPr>
          <t>======
ID#AAABjx7qOpo
    (2025-05-21 11:33:24)
預計12/15到貨</t>
        </r>
      </text>
    </comment>
    <comment ref="H2653" authorId="0" shapeId="0" xr:uid="{7AF660F2-593E-8345-BCE2-47AD62D692EE}">
      <text>
        <r>
          <rPr>
            <sz val="10"/>
            <color rgb="FF000000"/>
            <rFont val="Aptos Narrow"/>
            <scheme val="minor"/>
          </rPr>
          <t>======
ID#AAABjx7qRfY
    (2025-05-21 11:33:25)
Santiago 0108 : 玉山收到US$22291</t>
        </r>
      </text>
    </comment>
    <comment ref="M2653" authorId="0" shapeId="0" xr:uid="{231AB563-F9EB-E24B-82AD-BC535A783738}">
      <text>
        <r>
          <rPr>
            <sz val="10"/>
            <color rgb="FF000000"/>
            <rFont val="Aptos Narrow"/>
            <scheme val="minor"/>
          </rPr>
          <t>======
ID#AAABjx7qQTw
    (2025-05-21 11:33:25)
預計12/15到貨</t>
        </r>
      </text>
    </comment>
    <comment ref="H2654" authorId="0" shapeId="0" xr:uid="{B47C7A6F-6394-2A48-8530-6E546B984A5E}">
      <text>
        <r>
          <rPr>
            <sz val="10"/>
            <color rgb="FF000000"/>
            <rFont val="Aptos Narrow"/>
            <scheme val="minor"/>
          </rPr>
          <t>======
ID#AAABjx7qRIE
    (2025-05-21 11:33:25)
Santiago 0108 : 玉山收到US$22291</t>
        </r>
      </text>
    </comment>
    <comment ref="M2654" authorId="0" shapeId="0" xr:uid="{FC9B4082-A54D-0141-9515-C0D36280B84D}">
      <text>
        <r>
          <rPr>
            <sz val="10"/>
            <color rgb="FF000000"/>
            <rFont val="Aptos Narrow"/>
            <scheme val="minor"/>
          </rPr>
          <t>======
ID#AAABjx7qTMI
    (2025-05-21 11:33:26)
預計12/15到貨</t>
        </r>
      </text>
    </comment>
    <comment ref="H2655" authorId="0" shapeId="0" xr:uid="{5E0AFFD5-282F-3641-B04B-97341CE6661E}">
      <text>
        <r>
          <rPr>
            <sz val="10"/>
            <color rgb="FF000000"/>
            <rFont val="Aptos Narrow"/>
            <scheme val="minor"/>
          </rPr>
          <t>======
ID#AAABjx7qRTI
    (2025-05-21 11:33:25)
Santiago 0108 : 玉山收到US$22291</t>
        </r>
      </text>
    </comment>
    <comment ref="M2655" authorId="0" shapeId="0" xr:uid="{BB6F5370-7AD9-6A48-8EFA-DD1DA78C6EBE}">
      <text>
        <r>
          <rPr>
            <sz val="10"/>
            <color rgb="FF000000"/>
            <rFont val="Aptos Narrow"/>
            <scheme val="minor"/>
          </rPr>
          <t>======
ID#AAABjx7qPc8
    (2025-05-21 11:33:24)
預計12/6到貨</t>
        </r>
      </text>
    </comment>
    <comment ref="H2656" authorId="0" shapeId="0" xr:uid="{6008D96D-0167-8041-8FEE-8FDC90954295}">
      <text>
        <r>
          <rPr>
            <sz val="10"/>
            <color rgb="FF000000"/>
            <rFont val="Aptos Narrow"/>
            <scheme val="minor"/>
          </rPr>
          <t>======
ID#AAABjx7qQBk
    (2025-05-21 11:33:25)
Santiago 0108 : 玉山收到US$22291</t>
        </r>
      </text>
    </comment>
    <comment ref="M2656" authorId="0" shapeId="0" xr:uid="{05632309-D129-BE4C-9FF9-3340F3C54686}">
      <text>
        <r>
          <rPr>
            <sz val="10"/>
            <color rgb="FF000000"/>
            <rFont val="Aptos Narrow"/>
            <scheme val="minor"/>
          </rPr>
          <t>======
ID#AAABjx7qPbo
    (2025-05-21 11:33:24)
預計12/15到貨</t>
        </r>
      </text>
    </comment>
    <comment ref="H2657" authorId="0" shapeId="0" xr:uid="{844F86BC-5AD6-794E-9D9E-342EBB35D648}">
      <text>
        <r>
          <rPr>
            <sz val="10"/>
            <color rgb="FF000000"/>
            <rFont val="Aptos Narrow"/>
            <scheme val="minor"/>
          </rPr>
          <t>======
ID#AAABjx7qS7o
    (2025-05-21 11:33:26)
Santiago 0108 : 玉山收到US$22291</t>
        </r>
      </text>
    </comment>
    <comment ref="M2657" authorId="0" shapeId="0" xr:uid="{5E11C0BC-EDA1-D14B-9CF9-1E94B98CB662}">
      <text>
        <r>
          <rPr>
            <sz val="10"/>
            <color rgb="FF000000"/>
            <rFont val="Aptos Narrow"/>
            <scheme val="minor"/>
          </rPr>
          <t>======
ID#AAABj82dpHU
    (2025-05-21 11:33:23)
預計12/15到貨</t>
        </r>
      </text>
    </comment>
    <comment ref="H2658" authorId="0" shapeId="0" xr:uid="{71A4F30D-D569-3D4A-BC2B-6D80040BAD7D}">
      <text>
        <r>
          <rPr>
            <sz val="10"/>
            <color rgb="FF000000"/>
            <rFont val="Aptos Narrow"/>
            <scheme val="minor"/>
          </rPr>
          <t>======
ID#AAABjx7qQgg
    (2025-05-21 11:33:25)
Santiago 0108 : 玉山收到US$22291</t>
        </r>
      </text>
    </comment>
    <comment ref="Z2658" authorId="0" shapeId="0" xr:uid="{05D8CBDD-3E61-284C-A977-C8F7FB696ABB}">
      <text>
        <r>
          <rPr>
            <sz val="10"/>
            <color rgb="FF000000"/>
            <rFont val="Aptos Narrow"/>
            <scheme val="minor"/>
          </rPr>
          <t>======
ID#AAABjx7qV9w
    (2025-05-21 11:33:27)
在Chloe手上</t>
        </r>
      </text>
    </comment>
    <comment ref="H2659" authorId="0" shapeId="0" xr:uid="{3C6DE0D1-5A6A-C647-8387-90123DB77E76}">
      <text>
        <r>
          <rPr>
            <sz val="10"/>
            <color rgb="FF000000"/>
            <rFont val="Aptos Narrow"/>
            <scheme val="minor"/>
          </rPr>
          <t>======
ID#AAABjx7qR-k
    (2025-05-21 11:33:25)
Santiago 0108 : 玉山收到US$22291</t>
        </r>
      </text>
    </comment>
    <comment ref="Z2659" authorId="0" shapeId="0" xr:uid="{B4CCE047-33E0-4743-9AB0-1DD136EC67F0}">
      <text>
        <r>
          <rPr>
            <sz val="10"/>
            <color rgb="FF000000"/>
            <rFont val="Aptos Narrow"/>
            <scheme val="minor"/>
          </rPr>
          <t>======
ID#AAABjx7qRXo
    (2025-05-21 11:33:25)
在Chloe手上</t>
        </r>
      </text>
    </comment>
    <comment ref="H2660" authorId="0" shapeId="0" xr:uid="{84CAC490-B506-9C41-9C8B-CB749761BC9A}">
      <text>
        <r>
          <rPr>
            <sz val="10"/>
            <color rgb="FF000000"/>
            <rFont val="Aptos Narrow"/>
            <scheme val="minor"/>
          </rPr>
          <t>======
ID#AAABjx7qSZI
    (2025-05-21 11:33:26)
Santiago 0108 : 玉山收到US$22291</t>
        </r>
      </text>
    </comment>
    <comment ref="Z2660" authorId="0" shapeId="0" xr:uid="{C4A08D56-DF2F-7246-8F27-054F1588E4D4}">
      <text>
        <r>
          <rPr>
            <sz val="10"/>
            <color rgb="FF000000"/>
            <rFont val="Aptos Narrow"/>
            <scheme val="minor"/>
          </rPr>
          <t>======
ID#AAABjx7qO14
    (2025-05-21 11:33:24)
在Chloe手上</t>
        </r>
      </text>
    </comment>
    <comment ref="H2661" authorId="0" shapeId="0" xr:uid="{2486AE06-6E76-784E-9246-ADE2F3DD7C5A}">
      <text>
        <r>
          <rPr>
            <sz val="10"/>
            <color rgb="FF000000"/>
            <rFont val="Aptos Narrow"/>
            <scheme val="minor"/>
          </rPr>
          <t>======
ID#AAABjx7qNZU
    (2025-05-21 11:33:23)
1225 Santiago: US$18317 入帳
客戶多付US$40 RMA 費用</t>
        </r>
      </text>
    </comment>
    <comment ref="H2662" authorId="0" shapeId="0" xr:uid="{712FB842-227A-F843-82D5-F4E541D8F7FA}">
      <text>
        <r>
          <rPr>
            <sz val="10"/>
            <color rgb="FF000000"/>
            <rFont val="Aptos Narrow"/>
            <scheme val="minor"/>
          </rPr>
          <t>======
ID#AAABjx7qMvk
    (2025-05-21 11:33:23)
Santiago 0108 : 玉山收到US$22291</t>
        </r>
      </text>
    </comment>
    <comment ref="H2663" authorId="0" shapeId="0" xr:uid="{37E13E3A-D4F3-AC47-8A74-D4E3896DD633}">
      <text>
        <r>
          <rPr>
            <sz val="10"/>
            <color rgb="FF000000"/>
            <rFont val="Aptos Narrow"/>
            <scheme val="minor"/>
          </rPr>
          <t>======
ID#AAABjx7qOqY
    (2025-05-21 11:33:24)
1225 Santiago: US$18317 入帳
客戶多付US$40 RMA 費用</t>
        </r>
      </text>
    </comment>
    <comment ref="H2664" authorId="0" shapeId="0" xr:uid="{E98AC124-37BF-4B4C-94B2-0EBAB9C51D10}">
      <text>
        <r>
          <rPr>
            <sz val="10"/>
            <color rgb="FF000000"/>
            <rFont val="Aptos Narrow"/>
            <scheme val="minor"/>
          </rPr>
          <t>======
ID#AAABjx7qTFo
    (2025-05-21 11:33:26)
1225 Santiago: US$18317 入帳
客戶多付US$40 RMA 費用</t>
        </r>
      </text>
    </comment>
    <comment ref="H2665" authorId="0" shapeId="0" xr:uid="{EF5F29ED-93F5-4141-8FD1-BA9F4F8ED8DB}">
      <text>
        <r>
          <rPr>
            <sz val="10"/>
            <color rgb="FF000000"/>
            <rFont val="Aptos Narrow"/>
            <scheme val="minor"/>
          </rPr>
          <t>======
ID#AAABjx7qUsM
    (2025-05-21 11:33:26)
1225 Santiago: US$18317 入帳
客戶多付US$40 RMA 費用</t>
        </r>
      </text>
    </comment>
    <comment ref="M2665" authorId="0" shapeId="0" xr:uid="{C096C139-696D-3D4C-90F3-A81BFDFF3E1E}">
      <text>
        <r>
          <rPr>
            <sz val="10"/>
            <color rgb="FF000000"/>
            <rFont val="Aptos Narrow"/>
            <scheme val="minor"/>
          </rPr>
          <t>======
ID#AAABjx7qNWQ
    (2025-05-21 11:33:23)
預計11/28到貨</t>
        </r>
      </text>
    </comment>
    <comment ref="E2666" authorId="0" shapeId="0" xr:uid="{61C13C59-1308-4D4E-99DE-314A1117ABF7}">
      <text>
        <r>
          <rPr>
            <sz val="10"/>
            <color rgb="FF000000"/>
            <rFont val="Aptos Narrow"/>
            <scheme val="minor"/>
          </rPr>
          <t>======
ID#AAABjx7qPJY
    (2025-05-21 11:33:24)
11/29 Santiago 寄出
O1702160130007
O1702160130008
O1702160130012
O1702160130013</t>
        </r>
      </text>
    </comment>
    <comment ref="H2666" authorId="0" shapeId="0" xr:uid="{499F117B-4EEF-2E45-A7D4-0B5B399EFF56}">
      <text>
        <r>
          <rPr>
            <sz val="10"/>
            <color rgb="FF000000"/>
            <rFont val="Aptos Narrow"/>
            <scheme val="minor"/>
          </rPr>
          <t>======
ID#AAABjx7qM6E
    (2025-05-21 11:33:23)
1225 Santiago: US$18317 入帳
客戶多付US$40 RMA 費用</t>
        </r>
      </text>
    </comment>
    <comment ref="H2667" authorId="0" shapeId="0" xr:uid="{5EFE6374-987F-8841-A309-E3EA3B1CAB5F}">
      <text>
        <r>
          <rPr>
            <sz val="10"/>
            <color rgb="FF000000"/>
            <rFont val="Aptos Narrow"/>
            <scheme val="minor"/>
          </rPr>
          <t>======
ID#AAABjx7qQfY
    (2025-05-21 11:33:25)
0131 chloe:已匯入US$48618</t>
        </r>
      </text>
    </comment>
    <comment ref="J2667" authorId="0" shapeId="0" xr:uid="{F904B023-1F75-8C48-98F3-8007C0DE6DBA}">
      <text>
        <r>
          <rPr>
            <sz val="10"/>
            <color rgb="FF000000"/>
            <rFont val="Aptos Narrow"/>
            <scheme val="minor"/>
          </rPr>
          <t>======
ID#AAABjx7qQlk
Ship To    (2025-05-21 11:33:25)
Ti2 Pty Ltd
103A Mary Street, Richmond, VIC, 3121, Australia
Att: Jim MacDougall
+61 417 714 528</t>
        </r>
      </text>
    </comment>
    <comment ref="H2669" authorId="0" shapeId="0" xr:uid="{6127C8ED-8A99-DD42-A5A6-7C8FBAE58CA5}">
      <text>
        <r>
          <rPr>
            <sz val="10"/>
            <color rgb="FF000000"/>
            <rFont val="Aptos Narrow"/>
            <scheme val="minor"/>
          </rPr>
          <t>======
ID#AAABjx7qOsM
    (2025-05-21 11:33:24)
0108 Santiago: US$10,177.50 匯入玉山</t>
        </r>
      </text>
    </comment>
    <comment ref="M2669" authorId="0" shapeId="0" xr:uid="{D0E56950-DA3A-3342-8E97-66CB8CA13F5D}">
      <text>
        <r>
          <rPr>
            <sz val="10"/>
            <color rgb="FF000000"/>
            <rFont val="Aptos Narrow"/>
            <scheme val="minor"/>
          </rPr>
          <t>======
ID#AAABjx7qRHs
    (2025-05-21 11:33:25)
預計11/28到貨</t>
        </r>
      </text>
    </comment>
    <comment ref="H2670" authorId="0" shapeId="0" xr:uid="{1A922407-3DB9-FD4A-A8E2-95542062087D}">
      <text>
        <r>
          <rPr>
            <sz val="10"/>
            <color rgb="FF000000"/>
            <rFont val="Aptos Narrow"/>
            <scheme val="minor"/>
          </rPr>
          <t>======
ID#AAABjx7qM8w
    (2025-05-21 11:33:23)
0108 Santiago: US$10,177.50 匯入玉山</t>
        </r>
      </text>
    </comment>
    <comment ref="M2670" authorId="0" shapeId="0" xr:uid="{CF336297-BCE9-E649-A308-A5153EFA6332}">
      <text>
        <r>
          <rPr>
            <sz val="10"/>
            <color rgb="FF000000"/>
            <rFont val="Aptos Narrow"/>
            <scheme val="minor"/>
          </rPr>
          <t>======
ID#AAABjx7qQGc
    (2025-05-21 11:33:25)
預計11/28到貨</t>
        </r>
      </text>
    </comment>
    <comment ref="E2671" authorId="0" shapeId="0" xr:uid="{5A9FE7B9-816F-5B48-8D9D-CF13D38762EA}">
      <text>
        <r>
          <rPr>
            <sz val="10"/>
            <color rgb="FF000000"/>
            <rFont val="Aptos Narrow"/>
            <scheme val="minor"/>
          </rPr>
          <t>======
ID#AAABjx7qQfM
    (2025-05-21 11:33:25)
1130 Santiago 請Leon 燒錄光碟,</t>
        </r>
      </text>
    </comment>
    <comment ref="H2671" authorId="0" shapeId="0" xr:uid="{887F306B-C5EA-9D4C-8ACA-7547D97B86E7}">
      <text>
        <r>
          <rPr>
            <sz val="10"/>
            <color rgb="FF000000"/>
            <rFont val="Aptos Narrow"/>
            <scheme val="minor"/>
          </rPr>
          <t>======
ID#AAABjx7qWFs
20180212 Santiago    (2025-05-21 11:33:27)
20171208 已匯款NT44016</t>
        </r>
      </text>
    </comment>
    <comment ref="H2672" authorId="0" shapeId="0" xr:uid="{96D4328C-0282-964F-894C-0308271F6C87}">
      <text>
        <r>
          <rPr>
            <sz val="10"/>
            <color rgb="FF000000"/>
            <rFont val="Aptos Narrow"/>
            <scheme val="minor"/>
          </rPr>
          <t>======
ID#AAABjx7qQ90
    (2025-05-21 11:33:25)
1225 Santiago: US$18317 入帳
客戶多付US$40 RMA 費用</t>
        </r>
      </text>
    </comment>
    <comment ref="M2672" authorId="0" shapeId="0" xr:uid="{51D58134-806E-FA4E-9380-E5EE0B4DC7D8}">
      <text>
        <r>
          <rPr>
            <sz val="10"/>
            <color rgb="FF000000"/>
            <rFont val="Aptos Narrow"/>
            <scheme val="minor"/>
          </rPr>
          <t>======
ID#AAABjx7qQmc
    (2025-05-21 11:33:25)
預計12/8到貨</t>
        </r>
      </text>
    </comment>
    <comment ref="H2673" authorId="0" shapeId="0" xr:uid="{FE7C0052-7D06-9D41-AE7E-FE6295E3ACD0}">
      <text>
        <r>
          <rPr>
            <sz val="10"/>
            <color rgb="FF000000"/>
            <rFont val="Aptos Narrow"/>
            <scheme val="minor"/>
          </rPr>
          <t>======
ID#AAABj82dpJE
    (2025-05-21 11:33:23)
1225 Santiago: US$18317 入帳
客戶多付US$40 RMA 費用</t>
        </r>
      </text>
    </comment>
    <comment ref="M2673" authorId="0" shapeId="0" xr:uid="{FF68CBC2-2B62-D244-97EF-147417A3EAF5}">
      <text>
        <r>
          <rPr>
            <sz val="10"/>
            <color rgb="FF000000"/>
            <rFont val="Aptos Narrow"/>
            <scheme val="minor"/>
          </rPr>
          <t>======
ID#AAABjx7qM8A
    (2025-05-21 11:33:23)
預計12/8到貨</t>
        </r>
      </text>
    </comment>
    <comment ref="H2674" authorId="0" shapeId="0" xr:uid="{DB0BCD63-BFD1-684E-990E-457D72DA84A4}">
      <text>
        <r>
          <rPr>
            <sz val="10"/>
            <color rgb="FF000000"/>
            <rFont val="Aptos Narrow"/>
            <scheme val="minor"/>
          </rPr>
          <t>======
ID#AAABj82dpMs
    (2025-05-21 11:33:23)
1225 Santiago: US$18317 入帳
客戶多付US$40 RMA 費用</t>
        </r>
      </text>
    </comment>
    <comment ref="M2674" authorId="0" shapeId="0" xr:uid="{68038ABA-BFF6-8B47-A59C-D5238E7AE13C}">
      <text>
        <r>
          <rPr>
            <sz val="10"/>
            <color rgb="FF000000"/>
            <rFont val="Aptos Narrow"/>
            <scheme val="minor"/>
          </rPr>
          <t>======
ID#AAABjx7qVFU
    (2025-05-21 11:33:27)
預計12/8到貨</t>
        </r>
      </text>
    </comment>
    <comment ref="H2675" authorId="0" shapeId="0" xr:uid="{1AA501CA-F4E0-F346-9255-80443DC35D39}">
      <text>
        <r>
          <rPr>
            <sz val="10"/>
            <color rgb="FF000000"/>
            <rFont val="Aptos Narrow"/>
            <scheme val="minor"/>
          </rPr>
          <t>======
ID#AAABjx7qVm0
    (2025-05-21 11:33:27)
1225 Santiago: US$18317 入帳
客戶多付US$40 RMA 費用</t>
        </r>
      </text>
    </comment>
    <comment ref="H2676" authorId="0" shapeId="0" xr:uid="{B6CCA378-AE5E-3A4F-B596-E74E48250CE9}">
      <text>
        <r>
          <rPr>
            <sz val="10"/>
            <color rgb="FF000000"/>
            <rFont val="Aptos Narrow"/>
            <scheme val="minor"/>
          </rPr>
          <t>======
ID#AAABjx7qVdc
    (2025-05-21 11:33:27)
1225 Santiago: US$18317 入帳
客戶多付US$40 RMA 費用</t>
        </r>
      </text>
    </comment>
    <comment ref="H2677" authorId="0" shapeId="0" xr:uid="{42E05894-8468-4241-8C53-75B96FB362FA}">
      <text>
        <r>
          <rPr>
            <sz val="10"/>
            <color rgb="FF000000"/>
            <rFont val="Aptos Narrow"/>
            <scheme val="minor"/>
          </rPr>
          <t>======
ID#AAABjx7qOd4
    (2025-05-21 11:33:24)
1225 Santiago: US$18317 入帳
客戶多付US$40 RMA 費用</t>
        </r>
      </text>
    </comment>
    <comment ref="M2677" authorId="0" shapeId="0" xr:uid="{E68F7C32-6381-A848-9C52-374685609E1C}">
      <text>
        <r>
          <rPr>
            <sz val="10"/>
            <color rgb="FF000000"/>
            <rFont val="Aptos Narrow"/>
            <scheme val="minor"/>
          </rPr>
          <t>======
ID#AAABjx7qMsk
    (2025-05-21 11:33:23)
預計11/28到貨</t>
        </r>
      </text>
    </comment>
    <comment ref="H2678" authorId="0" shapeId="0" xr:uid="{C42A1983-7F2E-A949-8E42-BC56C1470CF2}">
      <text>
        <r>
          <rPr>
            <sz val="10"/>
            <color rgb="FF000000"/>
            <rFont val="Aptos Narrow"/>
            <scheme val="minor"/>
          </rPr>
          <t>======
ID#AAABjx7qQmM
    (2025-05-21 11:33:25)
20171204 Santiago收到銀行通知</t>
        </r>
      </text>
    </comment>
    <comment ref="M2678" authorId="0" shapeId="0" xr:uid="{644A21B5-4ABD-3A4C-BF49-D58FC3B349F4}">
      <text>
        <r>
          <rPr>
            <sz val="10"/>
            <color rgb="FF000000"/>
            <rFont val="Aptos Narrow"/>
            <scheme val="minor"/>
          </rPr>
          <t>======
ID#AAABjx7qWEU
    (2025-05-21 11:33:27)
預計11/29到貨</t>
        </r>
      </text>
    </comment>
    <comment ref="H2679" authorId="0" shapeId="0" xr:uid="{7E340290-3D3F-AE45-8911-7BAC176AEF85}">
      <text>
        <r>
          <rPr>
            <sz val="10"/>
            <color rgb="FF000000"/>
            <rFont val="Aptos Narrow"/>
            <scheme val="minor"/>
          </rPr>
          <t>======
ID#AAABjx7qRlk
    (2025-05-21 11:33:25)
20171204 Santiago收到銀行通知</t>
        </r>
      </text>
    </comment>
    <comment ref="M2679" authorId="0" shapeId="0" xr:uid="{906E2494-68B2-1044-89E7-D7F234B6EA75}">
      <text>
        <r>
          <rPr>
            <sz val="10"/>
            <color rgb="FF000000"/>
            <rFont val="Aptos Narrow"/>
            <scheme val="minor"/>
          </rPr>
          <t>======
ID#AAABjx7qV78
    (2025-05-21 11:33:27)
預計11/29到貨</t>
        </r>
      </text>
    </comment>
    <comment ref="E2680" authorId="0" shapeId="0" xr:uid="{0270F2B6-6694-6E4B-9E27-6761AEA2B30C}">
      <text>
        <r>
          <rPr>
            <sz val="10"/>
            <color rgb="FF000000"/>
            <rFont val="Aptos Narrow"/>
            <scheme val="minor"/>
          </rPr>
          <t>======
ID#AAABjx7qU-c
    (2025-05-21 11:33:27)
O1611170030005、O1706090100005、</t>
        </r>
      </text>
    </comment>
    <comment ref="H2680" authorId="0" shapeId="0" xr:uid="{DCE405E9-A8DF-F845-8EDC-3CD5564F3342}">
      <text>
        <r>
          <rPr>
            <sz val="10"/>
            <color rgb="FF000000"/>
            <rFont val="Aptos Narrow"/>
            <scheme val="minor"/>
          </rPr>
          <t>======
ID#AAABjx7qRh4
    (2025-05-21 11:33:25)
1225 Santiago: US$18317 入帳
客戶多付US$40 RMA 費用</t>
        </r>
      </text>
    </comment>
    <comment ref="H2681" authorId="0" shapeId="0" xr:uid="{CAFC1E15-2C69-6948-923B-34356FA1ECA4}">
      <text>
        <r>
          <rPr>
            <sz val="10"/>
            <color rgb="FF000000"/>
            <rFont val="Aptos Narrow"/>
            <scheme val="minor"/>
          </rPr>
          <t>======
ID#AAABjx7qVlU
    (2025-05-21 11:33:27)
1206 Santiago : 已收到匯款</t>
        </r>
      </text>
    </comment>
    <comment ref="M2681" authorId="0" shapeId="0" xr:uid="{70AFBA35-4203-AD47-BDF5-FFB6FB695A48}">
      <text>
        <r>
          <rPr>
            <sz val="10"/>
            <color rgb="FF000000"/>
            <rFont val="Aptos Narrow"/>
            <scheme val="minor"/>
          </rPr>
          <t>======
ID#AAABjx7qO64
    (2025-05-21 11:33:24)
預計12/7到貨</t>
        </r>
      </text>
    </comment>
    <comment ref="H2682" authorId="0" shapeId="0" xr:uid="{0053AB95-6A36-2344-AA7A-75C06BBE51D4}">
      <text>
        <r>
          <rPr>
            <sz val="10"/>
            <color rgb="FF000000"/>
            <rFont val="Aptos Narrow"/>
            <scheme val="minor"/>
          </rPr>
          <t>======
ID#AAABjx7qNpg
    (2025-05-21 11:33:23)
0131 chloe:匯入款項NT8809</t>
        </r>
      </text>
    </comment>
    <comment ref="H2683" authorId="0" shapeId="0" xr:uid="{6C0A0D8E-5A42-304F-815E-D0D5ABB61F16}">
      <text>
        <r>
          <rPr>
            <sz val="10"/>
            <color rgb="FF000000"/>
            <rFont val="Aptos Narrow"/>
            <scheme val="minor"/>
          </rPr>
          <t>======
ID#AAABjx7qPhU
    (2025-05-21 11:33:24)
1206 Santiago : 已收到匯款</t>
        </r>
      </text>
    </comment>
    <comment ref="H2684" authorId="0" shapeId="0" xr:uid="{23121EC6-58D2-9D4D-AF8B-E8098D64D07C}">
      <text>
        <r>
          <rPr>
            <sz val="10"/>
            <color rgb="FF000000"/>
            <rFont val="Aptos Narrow"/>
            <scheme val="minor"/>
          </rPr>
          <t>======
ID#AAABj82dpG4
    (2025-05-21 11:33:23)
Santiago 0108 : 玉山收到US$22291</t>
        </r>
      </text>
    </comment>
    <comment ref="M2684" authorId="0" shapeId="0" xr:uid="{D60AFF29-F8F6-6148-BDB1-352A2109586F}">
      <text>
        <r>
          <rPr>
            <sz val="10"/>
            <color rgb="FF000000"/>
            <rFont val="Aptos Narrow"/>
            <scheme val="minor"/>
          </rPr>
          <t>======
ID#AAABjx7qWRc
    (2025-05-21 11:33:27)
預計12/15到貨</t>
        </r>
      </text>
    </comment>
    <comment ref="H2685" authorId="0" shapeId="0" xr:uid="{84F63DD4-84CA-664A-BA63-F1B6B2F5AC91}">
      <text>
        <r>
          <rPr>
            <sz val="10"/>
            <color rgb="FF000000"/>
            <rFont val="Aptos Narrow"/>
            <scheme val="minor"/>
          </rPr>
          <t>======
ID#AAABjx7qRMc
    (2025-05-21 11:33:25)
Santiago 0108 : 玉山收到US$22291</t>
        </r>
      </text>
    </comment>
    <comment ref="M2685" authorId="0" shapeId="0" xr:uid="{27B38208-3A13-3245-A1E1-F2047137B2AB}">
      <text>
        <r>
          <rPr>
            <sz val="10"/>
            <color rgb="FF000000"/>
            <rFont val="Aptos Narrow"/>
            <scheme val="minor"/>
          </rPr>
          <t>======
ID#AAABjx7qNVM
    (2025-05-21 11:33:23)
預計12/8到貨</t>
        </r>
      </text>
    </comment>
    <comment ref="H2686" authorId="0" shapeId="0" xr:uid="{1219DC3B-EBC7-8342-B68C-7C7827A7E4C8}">
      <text>
        <r>
          <rPr>
            <sz val="10"/>
            <color rgb="FF000000"/>
            <rFont val="Aptos Narrow"/>
            <scheme val="minor"/>
          </rPr>
          <t>======
ID#AAABjx7qR58
    (2025-05-21 11:33:25)
Santiago 0108 : 玉山收到US$22291</t>
        </r>
      </text>
    </comment>
    <comment ref="M2686" authorId="0" shapeId="0" xr:uid="{B2C0D57D-E148-6D44-90DC-4A25B38C6FDD}">
      <text>
        <r>
          <rPr>
            <sz val="10"/>
            <color rgb="FF000000"/>
            <rFont val="Aptos Narrow"/>
            <scheme val="minor"/>
          </rPr>
          <t>======
ID#AAABjx7qU18
    (2025-05-21 11:33:26)
預計12/15到貨</t>
        </r>
      </text>
    </comment>
    <comment ref="H2687" authorId="0" shapeId="0" xr:uid="{79F6E34B-5A36-5044-94EE-46E3280FD62E}">
      <text>
        <r>
          <rPr>
            <sz val="10"/>
            <color rgb="FF000000"/>
            <rFont val="Aptos Narrow"/>
            <scheme val="minor"/>
          </rPr>
          <t>======
ID#AAABjx7qP8U
    (2025-05-21 11:33:24)
Santiago 0108 : 玉山收到US$22291</t>
        </r>
      </text>
    </comment>
    <comment ref="M2687" authorId="0" shapeId="0" xr:uid="{36A1E335-5983-E942-834F-F52CB26D9B6A}">
      <text>
        <r>
          <rPr>
            <sz val="10"/>
            <color rgb="FF000000"/>
            <rFont val="Aptos Narrow"/>
            <scheme val="minor"/>
          </rPr>
          <t>======
ID#AAABjx7qRB4
    (2025-05-21 11:33:25)
預計12/15到貨</t>
        </r>
      </text>
    </comment>
    <comment ref="H2688" authorId="0" shapeId="0" xr:uid="{CF3C60E2-2F55-824F-8C2E-8F64560ECF27}">
      <text>
        <r>
          <rPr>
            <sz val="10"/>
            <color rgb="FF000000"/>
            <rFont val="Aptos Narrow"/>
            <scheme val="minor"/>
          </rPr>
          <t>======
ID#AAABjx7qQXs
    (2025-05-21 11:33:25)
0104 Santiago : 合庫入NT741687</t>
        </r>
      </text>
    </comment>
    <comment ref="E2689" authorId="0" shapeId="0" xr:uid="{4FCF6524-0777-2D4D-AF23-E1C744C352C6}">
      <text>
        <r>
          <rPr>
            <sz val="10"/>
            <color rgb="FF000000"/>
            <rFont val="Aptos Narrow"/>
            <scheme val="minor"/>
          </rPr>
          <t>======
ID#AAABjx7qQ1M
    (2025-05-21 11:33:25)
20170104 Santiago: 和之前訂單一樣, w/o adapter</t>
        </r>
      </text>
    </comment>
    <comment ref="H2689" authorId="0" shapeId="0" xr:uid="{F3D66321-A4B7-234B-B955-0C20A30F32D0}">
      <text>
        <r>
          <rPr>
            <sz val="10"/>
            <color rgb="FF000000"/>
            <rFont val="Aptos Narrow"/>
            <scheme val="minor"/>
          </rPr>
          <t>======
ID#AAABjx7qPXA
    (2025-05-21 11:33:24)
0104 Santiago : 合庫入NT741687</t>
        </r>
      </text>
    </comment>
    <comment ref="H2690" authorId="0" shapeId="0" xr:uid="{FC0ADDC1-DE5D-0349-94D6-319DFC95FF3D}">
      <text>
        <r>
          <rPr>
            <sz val="10"/>
            <color rgb="FF000000"/>
            <rFont val="Aptos Narrow"/>
            <scheme val="minor"/>
          </rPr>
          <t>======
ID#AAABjx7qPZw
    (2025-05-21 11:33:24)
0104 Santiago : 合庫入NT741687</t>
        </r>
      </text>
    </comment>
    <comment ref="G2691" authorId="0" shapeId="0" xr:uid="{18D7671E-5518-554E-A1AA-7945910D1422}">
      <text>
        <r>
          <rPr>
            <sz val="10"/>
            <color rgb="FF000000"/>
            <rFont val="Aptos Narrow"/>
            <scheme val="minor"/>
          </rPr>
          <t>======
ID#AAABjx7qQ4U
    (2025-05-21 11:33:25)
170323 w/ 5%VAT</t>
        </r>
      </text>
    </comment>
    <comment ref="H2691" authorId="0" shapeId="0" xr:uid="{9437F110-14C6-974E-B944-61BE191F9988}">
      <text>
        <r>
          <rPr>
            <sz val="10"/>
            <color rgb="FF000000"/>
            <rFont val="Aptos Narrow"/>
            <scheme val="minor"/>
          </rPr>
          <t>======
ID#AAABjx7qOrM
0109 Santiago     (2025-05-21 11:33:24)
玉山已收到款項235.2</t>
        </r>
      </text>
    </comment>
    <comment ref="P2691" authorId="0" shapeId="0" xr:uid="{553B0465-7B75-0D42-8C81-27F0BC424537}">
      <text>
        <r>
          <rPr>
            <sz val="10"/>
            <color rgb="FF000000"/>
            <rFont val="Aptos Narrow"/>
            <scheme val="minor"/>
          </rPr>
          <t>======
ID#AAABjx7qREk
    (2025-05-21 11:33:25)
171204 會加入20170726A的貨款一起沖帳</t>
        </r>
      </text>
    </comment>
    <comment ref="H2692" authorId="0" shapeId="0" xr:uid="{2EA7C8C9-7C86-1345-828A-81490FA3BB27}">
      <text>
        <r>
          <rPr>
            <sz val="10"/>
            <color rgb="FF000000"/>
            <rFont val="Aptos Narrow"/>
            <scheme val="minor"/>
          </rPr>
          <t>======
ID#AAABjx7qNGc
    (2025-05-21 11:33:23)
0110 Santiago : 收到玉山通知</t>
        </r>
      </text>
    </comment>
    <comment ref="M2692" authorId="0" shapeId="0" xr:uid="{B0BB9917-26FA-1449-B1BD-7EAE0C36F673}">
      <text>
        <r>
          <rPr>
            <sz val="10"/>
            <color rgb="FF000000"/>
            <rFont val="Aptos Narrow"/>
            <scheme val="minor"/>
          </rPr>
          <t>======
ID#AAABjx7qROM
    (2025-05-21 11:33:25)
預計12/1到貨</t>
        </r>
      </text>
    </comment>
    <comment ref="Q2692" authorId="0" shapeId="0" xr:uid="{9E244466-7183-F149-9B6E-6454BDD4BE7B}">
      <text>
        <r>
          <rPr>
            <sz val="10"/>
            <color rgb="FF000000"/>
            <rFont val="Aptos Narrow"/>
            <scheme val="minor"/>
          </rPr>
          <t>======
ID#AAABjx7qSac
    (2025-05-21 11:33:26)
發票單價:5831(研華開立D4價格)
採購總金額:20681
※chloe下次注意錯誤</t>
        </r>
      </text>
    </comment>
    <comment ref="H2693" authorId="0" shapeId="0" xr:uid="{E5F0B326-78C4-7940-AC58-54D762056BD2}">
      <text>
        <r>
          <rPr>
            <sz val="10"/>
            <color rgb="FF000000"/>
            <rFont val="Aptos Narrow"/>
            <scheme val="minor"/>
          </rPr>
          <t>======
ID#AAABjx7qPCs
    (2025-05-21 11:33:24)
0110 Santiago : 收到玉山通知</t>
        </r>
      </text>
    </comment>
    <comment ref="M2693" authorId="0" shapeId="0" xr:uid="{03767B81-9C7B-3C45-B906-05D79A90E684}">
      <text>
        <r>
          <rPr>
            <sz val="10"/>
            <color rgb="FF000000"/>
            <rFont val="Aptos Narrow"/>
            <scheme val="minor"/>
          </rPr>
          <t>======
ID#AAABjx7qN5k
    (2025-05-21 11:33:23)
預計12/1到貨</t>
        </r>
      </text>
    </comment>
    <comment ref="Q2693" authorId="0" shapeId="0" xr:uid="{A16ECBD6-CC7F-9B43-9742-BE0C18A36FBC}">
      <text>
        <r>
          <rPr>
            <sz val="10"/>
            <color rgb="FF000000"/>
            <rFont val="Aptos Narrow"/>
            <scheme val="minor"/>
          </rPr>
          <t>======
ID#AAABjx7qQXw
    (2025-05-21 11:33:25)
發票單價:2396.8(研華開立D4價格)
採購金額:10626
※chloe下次注意錯誤</t>
        </r>
      </text>
    </comment>
    <comment ref="H2694" authorId="0" shapeId="0" xr:uid="{39129DA2-4DF2-C046-ACE4-A2CB4392BD5B}">
      <text>
        <r>
          <rPr>
            <sz val="10"/>
            <color rgb="FF000000"/>
            <rFont val="Aptos Narrow"/>
            <scheme val="minor"/>
          </rPr>
          <t>======
ID#AAABjx7qOWU
    (2025-05-21 11:33:24)
0119 chloe 收到銀行通知US$2420</t>
        </r>
      </text>
    </comment>
    <comment ref="M2694" authorId="0" shapeId="0" xr:uid="{81E55FBB-1FFA-CA4C-9778-7997058B82D8}">
      <text>
        <r>
          <rPr>
            <sz val="10"/>
            <color rgb="FF000000"/>
            <rFont val="Aptos Narrow"/>
            <scheme val="minor"/>
          </rPr>
          <t>======
ID#AAABjx7qU1M
    (2025-05-21 11:33:26)
預計12/19到貨</t>
        </r>
      </text>
    </comment>
    <comment ref="H2695" authorId="0" shapeId="0" xr:uid="{17151608-327D-5047-AB75-96F7A970C848}">
      <text>
        <r>
          <rPr>
            <sz val="10"/>
            <color rgb="FF000000"/>
            <rFont val="Aptos Narrow"/>
            <scheme val="minor"/>
          </rPr>
          <t>======
ID#AAABjx7qSpw
    (2025-05-21 11:33:26)
0119 chloe 收到銀行通知US$2420</t>
        </r>
      </text>
    </comment>
    <comment ref="M2695" authorId="0" shapeId="0" xr:uid="{56330AE1-6137-5B4B-B18D-9A52F65C552D}">
      <text>
        <r>
          <rPr>
            <sz val="10"/>
            <color rgb="FF000000"/>
            <rFont val="Aptos Narrow"/>
            <scheme val="minor"/>
          </rPr>
          <t>======
ID#AAABjx7qRyg
    (2025-05-21 11:33:25)
預計12/19到貨</t>
        </r>
      </text>
    </comment>
    <comment ref="H2696" authorId="0" shapeId="0" xr:uid="{7D9EA5AB-F4C2-3343-9B5D-1F7DB46158F1}">
      <text>
        <r>
          <rPr>
            <sz val="10"/>
            <color rgb="FF000000"/>
            <rFont val="Aptos Narrow"/>
            <scheme val="minor"/>
          </rPr>
          <t>======
ID#AAABjx7qTgM
    (2025-05-21 11:33:26)
0122 chloe:收到銀行通知USD75184.50</t>
        </r>
      </text>
    </comment>
    <comment ref="M2696" authorId="0" shapeId="0" xr:uid="{01EB9E04-3A3A-3A4B-AC23-5A17D505A96F}">
      <text>
        <r>
          <rPr>
            <sz val="10"/>
            <color rgb="FF000000"/>
            <rFont val="Aptos Narrow"/>
            <scheme val="minor"/>
          </rPr>
          <t>======
ID#AAABjx7qTUs
    (2025-05-21 11:33:26)
預計12/19到貨</t>
        </r>
      </text>
    </comment>
    <comment ref="P2696" authorId="0" shapeId="0" xr:uid="{50DBB63C-9892-2146-9BC9-75FC7860C7D1}">
      <text>
        <r>
          <rPr>
            <sz val="10"/>
            <color rgb="FF000000"/>
            <rFont val="Aptos Narrow"/>
            <scheme val="minor"/>
          </rPr>
          <t>======
ID#AAABjx7qRjY
    (2025-05-21 11:33:25)
1214 Santiago : 已付US$8259, 欠US$36</t>
        </r>
      </text>
    </comment>
    <comment ref="H2697" authorId="0" shapeId="0" xr:uid="{12E05A44-1A3D-ED4F-9EBA-1609DF241572}">
      <text>
        <r>
          <rPr>
            <sz val="10"/>
            <color rgb="FF000000"/>
            <rFont val="Aptos Narrow"/>
            <scheme val="minor"/>
          </rPr>
          <t>======
ID#AAABjx7qQVc
    (2025-05-21 11:33:25)
Santiago 0108 : 玉山收到US$22291</t>
        </r>
      </text>
    </comment>
    <comment ref="H2698" authorId="0" shapeId="0" xr:uid="{6BCC3073-CC47-3E4A-ACEA-3213DDD66EEC}">
      <text>
        <r>
          <rPr>
            <sz val="10"/>
            <color rgb="FF000000"/>
            <rFont val="Aptos Narrow"/>
            <scheme val="minor"/>
          </rPr>
          <t>======
ID#AAABjx7qRlE
    (2025-05-21 11:33:25)
0124 chloe :匯入US$1632</t>
        </r>
      </text>
    </comment>
    <comment ref="M2698" authorId="0" shapeId="0" xr:uid="{6DBB3BF5-020B-E548-B670-323DD2BFEAFE}">
      <text>
        <r>
          <rPr>
            <sz val="10"/>
            <color rgb="FF000000"/>
            <rFont val="Aptos Narrow"/>
            <scheme val="minor"/>
          </rPr>
          <t>======
ID#AAABjx7qSKE
    (2025-05-21 11:33:26)
預計12/13到貨</t>
        </r>
      </text>
    </comment>
    <comment ref="H2699" authorId="0" shapeId="0" xr:uid="{981BA524-4CA2-5344-AC73-16C13B5EFE61}">
      <text>
        <r>
          <rPr>
            <sz val="10"/>
            <color rgb="FF000000"/>
            <rFont val="Aptos Narrow"/>
            <scheme val="minor"/>
          </rPr>
          <t>======
ID#AAABjx7qQZ0
    (2025-05-21 11:33:25)
0124 chloe :匯入US$1632</t>
        </r>
      </text>
    </comment>
    <comment ref="M2699" authorId="0" shapeId="0" xr:uid="{F4961A89-E6A3-BF44-9587-897C5C091A81}">
      <text>
        <r>
          <rPr>
            <sz val="10"/>
            <color rgb="FF000000"/>
            <rFont val="Aptos Narrow"/>
            <scheme val="minor"/>
          </rPr>
          <t>======
ID#AAABjx7qV-s
    (2025-05-21 11:33:27)
預計12/13到貨</t>
        </r>
      </text>
    </comment>
    <comment ref="H2700" authorId="0" shapeId="0" xr:uid="{087F9598-B285-1343-AE47-5119B1D76331}">
      <text>
        <r>
          <rPr>
            <sz val="10"/>
            <color rgb="FF000000"/>
            <rFont val="Aptos Narrow"/>
            <scheme val="minor"/>
          </rPr>
          <t>======
ID#AAABjx7qSds
    (2025-05-21 11:33:26)
0124 chloe :匯入US$1632</t>
        </r>
      </text>
    </comment>
    <comment ref="M2700" authorId="0" shapeId="0" xr:uid="{9ABD0C0F-598A-154C-99EE-23E6A881E01B}">
      <text>
        <r>
          <rPr>
            <sz val="10"/>
            <color rgb="FF000000"/>
            <rFont val="Aptos Narrow"/>
            <scheme val="minor"/>
          </rPr>
          <t>======
ID#AAABjx7qPDA
    (2025-05-21 11:33:24)
預計12/13到貨</t>
        </r>
      </text>
    </comment>
    <comment ref="H2701" authorId="0" shapeId="0" xr:uid="{FEFE6DA7-9441-2245-B2B6-123BAA92573A}">
      <text>
        <r>
          <rPr>
            <sz val="10"/>
            <color rgb="FF000000"/>
            <rFont val="Aptos Narrow"/>
            <scheme val="minor"/>
          </rPr>
          <t>======
ID#AAABjx7qQF4
    (2025-05-21 11:33:25)
0124 chloe :匯入US$1632</t>
        </r>
      </text>
    </comment>
    <comment ref="M2701" authorId="0" shapeId="0" xr:uid="{9101CB93-F96E-AD4B-A5B1-3558DF13E493}">
      <text>
        <r>
          <rPr>
            <sz val="10"/>
            <color rgb="FF000000"/>
            <rFont val="Aptos Narrow"/>
            <scheme val="minor"/>
          </rPr>
          <t>======
ID#AAABjx7qSl8
    (2025-05-21 11:33:26)
預計12/13到貨</t>
        </r>
      </text>
    </comment>
    <comment ref="H2702" authorId="0" shapeId="0" xr:uid="{2EC6BEC2-6F91-2842-BE27-699E46359030}">
      <text>
        <r>
          <rPr>
            <sz val="10"/>
            <color rgb="FF000000"/>
            <rFont val="Aptos Narrow"/>
            <scheme val="minor"/>
          </rPr>
          <t>======
ID#AAABjx7qNx0
    (2025-05-21 11:33:23)
0124 chloe :匯入US$1632</t>
        </r>
      </text>
    </comment>
    <comment ref="M2702" authorId="0" shapeId="0" xr:uid="{9964D83A-3C41-DB4D-85C7-E42E57EBE0F8}">
      <text>
        <r>
          <rPr>
            <sz val="10"/>
            <color rgb="FF000000"/>
            <rFont val="Aptos Narrow"/>
            <scheme val="minor"/>
          </rPr>
          <t>======
ID#AAABjx7qRSA
    (2025-05-21 11:33:25)
預計12/13到貨</t>
        </r>
      </text>
    </comment>
    <comment ref="H2703" authorId="0" shapeId="0" xr:uid="{4222C9D4-B8E2-4E4A-8066-D95F730A3F51}">
      <text>
        <r>
          <rPr>
            <sz val="10"/>
            <color rgb="FF000000"/>
            <rFont val="Aptos Narrow"/>
            <scheme val="minor"/>
          </rPr>
          <t>======
ID#AAABjx7qPws
    (2025-05-21 11:33:24)
0124 chloe :匯入US$1632</t>
        </r>
      </text>
    </comment>
    <comment ref="M2703" authorId="0" shapeId="0" xr:uid="{1211B7DB-2D2F-9A4D-BE5D-36207EE2F859}">
      <text>
        <r>
          <rPr>
            <sz val="10"/>
            <color rgb="FF000000"/>
            <rFont val="Aptos Narrow"/>
            <scheme val="minor"/>
          </rPr>
          <t>======
ID#AAABjx7qOPk
    (2025-05-21 11:33:24)
預計12/13到貨</t>
        </r>
      </text>
    </comment>
    <comment ref="H2704" authorId="0" shapeId="0" xr:uid="{84EEEF9E-01DC-2943-9163-859BC740E750}">
      <text>
        <r>
          <rPr>
            <sz val="10"/>
            <color rgb="FF000000"/>
            <rFont val="Aptos Narrow"/>
            <scheme val="minor"/>
          </rPr>
          <t>======
ID#AAABjx7qOA4
    (2025-05-21 11:33:24)
20171213 Santiago 收到
NT50,000+NT41,500
匯率30.15</t>
        </r>
      </text>
    </comment>
    <comment ref="H2705" authorId="0" shapeId="0" xr:uid="{673B89F3-5D0E-5C42-8331-BAE9B4DE5A22}">
      <text>
        <r>
          <rPr>
            <sz val="10"/>
            <color rgb="FF000000"/>
            <rFont val="Aptos Narrow"/>
            <scheme val="minor"/>
          </rPr>
          <t>======
ID#AAABjx7qOms
    (2025-05-21 11:33:24)
20171213 Santiago 收到
NT50,000+NT41,500
匯率30.15</t>
        </r>
      </text>
    </comment>
    <comment ref="H2706" authorId="0" shapeId="0" xr:uid="{EA49F51A-738A-344D-BCE5-0AEC022293CD}">
      <text>
        <r>
          <rPr>
            <sz val="10"/>
            <color rgb="FF000000"/>
            <rFont val="Aptos Narrow"/>
            <scheme val="minor"/>
          </rPr>
          <t>======
ID#AAABjx7qRf8
    (2025-05-21 11:33:25)
0131 chloe:已匯入US$48618</t>
        </r>
      </text>
    </comment>
    <comment ref="J2706" authorId="0" shapeId="0" xr:uid="{6A83B526-D508-B54D-A601-38E8AA38B388}">
      <text>
        <r>
          <rPr>
            <sz val="10"/>
            <color rgb="FF000000"/>
            <rFont val="Aptos Narrow"/>
            <scheme val="minor"/>
          </rPr>
          <t>======
ID#AAABjx7qRh0
Ship To    (2025-05-21 11:33:25)
Ti2 Pty Ltd
103A Mary Street, Richmond, VIC, 3121, Australia
Att: Jim MacDougall
+61 417 714 528</t>
        </r>
      </text>
    </comment>
    <comment ref="K2706" authorId="0" shapeId="0" xr:uid="{FAEA9586-1571-8A4A-95C6-9AE76ACD04B5}">
      <text>
        <r>
          <rPr>
            <sz val="10"/>
            <color rgb="FF000000"/>
            <rFont val="Aptos Narrow"/>
            <scheme val="minor"/>
          </rPr>
          <t>======
ID#AAABjx7qPYU
    (2025-05-21 11:33:24)
併貨RMA20171031A-3</t>
        </r>
      </text>
    </comment>
    <comment ref="M2706" authorId="0" shapeId="0" xr:uid="{7B39F7E6-D552-7549-A61A-1002A5AB2157}">
      <text>
        <r>
          <rPr>
            <sz val="10"/>
            <color rgb="FF000000"/>
            <rFont val="Aptos Narrow"/>
            <scheme val="minor"/>
          </rPr>
          <t>======
ID#AAABjx7qVdE
    (2025-05-21 11:33:27)
預計12/22到貨</t>
        </r>
      </text>
    </comment>
    <comment ref="H2707" authorId="0" shapeId="0" xr:uid="{492E7DEA-DBC4-6940-AE51-61ED9D58D914}">
      <text>
        <r>
          <rPr>
            <sz val="10"/>
            <color rgb="FF000000"/>
            <rFont val="Aptos Narrow"/>
            <scheme val="minor"/>
          </rPr>
          <t>======
ID#AAABjx7qM1o
    (2025-05-21 11:33:23)
0131 chloe:已匯入US$48618</t>
        </r>
      </text>
    </comment>
    <comment ref="J2707" authorId="0" shapeId="0" xr:uid="{F1A5ECBF-47E6-D240-8262-13EEE7895490}">
      <text>
        <r>
          <rPr>
            <sz val="10"/>
            <color rgb="FF000000"/>
            <rFont val="Aptos Narrow"/>
            <scheme val="minor"/>
          </rPr>
          <t>======
ID#AAABjx7qQ3E
Ship To    (2025-05-21 11:33:25)
Ti2 Pty Ltd
103A Mary Street, Richmond, VIC, 3121, Australia
Att: Jim MacDougall
+61 417 714 528</t>
        </r>
      </text>
    </comment>
    <comment ref="K2707" authorId="0" shapeId="0" xr:uid="{5512D432-D271-2F43-9F74-0B1FB1A31067}">
      <text>
        <r>
          <rPr>
            <sz val="10"/>
            <color rgb="FF000000"/>
            <rFont val="Aptos Narrow"/>
            <scheme val="minor"/>
          </rPr>
          <t>======
ID#AAABjx7qWTw
    (2025-05-21 11:33:27)
併貨RMA20171031A-3</t>
        </r>
      </text>
    </comment>
    <comment ref="M2707" authorId="0" shapeId="0" xr:uid="{59CF2385-86F3-054B-B1D1-DA454D0C8C21}">
      <text>
        <r>
          <rPr>
            <sz val="10"/>
            <color rgb="FF000000"/>
            <rFont val="Aptos Narrow"/>
            <scheme val="minor"/>
          </rPr>
          <t>======
ID#AAABjx7qOlE
    (2025-05-21 11:33:24)
預計12/22到貨</t>
        </r>
      </text>
    </comment>
    <comment ref="H2708" authorId="0" shapeId="0" xr:uid="{A9BA838C-5471-4146-8F2F-AA852B8A7E69}">
      <text>
        <r>
          <rPr>
            <sz val="10"/>
            <color rgb="FF000000"/>
            <rFont val="Aptos Narrow"/>
            <scheme val="minor"/>
          </rPr>
          <t>======
ID#AAABjx7qP0s
    (2025-05-21 11:33:24)
0131 chloe:已匯入US$48618</t>
        </r>
      </text>
    </comment>
    <comment ref="J2708" authorId="0" shapeId="0" xr:uid="{D0900C08-0C7E-314F-B31F-064A65106022}">
      <text>
        <r>
          <rPr>
            <sz val="10"/>
            <color rgb="FF000000"/>
            <rFont val="Aptos Narrow"/>
            <scheme val="minor"/>
          </rPr>
          <t>======
ID#AAABjx7qM1g
Ship To    (2025-05-21 11:33:23)
Ti2 Pty Ltd
103A Mary Street, Richmond, VIC, 3121, Australia
Att: Jim MacDougall
+61 417 714 528</t>
        </r>
      </text>
    </comment>
    <comment ref="K2708" authorId="0" shapeId="0" xr:uid="{34AE4C4E-7269-E94E-AB1C-28F08C633EC1}">
      <text>
        <r>
          <rPr>
            <sz val="10"/>
            <color rgb="FF000000"/>
            <rFont val="Aptos Narrow"/>
            <scheme val="minor"/>
          </rPr>
          <t>======
ID#AAABjx7qVNs
    (2025-05-21 11:33:27)
併貨RMA20171031A-3</t>
        </r>
      </text>
    </comment>
    <comment ref="M2708" authorId="0" shapeId="0" xr:uid="{DC845357-5C1C-D84C-85EE-BFF7CB3E5918}">
      <text>
        <r>
          <rPr>
            <sz val="10"/>
            <color rgb="FF000000"/>
            <rFont val="Aptos Narrow"/>
            <scheme val="minor"/>
          </rPr>
          <t>======
ID#AAABjx7qV9I
    (2025-05-21 11:33:27)
預計12/22到貨</t>
        </r>
      </text>
    </comment>
    <comment ref="H2709" authorId="0" shapeId="0" xr:uid="{523C3068-76ED-7743-A4D7-3D23F23D6FC8}">
      <text>
        <r>
          <rPr>
            <sz val="10"/>
            <color rgb="FF000000"/>
            <rFont val="Aptos Narrow"/>
            <scheme val="minor"/>
          </rPr>
          <t>======
ID#AAABjx7qP-I
    (2025-05-21 11:33:25)
0131 chloe:已匯入US$48618</t>
        </r>
      </text>
    </comment>
    <comment ref="J2709" authorId="0" shapeId="0" xr:uid="{EE760C71-5DDF-C14D-809B-3A3C7DEB0CE3}">
      <text>
        <r>
          <rPr>
            <sz val="10"/>
            <color rgb="FF000000"/>
            <rFont val="Aptos Narrow"/>
            <scheme val="minor"/>
          </rPr>
          <t>======
ID#AAABjx7qVuA
Ship To    (2025-05-21 11:33:27)
Ti2 Pty Ltd
103A Mary Street, Richmond, VIC, 3121, Australia
Att: Jim MacDougall
+61 417 714 528</t>
        </r>
      </text>
    </comment>
    <comment ref="K2709" authorId="0" shapeId="0" xr:uid="{61E75E31-030B-2746-A6C2-726E8A2E4456}">
      <text>
        <r>
          <rPr>
            <sz val="10"/>
            <color rgb="FF000000"/>
            <rFont val="Aptos Narrow"/>
            <scheme val="minor"/>
          </rPr>
          <t>======
ID#AAABjx7qRCk
    (2025-05-21 11:33:25)
併貨RMA20171031A-3</t>
        </r>
      </text>
    </comment>
    <comment ref="M2709" authorId="0" shapeId="0" xr:uid="{D490DBD2-0ECE-C147-B852-2FA032EBE942}">
      <text>
        <r>
          <rPr>
            <sz val="10"/>
            <color rgb="FF000000"/>
            <rFont val="Aptos Narrow"/>
            <scheme val="minor"/>
          </rPr>
          <t>======
ID#AAABjx7qRrc
    (2025-05-21 11:33:25)
預計12/22到貨</t>
        </r>
      </text>
    </comment>
    <comment ref="H2710" authorId="0" shapeId="0" xr:uid="{2B18CF7D-9969-7942-89CB-6241EEE5E25E}">
      <text>
        <r>
          <rPr>
            <sz val="10"/>
            <color rgb="FF000000"/>
            <rFont val="Aptos Narrow"/>
            <scheme val="minor"/>
          </rPr>
          <t>======
ID#AAABjx7qRsY
    (2025-05-21 11:33:25)
0131 chloe:已匯入US$48618</t>
        </r>
      </text>
    </comment>
    <comment ref="H2711" authorId="0" shapeId="0" xr:uid="{BBE2878E-BAC7-004A-9BDE-593B59EB4C5A}">
      <text>
        <r>
          <rPr>
            <sz val="10"/>
            <color rgb="FF000000"/>
            <rFont val="Aptos Narrow"/>
            <scheme val="minor"/>
          </rPr>
          <t>======
ID#AAABjx7qR8g
    (2025-05-21 11:33:25)
0131 chloe:已匯入US$48618</t>
        </r>
      </text>
    </comment>
    <comment ref="M2711" authorId="0" shapeId="0" xr:uid="{447CF7BE-E7FA-F343-BF20-8FC801CDFDD1}">
      <text>
        <r>
          <rPr>
            <sz val="10"/>
            <color rgb="FF000000"/>
            <rFont val="Aptos Narrow"/>
            <scheme val="minor"/>
          </rPr>
          <t>======
ID#AAABjx7qRL4
    (2025-05-21 11:33:25)
預計12/20到貨</t>
        </r>
      </text>
    </comment>
    <comment ref="H2712" authorId="0" shapeId="0" xr:uid="{8A800341-4287-6342-B3E1-F359AE30193D}">
      <text>
        <r>
          <rPr>
            <sz val="10"/>
            <color rgb="FF000000"/>
            <rFont val="Aptos Narrow"/>
            <scheme val="minor"/>
          </rPr>
          <t>======
ID#AAABjx7qU-s
    (2025-05-21 11:33:27)
0131 chloe:已匯入US$48618</t>
        </r>
      </text>
    </comment>
    <comment ref="H2713" authorId="0" shapeId="0" xr:uid="{B9B71B4B-D0C9-E74D-9ED7-8BF928F7C436}">
      <text>
        <r>
          <rPr>
            <sz val="10"/>
            <color rgb="FF000000"/>
            <rFont val="Aptos Narrow"/>
            <scheme val="minor"/>
          </rPr>
          <t>======
ID#AAABjx7qWVA
    (2025-05-21 11:33:27)
0131 chloe:已匯入US$48618</t>
        </r>
      </text>
    </comment>
    <comment ref="M2713" authorId="0" shapeId="0" xr:uid="{B7C54883-D6A2-6347-B3B4-0E166DA12449}">
      <text>
        <r>
          <rPr>
            <sz val="10"/>
            <color rgb="FF000000"/>
            <rFont val="Aptos Narrow"/>
            <scheme val="minor"/>
          </rPr>
          <t>======
ID#AAABjx7qQ-I
    (2025-05-21 11:33:25)
預計12/20到貨</t>
        </r>
      </text>
    </comment>
    <comment ref="H2714" authorId="0" shapeId="0" xr:uid="{3D09B2B6-59EA-F34E-95EF-A20900C4CC55}">
      <text>
        <r>
          <rPr>
            <sz val="10"/>
            <color rgb="FF000000"/>
            <rFont val="Aptos Narrow"/>
            <scheme val="minor"/>
          </rPr>
          <t>======
ID#AAABjx7qP4E
    (2025-05-21 11:33:24)
0131 chloe:已匯入US$48618</t>
        </r>
      </text>
    </comment>
    <comment ref="M2714" authorId="0" shapeId="0" xr:uid="{EBE8DA85-751F-9C48-86AE-E272C38C6FFB}">
      <text>
        <r>
          <rPr>
            <sz val="10"/>
            <color rgb="FF000000"/>
            <rFont val="Aptos Narrow"/>
            <scheme val="minor"/>
          </rPr>
          <t>======
ID#AAABjx7qOlo
    (2025-05-21 11:33:24)
預計12/20到貨</t>
        </r>
      </text>
    </comment>
    <comment ref="H2715" authorId="0" shapeId="0" xr:uid="{D299B5C6-5D31-8049-A683-36E5278FAA7D}">
      <text>
        <r>
          <rPr>
            <sz val="10"/>
            <color rgb="FF000000"/>
            <rFont val="Aptos Narrow"/>
            <scheme val="minor"/>
          </rPr>
          <t>======
ID#AAABjx7qTgQ
    (2025-05-21 11:33:26)
0131 chloe:已匯入US$48618</t>
        </r>
      </text>
    </comment>
    <comment ref="M2715" authorId="0" shapeId="0" xr:uid="{350C29AF-F287-2843-A3A0-CBC9EEE6057B}">
      <text>
        <r>
          <rPr>
            <sz val="10"/>
            <color rgb="FF000000"/>
            <rFont val="Aptos Narrow"/>
            <scheme val="minor"/>
          </rPr>
          <t>======
ID#AAABjx7qQ1E
    (2025-05-21 11:33:25)
預計12/20到貨</t>
        </r>
      </text>
    </comment>
    <comment ref="H2716" authorId="0" shapeId="0" xr:uid="{701C9AE9-1A1F-794E-9EC7-9889B036CAA8}">
      <text>
        <r>
          <rPr>
            <sz val="10"/>
            <color rgb="FF000000"/>
            <rFont val="Aptos Narrow"/>
            <scheme val="minor"/>
          </rPr>
          <t>======
ID#AAABjx7qNng
    (2025-05-21 11:33:23)
0131 chloe:已匯入US$48618</t>
        </r>
      </text>
    </comment>
    <comment ref="J2716" authorId="0" shapeId="0" xr:uid="{0293E0AE-7053-F748-90F0-F3A2802C0538}">
      <text>
        <r>
          <rPr>
            <sz val="10"/>
            <color rgb="FF000000"/>
            <rFont val="Aptos Narrow"/>
            <scheme val="minor"/>
          </rPr>
          <t>======
ID#AAABjx7qRlI
Ship To    (2025-05-21 11:33:25)
Ti2 Pty Ltd
103A Mary Street, Richmond, VIC, 3121, Australia
Att: Jim MacDougall
+61 417 714 528</t>
        </r>
      </text>
    </comment>
    <comment ref="K2716" authorId="0" shapeId="0" xr:uid="{D7C310AB-F158-824B-993B-BC22AED3CD64}">
      <text>
        <r>
          <rPr>
            <sz val="10"/>
            <color rgb="FF000000"/>
            <rFont val="Aptos Narrow"/>
            <scheme val="minor"/>
          </rPr>
          <t>======
ID#AAABjx7qOQU
    (2025-05-21 11:33:24)
併貨RMA20171031A-3</t>
        </r>
      </text>
    </comment>
    <comment ref="H2717" authorId="0" shapeId="0" xr:uid="{65834EAE-CBA5-794C-B96E-1D730A21D856}">
      <text>
        <r>
          <rPr>
            <sz val="10"/>
            <color rgb="FF000000"/>
            <rFont val="Aptos Narrow"/>
            <scheme val="minor"/>
          </rPr>
          <t>======
ID#AAABjx7qTOA
    (2025-05-21 11:33:26)
0131 chloe:已匯入US$48618</t>
        </r>
      </text>
    </comment>
    <comment ref="H2718" authorId="0" shapeId="0" xr:uid="{7866A879-E762-1847-ABFD-BD0D1B3F665C}">
      <text>
        <r>
          <rPr>
            <sz val="10"/>
            <color rgb="FF000000"/>
            <rFont val="Aptos Narrow"/>
            <scheme val="minor"/>
          </rPr>
          <t>======
ID#AAABjx7qVns
    (2025-05-21 11:33:27)
0131 chloe:已匯入US$48618</t>
        </r>
      </text>
    </comment>
    <comment ref="H2719" authorId="0" shapeId="0" xr:uid="{C8D16D81-27A1-8743-93F8-276EC1F0A4FB}">
      <text>
        <r>
          <rPr>
            <sz val="10"/>
            <color rgb="FF000000"/>
            <rFont val="Aptos Narrow"/>
            <scheme val="minor"/>
          </rPr>
          <t>======
ID#AAABjx7qPek
    (2025-05-21 11:33:24)
0131 chloe:已匯入US$48618</t>
        </r>
      </text>
    </comment>
    <comment ref="G2720" authorId="0" shapeId="0" xr:uid="{A8BD4552-BA9B-6840-8840-4B4E44F7E350}">
      <text>
        <r>
          <rPr>
            <sz val="10"/>
            <color rgb="FF000000"/>
            <rFont val="Aptos Narrow"/>
            <scheme val="minor"/>
          </rPr>
          <t>======
ID#AAABjx7qM5g
    (2025-05-21 11:33:23)
Santiago 1220: NT$3100 台幣報價給客戶</t>
        </r>
      </text>
    </comment>
    <comment ref="H2720" authorId="0" shapeId="0" xr:uid="{A2AD6B87-0E1A-9644-AA64-F2C3A69BF7C2}">
      <text>
        <r>
          <rPr>
            <sz val="10"/>
            <color rgb="FF000000"/>
            <rFont val="Aptos Narrow"/>
            <scheme val="minor"/>
          </rPr>
          <t>======
ID#AAABjx7qVyw
    (2025-05-21 11:33:27)
0227 chloe: 收到 匯款NT2,990,255</t>
        </r>
      </text>
    </comment>
    <comment ref="M2720" authorId="0" shapeId="0" xr:uid="{4C49C661-C180-0642-99DB-84A62DFCA310}">
      <text>
        <r>
          <rPr>
            <sz val="10"/>
            <color rgb="FF000000"/>
            <rFont val="Aptos Narrow"/>
            <scheme val="minor"/>
          </rPr>
          <t>======
ID#AAABjx7qOMU
    (2025-05-21 11:33:24)
預計12/27到貨</t>
        </r>
      </text>
    </comment>
    <comment ref="H2721" authorId="0" shapeId="0" xr:uid="{EBAD2F4D-04B3-FE44-83A7-25B8C77E8638}">
      <text>
        <r>
          <rPr>
            <sz val="10"/>
            <color rgb="FF000000"/>
            <rFont val="Aptos Narrow"/>
            <scheme val="minor"/>
          </rPr>
          <t>======
ID#AAABjx7qVrs
    (2025-05-21 11:33:27)
2016/3/10 Benson: receive notice from bank</t>
        </r>
      </text>
    </comment>
    <comment ref="H2722" authorId="0" shapeId="0" xr:uid="{332EC299-1457-384F-A383-47796C7BFC87}">
      <text>
        <r>
          <rPr>
            <sz val="10"/>
            <color rgb="FF000000"/>
            <rFont val="Aptos Narrow"/>
            <scheme val="minor"/>
          </rPr>
          <t>======
ID#AAABjx7qS14
    (2025-05-21 11:33:26)
2016/3/10 Benson: receive notice from bank</t>
        </r>
      </text>
    </comment>
    <comment ref="H2723" authorId="0" shapeId="0" xr:uid="{B3766C2C-028A-6643-BAA2-64404B2F0AB6}">
      <text>
        <r>
          <rPr>
            <sz val="10"/>
            <color rgb="FF000000"/>
            <rFont val="Aptos Narrow"/>
            <scheme val="minor"/>
          </rPr>
          <t>======
ID#AAABjx7qWPs
    (2025-05-21 11:33:27)
0812 已收到客戶款項</t>
        </r>
      </text>
    </comment>
    <comment ref="Q2723" authorId="0" shapeId="0" xr:uid="{EA1347E6-2E7E-164A-B273-6A8BE0C2043C}">
      <text>
        <r>
          <rPr>
            <sz val="10"/>
            <color rgb="FF000000"/>
            <rFont val="Aptos Narrow"/>
            <scheme val="minor"/>
          </rPr>
          <t>======
ID#AAABjx7qVWE
    (2025-05-21 11:33:27)
=USD66.32*31.67</t>
        </r>
      </text>
    </comment>
    <comment ref="Y2723" authorId="0" shapeId="0" xr:uid="{6C00520F-5C21-044E-9EBD-2EF447DDB93D}">
      <text>
        <r>
          <rPr>
            <sz val="10"/>
            <color rgb="FF000000"/>
            <rFont val="Aptos Narrow"/>
            <scheme val="minor"/>
          </rPr>
          <t>======
ID#AAABjx7qO-w
    (2025-05-21 11:33:24)
無廠商發票，線上刷卡</t>
        </r>
      </text>
    </comment>
    <comment ref="H2724" authorId="0" shapeId="0" xr:uid="{553BC5CB-1594-8649-91B6-6775F79106D8}">
      <text>
        <r>
          <rPr>
            <sz val="10"/>
            <color rgb="FF000000"/>
            <rFont val="Aptos Narrow"/>
            <scheme val="minor"/>
          </rPr>
          <t>======
ID#AAABjx7qRXw
    (2025-05-21 11:33:25)
0812 已收到客戶款項</t>
        </r>
      </text>
    </comment>
    <comment ref="Q2724" authorId="0" shapeId="0" xr:uid="{636A75CF-47A9-2842-A39A-F7A8B235B36B}">
      <text>
        <r>
          <rPr>
            <sz val="10"/>
            <color rgb="FF000000"/>
            <rFont val="Aptos Narrow"/>
            <scheme val="minor"/>
          </rPr>
          <t>======
ID#AAABjx7qOK8
    (2025-05-21 11:33:24)
=USD130.58*31.67</t>
        </r>
      </text>
    </comment>
    <comment ref="Y2724" authorId="0" shapeId="0" xr:uid="{21B939B4-91E7-6949-8F37-FD357A0255C4}">
      <text>
        <r>
          <rPr>
            <sz val="10"/>
            <color rgb="FF000000"/>
            <rFont val="Aptos Narrow"/>
            <scheme val="minor"/>
          </rPr>
          <t>======
ID#AAABjx7qSBk
    (2025-05-21 11:33:25)
無廠商發票，線上刷卡</t>
        </r>
      </text>
    </comment>
    <comment ref="Y2725" authorId="0" shapeId="0" xr:uid="{7AF0669C-415D-404D-A42A-F4B70D0C5C95}">
      <text>
        <r>
          <rPr>
            <sz val="10"/>
            <color rgb="FF000000"/>
            <rFont val="Aptos Narrow"/>
            <scheme val="minor"/>
          </rPr>
          <t>======
ID#AAABjx7qStI
    (2025-05-21 11:33:26)
無廠商發票，線上刷卡</t>
        </r>
      </text>
    </comment>
    <comment ref="H2726" authorId="0" shapeId="0" xr:uid="{5EB2C3AE-72A8-734F-A892-8B6B2AA0F75B}">
      <text>
        <r>
          <rPr>
            <sz val="10"/>
            <color rgb="FF000000"/>
            <rFont val="Aptos Narrow"/>
            <scheme val="minor"/>
          </rPr>
          <t>======
ID#AAABjx7qQdQ
    (2025-05-21 11:33:25)
0706 Santiago : 已入台企銀</t>
        </r>
      </text>
    </comment>
    <comment ref="H2727" authorId="0" shapeId="0" xr:uid="{F3807B91-4536-834D-97C6-C9A2130A69F2}">
      <text>
        <r>
          <rPr>
            <sz val="10"/>
            <color rgb="FF000000"/>
            <rFont val="Aptos Narrow"/>
            <scheme val="minor"/>
          </rPr>
          <t>======
ID#AAABj82dpPI
    (2025-05-21 11:33:23)
20160107 Santiago: 收到銀行通知</t>
        </r>
      </text>
    </comment>
    <comment ref="J2727" authorId="0" shapeId="0" xr:uid="{3496948D-89AE-FA44-AC25-125501053612}">
      <text>
        <r>
          <rPr>
            <sz val="10"/>
            <color rgb="FF000000"/>
            <rFont val="Aptos Narrow"/>
            <scheme val="minor"/>
          </rPr>
          <t>======
ID#AAABjx7qM9s
    (2025-05-21 11:33:23)
1. 提單註明為computer parts
2. 出貨前將invoice &amp; packing list 先提供給客戶參考</t>
        </r>
      </text>
    </comment>
    <comment ref="P2727" authorId="0" shapeId="0" xr:uid="{05838C0F-3B3B-3C41-AD38-BDC73A322D31}">
      <text>
        <r>
          <rPr>
            <sz val="10"/>
            <color rgb="FF000000"/>
            <rFont val="Aptos Narrow"/>
            <scheme val="minor"/>
          </rPr>
          <t>======
ID#AAABjx7qNq8
    (2025-05-21 11:33:23)
151123 扣抵金額(含稅)US$764.4元,應支付貨款(含稅)為US$2866.5元</t>
        </r>
      </text>
    </comment>
    <comment ref="H2728" authorId="0" shapeId="0" xr:uid="{658A4405-0EEC-3646-89C4-36172BC8A11E}">
      <text>
        <r>
          <rPr>
            <sz val="10"/>
            <color rgb="FF000000"/>
            <rFont val="Aptos Narrow"/>
            <scheme val="minor"/>
          </rPr>
          <t>======
ID#AAABjx7qSto
    (2025-05-21 11:33:26)
20160107 Santiago: 收到銀行通知</t>
        </r>
      </text>
    </comment>
    <comment ref="J2728" authorId="0" shapeId="0" xr:uid="{D92A058B-1BF1-DE43-AFF5-C3EED3D08706}">
      <text>
        <r>
          <rPr>
            <sz val="10"/>
            <color rgb="FF000000"/>
            <rFont val="Aptos Narrow"/>
            <scheme val="minor"/>
          </rPr>
          <t>======
ID#AAABjx7qVnQ
    (2025-05-21 11:33:27)
1. 提單註明為computer parts
2. 出貨前將invoice &amp; packing list 先提供給客戶參考</t>
        </r>
      </text>
    </comment>
    <comment ref="G2729" authorId="0" shapeId="0" xr:uid="{82B54285-843C-9E45-A45E-7A79E03C41CF}">
      <text>
        <r>
          <rPr>
            <sz val="10"/>
            <color rgb="FF000000"/>
            <rFont val="Aptos Narrow"/>
            <scheme val="minor"/>
          </rPr>
          <t>======
ID#AAABjx7qRXQ
    (2025-05-21 11:33:25)
160114 Karen: 單價由2.4修改為2.25</t>
        </r>
      </text>
    </comment>
    <comment ref="H2729" authorId="0" shapeId="0" xr:uid="{589EAC5E-E23E-B04A-AAA4-8A41089C84DC}">
      <text>
        <r>
          <rPr>
            <sz val="10"/>
            <color rgb="FF000000"/>
            <rFont val="Aptos Narrow"/>
            <scheme val="minor"/>
          </rPr>
          <t>======
ID#AAABjx7qPfU
    (2025-05-21 11:33:24)
0110 Santiago: 收到客戶水單
0114 michelle:玉山通知入帳</t>
        </r>
      </text>
    </comment>
    <comment ref="J2729" authorId="0" shapeId="0" xr:uid="{466219E1-2889-5546-BF18-7ABA7725595E}">
      <text>
        <r>
          <rPr>
            <sz val="10"/>
            <color rgb="FF000000"/>
            <rFont val="Aptos Narrow"/>
            <scheme val="minor"/>
          </rPr>
          <t>======
ID#AAABjx7qQPE
    (2025-05-21 11:33:25)
160114 Karen: 由TNT變更為DHL</t>
        </r>
      </text>
    </comment>
    <comment ref="K2729" authorId="0" shapeId="0" xr:uid="{895649A5-8104-8141-85AD-20A63DF89C4F}">
      <text>
        <r>
          <rPr>
            <sz val="10"/>
            <color rgb="FF000000"/>
            <rFont val="Aptos Narrow"/>
            <scheme val="minor"/>
          </rPr>
          <t>======
ID#AAABjx7qTJ8
    (2025-05-21 11:33:26)
1/11 michelle: 等客戶付款</t>
        </r>
      </text>
    </comment>
    <comment ref="H2730" authorId="0" shapeId="0" xr:uid="{CDAE4686-ED8D-6D48-8D48-CD830A06A0BF}">
      <text>
        <r>
          <rPr>
            <sz val="10"/>
            <color rgb="FF000000"/>
            <rFont val="Aptos Narrow"/>
            <scheme val="minor"/>
          </rPr>
          <t>======
ID#AAABjx7qPzE
    (2025-05-21 11:33:24)
0110 Santiago: 收到客戶水單
0114 michelle:玉山通知入帳</t>
        </r>
      </text>
    </comment>
    <comment ref="J2730" authorId="0" shapeId="0" xr:uid="{97E86FB2-E3A4-0145-A971-08F81396ACF5}">
      <text>
        <r>
          <rPr>
            <sz val="10"/>
            <color rgb="FF000000"/>
            <rFont val="Aptos Narrow"/>
            <scheme val="minor"/>
          </rPr>
          <t>======
ID#AAABjx7qPIQ
    (2025-05-21 11:33:24)
160114 Karen: 由TNT變更為DHL</t>
        </r>
      </text>
    </comment>
    <comment ref="K2730" authorId="0" shapeId="0" xr:uid="{4133C9D3-E5DD-8D46-9D6A-35C1A03A19E0}">
      <text>
        <r>
          <rPr>
            <sz val="10"/>
            <color rgb="FF000000"/>
            <rFont val="Aptos Narrow"/>
            <scheme val="minor"/>
          </rPr>
          <t>======
ID#AAABjx7qVXY
    (2025-05-21 11:33:27)
1/11 michelle: 等客戶付款</t>
        </r>
      </text>
    </comment>
    <comment ref="H2731" authorId="0" shapeId="0" xr:uid="{41CE57EE-787D-7843-A97C-EF73C7C13E5B}">
      <text>
        <r>
          <rPr>
            <sz val="10"/>
            <color rgb="FF000000"/>
            <rFont val="Aptos Narrow"/>
            <scheme val="minor"/>
          </rPr>
          <t>======
ID#AAABjx7qQ5k
    (2025-05-21 11:33:25)
0110 Santiago: 收到客戶水單
0114 michelle:玉山通知入帳</t>
        </r>
      </text>
    </comment>
    <comment ref="J2731" authorId="0" shapeId="0" xr:uid="{9FE0F499-FC75-2B4F-A291-006BA0A8DCDF}">
      <text>
        <r>
          <rPr>
            <sz val="10"/>
            <color rgb="FF000000"/>
            <rFont val="Aptos Narrow"/>
            <scheme val="minor"/>
          </rPr>
          <t>======
ID#AAABjx7qMt8
    (2025-05-21 11:33:23)
160114 Karen: 由TNT變更為DHL</t>
        </r>
      </text>
    </comment>
    <comment ref="K2731" authorId="0" shapeId="0" xr:uid="{85B205F0-19BB-9948-B222-1D240097EF40}">
      <text>
        <r>
          <rPr>
            <sz val="10"/>
            <color rgb="FF000000"/>
            <rFont val="Aptos Narrow"/>
            <scheme val="minor"/>
          </rPr>
          <t>======
ID#AAABjx7qNEE
    (2025-05-21 11:33:23)
1/11 michelle: 等客戶付款</t>
        </r>
      </text>
    </comment>
    <comment ref="H2732" authorId="0" shapeId="0" xr:uid="{99C1B126-E378-574A-AC32-EE34324F85F0}">
      <text>
        <r>
          <rPr>
            <sz val="10"/>
            <color rgb="FF000000"/>
            <rFont val="Aptos Narrow"/>
            <scheme val="minor"/>
          </rPr>
          <t>======
ID#AAABjx7qV2w
    (2025-05-21 11:33:27)
201512230 Santiago: 收到銀行通知</t>
        </r>
      </text>
    </comment>
    <comment ref="H2733" authorId="0" shapeId="0" xr:uid="{8EC882E1-8FE9-AB4B-A0EC-6F6D476FD122}">
      <text>
        <r>
          <rPr>
            <sz val="10"/>
            <color rgb="FF000000"/>
            <rFont val="Aptos Narrow"/>
            <scheme val="minor"/>
          </rPr>
          <t>======
ID#AAABjx7qVnU
    (2025-05-21 11:33:27)
2/5 michelle: 玉山通知匯入共USD8383</t>
        </r>
      </text>
    </comment>
    <comment ref="H2734" authorId="0" shapeId="0" xr:uid="{77FBAD5B-4C4D-3549-BD94-83CBA9A25DBF}">
      <text>
        <r>
          <rPr>
            <sz val="10"/>
            <color rgb="FF000000"/>
            <rFont val="Aptos Narrow"/>
            <scheme val="minor"/>
          </rPr>
          <t>======
ID#AAABjx7qVl8
    (2025-05-21 11:33:27)
0301 Santiago 收到銀行通知</t>
        </r>
      </text>
    </comment>
    <comment ref="H2735" authorId="0" shapeId="0" xr:uid="{B314988D-9F7C-0744-85DB-F175A428E657}">
      <text>
        <r>
          <rPr>
            <sz val="10"/>
            <color rgb="FF000000"/>
            <rFont val="Aptos Narrow"/>
            <scheme val="minor"/>
          </rPr>
          <t>======
ID#AAABjx7qPi8
    (2025-05-21 11:33:24)
0301 Santiago 收到銀行通知</t>
        </r>
      </text>
    </comment>
    <comment ref="H2736" authorId="0" shapeId="0" xr:uid="{88C12EAC-4EF1-3A43-9D47-E8C78EEB7AAB}">
      <text>
        <r>
          <rPr>
            <sz val="10"/>
            <color rgb="FF000000"/>
            <rFont val="Aptos Narrow"/>
            <scheme val="minor"/>
          </rPr>
          <t>======
ID#AAABjx7qNVk
    (2025-05-21 11:33:23)
0301 Santiago 收到銀行通知</t>
        </r>
      </text>
    </comment>
    <comment ref="H2737" authorId="0" shapeId="0" xr:uid="{F79E1049-8CD7-3941-9D7C-CE15C543C10D}">
      <text>
        <r>
          <rPr>
            <sz val="10"/>
            <color rgb="FF000000"/>
            <rFont val="Aptos Narrow"/>
            <scheme val="minor"/>
          </rPr>
          <t>======
ID#AAABjx7qQO0
    (2025-05-21 11:33:25)
0829 chloe:收到銀行通知USD 2013</t>
        </r>
      </text>
    </comment>
    <comment ref="K2737" authorId="0" shapeId="0" xr:uid="{1D0F69F2-6FE3-B64A-B298-AC976D3DA815}">
      <text>
        <r>
          <rPr>
            <sz val="10"/>
            <color rgb="FF000000"/>
            <rFont val="Aptos Narrow"/>
            <scheme val="minor"/>
          </rPr>
          <t>======
ID#AAABjx7qRqk
    (2025-05-21 11:33:25)
0830 chloe:已與FORWORD聯絡，待對方通知確切來收件時間</t>
        </r>
      </text>
    </comment>
    <comment ref="M2737" authorId="0" shapeId="0" xr:uid="{A05DA653-7378-524C-A5D2-6053E9CED965}">
      <text>
        <r>
          <rPr>
            <sz val="10"/>
            <color rgb="FF000000"/>
            <rFont val="Aptos Narrow"/>
            <scheme val="minor"/>
          </rPr>
          <t>======
ID#AAABjx7qOXs
    (2025-05-21 11:33:24)
提早8/24到貨</t>
        </r>
      </text>
    </comment>
    <comment ref="H2738" authorId="0" shapeId="0" xr:uid="{321DADE9-4BBA-D948-A3E0-E4F9B39869E8}">
      <text>
        <r>
          <rPr>
            <sz val="10"/>
            <color rgb="FF000000"/>
            <rFont val="Aptos Narrow"/>
            <scheme val="minor"/>
          </rPr>
          <t>======
ID#AAABjx7qPuM
    (2025-05-21 11:33:24)
0301 Santiago 收到銀行通知</t>
        </r>
      </text>
    </comment>
    <comment ref="H2739" authorId="0" shapeId="0" xr:uid="{826B49EC-8653-0145-B38E-1073FCB5F09C}">
      <text>
        <r>
          <rPr>
            <sz val="10"/>
            <color rgb="FF000000"/>
            <rFont val="Aptos Narrow"/>
            <scheme val="minor"/>
          </rPr>
          <t>======
ID#AAABjx7qNnU
    (2025-05-21 11:33:23)
0301 Santiago 收到銀行通知</t>
        </r>
      </text>
    </comment>
    <comment ref="H2740" authorId="0" shapeId="0" xr:uid="{5E55A883-409B-6649-B733-E1CECA91D572}">
      <text>
        <r>
          <rPr>
            <sz val="10"/>
            <color rgb="FF000000"/>
            <rFont val="Aptos Narrow"/>
            <scheme val="minor"/>
          </rPr>
          <t>======
ID#AAABjx7qRTE
    (2025-05-21 11:33:25)
20151216 Santiago :收到一半貨款
20160122 michelle: 收到共USD14225</t>
        </r>
      </text>
    </comment>
    <comment ref="P2740" authorId="0" shapeId="0" xr:uid="{0DA27F9F-281C-FF44-A896-79988769B120}">
      <text>
        <r>
          <rPr>
            <sz val="10"/>
            <color rgb="FF000000"/>
            <rFont val="Aptos Narrow"/>
            <scheme val="minor"/>
          </rPr>
          <t>======
ID#AAABjx7qU_k
    (2025-05-21 11:33:27)
151130 扣抵金額(含稅)US$1047.375,應支付貨款(含稅)為US$18301.5元</t>
        </r>
      </text>
    </comment>
    <comment ref="H2741" authorId="0" shapeId="0" xr:uid="{1D09DC0B-7A4F-524D-A6AD-2946057AA937}">
      <text>
        <r>
          <rPr>
            <sz val="10"/>
            <color rgb="FF000000"/>
            <rFont val="Aptos Narrow"/>
            <scheme val="minor"/>
          </rPr>
          <t>======
ID#AAABjx7qU1E
    (2025-05-21 11:33:26)
20151216 Santiago :收到一半貨款
20160122 michelle: 收到共USD14225</t>
        </r>
      </text>
    </comment>
    <comment ref="P2741" authorId="0" shapeId="0" xr:uid="{71C10737-6D3F-854A-9BA7-C0324EE20B65}">
      <text>
        <r>
          <rPr>
            <sz val="10"/>
            <color rgb="FF000000"/>
            <rFont val="Aptos Narrow"/>
            <scheme val="minor"/>
          </rPr>
          <t>======
ID#AAABjx7qSjw
    (2025-05-21 11:33:26)
151210 扣抵金額(含稅)US$504,應支付貨款(含稅)為US$6804元</t>
        </r>
      </text>
    </comment>
    <comment ref="H2742" authorId="0" shapeId="0" xr:uid="{738F0F84-5194-9841-A0BA-901768A3E3B0}">
      <text>
        <r>
          <rPr>
            <sz val="10"/>
            <color rgb="FF000000"/>
            <rFont val="Aptos Narrow"/>
            <scheme val="minor"/>
          </rPr>
          <t>======
ID#AAABjx7qOkA
    (2025-05-21 11:33:24)
0922 chloe:收到銀行通知USD6071</t>
        </r>
      </text>
    </comment>
    <comment ref="M2742" authorId="0" shapeId="0" xr:uid="{5A18BA22-D10A-DF4A-9387-1F9CBF337459}">
      <text>
        <r>
          <rPr>
            <sz val="10"/>
            <color rgb="FF000000"/>
            <rFont val="Aptos Narrow"/>
            <scheme val="minor"/>
          </rPr>
          <t>======
ID#AAABjx7qWbE
    (2025-05-21 11:33:27)
1004 chloe : PULL IN 中，看能不能趕在10/27
1011 chloe: Pull in中，待回覆
1013 chloe: Pull in中，回覆無法提前→因機箱上色問題交期延至11/11
1025 chloe:到貨兩台</t>
        </r>
      </text>
    </comment>
    <comment ref="H2743" authorId="0" shapeId="0" xr:uid="{D9B4A4F2-B8A1-1F4B-8F0F-3CF6A7DE9BD1}">
      <text>
        <r>
          <rPr>
            <sz val="10"/>
            <color rgb="FF000000"/>
            <rFont val="Aptos Narrow"/>
            <scheme val="minor"/>
          </rPr>
          <t>======
ID#AAABjx7qS-I
    (2025-05-21 11:33:26)
201512230 Santiago: 收到銀行通知</t>
        </r>
      </text>
    </comment>
    <comment ref="K2743" authorId="0" shapeId="0" xr:uid="{92B7671E-5097-F943-B280-AF21FB467474}">
      <text>
        <r>
          <rPr>
            <sz val="10"/>
            <color rgb="FF000000"/>
            <rFont val="Aptos Narrow"/>
            <scheme val="minor"/>
          </rPr>
          <t>======
ID#AAABjx7qWKc
    (2025-05-21 11:33:27)
1/8 michelle: 配件出完2040套</t>
        </r>
      </text>
    </comment>
    <comment ref="E2744" authorId="0" shapeId="0" xr:uid="{41709C61-8227-1C48-9A08-3B51EF9FA702}">
      <text>
        <r>
          <rPr>
            <sz val="10"/>
            <color rgb="FF000000"/>
            <rFont val="Aptos Narrow"/>
            <scheme val="minor"/>
          </rPr>
          <t>======
ID#AAABjx7qVfw
    (2025-05-21 11:33:27)
1/8 michelle: 配件出完2040套</t>
        </r>
      </text>
    </comment>
    <comment ref="K2744" authorId="0" shapeId="0" xr:uid="{FEE5F28B-C22D-5941-A6CB-F32C57C9320A}">
      <text>
        <r>
          <rPr>
            <sz val="10"/>
            <color rgb="FF000000"/>
            <rFont val="Aptos Narrow"/>
            <scheme val="minor"/>
          </rPr>
          <t>======
ID#AAABjx7qQiQ
    (2025-05-21 11:33:25)
1/8 michelle: 配件出完2040套</t>
        </r>
      </text>
    </comment>
    <comment ref="H2745" authorId="0" shapeId="0" xr:uid="{29DFFD29-F7B0-004D-8800-218FAC79CADB}">
      <text>
        <r>
          <rPr>
            <sz val="10"/>
            <color rgb="FF000000"/>
            <rFont val="Aptos Narrow"/>
            <scheme val="minor"/>
          </rPr>
          <t>======
ID#AAABjx7qVjA
    (2025-05-21 11:33:27)
201512230 Santiago: 收到銀行通知</t>
        </r>
      </text>
    </comment>
    <comment ref="H2747" authorId="0" shapeId="0" xr:uid="{7E528CCA-EF2E-734D-9B91-B196EC2A0942}">
      <text>
        <r>
          <rPr>
            <sz val="10"/>
            <color rgb="FF000000"/>
            <rFont val="Aptos Narrow"/>
            <scheme val="minor"/>
          </rPr>
          <t>======
ID#AAABjx7qVr4
    (2025-05-21 11:33:27)
0922 chloe:收到銀行通知USD6071</t>
        </r>
      </text>
    </comment>
    <comment ref="M2747" authorId="0" shapeId="0" xr:uid="{423E0CBF-9481-CD4A-A1A2-278D631737F8}">
      <text>
        <r>
          <rPr>
            <sz val="10"/>
            <color rgb="FF000000"/>
            <rFont val="Aptos Narrow"/>
            <scheme val="minor"/>
          </rPr>
          <t>======
ID#AAABjx7qOrs
    (2025-05-21 11:33:24)
1004 chloe : PULL IN 中，看能不能趕在10/27
1011 chloe: Pull in中，待回覆
1013 chloe: Pull in中，回覆無法提前→因機箱上色問題交期延至11/11
1025 chloe:到貨兩台</t>
        </r>
      </text>
    </comment>
    <comment ref="H2748" authorId="0" shapeId="0" xr:uid="{EA4F648B-EC37-2441-943A-1C5C6555B0D2}">
      <text>
        <r>
          <rPr>
            <sz val="10"/>
            <color rgb="FF000000"/>
            <rFont val="Aptos Narrow"/>
            <scheme val="minor"/>
          </rPr>
          <t>======
ID#AAABjx7qQ68
    (2025-05-21 11:33:25)
0303 Santiago : 收到支票</t>
        </r>
      </text>
    </comment>
    <comment ref="E2749" authorId="0" shapeId="0" xr:uid="{7C5CBA07-5669-FA49-AEC7-21885F9BBA9A}">
      <text>
        <r>
          <rPr>
            <sz val="10"/>
            <color rgb="FF000000"/>
            <rFont val="Aptos Narrow"/>
            <scheme val="minor"/>
          </rPr>
          <t>======
ID#AAABjx7qQSQ
    (2025-05-21 11:33:25)
151225 Karen: EU adapter</t>
        </r>
      </text>
    </comment>
    <comment ref="H2749" authorId="0" shapeId="0" xr:uid="{73AAA13C-EE6E-0C45-A1DD-5D91DAB362BC}">
      <text>
        <r>
          <rPr>
            <sz val="10"/>
            <color rgb="FF000000"/>
            <rFont val="Aptos Narrow"/>
            <scheme val="minor"/>
          </rPr>
          <t>======
ID#AAABjx7qS4g
    (2025-05-21 11:33:26)
1/21 michelle: TCB通知匯入共USB3184.2</t>
        </r>
      </text>
    </comment>
    <comment ref="M2749" authorId="0" shapeId="0" xr:uid="{68BC0BB9-833A-B745-A628-AEB3CC10A39B}">
      <text>
        <r>
          <rPr>
            <sz val="10"/>
            <color rgb="FF000000"/>
            <rFont val="Aptos Narrow"/>
            <scheme val="minor"/>
          </rPr>
          <t>======
ID#AAABjx7qP3M
    (2025-05-21 11:33:24)
1/7 michelle: 已退回MOXA</t>
        </r>
      </text>
    </comment>
    <comment ref="P2749" authorId="0" shapeId="0" xr:uid="{89F2CD6D-E9F0-F442-85B5-BACD8ADDA1E5}">
      <text>
        <r>
          <rPr>
            <sz val="10"/>
            <color rgb="FF000000"/>
            <rFont val="Aptos Narrow"/>
            <scheme val="minor"/>
          </rPr>
          <t>======
ID#AAABjx7qTDc
    (2025-05-21 11:33:26)
151225 扣抵金額(含稅)US$345.45元,應支付貨款(含稅)為US$2668.08元</t>
        </r>
      </text>
    </comment>
    <comment ref="H2750" authorId="0" shapeId="0" xr:uid="{F3542A37-3545-9043-AB5E-30F7116F07DE}">
      <text>
        <r>
          <rPr>
            <sz val="10"/>
            <color rgb="FF000000"/>
            <rFont val="Aptos Narrow"/>
            <scheme val="minor"/>
          </rPr>
          <t>======
ID#AAABjx7qSTs
    (2025-05-21 11:33:26)
20160607 Santiago: 收到16780
20160121 Santiago :收到一半貨款</t>
        </r>
      </text>
    </comment>
    <comment ref="O2750" authorId="0" shapeId="0" xr:uid="{42CBA1CE-D172-0D43-BF2B-014F77F9548C}">
      <text>
        <r>
          <rPr>
            <sz val="10"/>
            <color rgb="FF000000"/>
            <rFont val="Aptos Narrow"/>
            <scheme val="minor"/>
          </rPr>
          <t>======
ID#AAABjx7qQEc
    (2025-05-21 11:33:25)
45天內可cancel PO</t>
        </r>
      </text>
    </comment>
    <comment ref="Q2750" authorId="0" shapeId="0" xr:uid="{731C7CB7-91EE-2B41-B99B-DB9DA36DE74E}">
      <text>
        <r>
          <rPr>
            <sz val="10"/>
            <color rgb="FF000000"/>
            <rFont val="Aptos Narrow"/>
            <scheme val="minor"/>
          </rPr>
          <t>======
ID#AAABjx7qPOU
    (2025-05-21 11:33:24)
20160607 Santiago
1.unit cost US$6630 w/o TAX
2. 0608 已付NT680626</t>
        </r>
      </text>
    </comment>
    <comment ref="H2751" authorId="0" shapeId="0" xr:uid="{416F57B3-E2CB-6249-9233-1ABD394CF45D}">
      <text>
        <r>
          <rPr>
            <sz val="10"/>
            <color rgb="FF000000"/>
            <rFont val="Aptos Narrow"/>
            <scheme val="minor"/>
          </rPr>
          <t>======
ID#AAABjx7qOm4
0322 Santiago    (2025-05-21 11:33:24)
收到銀行匯款US$1481 +
去年Tpole 多匯US$2000</t>
        </r>
      </text>
    </comment>
    <comment ref="H2752" authorId="0" shapeId="0" xr:uid="{816E5B7B-864E-9A48-ADF9-16AEA26D1864}">
      <text>
        <r>
          <rPr>
            <sz val="10"/>
            <color rgb="FF000000"/>
            <rFont val="Aptos Narrow"/>
            <scheme val="minor"/>
          </rPr>
          <t>======
ID#AAABjx7qWZU
0322 Santiago    (2025-05-21 11:33:27)
收到銀行匯款US$1481 +
去年Tpole 多匯US$2000</t>
        </r>
      </text>
    </comment>
    <comment ref="H2753" authorId="0" shapeId="0" xr:uid="{9C6005C0-2303-5F47-93FD-5EE06676EE73}">
      <text>
        <r>
          <rPr>
            <sz val="10"/>
            <color rgb="FF000000"/>
            <rFont val="Aptos Narrow"/>
            <scheme val="minor"/>
          </rPr>
          <t>======
ID#AAABjx7qO8k
0322 Santiago    (2025-05-21 11:33:24)
收到銀行匯款US$1481 +
去年Tpole 多匯US$2000</t>
        </r>
      </text>
    </comment>
    <comment ref="M2753" authorId="0" shapeId="0" xr:uid="{FF923FAE-5999-5F45-9CED-86A29281E910}">
      <text>
        <r>
          <rPr>
            <sz val="10"/>
            <color rgb="FF000000"/>
            <rFont val="Aptos Narrow"/>
            <scheme val="minor"/>
          </rPr>
          <t>======
ID#AAABjx7qQX8
    (2025-05-21 11:33:25)
1/12 michelle: 付款後就可以出</t>
        </r>
      </text>
    </comment>
    <comment ref="H2754" authorId="0" shapeId="0" xr:uid="{DA511B5D-F973-6944-B942-46CFC7E3C7BC}">
      <text>
        <r>
          <rPr>
            <sz val="10"/>
            <color rgb="FF000000"/>
            <rFont val="Aptos Narrow"/>
            <scheme val="minor"/>
          </rPr>
          <t>======
ID#AAABjx7qNWw
0322 Santiago    (2025-05-21 11:33:23)
收到銀行匯款US$1481 +
去年Tpole 多匯US$2000</t>
        </r>
      </text>
    </comment>
    <comment ref="M2754" authorId="0" shapeId="0" xr:uid="{09FEE0C9-8BE6-B544-8EE2-6537851EE2F3}">
      <text>
        <r>
          <rPr>
            <sz val="10"/>
            <color rgb="FF000000"/>
            <rFont val="Aptos Narrow"/>
            <scheme val="minor"/>
          </rPr>
          <t>======
ID#AAABjx7qPVQ
    (2025-05-21 11:33:24)
1/12 michelle: 付款後就可以出</t>
        </r>
      </text>
    </comment>
    <comment ref="H2755" authorId="0" shapeId="0" xr:uid="{9E0F9C15-BA2D-6F4A-8008-C120B171833D}">
      <text>
        <r>
          <rPr>
            <sz val="10"/>
            <color rgb="FF000000"/>
            <rFont val="Aptos Narrow"/>
            <scheme val="minor"/>
          </rPr>
          <t>======
ID#AAABjx7qPkw
0322 Santiago    (2025-05-21 11:33:24)
收到銀行匯款US$1481 +
去年Tpole 多匯US$2000</t>
        </r>
      </text>
    </comment>
    <comment ref="H2756" authorId="0" shapeId="0" xr:uid="{FE51CA3D-D521-8743-A18F-7C349397A036}">
      <text>
        <r>
          <rPr>
            <sz val="10"/>
            <color rgb="FF000000"/>
            <rFont val="Aptos Narrow"/>
            <scheme val="minor"/>
          </rPr>
          <t>======
ID#AAABjx7qR8w
    (2025-05-21 11:33:25)
1/27 michelle: 玉山通知匯入共USD2635</t>
        </r>
      </text>
    </comment>
    <comment ref="H2757" authorId="0" shapeId="0" xr:uid="{30627161-0606-2448-9AE4-6FDDC0B8C170}">
      <text>
        <r>
          <rPr>
            <sz val="10"/>
            <color rgb="FF000000"/>
            <rFont val="Aptos Narrow"/>
            <scheme val="minor"/>
          </rPr>
          <t>======
ID#AAABjx7qP3E
    (2025-05-21 11:33:24)
1/27 michelle: 玉山通知匯入共USD2635</t>
        </r>
      </text>
    </comment>
    <comment ref="H2758" authorId="0" shapeId="0" xr:uid="{96E7B368-CC79-3F40-8BEE-B31535A99190}">
      <text>
        <r>
          <rPr>
            <sz val="10"/>
            <color rgb="FF000000"/>
            <rFont val="Aptos Narrow"/>
            <scheme val="minor"/>
          </rPr>
          <t>======
ID#AAABjx7qOqA
    (2025-05-21 11:33:24)
2/5 michelle: 玉山通知匯入共USD8383</t>
        </r>
      </text>
    </comment>
    <comment ref="K2759" authorId="0" shapeId="0" xr:uid="{F558D4E7-4FA7-0943-B797-4B8C51DD90A1}">
      <text>
        <r>
          <rPr>
            <sz val="10"/>
            <color rgb="FF000000"/>
            <rFont val="Aptos Narrow"/>
            <scheme val="minor"/>
          </rPr>
          <t>======
ID#AAABjx7qPyY
    (2025-05-21 11:33:24)
20160114 iBase 處理中</t>
        </r>
      </text>
    </comment>
    <comment ref="K2760" authorId="0" shapeId="0" xr:uid="{C28B20F2-5A18-B24D-B392-4579AA3E2F7B}">
      <text>
        <r>
          <rPr>
            <sz val="10"/>
            <color rgb="FF000000"/>
            <rFont val="Aptos Narrow"/>
            <scheme val="minor"/>
          </rPr>
          <t>======
ID#AAABjx7qOzk
    (2025-05-21 11:33:24)
20160114 iBase 處理中</t>
        </r>
      </text>
    </comment>
    <comment ref="K2761" authorId="0" shapeId="0" xr:uid="{5B587519-409A-5C42-A862-C9464F909AC1}">
      <text>
        <r>
          <rPr>
            <sz val="10"/>
            <color rgb="FF000000"/>
            <rFont val="Aptos Narrow"/>
            <scheme val="minor"/>
          </rPr>
          <t>======
ID#AAABjx7qU10
    (2025-05-21 11:33:26)
20160114 iBase 處理中</t>
        </r>
      </text>
    </comment>
    <comment ref="E2762" authorId="0" shapeId="0" xr:uid="{16A92A2C-8BBA-A34C-BDAE-8B185C98A43D}">
      <text>
        <r>
          <rPr>
            <sz val="10"/>
            <color rgb="FF000000"/>
            <rFont val="Aptos Narrow"/>
            <scheme val="minor"/>
          </rPr>
          <t>======
ID#AAABjx7qPQ4
    (2025-05-21 11:33:24)
1/28 michelle: 04-US-26-00003 FSP120-AHAN2/9NA1204601</t>
        </r>
      </text>
    </comment>
    <comment ref="H2762" authorId="0" shapeId="0" xr:uid="{0570EC5E-2A27-994B-B9D4-BEDDB3EDEE1E}">
      <text>
        <r>
          <rPr>
            <sz val="10"/>
            <color rgb="FF000000"/>
            <rFont val="Aptos Narrow"/>
            <scheme val="minor"/>
          </rPr>
          <t>======
ID#AAABjx7qSl4
0322 Santiago    (2025-05-21 11:33:26)
收到銀行匯款US$1481 +
去年Tpole 多匯US$2000</t>
        </r>
      </text>
    </comment>
    <comment ref="H2763" authorId="0" shapeId="0" xr:uid="{5A67C32C-2678-D342-B3F2-C6DDD0D7EBF6}">
      <text>
        <r>
          <rPr>
            <sz val="10"/>
            <color rgb="FF000000"/>
            <rFont val="Aptos Narrow"/>
            <scheme val="minor"/>
          </rPr>
          <t>======
ID#AAABjx7qQCw
    (2025-05-21 11:33:25)
0525 Santiago: 收到銀行通知</t>
        </r>
      </text>
    </comment>
    <comment ref="K2763" authorId="0" shapeId="0" xr:uid="{EB3D8756-B85B-AF4A-99AF-4F7E142BD94E}">
      <text>
        <r>
          <rPr>
            <sz val="10"/>
            <color rgb="FF000000"/>
            <rFont val="Aptos Narrow"/>
            <scheme val="minor"/>
          </rPr>
          <t>======
ID#AAABjx7qSZk
0412 Santiago    (2025-05-21 11:33:26)
原本預計4/29 出貨</t>
        </r>
      </text>
    </comment>
    <comment ref="H2764" authorId="0" shapeId="0" xr:uid="{6FEA675F-C34C-2E47-9039-F18E12113F19}">
      <text>
        <r>
          <rPr>
            <sz val="10"/>
            <color rgb="FF000000"/>
            <rFont val="Aptos Narrow"/>
            <scheme val="minor"/>
          </rPr>
          <t>======
ID#AAABjx7qP_A
    (2025-05-21 11:33:25)
0310 Santiago : 收到銀行通知</t>
        </r>
      </text>
    </comment>
    <comment ref="E2765" authorId="0" shapeId="0" xr:uid="{E12D57FA-B7C7-974C-BB48-8891A8BC6385}">
      <text>
        <r>
          <rPr>
            <sz val="10"/>
            <color rgb="FF000000"/>
            <rFont val="Aptos Narrow"/>
            <scheme val="minor"/>
          </rPr>
          <t>======
ID#AAABjx7qSv8
    (2025-05-21 11:33:26)
1/15 michelle: 研華通知停產改用 96PSA-A90W19OT-1</t>
        </r>
      </text>
    </comment>
    <comment ref="H2765" authorId="0" shapeId="0" xr:uid="{B5AD584C-DB0C-F34B-B243-24429101774A}">
      <text>
        <r>
          <rPr>
            <sz val="10"/>
            <color rgb="FF000000"/>
            <rFont val="Aptos Narrow"/>
            <scheme val="minor"/>
          </rPr>
          <t>======
ID#AAABj82dpL0
    (2025-05-21 11:33:23)
0310 Santiago : 收到銀行通知</t>
        </r>
      </text>
    </comment>
    <comment ref="H2766" authorId="0" shapeId="0" xr:uid="{BA90B7E9-B8A6-EF40-AF0C-864662B91563}">
      <text>
        <r>
          <rPr>
            <sz val="10"/>
            <color rgb="FF000000"/>
            <rFont val="Aptos Narrow"/>
            <scheme val="minor"/>
          </rPr>
          <t>======
ID#AAABjx7qM0c
    (2025-05-21 11:33:23)
0310 Santiago : 收到銀行通知</t>
        </r>
      </text>
    </comment>
    <comment ref="H2767" authorId="0" shapeId="0" xr:uid="{D1BF5C9D-4222-8346-A4FD-42DAA7F214F8}">
      <text>
        <r>
          <rPr>
            <sz val="10"/>
            <color rgb="FF000000"/>
            <rFont val="Aptos Narrow"/>
            <scheme val="minor"/>
          </rPr>
          <t>======
ID#AAABjx7qWRE
    (2025-05-21 11:33:27)
0309 Santiago: 收到客戶支票</t>
        </r>
      </text>
    </comment>
    <comment ref="E2768" authorId="0" shapeId="0" xr:uid="{767DC462-3C90-A048-A089-17B0058BB0D2}">
      <text>
        <r>
          <rPr>
            <sz val="10"/>
            <color rgb="FF000000"/>
            <rFont val="Aptos Narrow"/>
            <scheme val="minor"/>
          </rPr>
          <t>======
ID#AAABjx7qM6w
    (2025-05-21 11:33:23)
160115 Karen: 下單型號C218T/PCI</t>
        </r>
      </text>
    </comment>
    <comment ref="H2768" authorId="0" shapeId="0" xr:uid="{E849274C-036D-9E4B-ABFD-2CAB8BA8515C}">
      <text>
        <r>
          <rPr>
            <sz val="10"/>
            <color rgb="FF000000"/>
            <rFont val="Aptos Narrow"/>
            <scheme val="minor"/>
          </rPr>
          <t>======
ID#AAABjx7qOvQ
    (2025-05-21 11:33:24)
0309 Santiago: 收到客戶支票</t>
        </r>
      </text>
    </comment>
    <comment ref="E2769" authorId="0" shapeId="0" xr:uid="{891DE8BD-4B68-5B43-8390-8DC0C648B423}">
      <text>
        <r>
          <rPr>
            <sz val="10"/>
            <color rgb="FF000000"/>
            <rFont val="Aptos Narrow"/>
            <scheme val="minor"/>
          </rPr>
          <t>======
ID#AAABjx7qWF4
Description     (2025-05-21 11:33:27)
Win Pro Embedded 7 SP1 32-bit/x64 EMB ESD OEI 1-2CPU</t>
        </r>
      </text>
    </comment>
    <comment ref="H2769" authorId="0" shapeId="0" xr:uid="{41777A17-59B5-4744-9BC0-8CDE2EDB4C8C}">
      <text>
        <r>
          <rPr>
            <sz val="10"/>
            <color rgb="FF000000"/>
            <rFont val="Aptos Narrow"/>
            <scheme val="minor"/>
          </rPr>
          <t>======
ID#AAABjx7qUuE
    (2025-05-21 11:33:26)
0301 Santiago 收到銀行通知</t>
        </r>
      </text>
    </comment>
    <comment ref="H2770" authorId="0" shapeId="0" xr:uid="{1DBDE93D-8F68-9F4C-8435-690B7B34FEF8}">
      <text>
        <r>
          <rPr>
            <sz val="10"/>
            <color rgb="FF000000"/>
            <rFont val="Aptos Narrow"/>
            <scheme val="minor"/>
          </rPr>
          <t>======
ID#AAABjx7qQc4
    (2025-05-21 11:33:25)
1/25 michelle: TCB通知匯入共USD1614</t>
        </r>
      </text>
    </comment>
    <comment ref="H2771" authorId="0" shapeId="0" xr:uid="{BB04D36B-3585-A04C-BBE3-C8A46C02C541}">
      <text>
        <r>
          <rPr>
            <sz val="10"/>
            <color rgb="FF000000"/>
            <rFont val="Aptos Narrow"/>
            <scheme val="minor"/>
          </rPr>
          <t>======
ID#AAABjx7qVAg
    (2025-05-21 11:33:27)
0504 Santiago: 銀行通知匯入US$826</t>
        </r>
      </text>
    </comment>
    <comment ref="H2772" authorId="0" shapeId="0" xr:uid="{BADA8078-5D2C-D241-925D-E8824BC0666A}">
      <text>
        <r>
          <rPr>
            <sz val="10"/>
            <color rgb="FF000000"/>
            <rFont val="Aptos Narrow"/>
            <scheme val="minor"/>
          </rPr>
          <t>======
ID#AAABjx7qPdk
    (2025-05-21 11:33:24)
0303 Santiago : 收到支票</t>
        </r>
      </text>
    </comment>
    <comment ref="H2773" authorId="0" shapeId="0" xr:uid="{BDED517F-7FF8-F248-A794-737746F2E671}">
      <text>
        <r>
          <rPr>
            <sz val="10"/>
            <color rgb="FF000000"/>
            <rFont val="Aptos Narrow"/>
            <scheme val="minor"/>
          </rPr>
          <t>======
ID#AAABjx7qSwg
    (2025-05-21 11:33:26)
20160607 Santiago: 收到16780
20160121 Santiago :收到一半貨款</t>
        </r>
      </text>
    </comment>
    <comment ref="M2773" authorId="0" shapeId="0" xr:uid="{6E0F4BE6-4700-6541-BF03-41073E4A073F}">
      <text>
        <r>
          <rPr>
            <sz val="10"/>
            <color rgb="FF000000"/>
            <rFont val="Aptos Narrow"/>
            <scheme val="minor"/>
          </rPr>
          <t>======
ID#AAABjx7qNBM
    (2025-05-21 11:33:23)
2/22 michelle: 等客戶回工程問題, LT: 15工作天</t>
        </r>
      </text>
    </comment>
    <comment ref="H2774" authorId="0" shapeId="0" xr:uid="{D22F3954-6710-514E-B901-101D14F0A21E}">
      <text>
        <r>
          <rPr>
            <sz val="10"/>
            <color rgb="FF000000"/>
            <rFont val="Aptos Narrow"/>
            <scheme val="minor"/>
          </rPr>
          <t>======
ID#AAABjx7qPUM
    (2025-05-21 11:33:24)
20160607 Santiago: 收到16780
20160121 Santiago :收到一半貨款</t>
        </r>
      </text>
    </comment>
    <comment ref="H2775" authorId="0" shapeId="0" xr:uid="{2AEA5E95-2A57-CC4B-B2F0-6FBBB7FE7684}">
      <text>
        <r>
          <rPr>
            <sz val="10"/>
            <color rgb="FF000000"/>
            <rFont val="Aptos Narrow"/>
            <scheme val="minor"/>
          </rPr>
          <t>======
ID#AAABjx7qSKs
    (2025-05-21 11:33:26)
20160607 Santiago: 收到16780
20160121 Santiago :收到一半貨款</t>
        </r>
      </text>
    </comment>
    <comment ref="H2776" authorId="0" shapeId="0" xr:uid="{8751EC91-DADA-B749-9D42-6D730A9AA47A}">
      <text>
        <r>
          <rPr>
            <sz val="10"/>
            <color rgb="FF000000"/>
            <rFont val="Aptos Narrow"/>
            <scheme val="minor"/>
          </rPr>
          <t>======
ID#AAABj82dpKE
    (2025-05-21 11:33:23)
20160607 Santiago: 收到16780
20160121 Santiago :收到一半貨款</t>
        </r>
      </text>
    </comment>
    <comment ref="H2777" authorId="0" shapeId="0" xr:uid="{7DF5B46D-864F-7C4D-93EA-E8414B84E4FF}">
      <text>
        <r>
          <rPr>
            <sz val="10"/>
            <color rgb="FF000000"/>
            <rFont val="Aptos Narrow"/>
            <scheme val="minor"/>
          </rPr>
          <t>======
ID#AAABjx7qNkc
    (2025-05-21 11:33:23)
20160607 Santiago: 收到16780
20160121 Santiago :收到一半貨款</t>
        </r>
      </text>
    </comment>
    <comment ref="H2778" authorId="0" shapeId="0" xr:uid="{F4ED6E9F-5498-BF4E-A5C9-CF91AE135B97}">
      <text>
        <r>
          <rPr>
            <sz val="10"/>
            <color rgb="FF000000"/>
            <rFont val="Aptos Narrow"/>
            <scheme val="minor"/>
          </rPr>
          <t>======
ID#AAABjx7qPbA
    (2025-05-21 11:33:24)
20160107 Santiago: 收到銀行通知</t>
        </r>
      </text>
    </comment>
    <comment ref="J2778" authorId="0" shapeId="0" xr:uid="{55825251-31C2-D14A-AA99-455959B699CE}">
      <text>
        <r>
          <rPr>
            <sz val="10"/>
            <color rgb="FF000000"/>
            <rFont val="Aptos Narrow"/>
            <scheme val="minor"/>
          </rPr>
          <t>======
ID#AAABjx7qNPo
    (2025-05-21 11:33:23)
1. 提單註明為computer parts
2. 出貨前將invoice &amp; packing list 先提供給客戶參考</t>
        </r>
      </text>
    </comment>
    <comment ref="M2778" authorId="0" shapeId="0" xr:uid="{25DEC532-350B-1C47-82E4-7C9EBF9E530A}">
      <text>
        <r>
          <rPr>
            <sz val="10"/>
            <color rgb="FF000000"/>
            <rFont val="Aptos Narrow"/>
            <scheme val="minor"/>
          </rPr>
          <t>======
ID#AAABjx7qVQQ
    (2025-05-21 11:33:27)
11/24 michelle: 1/7 午前自取</t>
        </r>
      </text>
    </comment>
    <comment ref="H2779" authorId="0" shapeId="0" xr:uid="{E5F95380-ACE4-D146-B0C9-19541C5ADA21}">
      <text>
        <r>
          <rPr>
            <sz val="10"/>
            <color rgb="FF000000"/>
            <rFont val="Aptos Narrow"/>
            <scheme val="minor"/>
          </rPr>
          <t>======
ID#AAABjx7qTs4
    (2025-05-21 11:33:26)
20160607 Santiago: 收到16780
20160121 Santiago :收到一半貨款</t>
        </r>
      </text>
    </comment>
    <comment ref="H2780" authorId="0" shapeId="0" xr:uid="{5CA78819-5136-3047-A006-280F49113C56}">
      <text>
        <r>
          <rPr>
            <sz val="10"/>
            <color rgb="FF000000"/>
            <rFont val="Aptos Narrow"/>
            <scheme val="minor"/>
          </rPr>
          <t>======
ID#AAABjx7qPmA
    (2025-05-21 11:33:24)
20160607 Santiago: 收到16780
20160121 Santiago :收到一半貨款</t>
        </r>
      </text>
    </comment>
    <comment ref="H2781" authorId="0" shapeId="0" xr:uid="{40A370D5-443B-5C4E-866E-2609D48A262B}">
      <text>
        <r>
          <rPr>
            <sz val="10"/>
            <color rgb="FF000000"/>
            <rFont val="Aptos Narrow"/>
            <scheme val="minor"/>
          </rPr>
          <t>======
ID#AAABjx7qRjo
    (2025-05-21 11:33:25)
0203 Santiago: 已入帳</t>
        </r>
      </text>
    </comment>
    <comment ref="P2781" authorId="0" shapeId="0" xr:uid="{BFF4ADA0-302E-8244-A014-14EC7F706628}">
      <text>
        <r>
          <rPr>
            <sz val="10"/>
            <color rgb="FF000000"/>
            <rFont val="Aptos Narrow"/>
            <scheme val="minor"/>
          </rPr>
          <t>======
ID#AAABjx7qRpg
    (2025-05-21 11:33:25)
160121 扣抵金額(含稅)US$199.5元,應支付貨款(含稅)為US$3864元</t>
        </r>
      </text>
    </comment>
    <comment ref="H2782" authorId="0" shapeId="0" xr:uid="{F121D40C-5DCC-AA4A-9C8C-1B8AD461307C}">
      <text>
        <r>
          <rPr>
            <sz val="10"/>
            <color rgb="FF000000"/>
            <rFont val="Aptos Narrow"/>
            <scheme val="minor"/>
          </rPr>
          <t>======
ID#AAABjx7qVpI
    (2025-05-21 11:33:27)
0403 Santiago : 收到支票</t>
        </r>
      </text>
    </comment>
    <comment ref="H2783" authorId="0" shapeId="0" xr:uid="{4ADAEEA0-1E3D-B748-953E-3B53F8DD2E4A}">
      <text>
        <r>
          <rPr>
            <sz val="10"/>
            <color rgb="FF000000"/>
            <rFont val="Aptos Narrow"/>
            <scheme val="minor"/>
          </rPr>
          <t>======
ID#AAABjx7qVoI
    (2025-05-21 11:33:27)
0403 Santiago : 收到支票</t>
        </r>
      </text>
    </comment>
    <comment ref="H2786" authorId="0" shapeId="0" xr:uid="{D7DC5FD9-660B-534F-819D-C197F4A5D53E}">
      <text>
        <r>
          <rPr>
            <sz val="10"/>
            <color rgb="FF000000"/>
            <rFont val="Aptos Narrow"/>
            <scheme val="minor"/>
          </rPr>
          <t>======
ID#AAABjx7qSpg
    (2025-05-21 11:33:26)
0301 Santiago 收到銀行通知</t>
        </r>
      </text>
    </comment>
    <comment ref="H2787" authorId="0" shapeId="0" xr:uid="{E2E9BD3A-A8CE-C243-923D-013C8F1FBAA3}">
      <text>
        <r>
          <rPr>
            <sz val="10"/>
            <color rgb="FF000000"/>
            <rFont val="Aptos Narrow"/>
            <scheme val="minor"/>
          </rPr>
          <t>======
ID#AAABjx7qN10
    (2025-05-21 11:33:23)
0403 Santiago : 收到支票</t>
        </r>
      </text>
    </comment>
    <comment ref="H2788" authorId="0" shapeId="0" xr:uid="{EFE7D987-B41E-A746-A8F5-E55D813CBD48}">
      <text>
        <r>
          <rPr>
            <sz val="10"/>
            <color rgb="FF000000"/>
            <rFont val="Aptos Narrow"/>
            <scheme val="minor"/>
          </rPr>
          <t>======
ID#AAABjx7qTp8
    (2025-05-21 11:33:26)
0301 Santiago 收到銀行通知</t>
        </r>
      </text>
    </comment>
    <comment ref="H2789" authorId="0" shapeId="0" xr:uid="{612315C5-B3C9-0344-B4BF-28938E700BD4}">
      <text>
        <r>
          <rPr>
            <sz val="10"/>
            <color rgb="FF000000"/>
            <rFont val="Aptos Narrow"/>
            <scheme val="minor"/>
          </rPr>
          <t>======
ID#AAABjx7qTnA
0322 Santiago    (2025-05-21 11:33:26)
收到銀行匯款US$1481 +
去年Tpole 多匯US$2000</t>
        </r>
      </text>
    </comment>
    <comment ref="M2789" authorId="0" shapeId="0" xr:uid="{6F5CF11F-25C9-3241-BE26-6891758054D5}">
      <text>
        <r>
          <rPr>
            <sz val="10"/>
            <color rgb="FF000000"/>
            <rFont val="Aptos Narrow"/>
            <scheme val="minor"/>
          </rPr>
          <t>======
ID#AAABjx7qWJQ
    (2025-05-21 11:33:27)
1/28 michelle: 2/20 *44pcs可先進</t>
        </r>
      </text>
    </comment>
    <comment ref="H2790" authorId="0" shapeId="0" xr:uid="{4E72B02D-E972-E74A-8058-D2A8E1BDCA43}">
      <text>
        <r>
          <rPr>
            <sz val="10"/>
            <color rgb="FF000000"/>
            <rFont val="Aptos Narrow"/>
            <scheme val="minor"/>
          </rPr>
          <t>======
ID#AAABjx7qQNk
0322 Santiago    (2025-05-21 11:33:25)
收到銀行匯款US$1481 +
去年Tpole 多匯US$2000</t>
        </r>
      </text>
    </comment>
    <comment ref="H2791" authorId="0" shapeId="0" xr:uid="{6FEF8892-03A0-7E4C-BD72-E6E58CA8A9C7}">
      <text>
        <r>
          <rPr>
            <sz val="10"/>
            <color rgb="FF000000"/>
            <rFont val="Aptos Narrow"/>
            <scheme val="minor"/>
          </rPr>
          <t>======
ID#AAABjx7qOYQ
0322 Santiago    (2025-05-21 11:33:24)
收到銀行匯款US$1481 +
去年Tpole 多匯US$2000</t>
        </r>
      </text>
    </comment>
    <comment ref="H2792" authorId="0" shapeId="0" xr:uid="{19DD83AB-43C8-A247-93AA-E57773D83853}">
      <text>
        <r>
          <rPr>
            <sz val="10"/>
            <color rgb="FF000000"/>
            <rFont val="Aptos Narrow"/>
            <scheme val="minor"/>
          </rPr>
          <t>======
ID#AAABjx7qP2w
    (2025-05-21 11:33:24)
0403 Santiago : 收到支票</t>
        </r>
      </text>
    </comment>
    <comment ref="H2793" authorId="0" shapeId="0" xr:uid="{E98ED777-A746-1042-8185-45688EFA946F}">
      <text>
        <r>
          <rPr>
            <sz val="10"/>
            <color rgb="FF000000"/>
            <rFont val="Aptos Narrow"/>
            <scheme val="minor"/>
          </rPr>
          <t>======
ID#AAABjx7qQMI
    (2025-05-21 11:33:25)
0311 Santiago 收到客戶水單US$1359</t>
        </r>
      </text>
    </comment>
    <comment ref="M2793" authorId="0" shapeId="0" xr:uid="{621428CA-BDFE-E549-926B-ABE2CBB7EE3A}">
      <text>
        <r>
          <rPr>
            <sz val="10"/>
            <color rgb="FF000000"/>
            <rFont val="Aptos Narrow"/>
            <scheme val="minor"/>
          </rPr>
          <t>======
ID#AAABjx7qRQg
    (2025-05-21 11:33:25)
晚上</t>
        </r>
      </text>
    </comment>
    <comment ref="H2794" authorId="0" shapeId="0" xr:uid="{5F4EE34C-E26D-B446-90D0-8C596FF77C4A}">
      <text>
        <r>
          <rPr>
            <sz val="10"/>
            <color rgb="FF000000"/>
            <rFont val="Aptos Narrow"/>
            <scheme val="minor"/>
          </rPr>
          <t>======
ID#AAABjx7qPJU
    (2025-05-21 11:33:24)
0311 Santiago 收到客戶水單US$1359</t>
        </r>
      </text>
    </comment>
    <comment ref="Q2794" authorId="0" shapeId="0" xr:uid="{A247F0E7-D427-2D44-8FC8-93AD7797160D}">
      <text>
        <r>
          <rPr>
            <sz val="10"/>
            <color rgb="FF000000"/>
            <rFont val="Aptos Narrow"/>
            <scheme val="minor"/>
          </rPr>
          <t>======
ID#AAABjx7qQsQ
20160304 Santiago    (2025-05-21 11:33:25)
這筆DHL運費帳單已併PI-20160304C 帳單</t>
        </r>
      </text>
    </comment>
    <comment ref="H2795" authorId="0" shapeId="0" xr:uid="{44168268-EED0-C147-8476-9A3CE1AE9B5B}">
      <text>
        <r>
          <rPr>
            <sz val="10"/>
            <color rgb="FF000000"/>
            <rFont val="Aptos Narrow"/>
            <scheme val="minor"/>
          </rPr>
          <t>======
ID#AAABjx7qPSU
    (2025-05-21 11:33:24)
2016/03/08 Benson: receive notice from bank</t>
        </r>
      </text>
    </comment>
    <comment ref="H2796" authorId="0" shapeId="0" xr:uid="{FF89A55E-F16E-834E-9E6F-D5EED020882B}">
      <text>
        <r>
          <rPr>
            <sz val="10"/>
            <color rgb="FF000000"/>
            <rFont val="Aptos Narrow"/>
            <scheme val="minor"/>
          </rPr>
          <t>======
ID#AAABjx7qS5E
    (2025-05-21 11:33:26)
2016/03/08 Benson: receive notice from bank</t>
        </r>
      </text>
    </comment>
    <comment ref="H2797" authorId="0" shapeId="0" xr:uid="{DACE15A7-FD3F-454A-8EBA-A7BD4B292492}">
      <text>
        <r>
          <rPr>
            <sz val="10"/>
            <color rgb="FF000000"/>
            <rFont val="Aptos Narrow"/>
            <scheme val="minor"/>
          </rPr>
          <t>======
ID#AAABjx7qN4I
    (2025-05-21 11:33:23)
2/22 michelle: TCB銀行通知匯入共USD4779</t>
        </r>
      </text>
    </comment>
    <comment ref="P2797" authorId="0" shapeId="0" xr:uid="{07336CFA-BD3F-E44E-B9E6-09169EF5EC80}">
      <text>
        <r>
          <rPr>
            <sz val="10"/>
            <color rgb="FF000000"/>
            <rFont val="Aptos Narrow"/>
            <scheme val="minor"/>
          </rPr>
          <t>======
ID#AAABjx7qP0g
    (2025-05-21 11:33:24)
160203 扣抵金額(含稅)US$197.4元,應支付貨款(含稅)為US$3288.6元</t>
        </r>
      </text>
    </comment>
    <comment ref="H2798" authorId="0" shapeId="0" xr:uid="{E35FAEEB-C7D0-7243-86B2-F923AD2EA7B6}">
      <text>
        <r>
          <rPr>
            <sz val="10"/>
            <color rgb="FF000000"/>
            <rFont val="Aptos Narrow"/>
            <scheme val="minor"/>
          </rPr>
          <t>======
ID#AAABjx7qTCM
    (2025-05-21 11:33:26)
2/22 michelle: TCB銀行通知匯入共USD4779</t>
        </r>
      </text>
    </comment>
    <comment ref="P2798" authorId="0" shapeId="0" xr:uid="{6E4677B0-C68D-AB4D-87D2-657E0DB259EB}">
      <text>
        <r>
          <rPr>
            <sz val="10"/>
            <color rgb="FF000000"/>
            <rFont val="Aptos Narrow"/>
            <scheme val="minor"/>
          </rPr>
          <t>======
ID#AAABjx7qO0Y
    (2025-05-21 11:33:24)
160203 扣抵金額(含稅)US$68.04元,應支付貨款(含稅)為US$322.56元</t>
        </r>
      </text>
    </comment>
    <comment ref="H2799" authorId="0" shapeId="0" xr:uid="{96B4E754-1334-C848-A726-E8833905D7A0}">
      <text>
        <r>
          <rPr>
            <sz val="10"/>
            <color rgb="FF000000"/>
            <rFont val="Aptos Narrow"/>
            <scheme val="minor"/>
          </rPr>
          <t>======
ID#AAABjx7qU-A
0322 Santiago    (2025-05-21 11:33:27)
收到銀行匯款US$1481 +
去年Tpole 多匯US$2000</t>
        </r>
      </text>
    </comment>
    <comment ref="H2800" authorId="0" shapeId="0" xr:uid="{2A860E0C-78C4-1849-ADEE-B761289B1B5A}">
      <text>
        <r>
          <rPr>
            <sz val="10"/>
            <color rgb="FF000000"/>
            <rFont val="Aptos Narrow"/>
            <scheme val="minor"/>
          </rPr>
          <t>======
ID#AAABjx7qPN4
0322 Santiago    (2025-05-21 11:33:24)
收到銀行匯款US$1481 +
去年Tpole 多匯US$2000</t>
        </r>
      </text>
    </comment>
    <comment ref="H2801" authorId="0" shapeId="0" xr:uid="{ADA759D5-8258-A446-8561-3585B407792F}">
      <text>
        <r>
          <rPr>
            <sz val="10"/>
            <color rgb="FF000000"/>
            <rFont val="Aptos Narrow"/>
            <scheme val="minor"/>
          </rPr>
          <t>======
ID#AAABjx7qWUM
    (2025-05-21 11:33:27)
0403 Santiago : 收到支票</t>
        </r>
      </text>
    </comment>
    <comment ref="H2802" authorId="0" shapeId="0" xr:uid="{84F19218-0241-DE44-A12E-4191FD73FFB3}">
      <text>
        <r>
          <rPr>
            <sz val="10"/>
            <color rgb="FF000000"/>
            <rFont val="Aptos Narrow"/>
            <scheme val="minor"/>
          </rPr>
          <t>======
ID#AAABjx7qQHY
    (2025-05-21 11:33:25)
0403 Santiago : 收到支票</t>
        </r>
      </text>
    </comment>
    <comment ref="H2803" authorId="0" shapeId="0" xr:uid="{B23AA5F6-7A5D-5443-A705-9DCFE9504AC9}">
      <text>
        <r>
          <rPr>
            <sz val="10"/>
            <color rgb="FF000000"/>
            <rFont val="Aptos Narrow"/>
            <scheme val="minor"/>
          </rPr>
          <t>======
ID#AAABjx7qNCk
    (2025-05-21 11:33:23)
0323 Santiago: 收到客戶水單</t>
        </r>
      </text>
    </comment>
    <comment ref="H2804" authorId="0" shapeId="0" xr:uid="{E67658C8-1345-364B-891B-393FAE4EBE0D}">
      <text>
        <r>
          <rPr>
            <sz val="10"/>
            <color rgb="FF000000"/>
            <rFont val="Aptos Narrow"/>
            <scheme val="minor"/>
          </rPr>
          <t>======
ID#AAABjx7qM80
    (2025-05-21 11:33:23)
0323 Santiago: 收到客戶水單</t>
        </r>
      </text>
    </comment>
    <comment ref="H2805" authorId="0" shapeId="0" xr:uid="{99BAC5F8-8251-114F-B470-ED54B64DDBCB}">
      <text>
        <r>
          <rPr>
            <sz val="10"/>
            <color rgb="FF000000"/>
            <rFont val="Aptos Narrow"/>
            <scheme val="minor"/>
          </rPr>
          <t>======
ID#AAABjx7qSg4
    (2025-05-21 11:33:26)
0323 Santiago: 收到客戶水單</t>
        </r>
      </text>
    </comment>
    <comment ref="H2806" authorId="0" shapeId="0" xr:uid="{F0E8F4D2-42F6-EE4D-AF54-A6D03B2B3177}">
      <text>
        <r>
          <rPr>
            <sz val="10"/>
            <color rgb="FF000000"/>
            <rFont val="Aptos Narrow"/>
            <scheme val="minor"/>
          </rPr>
          <t>======
ID#AAABjx7qOTk
    (2025-05-21 11:33:24)
0323 Santiago: 收到客戶水單</t>
        </r>
      </text>
    </comment>
    <comment ref="H2807" authorId="0" shapeId="0" xr:uid="{3EC411CB-080F-1246-ACE5-ABDC9947475B}">
      <text>
        <r>
          <rPr>
            <sz val="10"/>
            <color rgb="FF000000"/>
            <rFont val="Aptos Narrow"/>
            <scheme val="minor"/>
          </rPr>
          <t>======
ID#AAABjx7qO9M
    (2025-05-21 11:33:24)
0323 Santiago: 收到客戶水單</t>
        </r>
      </text>
    </comment>
    <comment ref="H2808" authorId="0" shapeId="0" xr:uid="{031FA370-F00C-FD4F-8D99-91527C72FFEB}">
      <text>
        <r>
          <rPr>
            <sz val="10"/>
            <color rgb="FF000000"/>
            <rFont val="Aptos Narrow"/>
            <scheme val="minor"/>
          </rPr>
          <t>======
ID#AAABjx7qM_o
    (2025-05-21 11:33:23)
0323 Santiago: 收到客戶水單</t>
        </r>
      </text>
    </comment>
    <comment ref="H2809" authorId="0" shapeId="0" xr:uid="{43019AA1-6F1D-E944-9886-996430FAE16E}">
      <text>
        <r>
          <rPr>
            <sz val="10"/>
            <color rgb="FF000000"/>
            <rFont val="Aptos Narrow"/>
            <scheme val="minor"/>
          </rPr>
          <t>======
ID#AAABjx7qQKE
    (2025-05-21 11:33:25)
0323 Santiago: 收到客戶水單</t>
        </r>
      </text>
    </comment>
    <comment ref="E2810" authorId="0" shapeId="0" xr:uid="{56DA5061-501F-E040-B768-448FD81D1527}">
      <text>
        <r>
          <rPr>
            <sz val="10"/>
            <color rgb="FF000000"/>
            <rFont val="Aptos Narrow"/>
            <scheme val="minor"/>
          </rPr>
          <t>======
ID#AAABjx7qWAY
    (2025-05-21 11:33:27)
160215 Karen: w/o adapter</t>
        </r>
      </text>
    </comment>
    <comment ref="H2810" authorId="0" shapeId="0" xr:uid="{40B1C0A8-D964-3546-A2AB-BECECF05E6A8}">
      <text>
        <r>
          <rPr>
            <sz val="10"/>
            <color rgb="FF000000"/>
            <rFont val="Aptos Narrow"/>
            <scheme val="minor"/>
          </rPr>
          <t>======
ID#AAABjx7qODU
    (2025-05-21 11:33:24)
2/22 michelle: TCB銀行通知匯入共USD4779</t>
        </r>
      </text>
    </comment>
    <comment ref="E2811" authorId="0" shapeId="0" xr:uid="{4B5C1BA3-1123-0E42-90A9-7BAB06FA5360}">
      <text>
        <r>
          <rPr>
            <sz val="10"/>
            <color rgb="FF000000"/>
            <rFont val="Aptos Narrow"/>
            <scheme val="minor"/>
          </rPr>
          <t>======
ID#AAABjx7qPI8
    (2025-05-21 11:33:24)
3/16 Michelle:Demand3008 8" 這次樣品可以勉強接受2 Pin. 
但未來出貨一定要用3 pin 鳯凰接頭</t>
        </r>
      </text>
    </comment>
    <comment ref="H2811" authorId="0" shapeId="0" xr:uid="{3B0E8BFE-2707-4640-8BAE-D8C1676D5712}">
      <text>
        <r>
          <rPr>
            <sz val="10"/>
            <color rgb="FF000000"/>
            <rFont val="Aptos Narrow"/>
            <scheme val="minor"/>
          </rPr>
          <t>======
ID#AAABjx7qPds
    (2025-05-21 11:33:24)
0413 Santiago: 收到銀行通知</t>
        </r>
      </text>
    </comment>
    <comment ref="H2812" authorId="0" shapeId="0" xr:uid="{F9629392-E4FA-134A-AA80-DADB94CE8C44}">
      <text>
        <r>
          <rPr>
            <sz val="10"/>
            <color rgb="FF000000"/>
            <rFont val="Aptos Narrow"/>
            <scheme val="minor"/>
          </rPr>
          <t>======
ID#AAABjx7qRUc
    (2025-05-21 11:33:25)
20160401 Benson: 收到銀行通知</t>
        </r>
      </text>
    </comment>
    <comment ref="H2813" authorId="0" shapeId="0" xr:uid="{B49FBC76-2501-A544-9486-43117D22D0CA}">
      <text>
        <r>
          <rPr>
            <sz val="10"/>
            <color rgb="FF000000"/>
            <rFont val="Aptos Narrow"/>
            <scheme val="minor"/>
          </rPr>
          <t>======
ID#AAABjx7qO4o
    (2025-05-21 11:33:24)
0520 Santiago: 收到銀行通知</t>
        </r>
      </text>
    </comment>
    <comment ref="H2814" authorId="0" shapeId="0" xr:uid="{E99D4620-7D43-264D-B8E3-35E4DA07E512}">
      <text>
        <r>
          <rPr>
            <sz val="10"/>
            <color rgb="FF000000"/>
            <rFont val="Aptos Narrow"/>
            <scheme val="minor"/>
          </rPr>
          <t>======
ID#AAABjx7qSJM
    (2025-05-21 11:33:26)
0413 Santiago 收到銀行通知</t>
        </r>
      </text>
    </comment>
    <comment ref="AB2814" authorId="0" shapeId="0" xr:uid="{A4E21B99-8E8B-0E4D-B5DA-113D29DB6DBE}">
      <text>
        <r>
          <rPr>
            <sz val="10"/>
            <color rgb="FF000000"/>
            <rFont val="Aptos Narrow"/>
            <scheme val="minor"/>
          </rPr>
          <t>======
ID#AAABjx7qOk8
    (2025-05-21 11:33:24)
發票等資料已在CHLOE那</t>
        </r>
      </text>
    </comment>
    <comment ref="H2815" authorId="0" shapeId="0" xr:uid="{11211301-C1A5-1542-AA25-2490C02DD97D}">
      <text>
        <r>
          <rPr>
            <sz val="10"/>
            <color rgb="FF000000"/>
            <rFont val="Aptos Narrow"/>
            <scheme val="minor"/>
          </rPr>
          <t>======
ID#AAABjx7qSVQ
    (2025-05-21 11:33:26)
0413 Santiago 收到銀行通知</t>
        </r>
      </text>
    </comment>
    <comment ref="AB2815" authorId="0" shapeId="0" xr:uid="{71C21A1E-DC0E-6940-8A93-99CC64CA691A}">
      <text>
        <r>
          <rPr>
            <sz val="10"/>
            <color rgb="FF000000"/>
            <rFont val="Aptos Narrow"/>
            <scheme val="minor"/>
          </rPr>
          <t>======
ID#AAABjx7qOtI
    (2025-05-21 11:33:24)
發票等資料已在CHLOE那</t>
        </r>
      </text>
    </comment>
    <comment ref="H2816" authorId="0" shapeId="0" xr:uid="{6C5F31E8-89A9-3342-8AD3-28E6C5E9F6E4}">
      <text>
        <r>
          <rPr>
            <sz val="10"/>
            <color rgb="FF000000"/>
            <rFont val="Aptos Narrow"/>
            <scheme val="minor"/>
          </rPr>
          <t>======
ID#AAABjx7qTPE
    (2025-05-21 11:33:26)
0413 Santiago 收到銀行通知</t>
        </r>
      </text>
    </comment>
    <comment ref="AB2816" authorId="0" shapeId="0" xr:uid="{1A0784E4-3B8D-AE49-8107-33F80718C950}">
      <text>
        <r>
          <rPr>
            <sz val="10"/>
            <color rgb="FF000000"/>
            <rFont val="Aptos Narrow"/>
            <scheme val="minor"/>
          </rPr>
          <t>======
ID#AAABjx7qNPc
    (2025-05-21 11:33:23)
發票等資料已在CHLOE那</t>
        </r>
      </text>
    </comment>
    <comment ref="H2817" authorId="0" shapeId="0" xr:uid="{F09BA049-8C43-EB4A-9686-70E523930CF1}">
      <text>
        <r>
          <rPr>
            <sz val="10"/>
            <color rgb="FF000000"/>
            <rFont val="Aptos Narrow"/>
            <scheme val="minor"/>
          </rPr>
          <t>======
ID#AAABjx7qQY8
    (2025-05-21 11:33:25)
0407 Santiago: 收到銀行通知</t>
        </r>
      </text>
    </comment>
    <comment ref="H2818" authorId="0" shapeId="0" xr:uid="{C6A05E42-2C11-5747-9115-8CFCADA97A64}">
      <text>
        <r>
          <rPr>
            <sz val="10"/>
            <color rgb="FF000000"/>
            <rFont val="Aptos Narrow"/>
            <scheme val="minor"/>
          </rPr>
          <t>======
ID#AAABjx7qV2I
    (2025-05-21 11:33:27)
0407 Santiago: 收到銀行通知</t>
        </r>
      </text>
    </comment>
    <comment ref="H2819" authorId="0" shapeId="0" xr:uid="{9992BA9D-1FA1-5F40-96BF-4FBE0DCB3CB2}">
      <text>
        <r>
          <rPr>
            <sz val="10"/>
            <color rgb="FF000000"/>
            <rFont val="Aptos Narrow"/>
            <scheme val="minor"/>
          </rPr>
          <t>======
ID#AAABjx7qVWw
    (2025-05-21 11:33:27)
0407 Santiago: 收到銀行通知</t>
        </r>
      </text>
    </comment>
    <comment ref="H2820" authorId="0" shapeId="0" xr:uid="{0E239E94-06A2-914E-A3DD-CAF44EB04157}">
      <text>
        <r>
          <rPr>
            <sz val="10"/>
            <color rgb="FF000000"/>
            <rFont val="Aptos Narrow"/>
            <scheme val="minor"/>
          </rPr>
          <t>======
ID#AAABjx7qWQo
    (2025-05-21 11:33:27)
0311 Santiago 收到客戶水單US$1359</t>
        </r>
      </text>
    </comment>
    <comment ref="M2820" authorId="0" shapeId="0" xr:uid="{20277033-669D-9B48-9DCA-B2F783F5BCF2}">
      <text>
        <r>
          <rPr>
            <sz val="10"/>
            <color rgb="FF000000"/>
            <rFont val="Aptos Narrow"/>
            <scheme val="minor"/>
          </rPr>
          <t>======
ID#AAABjx7qOws
    (2025-05-21 11:33:24)
中午</t>
        </r>
      </text>
    </comment>
    <comment ref="H2821" authorId="0" shapeId="0" xr:uid="{89BDFF98-47EF-ED46-9634-0959C8C9BF6C}">
      <text>
        <r>
          <rPr>
            <sz val="10"/>
            <color rgb="FF000000"/>
            <rFont val="Aptos Narrow"/>
            <scheme val="minor"/>
          </rPr>
          <t>======
ID#AAABjx7qSDs
    (2025-05-21 11:33:25)
0311 Santiago 收到客戶水單US$1359</t>
        </r>
      </text>
    </comment>
    <comment ref="H2822" authorId="0" shapeId="0" xr:uid="{C31B15C7-7BB7-D044-BC88-7E3264AC5CFC}">
      <text>
        <r>
          <rPr>
            <sz val="10"/>
            <color rgb="FF000000"/>
            <rFont val="Aptos Narrow"/>
            <scheme val="minor"/>
          </rPr>
          <t>======
ID#AAABjx7qOu0
    (2025-05-21 11:33:24)
0311 Santiago 收到客戶水單US$1359</t>
        </r>
      </text>
    </comment>
    <comment ref="H2823" authorId="0" shapeId="0" xr:uid="{D23DEDE7-A1E9-ED4F-BB3F-63CC1A01663B}">
      <text>
        <r>
          <rPr>
            <sz val="10"/>
            <color rgb="FF000000"/>
            <rFont val="Aptos Narrow"/>
            <scheme val="minor"/>
          </rPr>
          <t>======
ID#AAABjx7qRMM
    (2025-05-21 11:33:25)
0311 Santiago 收到客戶水單US$1359</t>
        </r>
      </text>
    </comment>
    <comment ref="H2824" authorId="0" shapeId="0" xr:uid="{DF27360D-FCA9-014C-84EC-5D699D27F8AF}">
      <text>
        <r>
          <rPr>
            <sz val="10"/>
            <color rgb="FF000000"/>
            <rFont val="Aptos Narrow"/>
            <scheme val="minor"/>
          </rPr>
          <t>======
ID#AAABjx7qQZc
    (2025-05-21 11:33:25)
0407 Santiago: 收到銀行通知</t>
        </r>
      </text>
    </comment>
    <comment ref="H2825" authorId="0" shapeId="0" xr:uid="{6C7667ED-D923-6D46-8DD5-2A13C7B9AD9E}">
      <text>
        <r>
          <rPr>
            <sz val="10"/>
            <color rgb="FF000000"/>
            <rFont val="Aptos Narrow"/>
            <scheme val="minor"/>
          </rPr>
          <t>======
ID#AAABjx7qRqU
    (2025-05-21 11:33:25)
0407 Santiago: 收到銀行通知</t>
        </r>
      </text>
    </comment>
    <comment ref="H2826" authorId="0" shapeId="0" xr:uid="{729FB0FC-3310-CE43-B0F5-0F04CB4BC9EA}">
      <text>
        <r>
          <rPr>
            <sz val="10"/>
            <color rgb="FF000000"/>
            <rFont val="Aptos Narrow"/>
            <scheme val="minor"/>
          </rPr>
          <t>======
ID#AAABjx7qOZI
    (2025-05-21 11:33:24)
0407 Santiago: 收到銀行通知</t>
        </r>
      </text>
    </comment>
    <comment ref="H2827" authorId="0" shapeId="0" xr:uid="{2870FE64-3167-0F41-BC20-5FBDF36932BE}">
      <text>
        <r>
          <rPr>
            <sz val="10"/>
            <color rgb="FF000000"/>
            <rFont val="Aptos Narrow"/>
            <scheme val="minor"/>
          </rPr>
          <t>======
ID#AAABjx7qRyw
    (2025-05-21 11:33:25)
0407 Santiago: 收到銀行通知</t>
        </r>
      </text>
    </comment>
    <comment ref="H2828" authorId="0" shapeId="0" xr:uid="{6CF0AECE-609D-1544-B8DE-3971D76B4EBE}">
      <text>
        <r>
          <rPr>
            <sz val="10"/>
            <color rgb="FF000000"/>
            <rFont val="Aptos Narrow"/>
            <scheme val="minor"/>
          </rPr>
          <t>======
ID#AAABjx7qSpA
    (2025-05-21 11:33:26)
0429 Santiago: 收到銀行通知</t>
        </r>
      </text>
    </comment>
    <comment ref="H2829" authorId="0" shapeId="0" xr:uid="{782B6066-628E-C745-89D2-71F2971BA0B3}">
      <text>
        <r>
          <rPr>
            <sz val="10"/>
            <color rgb="FF000000"/>
            <rFont val="Aptos Narrow"/>
            <scheme val="minor"/>
          </rPr>
          <t>======
ID#AAABjx7qP74
0322 Santiago    (2025-05-21 11:33:24)
收到銀行匯款US$1481 +
去年Tpole 多匯US$2000</t>
        </r>
      </text>
    </comment>
    <comment ref="H2830" authorId="0" shapeId="0" xr:uid="{99AE5757-4B82-E742-AE8D-00277940A4CF}">
      <text>
        <r>
          <rPr>
            <sz val="10"/>
            <color rgb="FF000000"/>
            <rFont val="Aptos Narrow"/>
            <scheme val="minor"/>
          </rPr>
          <t>======
ID#AAABjx7qSyQ
    (2025-05-21 11:33:26)
0503 Santiago :收到客戶支票</t>
        </r>
      </text>
    </comment>
    <comment ref="AB2830" authorId="0" shapeId="0" xr:uid="{79BFFBBE-29A5-E349-8FFA-D11D3F0A5721}">
      <text>
        <r>
          <rPr>
            <sz val="10"/>
            <color rgb="FF000000"/>
            <rFont val="Aptos Narrow"/>
            <scheme val="minor"/>
          </rPr>
          <t>======
ID#AAABjx7qTOY
    (2025-05-21 11:33:26)
160224 Karen: 會安排２／２５交亞郁，戎克的發票日期請開２／２６，掛３月份的帳。</t>
        </r>
      </text>
    </comment>
    <comment ref="H2831" authorId="0" shapeId="0" xr:uid="{8CFB37EE-BF8F-9E4B-A74A-09333A504934}">
      <text>
        <r>
          <rPr>
            <sz val="10"/>
            <color rgb="FF000000"/>
            <rFont val="Aptos Narrow"/>
            <scheme val="minor"/>
          </rPr>
          <t>======
ID#AAABjx7qVxY
    (2025-05-21 11:33:27)
0503 Santiago :收到客戶支票</t>
        </r>
      </text>
    </comment>
    <comment ref="AB2831" authorId="0" shapeId="0" xr:uid="{BEFF7198-A120-0041-8628-33D1C549D7DD}">
      <text>
        <r>
          <rPr>
            <sz val="10"/>
            <color rgb="FF000000"/>
            <rFont val="Aptos Narrow"/>
            <scheme val="minor"/>
          </rPr>
          <t>======
ID#AAABjx7qOCk
    (2025-05-21 11:33:24)
160224 Karen: 會安排２／２５交亞郁，戎克的發票日期請開２／２６，掛３月份的帳。</t>
        </r>
      </text>
    </comment>
    <comment ref="G2832" authorId="0" shapeId="0" xr:uid="{20279769-FD6F-3E4B-8A80-7DAF1A80CE27}">
      <text>
        <r>
          <rPr>
            <sz val="10"/>
            <color rgb="FF000000"/>
            <rFont val="Aptos Narrow"/>
            <scheme val="minor"/>
          </rPr>
          <t>======
ID#AAABjx7qTdY
    (2025-05-21 11:33:26)
w/5%VAT</t>
        </r>
      </text>
    </comment>
    <comment ref="H2832" authorId="0" shapeId="0" xr:uid="{40BAACD6-7690-4B40-ABF9-6FA4C53B9D24}">
      <text>
        <r>
          <rPr>
            <sz val="10"/>
            <color rgb="FF000000"/>
            <rFont val="Aptos Narrow"/>
            <scheme val="minor"/>
          </rPr>
          <t>======
ID#AAABjx7qTGk
    (2025-05-21 11:33:26)
0425 Santiago: 匯入US$2217</t>
        </r>
      </text>
    </comment>
    <comment ref="P2832" authorId="0" shapeId="0" xr:uid="{F4353D00-6E3D-2F44-9A77-4EAF87F895D5}">
      <text>
        <r>
          <rPr>
            <sz val="10"/>
            <color rgb="FF000000"/>
            <rFont val="Aptos Narrow"/>
            <scheme val="minor"/>
          </rPr>
          <t>======
ID#AAABjx7qTa0
    (2025-05-21 11:33:26)
160225 扣抵金額(含稅)US$110.25元,應支付貨款(含稅)為US$1905.75元</t>
        </r>
      </text>
    </comment>
    <comment ref="H2833" authorId="0" shapeId="0" xr:uid="{18597D8A-E900-A348-B613-E4A169F7A698}">
      <text>
        <r>
          <rPr>
            <sz val="10"/>
            <color rgb="FF000000"/>
            <rFont val="Aptos Narrow"/>
            <scheme val="minor"/>
          </rPr>
          <t>======
ID#AAABjx7qPHo
    (2025-05-21 11:33:24)
0322 Santiago: 收到銀行通知US$903.5</t>
        </r>
      </text>
    </comment>
    <comment ref="H2834" authorId="0" shapeId="0" xr:uid="{C105681E-28C3-ED49-B52D-6E107DFDE936}">
      <text>
        <r>
          <rPr>
            <sz val="10"/>
            <color rgb="FF000000"/>
            <rFont val="Aptos Narrow"/>
            <scheme val="minor"/>
          </rPr>
          <t>======
ID#AAABjx7qSvs
    (2025-05-21 11:33:26)
0322 Santiago: 收到銀行通知US$903.5</t>
        </r>
      </text>
    </comment>
    <comment ref="H2835" authorId="0" shapeId="0" xr:uid="{33B08DB0-282F-104B-98B2-1489FF77B3A1}">
      <text>
        <r>
          <rPr>
            <sz val="10"/>
            <color rgb="FF000000"/>
            <rFont val="Aptos Narrow"/>
            <scheme val="minor"/>
          </rPr>
          <t>======
ID#AAABjx7qNBg
    (2025-05-21 11:33:23)
0322 Santiago: 收到銀行通知US$903.5</t>
        </r>
      </text>
    </comment>
    <comment ref="H2836" authorId="0" shapeId="0" xr:uid="{7DC9A7E7-23AE-1747-9E5E-4FE5D44C984A}">
      <text>
        <r>
          <rPr>
            <sz val="10"/>
            <color rgb="FF000000"/>
            <rFont val="Aptos Narrow"/>
            <scheme val="minor"/>
          </rPr>
          <t>======
ID#AAABjx7qOrg
    (2025-05-21 11:33:24)
0520 Santiago: 收到銀行通知</t>
        </r>
      </text>
    </comment>
    <comment ref="H2837" authorId="0" shapeId="0" xr:uid="{3380FDBA-9E0D-024A-B5AA-FE8F27A9F1E5}">
      <text>
        <r>
          <rPr>
            <sz val="10"/>
            <color rgb="FF000000"/>
            <rFont val="Aptos Narrow"/>
            <scheme val="minor"/>
          </rPr>
          <t>======
ID#AAABjx7qNEU
    (2025-05-21 11:33:23)
0520 Santiago: 收到銀行通知</t>
        </r>
      </text>
    </comment>
    <comment ref="H2838" authorId="0" shapeId="0" xr:uid="{1E62A42B-B7DC-D34B-86C6-AF66DDD9320E}">
      <text>
        <r>
          <rPr>
            <sz val="10"/>
            <color rgb="FF000000"/>
            <rFont val="Aptos Narrow"/>
            <scheme val="minor"/>
          </rPr>
          <t>======
ID#AAABjx7qQFc
    (2025-05-21 11:33:25)
0520 Santiago: 收到銀行通知</t>
        </r>
      </text>
    </comment>
    <comment ref="H2839" authorId="0" shapeId="0" xr:uid="{318D3995-1617-794E-A895-87E0797D68D7}">
      <text>
        <r>
          <rPr>
            <sz val="10"/>
            <color rgb="FF000000"/>
            <rFont val="Aptos Narrow"/>
            <scheme val="minor"/>
          </rPr>
          <t>======
ID#AAABjx7qR80
    (2025-05-21 11:33:25)
0520 Santiago: 收到銀行通知</t>
        </r>
      </text>
    </comment>
    <comment ref="H2840" authorId="0" shapeId="0" xr:uid="{F43FD17B-FB26-8A44-A9C9-1C623F1E3A12}">
      <text>
        <r>
          <rPr>
            <sz val="10"/>
            <color rgb="FF000000"/>
            <rFont val="Aptos Narrow"/>
            <scheme val="minor"/>
          </rPr>
          <t>======
ID#AAABjx7qWH0
    (2025-05-21 11:33:27)
0520 Santiago: 收到銀行通知</t>
        </r>
      </text>
    </comment>
    <comment ref="AB2840" authorId="0" shapeId="0" xr:uid="{1B5E7143-D6C4-104E-8E1A-8B7B47F2DA0C}">
      <text>
        <r>
          <rPr>
            <sz val="10"/>
            <color rgb="FF000000"/>
            <rFont val="Aptos Narrow"/>
            <scheme val="minor"/>
          </rPr>
          <t>======
ID#AAABjx7qNC0
    (2025-05-21 11:33:23)
7155820221</t>
        </r>
      </text>
    </comment>
    <comment ref="A2841" authorId="0" shapeId="0" xr:uid="{84D765D3-17CB-954C-8B1D-AD1996D6B323}">
      <text>
        <r>
          <rPr>
            <sz val="10"/>
            <color rgb="FF000000"/>
            <rFont val="Aptos Narrow"/>
            <scheme val="minor"/>
          </rPr>
          <t>======
ID#AAABjx7qSfw
    (2025-05-21 11:33:26)
0302 Santiago: 原本1/26 下單30pcs 以備庫存. 今天收到東托通知要下100pcs, 故PI分成
0126 及 0126-1</t>
        </r>
      </text>
    </comment>
    <comment ref="D2841" authorId="0" shapeId="0" xr:uid="{212BAC3F-6BE1-E04B-A5A2-3F2ADDC0753A}">
      <text>
        <r>
          <rPr>
            <sz val="10"/>
            <color rgb="FF000000"/>
            <rFont val="Aptos Narrow"/>
            <scheme val="minor"/>
          </rPr>
          <t>======
ID#AAABjx7qNRA
    (2025-05-21 11:33:23)
0302 Santiago: 原本1/26 下單30pcs 以備庫存. 今天收到東托通知要下100pcs, 故PI分成
0126 及 0126-1</t>
        </r>
      </text>
    </comment>
    <comment ref="E2841" authorId="0" shapeId="0" xr:uid="{834DC438-75D2-4F45-AC71-0DCADA994A21}">
      <text>
        <r>
          <rPr>
            <sz val="10"/>
            <color rgb="FF000000"/>
            <rFont val="Aptos Narrow"/>
            <scheme val="minor"/>
          </rPr>
          <t>======
ID#AAABjx7qOq8
    (2025-05-21 11:33:24)
160203 EU Band w/ Cn Adapter</t>
        </r>
      </text>
    </comment>
    <comment ref="H2841" authorId="0" shapeId="0" xr:uid="{C2ED7D5C-1818-924B-892C-2F66359CAF96}">
      <text>
        <r>
          <rPr>
            <sz val="10"/>
            <color rgb="FF000000"/>
            <rFont val="Aptos Narrow"/>
            <scheme val="minor"/>
          </rPr>
          <t>======
ID#AAABjx7qSDc
    (2025-05-21 11:33:25)
0321 Santiago: 收到US$9190 頭款
0415 Santiago: 收到US$9190 尾款</t>
        </r>
      </text>
    </comment>
    <comment ref="K2841" authorId="0" shapeId="0" xr:uid="{3F29C59C-BFDB-624F-AC34-C94521CD396B}">
      <text>
        <r>
          <rPr>
            <sz val="10"/>
            <color rgb="FF000000"/>
            <rFont val="Aptos Narrow"/>
            <scheme val="minor"/>
          </rPr>
          <t>======
ID#AAABjx7qP4w
    (2025-05-21 11:33:24)
預計3月底</t>
        </r>
      </text>
    </comment>
    <comment ref="P2841" authorId="0" shapeId="0" xr:uid="{C1FD889C-F6C1-CB4C-9B10-80AA0E10AB56}">
      <text>
        <r>
          <rPr>
            <sz val="10"/>
            <color rgb="FF000000"/>
            <rFont val="Aptos Narrow"/>
            <scheme val="minor"/>
          </rPr>
          <t>======
ID#AAABjx7qVTI
    (2025-05-21 11:33:27)
151130 扣抵金額(含稅)US$299.25,應支付貨款(含稅)為US$5229元</t>
        </r>
      </text>
    </comment>
    <comment ref="AG2841" authorId="0" shapeId="0" xr:uid="{B4CC869D-2D8C-404E-8159-9E1503F6C9CB}">
      <text>
        <r>
          <rPr>
            <sz val="10"/>
            <color rgb="FF000000"/>
            <rFont val="Aptos Narrow"/>
            <scheme val="minor"/>
          </rPr>
          <t>======
ID#AAABjx7qSyo
    (2025-05-21 11:33:26)
0415一半貨款共US$9157.8
 0321一半貨款共US$9157.8</t>
        </r>
      </text>
    </comment>
    <comment ref="D2842" authorId="0" shapeId="0" xr:uid="{15647224-D145-CE47-8277-A9CDA455209B}">
      <text>
        <r>
          <rPr>
            <sz val="10"/>
            <color rgb="FF000000"/>
            <rFont val="Aptos Narrow"/>
            <scheme val="minor"/>
          </rPr>
          <t>======
ID#AAABjx7qSy4
    (2025-05-21 11:33:26)
0302 Santiago: 原本1/26 下單30pcs 以備庫存. 今天收到東托通知要下100pcs, 故PI分成
0126 及 0126-1</t>
        </r>
      </text>
    </comment>
    <comment ref="H2842" authorId="0" shapeId="0" xr:uid="{5CCFB954-A4C0-9B4E-B101-C0F58B968335}">
      <text>
        <r>
          <rPr>
            <sz val="10"/>
            <color rgb="FF000000"/>
            <rFont val="Aptos Narrow"/>
            <scheme val="minor"/>
          </rPr>
          <t>======
ID#AAABjx7qPIY
    (2025-05-21 11:33:24)
0321 Santiago: 收到US$9190 頭款
0415 Santiago: 收到US$9190 尾款</t>
        </r>
      </text>
    </comment>
    <comment ref="K2842" authorId="0" shapeId="0" xr:uid="{9C763039-DA3D-474E-B4F4-4CBC076AF0FA}">
      <text>
        <r>
          <rPr>
            <sz val="10"/>
            <color rgb="FF000000"/>
            <rFont val="Aptos Narrow"/>
            <scheme val="minor"/>
          </rPr>
          <t>======
ID#AAABjx7qWD4
    (2025-05-21 11:33:27)
預計3月底</t>
        </r>
      </text>
    </comment>
    <comment ref="P2842" authorId="0" shapeId="0" xr:uid="{43CE0F70-F5C6-6244-A2AF-DB14EE1E536E}">
      <text>
        <r>
          <rPr>
            <sz val="10"/>
            <color rgb="FF000000"/>
            <rFont val="Aptos Narrow"/>
            <scheme val="minor"/>
          </rPr>
          <t>======
ID#AAABjx7qN6U
    (2025-05-21 11:33:23)
160304 扣抵金額(含稅)US$698.25,應支付貨款(含稅)為US$12201元</t>
        </r>
      </text>
    </comment>
    <comment ref="AG2842" authorId="0" shapeId="0" xr:uid="{D69890FC-6BC0-A540-9B07-91848EFBD713}">
      <text>
        <r>
          <rPr>
            <sz val="10"/>
            <color rgb="FF000000"/>
            <rFont val="Aptos Narrow"/>
            <scheme val="minor"/>
          </rPr>
          <t>======
ID#AAABjx7qOFw
    (2025-05-21 11:33:24)
0415一半貨款共US$9157.8
 0321一半貨款共US$9157.8</t>
        </r>
      </text>
    </comment>
    <comment ref="H2843" authorId="0" shapeId="0" xr:uid="{A440A47A-3DE5-864E-B5E5-30FC3092F832}">
      <text>
        <r>
          <rPr>
            <sz val="10"/>
            <color rgb="FF000000"/>
            <rFont val="Aptos Narrow"/>
            <scheme val="minor"/>
          </rPr>
          <t>======
ID#AAABjx7qO8M
    (2025-05-21 11:33:24)
0407 Santiago: 3/21 已收到貨款</t>
        </r>
      </text>
    </comment>
    <comment ref="P2843" authorId="0" shapeId="0" xr:uid="{77F10D49-B958-1F43-8645-C623FAC8C40F}">
      <text>
        <r>
          <rPr>
            <sz val="10"/>
            <color rgb="FF000000"/>
            <rFont val="Aptos Narrow"/>
            <scheme val="minor"/>
          </rPr>
          <t>======
ID#AAABjx7qO7s
    (2025-05-21 11:33:24)
160304 扣抵金額(含稅)US$399元,應支付貨款(含稅)為US$7728元
0605 chloe ：此貨款已付?</t>
        </r>
      </text>
    </comment>
    <comment ref="D2844" authorId="0" shapeId="0" xr:uid="{89626120-B57A-D647-930D-66401766DD01}">
      <text>
        <r>
          <rPr>
            <sz val="10"/>
            <color rgb="FF000000"/>
            <rFont val="Aptos Narrow"/>
            <scheme val="minor"/>
          </rPr>
          <t>======
ID#AAABjx7qNoE
    (2025-05-21 11:33:23)
0304 Santiago: 庫存備用</t>
        </r>
      </text>
    </comment>
    <comment ref="E2844" authorId="0" shapeId="0" xr:uid="{8FD9E28F-35B4-2F44-9DCB-2C204521E05B}">
      <text>
        <r>
          <rPr>
            <sz val="10"/>
            <color rgb="FF000000"/>
            <rFont val="Aptos Narrow"/>
            <scheme val="minor"/>
          </rPr>
          <t>======
ID#AAABjx7qPCY
    (2025-05-21 11:33:24)
EU Band w/ Cn Adapter</t>
        </r>
      </text>
    </comment>
    <comment ref="H2844" authorId="0" shapeId="0" xr:uid="{07AB51D0-ECC8-D547-974A-F739600229FB}">
      <text>
        <r>
          <rPr>
            <sz val="10"/>
            <color rgb="FF000000"/>
            <rFont val="Aptos Narrow"/>
            <scheme val="minor"/>
          </rPr>
          <t>======
ID#AAABjx7qWDE
    (2025-05-21 11:33:27)
0428 Santiago: 收到銀行通知入帳一半貨款共US$22639
0415 Santiago: 收到銀行通知入帳一半貨款共US$22639</t>
        </r>
      </text>
    </comment>
    <comment ref="P2844" authorId="0" shapeId="0" xr:uid="{840D7023-AE48-8C44-877E-02F625A3F88D}">
      <text>
        <r>
          <rPr>
            <sz val="10"/>
            <color rgb="FF000000"/>
            <rFont val="Aptos Narrow"/>
            <scheme val="minor"/>
          </rPr>
          <t>======
ID#AAABjx7qTII
    (2025-05-21 11:33:26)
160304 扣抵金額(含稅)US$997.5,應支付貨款(含稅)為US$17430元</t>
        </r>
      </text>
    </comment>
    <comment ref="AG2844" authorId="0" shapeId="0" xr:uid="{BF51B1C7-17E7-D54F-94DC-6CE7ED841707}">
      <text>
        <r>
          <rPr>
            <sz val="10"/>
            <color rgb="FF000000"/>
            <rFont val="Aptos Narrow"/>
            <scheme val="minor"/>
          </rPr>
          <t>======
ID#AAABjx7qQxo
    (2025-05-21 11:33:25)
0428一半貨款共US$22632.81
0415一半貨款共22632.81</t>
        </r>
      </text>
    </comment>
    <comment ref="H2845" authorId="0" shapeId="0" xr:uid="{A5EB5103-4C9C-084B-88E3-F84B93D12D9F}">
      <text>
        <r>
          <rPr>
            <sz val="10"/>
            <color rgb="FF000000"/>
            <rFont val="Aptos Narrow"/>
            <scheme val="minor"/>
          </rPr>
          <t>======
ID#AAABjx7qUvw
    (2025-05-21 11:33:26)
0407 Santiago: 收到銀行通知</t>
        </r>
      </text>
    </comment>
    <comment ref="H2846" authorId="0" shapeId="0" xr:uid="{22B721BA-FEFD-B04D-ACFA-96547033B233}">
      <text>
        <r>
          <rPr>
            <sz val="10"/>
            <color rgb="FF000000"/>
            <rFont val="Aptos Narrow"/>
            <scheme val="minor"/>
          </rPr>
          <t>======
ID#AAABjx7qQ_U
    (2025-05-21 11:33:25)
0407 Santiago: 收到銀行通知</t>
        </r>
      </text>
    </comment>
    <comment ref="H2847" authorId="0" shapeId="0" xr:uid="{AA0C340F-B85C-9D42-BC61-96CAEEFFC462}">
      <text>
        <r>
          <rPr>
            <sz val="10"/>
            <color rgb="FF000000"/>
            <rFont val="Aptos Narrow"/>
            <scheme val="minor"/>
          </rPr>
          <t>======
ID#AAABjx7qV_0
    (2025-05-21 11:33:27)
0407 Santiago: 收到銀行通知</t>
        </r>
      </text>
    </comment>
    <comment ref="H2848" authorId="0" shapeId="0" xr:uid="{447B214A-A5E9-B240-BDF3-390454687252}">
      <text>
        <r>
          <rPr>
            <sz val="10"/>
            <color rgb="FF000000"/>
            <rFont val="Aptos Narrow"/>
            <scheme val="minor"/>
          </rPr>
          <t>======
ID#AAABjx7qVtg
    (2025-05-21 11:33:27)
20160401 Benson: 收到銀行通知</t>
        </r>
      </text>
    </comment>
    <comment ref="H2849" authorId="0" shapeId="0" xr:uid="{2C27DF13-8697-E448-8177-788B66D10AE4}">
      <text>
        <r>
          <rPr>
            <sz val="10"/>
            <color rgb="FF000000"/>
            <rFont val="Aptos Narrow"/>
            <scheme val="minor"/>
          </rPr>
          <t>======
ID#AAABjx7qWF0
    (2025-05-21 11:33:27)
Santiago 0524 : 送客戶</t>
        </r>
      </text>
    </comment>
    <comment ref="H2850" authorId="0" shapeId="0" xr:uid="{6D9A90CA-0463-CB45-B2EA-532C3B5A09C9}">
      <text>
        <r>
          <rPr>
            <sz val="10"/>
            <color rgb="FF000000"/>
            <rFont val="Aptos Narrow"/>
            <scheme val="minor"/>
          </rPr>
          <t>======
ID#AAABjx7qQl4
    (2025-05-21 11:33:25)
0407 Santiago: 收到銀行通知</t>
        </r>
      </text>
    </comment>
    <comment ref="AB2850" authorId="0" shapeId="0" xr:uid="{07A595C3-B39B-884D-973E-F78BB4757EA0}">
      <text>
        <r>
          <rPr>
            <sz val="10"/>
            <color rgb="FF000000"/>
            <rFont val="Aptos Narrow"/>
            <scheme val="minor"/>
          </rPr>
          <t>======
ID#AAABjx7qOSE
    (2025-05-21 11:33:24)
5111068395</t>
        </r>
      </text>
    </comment>
    <comment ref="D2851" authorId="0" shapeId="0" xr:uid="{2EA00732-010B-BF4F-B65B-3C8BF35B6F7E}">
      <text>
        <r>
          <rPr>
            <sz val="10"/>
            <color rgb="FF000000"/>
            <rFont val="Aptos Narrow"/>
            <scheme val="minor"/>
          </rPr>
          <t>======
ID#AAABjx7qVk4
    (2025-05-21 11:33:27)
0311 Santiago: 3/8 客戶寄EMS 直接到MOXA</t>
        </r>
      </text>
    </comment>
    <comment ref="D2852" authorId="0" shapeId="0" xr:uid="{7F9FF1D2-22D4-744D-93F0-06D43BDD2EE3}">
      <text>
        <r>
          <rPr>
            <sz val="10"/>
            <color rgb="FF000000"/>
            <rFont val="Aptos Narrow"/>
            <scheme val="minor"/>
          </rPr>
          <t>======
ID#AAABjx7qWJg
    (2025-05-21 11:33:27)
0311 Santiago: 3/8 客戶寄EMS 直接到MOXA</t>
        </r>
      </text>
    </comment>
    <comment ref="D2853" authorId="0" shapeId="0" xr:uid="{A5FFDC3C-2C3D-A04F-85B4-E64750A806A1}">
      <text>
        <r>
          <rPr>
            <sz val="10"/>
            <color rgb="FF000000"/>
            <rFont val="Aptos Narrow"/>
            <scheme val="minor"/>
          </rPr>
          <t>======
ID#AAABjx7qV_M
    (2025-05-21 11:33:27)
0311 Santiago: 3/8 客戶寄EMS 直接到MOXA</t>
        </r>
      </text>
    </comment>
    <comment ref="D2854" authorId="0" shapeId="0" xr:uid="{2ABAE059-6146-F142-A4C7-ED6B9AA6A383}">
      <text>
        <r>
          <rPr>
            <sz val="10"/>
            <color rgb="FF000000"/>
            <rFont val="Aptos Narrow"/>
            <scheme val="minor"/>
          </rPr>
          <t>======
ID#AAABjx7qNGI
    (2025-05-21 11:33:23)
0314 Santiago: 庫存備用</t>
        </r>
      </text>
    </comment>
    <comment ref="H2854" authorId="0" shapeId="0" xr:uid="{21830E0B-681C-904C-8055-95538D30C0DE}">
      <text>
        <r>
          <rPr>
            <sz val="10"/>
            <color rgb="FF000000"/>
            <rFont val="Aptos Narrow"/>
            <scheme val="minor"/>
          </rPr>
          <t>======
ID#AAABj82dpIM
    (2025-05-21 11:33:23)
0428 Santiago: 收到銀行通知入帳一半貨款共US$22639
0415 Santiago: 收到銀行通知入帳一半貨款共US$22639</t>
        </r>
      </text>
    </comment>
    <comment ref="P2854" authorId="0" shapeId="0" xr:uid="{21492FEE-D473-AA44-AF6C-92AB3206D0D0}">
      <text>
        <r>
          <rPr>
            <sz val="10"/>
            <color rgb="FF000000"/>
            <rFont val="Aptos Narrow"/>
            <scheme val="minor"/>
          </rPr>
          <t>======
ID#AAABjx7qRrY
    (2025-05-21 11:33:25)
160316 扣抵金額(含稅)US$252,應支付貨款(含稅)為US$3223.5元</t>
        </r>
      </text>
    </comment>
    <comment ref="AG2854" authorId="0" shapeId="0" xr:uid="{6DAA3E08-8665-BD45-98A3-10BD676576CD}">
      <text>
        <r>
          <rPr>
            <sz val="10"/>
            <color rgb="FF000000"/>
            <rFont val="Aptos Narrow"/>
            <scheme val="minor"/>
          </rPr>
          <t>======
ID#AAABjx7qU-I
    (2025-05-21 11:33:27)
0428一半貨款共US$22632.81
0415一半貨款共22632.81</t>
        </r>
      </text>
    </comment>
    <comment ref="H2855" authorId="0" shapeId="0" xr:uid="{B674D4C5-B9F5-4040-A64E-992B9D09F145}">
      <text>
        <r>
          <rPr>
            <sz val="10"/>
            <color rgb="FF000000"/>
            <rFont val="Aptos Narrow"/>
            <scheme val="minor"/>
          </rPr>
          <t>======
ID#AAABjx7qO9E
    (2025-05-21 11:33:24)
0408 Santiago : 收到客戶支票</t>
        </r>
      </text>
    </comment>
    <comment ref="H2856" authorId="0" shapeId="0" xr:uid="{CA12B585-476C-B147-BB30-E16344F508F6}">
      <text>
        <r>
          <rPr>
            <sz val="10"/>
            <color rgb="FF000000"/>
            <rFont val="Aptos Narrow"/>
            <scheme val="minor"/>
          </rPr>
          <t>======
ID#AAABjx7qQfQ
    (2025-05-21 11:33:25)
0425 Santiago :收到匯款</t>
        </r>
      </text>
    </comment>
    <comment ref="H2857" authorId="0" shapeId="0" xr:uid="{55108543-B5FD-5745-AA42-EC1CE029E90D}">
      <text>
        <r>
          <rPr>
            <sz val="10"/>
            <color rgb="FF000000"/>
            <rFont val="Aptos Narrow"/>
            <scheme val="minor"/>
          </rPr>
          <t>======
ID#AAABjx7qPx0
    (2025-05-21 11:33:24)
0520 Santiago: 收到銀行通知</t>
        </r>
      </text>
    </comment>
    <comment ref="H2858" authorId="0" shapeId="0" xr:uid="{03D6B838-4859-B04C-A671-81E46AA22266}">
      <text>
        <r>
          <rPr>
            <sz val="10"/>
            <color rgb="FF000000"/>
            <rFont val="Aptos Narrow"/>
            <scheme val="minor"/>
          </rPr>
          <t>======
ID#AAABjx7qOLs
    (2025-05-21 11:33:24)
2016/3/18 Benson: getting bank notice for payment: US$ 511</t>
        </r>
      </text>
    </comment>
    <comment ref="H2859" authorId="0" shapeId="0" xr:uid="{2DEDC936-286F-A842-985F-18AEE0A3FC3B}">
      <text>
        <r>
          <rPr>
            <sz val="10"/>
            <color rgb="FF000000"/>
            <rFont val="Aptos Narrow"/>
            <scheme val="minor"/>
          </rPr>
          <t>======
ID#AAABjx7qVF0
    (2025-05-21 11:33:27)
2016/3/18 Benson: getting bank notice for payment: US$ 511</t>
        </r>
      </text>
    </comment>
    <comment ref="Y2859" authorId="0" shapeId="0" xr:uid="{AEB20C6A-B73A-3A48-869F-775470361B4E}">
      <text>
        <r>
          <rPr>
            <sz val="10"/>
            <color rgb="FF000000"/>
            <rFont val="Aptos Narrow"/>
            <scheme val="minor"/>
          </rPr>
          <t>======
ID#AAABjx7qVy8
    (2025-05-21 11:33:27)
帳單號碼：TPE864901</t>
        </r>
      </text>
    </comment>
    <comment ref="Z2859" authorId="0" shapeId="0" xr:uid="{E3037FC7-562F-864A-9C96-40780D72A547}">
      <text>
        <r>
          <rPr>
            <sz val="10"/>
            <color rgb="FF000000"/>
            <rFont val="Aptos Narrow"/>
            <scheme val="minor"/>
          </rPr>
          <t>======
ID#AAABjx7qMw4
    (2025-05-21 11:33:23)
MAIL已收到帳單尚未寄發票</t>
        </r>
      </text>
    </comment>
    <comment ref="H2860" authorId="0" shapeId="0" xr:uid="{2AFF0D9B-C53C-B042-8028-326C7A3F4FF3}">
      <text>
        <r>
          <rPr>
            <sz val="10"/>
            <color rgb="FF000000"/>
            <rFont val="Aptos Narrow"/>
            <scheme val="minor"/>
          </rPr>
          <t>======
ID#AAABjx7qQIs
    (2025-05-21 11:33:25)
0630 Santiago: 收到銀行通知</t>
        </r>
      </text>
    </comment>
    <comment ref="E2861" authorId="0" shapeId="0" xr:uid="{C4706377-4431-F548-AD7F-AE30137F8060}">
      <text>
        <r>
          <rPr>
            <sz val="10"/>
            <color rgb="FF000000"/>
            <rFont val="Aptos Narrow"/>
            <scheme val="minor"/>
          </rPr>
          <t>======
ID#AAABjx7qVbY
    (2025-05-21 11:33:27)
3/23 Santiago: 客戶取消訂單
3/21 michelle: 正確原廠P/N M393A4K40BB0-CPB</t>
        </r>
      </text>
    </comment>
    <comment ref="H2862" authorId="0" shapeId="0" xr:uid="{8C565FBA-7042-034C-89C5-D644A6EFDF13}">
      <text>
        <r>
          <rPr>
            <sz val="10"/>
            <color rgb="FF000000"/>
            <rFont val="Aptos Narrow"/>
            <scheme val="minor"/>
          </rPr>
          <t>======
ID#AAABjx7qPBw
    (2025-05-21 11:33:24)
0518 Santiago:收到客戶通知</t>
        </r>
      </text>
    </comment>
    <comment ref="H2863" authorId="0" shapeId="0" xr:uid="{9D7A4216-9783-9E4E-B6FB-DB69FCBF64DB}">
      <text>
        <r>
          <rPr>
            <sz val="10"/>
            <color rgb="FF000000"/>
            <rFont val="Aptos Narrow"/>
            <scheme val="minor"/>
          </rPr>
          <t>======
ID#AAABjx7qQng
    (2025-05-21 11:33:25)
0518 Santiago:收到客戶通知</t>
        </r>
      </text>
    </comment>
    <comment ref="H2864" authorId="0" shapeId="0" xr:uid="{96150948-862E-AC4A-AC90-93CA418F225C}">
      <text>
        <r>
          <rPr>
            <sz val="10"/>
            <color rgb="FF000000"/>
            <rFont val="Aptos Narrow"/>
            <scheme val="minor"/>
          </rPr>
          <t>======
ID#AAABjx7qU2M
    (2025-05-21 11:33:26)
0518 Santiago:收到客戶通知</t>
        </r>
      </text>
    </comment>
    <comment ref="H2865" authorId="0" shapeId="0" xr:uid="{32060E32-5C30-1E4D-91DA-EB1457F38DD3}">
      <text>
        <r>
          <rPr>
            <sz val="10"/>
            <color rgb="FF000000"/>
            <rFont val="Aptos Narrow"/>
            <scheme val="minor"/>
          </rPr>
          <t>======
ID#AAABjx7qOHE
    (2025-05-21 11:33:24)
0518 Santiago:收到客戶通知</t>
        </r>
      </text>
    </comment>
    <comment ref="H2866" authorId="0" shapeId="0" xr:uid="{AE9BD994-C780-D941-91B3-3B8C49E76123}">
      <text>
        <r>
          <rPr>
            <sz val="10"/>
            <color rgb="FF000000"/>
            <rFont val="Aptos Narrow"/>
            <scheme val="minor"/>
          </rPr>
          <t>======
ID#AAABjx7qO5Y
    (2025-05-21 11:33:24)
0518 Santiago:收到客戶通知</t>
        </r>
      </text>
    </comment>
    <comment ref="E2867" authorId="0" shapeId="0" xr:uid="{6601CF5C-C0D7-804D-BCA4-484F0E723AD7}">
      <text>
        <r>
          <rPr>
            <sz val="10"/>
            <color rgb="FF000000"/>
            <rFont val="Aptos Narrow"/>
            <scheme val="minor"/>
          </rPr>
          <t>======
ID#AAABjx7qRyk
    (2025-05-21 11:33:25)
11/12 michelle: 58-80024-0000</t>
        </r>
      </text>
    </comment>
    <comment ref="H2867" authorId="0" shapeId="0" xr:uid="{A3729E38-D653-6B43-AED4-2E7164318C7A}">
      <text>
        <r>
          <rPr>
            <sz val="10"/>
            <color rgb="FF000000"/>
            <rFont val="Aptos Narrow"/>
            <scheme val="minor"/>
          </rPr>
          <t>======
ID#AAABjx7qSqg
    (2025-05-21 11:33:26)
0518 Santiago:收到客戶通知</t>
        </r>
      </text>
    </comment>
    <comment ref="H2868" authorId="0" shapeId="0" xr:uid="{D3019A23-8E38-2746-9333-832FDC111C5E}">
      <text>
        <r>
          <rPr>
            <sz val="10"/>
            <color rgb="FF000000"/>
            <rFont val="Aptos Narrow"/>
            <scheme val="minor"/>
          </rPr>
          <t>======
ID#AAABjx7qNk8
    (2025-05-21 11:33:23)
0518 Santiago:收到客戶通知</t>
        </r>
      </text>
    </comment>
    <comment ref="H2869" authorId="0" shapeId="0" xr:uid="{6B1DDCFE-502D-3342-9B77-1212B04B79D0}">
      <text>
        <r>
          <rPr>
            <sz val="10"/>
            <color rgb="FF000000"/>
            <rFont val="Aptos Narrow"/>
            <scheme val="minor"/>
          </rPr>
          <t>======
ID#AAABjx7qSMA
    (2025-05-21 11:33:26)
0518 Santiago:收到客戶通知</t>
        </r>
      </text>
    </comment>
    <comment ref="G2870" authorId="0" shapeId="0" xr:uid="{4DF4ECC8-BD42-8D41-8047-1109A3938062}">
      <text>
        <r>
          <rPr>
            <sz val="10"/>
            <color rgb="FF000000"/>
            <rFont val="Aptos Narrow"/>
            <scheme val="minor"/>
          </rPr>
          <t>======
ID#AAABjx7qONk
    (2025-05-21 11:33:24)
160319 Santiago: 僅此單用US$80元(未稅)接單`</t>
        </r>
      </text>
    </comment>
    <comment ref="H2870" authorId="0" shapeId="0" xr:uid="{56F3258B-7E56-554C-8964-B27361003C9E}">
      <text>
        <r>
          <rPr>
            <sz val="10"/>
            <color rgb="FF000000"/>
            <rFont val="Aptos Narrow"/>
            <scheme val="minor"/>
          </rPr>
          <t>======
ID#AAABjx7qMwU
    (2025-05-21 11:33:23)
0408 Santiago : 收到客戶支票</t>
        </r>
      </text>
    </comment>
    <comment ref="H2871" authorId="0" shapeId="0" xr:uid="{B6CF1E3C-DD34-EB41-AF83-539ED80CE157}">
      <text>
        <r>
          <rPr>
            <sz val="10"/>
            <color rgb="FF000000"/>
            <rFont val="Aptos Narrow"/>
            <scheme val="minor"/>
          </rPr>
          <t>======
ID#AAABjx7qU3w
    (2025-05-21 11:33:26)
0329 Santiago 收到銀行通知</t>
        </r>
      </text>
    </comment>
    <comment ref="Z2871" authorId="0" shapeId="0" xr:uid="{1CD8E2A2-0A05-654A-8068-7A6BC12AA39E}">
      <text>
        <r>
          <rPr>
            <sz val="10"/>
            <color rgb="FF000000"/>
            <rFont val="Aptos Narrow"/>
            <scheme val="minor"/>
          </rPr>
          <t>======
ID#AAABjx7qWaY
    (2025-05-21 11:33:27)
EMO-20160330A查到成本為NT$5347 (U35)，負數過大，請重新確認成本→ 5/2 chloe 已確認</t>
        </r>
      </text>
    </comment>
    <comment ref="H2872" authorId="0" shapeId="0" xr:uid="{1B899353-2594-4947-B3DA-4FC32AC4FAC1}">
      <text>
        <r>
          <rPr>
            <sz val="10"/>
            <color rgb="FF000000"/>
            <rFont val="Aptos Narrow"/>
            <scheme val="minor"/>
          </rPr>
          <t>======
ID#AAABjx7qTh4
    (2025-05-21 11:33:26)
0329 Santiago 收到銀行通知</t>
        </r>
      </text>
    </comment>
    <comment ref="H2873" authorId="0" shapeId="0" xr:uid="{CD22205E-4E05-F94D-BE73-8AE8383178C8}">
      <text>
        <r>
          <rPr>
            <sz val="10"/>
            <color rgb="FF000000"/>
            <rFont val="Aptos Narrow"/>
            <scheme val="minor"/>
          </rPr>
          <t>======
ID#AAABjx7qQBE
    (2025-05-21 11:33:25)
0329 Santiago: 收到銀行通知</t>
        </r>
      </text>
    </comment>
    <comment ref="Y2873" authorId="0" shapeId="0" xr:uid="{D0FA2EF3-6948-204B-83D0-17361076E736}">
      <text>
        <r>
          <rPr>
            <sz val="10"/>
            <color rgb="FF000000"/>
            <rFont val="Aptos Narrow"/>
            <scheme val="minor"/>
          </rPr>
          <t>======
ID#AAABjx7qWJk
    (2025-05-21 11:33:27)
商業公會工本費收據</t>
        </r>
      </text>
    </comment>
    <comment ref="H2874" authorId="0" shapeId="0" xr:uid="{27CF7C16-73A8-A149-B798-1CE228099496}">
      <text>
        <r>
          <rPr>
            <sz val="10"/>
            <color rgb="FF000000"/>
            <rFont val="Aptos Narrow"/>
            <scheme val="minor"/>
          </rPr>
          <t>======
ID#AAABjx7qS_s
    (2025-05-21 11:33:26)
0329 Santiago: 收到銀行通知</t>
        </r>
      </text>
    </comment>
    <comment ref="AB2874" authorId="0" shapeId="0" xr:uid="{BD744006-D528-AC4C-9B81-CD6F845F6FDF}">
      <text>
        <r>
          <rPr>
            <sz val="10"/>
            <color rgb="FF000000"/>
            <rFont val="Aptos Narrow"/>
            <scheme val="minor"/>
          </rPr>
          <t>======
ID#AAABjx7qRhI
    (2025-05-21 11:33:25)
此筆已在3月份給會計</t>
        </r>
      </text>
    </comment>
    <comment ref="H2875" authorId="0" shapeId="0" xr:uid="{A5FF3B79-A535-D241-9EEF-35F08028E99A}">
      <text>
        <r>
          <rPr>
            <sz val="10"/>
            <color rgb="FF000000"/>
            <rFont val="Aptos Narrow"/>
            <scheme val="minor"/>
          </rPr>
          <t>======
ID#AAABjx7qVVA
    (2025-05-21 11:33:27)
2016/4/13 Benson: get payment notice from bank</t>
        </r>
      </text>
    </comment>
    <comment ref="J2875" authorId="0" shapeId="0" xr:uid="{9F0DCFF7-58FB-9A48-98F3-C16090391A52}">
      <text>
        <r>
          <rPr>
            <sz val="10"/>
            <color rgb="FF000000"/>
            <rFont val="Aptos Narrow"/>
            <scheme val="minor"/>
          </rPr>
          <t>======
ID#AAABjx7qQCo
    (2025-05-21 11:33:25)
大榮</t>
        </r>
      </text>
    </comment>
    <comment ref="H2876" authorId="0" shapeId="0" xr:uid="{7C8B80F6-CF4F-0D4F-BF49-B1E87F8DAEED}">
      <text>
        <r>
          <rPr>
            <sz val="10"/>
            <color rgb="FF000000"/>
            <rFont val="Aptos Narrow"/>
            <scheme val="minor"/>
          </rPr>
          <t>======
ID#AAABjx7qWUY
    (2025-05-21 11:33:27)
2016/4/13 Benson: get payment notice from bank</t>
        </r>
      </text>
    </comment>
    <comment ref="J2876" authorId="0" shapeId="0" xr:uid="{79EFDD0F-54CF-CA44-9B19-D33538FF224E}">
      <text>
        <r>
          <rPr>
            <sz val="10"/>
            <color rgb="FF000000"/>
            <rFont val="Aptos Narrow"/>
            <scheme val="minor"/>
          </rPr>
          <t>======
ID#AAABjx7qVKU
    (2025-05-21 11:33:27)
大榮</t>
        </r>
      </text>
    </comment>
    <comment ref="H2877" authorId="0" shapeId="0" xr:uid="{B76E9E9B-6EAA-B242-9BCF-9236B6F4764D}">
      <text>
        <r>
          <rPr>
            <sz val="10"/>
            <color rgb="FF000000"/>
            <rFont val="Aptos Narrow"/>
            <scheme val="minor"/>
          </rPr>
          <t>======
ID#AAABjx7qVLo
    (2025-05-21 11:33:27)
2016/4/13 Benson: get payment notice from bank</t>
        </r>
      </text>
    </comment>
    <comment ref="J2877" authorId="0" shapeId="0" xr:uid="{E61E3FE1-F682-754D-A79E-C6E653245E3E}">
      <text>
        <r>
          <rPr>
            <sz val="10"/>
            <color rgb="FF000000"/>
            <rFont val="Aptos Narrow"/>
            <scheme val="minor"/>
          </rPr>
          <t>======
ID#AAABj82dpLM
    (2025-05-21 11:33:23)
大榮</t>
        </r>
      </text>
    </comment>
    <comment ref="H2878" authorId="0" shapeId="0" xr:uid="{1655FEFD-A24B-0541-8332-00D7DFBA1528}">
      <text>
        <r>
          <rPr>
            <sz val="10"/>
            <color rgb="FF000000"/>
            <rFont val="Aptos Narrow"/>
            <scheme val="minor"/>
          </rPr>
          <t>======
ID#AAABjx7qPhA
    (2025-05-21 11:33:24)
0427 Santiago: 已收到客戶匯款</t>
        </r>
      </text>
    </comment>
    <comment ref="H2879" authorId="0" shapeId="0" xr:uid="{39A4D04F-DE2B-0142-8015-DB5A4BD4BFE7}">
      <text>
        <r>
          <rPr>
            <sz val="10"/>
            <color rgb="FF000000"/>
            <rFont val="Aptos Narrow"/>
            <scheme val="minor"/>
          </rPr>
          <t>======
ID#AAABjx7qSQE
    (2025-05-21 11:33:26)
0427 Santiago: 已收到客戶匯款</t>
        </r>
      </text>
    </comment>
    <comment ref="H2880" authorId="0" shapeId="0" xr:uid="{C27A34ED-8DAB-F048-BD0A-E3169FC7F3C1}">
      <text>
        <r>
          <rPr>
            <sz val="10"/>
            <color rgb="FF000000"/>
            <rFont val="Aptos Narrow"/>
            <scheme val="minor"/>
          </rPr>
          <t>======
ID#AAABjx7qPPM
    (2025-05-21 11:33:24)
2016/4/13 Benson: get payment notice from bank</t>
        </r>
      </text>
    </comment>
    <comment ref="J2880" authorId="0" shapeId="0" xr:uid="{282653CC-5885-CD47-A38F-BEB15097024C}">
      <text>
        <r>
          <rPr>
            <sz val="10"/>
            <color rgb="FF000000"/>
            <rFont val="Aptos Narrow"/>
            <scheme val="minor"/>
          </rPr>
          <t>======
ID#AAABjx7qVJg
    (2025-05-21 11:33:27)
大榮</t>
        </r>
      </text>
    </comment>
    <comment ref="H2881" authorId="0" shapeId="0" xr:uid="{0C307AA2-8626-1148-9379-669B11A1BC37}">
      <text>
        <r>
          <rPr>
            <sz val="10"/>
            <color rgb="FF000000"/>
            <rFont val="Aptos Narrow"/>
            <scheme val="minor"/>
          </rPr>
          <t>======
ID#AAABjx7qSwA
    (2025-05-21 11:33:26)
2016/4/13 Benson: get payment notice from bank</t>
        </r>
      </text>
    </comment>
    <comment ref="J2881" authorId="0" shapeId="0" xr:uid="{B055B66E-4C47-2C4B-9C9C-005E4DB6DD9A}">
      <text>
        <r>
          <rPr>
            <sz val="10"/>
            <color rgb="FF000000"/>
            <rFont val="Aptos Narrow"/>
            <scheme val="minor"/>
          </rPr>
          <t>======
ID#AAABjx7qWSo
    (2025-05-21 11:33:27)
大榮</t>
        </r>
      </text>
    </comment>
    <comment ref="H2882" authorId="0" shapeId="0" xr:uid="{2E21EA7B-7C55-A841-8874-7D725B2A58CB}">
      <text>
        <r>
          <rPr>
            <sz val="10"/>
            <color rgb="FF000000"/>
            <rFont val="Aptos Narrow"/>
            <scheme val="minor"/>
          </rPr>
          <t>======
ID#AAABjx7qOfI
    (2025-05-21 11:33:24)
2016/4/13 Benson: get payment notice from bank</t>
        </r>
      </text>
    </comment>
    <comment ref="J2882" authorId="0" shapeId="0" xr:uid="{CBC3A346-1D1F-4E43-A931-886B919ECD15}">
      <text>
        <r>
          <rPr>
            <sz val="10"/>
            <color rgb="FF000000"/>
            <rFont val="Aptos Narrow"/>
            <scheme val="minor"/>
          </rPr>
          <t>======
ID#AAABjx7qQEo
    (2025-05-21 11:33:25)
大榮</t>
        </r>
      </text>
    </comment>
    <comment ref="H2883" authorId="0" shapeId="0" xr:uid="{99EDF392-57BD-4B4F-8496-D429AAE1EE30}">
      <text>
        <r>
          <rPr>
            <sz val="10"/>
            <color rgb="FF000000"/>
            <rFont val="Aptos Narrow"/>
            <scheme val="minor"/>
          </rPr>
          <t>======
ID#AAABjx7qRoY
    (2025-05-21 11:33:25)
2016/4/13 Benson: get payment notice from bank</t>
        </r>
      </text>
    </comment>
    <comment ref="J2883" authorId="0" shapeId="0" xr:uid="{FB513D46-0729-D94D-A102-3282E110DDC9}">
      <text>
        <r>
          <rPr>
            <sz val="10"/>
            <color rgb="FF000000"/>
            <rFont val="Aptos Narrow"/>
            <scheme val="minor"/>
          </rPr>
          <t>======
ID#AAABjx7qVLs
    (2025-05-21 11:33:27)
大榮</t>
        </r>
      </text>
    </comment>
    <comment ref="H2884" authorId="0" shapeId="0" xr:uid="{14769462-C245-1742-89BD-699D8D4AC4E5}">
      <text>
        <r>
          <rPr>
            <sz val="10"/>
            <color rgb="FF000000"/>
            <rFont val="Aptos Narrow"/>
            <scheme val="minor"/>
          </rPr>
          <t>======
ID#AAABjx7qWE8
    (2025-05-21 11:33:27)
Santiago0513: 收到支票</t>
        </r>
      </text>
    </comment>
    <comment ref="K2884" authorId="0" shapeId="0" xr:uid="{4EB8A3E7-0CB5-F24D-9DA4-59B44612E809}">
      <text>
        <r>
          <rPr>
            <sz val="10"/>
            <color rgb="FF000000"/>
            <rFont val="Aptos Narrow"/>
            <scheme val="minor"/>
          </rPr>
          <t>======
ID#AAABjx7qQqE
    (2025-05-21 11:33:25)
160407 Karen在4/7反黑</t>
        </r>
      </text>
    </comment>
    <comment ref="H2885" authorId="0" shapeId="0" xr:uid="{7148B1A1-F17E-6843-8EFA-810BE70DA288}">
      <text>
        <r>
          <rPr>
            <sz val="10"/>
            <color rgb="FF000000"/>
            <rFont val="Aptos Narrow"/>
            <scheme val="minor"/>
          </rPr>
          <t>======
ID#AAABjx7qPk8
    (2025-05-21 11:33:24)
Santiago0513: 收到支票</t>
        </r>
      </text>
    </comment>
    <comment ref="K2885" authorId="0" shapeId="0" xr:uid="{9F8D224F-DC21-A643-B20A-43DA0152AF1C}">
      <text>
        <r>
          <rPr>
            <sz val="10"/>
            <color rgb="FF000000"/>
            <rFont val="Aptos Narrow"/>
            <scheme val="minor"/>
          </rPr>
          <t>======
ID#AAABjx7qWAs
    (2025-05-21 11:33:27)
160407 Karen在4/7反黑</t>
        </r>
      </text>
    </comment>
    <comment ref="H2889" authorId="0" shapeId="0" xr:uid="{F221C9B5-F831-1044-84D0-1449B2509E65}">
      <text>
        <r>
          <rPr>
            <sz val="10"/>
            <color rgb="FF000000"/>
            <rFont val="Aptos Narrow"/>
            <scheme val="minor"/>
          </rPr>
          <t>======
ID#AAABjx7qNHs
    (2025-05-21 11:33:23)
0407 Santiago: 收到銀行通知</t>
        </r>
      </text>
    </comment>
    <comment ref="K2889" authorId="0" shapeId="0" xr:uid="{AEDBD706-AD39-8949-8729-5259F09B6482}">
      <text>
        <r>
          <rPr>
            <sz val="10"/>
            <color rgb="FF000000"/>
            <rFont val="Aptos Narrow"/>
            <scheme val="minor"/>
          </rPr>
          <t>======
ID#AAABjx7qQI8
    (2025-05-21 11:33:25)
160407 Karen在4/7反黑</t>
        </r>
      </text>
    </comment>
    <comment ref="P2889" authorId="0" shapeId="0" xr:uid="{16B88D82-8F5D-8E49-9541-2EEEA9D5A99F}">
      <text>
        <r>
          <rPr>
            <sz val="10"/>
            <color rgb="FF000000"/>
            <rFont val="Aptos Narrow"/>
            <scheme val="minor"/>
          </rPr>
          <t>======
ID#AAABjx7qPiA
    (2025-05-21 11:33:24)
160329 扣抵金額(含稅)US$498.75元,應支付貨款(含稅)為US$9660元</t>
        </r>
      </text>
    </comment>
    <comment ref="H2890" authorId="0" shapeId="0" xr:uid="{CF0C43A0-F6E9-1049-A7DA-F53DCCC4CEC5}">
      <text>
        <r>
          <rPr>
            <sz val="10"/>
            <color rgb="FF000000"/>
            <rFont val="Aptos Narrow"/>
            <scheme val="minor"/>
          </rPr>
          <t>======
ID#AAABjx7qQF8
    (2025-05-21 11:33:25)
0816 chloe : 收到銀行通知 USD113,524</t>
        </r>
      </text>
    </comment>
    <comment ref="D2891" authorId="0" shapeId="0" xr:uid="{4E4EC4A4-CD94-B048-A411-C4982B3FA7BF}">
      <text>
        <r>
          <rPr>
            <sz val="10"/>
            <color rgb="FF000000"/>
            <rFont val="Aptos Narrow"/>
            <scheme val="minor"/>
          </rPr>
          <t>======
ID#AAABjx7qSGE
    (2025-05-21 11:33:26)
0401 Santiago: 東托追加</t>
        </r>
      </text>
    </comment>
    <comment ref="E2891" authorId="0" shapeId="0" xr:uid="{6D57342C-B2E8-FA4E-B7C4-FC6ADB9C134A}">
      <text>
        <r>
          <rPr>
            <sz val="10"/>
            <color rgb="FF000000"/>
            <rFont val="Aptos Narrow"/>
            <scheme val="minor"/>
          </rPr>
          <t>======
ID#AAABjx7qVvM
    (2025-05-21 11:33:27)
EU Band w/ Cn Adapter</t>
        </r>
      </text>
    </comment>
    <comment ref="H2891" authorId="0" shapeId="0" xr:uid="{12791685-7E7D-6B49-976B-AEA7FC977525}">
      <text>
        <r>
          <rPr>
            <sz val="10"/>
            <color rgb="FF000000"/>
            <rFont val="Aptos Narrow"/>
            <scheme val="minor"/>
          </rPr>
          <t>======
ID#AAABjx7qMxg
    (2025-05-21 11:33:23)
0428 Santiago: 收到銀行通知入帳一半貨款共US$22639
0415 Santiago: 收到銀行通知入帳一半貨款共US$22639</t>
        </r>
      </text>
    </comment>
    <comment ref="P2891" authorId="0" shapeId="0" xr:uid="{4D68DACD-D52A-324A-931A-AEB2CCED8116}">
      <text>
        <r>
          <rPr>
            <sz val="10"/>
            <color rgb="FF000000"/>
            <rFont val="Aptos Narrow"/>
            <scheme val="minor"/>
          </rPr>
          <t>======
ID#AAABjx7qPdc
    (2025-05-21 11:33:24)
160402 扣抵金額(含稅)US$997.5,應支付貨款(含稅)為US$16485元</t>
        </r>
      </text>
    </comment>
    <comment ref="AG2891" authorId="0" shapeId="0" xr:uid="{1384ECD4-9A23-F043-ABF9-A52C703BF18A}">
      <text>
        <r>
          <rPr>
            <sz val="10"/>
            <color rgb="FF000000"/>
            <rFont val="Aptos Narrow"/>
            <scheme val="minor"/>
          </rPr>
          <t>======
ID#AAABjx7qNrM
    (2025-05-21 11:33:23)
0428一半貨款共US$22632.81
0415一半貨款共22632.81</t>
        </r>
      </text>
    </comment>
    <comment ref="D2892" authorId="0" shapeId="0" xr:uid="{3AB0347A-4F88-394B-85B0-1A68FB20E256}">
      <text>
        <r>
          <rPr>
            <sz val="10"/>
            <color rgb="FF000000"/>
            <rFont val="Aptos Narrow"/>
            <scheme val="minor"/>
          </rPr>
          <t>======
ID#AAABjx7qOJ4
    (2025-05-21 11:33:24)
0401 Santiago: 東托再增庫存備用</t>
        </r>
      </text>
    </comment>
    <comment ref="H2892" authorId="0" shapeId="0" xr:uid="{E49921E7-D0FB-BA4C-B124-7D2EB1E189EF}">
      <text>
        <r>
          <rPr>
            <sz val="10"/>
            <color rgb="FF000000"/>
            <rFont val="Aptos Narrow"/>
            <scheme val="minor"/>
          </rPr>
          <t>======
ID#AAABjx7qPLg
    (2025-05-21 11:33:24)
0428 Santiago: 收到銀行通知入帳一半貨款共US$22639
0415 Santiago: 收到銀行通知入帳一半貨款共US$22639</t>
        </r>
      </text>
    </comment>
    <comment ref="P2892" authorId="0" shapeId="0" xr:uid="{46596467-4298-9A44-AC2D-55B19AF9E1B9}">
      <text>
        <r>
          <rPr>
            <sz val="10"/>
            <color rgb="FF000000"/>
            <rFont val="Aptos Narrow"/>
            <scheme val="minor"/>
          </rPr>
          <t>======
ID#AAABjx7qNqs
    (2025-05-21 11:33:23)
160402 扣抵金額(含稅)US$252,應支付貨款(含稅)為US$3223.5元</t>
        </r>
      </text>
    </comment>
    <comment ref="AG2892" authorId="0" shapeId="0" xr:uid="{13863375-6170-3F46-A639-C7102287F4A7}">
      <text>
        <r>
          <rPr>
            <sz val="10"/>
            <color rgb="FF000000"/>
            <rFont val="Aptos Narrow"/>
            <scheme val="minor"/>
          </rPr>
          <t>======
ID#AAABjx7qTZk
    (2025-05-21 11:33:26)
0428一半貨款共US$22632.81
0415一半貨款共22632.81</t>
        </r>
      </text>
    </comment>
    <comment ref="H2893" authorId="0" shapeId="0" xr:uid="{E0E89A9A-1D41-E647-A5DA-953562D2A30B}">
      <text>
        <r>
          <rPr>
            <sz val="10"/>
            <color rgb="FF000000"/>
            <rFont val="Aptos Narrow"/>
            <scheme val="minor"/>
          </rPr>
          <t>======
ID#AAABjx7qRI0
    (2025-05-21 11:33:25)
20160604 Santiago : received bank note</t>
        </r>
      </text>
    </comment>
    <comment ref="H2894" authorId="0" shapeId="0" xr:uid="{305DE825-0201-F14C-8BF2-390762FF12A7}">
      <text>
        <r>
          <rPr>
            <sz val="10"/>
            <color rgb="FF000000"/>
            <rFont val="Aptos Narrow"/>
            <scheme val="minor"/>
          </rPr>
          <t>======
ID#AAABjx7qQG8
    (2025-05-21 11:33:25)
20160604 Santiago : received bank note</t>
        </r>
      </text>
    </comment>
    <comment ref="H2895" authorId="0" shapeId="0" xr:uid="{DDCB0FA1-BA6E-C244-B3D0-C3C48E46F0FE}">
      <text>
        <r>
          <rPr>
            <sz val="10"/>
            <color rgb="FF000000"/>
            <rFont val="Aptos Narrow"/>
            <scheme val="minor"/>
          </rPr>
          <t>======
ID#AAABjx7qOJc
    (2025-05-21 11:33:24)
20160604 Santiago : received bank note</t>
        </r>
      </text>
    </comment>
    <comment ref="H2896" authorId="0" shapeId="0" xr:uid="{00A16F74-4193-F84E-837B-92260A9A9E92}">
      <text>
        <r>
          <rPr>
            <sz val="10"/>
            <color rgb="FF000000"/>
            <rFont val="Aptos Narrow"/>
            <scheme val="minor"/>
          </rPr>
          <t>======
ID#AAABjx7qVfE
    (2025-05-21 11:33:27)
0429 Santiago: 收到銀行通知</t>
        </r>
      </text>
    </comment>
    <comment ref="H2897" authorId="0" shapeId="0" xr:uid="{A2CB3521-6B9A-B349-A6BB-3908DB556A9C}">
      <text>
        <r>
          <rPr>
            <sz val="10"/>
            <color rgb="FF000000"/>
            <rFont val="Aptos Narrow"/>
            <scheme val="minor"/>
          </rPr>
          <t>======
ID#AAABjx7qMtg
    (2025-05-21 11:33:23)
0531 Benson: 0531 got payment receipt from bank</t>
        </r>
      </text>
    </comment>
    <comment ref="Z2897" authorId="0" shapeId="0" xr:uid="{4932487F-6FA8-6B4F-BAFD-17857A5A5EAD}">
      <text>
        <r>
          <rPr>
            <sz val="10"/>
            <color rgb="FF000000"/>
            <rFont val="Aptos Narrow"/>
            <scheme val="minor"/>
          </rPr>
          <t>======
ID#AAABjx7qQlQ
    (2025-05-21 11:33:25)
0508 chloe 一片</t>
        </r>
      </text>
    </comment>
    <comment ref="H2898" authorId="0" shapeId="0" xr:uid="{1B58A457-2B1D-D84B-BC1A-4E3EACA64B44}">
      <text>
        <r>
          <rPr>
            <sz val="10"/>
            <color rgb="FF000000"/>
            <rFont val="Aptos Narrow"/>
            <scheme val="minor"/>
          </rPr>
          <t>======
ID#AAABjx7qP7c
    (2025-05-21 11:33:24)
0531 Benson: 0531 got payment receipt from bank</t>
        </r>
      </text>
    </comment>
    <comment ref="H2899" authorId="0" shapeId="0" xr:uid="{EEA83AA8-CC88-F646-9783-861FB055980B}">
      <text>
        <r>
          <rPr>
            <sz val="10"/>
            <color rgb="FF000000"/>
            <rFont val="Aptos Narrow"/>
            <scheme val="minor"/>
          </rPr>
          <t>======
ID#AAABjx7qQ-k
    (2025-05-21 11:33:25)
0818 chloe:收到銀行通知USD3486</t>
        </r>
      </text>
    </comment>
    <comment ref="H2900" authorId="0" shapeId="0" xr:uid="{8A60BE32-5C17-4E4D-944C-BB86C66AA8B2}">
      <text>
        <r>
          <rPr>
            <sz val="10"/>
            <color rgb="FF000000"/>
            <rFont val="Aptos Narrow"/>
            <scheme val="minor"/>
          </rPr>
          <t>======
ID#AAABjx7qVWQ
    (2025-05-21 11:33:27)
0818 chloe:收到銀行通知USD3486</t>
        </r>
      </text>
    </comment>
    <comment ref="H2901" authorId="0" shapeId="0" xr:uid="{D4AD0A43-2425-184D-900C-3AF6FEB5316C}">
      <text>
        <r>
          <rPr>
            <sz val="10"/>
            <color rgb="FF000000"/>
            <rFont val="Aptos Narrow"/>
            <scheme val="minor"/>
          </rPr>
          <t>======
ID#AAABjx7qOIU
    (2025-05-21 11:33:24)
0524 chloe 收到貨款否?
0525 Benson:0519 收到客戶T/T copy</t>
        </r>
      </text>
    </comment>
    <comment ref="D2902" authorId="0" shapeId="0" xr:uid="{14E3EED9-98F5-0249-AC3F-A7F4DB817086}">
      <text>
        <r>
          <rPr>
            <sz val="10"/>
            <color rgb="FF000000"/>
            <rFont val="Aptos Narrow"/>
            <scheme val="minor"/>
          </rPr>
          <t>======
ID#AAABjx7qPQU
    (2025-05-21 11:33:24)
0810 chloe: Santiago 指示此為樣品試產，不列入獎金計算</t>
        </r>
      </text>
    </comment>
    <comment ref="H2902" authorId="0" shapeId="0" xr:uid="{61990E80-6693-824A-AE13-2E4165D47FAB}">
      <text>
        <r>
          <rPr>
            <sz val="10"/>
            <color rgb="FF000000"/>
            <rFont val="Aptos Narrow"/>
            <scheme val="minor"/>
          </rPr>
          <t>======
ID#AAABjx7qPso
    (2025-05-21 11:33:24)
0822 chloe:收到銀行通知USD919</t>
        </r>
      </text>
    </comment>
    <comment ref="D2903" authorId="0" shapeId="0" xr:uid="{65B4B5D1-C895-1F4D-8CD0-4819E7B4E508}">
      <text>
        <r>
          <rPr>
            <sz val="10"/>
            <color rgb="FF000000"/>
            <rFont val="Aptos Narrow"/>
            <scheme val="minor"/>
          </rPr>
          <t>======
ID#AAABjx7qO-0
    (2025-05-21 11:33:24)
0810 chloe: Santiago 指示此為樣品試產，不列入獎金計算</t>
        </r>
      </text>
    </comment>
    <comment ref="H2903" authorId="0" shapeId="0" xr:uid="{0FAA004B-9038-2C4F-8669-8AA7472AA0C1}">
      <text>
        <r>
          <rPr>
            <sz val="10"/>
            <color rgb="FF000000"/>
            <rFont val="Aptos Narrow"/>
            <scheme val="minor"/>
          </rPr>
          <t>======
ID#AAABjx7qM6c
    (2025-05-21 11:33:23)
20160721 Santiago: 收到銀行通知</t>
        </r>
      </text>
    </comment>
    <comment ref="D2904" authorId="0" shapeId="0" xr:uid="{5020E53F-3D73-634C-8990-E8054BF72E1B}">
      <text>
        <r>
          <rPr>
            <sz val="10"/>
            <color rgb="FF000000"/>
            <rFont val="Aptos Narrow"/>
            <scheme val="minor"/>
          </rPr>
          <t>======
ID#AAABjx7qPC8
    (2025-05-21 11:33:24)
0810 chloe: Santiago 指示此為樣品試產，不列入獎金計算</t>
        </r>
      </text>
    </comment>
    <comment ref="H2904" authorId="0" shapeId="0" xr:uid="{59E86E8C-7572-E14B-A34F-B03AB8C7907B}">
      <text>
        <r>
          <rPr>
            <sz val="10"/>
            <color rgb="FF000000"/>
            <rFont val="Aptos Narrow"/>
            <scheme val="minor"/>
          </rPr>
          <t>======
ID#AAABjx7qWNA
    (2025-05-21 11:33:27)
20160721 Santiago: 收到銀行通知</t>
        </r>
      </text>
    </comment>
    <comment ref="X2904" authorId="0" shapeId="0" xr:uid="{6B8C4317-DA72-644D-95A7-DCFFCA0919EA}">
      <text>
        <r>
          <rPr>
            <sz val="10"/>
            <color rgb="FF000000"/>
            <rFont val="Aptos Narrow"/>
            <scheme val="minor"/>
          </rPr>
          <t>======
ID#AAABjx7qM84
    (2025-05-21 11:33:23)
請會計報研發費用發票</t>
        </r>
      </text>
    </comment>
    <comment ref="Y2904" authorId="0" shapeId="0" xr:uid="{71314D26-5130-EB41-AB4A-68D9F73D5D84}">
      <text>
        <r>
          <rPr>
            <sz val="10"/>
            <color rgb="FF000000"/>
            <rFont val="Aptos Narrow"/>
            <scheme val="minor"/>
          </rPr>
          <t>======
ID#AAABjx7qO1g
    (2025-05-21 11:33:24)
請會計報研發費用發票</t>
        </r>
      </text>
    </comment>
    <comment ref="Z2904" authorId="0" shapeId="0" xr:uid="{E8AA850B-8DCD-1048-9BC4-61BC95CD3C61}">
      <text>
        <r>
          <rPr>
            <sz val="10"/>
            <color rgb="FF000000"/>
            <rFont val="Aptos Narrow"/>
            <scheme val="minor"/>
          </rPr>
          <t>======
ID#AAABjx7qR6s
    (2025-05-21 11:33:25)
請會計報研發費用發票</t>
        </r>
      </text>
    </comment>
    <comment ref="D2905" authorId="0" shapeId="0" xr:uid="{2E4110AE-6AA9-5843-92BE-6DA346AD7EE4}">
      <text>
        <r>
          <rPr>
            <sz val="10"/>
            <color rgb="FF000000"/>
            <rFont val="Aptos Narrow"/>
            <scheme val="minor"/>
          </rPr>
          <t>======
ID#AAABjx7qVdM
    (2025-05-21 11:33:27)
0810 chloe: Santiago 指示此為樣品試產，不列入獎金計算</t>
        </r>
      </text>
    </comment>
    <comment ref="H2905" authorId="0" shapeId="0" xr:uid="{889B8E56-460E-EE4E-8227-3C56CCB621DA}">
      <text>
        <r>
          <rPr>
            <sz val="10"/>
            <color rgb="FF000000"/>
            <rFont val="Aptos Narrow"/>
            <scheme val="minor"/>
          </rPr>
          <t>======
ID#AAABjx7qRns
    (2025-05-21 11:33:25)
20160721 Santiago: 收到銀行通知</t>
        </r>
      </text>
    </comment>
    <comment ref="X2905" authorId="0" shapeId="0" xr:uid="{38EA99BE-1A1D-8346-B57B-0844CA774DC2}">
      <text>
        <r>
          <rPr>
            <sz val="10"/>
            <color rgb="FF000000"/>
            <rFont val="Aptos Narrow"/>
            <scheme val="minor"/>
          </rPr>
          <t>======
ID#AAABjx7qPGs
    (2025-05-21 11:33:24)
請會計報研發費用發票</t>
        </r>
      </text>
    </comment>
    <comment ref="Y2905" authorId="0" shapeId="0" xr:uid="{7CA9C270-C67E-0B49-8AA5-F89985D9D22A}">
      <text>
        <r>
          <rPr>
            <sz val="10"/>
            <color rgb="FF000000"/>
            <rFont val="Aptos Narrow"/>
            <scheme val="minor"/>
          </rPr>
          <t>======
ID#AAABjx7qNU4
    (2025-05-21 11:33:23)
請會計報研發費用發票</t>
        </r>
      </text>
    </comment>
    <comment ref="Z2905" authorId="0" shapeId="0" xr:uid="{AF7E61A1-47AA-9948-999E-C9513DFECCF5}">
      <text>
        <r>
          <rPr>
            <sz val="10"/>
            <color rgb="FF000000"/>
            <rFont val="Aptos Narrow"/>
            <scheme val="minor"/>
          </rPr>
          <t>======
ID#AAABjx7qQX0
    (2025-05-21 11:33:25)
請會計報研發費用發票</t>
        </r>
      </text>
    </comment>
    <comment ref="H2906" authorId="0" shapeId="0" xr:uid="{6AFB94EC-FDB8-9A42-9262-96564950BD7A}">
      <text>
        <r>
          <rPr>
            <sz val="10"/>
            <color rgb="FF000000"/>
            <rFont val="Aptos Narrow"/>
            <scheme val="minor"/>
          </rPr>
          <t>======
ID#AAABjx7qOJg
    (2025-05-21 11:33:24)
2016/4/12 Benson: getting payment notice from bank</t>
        </r>
      </text>
    </comment>
    <comment ref="H2907" authorId="0" shapeId="0" xr:uid="{CCEA162D-F1BC-3D44-8FFB-393BD867788A}">
      <text>
        <r>
          <rPr>
            <sz val="10"/>
            <color rgb="FF000000"/>
            <rFont val="Aptos Narrow"/>
            <scheme val="minor"/>
          </rPr>
          <t>======
ID#AAABjx7qWL0
    (2025-05-21 11:33:27)
2016/4/12 Benson: getting payment notice from bank</t>
        </r>
      </text>
    </comment>
    <comment ref="Z2907" authorId="0" shapeId="0" xr:uid="{97C16B2F-830A-CB48-A564-6C2A482522BD}">
      <text>
        <r>
          <rPr>
            <sz val="10"/>
            <color rgb="FF000000"/>
            <rFont val="Aptos Narrow"/>
            <scheme val="minor"/>
          </rPr>
          <t>======
ID#AAABjx7qQFM
    (2025-05-21 11:33:25)
同X177</t>
        </r>
      </text>
    </comment>
    <comment ref="H2908" authorId="0" shapeId="0" xr:uid="{996B9CC4-57C4-E148-A051-8F91408CD076}">
      <text>
        <r>
          <rPr>
            <sz val="10"/>
            <color rgb="FF000000"/>
            <rFont val="Aptos Narrow"/>
            <scheme val="minor"/>
          </rPr>
          <t>======
ID#AAABjx7qPVo
    (2025-05-21 11:33:24)
0503 Santiago : 收到銀行通知</t>
        </r>
      </text>
    </comment>
    <comment ref="Z2908" authorId="0" shapeId="0" xr:uid="{DAC87182-CEDF-3846-9055-18DAD1DCE6A2}">
      <text>
        <r>
          <rPr>
            <sz val="10"/>
            <color rgb="FF000000"/>
            <rFont val="Aptos Narrow"/>
            <scheme val="minor"/>
          </rPr>
          <t>======
ID#AAABjx7qWCE
    (2025-05-21 11:33:27)
@32.235</t>
        </r>
      </text>
    </comment>
    <comment ref="G2909" authorId="0" shapeId="0" xr:uid="{7313EE96-C962-644A-909B-3905770D354C}">
      <text>
        <r>
          <rPr>
            <sz val="10"/>
            <color rgb="FF000000"/>
            <rFont val="Aptos Narrow"/>
            <scheme val="minor"/>
          </rPr>
          <t>======
ID#AAABjx7qV-E
    (2025-05-21 11:33:27)
0417 w/5% VAT</t>
        </r>
      </text>
    </comment>
    <comment ref="H2909" authorId="0" shapeId="0" xr:uid="{EAD4602D-0780-F04F-AAF6-C3AB241B070A}">
      <text>
        <r>
          <rPr>
            <sz val="10"/>
            <color rgb="FF000000"/>
            <rFont val="Aptos Narrow"/>
            <scheme val="minor"/>
          </rPr>
          <t>======
ID#AAABjx7qQLM
0606 Santiago    (2025-05-21 11:33:25)
五月底已收到客戶支票. 6/6才登記</t>
        </r>
      </text>
    </comment>
    <comment ref="H2910" authorId="0" shapeId="0" xr:uid="{6D0383AA-EB4E-D94B-BA41-5E8F8E42107E}">
      <text>
        <r>
          <rPr>
            <sz val="10"/>
            <color rgb="FF000000"/>
            <rFont val="Aptos Narrow"/>
            <scheme val="minor"/>
          </rPr>
          <t>======
ID#AAABjx7qUsE
    (2025-05-21 11:33:26)
0421 Santiago: 銀行通知</t>
        </r>
      </text>
    </comment>
    <comment ref="H2911" authorId="0" shapeId="0" xr:uid="{AFD0C011-F1C2-674F-8AF8-84FA50CFC99E}">
      <text>
        <r>
          <rPr>
            <sz val="10"/>
            <color rgb="FF000000"/>
            <rFont val="Aptos Narrow"/>
            <scheme val="minor"/>
          </rPr>
          <t>======
ID#AAABjx7qSfM
    (2025-05-21 11:33:26)
0421 Santiago: 銀行通知</t>
        </r>
      </text>
    </comment>
    <comment ref="H2912" authorId="0" shapeId="0" xr:uid="{C15B372E-A909-B842-AD4C-411376073FD3}">
      <text>
        <r>
          <rPr>
            <sz val="10"/>
            <color rgb="FF000000"/>
            <rFont val="Aptos Narrow"/>
            <scheme val="minor"/>
          </rPr>
          <t>======
ID#AAABjx7qSMY
    (2025-05-21 11:33:26)
0421 Santiago: 銀行通知</t>
        </r>
      </text>
    </comment>
    <comment ref="H2913" authorId="0" shapeId="0" xr:uid="{43791468-89AC-C44F-8BCA-DC38463B5A4A}">
      <text>
        <r>
          <rPr>
            <sz val="10"/>
            <color rgb="FF000000"/>
            <rFont val="Aptos Narrow"/>
            <scheme val="minor"/>
          </rPr>
          <t>======
ID#AAABjx7qONU
    (2025-05-21 11:33:24)
0630 Santiago: 收到銀行通知</t>
        </r>
      </text>
    </comment>
    <comment ref="H2914" authorId="0" shapeId="0" xr:uid="{440BF1E6-3903-6542-80CB-7FA7514EB23D}">
      <text>
        <r>
          <rPr>
            <sz val="10"/>
            <color rgb="FF000000"/>
            <rFont val="Aptos Narrow"/>
            <scheme val="minor"/>
          </rPr>
          <t>======
ID#AAABjx7qPx4
    (2025-05-21 11:33:24)
0630 Santiago: 收到銀行通知</t>
        </r>
      </text>
    </comment>
    <comment ref="H2915" authorId="0" shapeId="0" xr:uid="{0693D224-D671-5C40-8E17-FDC12F76ABA5}">
      <text>
        <r>
          <rPr>
            <sz val="10"/>
            <color rgb="FF000000"/>
            <rFont val="Aptos Narrow"/>
            <scheme val="minor"/>
          </rPr>
          <t>======
ID#AAABjx7qO78
    (2025-05-21 11:33:24)
2016/6/13 Benson: 20160609 received T/T copy from customer
2016/6/13 Benson: got payment notification from bank</t>
        </r>
      </text>
    </comment>
    <comment ref="H2916" authorId="0" shapeId="0" xr:uid="{BD00778F-370B-4B40-A60E-1818EC2475C1}">
      <text>
        <r>
          <rPr>
            <sz val="10"/>
            <color rgb="FF000000"/>
            <rFont val="Aptos Narrow"/>
            <scheme val="minor"/>
          </rPr>
          <t>======
ID#AAABjx7qPGw
    (2025-05-21 11:33:24)
0816 chloe : 收到銀行通知 USD113,524</t>
        </r>
      </text>
    </comment>
    <comment ref="D2917" authorId="0" shapeId="0" xr:uid="{9362F927-9668-0C4D-BCBB-97A02B8C9115}">
      <text>
        <r>
          <rPr>
            <sz val="10"/>
            <color rgb="FF000000"/>
            <rFont val="Aptos Narrow"/>
            <scheme val="minor"/>
          </rPr>
          <t>======
ID#AAABjx7qO5g
    (2025-05-21 11:33:24)
0415 Santiago: 收件地址有變. 
改寄墨爾本辦公室. 同日已發信通知Chloe</t>
        </r>
      </text>
    </comment>
    <comment ref="H2917" authorId="0" shapeId="0" xr:uid="{55C67855-2A58-C14D-9CDB-B11E94A5A028}">
      <text>
        <r>
          <rPr>
            <sz val="10"/>
            <color rgb="FF000000"/>
            <rFont val="Aptos Narrow"/>
            <scheme val="minor"/>
          </rPr>
          <t>======
ID#AAABjx7qSCw
    (2025-05-21 11:33:25)
20160604 Santiago : received bank note</t>
        </r>
      </text>
    </comment>
    <comment ref="K2917" authorId="0" shapeId="0" xr:uid="{BF499EEA-ED43-2B49-98BA-3F069B9CF43B}">
      <text>
        <r>
          <rPr>
            <sz val="10"/>
            <color rgb="FF000000"/>
            <rFont val="Aptos Narrow"/>
            <scheme val="minor"/>
          </rPr>
          <t>======
ID#AAABjx7qRdo
    (2025-05-21 11:33:25)
0415 Santiago: 收件地址有變. 
改寄墨爾本辦公室. 同日已發信通知Chloe</t>
        </r>
      </text>
    </comment>
    <comment ref="D2918" authorId="0" shapeId="0" xr:uid="{669FC983-8413-A347-B79F-27826A91E529}">
      <text>
        <r>
          <rPr>
            <sz val="10"/>
            <color rgb="FF000000"/>
            <rFont val="Aptos Narrow"/>
            <scheme val="minor"/>
          </rPr>
          <t>======
ID#AAABjx7qOyM
    (2025-05-21 11:33:24)
0415 Santiago: 收件地址有變. 
改寄墨爾本辦公室. 同日已發信通知Chloe</t>
        </r>
      </text>
    </comment>
    <comment ref="E2918" authorId="0" shapeId="0" xr:uid="{BDF79E64-90FC-E440-B900-E913B67AE463}">
      <text>
        <r>
          <rPr>
            <sz val="10"/>
            <color rgb="FF000000"/>
            <rFont val="Aptos Narrow"/>
            <scheme val="minor"/>
          </rPr>
          <t>======
ID#AAABj82dpQI
Description     (2025-05-21 11:33:23)
Win Pro Embedded 7 SP1 32-bit/x64 EMB ESD OEI 1-2CPU
chloe:微軟標籤紙放在超恩的六台裡面</t>
        </r>
      </text>
    </comment>
    <comment ref="H2918" authorId="0" shapeId="0" xr:uid="{571A6AE7-E437-CB4A-B949-B1D3E23A867D}">
      <text>
        <r>
          <rPr>
            <sz val="10"/>
            <color rgb="FF000000"/>
            <rFont val="Aptos Narrow"/>
            <scheme val="minor"/>
          </rPr>
          <t>======
ID#AAABjx7qRvg
    (2025-05-21 11:33:25)
20160604 Santiago : received bank note</t>
        </r>
      </text>
    </comment>
    <comment ref="K2918" authorId="0" shapeId="0" xr:uid="{843A8AC6-85F1-584C-8E66-02829B6A7099}">
      <text>
        <r>
          <rPr>
            <sz val="10"/>
            <color rgb="FF000000"/>
            <rFont val="Aptos Narrow"/>
            <scheme val="minor"/>
          </rPr>
          <t>======
ID#AAABjx7qTSA
    (2025-05-21 11:33:26)
0415 Santiago: 收件地址有變. 
改寄墨爾本辦公室. 同日已發信通知Chloe</t>
        </r>
      </text>
    </comment>
    <comment ref="H2919" authorId="0" shapeId="0" xr:uid="{DACB7C74-1AFE-6F4C-9233-8B86914C284F}">
      <text>
        <r>
          <rPr>
            <sz val="10"/>
            <color rgb="FF000000"/>
            <rFont val="Aptos Narrow"/>
            <scheme val="minor"/>
          </rPr>
          <t>======
ID#AAABjx7qQ-s
    (2025-05-21 11:33:25)
0518 Santiago:收到客戶通知</t>
        </r>
      </text>
    </comment>
    <comment ref="H2920" authorId="0" shapeId="0" xr:uid="{BD91E12B-FF53-124B-86AF-658789D5F6FA}">
      <text>
        <r>
          <rPr>
            <sz val="10"/>
            <color rgb="FF000000"/>
            <rFont val="Aptos Narrow"/>
            <scheme val="minor"/>
          </rPr>
          <t>======
ID#AAABjx7qVwk
    (2025-05-21 11:33:27)
0518 Santiago:收到客戶通知</t>
        </r>
      </text>
    </comment>
    <comment ref="H2921" authorId="0" shapeId="0" xr:uid="{91334BF5-AAC2-404C-94CA-620496398D9F}">
      <text>
        <r>
          <rPr>
            <sz val="10"/>
            <color rgb="FF000000"/>
            <rFont val="Aptos Narrow"/>
            <scheme val="minor"/>
          </rPr>
          <t>======
ID#AAABjx7qUvY
    (2025-05-21 11:33:26)
0518 Santiago:收到客戶通知</t>
        </r>
      </text>
    </comment>
    <comment ref="Q2921" authorId="0" shapeId="0" xr:uid="{A3A74F01-8EE8-0F42-B508-0E1FF22222DD}">
      <text>
        <r>
          <rPr>
            <sz val="10"/>
            <color rgb="FF000000"/>
            <rFont val="Aptos Narrow"/>
            <scheme val="minor"/>
          </rPr>
          <t>======
ID#AAABjx7qUwM
    (2025-05-21 11:33:26)
與PI-20160319AF 合併</t>
        </r>
      </text>
    </comment>
    <comment ref="Z2921" authorId="0" shapeId="0" xr:uid="{8EBB1B07-F1DE-7C45-BDC9-A97C64C56998}">
      <text>
        <r>
          <rPr>
            <sz val="10"/>
            <color rgb="FF000000"/>
            <rFont val="Aptos Narrow"/>
            <scheme val="minor"/>
          </rPr>
          <t>======
ID#AAABjx7qQx8
    (2025-05-21 11:33:25)
尚缺 PI-20160408D DHL發票</t>
        </r>
      </text>
    </comment>
    <comment ref="H2922" authorId="0" shapeId="0" xr:uid="{C940115D-0DB8-844E-8748-1D4E6FFB4EA3}">
      <text>
        <r>
          <rPr>
            <sz val="10"/>
            <color rgb="FF000000"/>
            <rFont val="Aptos Narrow"/>
            <scheme val="minor"/>
          </rPr>
          <t>======
ID#AAABjx7qRvQ
    (2025-05-21 11:33:25)
0518 Santiago:收到客戶通知</t>
        </r>
      </text>
    </comment>
    <comment ref="Q2922" authorId="0" shapeId="0" xr:uid="{E538E02F-3077-074A-B264-928DD8DF4DD0}">
      <text>
        <r>
          <rPr>
            <sz val="10"/>
            <color rgb="FF000000"/>
            <rFont val="Aptos Narrow"/>
            <scheme val="minor"/>
          </rPr>
          <t>======
ID#AAABjx7qUtA
    (2025-05-21 11:33:26)
0421 Santiago: 下錯價格. 之前Michelle 用的是US$80, not US$85</t>
        </r>
      </text>
    </comment>
    <comment ref="H2923" authorId="0" shapeId="0" xr:uid="{C3380114-0557-8F4F-95D2-90A5DF972863}">
      <text>
        <r>
          <rPr>
            <sz val="10"/>
            <color rgb="FF000000"/>
            <rFont val="Aptos Narrow"/>
            <scheme val="minor"/>
          </rPr>
          <t>======
ID#AAABjx7qTes
    (2025-05-21 11:33:26)
0518 Santiago:收到客戶通知</t>
        </r>
      </text>
    </comment>
    <comment ref="H2924" authorId="0" shapeId="0" xr:uid="{3E1407FE-678C-CF4C-BD3A-C89D72F7EE18}">
      <text>
        <r>
          <rPr>
            <sz val="10"/>
            <color rgb="FF000000"/>
            <rFont val="Aptos Narrow"/>
            <scheme val="minor"/>
          </rPr>
          <t>======
ID#AAABjx7qRXA
    (2025-05-21 11:33:25)
0518 Santiago:收到客戶通知</t>
        </r>
      </text>
    </comment>
    <comment ref="H2925" authorId="0" shapeId="0" xr:uid="{3AA9B7EB-7803-294E-A972-024F7A1D68D8}">
      <text>
        <r>
          <rPr>
            <sz val="10"/>
            <color rgb="FF000000"/>
            <rFont val="Aptos Narrow"/>
            <scheme val="minor"/>
          </rPr>
          <t>======
ID#AAABjx7qNOc
    (2025-05-21 11:33:23)
0518 Santiago:收到客戶通知</t>
        </r>
      </text>
    </comment>
    <comment ref="H2926" authorId="0" shapeId="0" xr:uid="{F5AE93AD-878A-9941-A6E9-977A02DC23AB}">
      <text>
        <r>
          <rPr>
            <sz val="10"/>
            <color rgb="FF000000"/>
            <rFont val="Aptos Narrow"/>
            <scheme val="minor"/>
          </rPr>
          <t>======
ID#AAABjx7qSfc
    (2025-05-21 11:33:26)
0518 Santiago:收到客戶通知</t>
        </r>
      </text>
    </comment>
    <comment ref="E2927" authorId="0" shapeId="0" xr:uid="{458A1482-7630-2849-9DD6-85449C0C230C}">
      <text>
        <r>
          <rPr>
            <sz val="10"/>
            <color rgb="FF000000"/>
            <rFont val="Aptos Narrow"/>
            <scheme val="minor"/>
          </rPr>
          <t>======
ID#AAABjx7qV9g
    (2025-05-21 11:33:27)
EU Band w/ Cn Adapter</t>
        </r>
      </text>
    </comment>
    <comment ref="H2927" authorId="0" shapeId="0" xr:uid="{968829E3-8A5A-E94F-8A82-B924E2E80384}">
      <text>
        <r>
          <rPr>
            <sz val="10"/>
            <color rgb="FF000000"/>
            <rFont val="Aptos Narrow"/>
            <scheme val="minor"/>
          </rPr>
          <t>======
ID#AAABjx7qWas
    (2025-05-21 11:33:27)
0511 Santiago: 收到銀行通知入帳一半貨款共US$13184
0428 Santiago: 收到銀行通知入帳一半貨款共US$13184</t>
        </r>
      </text>
    </comment>
    <comment ref="P2927" authorId="0" shapeId="0" xr:uid="{A6D6723A-91C4-7143-90BF-2BDB6EF45678}">
      <text>
        <r>
          <rPr>
            <sz val="10"/>
            <color rgb="FF000000"/>
            <rFont val="Aptos Narrow"/>
            <scheme val="minor"/>
          </rPr>
          <t>======
ID#AAABjx7qQLc
    (2025-05-21 11:33:25)
160410 扣抵金額(含稅)US$997.5,應支付貨款(含稅)為US$16485元</t>
        </r>
      </text>
    </comment>
    <comment ref="AG2927" authorId="0" shapeId="0" xr:uid="{24B2D549-DEBA-A34F-B9A9-67AF31E94752}">
      <text>
        <r>
          <rPr>
            <sz val="10"/>
            <color rgb="FF000000"/>
            <rFont val="Aptos Narrow"/>
            <scheme val="minor"/>
          </rPr>
          <t>======
ID#AAABjx7qPMY
    (2025-05-21 11:33:24)
0428一半貨款共US$13184
0511一半貨款共US$13184</t>
        </r>
      </text>
    </comment>
    <comment ref="H2928" authorId="0" shapeId="0" xr:uid="{D5B4EAC7-7E45-864F-AB64-86742B7F72B0}">
      <text>
        <r>
          <rPr>
            <sz val="10"/>
            <color rgb="FF000000"/>
            <rFont val="Aptos Narrow"/>
            <scheme val="minor"/>
          </rPr>
          <t>======
ID#AAABjx7qOUk
    (2025-05-21 11:33:24)
0511 Santiago: 收到銀行通知入帳一半貨款共US$13184
0428 Santiago: 收到銀行通知入帳一半貨款共US$13184</t>
        </r>
      </text>
    </comment>
    <comment ref="P2928" authorId="0" shapeId="0" xr:uid="{5B509499-EF9C-3C44-882F-EB75B5046EA4}">
      <text>
        <r>
          <rPr>
            <sz val="10"/>
            <color rgb="FF000000"/>
            <rFont val="Aptos Narrow"/>
            <scheme val="minor"/>
          </rPr>
          <t>======
ID#AAABjx7qStM
    (2025-05-21 11:33:26)
160410 扣抵金額(含稅)US$504,應支付貨款(含稅)為US$6447元</t>
        </r>
      </text>
    </comment>
    <comment ref="Z2928" authorId="0" shapeId="0" xr:uid="{BA1C3B81-B95A-044F-B848-AA90A6CF0E49}">
      <text>
        <r>
          <rPr>
            <sz val="10"/>
            <color rgb="FF000000"/>
            <rFont val="Aptos Narrow"/>
            <scheme val="minor"/>
          </rPr>
          <t>======
ID#AAABjx7qPHE
    (2025-05-21 11:33:24)
同X207</t>
        </r>
      </text>
    </comment>
    <comment ref="AG2928" authorId="0" shapeId="0" xr:uid="{E38C5D68-23B1-4243-9C70-42964C30CDD2}">
      <text>
        <r>
          <rPr>
            <sz val="10"/>
            <color rgb="FF000000"/>
            <rFont val="Aptos Narrow"/>
            <scheme val="minor"/>
          </rPr>
          <t>======
ID#AAABjx7qNzg
    (2025-05-21 11:33:23)
0428一半貨款共US$13184
0511一半貨款共US$13184</t>
        </r>
      </text>
    </comment>
    <comment ref="H2929" authorId="0" shapeId="0" xr:uid="{495E6A7D-29F5-6849-A4C7-9D995CE6BF34}">
      <text>
        <r>
          <rPr>
            <sz val="10"/>
            <color rgb="FF000000"/>
            <rFont val="Aptos Narrow"/>
            <scheme val="minor"/>
          </rPr>
          <t>======
ID#AAABjx7qQg4
    (2025-05-21 11:33:25)
0503 Santiago : 收到銀行通知</t>
        </r>
      </text>
    </comment>
    <comment ref="Z2929" authorId="0" shapeId="0" xr:uid="{880659A0-4ABE-E142-ADAB-B08F8FE000E4}">
      <text>
        <r>
          <rPr>
            <sz val="10"/>
            <color rgb="FF000000"/>
            <rFont val="Aptos Narrow"/>
            <scheme val="minor"/>
          </rPr>
          <t>======
ID#AAABjx7qPug
    (2025-05-21 11:33:24)
@32.27</t>
        </r>
      </text>
    </comment>
    <comment ref="H2930" authorId="0" shapeId="0" xr:uid="{E32726EF-0712-EF4F-B669-51536C7DD6B5}">
      <text>
        <r>
          <rPr>
            <sz val="10"/>
            <color rgb="FF000000"/>
            <rFont val="Aptos Narrow"/>
            <scheme val="minor"/>
          </rPr>
          <t>======
ID#AAABjx7qOn4
    (2025-05-21 11:33:24)
0503 Santiago : 收到銀行通知</t>
        </r>
      </text>
    </comment>
    <comment ref="Z2930" authorId="0" shapeId="0" xr:uid="{17E6D89D-DC6F-AB42-9AFA-70CA8C78815B}">
      <text>
        <r>
          <rPr>
            <sz val="10"/>
            <color rgb="FF000000"/>
            <rFont val="Aptos Narrow"/>
            <scheme val="minor"/>
          </rPr>
          <t>======
ID#AAABjx7qSeY
    (2025-05-21 11:33:26)
@32.32</t>
        </r>
      </text>
    </comment>
    <comment ref="H2931" authorId="0" shapeId="0" xr:uid="{A24DB537-3A58-E546-9C3B-F0CB01B248BE}">
      <text>
        <r>
          <rPr>
            <sz val="10"/>
            <color rgb="FF000000"/>
            <rFont val="Aptos Narrow"/>
            <scheme val="minor"/>
          </rPr>
          <t>======
ID#AAABjx7qQq8
    (2025-05-21 11:33:25)
0622 Santiago : 收到銀行通知</t>
        </r>
      </text>
    </comment>
    <comment ref="J2931" authorId="0" shapeId="0" xr:uid="{A9FD3A69-BF5F-314D-A952-DC3EC4BB02D4}">
      <text>
        <r>
          <rPr>
            <sz val="10"/>
            <color rgb="FF000000"/>
            <rFont val="Aptos Narrow"/>
            <scheme val="minor"/>
          </rPr>
          <t>======
ID#AAABjx7qRHI
    (2025-05-21 11:33:25)
提單編號：7074423145</t>
        </r>
      </text>
    </comment>
    <comment ref="H2932" authorId="0" shapeId="0" xr:uid="{1A81C1AD-4A8E-E043-A2AC-4FACD5042E8F}">
      <text>
        <r>
          <rPr>
            <sz val="10"/>
            <color rgb="FF000000"/>
            <rFont val="Aptos Narrow"/>
            <scheme val="minor"/>
          </rPr>
          <t>======
ID#AAABjx7qRic
    (2025-05-21 11:33:25)
0524 chloe 收到貨款否?
0525 Benson:0519 收到客戶T/T copy</t>
        </r>
      </text>
    </comment>
    <comment ref="J2932" authorId="0" shapeId="0" xr:uid="{7C980258-F6CD-204C-BFFB-59CDC9DAA3C9}">
      <text>
        <r>
          <rPr>
            <sz val="10"/>
            <color rgb="FF000000"/>
            <rFont val="Aptos Narrow"/>
            <scheme val="minor"/>
          </rPr>
          <t>======
ID#AAABjx7qSXQ
    (2025-05-21 11:33:26)
提單編號：8434966083</t>
        </r>
      </text>
    </comment>
    <comment ref="G2933" authorId="0" shapeId="0" xr:uid="{A053326C-054C-F840-9ED5-833B8D592E45}">
      <text>
        <r>
          <rPr>
            <sz val="10"/>
            <color rgb="FF000000"/>
            <rFont val="Aptos Narrow"/>
            <scheme val="minor"/>
          </rPr>
          <t>======
ID#AAABjx7qShc
0506 Santiago    (2025-05-21 11:33:26)
把175.35 改成 164.85. 因為客戶訂單打錯金額</t>
        </r>
      </text>
    </comment>
    <comment ref="H2933" authorId="0" shapeId="0" xr:uid="{D12D942E-DC76-2D49-9881-3A0E4AFBA932}">
      <text>
        <r>
          <rPr>
            <sz val="10"/>
            <color rgb="FF000000"/>
            <rFont val="Aptos Narrow"/>
            <scheme val="minor"/>
          </rPr>
          <t>======
ID#AAABjx7qNSs
    (2025-05-21 11:33:23)
Santiago0513: 收到支票</t>
        </r>
      </text>
    </comment>
    <comment ref="AB2933" authorId="0" shapeId="0" xr:uid="{2D591508-3DCE-C94F-8AE5-85860BB03C21}">
      <text>
        <r>
          <rPr>
            <sz val="10"/>
            <color rgb="FF000000"/>
            <rFont val="Aptos Narrow"/>
            <scheme val="minor"/>
          </rPr>
          <t>======
ID#AAABjx7qPXs
    (2025-05-21 11:33:24)
發票修改</t>
        </r>
      </text>
    </comment>
    <comment ref="G2934" authorId="0" shapeId="0" xr:uid="{3D70A886-4A32-1F46-801C-2831FE0170D4}">
      <text>
        <r>
          <rPr>
            <sz val="10"/>
            <color rgb="FF000000"/>
            <rFont val="Aptos Narrow"/>
            <scheme val="minor"/>
          </rPr>
          <t>======
ID#AAABjx7qRqc
    (2025-05-21 11:33:25)
0425 w/5% vat</t>
        </r>
      </text>
    </comment>
    <comment ref="H2934" authorId="0" shapeId="0" xr:uid="{78172666-225B-6E49-9F0B-A886BC8C542F}">
      <text>
        <r>
          <rPr>
            <sz val="10"/>
            <color rgb="FF000000"/>
            <rFont val="Aptos Narrow"/>
            <scheme val="minor"/>
          </rPr>
          <t>======
ID#AAABjx7qRN8
    (2025-05-21 11:33:25)
0706 Chloe : 收到客戶支票</t>
        </r>
      </text>
    </comment>
    <comment ref="K2934" authorId="0" shapeId="0" xr:uid="{DFC0F832-0612-3E40-88C7-D21286201B1A}">
      <text>
        <r>
          <rPr>
            <sz val="10"/>
            <color rgb="FF000000"/>
            <rFont val="Aptos Narrow"/>
            <scheme val="minor"/>
          </rPr>
          <t>======
ID#AAABjx7qRWg
    (2025-05-21 11:33:25)
160418 Karen: 發票日期,請開4/26,謝謝</t>
        </r>
      </text>
    </comment>
    <comment ref="E2935" authorId="0" shapeId="0" xr:uid="{7E164DE9-049C-294C-98B7-065A3F791C1F}">
      <text>
        <r>
          <rPr>
            <sz val="10"/>
            <color rgb="FF000000"/>
            <rFont val="Aptos Narrow"/>
            <scheme val="minor"/>
          </rPr>
          <t>======
ID#AAABjx7qPxk
    (2025-05-21 11:33:24)
EU Band w/ Cn Adapter</t>
        </r>
      </text>
    </comment>
    <comment ref="H2935" authorId="0" shapeId="0" xr:uid="{6DE63BE6-04E9-864F-9771-EE4AA1CF26AD}">
      <text>
        <r>
          <rPr>
            <sz val="10"/>
            <color rgb="FF000000"/>
            <rFont val="Aptos Narrow"/>
            <scheme val="minor"/>
          </rPr>
          <t>======
ID#AAABjx7qOA8
    (2025-05-21 11:33:24)
20160711 Santiago : 收到銀行通知</t>
        </r>
      </text>
    </comment>
    <comment ref="M2935" authorId="0" shapeId="0" xr:uid="{DF99D937-4174-6B4D-A67D-FDDFE159ABEB}">
      <text>
        <r>
          <rPr>
            <sz val="10"/>
            <color rgb="FF000000"/>
            <rFont val="Aptos Narrow"/>
            <scheme val="minor"/>
          </rPr>
          <t>======
ID#AAABjx7qNrA
    (2025-05-21 11:33:23)
20160506 Santiago : 已告知延到5/13 出貨到朋騏
160421 安排5/9到朋騏</t>
        </r>
      </text>
    </comment>
    <comment ref="P2935" authorId="0" shapeId="0" xr:uid="{F7D40D33-2405-F447-B71B-F9FDA8105CAB}">
      <text>
        <r>
          <rPr>
            <sz val="10"/>
            <color rgb="FF000000"/>
            <rFont val="Aptos Narrow"/>
            <scheme val="minor"/>
          </rPr>
          <t>======
ID#AAABjx7qNrs
    (2025-05-21 11:33:23)
160421 扣抵金額(含稅)US$997.5,應支付貨款(含稅)為US$16485元</t>
        </r>
      </text>
    </comment>
    <comment ref="H2936" authorId="0" shapeId="0" xr:uid="{CE974ABC-4E55-A242-8E2F-C866B5203D48}">
      <text>
        <r>
          <rPr>
            <sz val="10"/>
            <color rgb="FF000000"/>
            <rFont val="Aptos Narrow"/>
            <scheme val="minor"/>
          </rPr>
          <t>======
ID#AAABjx7qU9A
    (2025-05-21 11:33:27)
0630 Santiago: 收到銀行通知</t>
        </r>
      </text>
    </comment>
    <comment ref="H2937" authorId="0" shapeId="0" xr:uid="{EB4819AA-632C-3B44-9DED-3F8140492CBD}">
      <text>
        <r>
          <rPr>
            <sz val="10"/>
            <color rgb="FF000000"/>
            <rFont val="Aptos Narrow"/>
            <scheme val="minor"/>
          </rPr>
          <t>======
ID#AAABjx7qV1U
    (2025-05-21 11:33:27)
0630 Santiago: 收到銀行通知</t>
        </r>
      </text>
    </comment>
    <comment ref="H2938" authorId="0" shapeId="0" xr:uid="{8CD66025-F20A-9B40-AF7F-EB0BAE875043}">
      <text>
        <r>
          <rPr>
            <sz val="10"/>
            <color rgb="FF000000"/>
            <rFont val="Aptos Narrow"/>
            <scheme val="minor"/>
          </rPr>
          <t>======
ID#AAABjx7qRec
    (2025-05-21 11:33:25)
0630 Santiago: 收到銀行通知</t>
        </r>
      </text>
    </comment>
    <comment ref="H2939" authorId="0" shapeId="0" xr:uid="{C13672D3-4883-4646-9D69-A5CF0F86F776}">
      <text>
        <r>
          <rPr>
            <sz val="10"/>
            <color rgb="FF000000"/>
            <rFont val="Aptos Narrow"/>
            <scheme val="minor"/>
          </rPr>
          <t>======
ID#AAABjx7qTbo
    (2025-05-21 11:33:26)
0630 Santiago: 收到銀行通知</t>
        </r>
      </text>
    </comment>
    <comment ref="H2940" authorId="0" shapeId="0" xr:uid="{18B7E4DA-8505-7B40-A1DA-D5AD19E315E5}">
      <text>
        <r>
          <rPr>
            <sz val="10"/>
            <color rgb="FF000000"/>
            <rFont val="Aptos Narrow"/>
            <scheme val="minor"/>
          </rPr>
          <t>======
ID#AAABjx7qP1w
    (2025-05-21 11:33:24)
0630 Santiago: 收到銀行通知</t>
        </r>
      </text>
    </comment>
    <comment ref="H2941" authorId="0" shapeId="0" xr:uid="{9FBBA161-FFD5-C648-BC2D-6F45D44FB595}">
      <text>
        <r>
          <rPr>
            <sz val="10"/>
            <color rgb="FF000000"/>
            <rFont val="Aptos Narrow"/>
            <scheme val="minor"/>
          </rPr>
          <t>======
ID#AAABjx7qP4g
    (2025-05-21 11:33:24)
0504 Santiago: 銀行通知匯入US$826</t>
        </r>
      </text>
    </comment>
    <comment ref="M2941" authorId="0" shapeId="0" xr:uid="{3DF1DFC9-7CFC-E54D-921C-5C3E3B6C96EE}">
      <text>
        <r>
          <rPr>
            <sz val="10"/>
            <color rgb="FF000000"/>
            <rFont val="Aptos Narrow"/>
            <scheme val="minor"/>
          </rPr>
          <t>======
ID#AAABjx7qQhE
    (2025-05-21 11:33:25)
5/5</t>
        </r>
      </text>
    </comment>
    <comment ref="H2942" authorId="0" shapeId="0" xr:uid="{174CCF09-0236-754A-8E99-BD0F71714D5C}">
      <text>
        <r>
          <rPr>
            <sz val="10"/>
            <color rgb="FF000000"/>
            <rFont val="Aptos Narrow"/>
            <scheme val="minor"/>
          </rPr>
          <t>======
ID#AAABjx7qSWY
    (2025-05-21 11:33:26)
0504 Santiago: 銀行通知匯入US$826</t>
        </r>
      </text>
    </comment>
    <comment ref="Z2942" authorId="0" shapeId="0" xr:uid="{1D335627-E5FC-7A4F-9702-F78DD64DD70B}">
      <text>
        <r>
          <rPr>
            <sz val="10"/>
            <color rgb="FF000000"/>
            <rFont val="Aptos Narrow"/>
            <scheme val="minor"/>
          </rPr>
          <t>======
ID#AAABjx7qOXU
    (2025-05-21 11:33:24)
1390630684</t>
        </r>
      </text>
    </comment>
    <comment ref="H2943" authorId="0" shapeId="0" xr:uid="{955D9479-4187-0445-89C6-DA2380B264D8}">
      <text>
        <r>
          <rPr>
            <sz val="10"/>
            <color rgb="FF000000"/>
            <rFont val="Aptos Narrow"/>
            <scheme val="minor"/>
          </rPr>
          <t>======
ID#AAABjx7qPic
    (2025-05-21 11:33:24)
0613 Santiago : 銀行通知</t>
        </r>
      </text>
    </comment>
    <comment ref="G2944" authorId="0" shapeId="0" xr:uid="{4C07C56D-FB35-544F-B446-524159AFC3E5}">
      <text>
        <r>
          <rPr>
            <sz val="10"/>
            <color rgb="FF000000"/>
            <rFont val="Aptos Narrow"/>
            <scheme val="minor"/>
          </rPr>
          <t>======
ID#AAABjx7qWLc
    (2025-05-21 11:33:27)
0425 w/5% vat</t>
        </r>
      </text>
    </comment>
    <comment ref="H2944" authorId="0" shapeId="0" xr:uid="{727EA460-C6DB-C849-87E6-8A0475AC6097}">
      <text>
        <r>
          <rPr>
            <sz val="10"/>
            <color rgb="FF000000"/>
            <rFont val="Aptos Narrow"/>
            <scheme val="minor"/>
          </rPr>
          <t>======
ID#AAABjx7qNIc
    (2025-05-21 11:33:23)
0701 Santiago: 8/30 才會入帳
0830 chloe: 已收到貨款NT1324</t>
        </r>
      </text>
    </comment>
    <comment ref="H2945" authorId="0" shapeId="0" xr:uid="{F7BEC690-26A5-6844-A745-EBAA2921B382}">
      <text>
        <r>
          <rPr>
            <sz val="10"/>
            <color rgb="FF000000"/>
            <rFont val="Aptos Narrow"/>
            <scheme val="minor"/>
          </rPr>
          <t>======
ID#AAABjx7qOLU
    (2025-05-21 11:33:24)
0622 Santiago : 收到銀行通知</t>
        </r>
      </text>
    </comment>
    <comment ref="H2946" authorId="0" shapeId="0" xr:uid="{EEEA15F1-0D0D-5045-8B66-EC68FD71F0A5}">
      <text>
        <r>
          <rPr>
            <sz val="10"/>
            <color rgb="FF000000"/>
            <rFont val="Aptos Narrow"/>
            <scheme val="minor"/>
          </rPr>
          <t>======
ID#AAABjx7qPCo
    (2025-05-21 11:33:24)
0622 Santiago : 收到銀行通知</t>
        </r>
      </text>
    </comment>
    <comment ref="H2947" authorId="0" shapeId="0" xr:uid="{9D2C82F2-4380-3447-A86B-8E6519D59686}">
      <text>
        <r>
          <rPr>
            <sz val="10"/>
            <color rgb="FF000000"/>
            <rFont val="Aptos Narrow"/>
            <scheme val="minor"/>
          </rPr>
          <t>======
ID#AAABjx7qTFE
    (2025-05-21 11:33:26)
0531 Benson: 0531 got payment receipt from bank</t>
        </r>
      </text>
    </comment>
    <comment ref="H2948" authorId="0" shapeId="0" xr:uid="{0CA26AFB-4A78-1748-8ABF-65732D8AB80B}">
      <text>
        <r>
          <rPr>
            <sz val="10"/>
            <color rgb="FF000000"/>
            <rFont val="Aptos Narrow"/>
            <scheme val="minor"/>
          </rPr>
          <t>======
ID#AAABjx7qU3s
    (2025-05-21 11:33:26)
0818 chloe:收到銀行通知USD3486</t>
        </r>
      </text>
    </comment>
    <comment ref="H2949" authorId="0" shapeId="0" xr:uid="{9EC35274-9E1E-CD4A-B15E-78FF9B580CBC}">
      <text>
        <r>
          <rPr>
            <sz val="10"/>
            <color rgb="FF000000"/>
            <rFont val="Aptos Narrow"/>
            <scheme val="minor"/>
          </rPr>
          <t>======
ID#AAABjx7qSqI
    (2025-05-21 11:33:26)
0613 Santiago: 收到銀行通知</t>
        </r>
      </text>
    </comment>
    <comment ref="H2950" authorId="0" shapeId="0" xr:uid="{DD36B444-D8DF-4147-8DB2-606FD1342C85}">
      <text>
        <r>
          <rPr>
            <sz val="10"/>
            <color rgb="FF000000"/>
            <rFont val="Aptos Narrow"/>
            <scheme val="minor"/>
          </rPr>
          <t>======
ID#AAABjx7qUtY
    (2025-05-21 11:33:26)
0613 Santiago: 收到銀行通知</t>
        </r>
      </text>
    </comment>
    <comment ref="H2951" authorId="0" shapeId="0" xr:uid="{94A83DCA-A49E-2549-97BD-286C716643EA}">
      <text>
        <r>
          <rPr>
            <sz val="10"/>
            <color rgb="FF000000"/>
            <rFont val="Aptos Narrow"/>
            <scheme val="minor"/>
          </rPr>
          <t>======
ID#AAABjx7qU4o
    (2025-05-21 11:33:26)
0613 Santiago: 收到銀行通知</t>
        </r>
      </text>
    </comment>
    <comment ref="H2952" authorId="0" shapeId="0" xr:uid="{604FC7BB-1380-D445-9F56-1C45580CC08E}">
      <text>
        <r>
          <rPr>
            <sz val="10"/>
            <color rgb="FF000000"/>
            <rFont val="Aptos Narrow"/>
            <scheme val="minor"/>
          </rPr>
          <t>======
ID#AAABjx7qU-o
    (2025-05-21 11:33:27)
0513 Santiago: 收到銀行匯款</t>
        </r>
      </text>
    </comment>
    <comment ref="H2953" authorId="0" shapeId="0" xr:uid="{5AE14CDB-09C9-1943-9A39-041B51D2FDB9}">
      <text>
        <r>
          <rPr>
            <sz val="10"/>
            <color rgb="FF000000"/>
            <rFont val="Aptos Narrow"/>
            <scheme val="minor"/>
          </rPr>
          <t>======
ID#AAABjx7qSr0
    (2025-05-21 11:33:26)
0513 Santiago: 收到銀行匯款</t>
        </r>
      </text>
    </comment>
    <comment ref="H2954" authorId="0" shapeId="0" xr:uid="{C46891B6-5110-524B-B8E3-80F113CD023A}">
      <text>
        <r>
          <rPr>
            <sz val="10"/>
            <color rgb="FF000000"/>
            <rFont val="Aptos Narrow"/>
            <scheme val="minor"/>
          </rPr>
          <t>======
ID#AAABjx7qRYU
    (2025-05-21 11:33:25)
0614 Santiago: 收到客戶水單</t>
        </r>
      </text>
    </comment>
    <comment ref="F2955" authorId="0" shapeId="0" xr:uid="{2EDA2F74-8E8A-794C-8B93-62A2CC54DF1D}">
      <text>
        <r>
          <rPr>
            <sz val="10"/>
            <color rgb="FF000000"/>
            <rFont val="Aptos Narrow"/>
            <scheme val="minor"/>
          </rPr>
          <t>======
ID#AAABjx7qQJE
    (2025-05-21 11:33:25)
0620 Santiago: 原本100, 數量臨時增加為180</t>
        </r>
      </text>
    </comment>
    <comment ref="H2955" authorId="0" shapeId="0" xr:uid="{B00692C6-0AD5-B440-9F68-6DB050BDED52}">
      <text>
        <r>
          <rPr>
            <sz val="10"/>
            <color rgb="FF000000"/>
            <rFont val="Aptos Narrow"/>
            <scheme val="minor"/>
          </rPr>
          <t>======
ID#AAABjx7qSCg
    (2025-05-21 11:33:25)
0815 chloe:收到銀行通知3699</t>
        </r>
      </text>
    </comment>
    <comment ref="K2955" authorId="0" shapeId="0" xr:uid="{9BF36A76-3397-874D-9558-7BD1FAB758CC}">
      <text>
        <r>
          <rPr>
            <sz val="10"/>
            <color rgb="FF000000"/>
            <rFont val="Aptos Narrow"/>
            <scheme val="minor"/>
          </rPr>
          <t>======
ID#AAABjx7qTlk
    (2025-05-21 11:33:26)
BCN900382</t>
        </r>
      </text>
    </comment>
    <comment ref="F2956" authorId="0" shapeId="0" xr:uid="{FA0CEAD8-6F23-634A-A574-E8D553A1DD6E}">
      <text>
        <r>
          <rPr>
            <sz val="10"/>
            <color rgb="FF000000"/>
            <rFont val="Aptos Narrow"/>
            <scheme val="minor"/>
          </rPr>
          <t>======
ID#AAABjx7qVX0
    (2025-05-21 11:33:27)
0620 Santiago: 原本150, 數量臨時減少為70</t>
        </r>
      </text>
    </comment>
    <comment ref="H2956" authorId="0" shapeId="0" xr:uid="{157AC2B9-5928-5546-8DB3-5F621746AA93}">
      <text>
        <r>
          <rPr>
            <sz val="10"/>
            <color rgb="FF000000"/>
            <rFont val="Aptos Narrow"/>
            <scheme val="minor"/>
          </rPr>
          <t>======
ID#AAABjx7qR0E
    (2025-05-21 11:33:25)
0815 chloe:收到銀行通知3699</t>
        </r>
      </text>
    </comment>
    <comment ref="K2956" authorId="0" shapeId="0" xr:uid="{F43D7CF6-2182-CF42-B3F4-6AF0A43EB8EE}">
      <text>
        <r>
          <rPr>
            <sz val="10"/>
            <color rgb="FF000000"/>
            <rFont val="Aptos Narrow"/>
            <scheme val="minor"/>
          </rPr>
          <t>======
ID#AAABjx7qRMI
    (2025-05-21 11:33:25)
BCN900382</t>
        </r>
      </text>
    </comment>
    <comment ref="G2957" authorId="0" shapeId="0" xr:uid="{0ADC0A57-113D-7F42-85C8-3EDC7CF74487}">
      <text>
        <r>
          <rPr>
            <sz val="10"/>
            <color rgb="FF000000"/>
            <rFont val="Aptos Narrow"/>
            <scheme val="minor"/>
          </rPr>
          <t>======
ID#AAABjx7qQJw
    (2025-05-21 11:33:25)
0506 w/5% vat</t>
        </r>
      </text>
    </comment>
    <comment ref="H2957" authorId="0" shapeId="0" xr:uid="{01708F6E-1F5F-6144-8F44-7F448909370F}">
      <text>
        <r>
          <rPr>
            <sz val="10"/>
            <color rgb="FF000000"/>
            <rFont val="Aptos Narrow"/>
            <scheme val="minor"/>
          </rPr>
          <t>======
ID#AAABjx7qSGw
    (2025-05-21 11:33:26)
0706 Chloe : 收到客戶支票</t>
        </r>
      </text>
    </comment>
    <comment ref="H2958" authorId="0" shapeId="0" xr:uid="{1D2C52E8-A123-9347-997D-55C8A39E70BD}">
      <text>
        <r>
          <rPr>
            <sz val="10"/>
            <color rgb="FF000000"/>
            <rFont val="Aptos Narrow"/>
            <scheme val="minor"/>
          </rPr>
          <t>======
ID#AAABjx7qRIs
    (2025-05-21 11:33:25)
0525 Santiago:匯入</t>
        </r>
      </text>
    </comment>
    <comment ref="P2958" authorId="0" shapeId="0" xr:uid="{B66A8208-DC8B-D94C-A80C-2A8BEFD75597}">
      <text>
        <r>
          <rPr>
            <sz val="10"/>
            <color rgb="FF000000"/>
            <rFont val="Aptos Narrow"/>
            <scheme val="minor"/>
          </rPr>
          <t>======
ID#AAABjx7qNE0
    (2025-05-21 11:33:23)
160511 扣抵金額(含稅)US$498.75元,應支付貨款(含稅)為US$9660元</t>
        </r>
      </text>
    </comment>
    <comment ref="H2959" authorId="0" shapeId="0" xr:uid="{9FEACCCB-A53B-0B4E-A003-9742B905D8F7}">
      <text>
        <r>
          <rPr>
            <sz val="10"/>
            <color rgb="FF000000"/>
            <rFont val="Aptos Narrow"/>
            <scheme val="minor"/>
          </rPr>
          <t>======
ID#AAABjx7qO8I
    (2025-05-21 11:33:24)
0518 Santiago:收到銀竹通知</t>
        </r>
      </text>
    </comment>
    <comment ref="H2960" authorId="0" shapeId="0" xr:uid="{D889432F-59C8-E94A-9D5F-8CADA8589626}">
      <text>
        <r>
          <rPr>
            <sz val="10"/>
            <color rgb="FF000000"/>
            <rFont val="Aptos Narrow"/>
            <scheme val="minor"/>
          </rPr>
          <t>======
ID#AAABjx7qVAs
    (2025-05-21 11:33:27)
2016/6/29 Benson: get payment receipt from bank</t>
        </r>
      </text>
    </comment>
    <comment ref="H2961" authorId="0" shapeId="0" xr:uid="{35EA6D26-8827-AF47-8050-C5BF69B6257B}">
      <text>
        <r>
          <rPr>
            <sz val="10"/>
            <color rgb="FF000000"/>
            <rFont val="Aptos Narrow"/>
            <scheme val="minor"/>
          </rPr>
          <t>======
ID#AAABjx7qV-o
    (2025-05-21 11:33:27)
2016/6/29 Benson: get payment receipt from bank</t>
        </r>
      </text>
    </comment>
    <comment ref="H2962" authorId="0" shapeId="0" xr:uid="{615900E1-21C8-0544-8974-D85DC5F661EB}">
      <text>
        <r>
          <rPr>
            <sz val="10"/>
            <color rgb="FF000000"/>
            <rFont val="Aptos Narrow"/>
            <scheme val="minor"/>
          </rPr>
          <t>======
ID#AAABjx7qTNI
    (2025-05-21 11:33:26)
2016/6/29 Benson: get payment receipt from bank</t>
        </r>
      </text>
    </comment>
    <comment ref="H2963" authorId="0" shapeId="0" xr:uid="{5B0F89B0-4496-8D42-A95A-263DF18E84E7}">
      <text>
        <r>
          <rPr>
            <sz val="10"/>
            <color rgb="FF000000"/>
            <rFont val="Aptos Narrow"/>
            <scheme val="minor"/>
          </rPr>
          <t>======
ID#AAABjx7qRrI
    (2025-05-21 11:33:25)
2016/6/29 Benson: get payment receipt from bank</t>
        </r>
      </text>
    </comment>
    <comment ref="H2964" authorId="0" shapeId="0" xr:uid="{12E1D5CA-AF9D-DD4F-AC76-2F1BA8768CBA}">
      <text>
        <r>
          <rPr>
            <sz val="10"/>
            <color rgb="FF000000"/>
            <rFont val="Aptos Narrow"/>
            <scheme val="minor"/>
          </rPr>
          <t>======
ID#AAABjx7qSE8
    (2025-05-21 11:33:26)
2016/6/29 Benson: get payment receipt from bank</t>
        </r>
      </text>
    </comment>
    <comment ref="D2965" authorId="0" shapeId="0" xr:uid="{C58121EE-9E35-E74B-A69D-93743DAB7AB5}">
      <text>
        <r>
          <rPr>
            <sz val="10"/>
            <color rgb="FF000000"/>
            <rFont val="Aptos Narrow"/>
            <scheme val="minor"/>
          </rPr>
          <t>======
ID#AAABjx7qOQw
    (2025-05-21 11:33:24)
Santiago 0525: 因為交期出問題, 客戶決定取消訂單</t>
        </r>
      </text>
    </comment>
    <comment ref="D2966" authorId="0" shapeId="0" xr:uid="{77F00FB0-E80F-724C-A0B0-469100785CB9}">
      <text>
        <r>
          <rPr>
            <sz val="10"/>
            <color rgb="FF000000"/>
            <rFont val="Aptos Narrow"/>
            <scheme val="minor"/>
          </rPr>
          <t>======
ID#AAABjx7qQes
    (2025-05-21 11:33:25)
Santiago 0525: 因為交期出問題, 客戶決定取消訂單</t>
        </r>
      </text>
    </comment>
    <comment ref="H2967" authorId="0" shapeId="0" xr:uid="{8B739FCD-5D48-A740-9F53-6EE3A37A749D}">
      <text>
        <r>
          <rPr>
            <sz val="10"/>
            <color rgb="FF000000"/>
            <rFont val="Aptos Narrow"/>
            <scheme val="minor"/>
          </rPr>
          <t>======
ID#AAABjx7qTaA
    (2025-05-21 11:33:26)
0630 Santiago: 收到銀行通知</t>
        </r>
      </text>
    </comment>
    <comment ref="H2968" authorId="0" shapeId="0" xr:uid="{0259F34A-2428-FC46-A110-E9DB5828E9F1}">
      <text>
        <r>
          <rPr>
            <sz val="10"/>
            <color rgb="FF000000"/>
            <rFont val="Aptos Narrow"/>
            <scheme val="minor"/>
          </rPr>
          <t>======
ID#AAABjx7qWDU
    (2025-05-21 11:33:27)
0525 Benson: 0519 got T/T copy
0527 Benson: 0526 got payment receipt from bank</t>
        </r>
      </text>
    </comment>
    <comment ref="H2969" authorId="0" shapeId="0" xr:uid="{7B3A8157-1D02-5B4D-9A04-67AE06414342}">
      <text>
        <r>
          <rPr>
            <sz val="10"/>
            <color rgb="FF000000"/>
            <rFont val="Aptos Narrow"/>
            <scheme val="minor"/>
          </rPr>
          <t>======
ID#AAABjx7qTrs
    (2025-05-21 11:33:26)
0525 Benson: 0519 got T/T copy
0527 Benson: 0526 got payment receipt from bank</t>
        </r>
      </text>
    </comment>
    <comment ref="H2970" authorId="0" shapeId="0" xr:uid="{04628233-A7D7-1B4F-A8AC-55CD1D8CEC86}">
      <text>
        <r>
          <rPr>
            <sz val="10"/>
            <color rgb="FF000000"/>
            <rFont val="Aptos Narrow"/>
            <scheme val="minor"/>
          </rPr>
          <t>======
ID#AAABjx7qQT4
    (2025-05-21 11:33:25)
0525 Benson: 0519 got T/T copy
0527 Benson: 0526 got payment receipt from bank</t>
        </r>
      </text>
    </comment>
    <comment ref="H2971" authorId="0" shapeId="0" xr:uid="{46326C99-5B4D-1F4B-8BAC-6E8E04969A44}">
      <text>
        <r>
          <rPr>
            <sz val="10"/>
            <color rgb="FF000000"/>
            <rFont val="Aptos Narrow"/>
            <scheme val="minor"/>
          </rPr>
          <t>======
ID#AAABjx7qSfg
    (2025-05-21 11:33:26)
0525 Benson: 0519 got T/T copy
0527 Benson: 0526 got payment receipt from bank</t>
        </r>
      </text>
    </comment>
    <comment ref="D2972" authorId="0" shapeId="0" xr:uid="{8DBFD4E1-BA05-2F40-96B0-BE46486EE07F}">
      <text>
        <r>
          <rPr>
            <sz val="10"/>
            <color rgb="FF000000"/>
            <rFont val="Aptos Narrow"/>
            <scheme val="minor"/>
          </rPr>
          <t>======
ID#AAABjx7qWF8
    (2025-05-21 11:33:27)
0601 Santiago 要求修改 PI號碼. 全部納入PI-20160118D</t>
        </r>
      </text>
    </comment>
    <comment ref="H2972" authorId="0" shapeId="0" xr:uid="{1A65A3BB-8138-C54E-A5A0-5867B85843C6}">
      <text>
        <r>
          <rPr>
            <sz val="10"/>
            <color rgb="FF000000"/>
            <rFont val="Aptos Narrow"/>
            <scheme val="minor"/>
          </rPr>
          <t>======
ID#AAABjx7qMzw
    (2025-05-21 11:33:23)
20160607 Santiago: 收到16780</t>
        </r>
      </text>
    </comment>
    <comment ref="D2973" authorId="0" shapeId="0" xr:uid="{0CDBA2D2-6368-B943-9C06-BF02E5EB9530}">
      <text>
        <r>
          <rPr>
            <sz val="10"/>
            <color rgb="FF000000"/>
            <rFont val="Aptos Narrow"/>
            <scheme val="minor"/>
          </rPr>
          <t>======
ID#AAABjx7qRoU
    (2025-05-21 11:33:25)
0601 Santiago 要求修改 PI號碼. 全部納入PI-20160118D</t>
        </r>
      </text>
    </comment>
    <comment ref="H2973" authorId="0" shapeId="0" xr:uid="{931A4213-C057-A143-9CCC-6A91B27C3A23}">
      <text>
        <r>
          <rPr>
            <sz val="10"/>
            <color rgb="FF000000"/>
            <rFont val="Aptos Narrow"/>
            <scheme val="minor"/>
          </rPr>
          <t>======
ID#AAABjx7qTrE
    (2025-05-21 11:33:26)
20160607 Santiago: 收到16780</t>
        </r>
      </text>
    </comment>
    <comment ref="H2974" authorId="0" shapeId="0" xr:uid="{E44747FC-EFF8-3041-90FD-5D914ED7E4F8}">
      <text>
        <r>
          <rPr>
            <sz val="10"/>
            <color rgb="FF000000"/>
            <rFont val="Aptos Narrow"/>
            <scheme val="minor"/>
          </rPr>
          <t>======
ID#AAABjx7qRqo
    (2025-05-21 11:33:25)
0801 chloe:收到銀行通知USD3151</t>
        </r>
      </text>
    </comment>
    <comment ref="H2975" authorId="0" shapeId="0" xr:uid="{84C07CB1-6920-124B-BEED-40B65D59BBAB}">
      <text>
        <r>
          <rPr>
            <sz val="10"/>
            <color rgb="FF000000"/>
            <rFont val="Aptos Narrow"/>
            <scheme val="minor"/>
          </rPr>
          <t>======
ID#AAABj82dpQA
    (2025-05-21 11:33:23)
0830 chloe:已另外製作INVOICE與客戶請款
0905 chloe:收到銀行通知USD9314</t>
        </r>
      </text>
    </comment>
    <comment ref="H2976" authorId="0" shapeId="0" xr:uid="{E10B1E2D-FF0F-174A-8FAF-FCAB85BEB385}">
      <text>
        <r>
          <rPr>
            <sz val="10"/>
            <color rgb="FF000000"/>
            <rFont val="Aptos Narrow"/>
            <scheme val="minor"/>
          </rPr>
          <t>======
ID#AAABjx7qVcM
    (2025-05-21 11:33:27)
0818 chloe: 收到銀行通知USD3248</t>
        </r>
      </text>
    </comment>
    <comment ref="M2976" authorId="0" shapeId="0" xr:uid="{D0EDFD8B-2D58-B44A-B470-0409FF4FF53E}">
      <text>
        <r>
          <rPr>
            <sz val="10"/>
            <color rgb="FF000000"/>
            <rFont val="Aptos Narrow"/>
            <scheme val="minor"/>
          </rPr>
          <t>======
ID#AAABjx7qSV4
    (2025-05-21 11:33:26)
0626 chloe 加工中</t>
        </r>
      </text>
    </comment>
    <comment ref="H2977" authorId="0" shapeId="0" xr:uid="{8951CA4B-E1F8-B340-AD78-714974808A79}">
      <text>
        <r>
          <rPr>
            <sz val="10"/>
            <color rgb="FF000000"/>
            <rFont val="Aptos Narrow"/>
            <scheme val="minor"/>
          </rPr>
          <t>======
ID#AAABjx7qNos
    (2025-05-21 11:33:23)
0125 chloe:收到銀行通知USD2102</t>
        </r>
      </text>
    </comment>
    <comment ref="M2977" authorId="0" shapeId="0" xr:uid="{A92CBAA2-BB8B-1A4D-97A0-ADC3E47A0E36}">
      <text>
        <r>
          <rPr>
            <sz val="10"/>
            <color rgb="FF000000"/>
            <rFont val="Aptos Narrow"/>
            <scheme val="minor"/>
          </rPr>
          <t>======
ID#AAABjx7qWEQ
    (2025-05-21 11:33:27)
1111 chloe:大陸產出12/20，先預抓待PULL IN
1125 chloe: PULL IN 回覆12/21</t>
        </r>
      </text>
    </comment>
    <comment ref="H2978" authorId="0" shapeId="0" xr:uid="{794699A2-1EAA-E345-B201-4E559F2640FF}">
      <text>
        <r>
          <rPr>
            <sz val="10"/>
            <color rgb="FF000000"/>
            <rFont val="Aptos Narrow"/>
            <scheme val="minor"/>
          </rPr>
          <t>======
ID#AAABjx7qN0Q
    (2025-05-21 11:33:23)
2016/6/29 Benson: get payment receipt from bank</t>
        </r>
      </text>
    </comment>
    <comment ref="H2979" authorId="0" shapeId="0" xr:uid="{02A72080-4A40-7447-91CC-0EB62F79D36E}">
      <text>
        <r>
          <rPr>
            <sz val="10"/>
            <color rgb="FF000000"/>
            <rFont val="Aptos Narrow"/>
            <scheme val="minor"/>
          </rPr>
          <t>======
ID#AAABjx7qWB8
    (2025-05-21 11:33:27)
2016/6/29 Benson: get payment receipt from bank</t>
        </r>
      </text>
    </comment>
    <comment ref="H2980" authorId="0" shapeId="0" xr:uid="{BC6FD779-87A8-F545-AB0C-E66C877FFA3A}">
      <text>
        <r>
          <rPr>
            <sz val="10"/>
            <color rgb="FF000000"/>
            <rFont val="Aptos Narrow"/>
            <scheme val="minor"/>
          </rPr>
          <t>======
ID#AAABjx7qTjo
    (2025-05-21 11:33:26)
0630 Santiago: 收到銀行通知</t>
        </r>
      </text>
    </comment>
    <comment ref="H2981" authorId="0" shapeId="0" xr:uid="{F058200F-E32F-1E46-9C29-D057B20BF3DB}">
      <text>
        <r>
          <rPr>
            <sz val="10"/>
            <color rgb="FF000000"/>
            <rFont val="Aptos Narrow"/>
            <scheme val="minor"/>
          </rPr>
          <t>======
ID#AAABjx7qRH8
    (2025-05-21 11:33:25)
0630 Santiago: 收到銀行通知</t>
        </r>
      </text>
    </comment>
    <comment ref="H2982" authorId="0" shapeId="0" xr:uid="{28E4336C-4F1D-D144-80A7-DD047651F643}">
      <text>
        <r>
          <rPr>
            <sz val="10"/>
            <color rgb="FF000000"/>
            <rFont val="Aptos Narrow"/>
            <scheme val="minor"/>
          </rPr>
          <t>======
ID#AAABjx7qOsA
    (2025-05-21 11:33:24)
0630 Santiago: 收到銀行通知</t>
        </r>
      </text>
    </comment>
    <comment ref="D2983" authorId="0" shapeId="0" xr:uid="{BF96DC03-9030-634F-BC3D-CD7FDF28DCD0}">
      <text>
        <r>
          <rPr>
            <sz val="10"/>
            <color rgb="FF000000"/>
            <rFont val="Aptos Narrow"/>
            <scheme val="minor"/>
          </rPr>
          <t>======
ID#AAABjx7qSsg
    (2025-05-21 11:33:26)
0601 Santiago 要求修改 PI號碼. 全部納入PI-20160118D</t>
        </r>
      </text>
    </comment>
    <comment ref="H2983" authorId="0" shapeId="0" xr:uid="{08CDA4C4-EDCC-4A4B-AD75-854234B90062}">
      <text>
        <r>
          <rPr>
            <sz val="10"/>
            <color rgb="FF000000"/>
            <rFont val="Aptos Narrow"/>
            <scheme val="minor"/>
          </rPr>
          <t>======
ID#AAABjx7qOSI
    (2025-05-21 11:33:24)
20160607 Santiago: 收到16780</t>
        </r>
      </text>
    </comment>
    <comment ref="D2984" authorId="0" shapeId="0" xr:uid="{75D5E556-BEFC-6E4D-9272-F4017C453DD8}">
      <text>
        <r>
          <rPr>
            <sz val="10"/>
            <color rgb="FF000000"/>
            <rFont val="Aptos Narrow"/>
            <scheme val="minor"/>
          </rPr>
          <t>======
ID#AAABjx7qTlA
    (2025-05-21 11:33:26)
0601 Santiago 要求修改 PI號碼. 全部納入PI-20160118D</t>
        </r>
      </text>
    </comment>
    <comment ref="H2984" authorId="0" shapeId="0" xr:uid="{38581EFE-65AF-8049-86A5-FA23F603F870}">
      <text>
        <r>
          <rPr>
            <sz val="10"/>
            <color rgb="FF000000"/>
            <rFont val="Aptos Narrow"/>
            <scheme val="minor"/>
          </rPr>
          <t>======
ID#AAABjx7qNKQ
    (2025-05-21 11:33:23)
20160607 Santiago: 收到16780</t>
        </r>
      </text>
    </comment>
    <comment ref="D2985" authorId="0" shapeId="0" xr:uid="{66EB8B34-CC7E-FC43-83A7-62057ED3EE04}">
      <text>
        <r>
          <rPr>
            <sz val="10"/>
            <color rgb="FF000000"/>
            <rFont val="Aptos Narrow"/>
            <scheme val="minor"/>
          </rPr>
          <t>======
ID#AAABjx7qPTw
    (2025-05-21 11:33:24)
0601 Santiago 要求修改 PI號碼. 全部納入PI-20160118D</t>
        </r>
      </text>
    </comment>
    <comment ref="H2985" authorId="0" shapeId="0" xr:uid="{AE1CA406-829C-8C4C-9D42-61C288E89C39}">
      <text>
        <r>
          <rPr>
            <sz val="10"/>
            <color rgb="FF000000"/>
            <rFont val="Aptos Narrow"/>
            <scheme val="minor"/>
          </rPr>
          <t>======
ID#AAABjx7qSlo
    (2025-05-21 11:33:26)
20160607 Santiago: 收到16780</t>
        </r>
      </text>
    </comment>
    <comment ref="H2986" authorId="0" shapeId="0" xr:uid="{E319494A-4221-3847-84C0-5A0961492B7D}">
      <text>
        <r>
          <rPr>
            <sz val="10"/>
            <color rgb="FF000000"/>
            <rFont val="Aptos Narrow"/>
            <scheme val="minor"/>
          </rPr>
          <t>======
ID#AAABjx7qOEg
    (2025-05-21 11:33:24)
0630 Santiago: 收到銀行通知</t>
        </r>
      </text>
    </comment>
    <comment ref="W2986" authorId="0" shapeId="0" xr:uid="{20607E3F-DFBC-1B45-ABCC-B291DC9E2D48}">
      <text>
        <r>
          <rPr>
            <sz val="10"/>
            <color rgb="FF000000"/>
            <rFont val="Aptos Narrow"/>
            <scheme val="minor"/>
          </rPr>
          <t>======
ID#AAABjx7qSS4
    (2025-05-21 11:33:26)
0808 chloe: 業務無給對帳單，故改為9/5付款</t>
        </r>
      </text>
    </comment>
    <comment ref="H2987" authorId="0" shapeId="0" xr:uid="{1DC1082E-562D-B248-942D-5ED5B47140F6}">
      <text>
        <r>
          <rPr>
            <sz val="10"/>
            <color rgb="FF000000"/>
            <rFont val="Aptos Narrow"/>
            <scheme val="minor"/>
          </rPr>
          <t>======
ID#AAABjx7qN3s
    (2025-05-21 11:33:23)
0630 Santiago: 收到銀行通知</t>
        </r>
      </text>
    </comment>
    <comment ref="W2987" authorId="0" shapeId="0" xr:uid="{F751C51C-68A5-AE46-B050-4604035937F7}">
      <text>
        <r>
          <rPr>
            <sz val="10"/>
            <color rgb="FF000000"/>
            <rFont val="Aptos Narrow"/>
            <scheme val="minor"/>
          </rPr>
          <t>======
ID#AAABjx7qVmk
    (2025-05-21 11:33:27)
0808 chloe: 業務無給對帳單，故改為9/5付款</t>
        </r>
      </text>
    </comment>
    <comment ref="H2988" authorId="0" shapeId="0" xr:uid="{B11696EF-6BC4-3346-A522-506616955A6F}">
      <text>
        <r>
          <rPr>
            <sz val="10"/>
            <color rgb="FF000000"/>
            <rFont val="Aptos Narrow"/>
            <scheme val="minor"/>
          </rPr>
          <t>======
ID#AAABj82dpKw
    (2025-05-21 11:33:23)
0630 Santiago: 收到銀行通知</t>
        </r>
      </text>
    </comment>
    <comment ref="W2988" authorId="0" shapeId="0" xr:uid="{85372F51-E34C-9F48-898D-C012DACB67AA}">
      <text>
        <r>
          <rPr>
            <sz val="10"/>
            <color rgb="FF000000"/>
            <rFont val="Aptos Narrow"/>
            <scheme val="minor"/>
          </rPr>
          <t>======
ID#AAABjx7qUyc
    (2025-05-21 11:33:26)
0808 chloe: 業務無給對帳單，故改為9/5付款</t>
        </r>
      </text>
    </comment>
    <comment ref="H2989" authorId="0" shapeId="0" xr:uid="{6588A894-92F4-6E4F-BCDA-823C2393DF3E}">
      <text>
        <r>
          <rPr>
            <sz val="10"/>
            <color rgb="FF000000"/>
            <rFont val="Aptos Narrow"/>
            <scheme val="minor"/>
          </rPr>
          <t>======
ID#AAABjx7qVVE
    (2025-05-21 11:33:27)
0705 Santiago : 收到銀行通知</t>
        </r>
      </text>
    </comment>
    <comment ref="H2990" authorId="0" shapeId="0" xr:uid="{35C18688-6066-2441-962D-05A8AE048B8D}">
      <text>
        <r>
          <rPr>
            <sz val="10"/>
            <color rgb="FF000000"/>
            <rFont val="Aptos Narrow"/>
            <scheme val="minor"/>
          </rPr>
          <t>======
ID#AAABjx7qRso
    (2025-05-21 11:33:25)
0801 chloe:收到銀行通知USD3151</t>
        </r>
      </text>
    </comment>
    <comment ref="I2990" authorId="0" shapeId="0" xr:uid="{8133477D-7AAB-EE40-9AFA-171169BC25D1}">
      <text>
        <r>
          <rPr>
            <sz val="10"/>
            <color rgb="FF000000"/>
            <rFont val="Aptos Narrow"/>
            <scheme val="minor"/>
          </rPr>
          <t>======
ID#AAABj82dpLs
    (2025-05-21 11:33:23)
0830 Chloe:不計算獎金，因業務及採購都不須計算</t>
        </r>
      </text>
    </comment>
    <comment ref="AB2990" authorId="0" shapeId="0" xr:uid="{E2B9A8EC-DB6B-4F44-97FD-1F0DD9DFD402}">
      <text>
        <r>
          <rPr>
            <sz val="10"/>
            <color rgb="FF000000"/>
            <rFont val="Aptos Narrow"/>
            <scheme val="minor"/>
          </rPr>
          <t>======
ID#AAABjx7qQxI
    (2025-05-21 11:33:25)
兩箱13KG 53*17*48 通知DHL拉回重工</t>
        </r>
      </text>
    </comment>
    <comment ref="H2991" authorId="0" shapeId="0" xr:uid="{286C391D-B167-9545-AE1E-2B051E18075B}">
      <text>
        <r>
          <rPr>
            <sz val="10"/>
            <color rgb="FF000000"/>
            <rFont val="Aptos Narrow"/>
            <scheme val="minor"/>
          </rPr>
          <t>======
ID#AAABjx7qQcc
    (2025-05-21 11:33:25)
0801 chloe:收到銀行通知USD3151</t>
        </r>
      </text>
    </comment>
    <comment ref="I2991" authorId="0" shapeId="0" xr:uid="{3413579D-65E8-8941-8F97-51DD62F20D73}">
      <text>
        <r>
          <rPr>
            <sz val="10"/>
            <color rgb="FF000000"/>
            <rFont val="Aptos Narrow"/>
            <scheme val="minor"/>
          </rPr>
          <t>======
ID#AAABjx7qNRY
    (2025-05-21 11:33:23)
0830 Chloe:不計算獎金，因業務及採購都不須計算</t>
        </r>
      </text>
    </comment>
    <comment ref="H2992" authorId="0" shapeId="0" xr:uid="{F6E61267-26BD-1F46-879E-68FD68340E59}">
      <text>
        <r>
          <rPr>
            <sz val="10"/>
            <color rgb="FF000000"/>
            <rFont val="Aptos Narrow"/>
            <scheme val="minor"/>
          </rPr>
          <t>======
ID#AAABjx7qPq0
    (2025-05-21 11:33:24)
2016/7/13 Benson: got payment receipt from bank</t>
        </r>
      </text>
    </comment>
    <comment ref="H2993" authorId="0" shapeId="0" xr:uid="{155670D8-1E93-9A44-B8AB-F117A0C3225D}">
      <text>
        <r>
          <rPr>
            <sz val="10"/>
            <color rgb="FF000000"/>
            <rFont val="Aptos Narrow"/>
            <scheme val="minor"/>
          </rPr>
          <t>======
ID#AAABjx7qOs0
    (2025-05-21 11:33:24)
160707 Tammy: 收到銀行通知</t>
        </r>
      </text>
    </comment>
    <comment ref="H2994" authorId="0" shapeId="0" xr:uid="{47E7D741-821A-2044-B569-5A5C14E90631}">
      <text>
        <r>
          <rPr>
            <sz val="10"/>
            <color rgb="FF000000"/>
            <rFont val="Aptos Narrow"/>
            <scheme val="minor"/>
          </rPr>
          <t>======
ID#AAABjx7qP7Y
    (2025-05-21 11:33:24)
2/5 michelle: 玉山通知匯入共USD8383</t>
        </r>
      </text>
    </comment>
    <comment ref="H2995" authorId="0" shapeId="0" xr:uid="{262A3B78-6E6A-D048-87D1-EF6D85E69F96}">
      <text>
        <r>
          <rPr>
            <sz val="10"/>
            <color rgb="FF000000"/>
            <rFont val="Aptos Narrow"/>
            <scheme val="minor"/>
          </rPr>
          <t>======
ID#AAABjx7qVQk
    (2025-05-21 11:33:27)
2016/7/13 Benson: got payment receipt from bank</t>
        </r>
      </text>
    </comment>
    <comment ref="H2996" authorId="0" shapeId="0" xr:uid="{23B4260B-C5F6-F547-9717-5B912CEF7A81}">
      <text>
        <r>
          <rPr>
            <sz val="10"/>
            <color rgb="FF000000"/>
            <rFont val="Aptos Narrow"/>
            <scheme val="minor"/>
          </rPr>
          <t>======
ID#AAABjx7qQOs
    (2025-05-21 11:33:25)
2016/7/13 Benson: got payment receipt from bank</t>
        </r>
      </text>
    </comment>
    <comment ref="G2997" authorId="0" shapeId="0" xr:uid="{A3350B31-3BBB-8845-80F0-ADC4F99CDC4F}">
      <text>
        <r>
          <rPr>
            <sz val="10"/>
            <color rgb="FF000000"/>
            <rFont val="Aptos Narrow"/>
            <scheme val="minor"/>
          </rPr>
          <t>======
ID#AAABjx7qPeY
    (2025-05-21 11:33:24)
0526 w/5% vat</t>
        </r>
      </text>
    </comment>
    <comment ref="H2997" authorId="0" shapeId="0" xr:uid="{38171C64-4123-674D-B20F-77B2D309ADAF}">
      <text>
        <r>
          <rPr>
            <sz val="10"/>
            <color rgb="FF000000"/>
            <rFont val="Aptos Narrow"/>
            <scheme val="minor"/>
          </rPr>
          <t>======
ID#AAABjx7qM8c
    (2025-05-21 11:33:23)
0802 chloe:收到客戶支票3274元</t>
        </r>
      </text>
    </comment>
    <comment ref="H2998" authorId="0" shapeId="0" xr:uid="{F05C9798-7A7F-2749-A58D-B52EE23154C3}">
      <text>
        <r>
          <rPr>
            <sz val="10"/>
            <color rgb="FF000000"/>
            <rFont val="Aptos Narrow"/>
            <scheme val="minor"/>
          </rPr>
          <t>======
ID#AAABjx7qVDw
    (2025-05-21 11:33:27)
0728 Chloe 收到支票30萬
其餘8月底付款351553元
0902 chloe 收到支票525837</t>
        </r>
      </text>
    </comment>
    <comment ref="H2999" authorId="0" shapeId="0" xr:uid="{8384C9BD-5C4C-F640-A072-295CBBBFDBD1}">
      <text>
        <r>
          <rPr>
            <sz val="10"/>
            <color rgb="FF000000"/>
            <rFont val="Aptos Narrow"/>
            <scheme val="minor"/>
          </rPr>
          <t>======
ID#AAABjx7qNQM
    (2025-05-21 11:33:23)
2016/6/15 Benson:6/15 got payment notification from bank</t>
        </r>
      </text>
    </comment>
    <comment ref="H3000" authorId="0" shapeId="0" xr:uid="{28EFAE37-D8C0-FD42-848D-6BD6300C81C5}">
      <text>
        <r>
          <rPr>
            <sz val="10"/>
            <color rgb="FF000000"/>
            <rFont val="Aptos Narrow"/>
            <scheme val="minor"/>
          </rPr>
          <t>======
ID#AAABjx7qS10
    (2025-05-21 11:33:26)
0701 Santiago: 收到銀行通知</t>
        </r>
      </text>
    </comment>
    <comment ref="Z3000" authorId="0" shapeId="0" xr:uid="{38104202-B7FA-F648-A499-AACED0E96D00}">
      <text>
        <r>
          <rPr>
            <sz val="10"/>
            <color rgb="FF000000"/>
            <rFont val="Aptos Narrow"/>
            <scheme val="minor"/>
          </rPr>
          <t>======
ID#AAABjx7qN9Y
    (2025-05-21 11:33:23)
此為三片價格，出貨兩片，其中一片在外測試</t>
        </r>
      </text>
    </comment>
    <comment ref="H3001" authorId="0" shapeId="0" xr:uid="{21DBE23B-FD8D-8946-930F-60A9AF1DF2CB}">
      <text>
        <r>
          <rPr>
            <sz val="10"/>
            <color rgb="FF000000"/>
            <rFont val="Aptos Narrow"/>
            <scheme val="minor"/>
          </rPr>
          <t>======
ID#AAABjx7qNsc
    (2025-05-21 11:33:23)
0701 Santiago: 收到銀行通知</t>
        </r>
      </text>
    </comment>
    <comment ref="Z3001" authorId="0" shapeId="0" xr:uid="{042D89F3-78ED-6545-9244-53B5947F8FB8}">
      <text>
        <r>
          <rPr>
            <sz val="10"/>
            <color rgb="FF000000"/>
            <rFont val="Aptos Narrow"/>
            <scheme val="minor"/>
          </rPr>
          <t>======
ID#AAABjx7qV0c
    (2025-05-21 11:33:27)
此為兩片價格，出貨一片，另一片測試</t>
        </r>
      </text>
    </comment>
    <comment ref="H3002" authorId="0" shapeId="0" xr:uid="{0DE3186B-F715-D940-B67C-75F1716FC6C4}">
      <text>
        <r>
          <rPr>
            <sz val="10"/>
            <color rgb="FF000000"/>
            <rFont val="Aptos Narrow"/>
            <scheme val="minor"/>
          </rPr>
          <t>======
ID#AAABjx7qO4w
    (2025-05-21 11:33:24)
0701 Santiago: 收到銀行通知</t>
        </r>
      </text>
    </comment>
    <comment ref="H3003" authorId="0" shapeId="0" xr:uid="{03AB6749-88CE-E94D-A693-D6B3279688AE}">
      <text>
        <r>
          <rPr>
            <sz val="10"/>
            <color rgb="FF000000"/>
            <rFont val="Aptos Narrow"/>
            <scheme val="minor"/>
          </rPr>
          <t>======
ID#AAABjx7qWUQ
    (2025-05-21 11:33:27)
0701 Santiago: 收到銀行通知</t>
        </r>
      </text>
    </comment>
    <comment ref="H3004" authorId="0" shapeId="0" xr:uid="{70352936-DA85-074D-9C95-BBCEC6B54C41}">
      <text>
        <r>
          <rPr>
            <sz val="10"/>
            <color rgb="FF000000"/>
            <rFont val="Aptos Narrow"/>
            <scheme val="minor"/>
          </rPr>
          <t>======
ID#AAABjx7qRpU
    (2025-05-21 11:33:25)
0701 Santiago: 收到銀行通知</t>
        </r>
      </text>
    </comment>
    <comment ref="H3005" authorId="0" shapeId="0" xr:uid="{F5DCE8AE-0CAE-2A46-89D7-7BE5439D5C75}">
      <text>
        <r>
          <rPr>
            <sz val="10"/>
            <color rgb="FF000000"/>
            <rFont val="Aptos Narrow"/>
            <scheme val="minor"/>
          </rPr>
          <t>======
ID#AAABjx7qR5I
    (2025-05-21 11:33:25)
0701 Santiago: 收到銀行通知</t>
        </r>
      </text>
    </comment>
    <comment ref="H3006" authorId="0" shapeId="0" xr:uid="{593C0F7C-F94B-A647-B187-1AC26D717375}">
      <text>
        <r>
          <rPr>
            <sz val="10"/>
            <color rgb="FF000000"/>
            <rFont val="Aptos Narrow"/>
            <scheme val="minor"/>
          </rPr>
          <t>======
ID#AAABjx7qOB0
    (2025-05-21 11:33:24)
20160721 Santiago: 收到銀行通知</t>
        </r>
      </text>
    </comment>
    <comment ref="J3006" authorId="0" shapeId="0" xr:uid="{FE97BD11-1C5E-6F48-8668-B14E31C86B3B}">
      <text>
        <r>
          <rPr>
            <sz val="10"/>
            <color rgb="FF000000"/>
            <rFont val="Aptos Narrow"/>
            <scheme val="minor"/>
          </rPr>
          <t>======
ID#AAABjx7qPK0
    (2025-05-21 11:33:24)
0623 Santiago :客戶指定EXPRESS</t>
        </r>
      </text>
    </comment>
    <comment ref="F3007" authorId="0" shapeId="0" xr:uid="{CB242A9F-69DA-144F-9F7B-966A8103D45A}">
      <text>
        <r>
          <rPr>
            <sz val="10"/>
            <color rgb="FF000000"/>
            <rFont val="Aptos Narrow"/>
            <scheme val="minor"/>
          </rPr>
          <t>======
ID#AAABjx7qWFQ
    (2025-05-21 11:33:27)
0626 chloe
1片在凌飛測試
4片在戎克</t>
        </r>
      </text>
    </comment>
    <comment ref="H3007" authorId="0" shapeId="0" xr:uid="{7C13F0A0-721E-AD44-8E7F-A38A6737A337}">
      <text>
        <r>
          <rPr>
            <sz val="10"/>
            <color rgb="FF000000"/>
            <rFont val="Aptos Narrow"/>
            <scheme val="minor"/>
          </rPr>
          <t>======
ID#AAABjx7qV_Q
    (2025-05-21 11:33:27)
0627 Santiago: 收到銀行通知</t>
        </r>
      </text>
    </comment>
    <comment ref="J3007" authorId="0" shapeId="0" xr:uid="{CE4BEE28-7990-9740-9ABC-4B869FE38F01}">
      <text>
        <r>
          <rPr>
            <sz val="10"/>
            <color rgb="FF000000"/>
            <rFont val="Aptos Narrow"/>
            <scheme val="minor"/>
          </rPr>
          <t>======
ID#AAABjx7qNDE
    (2025-05-21 11:33:23)
0615 Santiago: 請Airlife 出口報關時提供COC (產地證明)
ONLY this shipment.</t>
        </r>
      </text>
    </comment>
    <comment ref="K3007" authorId="0" shapeId="0" xr:uid="{603D9C5F-31B2-B040-87AA-4C69C4A8A837}">
      <text>
        <r>
          <rPr>
            <sz val="10"/>
            <color rgb="FF000000"/>
            <rFont val="Aptos Narrow"/>
            <scheme val="minor"/>
          </rPr>
          <t>======
ID#AAABjx7qQtw
    (2025-05-21 11:33:25)
FORWORD 7/4才會來收件</t>
        </r>
      </text>
    </comment>
    <comment ref="H3008" authorId="0" shapeId="0" xr:uid="{028B5F07-F408-DD4A-85EE-F93C8BD23179}">
      <text>
        <r>
          <rPr>
            <sz val="10"/>
            <color rgb="FF000000"/>
            <rFont val="Aptos Narrow"/>
            <scheme val="minor"/>
          </rPr>
          <t>======
ID#AAABjx7qU-g
    (2025-05-21 11:33:27)
0627 Santiago: 收到銀行通知</t>
        </r>
      </text>
    </comment>
    <comment ref="J3008" authorId="0" shapeId="0" xr:uid="{235BAF0B-3BD5-7A4B-A362-CD4EFF800B36}">
      <text>
        <r>
          <rPr>
            <sz val="10"/>
            <color rgb="FF000000"/>
            <rFont val="Aptos Narrow"/>
            <scheme val="minor"/>
          </rPr>
          <t>======
ID#AAABjx7qMtw
    (2025-05-21 11:33:23)
0615 Santiago: 請Airlife 出口報關時提供COC (產地證明)
ONLY this shipment.</t>
        </r>
      </text>
    </comment>
    <comment ref="K3008" authorId="0" shapeId="0" xr:uid="{CCD47403-EAD4-814D-B196-0E1ACA947746}">
      <text>
        <r>
          <rPr>
            <sz val="10"/>
            <color rgb="FF000000"/>
            <rFont val="Aptos Narrow"/>
            <scheme val="minor"/>
          </rPr>
          <t>======
ID#AAABjx7qVb8
    (2025-05-21 11:33:27)
FORWORD 7/4才會來收件</t>
        </r>
      </text>
    </comment>
    <comment ref="H3009" authorId="0" shapeId="0" xr:uid="{75CF847F-EEE2-9C46-8AE4-CB6E3950FC3E}">
      <text>
        <r>
          <rPr>
            <sz val="10"/>
            <color rgb="FF000000"/>
            <rFont val="Aptos Narrow"/>
            <scheme val="minor"/>
          </rPr>
          <t>======
ID#AAABjx7qTrc
    (2025-05-21 11:33:26)
0627 Santiago: 收到銀行通知</t>
        </r>
      </text>
    </comment>
    <comment ref="I3009" authorId="0" shapeId="0" xr:uid="{540E63D7-F441-5549-8E23-2F538F1EB1CF}">
      <text>
        <r>
          <rPr>
            <sz val="10"/>
            <color rgb="FF000000"/>
            <rFont val="Aptos Narrow"/>
            <scheme val="minor"/>
          </rPr>
          <t>======
ID#AAABjx7qRgY
    (2025-05-21 11:33:25)
0830 Chloe:不計算獎金，因業務及採購都不須計算</t>
        </r>
      </text>
    </comment>
    <comment ref="H3010" authorId="0" shapeId="0" xr:uid="{87AF0A53-4635-DA4D-8E1F-BFA3A36A5851}">
      <text>
        <r>
          <rPr>
            <sz val="10"/>
            <color rgb="FF000000"/>
            <rFont val="Aptos Narrow"/>
            <scheme val="minor"/>
          </rPr>
          <t>======
ID#AAABjx7qNKE
    (2025-05-21 11:33:23)
0816 chloe : 收到銀行通知 USD113,524</t>
        </r>
      </text>
    </comment>
    <comment ref="H3011" authorId="0" shapeId="0" xr:uid="{3B012D60-52A3-EF45-93C5-D57444F318E5}">
      <text>
        <r>
          <rPr>
            <sz val="10"/>
            <color rgb="FF000000"/>
            <rFont val="Aptos Narrow"/>
            <scheme val="minor"/>
          </rPr>
          <t>======
ID#AAABjx7qSxI
    (2025-05-21 11:33:26)
0301 Santiago 收到銀行通知</t>
        </r>
      </text>
    </comment>
    <comment ref="H3012" authorId="0" shapeId="0" xr:uid="{76E3CA73-ED63-204A-8D64-61B65E2DB837}">
      <text>
        <r>
          <rPr>
            <sz val="10"/>
            <color rgb="FF000000"/>
            <rFont val="Aptos Narrow"/>
            <scheme val="minor"/>
          </rPr>
          <t>======
ID#AAABjx7qNk4
    (2025-05-21 11:33:23)
0816 chloe : 收到銀行通知 USD113,524</t>
        </r>
      </text>
    </comment>
    <comment ref="G3013" authorId="0" shapeId="0" xr:uid="{BFF35D0C-6C20-B74F-B6C4-416BCCCA0F25}">
      <text>
        <r>
          <rPr>
            <sz val="10"/>
            <color rgb="FF000000"/>
            <rFont val="Aptos Narrow"/>
            <scheme val="minor"/>
          </rPr>
          <t>======
ID#AAABjx7qQ2s
0623 Santiago     (2025-05-21 11:33:25)
要送給東托. 但出口值不能打0. 故打1</t>
        </r>
      </text>
    </comment>
    <comment ref="P3013" authorId="0" shapeId="0" xr:uid="{4A88A4E8-5A91-FC40-87BB-1A4EFA456529}">
      <text>
        <r>
          <rPr>
            <sz val="10"/>
            <color rgb="FF000000"/>
            <rFont val="Aptos Narrow"/>
            <scheme val="minor"/>
          </rPr>
          <t>======
ID#AAABjx7qQr0
    (2025-05-21 11:33:25)
160630 這三台是要送東托的，但貨款還是照要支付給ＭＯＸＡ</t>
        </r>
      </text>
    </comment>
    <comment ref="K3014" authorId="0" shapeId="0" xr:uid="{FD27E875-EAF0-6F49-A1EA-9D97FB7552E4}">
      <text>
        <r>
          <rPr>
            <sz val="10"/>
            <color rgb="FF000000"/>
            <rFont val="Aptos Narrow"/>
            <scheme val="minor"/>
          </rPr>
          <t>======
ID#AAABj82dpF0
    (2025-05-21 11:33:23)
0701 Santiago: RMA寄回時, Invoice 及 Packing 千萬別顯示這批RMA的數量,會引起不必要的麻煩</t>
        </r>
      </text>
    </comment>
    <comment ref="H3015" authorId="0" shapeId="0" xr:uid="{36CDB54F-C59B-C646-856A-077248523DA2}">
      <text>
        <r>
          <rPr>
            <sz val="10"/>
            <color rgb="FF000000"/>
            <rFont val="Aptos Narrow"/>
            <scheme val="minor"/>
          </rPr>
          <t>======
ID#AAABjx7qTGc
    (2025-05-21 11:33:26)
2016/6/20 Benson: got T/T copy from customer</t>
        </r>
      </text>
    </comment>
    <comment ref="H3016" authorId="0" shapeId="0" xr:uid="{D0012DE4-CF10-C841-AD79-5A6B71C71B83}">
      <text>
        <r>
          <rPr>
            <sz val="10"/>
            <color rgb="FF000000"/>
            <rFont val="Aptos Narrow"/>
            <scheme val="minor"/>
          </rPr>
          <t>======
ID#AAABjx7qPZo
    (2025-05-21 11:33:24)
2016/6/20 Benson: got T/T copy from customer</t>
        </r>
      </text>
    </comment>
    <comment ref="H3017" authorId="0" shapeId="0" xr:uid="{1D8CC15C-7232-2141-929B-A48D786D81AC}">
      <text>
        <r>
          <rPr>
            <sz val="10"/>
            <color rgb="FF000000"/>
            <rFont val="Aptos Narrow"/>
            <scheme val="minor"/>
          </rPr>
          <t>======
ID#AAABjx7qOoM
    (2025-05-21 11:33:24)
2016/6/20 Benson: got T/T copy from customer</t>
        </r>
      </text>
    </comment>
    <comment ref="H3018" authorId="0" shapeId="0" xr:uid="{33439AA5-C946-9E4F-B3E4-82957CC45DA7}">
      <text>
        <r>
          <rPr>
            <sz val="10"/>
            <color rgb="FF000000"/>
            <rFont val="Aptos Narrow"/>
            <scheme val="minor"/>
          </rPr>
          <t>======
ID#AAABjx7qStQ
    (2025-05-21 11:33:26)
0728 chloe:收到銀行通知</t>
        </r>
      </text>
    </comment>
    <comment ref="I3018" authorId="0" shapeId="0" xr:uid="{73F1E346-B90B-D04C-9D21-749F24DFDE40}">
      <text>
        <r>
          <rPr>
            <sz val="10"/>
            <color rgb="FF000000"/>
            <rFont val="Aptos Narrow"/>
            <scheme val="minor"/>
          </rPr>
          <t>======
ID#AAABjx7qN1Q
    (2025-05-21 11:33:23)
0830 Chloe:不計算獎金，因業務及採購都不須計算</t>
        </r>
      </text>
    </comment>
    <comment ref="H3019" authorId="0" shapeId="0" xr:uid="{0BEFD2B9-9CC5-E34A-9659-809301A55D33}">
      <text>
        <r>
          <rPr>
            <sz val="10"/>
            <color rgb="FF000000"/>
            <rFont val="Aptos Narrow"/>
            <scheme val="minor"/>
          </rPr>
          <t>======
ID#AAABjx7qWJE
    (2025-05-21 11:33:27)
0620 Santiago: 預計7/15 付款
0623 Santiago: 32.17
0629 Santiago: 收到貨款</t>
        </r>
      </text>
    </comment>
    <comment ref="P3019" authorId="0" shapeId="0" xr:uid="{6EF35FC9-3600-7D49-8AB0-0A4EFABAC687}">
      <text>
        <r>
          <rPr>
            <sz val="10"/>
            <color rgb="FF000000"/>
            <rFont val="Aptos Narrow"/>
            <scheme val="minor"/>
          </rPr>
          <t>======
ID#AAABjx7qV6A
    (2025-05-21 11:33:27)
160617 扣抵金額(含稅)US$798元,應支付貨款(含稅)為US$15456元</t>
        </r>
      </text>
    </comment>
    <comment ref="H3020" authorId="0" shapeId="0" xr:uid="{9804DFFF-E1F6-CF4A-9A98-5E139B1EF23C}">
      <text>
        <r>
          <rPr>
            <sz val="10"/>
            <color rgb="FF000000"/>
            <rFont val="Aptos Narrow"/>
            <scheme val="minor"/>
          </rPr>
          <t>======
ID#AAABjx7qOQ8
    (2025-05-21 11:33:24)
0818 chloe:收到銀行通知USD5006</t>
        </r>
      </text>
    </comment>
    <comment ref="H3021" authorId="0" shapeId="0" xr:uid="{8E35DDC8-A78A-2D48-A48D-323F6E1D96F3}">
      <text>
        <r>
          <rPr>
            <sz val="10"/>
            <color rgb="FF000000"/>
            <rFont val="Aptos Narrow"/>
            <scheme val="minor"/>
          </rPr>
          <t>======
ID#AAABjx7qQvk
    (2025-05-21 11:33:25)
0818 chloe:收到銀行通知USD5006</t>
        </r>
      </text>
    </comment>
    <comment ref="H3022" authorId="0" shapeId="0" xr:uid="{39E48566-63CC-C647-8926-369FC9836DFD}">
      <text>
        <r>
          <rPr>
            <sz val="10"/>
            <color rgb="FF000000"/>
            <rFont val="Aptos Narrow"/>
            <scheme val="minor"/>
          </rPr>
          <t>======
ID#AAABjx7qSb4
    (2025-05-21 11:33:26)
0818 chloe:收到銀行通知USD5006</t>
        </r>
      </text>
    </comment>
    <comment ref="H3023" authorId="0" shapeId="0" xr:uid="{0871F5A8-95F3-5447-82A2-8094A17A25CF}">
      <text>
        <r>
          <rPr>
            <sz val="10"/>
            <color rgb="FF000000"/>
            <rFont val="Aptos Narrow"/>
            <scheme val="minor"/>
          </rPr>
          <t>======
ID#AAABjx7qNCQ
    (2025-05-21 11:33:23)
0818 chloe:收到銀行通知USD5006</t>
        </r>
      </text>
    </comment>
    <comment ref="H3024" authorId="0" shapeId="0" xr:uid="{F17AC1F1-E292-9542-BBBF-0ED68701A5BE}">
      <text>
        <r>
          <rPr>
            <sz val="10"/>
            <color rgb="FF000000"/>
            <rFont val="Aptos Narrow"/>
            <scheme val="minor"/>
          </rPr>
          <t>======
ID#AAABjx7qTdo
    (2025-05-21 11:33:26)
0818 chloe:收到銀行通知USD5006</t>
        </r>
      </text>
    </comment>
    <comment ref="E3025" authorId="0" shapeId="0" xr:uid="{F6C930A3-0543-1B49-A901-330DF97E66A5}">
      <text>
        <r>
          <rPr>
            <sz val="10"/>
            <color rgb="FF000000"/>
            <rFont val="Aptos Narrow"/>
            <scheme val="minor"/>
          </rPr>
          <t>======
ID#AAABjx7qWGE
    (2025-05-21 11:33:27)
11/12 michelle: 58-80024-0000</t>
        </r>
      </text>
    </comment>
    <comment ref="H3025" authorId="0" shapeId="0" xr:uid="{4CE09B1A-3DC6-C149-B265-531B1FDC4C42}">
      <text>
        <r>
          <rPr>
            <sz val="10"/>
            <color rgb="FF000000"/>
            <rFont val="Aptos Narrow"/>
            <scheme val="minor"/>
          </rPr>
          <t>======
ID#AAABjx7qVZY
    (2025-05-21 11:33:27)
0818 chloe:收到銀行通知USD5006</t>
        </r>
      </text>
    </comment>
    <comment ref="H3026" authorId="0" shapeId="0" xr:uid="{D935063B-B64B-1249-BB57-43F97BA10834}">
      <text>
        <r>
          <rPr>
            <sz val="10"/>
            <color rgb="FF000000"/>
            <rFont val="Aptos Narrow"/>
            <scheme val="minor"/>
          </rPr>
          <t>======
ID#AAABjx7qRp0
    (2025-05-21 11:33:25)
0818 chloe:收到銀行通知USD5006</t>
        </r>
      </text>
    </comment>
    <comment ref="H3027" authorId="0" shapeId="0" xr:uid="{83E7ECD3-4A02-E642-85B1-2574DAF689EC}">
      <text>
        <r>
          <rPr>
            <sz val="10"/>
            <color rgb="FF000000"/>
            <rFont val="Aptos Narrow"/>
            <scheme val="minor"/>
          </rPr>
          <t>======
ID#AAABjx7qOKs
    (2025-05-21 11:33:24)
2/5 michelle: 玉山通知匯入共USD8383</t>
        </r>
      </text>
    </comment>
    <comment ref="H3028" authorId="0" shapeId="0" xr:uid="{61E87141-6E7B-F74D-8A68-D684CFB47472}">
      <text>
        <r>
          <rPr>
            <sz val="10"/>
            <color rgb="FF000000"/>
            <rFont val="Aptos Narrow"/>
            <scheme val="minor"/>
          </rPr>
          <t>======
ID#AAABjx7qQmo
    (2025-05-21 11:33:25)
2016/6/20 Benson: got T/T copy from customer</t>
        </r>
      </text>
    </comment>
    <comment ref="P3028" authorId="0" shapeId="0" xr:uid="{B25AC1D9-A500-C94D-976D-2FDAB2EA814B}">
      <text>
        <r>
          <rPr>
            <sz val="10"/>
            <color rgb="FF000000"/>
            <rFont val="Aptos Narrow"/>
            <scheme val="minor"/>
          </rPr>
          <t>======
ID#AAABjx7qP_s
0627 Santiago    (2025-05-21 11:33:25)
Neteon 預計訂購 20+ 7
0627 先匯20套 15120</t>
        </r>
      </text>
    </comment>
    <comment ref="AB3028" authorId="0" shapeId="0" xr:uid="{0031FB4D-F9C4-7C40-AE48-87E44368A0FB}">
      <text>
        <r>
          <rPr>
            <sz val="10"/>
            <color rgb="FF000000"/>
            <rFont val="Aptos Narrow"/>
            <scheme val="minor"/>
          </rPr>
          <t>======
ID#AAABjx7qRl8
    (2025-05-21 11:33:25)
0808 chloe: 此份已給會計(我方與供應商INVOICE+通運發票＋客戶水單）</t>
        </r>
      </text>
    </comment>
    <comment ref="H3029" authorId="0" shapeId="0" xr:uid="{952D93C3-706D-4940-9904-54A2842B6E36}">
      <text>
        <r>
          <rPr>
            <sz val="10"/>
            <color rgb="FF000000"/>
            <rFont val="Aptos Narrow"/>
            <scheme val="minor"/>
          </rPr>
          <t>======
ID#AAABjx7qTpU
    (2025-05-21 11:33:26)
2016/6/20 Benson: got T/T copy from customer</t>
        </r>
      </text>
    </comment>
    <comment ref="AB3029" authorId="0" shapeId="0" xr:uid="{C19A9FA4-E6DE-7E48-9FBB-A94EC545D84D}">
      <text>
        <r>
          <rPr>
            <sz val="10"/>
            <color rgb="FF000000"/>
            <rFont val="Aptos Narrow"/>
            <scheme val="minor"/>
          </rPr>
          <t>======
ID#AAABjx7qTFM
    (2025-05-21 11:33:26)
0808 chloe: 此份已給會計(我方與供應商INVOICE+通運發票＋客戶水單）</t>
        </r>
      </text>
    </comment>
    <comment ref="H3030" authorId="0" shapeId="0" xr:uid="{029A316D-24C3-C44F-AC04-F7AE1C1011A7}">
      <text>
        <r>
          <rPr>
            <sz val="10"/>
            <color rgb="FF000000"/>
            <rFont val="Aptos Narrow"/>
            <scheme val="minor"/>
          </rPr>
          <t>======
ID#AAABjx7qR04
    (2025-05-21 11:33:25)
2016/6/30 Benson: got payment receipt from bank</t>
        </r>
      </text>
    </comment>
    <comment ref="AB3030" authorId="0" shapeId="0" xr:uid="{67682375-276B-D344-BC10-539B8F0B4084}">
      <text>
        <r>
          <rPr>
            <sz val="10"/>
            <color rgb="FF000000"/>
            <rFont val="Aptos Narrow"/>
            <scheme val="minor"/>
          </rPr>
          <t>======
ID#AAABj82dpFw
    (2025-05-21 11:33:23)
0808 chloe: 此份已給會計(我方與供應商INVOICE+通運發票＋客戶水單）</t>
        </r>
      </text>
    </comment>
    <comment ref="H3031" authorId="0" shapeId="0" xr:uid="{C7117A94-0ED0-7548-AC88-996E70E03ABD}">
      <text>
        <r>
          <rPr>
            <sz val="10"/>
            <color rgb="FF000000"/>
            <rFont val="Aptos Narrow"/>
            <scheme val="minor"/>
          </rPr>
          <t>======
ID#AAABjx7qVT4
    (2025-05-21 11:33:27)
2016/6/30 Benson: got payment receipt from bank</t>
        </r>
      </text>
    </comment>
    <comment ref="AB3031" authorId="0" shapeId="0" xr:uid="{B12F00CB-ED16-3F41-99B8-BC884EFCD8E3}">
      <text>
        <r>
          <rPr>
            <sz val="10"/>
            <color rgb="FF000000"/>
            <rFont val="Aptos Narrow"/>
            <scheme val="minor"/>
          </rPr>
          <t>======
ID#AAABjx7qVQ8
    (2025-05-21 11:33:27)
0808 chloe: 此份已給會計(我方與供應商INVOICE+通運發票＋客戶水單）</t>
        </r>
      </text>
    </comment>
    <comment ref="H3032" authorId="0" shapeId="0" xr:uid="{37D6DB30-E3B5-B445-A723-E8269825202F}">
      <text>
        <r>
          <rPr>
            <sz val="10"/>
            <color rgb="FF000000"/>
            <rFont val="Aptos Narrow"/>
            <scheme val="minor"/>
          </rPr>
          <t>======
ID#AAABjx7qU6E
    (2025-05-21 11:33:27)
0728 chloe:收到銀行通知</t>
        </r>
      </text>
    </comment>
    <comment ref="I3032" authorId="0" shapeId="0" xr:uid="{38696236-6F1E-7349-98AB-9174C49B3663}">
      <text>
        <r>
          <rPr>
            <sz val="10"/>
            <color rgb="FF000000"/>
            <rFont val="Aptos Narrow"/>
            <scheme val="minor"/>
          </rPr>
          <t>======
ID#AAABjx7qNbA
    (2025-05-21 11:33:23)
0830 Chloe:不計算獎金，因業務及採購都不須計算</t>
        </r>
      </text>
    </comment>
    <comment ref="H3033" authorId="0" shapeId="0" xr:uid="{EDA71508-027C-0747-AE4B-D9489BD2287C}">
      <text>
        <r>
          <rPr>
            <sz val="10"/>
            <color rgb="FF000000"/>
            <rFont val="Aptos Narrow"/>
            <scheme val="minor"/>
          </rPr>
          <t>======
ID#AAABjx7qTPY
    (2025-05-21 11:33:26)
0728 chloe:收到銀行通知</t>
        </r>
      </text>
    </comment>
    <comment ref="I3033" authorId="0" shapeId="0" xr:uid="{6BBEEEE1-9CE7-E742-9E8D-D2B81C6A55E9}">
      <text>
        <r>
          <rPr>
            <sz val="10"/>
            <color rgb="FF000000"/>
            <rFont val="Aptos Narrow"/>
            <scheme val="minor"/>
          </rPr>
          <t>======
ID#AAABjx7qQJU
    (2025-05-21 11:33:25)
0830 Chloe:不計算獎金，因業務及採購都不須計算</t>
        </r>
      </text>
    </comment>
    <comment ref="E3034" authorId="0" shapeId="0" xr:uid="{BA350535-98AA-A940-A62C-C9E1813A4587}">
      <text>
        <r>
          <rPr>
            <sz val="10"/>
            <color rgb="FF000000"/>
            <rFont val="Aptos Narrow"/>
            <scheme val="minor"/>
          </rPr>
          <t>======
ID#AAABjx7qMwI
    (2025-05-21 11:33:23)
160617 Karen: EU adapter</t>
        </r>
      </text>
    </comment>
    <comment ref="H3034" authorId="0" shapeId="0" xr:uid="{2BBABC14-8EEB-2145-93FD-C6C55928161D}">
      <text>
        <r>
          <rPr>
            <sz val="10"/>
            <color rgb="FF000000"/>
            <rFont val="Aptos Narrow"/>
            <scheme val="minor"/>
          </rPr>
          <t>======
ID#AAABjx7qTFk
    (2025-05-21 11:33:26)
0623 Santiago: 收到銀行通知</t>
        </r>
      </text>
    </comment>
    <comment ref="H3035" authorId="0" shapeId="0" xr:uid="{929823C1-4117-6A46-92EF-A9F68A6F8E37}">
      <text>
        <r>
          <rPr>
            <sz val="10"/>
            <color rgb="FF000000"/>
            <rFont val="Aptos Narrow"/>
            <scheme val="minor"/>
          </rPr>
          <t>======
ID#AAABjx7qVrA
    (2025-05-21 11:33:27)
20160721 Santiago: 收到銀行通知</t>
        </r>
      </text>
    </comment>
    <comment ref="J3035" authorId="0" shapeId="0" xr:uid="{104DC3B7-0533-2848-A988-6EB048437CA4}">
      <text>
        <r>
          <rPr>
            <sz val="10"/>
            <color rgb="FF000000"/>
            <rFont val="Aptos Narrow"/>
            <scheme val="minor"/>
          </rPr>
          <t>======
ID#AAABjx7qPdg
    (2025-05-21 11:33:24)
0623 Santiago :客戶指定EXPRESS</t>
        </r>
      </text>
    </comment>
    <comment ref="K3036" authorId="0" shapeId="0" xr:uid="{ED275576-BE2F-8347-B961-19F578131AD8}">
      <text>
        <r>
          <rPr>
            <sz val="10"/>
            <color rgb="FF000000"/>
            <rFont val="Aptos Narrow"/>
            <scheme val="minor"/>
          </rPr>
          <t>======
ID#AAABjx7qROA
    (2025-05-21 11:33:25)
0728 chloe:請寄另外地址
T-POLE Srl
Via De Gasperi, 4
27040 PORTALBERA (PV)
Italy</t>
        </r>
      </text>
    </comment>
    <comment ref="H3037" authorId="0" shapeId="0" xr:uid="{5FBA6700-F90E-3A44-A61D-F2DC49AE8944}">
      <text>
        <r>
          <rPr>
            <sz val="10"/>
            <color rgb="FF000000"/>
            <rFont val="Aptos Narrow"/>
            <scheme val="minor"/>
          </rPr>
          <t>======
ID#AAABjx7qVis
    (2025-05-21 11:33:27)
0801 chloe:收到銀行通知USD3151</t>
        </r>
      </text>
    </comment>
    <comment ref="H3038" authorId="0" shapeId="0" xr:uid="{35A4359B-7A33-ED49-84CF-B1A1A2D6CC47}">
      <text>
        <r>
          <rPr>
            <sz val="10"/>
            <color rgb="FF000000"/>
            <rFont val="Aptos Narrow"/>
            <scheme val="minor"/>
          </rPr>
          <t>======
ID#AAABjx7qNOA
    (2025-05-21 11:33:23)
20160805 Chloe: 收到銀行通知</t>
        </r>
      </text>
    </comment>
    <comment ref="I3038" authorId="0" shapeId="0" xr:uid="{33D00E30-10FA-4D4C-8F12-CAB12D42702D}">
      <text>
        <r>
          <rPr>
            <sz val="10"/>
            <color rgb="FF000000"/>
            <rFont val="Aptos Narrow"/>
            <scheme val="minor"/>
          </rPr>
          <t>======
ID#AAABjx7qVyM
    (2025-05-21 11:33:27)
0830 Chloe:不計算獎金，因業務及採購都不須計算</t>
        </r>
      </text>
    </comment>
    <comment ref="J3038" authorId="0" shapeId="0" xr:uid="{DDD242F5-303A-0A45-82E6-F7B827A9E3C4}">
      <text>
        <r>
          <rPr>
            <sz val="10"/>
            <color rgb="FF000000"/>
            <rFont val="Aptos Narrow"/>
            <scheme val="minor"/>
          </rPr>
          <t>======
ID#AAABjx7qQLs
    (2025-05-21 11:33:25)
0704 Santiago :客戶指定EXPRESS</t>
        </r>
      </text>
    </comment>
    <comment ref="W3038" authorId="0" shapeId="0" xr:uid="{C90EE520-2E47-DC42-921B-5751312A5178}">
      <text>
        <r>
          <rPr>
            <sz val="10"/>
            <color rgb="FF000000"/>
            <rFont val="Aptos Narrow"/>
            <scheme val="minor"/>
          </rPr>
          <t>======
ID#AAABjx7qU-U
    (2025-05-21 11:33:27)
0808 chloe: 業務無給對帳單，故改為9/5付款</t>
        </r>
      </text>
    </comment>
    <comment ref="H3039" authorId="0" shapeId="0" xr:uid="{429F9139-D6E6-A34F-AA0D-A61FD886C9BE}">
      <text>
        <r>
          <rPr>
            <sz val="10"/>
            <color rgb="FF000000"/>
            <rFont val="Aptos Narrow"/>
            <scheme val="minor"/>
          </rPr>
          <t>======
ID#AAABjx7qVHY
    (2025-05-21 11:33:27)
0926 chloe:已收到銀行通知USD12216，因戎克戶名短少TD，故待客戶修改電文銀行才會發放
0929 chloe:給予客戶當初匯款水單後于與放行</t>
        </r>
      </text>
    </comment>
    <comment ref="H3040" authorId="0" shapeId="0" xr:uid="{95420C03-5486-244A-9DA7-9C76CD4EC18F}">
      <text>
        <r>
          <rPr>
            <sz val="10"/>
            <color rgb="FF000000"/>
            <rFont val="Aptos Narrow"/>
            <scheme val="minor"/>
          </rPr>
          <t>======
ID#AAABjx7qQkI
    (2025-05-21 11:33:25)
0818 chloe: 收到銀行通知USD3248</t>
        </r>
      </text>
    </comment>
    <comment ref="M3040" authorId="0" shapeId="0" xr:uid="{BF171D11-71EF-1E46-AB70-48006C5E41DA}">
      <text>
        <r>
          <rPr>
            <sz val="10"/>
            <color rgb="FF000000"/>
            <rFont val="Aptos Narrow"/>
            <scheme val="minor"/>
          </rPr>
          <t>======
ID#AAABjx7qQxs
    (2025-05-21 11:33:25)
0712 chloe:JAY回復 7/12宅急便寄出</t>
        </r>
      </text>
    </comment>
    <comment ref="H3041" authorId="0" shapeId="0" xr:uid="{7120A604-23BD-6E4E-B216-3C90D1F4DC03}">
      <text>
        <r>
          <rPr>
            <sz val="10"/>
            <color rgb="FF000000"/>
            <rFont val="Aptos Narrow"/>
            <scheme val="minor"/>
          </rPr>
          <t>======
ID#AAABjx7qORI
    (2025-05-21 11:33:24)
0818 chloe: 收到銀行通知USD3248</t>
        </r>
      </text>
    </comment>
    <comment ref="H3042" authorId="0" shapeId="0" xr:uid="{A1BC2E3A-7E38-DF4B-AFF2-C36190A35689}">
      <text>
        <r>
          <rPr>
            <sz val="10"/>
            <color rgb="FF000000"/>
            <rFont val="Aptos Narrow"/>
            <scheme val="minor"/>
          </rPr>
          <t>======
ID#AAABjx7qS7k
    (2025-05-21 11:33:26)
0818 chloe: 收到銀行通知USD3248</t>
        </r>
      </text>
    </comment>
    <comment ref="H3043" authorId="0" shapeId="0" xr:uid="{3E87DA00-12C0-BA4D-8BA2-74ED5FF2DBA7}">
      <text>
        <r>
          <rPr>
            <sz val="10"/>
            <color rgb="FF000000"/>
            <rFont val="Aptos Narrow"/>
            <scheme val="minor"/>
          </rPr>
          <t>======
ID#AAABjx7qOE8
    (2025-05-21 11:33:24)
0818 chloe: 收到銀行通知USD3248</t>
        </r>
      </text>
    </comment>
    <comment ref="H3044" authorId="0" shapeId="0" xr:uid="{3346FF94-2DDD-BE4C-B71D-69AF5D57F5E4}">
      <text>
        <r>
          <rPr>
            <sz val="10"/>
            <color rgb="FF000000"/>
            <rFont val="Aptos Narrow"/>
            <scheme val="minor"/>
          </rPr>
          <t>======
ID#AAABjx7qQ9Q
    (2025-05-21 11:33:25)
0818 chloe: 收到銀行通知USD3248</t>
        </r>
      </text>
    </comment>
    <comment ref="M3044" authorId="0" shapeId="0" xr:uid="{F1736117-4447-B841-A9F0-ECC1F2BBC698}">
      <text>
        <r>
          <rPr>
            <sz val="10"/>
            <color rgb="FF000000"/>
            <rFont val="Aptos Narrow"/>
            <scheme val="minor"/>
          </rPr>
          <t>======
ID#AAABjx7qNUM
    (2025-05-21 11:33:23)
0712 chloe:JAY回復 7/12宅急便寄出</t>
        </r>
      </text>
    </comment>
    <comment ref="H3045" authorId="0" shapeId="0" xr:uid="{76ACB169-A9EA-D64C-8BF6-5218C593E513}">
      <text>
        <r>
          <rPr>
            <sz val="10"/>
            <color rgb="FF000000"/>
            <rFont val="Aptos Narrow"/>
            <scheme val="minor"/>
          </rPr>
          <t>======
ID#AAABjx7qU4E
    (2025-05-21 11:33:26)
0818 chloe: 收到銀行通知USD3248</t>
        </r>
      </text>
    </comment>
    <comment ref="M3045" authorId="0" shapeId="0" xr:uid="{39E29EF0-93B0-D141-A36C-22C385B6E514}">
      <text>
        <r>
          <rPr>
            <sz val="10"/>
            <color rgb="FF000000"/>
            <rFont val="Aptos Narrow"/>
            <scheme val="minor"/>
          </rPr>
          <t>======
ID#AAABjx7qPmg
    (2025-05-21 11:33:24)
0712 chloe:JAY回復 7/12宅急便寄出</t>
        </r>
      </text>
    </comment>
    <comment ref="E3046" authorId="0" shapeId="0" xr:uid="{893986CF-FC9A-0340-B9EC-B802F465884A}">
      <text>
        <r>
          <rPr>
            <sz val="10"/>
            <color rgb="FF000000"/>
            <rFont val="Aptos Narrow"/>
            <scheme val="minor"/>
          </rPr>
          <t>======
ID#AAABj82dpKM
    (2025-05-21 11:33:23)
3/16 Michelle:Demand3008 8" 這次樣品可以勉強接受2 Pin. 
但未來出貨一定要用3 pin 鳯凰接頭</t>
        </r>
      </text>
    </comment>
    <comment ref="H3046" authorId="0" shapeId="0" xr:uid="{ACB91718-2337-FE4D-9865-B08ED156FE25}">
      <text>
        <r>
          <rPr>
            <sz val="10"/>
            <color rgb="FF000000"/>
            <rFont val="Aptos Narrow"/>
            <scheme val="minor"/>
          </rPr>
          <t>======
ID#AAABjx7qOs4
    (2025-05-21 11:33:24)
0818 chloe: 收到銀行通知USD3248</t>
        </r>
      </text>
    </comment>
    <comment ref="H3047" authorId="0" shapeId="0" xr:uid="{EE6E9B99-F080-2041-B16D-C0DD8A6540CD}">
      <text>
        <r>
          <rPr>
            <sz val="10"/>
            <color rgb="FF000000"/>
            <rFont val="Aptos Narrow"/>
            <scheme val="minor"/>
          </rPr>
          <t>======
ID#AAABjx7qVs4
    (2025-05-21 11:33:27)
0818 chloe: 收到銀行通知USD3248</t>
        </r>
      </text>
    </comment>
    <comment ref="H3048" authorId="0" shapeId="0" xr:uid="{3A8D138C-F052-6844-BCAA-0F4C689398DE}">
      <text>
        <r>
          <rPr>
            <sz val="10"/>
            <color rgb="FF000000"/>
            <rFont val="Aptos Narrow"/>
            <scheme val="minor"/>
          </rPr>
          <t>======
ID#AAABjx7qPDk
    (2025-05-21 11:33:24)
0818 chloe:收到銀行通知USD5006</t>
        </r>
      </text>
    </comment>
    <comment ref="G3049" authorId="0" shapeId="0" xr:uid="{0ED07E16-7219-AE4B-A830-5BF7C7A887CE}">
      <text>
        <r>
          <rPr>
            <sz val="10"/>
            <color rgb="FF000000"/>
            <rFont val="Aptos Narrow"/>
            <scheme val="minor"/>
          </rPr>
          <t>======
ID#AAABjx7qVzA
    (2025-05-21 11:33:27)
w/5%VAT</t>
        </r>
      </text>
    </comment>
    <comment ref="H3049" authorId="0" shapeId="0" xr:uid="{5E6A223D-E873-D142-9491-6EA8E60E80D8}">
      <text>
        <r>
          <rPr>
            <sz val="10"/>
            <color rgb="FF000000"/>
            <rFont val="Aptos Narrow"/>
            <scheme val="minor"/>
          </rPr>
          <t>======
ID#AAABjx7qSZw
    (2025-05-21 11:33:26)
160705 匯入, 有US$35 手續費</t>
        </r>
      </text>
    </comment>
    <comment ref="H3050" authorId="0" shapeId="0" xr:uid="{E8306506-0F00-9B40-8ABB-093A2FB8521B}">
      <text>
        <r>
          <rPr>
            <sz val="10"/>
            <color rgb="FF000000"/>
            <rFont val="Aptos Narrow"/>
            <scheme val="minor"/>
          </rPr>
          <t>======
ID#AAABjx7qO4M
    (2025-05-21 11:33:24)
2016/6/24 Benson: get T/T copy from customer on June 24.
2016/6/27 Benson: get payment receipt from bank</t>
        </r>
      </text>
    </comment>
    <comment ref="K3050" authorId="0" shapeId="0" xr:uid="{E5D91B45-9F96-4843-AF53-3D652E429A9D}">
      <text>
        <r>
          <rPr>
            <sz val="10"/>
            <color rgb="FF000000"/>
            <rFont val="Aptos Narrow"/>
            <scheme val="minor"/>
          </rPr>
          <t>======
ID#AAABjx7qOGo
    (2025-05-21 11:33:24)
0707 chloe:FORWORD 說因受颱風影響若7/6晚上宣布停班則改由7/11取件</t>
        </r>
      </text>
    </comment>
    <comment ref="H3051" authorId="0" shapeId="0" xr:uid="{3BAA80B8-BE36-7B45-8E32-7E96D6592BF4}">
      <text>
        <r>
          <rPr>
            <sz val="10"/>
            <color rgb="FF000000"/>
            <rFont val="Aptos Narrow"/>
            <scheme val="minor"/>
          </rPr>
          <t>======
ID#AAABjx7qVig
    (2025-05-21 11:33:27)
20160711 Santiago : 收到銀行通知</t>
        </r>
      </text>
    </comment>
    <comment ref="P3051" authorId="0" shapeId="0" xr:uid="{837C9168-C6A8-C946-B4C4-06F819181D63}">
      <text>
        <r>
          <rPr>
            <sz val="10"/>
            <color rgb="FF000000"/>
            <rFont val="Aptos Narrow"/>
            <scheme val="minor"/>
          </rPr>
          <t>======
ID#AAABjx7qN1k
    (2025-05-21 11:33:23)
160629 扣抵金額(含稅)US$252元,應支付貨款(含稅)為US$3223.5元</t>
        </r>
      </text>
    </comment>
    <comment ref="H3052" authorId="0" shapeId="0" xr:uid="{90B11D7A-EE4B-BA4F-9148-4A54E259F1D2}">
      <text>
        <r>
          <rPr>
            <sz val="10"/>
            <color rgb="FF000000"/>
            <rFont val="Aptos Narrow"/>
            <scheme val="minor"/>
          </rPr>
          <t>======
ID#AAABjx7qVa8
    (2025-05-21 11:33:27)
0628 Santiago: 銀行通知</t>
        </r>
      </text>
    </comment>
    <comment ref="H3053" authorId="0" shapeId="0" xr:uid="{531230D1-DAA1-474D-8EBC-F2E7F64D51F1}">
      <text>
        <r>
          <rPr>
            <sz val="10"/>
            <color rgb="FF000000"/>
            <rFont val="Aptos Narrow"/>
            <scheme val="minor"/>
          </rPr>
          <t>======
ID#AAABjx7qVoc
    (2025-05-21 11:33:27)
0822 chloe:收到銀行通知USD919</t>
        </r>
      </text>
    </comment>
    <comment ref="I3053" authorId="0" shapeId="0" xr:uid="{C73210BE-DF64-9F46-BA67-1A3636AD6D80}">
      <text>
        <r>
          <rPr>
            <sz val="10"/>
            <color rgb="FF000000"/>
            <rFont val="Aptos Narrow"/>
            <scheme val="minor"/>
          </rPr>
          <t>======
ID#AAABjx7qWZg
    (2025-05-21 11:33:27)
0830 Chloe:不計算獎金，因業務及採購都不須計算</t>
        </r>
      </text>
    </comment>
    <comment ref="H3054" authorId="0" shapeId="0" xr:uid="{AE6FA7D6-6EE8-984F-9F42-1E03F02EBA58}">
      <text>
        <r>
          <rPr>
            <sz val="10"/>
            <color rgb="FF000000"/>
            <rFont val="Aptos Narrow"/>
            <scheme val="minor"/>
          </rPr>
          <t>======
ID#AAABjx7qOOc
    (2025-05-21 11:33:24)
0822 chloe:收到銀行通知USD919</t>
        </r>
      </text>
    </comment>
    <comment ref="I3054" authorId="0" shapeId="0" xr:uid="{C811E084-78D1-6C4D-BD3A-612169637F8F}">
      <text>
        <r>
          <rPr>
            <sz val="10"/>
            <color rgb="FF000000"/>
            <rFont val="Aptos Narrow"/>
            <scheme val="minor"/>
          </rPr>
          <t>======
ID#AAABjx7qPMw
    (2025-05-21 11:33:24)
0830 Chloe:不計算獎金，因業務及採購都不須計算</t>
        </r>
      </text>
    </comment>
    <comment ref="H3055" authorId="0" shapeId="0" xr:uid="{2A09B4CD-91A6-3046-BB42-6381BBEE1195}">
      <text>
        <r>
          <rPr>
            <sz val="10"/>
            <color rgb="FF000000"/>
            <rFont val="Aptos Narrow"/>
            <scheme val="minor"/>
          </rPr>
          <t>======
ID#AAABjx7qN2c
    (2025-05-21 11:33:23)
0301 Santiago 收到銀行通知</t>
        </r>
      </text>
    </comment>
    <comment ref="H3056" authorId="0" shapeId="0" xr:uid="{693168E8-4DDD-164E-AE19-E60450E3829E}">
      <text>
        <r>
          <rPr>
            <sz val="10"/>
            <color rgb="FF000000"/>
            <rFont val="Aptos Narrow"/>
            <scheme val="minor"/>
          </rPr>
          <t>======
ID#AAABjx7qPWo
    (2025-05-21 11:33:24)
0816 chloe : 收到銀行通知 USD113,524</t>
        </r>
      </text>
    </comment>
    <comment ref="H3057" authorId="0" shapeId="0" xr:uid="{92FBF600-B21C-1545-9B25-27CD0436C585}">
      <text>
        <r>
          <rPr>
            <sz val="10"/>
            <color rgb="FF000000"/>
            <rFont val="Aptos Narrow"/>
            <scheme val="minor"/>
          </rPr>
          <t>======
ID#AAABjx7qVD4
    (2025-05-21 11:33:27)
0816 chloe : 收到銀行通知 USD113,524</t>
        </r>
      </text>
    </comment>
    <comment ref="H3058" authorId="0" shapeId="0" xr:uid="{0E610A5C-16A8-8140-B02A-DBF2547ED186}">
      <text>
        <r>
          <rPr>
            <sz val="10"/>
            <color rgb="FF000000"/>
            <rFont val="Aptos Narrow"/>
            <scheme val="minor"/>
          </rPr>
          <t>======
ID#AAABjx7qNNI
    (2025-05-21 11:33:23)
0926 chloe:已收到銀行通知USD12216，因戎克戶名短少TD，故待客戶修改電文銀行才會發放
0929 chloe:給予客戶當初匯款水單後于與放行</t>
        </r>
      </text>
    </comment>
    <comment ref="H3060" authorId="0" shapeId="0" xr:uid="{2B227C6E-7EA4-164E-9D02-934B7BBF316D}">
      <text>
        <r>
          <rPr>
            <sz val="10"/>
            <color rgb="FF000000"/>
            <rFont val="Aptos Narrow"/>
            <scheme val="minor"/>
          </rPr>
          <t>======
ID#AAABjx7qVNk
    (2025-05-21 11:33:27)
0926 chloe:已收到銀行通知USD12216，因戎克戶名短少TD，故待客戶修改電文銀行才會發放
0929 chloe:給予客戶當初匯款水單後于與放行</t>
        </r>
      </text>
    </comment>
    <comment ref="H3061" authorId="0" shapeId="0" xr:uid="{D7E96AF1-EF04-9F4A-AE8B-20E24A07E939}">
      <text>
        <r>
          <rPr>
            <sz val="10"/>
            <color rgb="FF000000"/>
            <rFont val="Aptos Narrow"/>
            <scheme val="minor"/>
          </rPr>
          <t>======
ID#AAABjx7qNho
    (2025-05-21 11:33:23)
0926 chloe:已收到銀行通知USD12216，因戎克戶名短少TD，故待客戶修改電文銀行才會發放
0929 chloe:給予客戶當初匯款水單後于與放行</t>
        </r>
      </text>
    </comment>
    <comment ref="H3062" authorId="0" shapeId="0" xr:uid="{0607326B-C89E-8247-92E4-F0A792868EBF}">
      <text>
        <r>
          <rPr>
            <sz val="10"/>
            <color rgb="FF000000"/>
            <rFont val="Aptos Narrow"/>
            <scheme val="minor"/>
          </rPr>
          <t>======
ID#AAABjx7qOCI
    (2025-05-21 11:33:24)
0926 chloe:已收到銀行通知USD12216，因戎克戶名短少TD，故待客戶修改電文銀行才會發放
0929 chloe:給予客戶當初匯款水單後于與放行</t>
        </r>
      </text>
    </comment>
    <comment ref="H3063" authorId="0" shapeId="0" xr:uid="{7625B2C3-5DDC-4A41-AAE5-736C772E5E5E}">
      <text>
        <r>
          <rPr>
            <sz val="10"/>
            <color rgb="FF000000"/>
            <rFont val="Aptos Narrow"/>
            <scheme val="minor"/>
          </rPr>
          <t>======
ID#AAABjx7qVGY
    (2025-05-21 11:33:27)
2016/7/1 Benson: got T/T copy from customer on 2016/6/30
2016/7/6 Benson: get payment receipt from bank</t>
        </r>
      </text>
    </comment>
    <comment ref="K3063" authorId="0" shapeId="0" xr:uid="{314098EC-2439-5347-BF6A-A1E3CCABBDA9}">
      <text>
        <r>
          <rPr>
            <sz val="10"/>
            <color rgb="FF000000"/>
            <rFont val="Aptos Narrow"/>
            <scheme val="minor"/>
          </rPr>
          <t>======
ID#AAABjx7qO04
    (2025-05-21 11:33:24)
0707 chloe:FORWORD 說因受颱風影響若7/6晚上宣布停班則改由7/11取件</t>
        </r>
      </text>
    </comment>
    <comment ref="H3064" authorId="0" shapeId="0" xr:uid="{05C64963-BE6C-EF4C-A038-9739A0025279}">
      <text>
        <r>
          <rPr>
            <sz val="10"/>
            <color rgb="FF000000"/>
            <rFont val="Aptos Narrow"/>
            <scheme val="minor"/>
          </rPr>
          <t>======
ID#AAABjx7qTXI
    (2025-05-21 11:33:26)
2016/7/1 Benson: got T/T copy from customer on 2016/6/30
2016/7/5 Benson: got payment receipt from bank</t>
        </r>
      </text>
    </comment>
    <comment ref="K3064" authorId="0" shapeId="0" xr:uid="{8D1C2D45-34D8-4842-BFFF-40307254EE47}">
      <text>
        <r>
          <rPr>
            <sz val="10"/>
            <color rgb="FF000000"/>
            <rFont val="Aptos Narrow"/>
            <scheme val="minor"/>
          </rPr>
          <t>======
ID#AAABjx7qPAc
    (2025-05-21 11:33:24)
0707 chloe:FORWORD 說因受颱風影響若7/6晚上宣布停班則改由7/11取件</t>
        </r>
      </text>
    </comment>
    <comment ref="H3065" authorId="0" shapeId="0" xr:uid="{0682FC9A-A662-794B-A273-936CD23EB0A1}">
      <text>
        <r>
          <rPr>
            <sz val="10"/>
            <color rgb="FF000000"/>
            <rFont val="Aptos Narrow"/>
            <scheme val="minor"/>
          </rPr>
          <t>======
ID#AAABjx7qPjA
    (2025-05-21 11:33:24)
0728 Chloe 收到支票30萬
其餘8月底付款351553元
0902 chloe 收到支票525837</t>
        </r>
      </text>
    </comment>
    <comment ref="M3065" authorId="0" shapeId="0" xr:uid="{DF669FBB-DD2E-1346-9327-5962F9A1A58D}">
      <text>
        <r>
          <rPr>
            <sz val="10"/>
            <color rgb="FF000000"/>
            <rFont val="Aptos Narrow"/>
            <scheme val="minor"/>
          </rPr>
          <t>======
ID#AAABjx7qPJs
    (2025-05-21 11:33:24)
0712 chloe:待富佳堡貨送到則一併送出至戎克(當天可到)</t>
        </r>
      </text>
    </comment>
    <comment ref="H3066" authorId="0" shapeId="0" xr:uid="{5703E6C8-CFC3-0E4A-A878-2E0AA4C7C085}">
      <text>
        <r>
          <rPr>
            <sz val="10"/>
            <color rgb="FF000000"/>
            <rFont val="Aptos Narrow"/>
            <scheme val="minor"/>
          </rPr>
          <t>======
ID#AAABjx7qNpQ
    (2025-05-21 11:33:23)
0728 Chloe 收到支票30萬
其餘8月底付款351553元
0902 chloe 收到支票525837</t>
        </r>
      </text>
    </comment>
    <comment ref="M3066" authorId="0" shapeId="0" xr:uid="{10E6D3A5-28BC-FE46-AAB3-AEF10F8C2734}">
      <text>
        <r>
          <rPr>
            <sz val="10"/>
            <color rgb="FF000000"/>
            <rFont val="Aptos Narrow"/>
            <scheme val="minor"/>
          </rPr>
          <t>======
ID#AAABjx7qO0o
    (2025-05-21 11:33:24)
0712 chloe: 07/12送至歐緯世</t>
        </r>
      </text>
    </comment>
    <comment ref="G3067" authorId="0" shapeId="0" xr:uid="{2C3FBAF2-74EC-FD40-8B75-328672730171}">
      <text>
        <r>
          <rPr>
            <sz val="10"/>
            <color rgb="FF000000"/>
            <rFont val="Aptos Narrow"/>
            <scheme val="minor"/>
          </rPr>
          <t>======
ID#AAABjx7qWC4
    (2025-05-21 11:33:27)
w/5%VAT</t>
        </r>
      </text>
    </comment>
    <comment ref="H3067" authorId="0" shapeId="0" xr:uid="{1953B9EB-0C90-8A4E-A5A6-56B8C6C28EF8}">
      <text>
        <r>
          <rPr>
            <sz val="10"/>
            <color rgb="FF000000"/>
            <rFont val="Aptos Narrow"/>
            <scheme val="minor"/>
          </rPr>
          <t>======
ID#AAABjx7qVlE
    (2025-05-21 11:33:27)
0830 chloe: 8/26收到NT19174</t>
        </r>
      </text>
    </comment>
    <comment ref="H3068" authorId="0" shapeId="0" xr:uid="{BAC272D8-5D12-3546-AB65-1073E3EB93F2}">
      <text>
        <r>
          <rPr>
            <sz val="10"/>
            <color rgb="FF000000"/>
            <rFont val="Aptos Narrow"/>
            <scheme val="minor"/>
          </rPr>
          <t>======
ID#AAABjx7qO5E
    (2025-05-21 11:33:24)
20160805 Chloe: 收到銀行通知</t>
        </r>
      </text>
    </comment>
    <comment ref="I3068" authorId="0" shapeId="0" xr:uid="{D8613131-9A57-E549-AA27-59A6BDFA0C9D}">
      <text>
        <r>
          <rPr>
            <sz val="10"/>
            <color rgb="FF000000"/>
            <rFont val="Aptos Narrow"/>
            <scheme val="minor"/>
          </rPr>
          <t>======
ID#AAABjx7qPDY
    (2025-05-21 11:33:24)
0830 Chloe:不計算獎金，因業務及採購都不須計算</t>
        </r>
      </text>
    </comment>
    <comment ref="H3071" authorId="0" shapeId="0" xr:uid="{3FA8A1B6-3418-7E40-B126-D7613C8809C6}">
      <text>
        <r>
          <rPr>
            <sz val="10"/>
            <color rgb="FF000000"/>
            <rFont val="Aptos Narrow"/>
            <scheme val="minor"/>
          </rPr>
          <t>======
ID#AAABj82dpFQ
    (2025-05-21 11:33:23)
0905 chloe:收到銀行通知USD9314</t>
        </r>
      </text>
    </comment>
    <comment ref="H3072" authorId="0" shapeId="0" xr:uid="{F1505750-A56C-5C41-889C-1E7591ADB6B2}">
      <text>
        <r>
          <rPr>
            <sz val="10"/>
            <color rgb="FF000000"/>
            <rFont val="Aptos Narrow"/>
            <scheme val="minor"/>
          </rPr>
          <t>======
ID#AAABjx7qPQ8
    (2025-05-21 11:33:24)
0905 chloe:收到銀行通知USD9314</t>
        </r>
      </text>
    </comment>
    <comment ref="E3073" authorId="0" shapeId="0" xr:uid="{D5B2002E-0D7D-C145-9D79-8D47AE83757E}">
      <text>
        <r>
          <rPr>
            <sz val="10"/>
            <color rgb="FF000000"/>
            <rFont val="Aptos Narrow"/>
            <scheme val="minor"/>
          </rPr>
          <t>======
ID#AAABjx7qOtM
    (2025-05-21 11:33:24)
0706 Santiago: TS128GSSD420K 替換 TS512MSK64W6H</t>
        </r>
      </text>
    </comment>
    <comment ref="H3073" authorId="0" shapeId="0" xr:uid="{279DFF6A-AE96-F249-9AB0-C51752F95FBA}">
      <text>
        <r>
          <rPr>
            <sz val="10"/>
            <color rgb="FF000000"/>
            <rFont val="Aptos Narrow"/>
            <scheme val="minor"/>
          </rPr>
          <t>======
ID#AAABjx7qRqY
    (2025-05-21 11:33:25)
0905 chloe:收到銀行通知USD9314</t>
        </r>
      </text>
    </comment>
    <comment ref="H3074" authorId="0" shapeId="0" xr:uid="{A7FE7974-E019-4F4B-8BC3-F847A2B322BB}">
      <text>
        <r>
          <rPr>
            <sz val="10"/>
            <color rgb="FF000000"/>
            <rFont val="Aptos Narrow"/>
            <scheme val="minor"/>
          </rPr>
          <t>======
ID#AAABjx7qTJo
    (2025-05-21 11:33:26)
0905 chloe:收到銀行通知USD9314</t>
        </r>
      </text>
    </comment>
    <comment ref="H3075" authorId="0" shapeId="0" xr:uid="{443E44DD-AF2D-914B-9938-311E25DC1D0A}">
      <text>
        <r>
          <rPr>
            <sz val="10"/>
            <color rgb="FF000000"/>
            <rFont val="Aptos Narrow"/>
            <scheme val="minor"/>
          </rPr>
          <t>======
ID#AAABjx7qQKM
    (2025-05-21 11:33:25)
0905 chloe:收到銀行通知USD9314</t>
        </r>
      </text>
    </comment>
    <comment ref="H3076" authorId="0" shapeId="0" xr:uid="{235EB825-E840-2F45-AB36-BF6166147EC7}">
      <text>
        <r>
          <rPr>
            <sz val="10"/>
            <color rgb="FF000000"/>
            <rFont val="Aptos Narrow"/>
            <scheme val="minor"/>
          </rPr>
          <t>======
ID#AAABjx7qN8A
    (2025-05-21 11:33:23)
0905 chloe:收到銀行通知USD9314</t>
        </r>
      </text>
    </comment>
    <comment ref="H3077" authorId="0" shapeId="0" xr:uid="{D834BD5B-E057-2341-B7B0-9C64F658467E}">
      <text>
        <r>
          <rPr>
            <sz val="10"/>
            <color rgb="FF000000"/>
            <rFont val="Aptos Narrow"/>
            <scheme val="minor"/>
          </rPr>
          <t>======
ID#AAABjx7qVmg
    (2025-05-21 11:33:27)
0905 chloe:收到銀行通知USD9314</t>
        </r>
      </text>
    </comment>
    <comment ref="H3078" authorId="0" shapeId="0" xr:uid="{04EB353F-C7EC-9F4E-A139-07FA95044F6E}">
      <text>
        <r>
          <rPr>
            <sz val="10"/>
            <color rgb="FF000000"/>
            <rFont val="Aptos Narrow"/>
            <scheme val="minor"/>
          </rPr>
          <t>======
ID#AAABjx7qTJ4
    (2025-05-21 11:33:26)
0905 chloe:收到銀行通知USD9314</t>
        </r>
      </text>
    </comment>
    <comment ref="H3079" authorId="0" shapeId="0" xr:uid="{6CF80829-D690-6948-B20D-93E72ABE2065}">
      <text>
        <r>
          <rPr>
            <sz val="10"/>
            <color rgb="FF000000"/>
            <rFont val="Aptos Narrow"/>
            <scheme val="minor"/>
          </rPr>
          <t>======
ID#AAABjx7qNas
    (2025-05-21 11:33:23)
0905 chloe:收到銀行通知USD9314</t>
        </r>
      </text>
    </comment>
    <comment ref="H3080" authorId="0" shapeId="0" xr:uid="{A9943D3B-BB3A-3E48-B1E4-CAAA2B4A4A2B}">
      <text>
        <r>
          <rPr>
            <sz val="10"/>
            <color rgb="FF000000"/>
            <rFont val="Aptos Narrow"/>
            <scheme val="minor"/>
          </rPr>
          <t>======
ID#AAABj82dpG8
    (2025-05-21 11:33:23)
0905 chloe:收到銀行通知USD9314</t>
        </r>
      </text>
    </comment>
    <comment ref="H3081" authorId="0" shapeId="0" xr:uid="{58C46471-DEB8-494D-B098-78F4614F76E5}">
      <text>
        <r>
          <rPr>
            <sz val="10"/>
            <color rgb="FF000000"/>
            <rFont val="Aptos Narrow"/>
            <scheme val="minor"/>
          </rPr>
          <t>======
ID#AAABjx7qTRs
    (2025-05-21 11:33:26)
0905 chloe:收到銀行通知USD9314</t>
        </r>
      </text>
    </comment>
    <comment ref="H3082" authorId="0" shapeId="0" xr:uid="{2610D458-38DF-7046-AAF0-B06F99D5E48E}">
      <text>
        <r>
          <rPr>
            <sz val="10"/>
            <color rgb="FF000000"/>
            <rFont val="Aptos Narrow"/>
            <scheme val="minor"/>
          </rPr>
          <t>======
ID#AAABjx7qRIw
    (2025-05-21 11:33:25)
0905 chloe:收到銀行通知USD9314</t>
        </r>
      </text>
    </comment>
    <comment ref="M3082" authorId="0" shapeId="0" xr:uid="{21DC1DC5-ECA9-2944-AC3B-0B95599488B6}">
      <text>
        <r>
          <rPr>
            <sz val="10"/>
            <color rgb="FF000000"/>
            <rFont val="Aptos Narrow"/>
            <scheme val="minor"/>
          </rPr>
          <t>======
ID#AAABjx7qSSY
    (2025-05-21 11:33:26)
0726 chloe 因需燒機，故改成7/28出貨，7/29早上10點到貨</t>
        </r>
      </text>
    </comment>
    <comment ref="H3083" authorId="0" shapeId="0" xr:uid="{CABC54BD-8BC3-694B-B2CA-D06E72D702FE}">
      <text>
        <r>
          <rPr>
            <sz val="10"/>
            <color rgb="FF000000"/>
            <rFont val="Aptos Narrow"/>
            <scheme val="minor"/>
          </rPr>
          <t>======
ID#AAABjx7qPJ0
    (2025-05-21 11:33:24)
0905 chloe:收到銀行通知USD9314</t>
        </r>
      </text>
    </comment>
    <comment ref="H3084" authorId="0" shapeId="0" xr:uid="{85A74D08-BE34-3047-924F-90D3375753D1}">
      <text>
        <r>
          <rPr>
            <sz val="10"/>
            <color rgb="FF000000"/>
            <rFont val="Aptos Narrow"/>
            <scheme val="minor"/>
          </rPr>
          <t>======
ID#AAABjx7qNqM
    (2025-05-21 11:33:23)
0822 chloe:收到銀行通知USD706</t>
        </r>
      </text>
    </comment>
    <comment ref="H3085" authorId="0" shapeId="0" xr:uid="{85544AD9-E61C-7F41-B3F2-B88E4D49929D}">
      <text>
        <r>
          <rPr>
            <sz val="10"/>
            <color rgb="FF000000"/>
            <rFont val="Aptos Narrow"/>
            <scheme val="minor"/>
          </rPr>
          <t>======
ID#AAABjx7qQSU
    (2025-05-21 11:33:25)
0822 chloe:收到銀行通知USD706</t>
        </r>
      </text>
    </comment>
    <comment ref="H3086" authorId="0" shapeId="0" xr:uid="{910F0267-F2A5-2745-9A05-37601EC46019}">
      <text>
        <r>
          <rPr>
            <sz val="10"/>
            <color rgb="FF000000"/>
            <rFont val="Aptos Narrow"/>
            <scheme val="minor"/>
          </rPr>
          <t>======
ID#AAABjx7qNA4
    (2025-05-21 11:33:23)
0822 chloe:收到銀行通知USD706</t>
        </r>
      </text>
    </comment>
    <comment ref="H3087" authorId="0" shapeId="0" xr:uid="{6D6FCF2D-4089-B448-9793-F427EA0C5EFB}">
      <text>
        <r>
          <rPr>
            <sz val="10"/>
            <color rgb="FF000000"/>
            <rFont val="Aptos Narrow"/>
            <scheme val="minor"/>
          </rPr>
          <t>======
ID#AAABjx7qNX0
    (2025-05-21 11:33:23)
0822 chloe:收到銀行通知USD706</t>
        </r>
      </text>
    </comment>
    <comment ref="H3088" authorId="0" shapeId="0" xr:uid="{9660A40E-D074-E844-9808-0B52430D1B85}">
      <text>
        <r>
          <rPr>
            <sz val="10"/>
            <color rgb="FF000000"/>
            <rFont val="Aptos Narrow"/>
            <scheme val="minor"/>
          </rPr>
          <t>======
ID#AAABjx7qR7U
    (2025-05-21 11:33:25)
0822 chloe:收到銀行通知USD706</t>
        </r>
      </text>
    </comment>
    <comment ref="K3088" authorId="0" shapeId="0" xr:uid="{1008979F-BE9D-384E-B11F-F985E33E234E}">
      <text>
        <r>
          <rPr>
            <sz val="10"/>
            <color rgb="FF000000"/>
            <rFont val="Aptos Narrow"/>
            <scheme val="minor"/>
          </rPr>
          <t>======
ID#AAABjx7qNMc
    (2025-05-21 11:33:23)
0822 chloe:此貨特殊，故不走出口報關，INVOICE需事先給予</t>
        </r>
      </text>
    </comment>
    <comment ref="H3089" authorId="0" shapeId="0" xr:uid="{BB02D8D6-0F7C-5442-AF20-68320A223E33}">
      <text>
        <r>
          <rPr>
            <sz val="10"/>
            <color rgb="FF000000"/>
            <rFont val="Aptos Narrow"/>
            <scheme val="minor"/>
          </rPr>
          <t>======
ID#AAABjx7qQb8
    (2025-05-21 11:33:25)
0926 chloe:已收到銀行通知USD374，因戎克戶名短少TD，故待客戶修改電文銀行才會發放</t>
        </r>
      </text>
    </comment>
    <comment ref="H3090" authorId="0" shapeId="0" xr:uid="{2C808B17-1E9F-CA4B-A5D5-C7EEF407A502}">
      <text>
        <r>
          <rPr>
            <sz val="10"/>
            <color rgb="FF000000"/>
            <rFont val="Aptos Narrow"/>
            <scheme val="minor"/>
          </rPr>
          <t>======
ID#AAABjx7qM1I
    (2025-05-21 11:33:23)
0720 chloe: 收到銀行通知</t>
        </r>
      </text>
    </comment>
    <comment ref="H3091" authorId="0" shapeId="0" xr:uid="{28952554-7731-CF46-B84A-F7FFA3DE86B6}">
      <text>
        <r>
          <rPr>
            <sz val="10"/>
            <color rgb="FF000000"/>
            <rFont val="Aptos Narrow"/>
            <scheme val="minor"/>
          </rPr>
          <t>======
ID#AAABjx7qRvA
    (2025-05-21 11:33:25)
0720 chloe: 收到銀行通知</t>
        </r>
      </text>
    </comment>
    <comment ref="H3092" authorId="0" shapeId="0" xr:uid="{781FC8CA-769D-084F-87DE-C05A0EA2D44D}">
      <text>
        <r>
          <rPr>
            <sz val="10"/>
            <color rgb="FF000000"/>
            <rFont val="Aptos Narrow"/>
            <scheme val="minor"/>
          </rPr>
          <t>======
ID#AAABjx7qSTg
    (2025-05-21 11:33:26)
0720 chloe: 收到銀行通知</t>
        </r>
      </text>
    </comment>
    <comment ref="M3092" authorId="0" shapeId="0" xr:uid="{109B4729-3A5D-7749-8433-1F32B6324EEF}">
      <text>
        <r>
          <rPr>
            <sz val="10"/>
            <color rgb="FF000000"/>
            <rFont val="Aptos Narrow"/>
            <scheme val="minor"/>
          </rPr>
          <t>======
ID#AAABjx7qOYA
    (2025-05-21 11:33:24)
0729 Chloe:原本預計9/3到貨</t>
        </r>
      </text>
    </comment>
    <comment ref="W3092" authorId="0" shapeId="0" xr:uid="{041DB0C0-5D9B-CF4E-B8D9-8AE5F7389982}">
      <text>
        <r>
          <rPr>
            <sz val="10"/>
            <color rgb="FF000000"/>
            <rFont val="Aptos Narrow"/>
            <scheme val="minor"/>
          </rPr>
          <t>======
ID#AAABjx7qSQQ
    (2025-05-21 11:33:26)
0906 chloe:已提供對帳單</t>
        </r>
      </text>
    </comment>
    <comment ref="H3093" authorId="0" shapeId="0" xr:uid="{18F617B7-4713-AA45-BA99-94E3C8A2FA21}">
      <text>
        <r>
          <rPr>
            <sz val="10"/>
            <color rgb="FF000000"/>
            <rFont val="Aptos Narrow"/>
            <scheme val="minor"/>
          </rPr>
          <t>======
ID#AAABjx7qOw8
    (2025-05-21 11:33:24)
0720 chloe: 收到銀行通知</t>
        </r>
      </text>
    </comment>
    <comment ref="M3094" authorId="0" shapeId="0" xr:uid="{4C65B44C-2255-BD4A-AD7D-54CD7D101F93}">
      <text>
        <r>
          <rPr>
            <sz val="10"/>
            <color rgb="FF000000"/>
            <rFont val="Aptos Narrow"/>
            <scheme val="minor"/>
          </rPr>
          <t>======
ID#AAABjx7qS8M
    (2025-05-21 11:33:26)
0802 chloe:預計</t>
        </r>
      </text>
    </comment>
    <comment ref="M3095" authorId="0" shapeId="0" xr:uid="{EDF0D7CF-BB5C-4944-ABD0-4EDB2EFB6601}">
      <text>
        <r>
          <rPr>
            <sz val="10"/>
            <color rgb="FF000000"/>
            <rFont val="Aptos Narrow"/>
            <scheme val="minor"/>
          </rPr>
          <t>======
ID#AAABjx7qSns
    (2025-05-21 11:33:26)
0802 chloe:預計</t>
        </r>
      </text>
    </comment>
    <comment ref="H3096" authorId="0" shapeId="0" xr:uid="{EDE5EADB-5B21-644F-9BA1-33514EE8D633}">
      <text>
        <r>
          <rPr>
            <sz val="10"/>
            <color rgb="FF000000"/>
            <rFont val="Aptos Narrow"/>
            <scheme val="minor"/>
          </rPr>
          <t>======
ID#AAABjx7qWGg
    (2025-05-21 11:33:27)
1004 chloe:收到銀行通知USD3752</t>
        </r>
      </text>
    </comment>
    <comment ref="K3096" authorId="0" shapeId="0" xr:uid="{83FB41FB-6F0D-FC43-A82A-F3D2721CBD6B}">
      <text>
        <r>
          <rPr>
            <sz val="10"/>
            <color rgb="FF000000"/>
            <rFont val="Aptos Narrow"/>
            <scheme val="minor"/>
          </rPr>
          <t>======
ID#AAABjx7qSSo
    (2025-05-21 11:33:26)
0728 chloe:請寄另外地址
T-POLE Srl
Via De Gasperi, 4
27040 PORTALBERA (PV)
Italy</t>
        </r>
      </text>
    </comment>
    <comment ref="H3097" authorId="0" shapeId="0" xr:uid="{FD686CAA-C414-8C45-B3EA-887F8D877130}">
      <text>
        <r>
          <rPr>
            <sz val="10"/>
            <color rgb="FF000000"/>
            <rFont val="Aptos Narrow"/>
            <scheme val="minor"/>
          </rPr>
          <t>======
ID#AAABjx7qNSo
    (2025-05-21 11:33:23)
0715 Santiago: 收到銀行通知</t>
        </r>
      </text>
    </comment>
    <comment ref="H3098" authorId="0" shapeId="0" xr:uid="{247494D6-3423-AC45-A932-6124E983DA11}">
      <text>
        <r>
          <rPr>
            <sz val="10"/>
            <color rgb="FF000000"/>
            <rFont val="Aptos Narrow"/>
            <scheme val="minor"/>
          </rPr>
          <t>======
ID#AAABjx7qM_M
    (2025-05-21 11:33:23)
0715 Santiago: 收到銀行通知</t>
        </r>
      </text>
    </comment>
    <comment ref="H3099" authorId="0" shapeId="0" xr:uid="{5A7DE50F-ABBB-334F-9074-342EDEADFE8F}">
      <text>
        <r>
          <rPr>
            <sz val="10"/>
            <color rgb="FF000000"/>
            <rFont val="Aptos Narrow"/>
            <scheme val="minor"/>
          </rPr>
          <t>======
ID#AAABjx7qRj0
    (2025-05-21 11:33:25)
0715 Santiago: 收到銀行通知</t>
        </r>
      </text>
    </comment>
    <comment ref="G3100" authorId="0" shapeId="0" xr:uid="{DF7222E8-6FBF-D347-91D2-1B160D276FC4}">
      <text>
        <r>
          <rPr>
            <sz val="10"/>
            <color rgb="FF000000"/>
            <rFont val="Aptos Narrow"/>
            <scheme val="minor"/>
          </rPr>
          <t>======
ID#AAABjx7qRLs
    (2025-05-21 11:33:25)
0719 Santiago: 台幣固定值為NT5275.2</t>
        </r>
      </text>
    </comment>
    <comment ref="H3100" authorId="0" shapeId="0" xr:uid="{5DE2338D-0111-0249-A476-D286954226EC}">
      <text>
        <r>
          <rPr>
            <sz val="10"/>
            <color rgb="FF000000"/>
            <rFont val="Aptos Narrow"/>
            <scheme val="minor"/>
          </rPr>
          <t>======
ID#AAABjx7qNz4
    (2025-05-21 11:33:23)
0902 chloe 收到支票525837</t>
        </r>
      </text>
    </comment>
    <comment ref="N3100" authorId="0" shapeId="0" xr:uid="{B0A9B85A-A4F2-1646-9906-6BF6A7E1262F}">
      <text>
        <r>
          <rPr>
            <sz val="10"/>
            <color rgb="FF000000"/>
            <rFont val="Aptos Narrow"/>
            <scheme val="minor"/>
          </rPr>
          <t>======
ID#AAABjx7qUw8
    (2025-05-21 11:33:26)
(合併富加堡一起送戎克)</t>
        </r>
      </text>
    </comment>
    <comment ref="AD3100" authorId="0" shapeId="0" xr:uid="{516FBE0B-997E-A744-916B-2D811F8DCBFE}">
      <text>
        <r>
          <rPr>
            <sz val="10"/>
            <color rgb="FF000000"/>
            <rFont val="Aptos Narrow"/>
            <scheme val="minor"/>
          </rPr>
          <t>======
ID#AAABjx7qNFQ
    (2025-05-21 11:33:23)
125600(不含稅)</t>
        </r>
      </text>
    </comment>
    <comment ref="G3101" authorId="0" shapeId="0" xr:uid="{1811356B-E9EB-7540-83FF-7AA728D5DBA1}">
      <text>
        <r>
          <rPr>
            <sz val="10"/>
            <color rgb="FF000000"/>
            <rFont val="Aptos Narrow"/>
            <scheme val="minor"/>
          </rPr>
          <t>======
ID#AAABjx7qN-4
    (2025-05-21 11:33:24)
0719 Santiago: 台幣固定值為NT5275.2</t>
        </r>
      </text>
    </comment>
    <comment ref="H3101" authorId="0" shapeId="0" xr:uid="{9B4A866B-4749-AA4D-A423-46AABD9FE619}">
      <text>
        <r>
          <rPr>
            <sz val="10"/>
            <color rgb="FF000000"/>
            <rFont val="Aptos Narrow"/>
            <scheme val="minor"/>
          </rPr>
          <t>======
ID#AAABjx7qN78
    (2025-05-21 11:33:23)
0902 chloe 收到支票525837</t>
        </r>
      </text>
    </comment>
    <comment ref="N3101" authorId="0" shapeId="0" xr:uid="{DF4CF6E9-981A-7143-A81B-15454AF3203C}">
      <text>
        <r>
          <rPr>
            <sz val="10"/>
            <color rgb="FF000000"/>
            <rFont val="Aptos Narrow"/>
            <scheme val="minor"/>
          </rPr>
          <t>======
ID#AAABjx7qO94
    (2025-05-21 11:33:24)
送至歐緯世</t>
        </r>
      </text>
    </comment>
    <comment ref="G3102" authorId="0" shapeId="0" xr:uid="{4CFF29AC-B8BB-064F-8BB1-B6247B7B3BB0}">
      <text>
        <r>
          <rPr>
            <sz val="10"/>
            <color rgb="FF000000"/>
            <rFont val="Aptos Narrow"/>
            <scheme val="minor"/>
          </rPr>
          <t>======
ID#AAABjx7qPZ8
    (2025-05-21 11:33:24)
0713 Santiago: 台幣固定值為NT1920</t>
        </r>
      </text>
    </comment>
    <comment ref="H3102" authorId="0" shapeId="0" xr:uid="{41333022-C996-664E-92B9-207EF89259F4}">
      <text>
        <r>
          <rPr>
            <sz val="10"/>
            <color rgb="FF000000"/>
            <rFont val="Aptos Narrow"/>
            <scheme val="minor"/>
          </rPr>
          <t>======
ID#AAABjx7qNPU
    (2025-05-21 11:33:23)
0902 chloe 收到支票525837</t>
        </r>
      </text>
    </comment>
    <comment ref="AD3102" authorId="0" shapeId="0" xr:uid="{D8D0D866-4B50-B549-BF8A-014729F03F74}">
      <text>
        <r>
          <rPr>
            <sz val="10"/>
            <color rgb="FF000000"/>
            <rFont val="Aptos Narrow"/>
            <scheme val="minor"/>
          </rPr>
          <t>======
ID#AAABjx7qPRo
    (2025-05-21 11:33:24)
28800(不含稅)</t>
        </r>
      </text>
    </comment>
    <comment ref="G3103" authorId="0" shapeId="0" xr:uid="{6AFF076E-1BAA-B348-885E-8494125EC480}">
      <text>
        <r>
          <rPr>
            <sz val="10"/>
            <color rgb="FF000000"/>
            <rFont val="Aptos Narrow"/>
            <scheme val="minor"/>
          </rPr>
          <t>======
ID#AAABjx7qN6s
    (2025-05-21 11:33:23)
63</t>
        </r>
      </text>
    </comment>
    <comment ref="H3103" authorId="0" shapeId="0" xr:uid="{DDC54356-4795-7842-BD6E-2C4328E3F065}">
      <text>
        <r>
          <rPr>
            <sz val="10"/>
            <color rgb="FF000000"/>
            <rFont val="Aptos Narrow"/>
            <scheme val="minor"/>
          </rPr>
          <t>======
ID#AAABjx7qRmk
    (2025-05-21 11:33:25)
0902 chloe 收到支票525837</t>
        </r>
      </text>
    </comment>
    <comment ref="D3104" authorId="0" shapeId="0" xr:uid="{BA0C85DB-87A4-5145-9615-5C6D898BFE23}">
      <text>
        <r>
          <rPr>
            <sz val="10"/>
            <color rgb="FF000000"/>
            <rFont val="Aptos Narrow"/>
            <scheme val="minor"/>
          </rPr>
          <t>======
ID#AAABjx7qQ3s
    (2025-05-21 11:33:25)
0415 Santiago: 收件地址有變. 
改寄墨爾本辦公室. 同日已發信通知Chloe</t>
        </r>
      </text>
    </comment>
    <comment ref="H3104" authorId="0" shapeId="0" xr:uid="{371AA665-3B12-8B4C-853F-BCF03A649CF4}">
      <text>
        <r>
          <rPr>
            <sz val="10"/>
            <color rgb="FF000000"/>
            <rFont val="Aptos Narrow"/>
            <scheme val="minor"/>
          </rPr>
          <t>======
ID#AAABjx7qOkY
    (2025-05-21 11:33:24)
20160604 Santiago : received bank note</t>
        </r>
      </text>
    </comment>
    <comment ref="K3104" authorId="0" shapeId="0" xr:uid="{B29434A7-7BFF-534F-A2D4-B5576A59FCC1}">
      <text>
        <r>
          <rPr>
            <sz val="10"/>
            <color rgb="FF000000"/>
            <rFont val="Aptos Narrow"/>
            <scheme val="minor"/>
          </rPr>
          <t>======
ID#AAABj82dpQM
    (2025-05-21 11:33:23)
0415 Santiago: 收件地址有變. 
改寄墨爾本辦公室. 同日已發信通知Chloe</t>
        </r>
      </text>
    </comment>
    <comment ref="H3105" authorId="0" shapeId="0" xr:uid="{219EEA88-B4CB-414A-B300-B2D24134817F}">
      <text>
        <r>
          <rPr>
            <sz val="10"/>
            <color rgb="FF000000"/>
            <rFont val="Aptos Narrow"/>
            <scheme val="minor"/>
          </rPr>
          <t>======
ID#AAABjx7qRSU
    (2025-05-21 11:33:25)
0905 chloe:收到銀行通知USD9314</t>
        </r>
      </text>
    </comment>
    <comment ref="H3106" authorId="0" shapeId="0" xr:uid="{526C66E3-EF2C-484A-9FC1-C6D656F132F9}">
      <text>
        <r>
          <rPr>
            <sz val="10"/>
            <color rgb="FF000000"/>
            <rFont val="Aptos Narrow"/>
            <scheme val="minor"/>
          </rPr>
          <t>======
ID#AAABjx7qR1k
    (2025-05-21 11:33:25)
0905 chloe:收到銀行通知USD9314</t>
        </r>
      </text>
    </comment>
    <comment ref="H3107" authorId="0" shapeId="0" xr:uid="{A7586A36-9D88-284F-8B6E-93AA3457AE2A}">
      <text>
        <r>
          <rPr>
            <sz val="10"/>
            <color rgb="FF000000"/>
            <rFont val="Aptos Narrow"/>
            <scheme val="minor"/>
          </rPr>
          <t>======
ID#AAABjx7qQUs
    (2025-05-21 11:33:25)
0905 chloe:收到銀行通知USD9314</t>
        </r>
      </text>
    </comment>
    <comment ref="M3107" authorId="0" shapeId="0" xr:uid="{090DC9E8-82FD-5548-AFF8-C6B06CE104DB}">
      <text>
        <r>
          <rPr>
            <sz val="10"/>
            <color rgb="FF000000"/>
            <rFont val="Aptos Narrow"/>
            <scheme val="minor"/>
          </rPr>
          <t>======
ID#AAABjx7qRFA
    (2025-05-21 11:33:25)
0722 chloe 07/29到貨</t>
        </r>
      </text>
    </comment>
    <comment ref="H3108" authorId="0" shapeId="0" xr:uid="{B850D7F3-8AE3-8040-BB3C-50FE698AD724}">
      <text>
        <r>
          <rPr>
            <sz val="10"/>
            <color rgb="FF000000"/>
            <rFont val="Aptos Narrow"/>
            <scheme val="minor"/>
          </rPr>
          <t>======
ID#AAABjx7qPgc
    (2025-05-21 11:33:24)
0905 chloe:收到銀行通知USD9314</t>
        </r>
      </text>
    </comment>
    <comment ref="H3109" authorId="0" shapeId="0" xr:uid="{51EA733B-BFFC-4442-B4F5-5E4516DC22A2}">
      <text>
        <r>
          <rPr>
            <sz val="10"/>
            <color rgb="FF000000"/>
            <rFont val="Aptos Narrow"/>
            <scheme val="minor"/>
          </rPr>
          <t>======
ID#AAABjx7qOZ4
    (2025-05-21 11:33:24)
1004 chloe:收到銀行通知USD3752</t>
        </r>
      </text>
    </comment>
    <comment ref="K3109" authorId="0" shapeId="0" xr:uid="{29A4E5E8-9287-334B-A23C-24048B068CFE}">
      <text>
        <r>
          <rPr>
            <sz val="10"/>
            <color rgb="FF000000"/>
            <rFont val="Aptos Narrow"/>
            <scheme val="minor"/>
          </rPr>
          <t>======
ID#AAABjx7qPRk
    (2025-05-21 11:33:24)
0728 chloe:請寄另外地址
T-POLE Srl
Via De Gasperi, 4
27040 PORTALBERA (PV)
Italy</t>
        </r>
      </text>
    </comment>
    <comment ref="E3110" authorId="0" shapeId="0" xr:uid="{BB6FEF18-E2A4-8D43-B7C7-4C639D776FC6}">
      <text>
        <r>
          <rPr>
            <sz val="10"/>
            <color rgb="FF000000"/>
            <rFont val="Aptos Narrow"/>
            <scheme val="minor"/>
          </rPr>
          <t>======
ID#AAABjx7qWTQ
    (2025-05-21 11:33:27)
160721 Karen: EU adapter</t>
        </r>
      </text>
    </comment>
    <comment ref="H3110" authorId="0" shapeId="0" xr:uid="{574D06E7-166D-7449-A640-FD5572F12528}">
      <text>
        <r>
          <rPr>
            <sz val="10"/>
            <color rgb="FF000000"/>
            <rFont val="Aptos Narrow"/>
            <scheme val="minor"/>
          </rPr>
          <t>======
ID#AAABjx7qQDw
    (2025-05-21 11:33:25)
0808 chloe:收到銀行通知USD1699</t>
        </r>
      </text>
    </comment>
    <comment ref="K3110" authorId="0" shapeId="0" xr:uid="{28266F2F-7AD3-B64D-92E6-F3AE16A54871}">
      <text>
        <r>
          <rPr>
            <sz val="10"/>
            <color rgb="FF000000"/>
            <rFont val="Aptos Narrow"/>
            <scheme val="minor"/>
          </rPr>
          <t>======
ID#AAABjx7qOOU
    (2025-05-21 11:33:24)
0720 Chloe:尚未收到客戶付款待收款後出貨</t>
        </r>
      </text>
    </comment>
    <comment ref="E3111" authorId="0" shapeId="0" xr:uid="{1BE7B833-D5E1-8945-A13D-591BB2A66C38}">
      <text>
        <r>
          <rPr>
            <sz val="10"/>
            <color rgb="FF000000"/>
            <rFont val="Aptos Narrow"/>
            <scheme val="minor"/>
          </rPr>
          <t>======
ID#AAABj82dpIs
    (2025-05-21 11:33:23)
160721 Karen: EU adapter</t>
        </r>
      </text>
    </comment>
    <comment ref="H3111" authorId="0" shapeId="0" xr:uid="{14DD50FF-A229-0E40-9D9C-952D7F3EA365}">
      <text>
        <r>
          <rPr>
            <sz val="10"/>
            <color rgb="FF000000"/>
            <rFont val="Aptos Narrow"/>
            <scheme val="minor"/>
          </rPr>
          <t>======
ID#AAABjx7qOKU
    (2025-05-21 11:33:24)
0808 chloe:收到銀行通知USD1699</t>
        </r>
      </text>
    </comment>
    <comment ref="K3111" authorId="0" shapeId="0" xr:uid="{ADD33296-E010-F746-BC3D-8A486F2079E6}">
      <text>
        <r>
          <rPr>
            <sz val="10"/>
            <color rgb="FF000000"/>
            <rFont val="Aptos Narrow"/>
            <scheme val="minor"/>
          </rPr>
          <t>======
ID#AAABjx7qP54
    (2025-05-21 11:33:24)
0720 Chloe:尚未收到客戶付款待收款後出貨</t>
        </r>
      </text>
    </comment>
    <comment ref="E3112" authorId="0" shapeId="0" xr:uid="{B54A761B-78AB-EC4D-AB98-9BBD7B1B5644}">
      <text>
        <r>
          <rPr>
            <sz val="10"/>
            <color rgb="FF000000"/>
            <rFont val="Aptos Narrow"/>
            <scheme val="minor"/>
          </rPr>
          <t>======
ID#AAABjx7qVxo
    (2025-05-21 11:33:27)
160721 Karen: EU adapter</t>
        </r>
      </text>
    </comment>
    <comment ref="H3112" authorId="0" shapeId="0" xr:uid="{6FB94245-2544-E74A-B9DA-351978A4EA0F}">
      <text>
        <r>
          <rPr>
            <sz val="10"/>
            <color rgb="FF000000"/>
            <rFont val="Aptos Narrow"/>
            <scheme val="minor"/>
          </rPr>
          <t>======
ID#AAABjx7qQdw
    (2025-05-21 11:33:25)
0808 chloe:收到銀行通知USD1699</t>
        </r>
      </text>
    </comment>
    <comment ref="K3112" authorId="0" shapeId="0" xr:uid="{9682C6D2-AF1E-7C46-ADCD-F0E3C0B111A2}">
      <text>
        <r>
          <rPr>
            <sz val="10"/>
            <color rgb="FF000000"/>
            <rFont val="Aptos Narrow"/>
            <scheme val="minor"/>
          </rPr>
          <t>======
ID#AAABjx7qS5Y
    (2025-05-21 11:33:26)
0720 Chloe:尚未收到客戶付款待收款後出貨</t>
        </r>
      </text>
    </comment>
    <comment ref="G3113" authorId="0" shapeId="0" xr:uid="{05E0A6A4-20A1-5142-A0B5-4A8B49350996}">
      <text>
        <r>
          <rPr>
            <sz val="10"/>
            <color rgb="FF000000"/>
            <rFont val="Aptos Narrow"/>
            <scheme val="minor"/>
          </rPr>
          <t>======
ID#AAABjx7qNTI
    (2025-05-21 11:33:23)
w/5%VAT</t>
        </r>
      </text>
    </comment>
    <comment ref="H3113" authorId="0" shapeId="0" xr:uid="{D6400304-A194-654F-9A56-9FDB1699E7F1}">
      <text>
        <r>
          <rPr>
            <sz val="10"/>
            <color rgb="FF000000"/>
            <rFont val="Aptos Narrow"/>
            <scheme val="minor"/>
          </rPr>
          <t>======
ID#AAABjx7qRjA
    (2025-05-21 11:33:25)
1128 chloe:收到NT19081</t>
        </r>
      </text>
    </comment>
    <comment ref="H3114" authorId="0" shapeId="0" xr:uid="{AE15BA3C-224E-6E43-8547-D33DF3D42E59}">
      <text>
        <r>
          <rPr>
            <sz val="10"/>
            <color rgb="FF000000"/>
            <rFont val="Aptos Narrow"/>
            <scheme val="minor"/>
          </rPr>
          <t>======
ID#AAABjx7qWIk
    (2025-05-21 11:33:27)
0822 chloe:收到銀行通知USD919</t>
        </r>
      </text>
    </comment>
    <comment ref="I3114" authorId="0" shapeId="0" xr:uid="{ED7EAC90-B92A-994D-AACA-3C5CF5BFD73C}">
      <text>
        <r>
          <rPr>
            <sz val="10"/>
            <color rgb="FF000000"/>
            <rFont val="Aptos Narrow"/>
            <scheme val="minor"/>
          </rPr>
          <t>======
ID#AAABjx7qOnk
    (2025-05-21 11:33:24)
0830 Chloe:不計算獎金，因業務及採購都不須計算</t>
        </r>
      </text>
    </comment>
    <comment ref="H3115" authorId="0" shapeId="0" xr:uid="{C3E8B39F-0EE0-994A-B7F9-AB4E9A9DD692}">
      <text>
        <r>
          <rPr>
            <sz val="10"/>
            <color rgb="FF000000"/>
            <rFont val="Aptos Narrow"/>
            <scheme val="minor"/>
          </rPr>
          <t>======
ID#AAABjx7qPL8
    (2025-05-21 11:33:24)
0822 chloe:收到銀行通知USD919</t>
        </r>
      </text>
    </comment>
    <comment ref="I3115" authorId="0" shapeId="0" xr:uid="{F4F16A8C-558A-304F-B2E1-6F4D93B23CD6}">
      <text>
        <r>
          <rPr>
            <sz val="10"/>
            <color rgb="FF000000"/>
            <rFont val="Aptos Narrow"/>
            <scheme val="minor"/>
          </rPr>
          <t>======
ID#AAABjx7qR9c
    (2025-05-21 11:33:25)
0830 Chloe:不計算獎金，因業務及採購都不須計算</t>
        </r>
      </text>
    </comment>
    <comment ref="H3116" authorId="0" shapeId="0" xr:uid="{2148A3F9-0B88-394A-8E90-6218D2A5B4C3}">
      <text>
        <r>
          <rPr>
            <sz val="10"/>
            <color rgb="FF000000"/>
            <rFont val="Aptos Narrow"/>
            <scheme val="minor"/>
          </rPr>
          <t>======
ID#AAABjx7qRL0
    (2025-05-21 11:33:25)
0923 chloe: 收到銀行通知USD1160</t>
        </r>
      </text>
    </comment>
    <comment ref="H3117" authorId="0" shapeId="0" xr:uid="{452CE434-5496-B649-8652-72385ECD1A0D}">
      <text>
        <r>
          <rPr>
            <sz val="10"/>
            <color rgb="FF000000"/>
            <rFont val="Aptos Narrow"/>
            <scheme val="minor"/>
          </rPr>
          <t>======
ID#AAABjx7qSY4
    (2025-05-21 11:33:26)
0923 chloe: 收到銀行通知USD1160</t>
        </r>
      </text>
    </comment>
    <comment ref="H3118" authorId="0" shapeId="0" xr:uid="{7C1434AE-5959-6C4C-B9E7-0DB8239645E6}">
      <text>
        <r>
          <rPr>
            <sz val="10"/>
            <color rgb="FF000000"/>
            <rFont val="Aptos Narrow"/>
            <scheme val="minor"/>
          </rPr>
          <t>======
ID#AAABjx7qS74
    (2025-05-21 11:33:26)
0728 chloe:收到銀行通知</t>
        </r>
      </text>
    </comment>
    <comment ref="M3118" authorId="0" shapeId="0" xr:uid="{98703A96-233A-2244-B1DE-3B409E4BB92A}">
      <text>
        <r>
          <rPr>
            <sz val="10"/>
            <color rgb="FF000000"/>
            <rFont val="Aptos Narrow"/>
            <scheme val="minor"/>
          </rPr>
          <t>======
ID#AAABjx7qN6c
    (2025-05-21 11:33:23)
0726到貨</t>
        </r>
      </text>
    </comment>
    <comment ref="H3119" authorId="0" shapeId="0" xr:uid="{6827B2E0-F1FA-CD4A-A9D8-FFA89F0C653F}">
      <text>
        <r>
          <rPr>
            <sz val="10"/>
            <color rgb="FF000000"/>
            <rFont val="Aptos Narrow"/>
            <scheme val="minor"/>
          </rPr>
          <t>======
ID#AAABjx7qPsE
    (2025-05-21 11:33:24)
0822 chloe:收到銀行通知USD919</t>
        </r>
      </text>
    </comment>
    <comment ref="I3119" authorId="0" shapeId="0" xr:uid="{22C08A79-47A3-B94D-8758-BB218CDBF705}">
      <text>
        <r>
          <rPr>
            <sz val="10"/>
            <color rgb="FF000000"/>
            <rFont val="Aptos Narrow"/>
            <scheme val="minor"/>
          </rPr>
          <t>======
ID#AAABjx7qQPY
    (2025-05-21 11:33:25)
0830 Chloe:不計算獎金，因業務及採購都不須計算</t>
        </r>
      </text>
    </comment>
    <comment ref="M3119" authorId="0" shapeId="0" xr:uid="{A279ED18-DC43-F149-96E2-1B0DB0493BE9}">
      <text>
        <r>
          <rPr>
            <sz val="10"/>
            <color rgb="FF000000"/>
            <rFont val="Aptos Narrow"/>
            <scheme val="minor"/>
          </rPr>
          <t>======
ID#AAABjx7qNqE
    (2025-05-21 11:33:23)
新北市新莊區化成路83巷17號
02-7729-2788
郭玟丰 (Christine) 小姐 #658</t>
        </r>
      </text>
    </comment>
    <comment ref="W3119" authorId="0" shapeId="0" xr:uid="{63C9088E-231D-6945-8D2D-340B9CB5B481}">
      <text>
        <r>
          <rPr>
            <sz val="10"/>
            <color rgb="FF000000"/>
            <rFont val="Aptos Narrow"/>
            <scheme val="minor"/>
          </rPr>
          <t>======
ID#AAABjx7qVaw
    (2025-05-21 11:33:27)
0808 chloe: 業務無給對帳單，故改為9/5付款</t>
        </r>
      </text>
    </comment>
    <comment ref="H3120" authorId="0" shapeId="0" xr:uid="{51EFF5D2-3486-4E44-9029-DEA1CD5FB147}">
      <text>
        <r>
          <rPr>
            <sz val="10"/>
            <color rgb="FF000000"/>
            <rFont val="Aptos Narrow"/>
            <scheme val="minor"/>
          </rPr>
          <t>======
ID#AAABjx7qSbE
    (2025-05-21 11:33:26)
0822 chloe:收到銀行通知USD919</t>
        </r>
      </text>
    </comment>
    <comment ref="I3120" authorId="0" shapeId="0" xr:uid="{21862518-0EE6-BB43-8484-579FDF10BD27}">
      <text>
        <r>
          <rPr>
            <sz val="10"/>
            <color rgb="FF000000"/>
            <rFont val="Aptos Narrow"/>
            <scheme val="minor"/>
          </rPr>
          <t>======
ID#AAABjx7qU1U
    (2025-05-21 11:33:26)
0830 Chloe:不計算獎金，因業務及採購都不須計算</t>
        </r>
      </text>
    </comment>
    <comment ref="M3120" authorId="0" shapeId="0" xr:uid="{188AD607-88C5-F844-B71B-1F4321DAC68C}">
      <text>
        <r>
          <rPr>
            <sz val="10"/>
            <color rgb="FF000000"/>
            <rFont val="Aptos Narrow"/>
            <scheme val="minor"/>
          </rPr>
          <t>======
ID#AAABjx7qRNE
    (2025-05-21 11:33:25)
新北市新莊區化成路83巷17號
02-7729-2788
郭玟丰 (Christine) 小姐 #658</t>
        </r>
      </text>
    </comment>
    <comment ref="W3120" authorId="0" shapeId="0" xr:uid="{97D9FC85-9FE2-C148-82C9-8D8FD8021772}">
      <text>
        <r>
          <rPr>
            <sz val="10"/>
            <color rgb="FF000000"/>
            <rFont val="Aptos Narrow"/>
            <scheme val="minor"/>
          </rPr>
          <t>======
ID#AAABjx7qNVg
    (2025-05-21 11:33:23)
0808 chloe: 業務無給對帳單，故改為9/5付款</t>
        </r>
      </text>
    </comment>
    <comment ref="G3121" authorId="0" shapeId="0" xr:uid="{31E09118-6E27-4840-A2B3-7113B9B36CD9}">
      <text>
        <r>
          <rPr>
            <sz val="10"/>
            <color rgb="FF000000"/>
            <rFont val="Aptos Narrow"/>
            <scheme val="minor"/>
          </rPr>
          <t>======
ID#AAABjx7qU9E
0921 Santiago    (2025-05-21 11:33:27)
PI 打錯價格, 單價應為US$18</t>
        </r>
      </text>
    </comment>
    <comment ref="H3121" authorId="0" shapeId="0" xr:uid="{2C880955-A8D7-D849-9186-9F1C43270E7E}">
      <text>
        <r>
          <rPr>
            <sz val="10"/>
            <color rgb="FF000000"/>
            <rFont val="Aptos Narrow"/>
            <scheme val="minor"/>
          </rPr>
          <t>======
ID#AAABjx7qQf4
0921 Santiago    (2025-05-21 11:33:25)
PI 打錯價格, 單價應為US$18
0822 chloe:收到銀行通知USD919</t>
        </r>
      </text>
    </comment>
    <comment ref="I3121" authorId="0" shapeId="0" xr:uid="{051FFC74-B4A6-444C-9527-500968590F4B}">
      <text>
        <r>
          <rPr>
            <sz val="10"/>
            <color rgb="FF000000"/>
            <rFont val="Aptos Narrow"/>
            <scheme val="minor"/>
          </rPr>
          <t>======
ID#AAABjx7qTnY
    (2025-05-21 11:33:26)
0830 Chloe:不計算獎金，因業務及採購都不須計算</t>
        </r>
      </text>
    </comment>
    <comment ref="M3121" authorId="0" shapeId="0" xr:uid="{96A02FDC-4695-CC49-A8F4-7F1D83B7E322}">
      <text>
        <r>
          <rPr>
            <sz val="10"/>
            <color rgb="FF000000"/>
            <rFont val="Aptos Narrow"/>
            <scheme val="minor"/>
          </rPr>
          <t>======
ID#AAABjx7qM4w
    (2025-05-21 11:33:23)
新北市新莊區化成路83巷17號
02-7729-2788
郭玟丰 (Christine) 小姐 #658</t>
        </r>
      </text>
    </comment>
    <comment ref="W3121" authorId="0" shapeId="0" xr:uid="{FD8E8FBB-DBE4-3542-882F-AEDD4F2DE10D}">
      <text>
        <r>
          <rPr>
            <sz val="10"/>
            <color rgb="FF000000"/>
            <rFont val="Aptos Narrow"/>
            <scheme val="minor"/>
          </rPr>
          <t>======
ID#AAABjx7qTK0
    (2025-05-21 11:33:26)
0808 chloe: 業務無給對帳單，故改為9/5付款</t>
        </r>
      </text>
    </comment>
    <comment ref="H3122" authorId="0" shapeId="0" xr:uid="{74F425B4-D5BC-9549-9328-75E0BB43AD01}">
      <text>
        <r>
          <rPr>
            <sz val="10"/>
            <color rgb="FF000000"/>
            <rFont val="Aptos Narrow"/>
            <scheme val="minor"/>
          </rPr>
          <t>======
ID#AAABjx7qNCY
    (2025-05-21 11:33:23)
1004 chloe:收到銀行通知USD3752</t>
        </r>
      </text>
    </comment>
    <comment ref="K3122" authorId="0" shapeId="0" xr:uid="{1FBA7194-9E1F-5D42-8E9E-51E1ADF8D17C}">
      <text>
        <r>
          <rPr>
            <sz val="10"/>
            <color rgb="FF000000"/>
            <rFont val="Aptos Narrow"/>
            <scheme val="minor"/>
          </rPr>
          <t>======
ID#AAABjx7qRwo
    (2025-05-21 11:33:25)
0728 chloe:請寄另外地址
T-POLE Srl
Via De Gasperi, 4
27040 PORTALBERA (PV)
Italy</t>
        </r>
      </text>
    </comment>
    <comment ref="H3123" authorId="0" shapeId="0" xr:uid="{52F385BF-6C04-CF4A-87C7-3A8878CDC822}">
      <text>
        <r>
          <rPr>
            <sz val="10"/>
            <color rgb="FF000000"/>
            <rFont val="Aptos Narrow"/>
            <scheme val="minor"/>
          </rPr>
          <t>======
ID#AAABjx7qSJ0
    (2025-05-21 11:33:26)
1004 chloe:收到銀行通知USD3752</t>
        </r>
      </text>
    </comment>
    <comment ref="K3123" authorId="0" shapeId="0" xr:uid="{D05A55A8-B74D-6743-83B5-58729C91EDFA}">
      <text>
        <r>
          <rPr>
            <sz val="10"/>
            <color rgb="FF000000"/>
            <rFont val="Aptos Narrow"/>
            <scheme val="minor"/>
          </rPr>
          <t>======
ID#AAABjx7qRds
    (2025-05-21 11:33:25)
0728 chloe:請寄另外地址
T-POLE Srl
Via De Gasperi, 4
27040 PORTALBERA (PV)
Italy</t>
        </r>
      </text>
    </comment>
    <comment ref="H3124" authorId="0" shapeId="0" xr:uid="{4866F0CB-C8A7-4744-AC0A-672B1231817D}">
      <text>
        <r>
          <rPr>
            <sz val="10"/>
            <color rgb="FF000000"/>
            <rFont val="Aptos Narrow"/>
            <scheme val="minor"/>
          </rPr>
          <t>======
ID#AAABjx7qS60
    (2025-05-21 11:33:26)
1004 chloe:收到銀行通知USD3752</t>
        </r>
      </text>
    </comment>
    <comment ref="K3124" authorId="0" shapeId="0" xr:uid="{C75749BE-0B5D-F74D-BA23-8FA082C80C4E}">
      <text>
        <r>
          <rPr>
            <sz val="10"/>
            <color rgb="FF000000"/>
            <rFont val="Aptos Narrow"/>
            <scheme val="minor"/>
          </rPr>
          <t>======
ID#AAABjx7qSZo
    (2025-05-21 11:33:26)
0728 chloe:請寄另外地址
T-POLE Srl
Via De Gasperi, 4
27040 PORTALBERA (PV)
Italy</t>
        </r>
      </text>
    </comment>
    <comment ref="H3125" authorId="0" shapeId="0" xr:uid="{41924991-4B47-0745-884E-7818652896C2}">
      <text>
        <r>
          <rPr>
            <sz val="10"/>
            <color rgb="FF000000"/>
            <rFont val="Aptos Narrow"/>
            <scheme val="minor"/>
          </rPr>
          <t>======
ID#AAABjx7qVPg
    (2025-05-21 11:33:27)
0804 chloe:收到銀行通知
USD 2104</t>
        </r>
      </text>
    </comment>
    <comment ref="H3126" authorId="0" shapeId="0" xr:uid="{26808962-8A4A-4D43-A238-5C6E67C4C576}">
      <text>
        <r>
          <rPr>
            <sz val="10"/>
            <color rgb="FF000000"/>
            <rFont val="Aptos Narrow"/>
            <scheme val="minor"/>
          </rPr>
          <t>======
ID#AAABjx7qTPA
    (2025-05-21 11:33:26)
0804 chloe:收到銀行通知
USD 2104</t>
        </r>
      </text>
    </comment>
    <comment ref="H3127" authorId="0" shapeId="0" xr:uid="{3FDA4CDF-74DB-8E45-8FCE-3B58B1A9A067}">
      <text>
        <r>
          <rPr>
            <sz val="10"/>
            <color rgb="FF000000"/>
            <rFont val="Aptos Narrow"/>
            <scheme val="minor"/>
          </rPr>
          <t>======
ID#AAABjx7qQM4
    (2025-05-21 11:33:25)
0804 chloe:收到銀行通知
USD 2104</t>
        </r>
      </text>
    </comment>
    <comment ref="H3128" authorId="0" shapeId="0" xr:uid="{2F7DE72F-864E-E543-885B-316F83C57AE7}">
      <text>
        <r>
          <rPr>
            <sz val="10"/>
            <color rgb="FF000000"/>
            <rFont val="Aptos Narrow"/>
            <scheme val="minor"/>
          </rPr>
          <t>======
ID#AAABjx7qMtk
    (2025-05-21 11:33:23)
0804 chloe:收到銀行通知
USD 2104</t>
        </r>
      </text>
    </comment>
    <comment ref="H3129" authorId="0" shapeId="0" xr:uid="{546AC1F7-10CA-FA49-8174-1C04E304F313}">
      <text>
        <r>
          <rPr>
            <sz val="10"/>
            <color rgb="FF000000"/>
            <rFont val="Aptos Narrow"/>
            <scheme val="minor"/>
          </rPr>
          <t>======
ID#AAABjx7qVdQ
    (2025-05-21 11:33:27)
0804 chloe:收到銀行通知
USD 2104</t>
        </r>
      </text>
    </comment>
    <comment ref="H3130" authorId="0" shapeId="0" xr:uid="{E693D387-54A7-2A4A-A610-5423ABB375E3}">
      <text>
        <r>
          <rPr>
            <sz val="10"/>
            <color rgb="FF000000"/>
            <rFont val="Aptos Narrow"/>
            <scheme val="minor"/>
          </rPr>
          <t>======
ID#AAABjx7qOzc
    (2025-05-21 11:33:24)
0816 chloe : 收到銀行通知 USD113,524</t>
        </r>
      </text>
    </comment>
    <comment ref="M3130" authorId="0" shapeId="0" xr:uid="{C7A8FF3D-1200-0043-845E-D788AA3BD98D}">
      <text>
        <r>
          <rPr>
            <sz val="10"/>
            <color rgb="FF000000"/>
            <rFont val="Aptos Narrow"/>
            <scheme val="minor"/>
          </rPr>
          <t>======
ID#AAABjx7qR9M
    (2025-05-21 11:33:25)
0728 Chloe 追臨時額度進度，才能知道何時出貨
0801 Chloe 用借貨流程0802出貨</t>
        </r>
      </text>
    </comment>
    <comment ref="H3131" authorId="0" shapeId="0" xr:uid="{1DA6407B-5B9F-2741-9CD6-4E944057BA54}">
      <text>
        <r>
          <rPr>
            <sz val="10"/>
            <color rgb="FF000000"/>
            <rFont val="Aptos Narrow"/>
            <scheme val="minor"/>
          </rPr>
          <t>======
ID#AAABjx7qTjQ
    (2025-05-21 11:33:26)
1103 chloe:收到銀行通知USD4469</t>
        </r>
      </text>
    </comment>
    <comment ref="M3131" authorId="0" shapeId="0" xr:uid="{DC719685-AEB6-124F-AE16-E6B79152F9B0}">
      <text>
        <r>
          <rPr>
            <sz val="10"/>
            <color rgb="FF000000"/>
            <rFont val="Aptos Narrow"/>
            <scheme val="minor"/>
          </rPr>
          <t>======
ID#AAABjx7qQQ0
    (2025-05-21 11:33:25)
0728 chloe 下單 8/8 在詢問一次交期
0810 chloe 詢問交期
0822 交期提前</t>
        </r>
      </text>
    </comment>
    <comment ref="W3131" authorId="0" shapeId="0" xr:uid="{CF511669-7170-7444-827A-D24E2C0E10CA}">
      <text>
        <r>
          <rPr>
            <sz val="10"/>
            <color rgb="FF000000"/>
            <rFont val="Aptos Narrow"/>
            <scheme val="minor"/>
          </rPr>
          <t>======
ID#AAABjx7qRrA
    (2025-05-21 11:33:25)
0906 chloe:已提供對帳單</t>
        </r>
      </text>
    </comment>
    <comment ref="H3132" authorId="0" shapeId="0" xr:uid="{7E734BC7-FF09-9743-BFEC-4C1ABD99BAAA}">
      <text>
        <r>
          <rPr>
            <sz val="10"/>
            <color rgb="FF000000"/>
            <rFont val="Aptos Narrow"/>
            <scheme val="minor"/>
          </rPr>
          <t>======
ID#AAABjx7qTgc
    (2025-05-21 11:33:26)
1103 chloe:收到銀行通知USD4469</t>
        </r>
      </text>
    </comment>
    <comment ref="H3133" authorId="0" shapeId="0" xr:uid="{2C86EAC3-A4B4-8244-B3FD-C336CC9E5E6D}">
      <text>
        <r>
          <rPr>
            <sz val="10"/>
            <color rgb="FF000000"/>
            <rFont val="Aptos Narrow"/>
            <scheme val="minor"/>
          </rPr>
          <t>======
ID#AAABjx7qQGE
    (2025-05-21 11:33:25)
1004 chloe:收到銀行通知USD3752</t>
        </r>
      </text>
    </comment>
    <comment ref="K3133" authorId="0" shapeId="0" xr:uid="{68D4DF01-B7C6-0044-881A-45AE084F7DE8}">
      <text>
        <r>
          <rPr>
            <sz val="10"/>
            <color rgb="FF000000"/>
            <rFont val="Aptos Narrow"/>
            <scheme val="minor"/>
          </rPr>
          <t>======
ID#AAABjx7qRQc
    (2025-05-21 11:33:25)
0728 chloe:請寄另外地址
T-POLE Srl
Via De Gasperi, 4
27040 PORTALBERA (PV)
Italy</t>
        </r>
      </text>
    </comment>
    <comment ref="Z3133" authorId="0" shapeId="0" xr:uid="{AF797C61-28CD-844A-836E-B82FED37C4DB}">
      <text>
        <r>
          <rPr>
            <sz val="10"/>
            <color rgb="FF000000"/>
            <rFont val="Aptos Narrow"/>
            <scheme val="minor"/>
          </rPr>
          <t>======
ID#AAABjx7qUsY
    (2025-05-21 11:33:26)
發票總金額 291060</t>
        </r>
      </text>
    </comment>
    <comment ref="H3134" authorId="0" shapeId="0" xr:uid="{8DF4062C-D230-9E4E-B4E1-BA71D5A00962}">
      <text>
        <r>
          <rPr>
            <sz val="10"/>
            <color rgb="FF000000"/>
            <rFont val="Aptos Narrow"/>
            <scheme val="minor"/>
          </rPr>
          <t>======
ID#AAABjx7qSjg
    (2025-05-21 11:33:26)
0921 Chloe:收到銀行通知匯入USD13188</t>
        </r>
      </text>
    </comment>
    <comment ref="H3135" authorId="0" shapeId="0" xr:uid="{81F6360B-2320-F744-9BD1-22BA9D097736}">
      <text>
        <r>
          <rPr>
            <sz val="10"/>
            <color rgb="FF000000"/>
            <rFont val="Aptos Narrow"/>
            <scheme val="minor"/>
          </rPr>
          <t>======
ID#AAABjx7qWMc
    (2025-05-21 11:33:27)
0921 Chloe:收到銀行通知匯入USD13188</t>
        </r>
      </text>
    </comment>
    <comment ref="H3136" authorId="0" shapeId="0" xr:uid="{524AFF3B-DBD6-B14D-97CF-B8F28D83164B}">
      <text>
        <r>
          <rPr>
            <sz val="10"/>
            <color rgb="FF000000"/>
            <rFont val="Aptos Narrow"/>
            <scheme val="minor"/>
          </rPr>
          <t>======
ID#AAABjx7qSng
    (2025-05-21 11:33:26)
1101收到銀行通知USD7125，因客戶匯錯戶名，須提供修改電文後才會於與發放。
1107由我方銀行通知修改電文
1109對方銀行發出修改電文</t>
        </r>
      </text>
    </comment>
    <comment ref="K3136" authorId="0" shapeId="0" xr:uid="{2D57693D-5CC2-2C40-82D4-6E3A0C86CAFF}">
      <text>
        <r>
          <rPr>
            <sz val="10"/>
            <color rgb="FF000000"/>
            <rFont val="Aptos Narrow"/>
            <scheme val="minor"/>
          </rPr>
          <t>======
ID#AAABjx7qOWY
    (2025-05-21 11:33:24)
0728 chloe:請寄另外地址
T-POLE Srl
Via De Gasperi, 4
27040 PORTALBERA (PV)
Italy</t>
        </r>
      </text>
    </comment>
    <comment ref="M3136" authorId="0" shapeId="0" xr:uid="{473CE243-4C2F-8F40-AA17-97C6AC15F2B8}">
      <text>
        <r>
          <rPr>
            <sz val="10"/>
            <color rgb="FF000000"/>
            <rFont val="Aptos Narrow"/>
            <scheme val="minor"/>
          </rPr>
          <t>======
ID#AAABjx7qNeU
    (2025-05-21 11:33:23)
0831 chloe:貨物提早8/30到貨</t>
        </r>
      </text>
    </comment>
    <comment ref="Q3136" authorId="0" shapeId="0" xr:uid="{DD16F796-F3D7-6F49-A852-0E8862AEF86F}">
      <text>
        <r>
          <rPr>
            <sz val="10"/>
            <color rgb="FF000000"/>
            <rFont val="Aptos Narrow"/>
            <scheme val="minor"/>
          </rPr>
          <t>======
ID#AAABjx7qTss
    (2025-05-21 11:33:26)
0831 chloe:貨物提早到，龍先生告知貨款仍由10/3往後算30天付款</t>
        </r>
      </text>
    </comment>
    <comment ref="Z3136" authorId="0" shapeId="0" xr:uid="{79725FAF-D8D3-1349-9942-AD8207FBB919}">
      <text>
        <r>
          <rPr>
            <sz val="10"/>
            <color rgb="FF000000"/>
            <rFont val="Aptos Narrow"/>
            <scheme val="minor"/>
          </rPr>
          <t>======
ID#AAABjx7qN9I
    (2025-05-21 11:33:23)
發票已在8月份給予會計
出口報單編號：
CG053767L402</t>
        </r>
      </text>
    </comment>
    <comment ref="E3137" authorId="0" shapeId="0" xr:uid="{02561F69-DDD8-0449-8920-0604BE410606}">
      <text>
        <r>
          <rPr>
            <sz val="10"/>
            <color rgb="FF000000"/>
            <rFont val="Aptos Narrow"/>
            <scheme val="minor"/>
          </rPr>
          <t>======
ID#AAABjx7qU9s
    (2025-05-21 11:33:27)
160801 Karen: US adapter</t>
        </r>
      </text>
    </comment>
    <comment ref="H3137" authorId="0" shapeId="0" xr:uid="{5BA23686-82C3-4241-B00A-17091BA97FDF}">
      <text>
        <r>
          <rPr>
            <sz val="10"/>
            <color rgb="FF000000"/>
            <rFont val="Aptos Narrow"/>
            <scheme val="minor"/>
          </rPr>
          <t>======
ID#AAABjx7qTUk
    (2025-05-21 11:33:26)
0902 chloe 收到支票525837</t>
        </r>
      </text>
    </comment>
    <comment ref="H3138" authorId="0" shapeId="0" xr:uid="{AB113EF3-A675-A44C-9AB6-D00665A91E15}">
      <text>
        <r>
          <rPr>
            <sz val="10"/>
            <color rgb="FF000000"/>
            <rFont val="Aptos Narrow"/>
            <scheme val="minor"/>
          </rPr>
          <t>======
ID#AAABjx7qM1k
    (2025-05-21 11:33:23)
0829 Santiago: 請chloe 確認是否已入款
0830 chloe:8/12 已收到NT524523</t>
        </r>
      </text>
    </comment>
    <comment ref="P3138" authorId="0" shapeId="0" xr:uid="{E842E634-23FC-E94B-BBD9-23662BEA083B}">
      <text>
        <r>
          <rPr>
            <sz val="10"/>
            <color rgb="FF000000"/>
            <rFont val="Aptos Narrow"/>
            <scheme val="minor"/>
          </rPr>
          <t>======
ID#AAABjx7qN1o
    (2025-05-21 11:33:23)
160801 扣抵金額(含稅)US$698.25元,應支付貨款(含稅)為US$13524元
0908 chloe: MOXA帳單14383.95</t>
        </r>
      </text>
    </comment>
    <comment ref="E3139" authorId="0" shapeId="0" xr:uid="{2452D397-E88C-0044-8474-B6DDB26CC45E}">
      <text>
        <r>
          <rPr>
            <sz val="10"/>
            <color rgb="FF000000"/>
            <rFont val="Aptos Narrow"/>
            <scheme val="minor"/>
          </rPr>
          <t>======
ID#AAABjx7qRuI
    (2025-05-21 11:33:25)
160802 Karen: 和之前訂單一樣, w/o cable</t>
        </r>
      </text>
    </comment>
    <comment ref="H3139" authorId="0" shapeId="0" xr:uid="{0FF5DC91-76A9-BF44-8648-080AE26FC376}">
      <text>
        <r>
          <rPr>
            <sz val="10"/>
            <color rgb="FF000000"/>
            <rFont val="Aptos Narrow"/>
            <scheme val="minor"/>
          </rPr>
          <t>======
ID#AAABj82dpJk
    (2025-05-21 11:33:23)
0829 Santiago: 請chloe 確認是否已入款
0830 chloe:8/12 已收到NT524523</t>
        </r>
      </text>
    </comment>
    <comment ref="P3139" authorId="0" shapeId="0" xr:uid="{B51D3181-4289-A643-8FDD-60488B3D88B2}">
      <text>
        <r>
          <rPr>
            <sz val="10"/>
            <color rgb="FF000000"/>
            <rFont val="Aptos Narrow"/>
            <scheme val="minor"/>
          </rPr>
          <t>======
ID#AAABjx7qTaM
    (2025-05-21 11:33:26)
160801 扣抵金額(含稅)US$44.1元,應支付貨款(含稅)為US$859.95元
0908 chloe: MOXA帳單14383.95</t>
        </r>
      </text>
    </comment>
    <comment ref="H3143" authorId="0" shapeId="0" xr:uid="{D66FD38C-B0B8-CB4A-9362-F749E9782BC1}">
      <text>
        <r>
          <rPr>
            <sz val="10"/>
            <color rgb="FF000000"/>
            <rFont val="Aptos Narrow"/>
            <scheme val="minor"/>
          </rPr>
          <t>======
ID#AAABjx7qPsQ
    (2025-05-21 11:33:24)
1011 chloe: 已收到銀行通知USD13735，因客戶匯款成舊戶名
，修改後銀行才會入戶頭
1027 chloe:銀行收到修改電文，故發放此款</t>
        </r>
      </text>
    </comment>
    <comment ref="M3143" authorId="0" shapeId="0" xr:uid="{C7AABE2A-331B-3A47-82B6-D04CC0FF4144}">
      <text>
        <r>
          <rPr>
            <sz val="10"/>
            <color rgb="FF000000"/>
            <rFont val="Aptos Narrow"/>
            <scheme val="minor"/>
          </rPr>
          <t>======
ID#AAABjx7qTG0
    (2025-05-21 11:33:26)
0822 chloe:測試中，有可能8/24到貨</t>
        </r>
      </text>
    </comment>
    <comment ref="H3144" authorId="0" shapeId="0" xr:uid="{862FAF57-04E5-6B49-B4DE-2C692F16946C}">
      <text>
        <r>
          <rPr>
            <sz val="10"/>
            <color rgb="FF000000"/>
            <rFont val="Aptos Narrow"/>
            <scheme val="minor"/>
          </rPr>
          <t>======
ID#AAABjx7qPS0
    (2025-05-21 11:33:24)
1011 chloe: 已收到銀行通知USD13735，因客戶匯款成舊戶名
，修改後銀行才會入戶頭
1027 chloe:銀行收到修改電文，故發放此款</t>
        </r>
      </text>
    </comment>
    <comment ref="H3145" authorId="0" shapeId="0" xr:uid="{B54F179C-EF00-064A-8224-351472FB9334}">
      <text>
        <r>
          <rPr>
            <sz val="10"/>
            <color rgb="FF000000"/>
            <rFont val="Aptos Narrow"/>
            <scheme val="minor"/>
          </rPr>
          <t>======
ID#AAABjx7qPt8
    (2025-05-21 11:33:24)
1011 chloe: 已收到銀行通知USD13735，因客戶匯款成舊戶名
，修改後銀行才會入戶頭
1027 chloe:銀行收到修改電文，故發放此款</t>
        </r>
      </text>
    </comment>
    <comment ref="H3146" authorId="0" shapeId="0" xr:uid="{42C17781-B14D-3A45-97AF-1C2926B26FFC}">
      <text>
        <r>
          <rPr>
            <sz val="10"/>
            <color rgb="FF000000"/>
            <rFont val="Aptos Narrow"/>
            <scheme val="minor"/>
          </rPr>
          <t>======
ID#AAABjx7qPlY
    (2025-05-21 11:33:24)
1011 chloe: 已收到銀行通知USD13735，因客戶匯款成舊戶名
，修改後銀行才會入戶頭
1027 chloe:銀行收到修改電文，故發放此款</t>
        </r>
      </text>
    </comment>
    <comment ref="H3147" authorId="0" shapeId="0" xr:uid="{14541AA0-EFFD-8548-B012-7664DD7BE7C9}">
      <text>
        <r>
          <rPr>
            <sz val="10"/>
            <color rgb="FF000000"/>
            <rFont val="Aptos Narrow"/>
            <scheme val="minor"/>
          </rPr>
          <t>======
ID#AAABjx7qSKY
    (2025-05-21 11:33:26)
1011 chloe: 已收到銀行通知USD13735，因客戶匯款成舊戶名
，修改後銀行才會入戶頭
1027 chloe:銀行收到修改電文，故發放此款</t>
        </r>
      </text>
    </comment>
    <comment ref="M3147" authorId="0" shapeId="0" xr:uid="{1B195762-C450-2E46-B8A4-AF376D94FE5F}">
      <text>
        <r>
          <rPr>
            <sz val="10"/>
            <color rgb="FF000000"/>
            <rFont val="Aptos Narrow"/>
            <scheme val="minor"/>
          </rPr>
          <t>======
ID#AAABjx7qSuk
    (2025-05-21 11:33:26)
0822 chloe:測試中，有可能8/24到貨</t>
        </r>
      </text>
    </comment>
    <comment ref="H3148" authorId="0" shapeId="0" xr:uid="{73C677FE-0A87-F24C-BB79-43BFE25386CD}">
      <text>
        <r>
          <rPr>
            <sz val="10"/>
            <color rgb="FF000000"/>
            <rFont val="Aptos Narrow"/>
            <scheme val="minor"/>
          </rPr>
          <t>======
ID#AAABjx7qOkc
    (2025-05-21 11:33:24)
1011 chloe: 已收到銀行通知USD13735，因客戶匯款成舊戶名，修改後銀行才會入戶頭
1027 chloe:銀行收到修改電文，故發放此款</t>
        </r>
      </text>
    </comment>
    <comment ref="M3148" authorId="0" shapeId="0" xr:uid="{E7EC7FBF-17E8-AE4E-994F-967AC7D98F5D}">
      <text>
        <r>
          <rPr>
            <sz val="10"/>
            <color rgb="FF000000"/>
            <rFont val="Aptos Narrow"/>
            <scheme val="minor"/>
          </rPr>
          <t>======
ID#AAABjx7qSb8
    (2025-05-21 11:33:26)
0822 chloe:測試中，有可能8/24到貨</t>
        </r>
      </text>
    </comment>
    <comment ref="H3149" authorId="0" shapeId="0" xr:uid="{F476DC27-6CC1-514F-8E6C-A3AFC59751CC}">
      <text>
        <r>
          <rPr>
            <sz val="10"/>
            <color rgb="FF000000"/>
            <rFont val="Aptos Narrow"/>
            <scheme val="minor"/>
          </rPr>
          <t>======
ID#AAABjx7qP-w
    (2025-05-21 11:33:25)
1011 chloe: 已收到銀行通知USD13735，因客戶匯款成舊戶名，修改後銀行才會入戶頭
1027 chloe:銀行收到修改電文，故發放此款</t>
        </r>
      </text>
    </comment>
    <comment ref="H3150" authorId="0" shapeId="0" xr:uid="{FA26AEC4-AECE-E14D-835A-9149AB4A947A}">
      <text>
        <r>
          <rPr>
            <sz val="10"/>
            <color rgb="FF000000"/>
            <rFont val="Aptos Narrow"/>
            <scheme val="minor"/>
          </rPr>
          <t>======
ID#AAABjx7qTPM
    (2025-05-21 11:33:26)
1011 chloe: 已收到銀行通知USD13735，因客戶匯款成舊戶名，修改後銀行才會入戶頭
1027 chloe:銀行收到修改電文，故發放此款</t>
        </r>
      </text>
    </comment>
    <comment ref="H3151" authorId="0" shapeId="0" xr:uid="{7F9F9B09-BD06-AF44-A2AE-ABEC90FA6A54}">
      <text>
        <r>
          <rPr>
            <sz val="10"/>
            <color rgb="FF000000"/>
            <rFont val="Aptos Narrow"/>
            <scheme val="minor"/>
          </rPr>
          <t>======
ID#AAABjx7qNmM
    (2025-05-21 11:33:23)
2016/6/29 Benson: get payment receipt from bank</t>
        </r>
      </text>
    </comment>
    <comment ref="H3152" authorId="0" shapeId="0" xr:uid="{31D35363-4B56-2C49-8FD9-84EABF977684}">
      <text>
        <r>
          <rPr>
            <sz val="10"/>
            <color rgb="FF000000"/>
            <rFont val="Aptos Narrow"/>
            <scheme val="minor"/>
          </rPr>
          <t>======
ID#AAABjx7qSM0
    (2025-05-21 11:33:26)
1011 chloe: 已收到銀行通知USD13735，因客戶匯款成舊戶名，修改後銀行才會入戶頭
1027 chloe:銀行收到修改電文，故發放此款</t>
        </r>
      </text>
    </comment>
    <comment ref="H3153" authorId="0" shapeId="0" xr:uid="{27D5AE1F-3AEC-E041-A28D-839E7770D894}">
      <text>
        <r>
          <rPr>
            <sz val="10"/>
            <color rgb="FF000000"/>
            <rFont val="Aptos Narrow"/>
            <scheme val="minor"/>
          </rPr>
          <t>======
ID#AAABj82dpGQ
    (2025-05-21 11:33:23)
1011 chloe: 已收到銀行通知USD13735，因客戶匯款成舊戶名，修改後銀行才會入戶頭
1027 chloe:銀行收到修改電文，故發放此款</t>
        </r>
      </text>
    </comment>
    <comment ref="H3154" authorId="0" shapeId="0" xr:uid="{08B47F6D-C133-0441-B929-9B6B4F72F1F0}">
      <text>
        <r>
          <rPr>
            <sz val="10"/>
            <color rgb="FF000000"/>
            <rFont val="Aptos Narrow"/>
            <scheme val="minor"/>
          </rPr>
          <t>======
ID#AAABjx7qR8E
    (2025-05-21 11:33:25)
0926 chloe:已收到銀行通知USD12216，因戎克戶名短少TD，故待客戶修改電文銀行才會發放
0929 chloe:給予客戶當初匯款水單後于與放行</t>
        </r>
      </text>
    </comment>
    <comment ref="H3155" authorId="0" shapeId="0" xr:uid="{EFE0AB3F-434F-E34B-876E-5CD68F8AAD55}">
      <text>
        <r>
          <rPr>
            <sz val="10"/>
            <color rgb="FF000000"/>
            <rFont val="Aptos Narrow"/>
            <scheme val="minor"/>
          </rPr>
          <t>======
ID#AAABjx7qWYo
    (2025-05-21 11:33:27)
0926 chloe:已收到銀行通知USD12216，因戎克戶名短少TD，故待客戶修改電文銀行才會發放
0929 chloe:給予客戶當初匯款水單後于與放行</t>
        </r>
      </text>
    </comment>
    <comment ref="H3156" authorId="0" shapeId="0" xr:uid="{092F3720-4859-274E-962E-266C3C557E74}">
      <text>
        <r>
          <rPr>
            <sz val="10"/>
            <color rgb="FF000000"/>
            <rFont val="Aptos Narrow"/>
            <scheme val="minor"/>
          </rPr>
          <t>======
ID#AAABjx7qVJA
    (2025-05-21 11:33:27)
0926 chloe:已收到銀行通知USD12216，因戎克戶名短少TD，故待客戶修改電文銀行才會發放
0929 chloe:給予客戶當初匯款水單後于與放行</t>
        </r>
      </text>
    </comment>
    <comment ref="H3157" authorId="0" shapeId="0" xr:uid="{E7E0BF32-08D1-6C42-9309-B5B6047DD32A}">
      <text>
        <r>
          <rPr>
            <sz val="10"/>
            <color rgb="FF000000"/>
            <rFont val="Aptos Narrow"/>
            <scheme val="minor"/>
          </rPr>
          <t>======
ID#AAABjx7qRQM
    (2025-05-21 11:33:25)
0926 chloe:已收到銀行通知USD12216，因戎克戶名短少TD，故待客戶修改電文銀行才會發放
0929 chloe:給予客戶當初匯款水單後于與放行</t>
        </r>
      </text>
    </comment>
    <comment ref="H3158" authorId="0" shapeId="0" xr:uid="{B770D024-DD9E-E749-8BD1-BA1D71A31640}">
      <text>
        <r>
          <rPr>
            <sz val="10"/>
            <color rgb="FF000000"/>
            <rFont val="Aptos Narrow"/>
            <scheme val="minor"/>
          </rPr>
          <t>======
ID#AAABjx7qP-0
    (2025-05-21 11:33:25)
0926 chloe:已收到銀行通知USD12216，因戎克戶名短少TD，故待客戶修改電文銀行才會發放
0929 chloe:給予客戶當初匯款水單後于與放行</t>
        </r>
      </text>
    </comment>
    <comment ref="H3159" authorId="0" shapeId="0" xr:uid="{54E71E4C-7923-7246-BDCD-1643662BDCE7}">
      <text>
        <r>
          <rPr>
            <sz val="10"/>
            <color rgb="FF000000"/>
            <rFont val="Aptos Narrow"/>
            <scheme val="minor"/>
          </rPr>
          <t>======
ID#AAABjx7qQAQ
    (2025-05-21 11:33:25)
0926 chloe:已收到銀行通知USD12216，因戎克戶名短少TD，故待客戶修改電文銀行才會發放
0929 chloe:給予客戶當初匯款水單後于與放行</t>
        </r>
      </text>
    </comment>
    <comment ref="H3160" authorId="0" shapeId="0" xr:uid="{D83294CD-C9FD-7740-B3FE-E81EB24658FE}">
      <text>
        <r>
          <rPr>
            <sz val="10"/>
            <color rgb="FF000000"/>
            <rFont val="Aptos Narrow"/>
            <scheme val="minor"/>
          </rPr>
          <t>======
ID#AAABjx7qOiA
    (2025-05-21 11:33:24)
1012 chloe:已收到銀行通知USD2998，因客戶匯款成舊戶名，修改後銀行才會入戶頭
1101由我方銀行通知客戶修改電文</t>
        </r>
      </text>
    </comment>
    <comment ref="M3160" authorId="0" shapeId="0" xr:uid="{5CCCD29F-EA49-3D4D-98E4-71DFEBD7A7CB}">
      <text>
        <r>
          <rPr>
            <sz val="10"/>
            <color rgb="FF000000"/>
            <rFont val="Aptos Narrow"/>
            <scheme val="minor"/>
          </rPr>
          <t>======
ID#AAABjx7qNPs
    (2025-05-21 11:33:23)
0815 Chloe:11pcs 8/16到貨
           15PCS 8/26到貨</t>
        </r>
      </text>
    </comment>
    <comment ref="H3161" authorId="0" shapeId="0" xr:uid="{F029D20F-F939-134C-85B1-D728DC52BE76}">
      <text>
        <r>
          <rPr>
            <sz val="10"/>
            <color rgb="FF000000"/>
            <rFont val="Aptos Narrow"/>
            <scheme val="minor"/>
          </rPr>
          <t>======
ID#AAABjx7qTl0
    (2025-05-21 11:33:26)
0822 chloe:收到銀行通知USD488</t>
        </r>
      </text>
    </comment>
    <comment ref="H3162" authorId="0" shapeId="0" xr:uid="{67FB3558-A0AA-CD45-A465-7BD3D069DF97}">
      <text>
        <r>
          <rPr>
            <sz val="10"/>
            <color rgb="FF000000"/>
            <rFont val="Aptos Narrow"/>
            <scheme val="minor"/>
          </rPr>
          <t>======
ID#AAABjx7qWDM
    (2025-05-21 11:33:27)
0822 chloe:收到銀行通知USD488</t>
        </r>
      </text>
    </comment>
    <comment ref="H3163" authorId="0" shapeId="0" xr:uid="{997DC053-2367-0742-88C4-B792920A554C}">
      <text>
        <r>
          <rPr>
            <sz val="10"/>
            <color rgb="FF000000"/>
            <rFont val="Aptos Narrow"/>
            <scheme val="minor"/>
          </rPr>
          <t>======
ID#AAABjx7qTkA
    (2025-05-21 11:33:26)
2016/7/13 Benson: got payment receipt from bank</t>
        </r>
      </text>
    </comment>
    <comment ref="H3164" authorId="0" shapeId="0" xr:uid="{53952103-A6A1-7F45-8EC9-0EDE60AFB719}">
      <text>
        <r>
          <rPr>
            <sz val="10"/>
            <color rgb="FF000000"/>
            <rFont val="Aptos Narrow"/>
            <scheme val="minor"/>
          </rPr>
          <t>======
ID#AAABjx7qOOk
    (2025-05-21 11:33:24)
1011 chloe: 已收到銀行通知USD13735，因客戶匯款成舊戶名，修改後銀行才會入戶頭
1027 chloe:銀行收到修改電文，故發放此款</t>
        </r>
      </text>
    </comment>
    <comment ref="H3165" authorId="0" shapeId="0" xr:uid="{EC8B0B28-C65A-B44C-9514-D37B55D84625}">
      <text>
        <r>
          <rPr>
            <sz val="10"/>
            <color rgb="FF000000"/>
            <rFont val="Aptos Narrow"/>
            <scheme val="minor"/>
          </rPr>
          <t>======
ID#AAABjx7qVX8
    (2025-05-21 11:33:27)
0822 chloe:收到銀行通知USD:7818</t>
        </r>
      </text>
    </comment>
    <comment ref="H3166" authorId="0" shapeId="0" xr:uid="{6E4FE324-4B8A-2840-8A99-4ED0DDCDA8D5}">
      <text>
        <r>
          <rPr>
            <sz val="10"/>
            <color rgb="FF000000"/>
            <rFont val="Aptos Narrow"/>
            <scheme val="minor"/>
          </rPr>
          <t>======
ID#AAABjx7qNdg
    (2025-05-21 11:33:23)
1020 chloe:收到銀行通知USD1815</t>
        </r>
      </text>
    </comment>
    <comment ref="P3166" authorId="0" shapeId="0" xr:uid="{44292194-C300-9147-AC75-7F246183271E}">
      <text>
        <r>
          <rPr>
            <sz val="10"/>
            <color rgb="FF000000"/>
            <rFont val="Aptos Narrow"/>
            <scheme val="minor"/>
          </rPr>
          <t>======
ID#AAABjx7qTsk
    (2025-05-21 11:33:26)
0818chloe:台銀匯率31.41</t>
        </r>
      </text>
    </comment>
    <comment ref="G3167" authorId="0" shapeId="0" xr:uid="{95785EBE-CDA0-6F45-9A62-A2914BEBEBDC}">
      <text>
        <r>
          <rPr>
            <sz val="10"/>
            <color rgb="FF000000"/>
            <rFont val="Aptos Narrow"/>
            <scheme val="minor"/>
          </rPr>
          <t>======
ID#AAABjx7qP_w
    (2025-05-21 11:33:25)
w/5%VAT</t>
        </r>
      </text>
    </comment>
    <comment ref="H3167" authorId="0" shapeId="0" xr:uid="{CB725165-7C59-B84A-9D3A-17C582860124}">
      <text>
        <r>
          <rPr>
            <sz val="10"/>
            <color rgb="FF000000"/>
            <rFont val="Aptos Narrow"/>
            <scheme val="minor"/>
          </rPr>
          <t>======
ID#AAABjx7qQjo
    (2025-05-21 11:33:25)
1128 chloe:收到NT42509</t>
        </r>
      </text>
    </comment>
    <comment ref="K3167" authorId="0" shapeId="0" xr:uid="{DFCD8101-1A90-284D-9A2F-75008665E30E}">
      <text>
        <r>
          <rPr>
            <sz val="10"/>
            <color rgb="FF000000"/>
            <rFont val="Aptos Narrow"/>
            <scheme val="minor"/>
          </rPr>
          <t>======
ID#AAABjx7qRQw
    (2025-05-21 11:33:25)
0830 chloe:由戎克出貨，附上出貨單及發票</t>
        </r>
      </text>
    </comment>
    <comment ref="H3168" authorId="0" shapeId="0" xr:uid="{044F7D22-5D84-D24B-9141-0937B63C25DE}">
      <text>
        <r>
          <rPr>
            <sz val="10"/>
            <color rgb="FF000000"/>
            <rFont val="Aptos Narrow"/>
            <scheme val="minor"/>
          </rPr>
          <t>======
ID#AAABjx7qNWs
    (2025-05-21 11:33:23)
0818 chloe:收到銀行通知USD5006</t>
        </r>
      </text>
    </comment>
    <comment ref="H3169" authorId="0" shapeId="0" xr:uid="{AE1A16D6-CB7B-5040-849B-4BC5D649FA1C}">
      <text>
        <r>
          <rPr>
            <sz val="10"/>
            <color rgb="FF000000"/>
            <rFont val="Aptos Narrow"/>
            <scheme val="minor"/>
          </rPr>
          <t>======
ID#AAABjx7qV6U
    (2025-05-21 11:33:27)
0908 chloe:收到台企匯入NT12638</t>
        </r>
      </text>
    </comment>
    <comment ref="J3169" authorId="0" shapeId="0" xr:uid="{D6EF586E-9ED2-384D-BD6C-9E98AA4B9659}">
      <text>
        <r>
          <rPr>
            <sz val="10"/>
            <color rgb="FF000000"/>
            <rFont val="Aptos Narrow"/>
            <scheme val="minor"/>
          </rPr>
          <t>======
ID#AAABjx7qOi8
    (2025-05-21 11:33:24)
大榮</t>
        </r>
      </text>
    </comment>
    <comment ref="H3170" authorId="0" shapeId="0" xr:uid="{D73A2A41-2DFC-8741-A1AE-9A555A0842FA}">
      <text>
        <r>
          <rPr>
            <sz val="10"/>
            <color rgb="FF000000"/>
            <rFont val="Aptos Narrow"/>
            <scheme val="minor"/>
          </rPr>
          <t>======
ID#AAABjx7qRfg
    (2025-05-21 11:33:25)
0908 chloe:收到台企匯入NT12638</t>
        </r>
      </text>
    </comment>
    <comment ref="J3170" authorId="0" shapeId="0" xr:uid="{C42D3088-CB79-704E-808E-C0471F1167C2}">
      <text>
        <r>
          <rPr>
            <sz val="10"/>
            <color rgb="FF000000"/>
            <rFont val="Aptos Narrow"/>
            <scheme val="minor"/>
          </rPr>
          <t>======
ID#AAABjx7qN9s
    (2025-05-21 11:33:23)
大榮</t>
        </r>
      </text>
    </comment>
    <comment ref="H3171" authorId="0" shapeId="0" xr:uid="{8FA51CDA-2179-0048-A4EF-AF3F6713FD02}">
      <text>
        <r>
          <rPr>
            <sz val="10"/>
            <color rgb="FF000000"/>
            <rFont val="Aptos Narrow"/>
            <scheme val="minor"/>
          </rPr>
          <t>======
ID#AAABjx7qO9Q
    (2025-05-21 11:33:24)
0919 chloe:收到銀行通知USD 21324</t>
        </r>
      </text>
    </comment>
    <comment ref="K3171" authorId="0" shapeId="0" xr:uid="{8F19589F-9036-6E46-BCB4-FB95EFEB5EE1}">
      <text>
        <r>
          <rPr>
            <sz val="10"/>
            <color rgb="FF000000"/>
            <rFont val="Aptos Narrow"/>
            <scheme val="minor"/>
          </rPr>
          <t>======
ID#AAABjx7qVZQ
    (2025-05-21 11:33:27)
0909 chloe: 已告知FORWORD過來取件</t>
        </r>
      </text>
    </comment>
    <comment ref="P3171" authorId="0" shapeId="0" xr:uid="{155B584B-909E-C743-BA02-E434B473D0B9}">
      <text>
        <r>
          <rPr>
            <sz val="10"/>
            <color rgb="FF000000"/>
            <rFont val="Aptos Narrow"/>
            <scheme val="minor"/>
          </rPr>
          <t>======
ID#AAABjx7qNms
    (2025-05-21 11:33:23)
160704 扣抵金額(含稅)US$997.5,應支付貨款(含稅)為US$16485元</t>
        </r>
      </text>
    </comment>
    <comment ref="H3172" authorId="0" shapeId="0" xr:uid="{E10BFC1C-01FB-A043-AB01-1D52A38BFEE6}">
      <text>
        <r>
          <rPr>
            <sz val="10"/>
            <color rgb="FF000000"/>
            <rFont val="Aptos Narrow"/>
            <scheme val="minor"/>
          </rPr>
          <t>======
ID#AAABjx7qOPo
    (2025-05-21 11:33:24)
0919 chloe:收到銀行通知USD 21324</t>
        </r>
      </text>
    </comment>
    <comment ref="K3172" authorId="0" shapeId="0" xr:uid="{E303F942-01E0-8641-AEAF-88D687503129}">
      <text>
        <r>
          <rPr>
            <sz val="10"/>
            <color rgb="FF000000"/>
            <rFont val="Aptos Narrow"/>
            <scheme val="minor"/>
          </rPr>
          <t>======
ID#AAABjx7qSPY
    (2025-05-21 11:33:26)
0909 chloe: 已告知FORWORD過來取件</t>
        </r>
      </text>
    </comment>
    <comment ref="P3172" authorId="0" shapeId="0" xr:uid="{3B5970E8-230E-4D4C-AE4C-6C25C8900771}">
      <text>
        <r>
          <rPr>
            <sz val="10"/>
            <color rgb="FF000000"/>
            <rFont val="Aptos Narrow"/>
            <scheme val="minor"/>
          </rPr>
          <t>======
ID#AAABjx7qTT4
    (2025-05-21 11:33:26)
160825 扣抵金額(含稅)US$252,應支付貨款(含稅)為US$3223.5元</t>
        </r>
      </text>
    </comment>
    <comment ref="H3173" authorId="0" shapeId="0" xr:uid="{9524ED0C-99DD-0844-BEB1-BAA2B75558A6}">
      <text>
        <r>
          <rPr>
            <sz val="10"/>
            <color rgb="FF000000"/>
            <rFont val="Aptos Narrow"/>
            <scheme val="minor"/>
          </rPr>
          <t>======
ID#AAABjx7qNBA
    (2025-05-21 11:33:23)
0920 Chloe:收到銀行轉帳NT662535</t>
        </r>
      </text>
    </comment>
    <comment ref="P3173" authorId="0" shapeId="0" xr:uid="{3280BC3A-4E52-2D42-8225-BD5042BE1E2B}">
      <text>
        <r>
          <rPr>
            <sz val="10"/>
            <color rgb="FF000000"/>
            <rFont val="Aptos Narrow"/>
            <scheme val="minor"/>
          </rPr>
          <t>======
ID#AAABjx7qPJg
    (2025-05-21 11:33:24)
160831 扣抵金額(含稅)US$798元,應支付貨款(含稅)為US$15456元</t>
        </r>
      </text>
    </comment>
    <comment ref="E3174" authorId="0" shapeId="0" xr:uid="{934177C2-CF33-C949-AAF9-2B5829E5669D}">
      <text>
        <r>
          <rPr>
            <sz val="10"/>
            <color rgb="FF000000"/>
            <rFont val="Aptos Narrow"/>
            <scheme val="minor"/>
          </rPr>
          <t>======
ID#AAABjx7qRGc
    (2025-05-21 11:33:25)
160831 Karen: 和之前訂單一樣, w/o cable</t>
        </r>
      </text>
    </comment>
    <comment ref="H3174" authorId="0" shapeId="0" xr:uid="{41941F62-F20A-9A42-985B-082CCCAD4472}">
      <text>
        <r>
          <rPr>
            <sz val="10"/>
            <color rgb="FF000000"/>
            <rFont val="Aptos Narrow"/>
            <scheme val="minor"/>
          </rPr>
          <t>======
ID#AAABjx7qQhY
    (2025-05-21 11:33:25)
0920 Chloe:收到銀行轉帳NT662535</t>
        </r>
      </text>
    </comment>
    <comment ref="P3174" authorId="0" shapeId="0" xr:uid="{4B57DE20-E79B-7645-B925-2B0A54C4070D}">
      <text>
        <r>
          <rPr>
            <sz val="10"/>
            <color rgb="FF000000"/>
            <rFont val="Aptos Narrow"/>
            <scheme val="minor"/>
          </rPr>
          <t>======
ID#AAABjx7qSo0
    (2025-05-21 11:33:26)
160831 扣抵金額(含稅)US$132.3元,應支付貨款(含稅)為US$2579.85元</t>
        </r>
      </text>
    </comment>
    <comment ref="H3175" authorId="0" shapeId="0" xr:uid="{6D9A007A-E07C-EC4E-8A22-C9D57F23089D}">
      <text>
        <r>
          <rPr>
            <sz val="10"/>
            <color rgb="FF000000"/>
            <rFont val="Aptos Narrow"/>
            <scheme val="minor"/>
          </rPr>
          <t>======
ID#AAABjx7qNHc
    (2025-05-21 11:33:23)
0908 chloe:收到銀行通知USD106</t>
        </r>
      </text>
    </comment>
    <comment ref="H3176" authorId="0" shapeId="0" xr:uid="{88FEDC3F-1DB5-CF4B-9972-531646E275A4}">
      <text>
        <r>
          <rPr>
            <sz val="10"/>
            <color rgb="FF000000"/>
            <rFont val="Aptos Narrow"/>
            <scheme val="minor"/>
          </rPr>
          <t>======
ID#AAABjx7qOQs
    (2025-05-21 11:33:24)
0908 chloe:收到銀行通知USD106</t>
        </r>
      </text>
    </comment>
    <comment ref="H3177" authorId="0" shapeId="0" xr:uid="{0FDBC258-8BDB-2D46-8EB9-A0A803043B8A}">
      <text>
        <r>
          <rPr>
            <sz val="10"/>
            <color rgb="FF000000"/>
            <rFont val="Aptos Narrow"/>
            <scheme val="minor"/>
          </rPr>
          <t>======
ID#AAABjx7qQ34
    (2025-05-21 11:33:25)
0907 chloe:收到銀行通知USD:183</t>
        </r>
      </text>
    </comment>
    <comment ref="H3178" authorId="0" shapeId="0" xr:uid="{50AA41D6-AF30-DB42-9CD6-89AEC81CFE3F}">
      <text>
        <r>
          <rPr>
            <sz val="10"/>
            <color rgb="FF000000"/>
            <rFont val="Aptos Narrow"/>
            <scheme val="minor"/>
          </rPr>
          <t>======
ID#AAABjx7qQj4
    (2025-05-21 11:33:25)
0907 chloe:收到銀行通知USD:183</t>
        </r>
      </text>
    </comment>
    <comment ref="H3179" authorId="0" shapeId="0" xr:uid="{B7431973-68EE-3C41-B505-6921F493E630}">
      <text>
        <r>
          <rPr>
            <sz val="10"/>
            <color rgb="FF000000"/>
            <rFont val="Aptos Narrow"/>
            <scheme val="minor"/>
          </rPr>
          <t>======
ID#AAABjx7qOFA
    (2025-05-21 11:33:24)
0907 chloe:收到銀行通知USD:183</t>
        </r>
      </text>
    </comment>
    <comment ref="Q3179" authorId="0" shapeId="0" xr:uid="{777E2F16-9646-1047-A8CC-715D029FF60F}">
      <text>
        <r>
          <rPr>
            <sz val="10"/>
            <color rgb="FF000000"/>
            <rFont val="Aptos Narrow"/>
            <scheme val="minor"/>
          </rPr>
          <t>======
ID#AAABjx7qQx0
    (2025-05-21 11:33:25)
0930 chloe:此筆不算獎金，DHL加收偏遠地區費用800，獎金會呈現負數</t>
        </r>
      </text>
    </comment>
    <comment ref="H3180" authorId="0" shapeId="0" xr:uid="{047F57DE-BEFA-D941-9596-9564D64006B6}">
      <text>
        <r>
          <rPr>
            <sz val="10"/>
            <color rgb="FF000000"/>
            <rFont val="Aptos Narrow"/>
            <scheme val="minor"/>
          </rPr>
          <t>======
ID#AAABjx7qVkw
    (2025-05-21 11:33:27)
1103 chloe:收到銀行通知USD4469</t>
        </r>
      </text>
    </comment>
    <comment ref="H3181" authorId="0" shapeId="0" xr:uid="{0E0CBE17-68F9-684C-B33C-EC3E9E95C29A}">
      <text>
        <r>
          <rPr>
            <sz val="10"/>
            <color rgb="FF000000"/>
            <rFont val="Aptos Narrow"/>
            <scheme val="minor"/>
          </rPr>
          <t>======
ID#AAABjx7qQLU
    (2025-05-21 11:33:25)
1103 chloe:收到銀行通知USD4469</t>
        </r>
      </text>
    </comment>
    <comment ref="M3181" authorId="0" shapeId="0" xr:uid="{E6F9B8FA-9CAA-B84C-A883-0A4F9DE2304C}">
      <text>
        <r>
          <rPr>
            <sz val="10"/>
            <color rgb="FF000000"/>
            <rFont val="Aptos Narrow"/>
            <scheme val="minor"/>
          </rPr>
          <t>======
ID#AAABjx7qQIg
    (2025-05-21 11:33:25)
0902 chloe: 下單9/8中午前</t>
        </r>
      </text>
    </comment>
    <comment ref="H3182" authorId="0" shapeId="0" xr:uid="{36AD3BC9-CC95-024E-9E22-ED19C9265D09}">
      <text>
        <r>
          <rPr>
            <sz val="10"/>
            <color rgb="FF000000"/>
            <rFont val="Aptos Narrow"/>
            <scheme val="minor"/>
          </rPr>
          <t>======
ID#AAABjx7qQps
    (2025-05-21 11:33:25)
1103 chloe:收到銀行通知USD4469</t>
        </r>
      </text>
    </comment>
    <comment ref="M3182" authorId="0" shapeId="0" xr:uid="{C2E91D22-9314-344A-9107-6466640F9AC5}">
      <text>
        <r>
          <rPr>
            <sz val="10"/>
            <color rgb="FF000000"/>
            <rFont val="Aptos Narrow"/>
            <scheme val="minor"/>
          </rPr>
          <t>======
ID#AAABjx7qPhY
    (2025-05-21 11:33:24)
0902 chloe: 下單9/8中午前</t>
        </r>
      </text>
    </comment>
    <comment ref="W3182" authorId="0" shapeId="0" xr:uid="{0FF14683-79E6-5341-B3AF-81B50BAD9F3D}">
      <text>
        <r>
          <rPr>
            <sz val="10"/>
            <color rgb="FF000000"/>
            <rFont val="Aptos Narrow"/>
            <scheme val="minor"/>
          </rPr>
          <t>======
ID#AAABjx7qPPA
    (2025-05-21 11:33:24)
0906 chloe: 8月結款剩4722
4722-7367 = -2645</t>
        </r>
      </text>
    </comment>
    <comment ref="H3183" authorId="0" shapeId="0" xr:uid="{4C5E5504-8361-1144-B358-79BCBA4D3968}">
      <text>
        <r>
          <rPr>
            <sz val="10"/>
            <color rgb="FF000000"/>
            <rFont val="Aptos Narrow"/>
            <scheme val="minor"/>
          </rPr>
          <t>======
ID#AAABjx7qRhc
    (2025-05-21 11:33:25)
1103 chloe:收到銀行通知USD4469</t>
        </r>
      </text>
    </comment>
    <comment ref="M3183" authorId="0" shapeId="0" xr:uid="{E1343039-D738-FC48-9D95-F4B588DEFB5F}">
      <text>
        <r>
          <rPr>
            <sz val="10"/>
            <color rgb="FF000000"/>
            <rFont val="Aptos Narrow"/>
            <scheme val="minor"/>
          </rPr>
          <t>======
ID#AAABjx7qNko
    (2025-05-21 11:33:23)
0902 chloe: 下單9/8中午前</t>
        </r>
      </text>
    </comment>
    <comment ref="W3183" authorId="0" shapeId="0" xr:uid="{DAEFF18C-5A68-2048-8A92-E1B727FB09B2}">
      <text>
        <r>
          <rPr>
            <sz val="10"/>
            <color rgb="FF000000"/>
            <rFont val="Aptos Narrow"/>
            <scheme val="minor"/>
          </rPr>
          <t>======
ID#AAABjx7qNi0
    (2025-05-21 11:33:23)
0906 chloe: 8月結款剩4722
4722-7367 = -2645</t>
        </r>
      </text>
    </comment>
    <comment ref="H3184" authorId="0" shapeId="0" xr:uid="{DA7876F6-C6D1-2E42-86AE-B9F9A50E3D2B}">
      <text>
        <r>
          <rPr>
            <sz val="10"/>
            <color rgb="FF000000"/>
            <rFont val="Aptos Narrow"/>
            <scheme val="minor"/>
          </rPr>
          <t>======
ID#AAABjx7qQ0c
    (2025-05-21 11:33:25)
1103 chloe:收到銀行通知USD4469</t>
        </r>
      </text>
    </comment>
    <comment ref="H3185" authorId="0" shapeId="0" xr:uid="{E5841782-CE79-8645-92A6-346BCC6B3CB3}">
      <text>
        <r>
          <rPr>
            <sz val="10"/>
            <color rgb="FF000000"/>
            <rFont val="Aptos Narrow"/>
            <scheme val="minor"/>
          </rPr>
          <t>======
ID#AAABjx7qRgg
    (2025-05-21 11:33:25)
1103 chloe:收到銀行通知USD4469</t>
        </r>
      </text>
    </comment>
    <comment ref="H3186" authorId="0" shapeId="0" xr:uid="{EE2F1C0A-FE21-BA44-8205-98B536B1A2A9}">
      <text>
        <r>
          <rPr>
            <sz val="10"/>
            <color rgb="FF000000"/>
            <rFont val="Aptos Narrow"/>
            <scheme val="minor"/>
          </rPr>
          <t>======
ID#AAABjx7qVqQ
    (2025-05-21 11:33:27)
1103 chloe:收到銀行通知USD4469</t>
        </r>
      </text>
    </comment>
    <comment ref="E3187" authorId="0" shapeId="0" xr:uid="{F2130FF2-65D3-4B44-AD05-3EA5054591A4}">
      <text>
        <r>
          <rPr>
            <sz val="10"/>
            <color rgb="FF000000"/>
            <rFont val="Aptos Narrow"/>
            <scheme val="minor"/>
          </rPr>
          <t>======
ID#AAABjx7qObM
    (2025-05-21 11:33:24)
160907 Karen: UK ADAPTER</t>
        </r>
      </text>
    </comment>
    <comment ref="H3187" authorId="0" shapeId="0" xr:uid="{43CD81D6-8566-7842-A861-64E5F273F16F}">
      <text>
        <r>
          <rPr>
            <sz val="10"/>
            <color rgb="FF000000"/>
            <rFont val="Aptos Narrow"/>
            <scheme val="minor"/>
          </rPr>
          <t>======
ID#AAABjx7qNI8
    (2025-05-21 11:33:23)
1020 chloe:收到銀行通知USD1815</t>
        </r>
      </text>
    </comment>
    <comment ref="H3188" authorId="0" shapeId="0" xr:uid="{46B62227-40B2-7D45-95A7-65259FD50BAE}">
      <text>
        <r>
          <rPr>
            <sz val="10"/>
            <color rgb="FF000000"/>
            <rFont val="Aptos Narrow"/>
            <scheme val="minor"/>
          </rPr>
          <t>======
ID#AAABjx7qQwk
    (2025-05-21 11:33:25)
1020 chloe:收到銀行通知USD1815</t>
        </r>
      </text>
    </comment>
    <comment ref="G3189" authorId="0" shapeId="0" xr:uid="{80494B7F-8C44-6244-BABC-EEBE96B1911C}">
      <text>
        <r>
          <rPr>
            <sz val="10"/>
            <color rgb="FF000000"/>
            <rFont val="Aptos Narrow"/>
            <scheme val="minor"/>
          </rPr>
          <t>======
ID#AAABjx7qOOE
    (2025-05-21 11:33:24)
w/5%VAT</t>
        </r>
      </text>
    </comment>
    <comment ref="H3189" authorId="0" shapeId="0" xr:uid="{70075ACC-5B07-FE4C-8AD2-4CC940C40F9C}">
      <text>
        <r>
          <rPr>
            <sz val="10"/>
            <color rgb="FF000000"/>
            <rFont val="Aptos Narrow"/>
            <scheme val="minor"/>
          </rPr>
          <t>======
ID#AAABjx7qN54
    (2025-05-21 11:33:23)
1128 chloe:收到NT42509</t>
        </r>
      </text>
    </comment>
    <comment ref="H3190" authorId="0" shapeId="0" xr:uid="{0EE9065A-B3A1-5041-8A72-DDE2A4A55C3D}">
      <text>
        <r>
          <rPr>
            <sz val="10"/>
            <color rgb="FF000000"/>
            <rFont val="Aptos Narrow"/>
            <scheme val="minor"/>
          </rPr>
          <t>======
ID#AAABjx7qSHk
    (2025-05-21 11:33:26)
1117 chloe:收到銀行通知USD13714</t>
        </r>
      </text>
    </comment>
    <comment ref="H3191" authorId="0" shapeId="0" xr:uid="{6268CA92-9522-424F-BFDD-C86E583D38E0}">
      <text>
        <r>
          <rPr>
            <sz val="10"/>
            <color rgb="FF000000"/>
            <rFont val="Aptos Narrow"/>
            <scheme val="minor"/>
          </rPr>
          <t>======
ID#AAABjx7qN-o
    (2025-05-21 11:33:24)
1117 chloe:收到銀行通知USD13714</t>
        </r>
      </text>
    </comment>
    <comment ref="H3192" authorId="0" shapeId="0" xr:uid="{73AC7DC6-2166-D648-B7D3-D4A6B2876738}">
      <text>
        <r>
          <rPr>
            <sz val="10"/>
            <color rgb="FF000000"/>
            <rFont val="Aptos Narrow"/>
            <scheme val="minor"/>
          </rPr>
          <t>======
ID#AAABjx7qSZc
    (2025-05-21 11:33:26)
1117 chloe:收到銀行通知USD13714</t>
        </r>
      </text>
    </comment>
    <comment ref="H3193" authorId="0" shapeId="0" xr:uid="{74915B3F-F030-C84A-9D6A-BD2114BDF088}">
      <text>
        <r>
          <rPr>
            <sz val="10"/>
            <color rgb="FF000000"/>
            <rFont val="Aptos Narrow"/>
            <scheme val="minor"/>
          </rPr>
          <t>======
ID#AAABjx7qSQs
    (2025-05-21 11:33:26)
1117 chloe:收到銀行通知USD13714</t>
        </r>
      </text>
    </comment>
    <comment ref="H3194" authorId="0" shapeId="0" xr:uid="{9DB0F238-C2A3-8E49-8D55-E14EE13C6A12}">
      <text>
        <r>
          <rPr>
            <sz val="10"/>
            <color rgb="FF000000"/>
            <rFont val="Aptos Narrow"/>
            <scheme val="minor"/>
          </rPr>
          <t>======
ID#AAABjx7qQN4
    (2025-05-21 11:33:25)
1117 chloe:收到銀行通知USD13714</t>
        </r>
      </text>
    </comment>
    <comment ref="H3195" authorId="0" shapeId="0" xr:uid="{EBDB84E0-70C6-3B45-AD4B-2917A6AF3595}">
      <text>
        <r>
          <rPr>
            <sz val="10"/>
            <color rgb="FF000000"/>
            <rFont val="Aptos Narrow"/>
            <scheme val="minor"/>
          </rPr>
          <t>======
ID#AAABjx7qVhQ
    (2025-05-21 11:33:27)
1117 chloe:收到銀行通知USD13714</t>
        </r>
      </text>
    </comment>
    <comment ref="M3195" authorId="0" shapeId="0" xr:uid="{AE5C54EE-35DC-5543-B853-90D5A3C49CDF}">
      <text>
        <r>
          <rPr>
            <sz val="10"/>
            <color rgb="FF000000"/>
            <rFont val="Aptos Narrow"/>
            <scheme val="minor"/>
          </rPr>
          <t>======
ID#AAABjx7qS3U
    (2025-05-21 11:33:26)
0921 chloe:PULL IN 凌華改為10/13(待確認中)</t>
        </r>
      </text>
    </comment>
    <comment ref="H3196" authorId="0" shapeId="0" xr:uid="{FF25B60E-BB7F-CE47-B704-BFD550243F0D}">
      <text>
        <r>
          <rPr>
            <sz val="10"/>
            <color rgb="FF000000"/>
            <rFont val="Aptos Narrow"/>
            <scheme val="minor"/>
          </rPr>
          <t>======
ID#AAABjx7qNk0
    (2025-05-21 11:33:23)
1117 chloe:收到銀行通知USD13714</t>
        </r>
      </text>
    </comment>
    <comment ref="M3196" authorId="0" shapeId="0" xr:uid="{B2735E8F-1E50-9D40-9C92-5FAAA17AA50E}">
      <text>
        <r>
          <rPr>
            <sz val="10"/>
            <color rgb="FF000000"/>
            <rFont val="Aptos Narrow"/>
            <scheme val="minor"/>
          </rPr>
          <t>======
ID#AAABjx7qSVA
    (2025-05-21 11:33:26)
0921 chloe:PULL IN 凌華改為10/13(待確認中)</t>
        </r>
      </text>
    </comment>
    <comment ref="H3197" authorId="0" shapeId="0" xr:uid="{5B0DCF66-4F03-2749-9724-48128B275604}">
      <text>
        <r>
          <rPr>
            <sz val="10"/>
            <color rgb="FF000000"/>
            <rFont val="Aptos Narrow"/>
            <scheme val="minor"/>
          </rPr>
          <t>======
ID#AAABjx7qNJI
    (2025-05-21 11:33:23)
1117 chloe:收到銀行通知USD13714</t>
        </r>
      </text>
    </comment>
    <comment ref="M3197" authorId="0" shapeId="0" xr:uid="{1691227B-8C38-8B4E-A039-BD89D6F05599}">
      <text>
        <r>
          <rPr>
            <sz val="10"/>
            <color rgb="FF000000"/>
            <rFont val="Aptos Narrow"/>
            <scheme val="minor"/>
          </rPr>
          <t>======
ID#AAABjx7qQqg
    (2025-05-21 11:33:25)
0921 chloe:PULL IN 凌華改為10/13(待確認中)</t>
        </r>
      </text>
    </comment>
    <comment ref="H3198" authorId="0" shapeId="0" xr:uid="{8F841958-8D43-DA45-B3A5-3EBA1C893D22}">
      <text>
        <r>
          <rPr>
            <sz val="10"/>
            <color rgb="FF000000"/>
            <rFont val="Aptos Narrow"/>
            <scheme val="minor"/>
          </rPr>
          <t>======
ID#AAABjx7qNTU
    (2025-05-21 11:33:23)
1117 chloe:收到銀行通知USD13714</t>
        </r>
      </text>
    </comment>
    <comment ref="H3199" authorId="0" shapeId="0" xr:uid="{6A40DC25-9565-9F46-B860-5A44ECE6956D}">
      <text>
        <r>
          <rPr>
            <sz val="10"/>
            <color rgb="FF000000"/>
            <rFont val="Aptos Narrow"/>
            <scheme val="minor"/>
          </rPr>
          <t>======
ID#AAABjx7qWUw
    (2025-05-21 11:33:27)
1117 chloe:收到銀行通知USD13714</t>
        </r>
      </text>
    </comment>
    <comment ref="E3200" authorId="0" shapeId="0" xr:uid="{1B04B1F6-E9FC-6845-A2FB-2AD8A6CF9BC2}">
      <text>
        <r>
          <rPr>
            <sz val="10"/>
            <color rgb="FF000000"/>
            <rFont val="Aptos Narrow"/>
            <scheme val="minor"/>
          </rPr>
          <t>======
ID#AAABjx7qUxQ
    (2025-05-21 11:33:26)
11/12 michelle: 58-80024-0000</t>
        </r>
      </text>
    </comment>
    <comment ref="H3200" authorId="0" shapeId="0" xr:uid="{6AE8A2C4-3C77-5846-97B5-70BABA6634D0}">
      <text>
        <r>
          <rPr>
            <sz val="10"/>
            <color rgb="FF000000"/>
            <rFont val="Aptos Narrow"/>
            <scheme val="minor"/>
          </rPr>
          <t>======
ID#AAABjx7qObg
    (2025-05-21 11:33:24)
1117 chloe:收到銀行通知USD13714</t>
        </r>
      </text>
    </comment>
    <comment ref="M3200" authorId="0" shapeId="0" xr:uid="{96FC75FB-7D02-6A44-A0D0-FDCDED0F6936}">
      <text>
        <r>
          <rPr>
            <sz val="10"/>
            <color rgb="FF000000"/>
            <rFont val="Aptos Narrow"/>
            <scheme val="minor"/>
          </rPr>
          <t>======
ID#AAABjx7qSrU
    (2025-05-21 11:33:26)
0921 chloe:PULL IN 凌華改為10/13(待確認中)</t>
        </r>
      </text>
    </comment>
    <comment ref="H3201" authorId="0" shapeId="0" xr:uid="{D1EF611B-315D-944C-B2F5-05A354CF0F63}">
      <text>
        <r>
          <rPr>
            <sz val="10"/>
            <color rgb="FF000000"/>
            <rFont val="Aptos Narrow"/>
            <scheme val="minor"/>
          </rPr>
          <t>======
ID#AAABjx7qTHg
    (2025-05-21 11:33:26)
1117 chloe:收到銀行通知USD13714</t>
        </r>
      </text>
    </comment>
    <comment ref="H3202" authorId="0" shapeId="0" xr:uid="{4C1DDA74-8B7D-0640-A9ED-59D6BC6DC5AC}">
      <text>
        <r>
          <rPr>
            <sz val="10"/>
            <color rgb="FF000000"/>
            <rFont val="Aptos Narrow"/>
            <scheme val="minor"/>
          </rPr>
          <t>======
ID#AAABjx7qNjo
    (2025-05-21 11:33:23)
1117 chloe:收到銀行通知USD13714</t>
        </r>
      </text>
    </comment>
    <comment ref="Z3202" authorId="0" shapeId="0" xr:uid="{40CF3C61-EDF0-2B48-9B79-2D5AC8DA4DDF}">
      <text>
        <r>
          <rPr>
            <sz val="10"/>
            <color rgb="FF000000"/>
            <rFont val="Aptos Narrow"/>
            <scheme val="minor"/>
          </rPr>
          <t>======
ID#AAABjx7qOpA
    (2025-05-21 11:33:24)
1017 chloe:估計22975元</t>
        </r>
      </text>
    </comment>
    <comment ref="H3203" authorId="0" shapeId="0" xr:uid="{642D72DA-3031-4547-BC0D-5B6537F6A48F}">
      <text>
        <r>
          <rPr>
            <sz val="10"/>
            <color rgb="FF000000"/>
            <rFont val="Aptos Narrow"/>
            <scheme val="minor"/>
          </rPr>
          <t>======
ID#AAABjx7qONI
    (2025-05-21 11:33:24)
1111 chloe:收到銀行通知USD2399</t>
        </r>
      </text>
    </comment>
    <comment ref="K3203" authorId="0" shapeId="0" xr:uid="{72925EDE-6AC9-BB4C-817C-1983B8B75189}">
      <text>
        <r>
          <rPr>
            <sz val="10"/>
            <color rgb="FF000000"/>
            <rFont val="Aptos Narrow"/>
            <scheme val="minor"/>
          </rPr>
          <t>======
ID#AAABj82dpM8
    (2025-05-21 11:33:23)
160927 請直接安排10/3出貨
160921 Karen: 可以的話, 請安排9/29出貨
0921 chloe:與0914B一起併為10/3出貨</t>
        </r>
      </text>
    </comment>
    <comment ref="M3203" authorId="0" shapeId="0" xr:uid="{E6FF31A8-6422-3D4C-AC4B-9A0737B9846B}">
      <text>
        <r>
          <rPr>
            <sz val="10"/>
            <color rgb="FF000000"/>
            <rFont val="Aptos Narrow"/>
            <scheme val="minor"/>
          </rPr>
          <t>======
ID#AAABjx7qRKQ
    (2025-05-21 11:33:25)
0919 chloe:因無BSMI,故改進料號FPM2150GR3A1501E-T
0920 chloe:無須改進料號</t>
        </r>
      </text>
    </comment>
    <comment ref="H3204" authorId="0" shapeId="0" xr:uid="{DA69B1A1-A561-D54C-B460-2407BBE4B51E}">
      <text>
        <r>
          <rPr>
            <sz val="10"/>
            <color rgb="FF000000"/>
            <rFont val="Aptos Narrow"/>
            <scheme val="minor"/>
          </rPr>
          <t>======
ID#AAABjx7qTW8
    (2025-05-21 11:33:26)
1013 chloe:已收到銀行通知USD3160，因戶名錯誤故待修改電文後才能發放
1025 chloe: 已收到修改電文，故銀行放行款項</t>
        </r>
      </text>
    </comment>
    <comment ref="M3204" authorId="0" shapeId="0" xr:uid="{50B310F9-6EC1-FA43-B8FA-FCD29065473E}">
      <text>
        <r>
          <rPr>
            <sz val="10"/>
            <color rgb="FF000000"/>
            <rFont val="Aptos Narrow"/>
            <scheme val="minor"/>
          </rPr>
          <t>======
ID#AAABjx7qNJo
    (2025-05-21 11:33:23)
提早交貨0922</t>
        </r>
      </text>
    </comment>
    <comment ref="H3205" authorId="0" shapeId="0" xr:uid="{22B0459A-7DA8-B147-8045-1915A3067DC8}">
      <text>
        <r>
          <rPr>
            <sz val="10"/>
            <color rgb="FF000000"/>
            <rFont val="Aptos Narrow"/>
            <scheme val="minor"/>
          </rPr>
          <t>======
ID#AAABjx7qTpc
    (2025-05-21 11:33:26)
1013 chloe:已收到銀行通知USD3160，因戶名錯誤故待修改電文後才能發放
1025 chloe: 已收到修改電文，故銀行放行款項</t>
        </r>
      </text>
    </comment>
    <comment ref="M3205" authorId="0" shapeId="0" xr:uid="{776EAF33-0CFF-3246-AF30-11A5B023FBDD}">
      <text>
        <r>
          <rPr>
            <sz val="10"/>
            <color rgb="FF000000"/>
            <rFont val="Aptos Narrow"/>
            <scheme val="minor"/>
          </rPr>
          <t>======
ID#AAABjx7qRDs
    (2025-05-21 11:33:25)
提早交貨0922</t>
        </r>
      </text>
    </comment>
    <comment ref="H3206" authorId="0" shapeId="0" xr:uid="{4EAA3F95-F807-3542-BE21-86E537CDE121}">
      <text>
        <r>
          <rPr>
            <sz val="10"/>
            <color rgb="FF000000"/>
            <rFont val="Aptos Narrow"/>
            <scheme val="minor"/>
          </rPr>
          <t>======
ID#AAABjx7qO74
    (2025-05-21 11:33:24)
1013 chloe:已收到銀行通知USD3160，因戶名錯誤故待修改電文後才能發放
1025 chloe: 已收到修改電文，故銀行放行款項</t>
        </r>
      </text>
    </comment>
    <comment ref="M3206" authorId="0" shapeId="0" xr:uid="{239B9709-E409-644E-92BA-F38DA9858E72}">
      <text>
        <r>
          <rPr>
            <sz val="10"/>
            <color rgb="FF000000"/>
            <rFont val="Aptos Narrow"/>
            <scheme val="minor"/>
          </rPr>
          <t>======
ID#AAABjx7qMzs
    (2025-05-21 11:33:23)
提早交貨0922</t>
        </r>
      </text>
    </comment>
    <comment ref="H3207" authorId="0" shapeId="0" xr:uid="{BAA9F27C-BD8A-814E-93AD-7EB50C05CC70}">
      <text>
        <r>
          <rPr>
            <sz val="10"/>
            <color rgb="FF000000"/>
            <rFont val="Aptos Narrow"/>
            <scheme val="minor"/>
          </rPr>
          <t>======
ID#AAABjx7qOYw
    (2025-05-21 11:33:24)
1013 chloe:已收到銀行通知USD3160，因戶名錯誤故待修改電文後才能發放
1025 chloe: 已收到修改電文，故銀行放行款項</t>
        </r>
      </text>
    </comment>
    <comment ref="M3207" authorId="0" shapeId="0" xr:uid="{BDB2AF0E-0539-4D4B-ADFB-7542ACBF313E}">
      <text>
        <r>
          <rPr>
            <sz val="10"/>
            <color rgb="FF000000"/>
            <rFont val="Aptos Narrow"/>
            <scheme val="minor"/>
          </rPr>
          <t>======
ID#AAABjx7qPdw
    (2025-05-21 11:33:24)
提早交貨0922</t>
        </r>
      </text>
    </comment>
    <comment ref="H3208" authorId="0" shapeId="0" xr:uid="{AD0F8E5B-9826-434D-842A-F5B366D10BBB}">
      <text>
        <r>
          <rPr>
            <sz val="10"/>
            <color rgb="FF000000"/>
            <rFont val="Aptos Narrow"/>
            <scheme val="minor"/>
          </rPr>
          <t>======
ID#AAABjx7qV9Y
    (2025-05-21 11:33:27)
0905 chloe:收到銀行通知USD9314</t>
        </r>
      </text>
    </comment>
    <comment ref="E3209" authorId="0" shapeId="0" xr:uid="{15E738F4-BF41-3D4D-9119-116728F31F3E}">
      <text>
        <r>
          <rPr>
            <sz val="10"/>
            <color rgb="FF000000"/>
            <rFont val="Aptos Narrow"/>
            <scheme val="minor"/>
          </rPr>
          <t>======
ID#AAABjx7qRtg
    (2025-05-21 11:33:25)
160920 由AE改為BE</t>
        </r>
      </text>
    </comment>
    <comment ref="H3209" authorId="0" shapeId="0" xr:uid="{82627B6A-7536-154C-8419-802648ED0651}">
      <text>
        <r>
          <rPr>
            <sz val="10"/>
            <color rgb="FF000000"/>
            <rFont val="Aptos Narrow"/>
            <scheme val="minor"/>
          </rPr>
          <t>======
ID#AAABjx7qR4g
    (2025-05-21 11:33:25)
1111 chloe:收到銀行通知USD2399</t>
        </r>
      </text>
    </comment>
    <comment ref="E3210" authorId="0" shapeId="0" xr:uid="{7991507E-BE52-8945-8D91-A551A8747771}">
      <text>
        <r>
          <rPr>
            <sz val="10"/>
            <color rgb="FF000000"/>
            <rFont val="Aptos Narrow"/>
            <scheme val="minor"/>
          </rPr>
          <t>======
ID#AAABjx7qPlM
    (2025-05-21 11:33:24)
160920 由AE改為BE</t>
        </r>
      </text>
    </comment>
    <comment ref="H3210" authorId="0" shapeId="0" xr:uid="{FE575315-D3C5-7F4E-94A1-DBD7B1669159}">
      <text>
        <r>
          <rPr>
            <sz val="10"/>
            <color rgb="FF000000"/>
            <rFont val="Aptos Narrow"/>
            <scheme val="minor"/>
          </rPr>
          <t>======
ID#AAABjx7qM14
    (2025-05-21 11:33:23)
1111 chloe:收到銀行通知USD2399</t>
        </r>
      </text>
    </comment>
    <comment ref="H3211" authorId="0" shapeId="0" xr:uid="{075FBA74-9704-0146-9D57-946CADA1FB7F}">
      <text>
        <r>
          <rPr>
            <sz val="10"/>
            <color rgb="FF000000"/>
            <rFont val="Aptos Narrow"/>
            <scheme val="minor"/>
          </rPr>
          <t>======
ID#AAABjx7qTMA
    (2025-05-21 11:33:26)
1111 chloe:收到銀行通知USD2399</t>
        </r>
      </text>
    </comment>
    <comment ref="H3212" authorId="0" shapeId="0" xr:uid="{08182F58-1384-5444-A7AC-5EE45DBB6C18}">
      <text>
        <r>
          <rPr>
            <sz val="10"/>
            <color rgb="FF000000"/>
            <rFont val="Aptos Narrow"/>
            <scheme val="minor"/>
          </rPr>
          <t>======
ID#AAABjx7qVXc
    (2025-05-21 11:33:27)
1111 chloe:收到銀行通知USD2399</t>
        </r>
      </text>
    </comment>
    <comment ref="H3213" authorId="0" shapeId="0" xr:uid="{BABEDE98-6D20-6145-8C96-242DD8E18E65}">
      <text>
        <r>
          <rPr>
            <sz val="10"/>
            <color rgb="FF000000"/>
            <rFont val="Aptos Narrow"/>
            <scheme val="minor"/>
          </rPr>
          <t>======
ID#AAABjx7qSy0
    (2025-05-21 11:33:26)
1111 chloe:收到銀行通知USD2399</t>
        </r>
      </text>
    </comment>
    <comment ref="H3214" authorId="0" shapeId="0" xr:uid="{A78214C3-EE1C-6447-A3CE-36D886D11BDC}">
      <text>
        <r>
          <rPr>
            <sz val="10"/>
            <color rgb="FF000000"/>
            <rFont val="Aptos Narrow"/>
            <scheme val="minor"/>
          </rPr>
          <t>======
ID#AAABjx7qPQk
    (2025-05-21 11:33:24)
1111 chloe:收到銀行通知USD2399</t>
        </r>
      </text>
    </comment>
    <comment ref="H3215" authorId="0" shapeId="0" xr:uid="{5C6D2295-474A-A542-B41C-B7B5CB180F73}">
      <text>
        <r>
          <rPr>
            <sz val="10"/>
            <color rgb="FF000000"/>
            <rFont val="Aptos Narrow"/>
            <scheme val="minor"/>
          </rPr>
          <t>======
ID#AAABjx7qN7E
    (2025-05-21 11:33:23)
1011 chloe: 已收到銀行通知USD13735，因客戶匯款成舊戶名，修改後銀行才會入戶頭
1027 chloe:銀行收到修改電文，故發放此款</t>
        </r>
      </text>
    </comment>
    <comment ref="M3215" authorId="0" shapeId="0" xr:uid="{979CBBB7-824F-C14D-B1B8-2C131B492A35}">
      <text>
        <r>
          <rPr>
            <sz val="10"/>
            <color rgb="FF000000"/>
            <rFont val="Aptos Narrow"/>
            <scheme val="minor"/>
          </rPr>
          <t>======
ID#AAABjx7qThQ
    (2025-05-21 11:33:26)
0822 chloe:測試中，有可能8/24到貨</t>
        </r>
      </text>
    </comment>
    <comment ref="H3216" authorId="0" shapeId="0" xr:uid="{ECC22787-79B8-A449-BFF5-820814E0AA0D}">
      <text>
        <r>
          <rPr>
            <sz val="10"/>
            <color rgb="FF000000"/>
            <rFont val="Aptos Narrow"/>
            <scheme val="minor"/>
          </rPr>
          <t>======
ID#AAABjx7qQpQ
    (2025-05-21 11:33:25)
1115 chloe:收到銀行通知USD655</t>
        </r>
      </text>
    </comment>
    <comment ref="K3216" authorId="0" shapeId="0" xr:uid="{4CF627E8-DA0D-FA4C-A8B4-BFEC8E5146A8}">
      <text>
        <r>
          <rPr>
            <sz val="10"/>
            <color rgb="FF000000"/>
            <rFont val="Aptos Narrow"/>
            <scheme val="minor"/>
          </rPr>
          <t>======
ID#AAABjx7qN20
    (2025-05-21 11:33:23)
0728 chloe:請寄另外地址
T-POLE Srl
Via De Gasperi, 4
27040 PORTALBERA (PV)
Italy</t>
        </r>
      </text>
    </comment>
    <comment ref="H3217" authorId="0" shapeId="0" xr:uid="{E79C54D2-406E-3D4A-95D8-29F32C255306}">
      <text>
        <r>
          <rPr>
            <sz val="10"/>
            <color rgb="FF000000"/>
            <rFont val="Aptos Narrow"/>
            <scheme val="minor"/>
          </rPr>
          <t>======
ID#AAABjx7qNhQ
    (2025-05-21 11:33:23)
1115 chloe:收到銀行通知USD655</t>
        </r>
      </text>
    </comment>
    <comment ref="K3217" authorId="0" shapeId="0" xr:uid="{97125A41-F1B0-934E-B36B-A9DA1AFDE4B3}">
      <text>
        <r>
          <rPr>
            <sz val="10"/>
            <color rgb="FF000000"/>
            <rFont val="Aptos Narrow"/>
            <scheme val="minor"/>
          </rPr>
          <t>======
ID#AAABj82dpE4
    (2025-05-21 11:33:23)
0728 chloe:請寄另外地址
T-POLE Srl
Via De Gasperi, 4
27040 PORTALBERA (PV)
Italy</t>
        </r>
      </text>
    </comment>
    <comment ref="H3218" authorId="0" shapeId="0" xr:uid="{75C5F9F2-E2C0-BC42-A96C-DF0978FA778A}">
      <text>
        <r>
          <rPr>
            <sz val="10"/>
            <color rgb="FF000000"/>
            <rFont val="Aptos Narrow"/>
            <scheme val="minor"/>
          </rPr>
          <t>======
ID#AAABjx7qSh4
    (2025-05-21 11:33:26)
1115 chloe:收到銀行通知USD655</t>
        </r>
      </text>
    </comment>
    <comment ref="K3218" authorId="0" shapeId="0" xr:uid="{F06B7472-483E-3748-9F7B-9F926BB11221}">
      <text>
        <r>
          <rPr>
            <sz val="10"/>
            <color rgb="FF000000"/>
            <rFont val="Aptos Narrow"/>
            <scheme val="minor"/>
          </rPr>
          <t>======
ID#AAABjx7qSIc
    (2025-05-21 11:33:26)
0728 chloe:請寄另外地址
T-POLE Srl
Via De Gasperi, 4
27040 PORTALBERA (PV)
Italy</t>
        </r>
      </text>
    </comment>
    <comment ref="G3219" authorId="0" shapeId="0" xr:uid="{7C451738-661E-8E4A-A80A-5B0D16FB9B95}">
      <text>
        <r>
          <rPr>
            <sz val="10"/>
            <color rgb="FF000000"/>
            <rFont val="Aptos Narrow"/>
            <scheme val="minor"/>
          </rPr>
          <t>======
ID#AAABjx7qOmc
    (2025-05-21 11:33:24)
w/5%VAT</t>
        </r>
      </text>
    </comment>
    <comment ref="H3219" authorId="0" shapeId="0" xr:uid="{1F462B87-201A-894A-9643-93EAB624E065}">
      <text>
        <r>
          <rPr>
            <sz val="10"/>
            <color rgb="FF000000"/>
            <rFont val="Aptos Narrow"/>
            <scheme val="minor"/>
          </rPr>
          <t>======
ID#AAABj82dpPQ
    (2025-05-21 11:33:23)
1128 chloe:收到NT42509</t>
        </r>
      </text>
    </comment>
    <comment ref="H3220" authorId="0" shapeId="0" xr:uid="{CBB76C29-84C6-D246-A5A1-DD9F77EFCB8C}">
      <text>
        <r>
          <rPr>
            <sz val="10"/>
            <color rgb="FF000000"/>
            <rFont val="Aptos Narrow"/>
            <scheme val="minor"/>
          </rPr>
          <t>======
ID#AAABjx7qP1g
    (2025-05-21 11:33:24)
0922 chloe:收到銀行通知USD2135</t>
        </r>
      </text>
    </comment>
    <comment ref="H3221" authorId="0" shapeId="0" xr:uid="{2833A649-947C-8E47-AFA2-8E527347E4B3}">
      <text>
        <r>
          <rPr>
            <sz val="10"/>
            <color rgb="FF000000"/>
            <rFont val="Aptos Narrow"/>
            <scheme val="minor"/>
          </rPr>
          <t>======
ID#AAABjx7qQ8Y
    (2025-05-21 11:33:25)
1129 chloe:收到銀行通知USD6330。
但客戶水單PI號碼填成 PI-20161121A，正確應該是PI-20160921C的匯款</t>
        </r>
      </text>
    </comment>
    <comment ref="M3221" authorId="0" shapeId="0" xr:uid="{33C2AB4D-7112-BF4F-A735-AB377C7E3415}">
      <text>
        <r>
          <rPr>
            <sz val="10"/>
            <color rgb="FF000000"/>
            <rFont val="Aptos Narrow"/>
            <scheme val="minor"/>
          </rPr>
          <t>======
ID#AAABjx7qQEg
    (2025-05-21 11:33:25)
1013 chloe: 有機會11/15
1111chloe:PULL IN 11/15中</t>
        </r>
      </text>
    </comment>
    <comment ref="H3222" authorId="0" shapeId="0" xr:uid="{8C6823E0-D56D-0342-9812-70EA2EABF9C1}">
      <text>
        <r>
          <rPr>
            <sz val="10"/>
            <color rgb="FF000000"/>
            <rFont val="Aptos Narrow"/>
            <scheme val="minor"/>
          </rPr>
          <t>======
ID#AAABjx7qONs
    (2025-05-21 11:33:24)
1129 chloe:收到銀行通知USD6330。
但客戶水單PI號碼填成 PI-20161121A，正確應該是PI-20160921C的匯款</t>
        </r>
      </text>
    </comment>
    <comment ref="M3222" authorId="0" shapeId="0" xr:uid="{3572C750-2771-9840-98F0-555714133A39}">
      <text>
        <r>
          <rPr>
            <sz val="10"/>
            <color rgb="FF000000"/>
            <rFont val="Aptos Narrow"/>
            <scheme val="minor"/>
          </rPr>
          <t>======
ID#AAABjx7qSY8
    (2025-05-21 11:33:26)
1013 chloe: 有機會11/15
1111chloe:PULL IN 11/15中</t>
        </r>
      </text>
    </comment>
    <comment ref="H3223" authorId="0" shapeId="0" xr:uid="{B5754C6A-B354-884F-8EF4-83645D6B8C04}">
      <text>
        <r>
          <rPr>
            <sz val="10"/>
            <color rgb="FF000000"/>
            <rFont val="Aptos Narrow"/>
            <scheme val="minor"/>
          </rPr>
          <t>======
ID#AAABjx7qPmY
    (2025-05-21 11:33:24)
1011 chloe: 已收到銀行通知USD13735，因客戶匯款成舊戶名，修改後銀行才會入戶頭
1027 chloe:銀行收到修改電文，故發放此款</t>
        </r>
      </text>
    </comment>
    <comment ref="W3223" authorId="0" shapeId="0" xr:uid="{3105911D-9BD3-8146-987F-FF2997F66F9D}">
      <text>
        <r>
          <rPr>
            <sz val="10"/>
            <color rgb="FF000000"/>
            <rFont val="Aptos Narrow"/>
            <scheme val="minor"/>
          </rPr>
          <t>======
ID#AAABjx7qWGA
    (2025-05-21 11:33:27)
0906 chloe:已提供對帳單</t>
        </r>
      </text>
    </comment>
    <comment ref="H3224" authorId="0" shapeId="0" xr:uid="{F1F28B3B-9B36-3F47-A5B1-8AED0FC8EEA9}">
      <text>
        <r>
          <rPr>
            <sz val="10"/>
            <color rgb="FF000000"/>
            <rFont val="Aptos Narrow"/>
            <scheme val="minor"/>
          </rPr>
          <t>======
ID#AAABjx7qPZg
    (2025-05-21 11:33:24)
1117 chloe:收到銀行通知USD13714</t>
        </r>
      </text>
    </comment>
    <comment ref="H3225" authorId="0" shapeId="0" xr:uid="{5AD55F55-2D45-0F43-9DF9-A558B1B13748}">
      <text>
        <r>
          <rPr>
            <sz val="10"/>
            <color rgb="FF000000"/>
            <rFont val="Aptos Narrow"/>
            <scheme val="minor"/>
          </rPr>
          <t>======
ID#AAABjx7qOXM
    (2025-05-21 11:33:24)
1111 chloe:收到銀行通知USD2399</t>
        </r>
      </text>
    </comment>
    <comment ref="M3225" authorId="0" shapeId="0" xr:uid="{A54D5010-85C4-8E4A-ABE6-2762FF3B85B5}">
      <text>
        <r>
          <rPr>
            <sz val="10"/>
            <color rgb="FF000000"/>
            <rFont val="Aptos Narrow"/>
            <scheme val="minor"/>
          </rPr>
          <t>======
ID#AAABjx7qQxY
    (2025-05-21 11:33:25)
0926 chloe:提早9/26到貨</t>
        </r>
      </text>
    </comment>
    <comment ref="H3226" authorId="0" shapeId="0" xr:uid="{E0D42BD0-A796-F348-AC97-CA831D9648B3}">
      <text>
        <r>
          <rPr>
            <sz val="10"/>
            <color rgb="FF000000"/>
            <rFont val="Aptos Narrow"/>
            <scheme val="minor"/>
          </rPr>
          <t>======
ID#AAABjx7qPqU
    (2025-05-21 11:33:24)
1111 chloe:收到銀行通知USD2399</t>
        </r>
      </text>
    </comment>
    <comment ref="M3226" authorId="0" shapeId="0" xr:uid="{197D5167-7790-B74C-83B3-53851B71C2E2}">
      <text>
        <r>
          <rPr>
            <sz val="10"/>
            <color rgb="FF000000"/>
            <rFont val="Aptos Narrow"/>
            <scheme val="minor"/>
          </rPr>
          <t>======
ID#AAABjx7qRxc
    (2025-05-21 11:33:25)
0926 chloe:提早9/26到貨</t>
        </r>
      </text>
    </comment>
    <comment ref="H3227" authorId="0" shapeId="0" xr:uid="{B25CD948-81CC-5340-9779-554056A94963}">
      <text>
        <r>
          <rPr>
            <sz val="10"/>
            <color rgb="FF000000"/>
            <rFont val="Aptos Narrow"/>
            <scheme val="minor"/>
          </rPr>
          <t>======
ID#AAABjx7qWX8
    (2025-05-21 11:33:27)
1111 chloe:收到銀行通知USD2399</t>
        </r>
      </text>
    </comment>
    <comment ref="M3227" authorId="0" shapeId="0" xr:uid="{E41C0252-A43E-8348-AE34-8BAD14A69E7E}">
      <text>
        <r>
          <rPr>
            <sz val="10"/>
            <color rgb="FF000000"/>
            <rFont val="Aptos Narrow"/>
            <scheme val="minor"/>
          </rPr>
          <t>======
ID#AAABjx7qRKA
    (2025-05-21 11:33:25)
0926 chloe:提早9/26到貨</t>
        </r>
      </text>
    </comment>
    <comment ref="H3228" authorId="0" shapeId="0" xr:uid="{985BC5E1-1C6B-5945-BE86-E90F08588DF7}">
      <text>
        <r>
          <rPr>
            <sz val="10"/>
            <color rgb="FF000000"/>
            <rFont val="Aptos Narrow"/>
            <scheme val="minor"/>
          </rPr>
          <t>======
ID#AAABjx7qOHo
    (2025-05-21 11:33:24)
1111 chloe:收到銀行通知USD2399</t>
        </r>
      </text>
    </comment>
    <comment ref="M3228" authorId="0" shapeId="0" xr:uid="{1E315A90-737C-6741-8069-B05BCDAD00AA}">
      <text>
        <r>
          <rPr>
            <sz val="10"/>
            <color rgb="FF000000"/>
            <rFont val="Aptos Narrow"/>
            <scheme val="minor"/>
          </rPr>
          <t>======
ID#AAABjx7qWE4
    (2025-05-21 11:33:27)
0926 chloe:提早9/26到貨</t>
        </r>
      </text>
    </comment>
    <comment ref="D3229" authorId="0" shapeId="0" xr:uid="{6F034565-7592-784F-B168-D1EAC4CE6C07}">
      <text>
        <r>
          <rPr>
            <sz val="10"/>
            <color rgb="FF000000"/>
            <rFont val="Aptos Narrow"/>
            <scheme val="minor"/>
          </rPr>
          <t>======
ID#AAABjx7qV2o
    (2025-05-21 11:33:27)
1012 chloe: Leon工作日： 10/29-10/30</t>
        </r>
      </text>
    </comment>
    <comment ref="H3229" authorId="0" shapeId="0" xr:uid="{937F966C-EB23-8C43-B940-D0FBAE4ABD93}">
      <text>
        <r>
          <rPr>
            <sz val="10"/>
            <color rgb="FF000000"/>
            <rFont val="Aptos Narrow"/>
            <scheme val="minor"/>
          </rPr>
          <t>======
ID#AAABjx7qSTY
    (2025-05-21 11:33:26)
1121 chloe:收到銀行通知USD24875</t>
        </r>
      </text>
    </comment>
    <comment ref="P3229" authorId="0" shapeId="0" xr:uid="{CC7CE842-0C8B-ED43-A255-977623FE103D}">
      <text>
        <r>
          <rPr>
            <sz val="10"/>
            <color rgb="FF000000"/>
            <rFont val="Aptos Narrow"/>
            <scheme val="minor"/>
          </rPr>
          <t>======
ID#AAABjx7qTds
    (2025-05-21 11:33:26)
160923 扣抵金額(含稅)US$315,應支付貨款(含稅)為US$16485元</t>
        </r>
      </text>
    </comment>
    <comment ref="H3230" authorId="0" shapeId="0" xr:uid="{0CAD8196-577D-A940-A1BE-5B12F7C1E7DF}">
      <text>
        <r>
          <rPr>
            <sz val="10"/>
            <color rgb="FF000000"/>
            <rFont val="Aptos Narrow"/>
            <scheme val="minor"/>
          </rPr>
          <t>======
ID#AAABjx7qRII
    (2025-05-21 11:33:25)
1102 chloe:已收到銀行通知USD8885，因客戶匯款成舊戶名，修改後銀行才會入戶頭</t>
        </r>
      </text>
    </comment>
    <comment ref="M3230" authorId="0" shapeId="0" xr:uid="{F3B88654-D17A-1849-8400-FF1CB984DA5B}">
      <text>
        <r>
          <rPr>
            <sz val="10"/>
            <color rgb="FF000000"/>
            <rFont val="Aptos Narrow"/>
            <scheme val="minor"/>
          </rPr>
          <t>======
ID#AAABjx7qQ7c
    (2025-05-21 11:33:25)
1011 chloe:維田回覆：主機板ASB-L706D(D525)已經ELO，與產線協調交期中</t>
        </r>
      </text>
    </comment>
    <comment ref="O3230" authorId="0" shapeId="0" xr:uid="{521EB50F-8A3F-6548-ABD5-6B56EB9B03C2}">
      <text>
        <r>
          <rPr>
            <sz val="10"/>
            <color rgb="FF000000"/>
            <rFont val="Aptos Narrow"/>
            <scheme val="minor"/>
          </rPr>
          <t>======
ID#AAABjx7qWJI
    (2025-05-21 11:33:27)
1130 chloe:訂單編號應該為PO，下成MPO</t>
        </r>
      </text>
    </comment>
    <comment ref="H3231" authorId="0" shapeId="0" xr:uid="{7F233754-D40D-6E4F-91D1-74DA81D405D7}">
      <text>
        <r>
          <rPr>
            <sz val="10"/>
            <color rgb="FF000000"/>
            <rFont val="Aptos Narrow"/>
            <scheme val="minor"/>
          </rPr>
          <t>======
ID#AAABjx7qQpE
    (2025-05-21 11:33:25)
1102 chloe:已收到銀行通知USD8885，因客戶匯款成舊戶名，修改後銀行才會入戶頭</t>
        </r>
      </text>
    </comment>
    <comment ref="M3231" authorId="0" shapeId="0" xr:uid="{8EFFEE30-F4B0-6C4C-B429-F677128ED079}">
      <text>
        <r>
          <rPr>
            <sz val="10"/>
            <color rgb="FF000000"/>
            <rFont val="Aptos Narrow"/>
            <scheme val="minor"/>
          </rPr>
          <t>======
ID#AAABjx7qVkY
    (2025-05-21 11:33:27)
1011 chloe:維田回覆：主機板ASB-L706D(D525)已經ELO，與產線協調交期中</t>
        </r>
      </text>
    </comment>
    <comment ref="O3231" authorId="0" shapeId="0" xr:uid="{5CAAC64D-0D14-984E-89F9-2D94F9DA2B69}">
      <text>
        <r>
          <rPr>
            <sz val="10"/>
            <color rgb="FF000000"/>
            <rFont val="Aptos Narrow"/>
            <scheme val="minor"/>
          </rPr>
          <t>======
ID#AAABjx7qP0o
    (2025-05-21 11:33:24)
1130 chloe:訂單編號應該為PO，下成MPO</t>
        </r>
      </text>
    </comment>
    <comment ref="H3232" authorId="0" shapeId="0" xr:uid="{65097E9E-B64C-B440-A39F-37930A275082}">
      <text>
        <r>
          <rPr>
            <sz val="10"/>
            <color rgb="FF000000"/>
            <rFont val="Aptos Narrow"/>
            <scheme val="minor"/>
          </rPr>
          <t>======
ID#AAABjx7qM6k
    (2025-05-21 11:33:23)
1117 chloe:收到銀行通知USD13714</t>
        </r>
      </text>
    </comment>
    <comment ref="E3233" authorId="0" shapeId="0" xr:uid="{1CE5FE83-4EDF-1E4B-9DC9-FCB1552F7C89}">
      <text>
        <r>
          <rPr>
            <sz val="10"/>
            <color rgb="FF000000"/>
            <rFont val="Aptos Narrow"/>
            <scheme val="minor"/>
          </rPr>
          <t>======
ID#AAABjx7qNEg
    (2025-05-21 11:33:23)
0926 chloe: (42C-00039)</t>
        </r>
      </text>
    </comment>
    <comment ref="H3233" authorId="0" shapeId="0" xr:uid="{6631A118-EDC5-8C44-A152-6CC947DBE61B}">
      <text>
        <r>
          <rPr>
            <sz val="10"/>
            <color rgb="FF000000"/>
            <rFont val="Aptos Narrow"/>
            <scheme val="minor"/>
          </rPr>
          <t>======
ID#AAABjx7qVn0
    (2025-05-21 11:33:27)
1117 chloe:收到銀行通知USD13714</t>
        </r>
      </text>
    </comment>
    <comment ref="H3234" authorId="0" shapeId="0" xr:uid="{FFCB1459-DB7D-8B48-89AA-EF9B3CA7144B}">
      <text>
        <r>
          <rPr>
            <sz val="10"/>
            <color rgb="FF000000"/>
            <rFont val="Aptos Narrow"/>
            <scheme val="minor"/>
          </rPr>
          <t>======
ID#AAABjx7qOQ0
    (2025-05-21 11:33:24)
1017 chloe:以收到銀行通知USD1620</t>
        </r>
      </text>
    </comment>
    <comment ref="M3234" authorId="0" shapeId="0" xr:uid="{5D33B930-35A8-0849-B52D-106428EF8E74}">
      <text>
        <r>
          <rPr>
            <sz val="10"/>
            <color rgb="FF000000"/>
            <rFont val="Aptos Narrow"/>
            <scheme val="minor"/>
          </rPr>
          <t>======
ID#AAABjx7qRls
    (2025-05-21 11:33:25)
1005 chloe:取消訂單，待客戶確定後重新下單詢問交期
1013 chloe:重新下單，交期兩週，回覆1101，再PULL IN</t>
        </r>
      </text>
    </comment>
    <comment ref="O3234" authorId="0" shapeId="0" xr:uid="{C42BF231-7F25-DE45-A6E0-4FF86239C55D}">
      <text>
        <r>
          <rPr>
            <sz val="10"/>
            <color rgb="FF000000"/>
            <rFont val="Aptos Narrow"/>
            <scheme val="minor"/>
          </rPr>
          <t>======
ID#AAABjx7qU90
    (2025-05-21 11:33:27)
1005 chloe:取消訂單
1013  chloe:重新下單，更名為revised</t>
        </r>
      </text>
    </comment>
    <comment ref="D3235" authorId="0" shapeId="0" xr:uid="{8B476494-A9C7-1145-B796-5BACDFFB2C69}">
      <text>
        <r>
          <rPr>
            <sz val="10"/>
            <color rgb="FF000000"/>
            <rFont val="Aptos Narrow"/>
            <scheme val="minor"/>
          </rPr>
          <t>======
ID#AAABjx7qSe8
    (2025-05-21 11:33:26)
1012 chloe: Leon工作日： 10/29-10/30</t>
        </r>
      </text>
    </comment>
    <comment ref="H3235" authorId="0" shapeId="0" xr:uid="{4D0A2358-B6CC-424E-9CC7-96F229E4EAF6}">
      <text>
        <r>
          <rPr>
            <sz val="10"/>
            <color rgb="FF000000"/>
            <rFont val="Aptos Narrow"/>
            <scheme val="minor"/>
          </rPr>
          <t>======
ID#AAABjx7qSxM
    (2025-05-21 11:33:26)
1121 chloe:收到銀行通知USD24875</t>
        </r>
      </text>
    </comment>
    <comment ref="P3235" authorId="0" shapeId="0" xr:uid="{EF52415B-B412-4A4C-B96A-2F59FBC63673}">
      <text>
        <r>
          <rPr>
            <sz val="10"/>
            <color rgb="FF000000"/>
            <rFont val="Aptos Narrow"/>
            <scheme val="minor"/>
          </rPr>
          <t>======
ID#AAABjx7qRJc
    (2025-05-21 11:33:25)
160927 扣抵金額(含稅)US$504,應支付貨款(含稅)為US$6447元
1208 chloe: 已付 US1611.75
待付US4835.25</t>
        </r>
      </text>
    </comment>
    <comment ref="D3236" authorId="0" shapeId="0" xr:uid="{72F53801-4F3D-4F41-ACF3-998466E5191A}">
      <text>
        <r>
          <rPr>
            <sz val="10"/>
            <color rgb="FF000000"/>
            <rFont val="Aptos Narrow"/>
            <scheme val="minor"/>
          </rPr>
          <t>======
ID#AAABjx7qWR0
    (2025-05-21 11:33:27)
1012 chloe: Leon工作日： 10/29-10/30</t>
        </r>
      </text>
    </comment>
    <comment ref="H3236" authorId="0" shapeId="0" xr:uid="{CFD89D41-2522-5D4A-A31E-8B7060EDEB98}">
      <text>
        <r>
          <rPr>
            <sz val="10"/>
            <color rgb="FF000000"/>
            <rFont val="Aptos Narrow"/>
            <scheme val="minor"/>
          </rPr>
          <t>======
ID#AAABjx7qVyY
    (2025-05-21 11:33:27)
1121 chloe:收到銀行通知USD24875</t>
        </r>
      </text>
    </comment>
    <comment ref="H3237" authorId="0" shapeId="0" xr:uid="{98326D94-8A3B-8645-9DB6-5EBA38BA6559}">
      <text>
        <r>
          <rPr>
            <sz val="10"/>
            <color rgb="FF000000"/>
            <rFont val="Aptos Narrow"/>
            <scheme val="minor"/>
          </rPr>
          <t>======
ID#AAABjx7qQfk
    (2025-05-21 11:33:25)
1111 chloe:收到銀行通知USD2399</t>
        </r>
      </text>
    </comment>
    <comment ref="H3238" authorId="0" shapeId="0" xr:uid="{4EEC34C8-2FDB-BC48-9B13-67AD8465583D}">
      <text>
        <r>
          <rPr>
            <sz val="10"/>
            <color rgb="FF000000"/>
            <rFont val="Aptos Narrow"/>
            <scheme val="minor"/>
          </rPr>
          <t>======
ID#AAABjx7qSbA
    (2025-05-21 11:33:26)
1117 chloe:收到銀行通知USD13714</t>
        </r>
      </text>
    </comment>
    <comment ref="H3239" authorId="0" shapeId="0" xr:uid="{7B5AE0CE-FF6E-1548-B67A-43F7F76DFF40}">
      <text>
        <r>
          <rPr>
            <sz val="10"/>
            <color rgb="FF000000"/>
            <rFont val="Aptos Narrow"/>
            <scheme val="minor"/>
          </rPr>
          <t>======
ID#AAABjx7qOnw
    (2025-05-21 11:33:24)
1117 chloe:收到銀行通知USD13714</t>
        </r>
      </text>
    </comment>
    <comment ref="H3240" authorId="0" shapeId="0" xr:uid="{C29604AB-8FAF-8E48-A207-9468F88498A9}">
      <text>
        <r>
          <rPr>
            <sz val="10"/>
            <color rgb="FF000000"/>
            <rFont val="Aptos Narrow"/>
            <scheme val="minor"/>
          </rPr>
          <t>======
ID#AAABjx7qOxA
20161012 Santiago    (2025-05-21 11:33:24)
科技國同意匯率31.63
20161019 chloe: 合庫收到款項NT934291</t>
        </r>
      </text>
    </comment>
    <comment ref="P3240" authorId="0" shapeId="0" xr:uid="{6E81B6E9-4242-274A-9E82-15168E42B4B9}">
      <text>
        <r>
          <rPr>
            <sz val="10"/>
            <color rgb="FF000000"/>
            <rFont val="Aptos Narrow"/>
            <scheme val="minor"/>
          </rPr>
          <t>======
ID#AAABjx7qWZo
    (2025-05-21 11:33:27)
161010 修改 225-67, 剩158
160930 225-76, 剩149</t>
        </r>
      </text>
    </comment>
    <comment ref="E3241" authorId="0" shapeId="0" xr:uid="{A331FFBF-5182-F14F-98B8-3EC6B8BCFE76}">
      <text>
        <r>
          <rPr>
            <sz val="10"/>
            <color rgb="FF000000"/>
            <rFont val="Aptos Narrow"/>
            <scheme val="minor"/>
          </rPr>
          <t>======
ID#AAABjx7qU88
    (2025-05-21 11:33:27)
20160929 Santiago: 和之前訂單一樣, w/o cable</t>
        </r>
      </text>
    </comment>
    <comment ref="H3241" authorId="0" shapeId="0" xr:uid="{6DEAFF47-3064-264B-8D56-522D9D9D3DE8}">
      <text>
        <r>
          <rPr>
            <sz val="10"/>
            <color rgb="FF000000"/>
            <rFont val="Aptos Narrow"/>
            <scheme val="minor"/>
          </rPr>
          <t>======
ID#AAABjx7qR40
    (2025-05-21 11:33:25)
20161019 chloe: 合庫收到款項NT934291</t>
        </r>
      </text>
    </comment>
    <comment ref="P3241" authorId="0" shapeId="0" xr:uid="{4F1AFFBC-C6E1-1E4C-8B05-58295724A1D1}">
      <text>
        <r>
          <rPr>
            <sz val="10"/>
            <color rgb="FF000000"/>
            <rFont val="Aptos Narrow"/>
            <scheme val="minor"/>
          </rPr>
          <t>======
ID#AAABjx7qTQY
    (2025-05-21 11:33:26)
161010 修改</t>
        </r>
      </text>
    </comment>
    <comment ref="H3244" authorId="0" shapeId="0" xr:uid="{75AD6653-5981-F44C-84C5-5E2243ABBF9F}">
      <text>
        <r>
          <rPr>
            <sz val="10"/>
            <color rgb="FF000000"/>
            <rFont val="Aptos Narrow"/>
            <scheme val="minor"/>
          </rPr>
          <t>======
ID#AAABjx7qVls
    (2025-05-21 11:33:27)
1117 chloe:收到銀行通知USD13714</t>
        </r>
      </text>
    </comment>
    <comment ref="H3245" authorId="0" shapeId="0" xr:uid="{BD469416-8FCF-9441-B70E-7A8E0B303A6E}">
      <text>
        <r>
          <rPr>
            <sz val="10"/>
            <color rgb="FF000000"/>
            <rFont val="Aptos Narrow"/>
            <scheme val="minor"/>
          </rPr>
          <t>======
ID#AAABjx7qVB4
    (2025-05-21 11:33:27)
1012 chloe :未稅價
1013 chloe:台企戶頭收到NT6560</t>
        </r>
      </text>
    </comment>
    <comment ref="M3245" authorId="0" shapeId="0" xr:uid="{E6908DB8-6C21-2D47-A243-2389CBC44087}">
      <text>
        <r>
          <rPr>
            <sz val="10"/>
            <color rgb="FF000000"/>
            <rFont val="Aptos Narrow"/>
            <scheme val="minor"/>
          </rPr>
          <t>======
ID#AAABjx7qOpI
    (2025-05-21 11:33:24)
交期7天 提早10/5到貨</t>
        </r>
      </text>
    </comment>
    <comment ref="H3246" authorId="0" shapeId="0" xr:uid="{889ED34C-AC58-C845-B112-75B59A582099}">
      <text>
        <r>
          <rPr>
            <sz val="10"/>
            <color rgb="FF000000"/>
            <rFont val="Aptos Narrow"/>
            <scheme val="minor"/>
          </rPr>
          <t>======
ID#AAABjx7qWYs
    (2025-05-21 11:33:27)
1012 chloe :未稅價
1013 chloe:台企戶頭收到NT6560</t>
        </r>
      </text>
    </comment>
    <comment ref="M3246" authorId="0" shapeId="0" xr:uid="{A2BBEA2C-A55F-C545-BAF2-1AF2A4D6AF69}">
      <text>
        <r>
          <rPr>
            <sz val="10"/>
            <color rgb="FF000000"/>
            <rFont val="Aptos Narrow"/>
            <scheme val="minor"/>
          </rPr>
          <t>======
ID#AAABjx7qOs8
    (2025-05-21 11:33:24)
交期7天 提早10/5到貨</t>
        </r>
      </text>
    </comment>
    <comment ref="H3247" authorId="0" shapeId="0" xr:uid="{707B29BF-AF15-B24B-857D-7187B68143C9}">
      <text>
        <r>
          <rPr>
            <sz val="10"/>
            <color rgb="FF000000"/>
            <rFont val="Aptos Narrow"/>
            <scheme val="minor"/>
          </rPr>
          <t>======
ID#AAABjx7qQyQ
    (2025-05-21 11:33:25)
1019 chloe:收到銀行通知USD2931</t>
        </r>
      </text>
    </comment>
    <comment ref="J3247" authorId="0" shapeId="0" xr:uid="{9892D699-DD68-114B-BEE5-48403E1C3BD6}">
      <text>
        <r>
          <rPr>
            <sz val="10"/>
            <color rgb="FF000000"/>
            <rFont val="Aptos Narrow"/>
            <scheme val="minor"/>
          </rPr>
          <t>======
ID#AAABjx7qO1k
0930 Santiago    (2025-05-21 11:33:24)
1. FOB. 
2. 請Airlife 出口報關時提供COC (產地證明)</t>
        </r>
      </text>
    </comment>
    <comment ref="H3248" authorId="0" shapeId="0" xr:uid="{B94405A6-7C70-6740-A4F7-9C0D395F0437}">
      <text>
        <r>
          <rPr>
            <sz val="10"/>
            <color rgb="FF000000"/>
            <rFont val="Aptos Narrow"/>
            <scheme val="minor"/>
          </rPr>
          <t>======
ID#AAABjx7qNAM
    (2025-05-21 11:33:23)
1019 chloe:收到銀行通知USD2931</t>
        </r>
      </text>
    </comment>
    <comment ref="J3248" authorId="0" shapeId="0" xr:uid="{45D3159E-492A-AF46-8276-C8138EE9FDBE}">
      <text>
        <r>
          <rPr>
            <sz val="10"/>
            <color rgb="FF000000"/>
            <rFont val="Aptos Narrow"/>
            <scheme val="minor"/>
          </rPr>
          <t>======
ID#AAABjx7qTgs
0930 Santiago    (2025-05-21 11:33:26)
1. FOB. 
2. 請Airlife 出口報關時提供COC (產地證明)</t>
        </r>
      </text>
    </comment>
    <comment ref="H3249" authorId="0" shapeId="0" xr:uid="{4D05ADF3-00C0-EF40-9926-7901DDD46E80}">
      <text>
        <r>
          <rPr>
            <sz val="10"/>
            <color rgb="FF000000"/>
            <rFont val="Aptos Narrow"/>
            <scheme val="minor"/>
          </rPr>
          <t>======
ID#AAABjx7qNmw
    (2025-05-21 11:33:23)
1117 chloe:收到銀行通知USD13714</t>
        </r>
      </text>
    </comment>
    <comment ref="H3250" authorId="0" shapeId="0" xr:uid="{12C229BA-9343-4C4B-A50D-96FC34642C95}">
      <text>
        <r>
          <rPr>
            <sz val="10"/>
            <color rgb="FF000000"/>
            <rFont val="Aptos Narrow"/>
            <scheme val="minor"/>
          </rPr>
          <t>======
ID#AAABjx7qUu4
    (2025-05-21 11:33:26)
1118 chloe:收到銀行通知USD511</t>
        </r>
      </text>
    </comment>
    <comment ref="Z3250" authorId="0" shapeId="0" xr:uid="{BDDEA70F-7200-1A4F-9274-E367E1AA8D08}">
      <text>
        <r>
          <rPr>
            <sz val="10"/>
            <color rgb="FF000000"/>
            <rFont val="Aptos Narrow"/>
            <scheme val="minor"/>
          </rPr>
          <t>======
ID#AAABjx7qPcs
    (2025-05-21 11:33:24)
1012 chloe: CP-114EL-I-DB9M此筆下單金額錯誤，此項金額為7461
1013寄出待更換</t>
        </r>
      </text>
    </comment>
    <comment ref="H3251" authorId="0" shapeId="0" xr:uid="{486D453D-F40D-CC4D-B219-5F7A3390B25B}">
      <text>
        <r>
          <rPr>
            <sz val="10"/>
            <color rgb="FF000000"/>
            <rFont val="Aptos Narrow"/>
            <scheme val="minor"/>
          </rPr>
          <t>======
ID#AAABjx7qRxg
    (2025-05-21 11:33:25)
1118 chloe:收到銀行通知USD511</t>
        </r>
      </text>
    </comment>
    <comment ref="H3252" authorId="0" shapeId="0" xr:uid="{6172BF40-720D-C74A-91DA-F1A36772350D}">
      <text>
        <r>
          <rPr>
            <sz val="10"/>
            <color rgb="FF000000"/>
            <rFont val="Aptos Narrow"/>
            <scheme val="minor"/>
          </rPr>
          <t>======
ID#AAABjx7qSOM
    (2025-05-21 11:33:26)
1118 chloe:收到銀行通知USD511</t>
        </r>
      </text>
    </comment>
    <comment ref="H3253" authorId="0" shapeId="0" xr:uid="{316EA882-71D2-174D-8B52-9834AB1A5D37}">
      <text>
        <r>
          <rPr>
            <sz val="10"/>
            <color rgb="FF000000"/>
            <rFont val="Aptos Narrow"/>
            <scheme val="minor"/>
          </rPr>
          <t>======
ID#AAABjx7qPu4
    (2025-05-21 11:33:24)
1206 chloe:收到銀行通知USD6761</t>
        </r>
      </text>
    </comment>
    <comment ref="M3253" authorId="0" shapeId="0" xr:uid="{FE8D0005-0A78-9A4D-9A48-60F5B1B8B1E6}">
      <text>
        <r>
          <rPr>
            <sz val="10"/>
            <color rgb="FF000000"/>
            <rFont val="Aptos Narrow"/>
            <scheme val="minor"/>
          </rPr>
          <t>======
ID#AAABjx7qTkw
    (2025-05-21 11:33:26)
1013 chloe: 訂單金額下錯，重新下單</t>
        </r>
      </text>
    </comment>
    <comment ref="H3254" authorId="0" shapeId="0" xr:uid="{E802EFE8-9D31-A34B-BE45-122B8C2FF109}">
      <text>
        <r>
          <rPr>
            <sz val="10"/>
            <color rgb="FF000000"/>
            <rFont val="Aptos Narrow"/>
            <scheme val="minor"/>
          </rPr>
          <t>======
ID#AAABjx7qPr4
    (2025-05-21 11:33:24)
1206 chloe:收到銀行通知USD6761</t>
        </r>
      </text>
    </comment>
    <comment ref="H3255" authorId="0" shapeId="0" xr:uid="{A51B2AD8-3BF1-754E-9726-34A2728D4567}">
      <text>
        <r>
          <rPr>
            <sz val="10"/>
            <color rgb="FF000000"/>
            <rFont val="Aptos Narrow"/>
            <scheme val="minor"/>
          </rPr>
          <t>======
ID#AAABjx7qM00
    (2025-05-21 11:33:23)
1206 chloe:收到銀行通知USD6761</t>
        </r>
      </text>
    </comment>
    <comment ref="H3256" authorId="0" shapeId="0" xr:uid="{841631F6-E397-8343-8FBE-90F590370D84}">
      <text>
        <r>
          <rPr>
            <sz val="10"/>
            <color rgb="FF000000"/>
            <rFont val="Aptos Narrow"/>
            <scheme val="minor"/>
          </rPr>
          <t>======
ID#AAABjx7qWVw
    (2025-05-21 11:33:27)
1115 chloe:收到銀行通知USD655</t>
        </r>
      </text>
    </comment>
    <comment ref="K3256" authorId="0" shapeId="0" xr:uid="{AC461A34-F89A-8340-A52A-B79059947412}">
      <text>
        <r>
          <rPr>
            <sz val="10"/>
            <color rgb="FF000000"/>
            <rFont val="Aptos Narrow"/>
            <scheme val="minor"/>
          </rPr>
          <t>======
ID#AAABjx7qQC0
    (2025-05-21 11:33:25)
0728 chloe:請寄另外地址
T-POLE Srl
Via De Gasperi, 4
27040 PORTALBERA (PV)
Italy</t>
        </r>
      </text>
    </comment>
    <comment ref="M3257" authorId="0" shapeId="0" xr:uid="{6E4CD5D9-5E0C-0A46-BE6C-89D1D838BFA9}">
      <text>
        <r>
          <rPr>
            <sz val="10"/>
            <color rgb="FF000000"/>
            <rFont val="Aptos Narrow"/>
            <scheme val="minor"/>
          </rPr>
          <t>======
ID#AAABjx7qWLU
    (2025-05-21 11:33:27)
1007 chloe:無庫存待回覆</t>
        </r>
      </text>
    </comment>
    <comment ref="H3259" authorId="0" shapeId="0" xr:uid="{9DCC8F9E-3BB2-804D-89A1-3DBE28A5075F}">
      <text>
        <r>
          <rPr>
            <sz val="10"/>
            <color rgb="FF000000"/>
            <rFont val="Aptos Narrow"/>
            <scheme val="minor"/>
          </rPr>
          <t>======
ID#AAABjx7qPLE
    (2025-05-21 11:33:24)
1207 chloe:收到銀行通知USD2804</t>
        </r>
      </text>
    </comment>
    <comment ref="M3259" authorId="0" shapeId="0" xr:uid="{1D973C72-3380-3642-8C00-ABCB28013C76}">
      <text>
        <r>
          <rPr>
            <sz val="10"/>
            <color rgb="FF000000"/>
            <rFont val="Aptos Narrow"/>
            <scheme val="minor"/>
          </rPr>
          <t>======
ID#AAABjx7qSbQ
    (2025-05-21 11:33:26)
1011 chloe: 無庫存，待研華採購回覆
1014 chloe:回覆交期過長，建議更改96PSA-A120W24T2，待Tammy回覆→1017 回覆OK</t>
        </r>
      </text>
    </comment>
    <comment ref="O3259" authorId="0" shapeId="0" xr:uid="{92FE56B6-67C3-E04C-AFC8-EDC92A214743}">
      <text>
        <r>
          <rPr>
            <sz val="10"/>
            <color rgb="FF000000"/>
            <rFont val="Aptos Narrow"/>
            <scheme val="minor"/>
          </rPr>
          <t>======
ID#AAABjx7qQkw
    (2025-05-21 11:33:25)
1012 chloe:訂單有修改</t>
        </r>
      </text>
    </comment>
    <comment ref="H3260" authorId="0" shapeId="0" xr:uid="{FC53CCA4-E1EE-1D4D-86D8-668D06607FE8}">
      <text>
        <r>
          <rPr>
            <sz val="10"/>
            <color rgb="FF000000"/>
            <rFont val="Aptos Narrow"/>
            <scheme val="minor"/>
          </rPr>
          <t>======
ID#AAABjx7qQBY
    (2025-05-21 11:33:25)
1207 chloe:收到銀行通知USD2804</t>
        </r>
      </text>
    </comment>
    <comment ref="M3260" authorId="0" shapeId="0" xr:uid="{B0B824C9-1355-3B46-9DD1-3DD1CDB44A88}">
      <text>
        <r>
          <rPr>
            <sz val="10"/>
            <color rgb="FF000000"/>
            <rFont val="Aptos Narrow"/>
            <scheme val="minor"/>
          </rPr>
          <t>======
ID#AAABjx7qWGo
    (2025-05-21 11:33:27)
1021 chloe:因冷門機種，遷廠後貨物遺失正在尋找中</t>
        </r>
      </text>
    </comment>
    <comment ref="O3260" authorId="0" shapeId="0" xr:uid="{18FE1D1B-D4B2-1948-AE16-5BD82C050F61}">
      <text>
        <r>
          <rPr>
            <sz val="10"/>
            <color rgb="FF000000"/>
            <rFont val="Aptos Narrow"/>
            <scheme val="minor"/>
          </rPr>
          <t>======
ID#AAABjx7qWKA
    (2025-05-21 11:33:27)
1012 chloe:訂單有修改</t>
        </r>
      </text>
    </comment>
    <comment ref="H3261" authorId="0" shapeId="0" xr:uid="{504C58FF-03A0-9D4E-91C5-1906F6D7F613}">
      <text>
        <r>
          <rPr>
            <sz val="10"/>
            <color rgb="FF000000"/>
            <rFont val="Aptos Narrow"/>
            <scheme val="minor"/>
          </rPr>
          <t>======
ID#AAABjx7qVCI
    (2025-05-21 11:33:27)
1205 chloe:收到銀行通知USD991</t>
        </r>
      </text>
    </comment>
    <comment ref="H3262" authorId="0" shapeId="0" xr:uid="{D2677660-338D-4444-AC7B-E28E772C455D}">
      <text>
        <r>
          <rPr>
            <sz val="10"/>
            <color rgb="FF000000"/>
            <rFont val="Aptos Narrow"/>
            <scheme val="minor"/>
          </rPr>
          <t>======
ID#AAABjx7qQbg
    (2025-05-21 11:33:25)
1205 chloe:收到銀行通知USD991</t>
        </r>
      </text>
    </comment>
    <comment ref="E3263" authorId="0" shapeId="0" xr:uid="{2E548DFE-BF6F-E544-8FBA-07F98ED20E3B}">
      <text>
        <r>
          <rPr>
            <sz val="10"/>
            <color rgb="FF000000"/>
            <rFont val="Aptos Narrow"/>
            <scheme val="minor"/>
          </rPr>
          <t>======
ID#AAABjx7qSX8
    (2025-05-21 11:33:26)
1008 chloe:已EOL，庫存賣完即斷貨</t>
        </r>
      </text>
    </comment>
    <comment ref="H3263" authorId="0" shapeId="0" xr:uid="{845FDA18-5D95-8B4D-8D83-05286A02C917}">
      <text>
        <r>
          <rPr>
            <sz val="10"/>
            <color rgb="FF000000"/>
            <rFont val="Aptos Narrow"/>
            <scheme val="minor"/>
          </rPr>
          <t>======
ID#AAABjx7qOVc
    (2025-05-21 11:33:24)
1205 chloe:收到銀行通知USD991</t>
        </r>
      </text>
    </comment>
    <comment ref="H3264" authorId="0" shapeId="0" xr:uid="{117DC7FE-CB26-444A-AA4F-901EEE5D5E50}">
      <text>
        <r>
          <rPr>
            <sz val="10"/>
            <color rgb="FF000000"/>
            <rFont val="Aptos Narrow"/>
            <scheme val="minor"/>
          </rPr>
          <t>======
ID#AAABjx7qTVE
    (2025-05-21 11:33:26)
1205 chloe:收到銀行通知USD991</t>
        </r>
      </text>
    </comment>
    <comment ref="H3265" authorId="0" shapeId="0" xr:uid="{7A8CB524-482E-4E42-AF37-73177A370175}">
      <text>
        <r>
          <rPr>
            <sz val="10"/>
            <color rgb="FF000000"/>
            <rFont val="Aptos Narrow"/>
            <scheme val="minor"/>
          </rPr>
          <t>======
ID#AAABjx7qQfE
    (2025-05-21 11:33:25)
1205 chloe:收到銀行通知USD991</t>
        </r>
      </text>
    </comment>
    <comment ref="H3266" authorId="0" shapeId="0" xr:uid="{E24B525D-A596-A446-A32B-15CB55422D46}">
      <text>
        <r>
          <rPr>
            <sz val="10"/>
            <color rgb="FF000000"/>
            <rFont val="Aptos Narrow"/>
            <scheme val="minor"/>
          </rPr>
          <t>======
ID#AAABjx7qPIk
    (2025-05-21 11:33:24)
20170118 chloe:收到銀行通知USD113</t>
        </r>
      </text>
    </comment>
    <comment ref="K3266" authorId="0" shapeId="0" xr:uid="{28C2B142-6759-9045-9D3B-65B6F926200D}">
      <text>
        <r>
          <rPr>
            <sz val="10"/>
            <color rgb="FF000000"/>
            <rFont val="Aptos Narrow"/>
            <scheme val="minor"/>
          </rPr>
          <t>======
ID#AAABjx7qRiA
    (2025-05-21 11:33:25)
1208 chloe:預計安排12/15寄出</t>
        </r>
      </text>
    </comment>
    <comment ref="M3266" authorId="0" shapeId="0" xr:uid="{01971EF5-3AB7-EC4F-B65C-6E24DB785F22}">
      <text>
        <r>
          <rPr>
            <sz val="10"/>
            <color rgb="FF000000"/>
            <rFont val="Aptos Narrow"/>
            <scheme val="minor"/>
          </rPr>
          <t>======
ID#AAABjx7qQAw
    (2025-05-21 11:33:25)
1202 chloe:因人損問題須收USD100，代客戶回覆是否維修</t>
        </r>
      </text>
    </comment>
    <comment ref="H3267" authorId="0" shapeId="0" xr:uid="{4B16A5C4-26D7-B644-A604-ED42C58D3BC6}">
      <text>
        <r>
          <rPr>
            <sz val="10"/>
            <color rgb="FF000000"/>
            <rFont val="Aptos Narrow"/>
            <scheme val="minor"/>
          </rPr>
          <t>======
ID#AAABjx7qSLc
    (2025-05-21 11:33:26)
1202 chloe:收到銀行通知USD10342</t>
        </r>
      </text>
    </comment>
    <comment ref="K3267" authorId="0" shapeId="0" xr:uid="{BFDCF446-C4CD-A54F-8E45-B6855EE4EFB7}">
      <text>
        <r>
          <rPr>
            <sz val="10"/>
            <color rgb="FF000000"/>
            <rFont val="Aptos Narrow"/>
            <scheme val="minor"/>
          </rPr>
          <t>======
ID#AAABjx7qPJI
    (2025-05-21 11:33:24)
0728 chloe:請寄另外地址
T-POLE Srl
Via De Gasperi, 4
27040 PORTALBERA (PV)
Italy</t>
        </r>
      </text>
    </comment>
    <comment ref="M3267" authorId="0" shapeId="0" xr:uid="{DABAF55A-F80F-F949-8455-B2BDB83E635E}">
      <text>
        <r>
          <rPr>
            <sz val="10"/>
            <color rgb="FF000000"/>
            <rFont val="Aptos Narrow"/>
            <scheme val="minor"/>
          </rPr>
          <t>======
ID#AAABjx7qRDw
    (2025-05-21 11:33:25)
1013 chloe:詢問交期，回覆交期待PULL IN(10/14)
1017 chloe:詢問交期</t>
        </r>
      </text>
    </comment>
    <comment ref="O3267" authorId="0" shapeId="0" xr:uid="{BB10D79E-FB1A-D142-851B-6204F950E60A}">
      <text>
        <r>
          <rPr>
            <sz val="10"/>
            <color rgb="FF000000"/>
            <rFont val="Aptos Narrow"/>
            <scheme val="minor"/>
          </rPr>
          <t>======
ID#AAABjx7qVSg
    (2025-05-21 11:33:27)
1017 Chloe:BIOS改為一般，故修改訂單</t>
        </r>
      </text>
    </comment>
    <comment ref="H3269" authorId="0" shapeId="0" xr:uid="{F02317B1-A068-A340-9B28-65BDCBD01F0B}">
      <text>
        <r>
          <rPr>
            <sz val="10"/>
            <color rgb="FF000000"/>
            <rFont val="Aptos Narrow"/>
            <scheme val="minor"/>
          </rPr>
          <t>======
ID#AAABjx7qTS4
    (2025-05-21 11:33:26)
1117 chloe:收到銀行通知USD13714</t>
        </r>
      </text>
    </comment>
    <comment ref="H3270" authorId="0" shapeId="0" xr:uid="{09C33374-6FDA-994D-A09D-40F91EFDB5E0}">
      <text>
        <r>
          <rPr>
            <sz val="10"/>
            <color rgb="FF000000"/>
            <rFont val="Aptos Narrow"/>
            <scheme val="minor"/>
          </rPr>
          <t>======
ID#AAABjx7qP-M
    (2025-05-21 11:33:25)
1207 chloe:收到銀行通知USD2804</t>
        </r>
      </text>
    </comment>
    <comment ref="K3270" authorId="0" shapeId="0" xr:uid="{77344AA0-A0F0-754A-BD82-A9F7726D2709}">
      <text>
        <r>
          <rPr>
            <sz val="10"/>
            <color rgb="FF000000"/>
            <rFont val="Aptos Narrow"/>
            <scheme val="minor"/>
          </rPr>
          <t>======
ID#AAABjx7qRV0
    (2025-05-21 11:33:25)
161018 Tammy: 出貨日期由10/20改到10/24, 和20161007A一起出貨</t>
        </r>
      </text>
    </comment>
    <comment ref="H3271" authorId="0" shapeId="0" xr:uid="{3C95A058-84FB-4B44-8A2A-56F604C1177C}">
      <text>
        <r>
          <rPr>
            <sz val="10"/>
            <color rgb="FF000000"/>
            <rFont val="Aptos Narrow"/>
            <scheme val="minor"/>
          </rPr>
          <t>======
ID#AAABjx7qSqM
    (2025-05-21 11:33:26)
1116 chloe:收到支票NT166744(11/30才能提領)</t>
        </r>
      </text>
    </comment>
    <comment ref="M3271" authorId="0" shapeId="0" xr:uid="{DDF3DC6F-056B-A94C-8A04-3AB4AE1199FB}">
      <text>
        <r>
          <rPr>
            <sz val="10"/>
            <color rgb="FF000000"/>
            <rFont val="Aptos Narrow"/>
            <scheme val="minor"/>
          </rPr>
          <t>======
ID#AAABjx7qPdI
    (2025-05-21 11:33:24)
1014 chloe:下單待回交期
1018 chloe:回覆應該可以10/20到貨戎克</t>
        </r>
      </text>
    </comment>
    <comment ref="N3271" authorId="0" shapeId="0" xr:uid="{14AA8AC9-A268-B94A-B9AD-49EA65801512}">
      <text>
        <r>
          <rPr>
            <sz val="10"/>
            <color rgb="FF000000"/>
            <rFont val="Aptos Narrow"/>
            <scheme val="minor"/>
          </rPr>
          <t>======
ID#AAABjx7qO30
20161013 Santiago    (2025-05-21 11:33:24)
下單日期要和歐緯世錯開一週</t>
        </r>
      </text>
    </comment>
    <comment ref="O3271" authorId="0" shapeId="0" xr:uid="{E0CE421F-3665-1741-BFAA-C2AE1FC0E8F0}">
      <text>
        <r>
          <rPr>
            <sz val="10"/>
            <color rgb="FF000000"/>
            <rFont val="Aptos Narrow"/>
            <scheme val="minor"/>
          </rPr>
          <t>======
ID#AAABjx7qPeA
20161013 Santiago    (2025-05-21 11:33:24)
下單日期要和歐緯世錯開一週</t>
        </r>
      </text>
    </comment>
    <comment ref="H3272" authorId="0" shapeId="0" xr:uid="{6A680034-056F-CF47-BEF3-A44E30CDD71F}">
      <text>
        <r>
          <rPr>
            <sz val="10"/>
            <color rgb="FF000000"/>
            <rFont val="Aptos Narrow"/>
            <scheme val="minor"/>
          </rPr>
          <t>======
ID#AAABjx7qQLI
    (2025-05-21 11:33:25)
1116 chloe:收到支票NT166744(11/30才能提領)</t>
        </r>
      </text>
    </comment>
    <comment ref="M3272" authorId="0" shapeId="0" xr:uid="{A9827F77-5BC5-CC4D-A554-EEB15509D530}">
      <text>
        <r>
          <rPr>
            <sz val="10"/>
            <color rgb="FF000000"/>
            <rFont val="Aptos Narrow"/>
            <scheme val="minor"/>
          </rPr>
          <t>======
ID#AAABjx7qQLE
    (2025-05-21 11:33:25)
1021 chloe: 下單待交期回覆</t>
        </r>
      </text>
    </comment>
    <comment ref="N3272" authorId="0" shapeId="0" xr:uid="{20E722A2-D390-F049-A0C7-4DD6B14F6E68}">
      <text>
        <r>
          <rPr>
            <sz val="10"/>
            <color rgb="FF000000"/>
            <rFont val="Aptos Narrow"/>
            <scheme val="minor"/>
          </rPr>
          <t>======
ID#AAABjx7qWVQ
20161013 Santiago    (2025-05-21 11:33:27)
下單日期要和富加堡錯開一週</t>
        </r>
      </text>
    </comment>
    <comment ref="O3272" authorId="0" shapeId="0" xr:uid="{6B5AEA07-ABB2-5645-BDA6-9BE1A978863F}">
      <text>
        <r>
          <rPr>
            <sz val="10"/>
            <color rgb="FF000000"/>
            <rFont val="Aptos Narrow"/>
            <scheme val="minor"/>
          </rPr>
          <t>======
ID#AAABjx7qVRk
20161013 Santiago    (2025-05-21 11:33:27)
下單日期要和富加堡錯開一週</t>
        </r>
      </text>
    </comment>
    <comment ref="Z3272" authorId="0" shapeId="0" xr:uid="{39D39E12-A520-734F-A5FD-1C795E921D38}">
      <text>
        <r>
          <rPr>
            <sz val="10"/>
            <color rgb="FF000000"/>
            <rFont val="Aptos Narrow"/>
            <scheme val="minor"/>
          </rPr>
          <t>======
ID#AAABjx7qO9I
    (2025-05-21 11:33:24)
1031 chloe:已寫信催發票</t>
        </r>
      </text>
    </comment>
    <comment ref="H3273" authorId="0" shapeId="0" xr:uid="{207F10A0-F8A9-1B44-BC82-2533AD5A5ED0}">
      <text>
        <r>
          <rPr>
            <sz val="10"/>
            <color rgb="FF000000"/>
            <rFont val="Aptos Narrow"/>
            <scheme val="minor"/>
          </rPr>
          <t>======
ID#AAABjx7qRy0
    (2025-05-21 11:33:25)
1116 chloe:收到支票NT166744(11/30才能提領)</t>
        </r>
      </text>
    </comment>
    <comment ref="M3273" authorId="0" shapeId="0" xr:uid="{0CB214F8-B6F6-0946-BE95-F50803846E03}">
      <text>
        <r>
          <rPr>
            <sz val="10"/>
            <color rgb="FF000000"/>
            <rFont val="Aptos Narrow"/>
            <scheme val="minor"/>
          </rPr>
          <t>======
ID#AAABjx7qSuA
    (2025-05-21 11:33:26)
1014 chloe:下單待回交期
1018 chloe:再度詢問交期回覆→回覆下週到貨</t>
        </r>
      </text>
    </comment>
    <comment ref="H3274" authorId="0" shapeId="0" xr:uid="{2403DDD5-8298-FF46-B95D-2EAC1724E30E}">
      <text>
        <r>
          <rPr>
            <sz val="10"/>
            <color rgb="FF000000"/>
            <rFont val="Aptos Narrow"/>
            <scheme val="minor"/>
          </rPr>
          <t>======
ID#AAABjx7qOek
    (2025-05-21 11:33:24)
1213 chloe:收到支票NT193565(12/30以兌換成功)</t>
        </r>
      </text>
    </comment>
    <comment ref="M3274" authorId="0" shapeId="0" xr:uid="{6866008E-D147-BA44-BE8E-8DC89AFAA0D3}">
      <text>
        <r>
          <rPr>
            <sz val="10"/>
            <color rgb="FF000000"/>
            <rFont val="Aptos Narrow"/>
            <scheme val="minor"/>
          </rPr>
          <t>======
ID#AAABjx7qTjc
    (2025-05-21 11:33:26)
1026 chloe: 下單待交期回覆</t>
        </r>
      </text>
    </comment>
    <comment ref="N3274" authorId="0" shapeId="0" xr:uid="{BA692F18-977B-ED4D-A9EF-4CA81CC6E247}">
      <text>
        <r>
          <rPr>
            <sz val="10"/>
            <color rgb="FF000000"/>
            <rFont val="Aptos Narrow"/>
            <scheme val="minor"/>
          </rPr>
          <t>======
ID#AAABjx7qOIo
20161013 Santiago     (2025-05-21 11:33:24)
10/24 再下單</t>
        </r>
      </text>
    </comment>
    <comment ref="O3274" authorId="0" shapeId="0" xr:uid="{F88C1258-F974-F141-8F61-025283587BCD}">
      <text>
        <r>
          <rPr>
            <sz val="10"/>
            <color rgb="FF000000"/>
            <rFont val="Aptos Narrow"/>
            <scheme val="minor"/>
          </rPr>
          <t>======
ID#AAABjx7qTLA
20161013 Santiago     (2025-05-21 11:33:26)
10/24 再下單</t>
        </r>
      </text>
    </comment>
    <comment ref="H3275" authorId="0" shapeId="0" xr:uid="{97F3C3BC-CE89-7344-BEB4-58879AF90A09}">
      <text>
        <r>
          <rPr>
            <sz val="10"/>
            <color rgb="FF000000"/>
            <rFont val="Aptos Narrow"/>
            <scheme val="minor"/>
          </rPr>
          <t>======
ID#AAABjx7qPpw
    (2025-05-21 11:33:24)
1213 chloe:收到支票NT193565(12/30以兌換成功)</t>
        </r>
      </text>
    </comment>
    <comment ref="M3275" authorId="0" shapeId="0" xr:uid="{49D64AEA-E00F-5445-9A13-54F805C870F8}">
      <text>
        <r>
          <rPr>
            <sz val="10"/>
            <color rgb="FF000000"/>
            <rFont val="Aptos Narrow"/>
            <scheme val="minor"/>
          </rPr>
          <t>======
ID#AAABjx7qWD8
    (2025-05-21 11:33:27)
1103 chloe:預計11/10到貨，先HOLD</t>
        </r>
      </text>
    </comment>
    <comment ref="N3275" authorId="0" shapeId="0" xr:uid="{0F0CFFF0-454F-884F-8DF9-05BCC0029028}">
      <text>
        <r>
          <rPr>
            <sz val="10"/>
            <color rgb="FF000000"/>
            <rFont val="Aptos Narrow"/>
            <scheme val="minor"/>
          </rPr>
          <t>======
ID#AAABjx7qRp4
    (2025-05-21 11:33:25)
1107進貨要改序號</t>
        </r>
      </text>
    </comment>
    <comment ref="O3275" authorId="0" shapeId="0" xr:uid="{39CCFC66-B2B3-F147-BB89-86ABF9431747}">
      <text>
        <r>
          <rPr>
            <sz val="10"/>
            <color rgb="FF000000"/>
            <rFont val="Aptos Narrow"/>
            <scheme val="minor"/>
          </rPr>
          <t>======
ID#AAABjx7qS0I
20161013 Santiago    (2025-05-21 11:33:26)
等11/1 再確認是否下單</t>
        </r>
      </text>
    </comment>
    <comment ref="H3276" authorId="0" shapeId="0" xr:uid="{D6C51FA0-CD64-0940-87D2-7938C27BCFE9}">
      <text>
        <r>
          <rPr>
            <sz val="10"/>
            <color rgb="FF000000"/>
            <rFont val="Aptos Narrow"/>
            <scheme val="minor"/>
          </rPr>
          <t>======
ID#AAABjx7qNQU
    (2025-05-21 11:33:23)
1213 chloe:收到支票NT193565(12/30以兌換成功)</t>
        </r>
      </text>
    </comment>
    <comment ref="M3276" authorId="0" shapeId="0" xr:uid="{E0D5E2CE-6631-7C44-90C5-064DBE639633}">
      <text>
        <r>
          <rPr>
            <sz val="10"/>
            <color rgb="FF000000"/>
            <rFont val="Aptos Narrow"/>
            <scheme val="minor"/>
          </rPr>
          <t>======
ID#AAABjx7qQEk
    (2025-05-21 11:33:25)
1103 chloe:預計11/10到貨，先HOLD</t>
        </r>
      </text>
    </comment>
    <comment ref="N3276" authorId="0" shapeId="0" xr:uid="{ED2D4837-8594-E34C-860B-336B4D1EE429}">
      <text>
        <r>
          <rPr>
            <sz val="10"/>
            <color rgb="FF000000"/>
            <rFont val="Aptos Narrow"/>
            <scheme val="minor"/>
          </rPr>
          <t>======
ID#AAABjx7qUzQ
    (2025-05-21 11:33:26)
1107進貨要改序號</t>
        </r>
      </text>
    </comment>
    <comment ref="O3276" authorId="0" shapeId="0" xr:uid="{9DA0EA8F-A9AE-C147-9D84-0334F144E21B}">
      <text>
        <r>
          <rPr>
            <sz val="10"/>
            <color rgb="FF000000"/>
            <rFont val="Aptos Narrow"/>
            <scheme val="minor"/>
          </rPr>
          <t>======
ID#AAABjx7qN3A
20161013 Santiago    (2025-05-21 11:33:23)
等11/1 再確認是否下單</t>
        </r>
      </text>
    </comment>
    <comment ref="G3277" authorId="0" shapeId="0" xr:uid="{F822EE7F-89BF-7F4D-A80E-5FB8ABE6B69E}">
      <text>
        <r>
          <rPr>
            <sz val="10"/>
            <color rgb="FF000000"/>
            <rFont val="Aptos Narrow"/>
            <scheme val="minor"/>
          </rPr>
          <t>======
ID#AAABjx7qSzQ
    (2025-05-21 11:33:26)
NT$ 12,255 (未稅價)</t>
        </r>
      </text>
    </comment>
    <comment ref="H3277" authorId="0" shapeId="0" xr:uid="{3A7872E8-4D1D-874A-B0BA-824F3A4E6129}">
      <text>
        <r>
          <rPr>
            <sz val="10"/>
            <color rgb="FF000000"/>
            <rFont val="Aptos Narrow"/>
            <scheme val="minor"/>
          </rPr>
          <t>======
ID#AAABjx7qP3o
    (2025-05-21 11:33:24)
1117 chloe:收到12848元</t>
        </r>
      </text>
    </comment>
    <comment ref="J3277" authorId="0" shapeId="0" xr:uid="{39BDFE19-D96F-7B49-B4F7-37BB77352C02}">
      <text>
        <r>
          <rPr>
            <sz val="10"/>
            <color rgb="FF000000"/>
            <rFont val="Aptos Narrow"/>
            <scheme val="minor"/>
          </rPr>
          <t>======
ID#AAABjx7qQ3M
    (2025-05-21 11:33:25)
託運單號：3180547171</t>
        </r>
      </text>
    </comment>
    <comment ref="K3277" authorId="0" shapeId="0" xr:uid="{F81FC5B8-F8A7-9D4E-AE6A-5CDF12AC0664}">
      <text>
        <r>
          <rPr>
            <sz val="10"/>
            <color rgb="FF000000"/>
            <rFont val="Aptos Narrow"/>
            <scheme val="minor"/>
          </rPr>
          <t>======
ID#AAABjx7qRK0
    (2025-05-21 11:33:25)
1108 Chloe:收到匯款後即刻出貨
1114 Chloe:客戶告知11/17匯款</t>
        </r>
      </text>
    </comment>
    <comment ref="M3277" authorId="0" shapeId="0" xr:uid="{DF60CC41-904B-B149-A8DD-366F00A220D1}">
      <text>
        <r>
          <rPr>
            <sz val="10"/>
            <color rgb="FF000000"/>
            <rFont val="Aptos Narrow"/>
            <scheme val="minor"/>
          </rPr>
          <t>======
ID#AAABjx7qNhY
    (2025-05-21 11:33:23)
11/10匯款後寄出貨物</t>
        </r>
      </text>
    </comment>
    <comment ref="H3278" authorId="0" shapeId="0" xr:uid="{2B5455DD-05B6-F747-9A48-45884E1775D6}">
      <text>
        <r>
          <rPr>
            <sz val="10"/>
            <color rgb="FF000000"/>
            <rFont val="Aptos Narrow"/>
            <scheme val="minor"/>
          </rPr>
          <t>======
ID#AAABjx7qVm8
    (2025-05-21 11:33:27)
1207 chloe:收到銀行通知USD2804</t>
        </r>
      </text>
    </comment>
    <comment ref="K3278" authorId="0" shapeId="0" xr:uid="{743633FD-6E37-E44D-BE47-91406AF5CDBF}">
      <text>
        <r>
          <rPr>
            <sz val="10"/>
            <color rgb="FF000000"/>
            <rFont val="Aptos Narrow"/>
            <scheme val="minor"/>
          </rPr>
          <t>======
ID#AAABjx7qSPw
    (2025-05-21 11:33:26)
1021 chloe:業務指示可以的話11/1 出貨</t>
        </r>
      </text>
    </comment>
    <comment ref="M3278" authorId="0" shapeId="0" xr:uid="{FD730E44-A12A-8C4F-86A4-66C512CDE266}">
      <text>
        <r>
          <rPr>
            <sz val="10"/>
            <color rgb="FF000000"/>
            <rFont val="Aptos Narrow"/>
            <scheme val="minor"/>
          </rPr>
          <t>======
ID#AAABjx7qMsw
    (2025-05-21 11:33:23)
1017 chloe:有庫存，因MOS-1120Y-1401E大陸調貨，</t>
        </r>
      </text>
    </comment>
    <comment ref="H3279" authorId="0" shapeId="0" xr:uid="{D2FF6E47-EF87-BC42-A87F-D326E90FE0F5}">
      <text>
        <r>
          <rPr>
            <sz val="10"/>
            <color rgb="FF000000"/>
            <rFont val="Aptos Narrow"/>
            <scheme val="minor"/>
          </rPr>
          <t>======
ID#AAABjx7qThU
    (2025-05-21 11:33:26)
1207 chloe:收到銀行通知USD2804</t>
        </r>
      </text>
    </comment>
    <comment ref="K3279" authorId="0" shapeId="0" xr:uid="{7E1ACFA1-0EC8-E74C-A991-13C0E788C8C6}">
      <text>
        <r>
          <rPr>
            <sz val="10"/>
            <color rgb="FF000000"/>
            <rFont val="Aptos Narrow"/>
            <scheme val="minor"/>
          </rPr>
          <t>======
ID#AAABjx7qNDI
    (2025-05-21 11:33:23)
1021 chloe:業務指示可以的話11/1 出貨</t>
        </r>
      </text>
    </comment>
    <comment ref="M3279" authorId="0" shapeId="0" xr:uid="{381DB070-C10D-AD4A-8BAC-9BB123A95FC8}">
      <text>
        <r>
          <rPr>
            <sz val="10"/>
            <color rgb="FF000000"/>
            <rFont val="Aptos Narrow"/>
            <scheme val="minor"/>
          </rPr>
          <t>======
ID#AAABjx7qNoA
    (2025-05-21 11:33:23)
1017 chloe:有庫存，因MOS-1120Y-1401E大陸調貨，</t>
        </r>
      </text>
    </comment>
    <comment ref="H3280" authorId="0" shapeId="0" xr:uid="{A44872B6-EC43-E24B-8EE1-E3F772D2093E}">
      <text>
        <r>
          <rPr>
            <sz val="10"/>
            <color rgb="FF000000"/>
            <rFont val="Aptos Narrow"/>
            <scheme val="minor"/>
          </rPr>
          <t>======
ID#AAABjx7qNgQ
    (2025-05-21 11:33:23)
1207 chloe:收到銀行通知USD2804</t>
        </r>
      </text>
    </comment>
    <comment ref="K3280" authorId="0" shapeId="0" xr:uid="{AF632F2A-C631-1643-83F3-23C7E5ACE83D}">
      <text>
        <r>
          <rPr>
            <sz val="10"/>
            <color rgb="FF000000"/>
            <rFont val="Aptos Narrow"/>
            <scheme val="minor"/>
          </rPr>
          <t>======
ID#AAABjx7qTGA
    (2025-05-21 11:33:26)
1021 chloe:業務指示可以的話11/1 出貨</t>
        </r>
      </text>
    </comment>
    <comment ref="M3280" authorId="0" shapeId="0" xr:uid="{128A008C-7059-9A44-A2E3-9394CE582B7C}">
      <text>
        <r>
          <rPr>
            <sz val="10"/>
            <color rgb="FF000000"/>
            <rFont val="Aptos Narrow"/>
            <scheme val="minor"/>
          </rPr>
          <t>======
ID#AAABjx7qOGs
    (2025-05-21 11:33:24)
1017 chloe:有庫存，因MOS-1120Y-1401E大陸調貨，</t>
        </r>
      </text>
    </comment>
    <comment ref="H3281" authorId="0" shapeId="0" xr:uid="{92201CDD-96B8-314F-BE55-72BEA63E08B9}">
      <text>
        <r>
          <rPr>
            <sz val="10"/>
            <color rgb="FF000000"/>
            <rFont val="Aptos Narrow"/>
            <scheme val="minor"/>
          </rPr>
          <t>======
ID#AAABjx7qSaM
    (2025-05-21 11:33:26)
1202 chloe:收到銀行通知USD10342</t>
        </r>
      </text>
    </comment>
    <comment ref="K3281" authorId="0" shapeId="0" xr:uid="{7CE99747-345F-B34C-A5F5-B2BBF7096F30}">
      <text>
        <r>
          <rPr>
            <sz val="10"/>
            <color rgb="FF000000"/>
            <rFont val="Aptos Narrow"/>
            <scheme val="minor"/>
          </rPr>
          <t>======
ID#AAABjx7qTYI
    (2025-05-21 11:33:26)
0728 chloe:請寄另外地址
T-POLE Srl
Via De Gasperi, 4
27040 PORTALBERA (PV)
Italy</t>
        </r>
      </text>
    </comment>
    <comment ref="M3281" authorId="0" shapeId="0" xr:uid="{943D02AF-AEE6-8E47-8EFC-7D38EC1FE5AD}">
      <text>
        <r>
          <rPr>
            <sz val="10"/>
            <color rgb="FF000000"/>
            <rFont val="Aptos Narrow"/>
            <scheme val="minor"/>
          </rPr>
          <t>======
ID#AAABjx7qQzE
    (2025-05-21 11:33:25)
1017 chloe:下單待追交期
→10/20到貨</t>
        </r>
      </text>
    </comment>
    <comment ref="H3282" authorId="0" shapeId="0" xr:uid="{590C0A6D-AD4D-A944-9AC9-8E48C6B10FE7}">
      <text>
        <r>
          <rPr>
            <sz val="10"/>
            <color rgb="FF000000"/>
            <rFont val="Aptos Narrow"/>
            <scheme val="minor"/>
          </rPr>
          <t>======
ID#AAABjx7qSAc
    (2025-05-21 11:33:25)
1027 收到銀行NT7288</t>
        </r>
      </text>
    </comment>
    <comment ref="M3282" authorId="0" shapeId="0" xr:uid="{91154887-26AC-3148-B783-91867A32BF48}">
      <text>
        <r>
          <rPr>
            <sz val="10"/>
            <color rgb="FF000000"/>
            <rFont val="Aptos Narrow"/>
            <scheme val="minor"/>
          </rPr>
          <t>======
ID#AAABjx7qVPw
    (2025-05-21 11:33:27)
1019 chloe:下單待追交期</t>
        </r>
      </text>
    </comment>
    <comment ref="H3283" authorId="0" shapeId="0" xr:uid="{EE901012-F680-2F42-8C79-DA6BE2008512}">
      <text>
        <r>
          <rPr>
            <sz val="10"/>
            <color rgb="FF000000"/>
            <rFont val="Aptos Narrow"/>
            <scheme val="minor"/>
          </rPr>
          <t>======
ID#AAABjx7qRNI
    (2025-05-21 11:33:25)
1026 chloe:已收到銀行通知USD615</t>
        </r>
      </text>
    </comment>
    <comment ref="H3284" authorId="0" shapeId="0" xr:uid="{5A29ECE7-C4C3-EF4E-82B6-10058D878FB4}">
      <text>
        <r>
          <rPr>
            <sz val="10"/>
            <color rgb="FF000000"/>
            <rFont val="Aptos Narrow"/>
            <scheme val="minor"/>
          </rPr>
          <t>======
ID#AAABjx7qPP8
    (2025-05-21 11:33:24)
1026 chloe:已收到銀行通知USD615</t>
        </r>
      </text>
    </comment>
    <comment ref="G3285" authorId="0" shapeId="0" xr:uid="{5B2451FC-CC8A-2E4D-A16F-D6347E555340}">
      <text>
        <r>
          <rPr>
            <sz val="10"/>
            <color rgb="FF000000"/>
            <rFont val="Aptos Narrow"/>
            <scheme val="minor"/>
          </rPr>
          <t>======
ID#AAABjx7qQmY
    (2025-05-21 11:33:25)
w/5%VAT</t>
        </r>
      </text>
    </comment>
    <comment ref="H3285" authorId="0" shapeId="0" xr:uid="{201EF01A-3F07-3043-A5D0-FAA68822F359}">
      <text>
        <r>
          <rPr>
            <sz val="10"/>
            <color rgb="FF000000"/>
            <rFont val="Aptos Narrow"/>
            <scheme val="minor"/>
          </rPr>
          <t>======
ID#AAABjx7qPc0
    (2025-05-21 11:33:24)
20170104 chloe:收到NT23681</t>
        </r>
      </text>
    </comment>
    <comment ref="H3286" authorId="0" shapeId="0" xr:uid="{32B191DB-94A2-C64F-8CF1-C345911EAAFD}">
      <text>
        <r>
          <rPr>
            <sz val="10"/>
            <color rgb="FF000000"/>
            <rFont val="Aptos Narrow"/>
            <scheme val="minor"/>
          </rPr>
          <t>======
ID#AAABjx7qPoA
    (2025-05-21 11:33:24)
1202 chloe:收到銀行通知USD10342</t>
        </r>
      </text>
    </comment>
    <comment ref="K3286" authorId="0" shapeId="0" xr:uid="{841E2CBC-F525-C347-9EDB-3E098754B21C}">
      <text>
        <r>
          <rPr>
            <sz val="10"/>
            <color rgb="FF000000"/>
            <rFont val="Aptos Narrow"/>
            <scheme val="minor"/>
          </rPr>
          <t>======
ID#AAABjx7qQak
    (2025-05-21 11:33:25)
0728 chloe:請寄另外地址
T-POLE Srl
Via De Gasperi, 4
27040 PORTALBERA (PV)
Italy</t>
        </r>
      </text>
    </comment>
    <comment ref="M3286" authorId="0" shapeId="0" xr:uid="{1CA8DE7C-5A7D-E740-8DFA-13A2ADB8D62D}">
      <text>
        <r>
          <rPr>
            <sz val="10"/>
            <color rgb="FF000000"/>
            <rFont val="Aptos Narrow"/>
            <scheme val="minor"/>
          </rPr>
          <t>======
ID#AAABjx7qQgQ
    (2025-05-21 11:33:25)
1021 chloe:待回覆正確交期→回覆應該可以，告知10/27中午前一定要到貨</t>
        </r>
      </text>
    </comment>
    <comment ref="W3286" authorId="0" shapeId="0" xr:uid="{29B4C38A-FFFE-C442-9532-44E856E49928}">
      <text>
        <r>
          <rPr>
            <sz val="10"/>
            <color rgb="FF000000"/>
            <rFont val="Aptos Narrow"/>
            <scheme val="minor"/>
          </rPr>
          <t>======
ID#AAABjx7qOcE
    (2025-05-21 11:33:24)
1021 chloe:付款後三天出貨</t>
        </r>
      </text>
    </comment>
    <comment ref="H3287" authorId="0" shapeId="0" xr:uid="{8A486FFA-3B8C-B748-93FC-8A97DFDCFADB}">
      <text>
        <r>
          <rPr>
            <sz val="10"/>
            <color rgb="FF000000"/>
            <rFont val="Aptos Narrow"/>
            <scheme val="minor"/>
          </rPr>
          <t>======
ID#AAABjx7qNQ4
    (2025-05-21 11:33:23)
1202 chloe:收到銀行通知USD10342</t>
        </r>
      </text>
    </comment>
    <comment ref="K3287" authorId="0" shapeId="0" xr:uid="{24DCA739-9E6B-E149-80D3-7AC22B07B737}">
      <text>
        <r>
          <rPr>
            <sz val="10"/>
            <color rgb="FF000000"/>
            <rFont val="Aptos Narrow"/>
            <scheme val="minor"/>
          </rPr>
          <t>======
ID#AAABjx7qTfA
    (2025-05-21 11:33:26)
0728 chloe:請寄另外地址
T-POLE Srl
Via De Gasperi, 4
27040 PORTALBERA (PV)
Italy</t>
        </r>
      </text>
    </comment>
    <comment ref="M3287" authorId="0" shapeId="0" xr:uid="{50D301C3-1629-2547-AD8D-DCAD8406FB2F}">
      <text>
        <r>
          <rPr>
            <sz val="10"/>
            <color rgb="FF000000"/>
            <rFont val="Aptos Narrow"/>
            <scheme val="minor"/>
          </rPr>
          <t>======
ID#AAABjx7qWXE
    (2025-05-21 11:33:27)
1021 chloe:待回覆正確交期→回覆應該可以，告知10/27中午前一定要到貨</t>
        </r>
      </text>
    </comment>
    <comment ref="W3287" authorId="0" shapeId="0" xr:uid="{979F8CD3-E565-DB41-9452-93C1BF645995}">
      <text>
        <r>
          <rPr>
            <sz val="10"/>
            <color rgb="FF000000"/>
            <rFont val="Aptos Narrow"/>
            <scheme val="minor"/>
          </rPr>
          <t>======
ID#AAABjx7qVGU
    (2025-05-21 11:33:27)
1021 chloe:付款後三天出貨</t>
        </r>
      </text>
    </comment>
    <comment ref="H3288" authorId="0" shapeId="0" xr:uid="{12507AC1-6A5C-3E44-9456-4CF9B0DDFB5F}">
      <text>
        <r>
          <rPr>
            <sz val="10"/>
            <color rgb="FF000000"/>
            <rFont val="Aptos Narrow"/>
            <scheme val="minor"/>
          </rPr>
          <t>======
ID#AAABjx7qSuM
    (2025-05-21 11:33:26)
1202 chloe:收到銀行通知USD10342</t>
        </r>
      </text>
    </comment>
    <comment ref="K3288" authorId="0" shapeId="0" xr:uid="{42A48E74-BB5B-194C-B3BC-BA38F6FB4135}">
      <text>
        <r>
          <rPr>
            <sz val="10"/>
            <color rgb="FF000000"/>
            <rFont val="Aptos Narrow"/>
            <scheme val="minor"/>
          </rPr>
          <t>======
ID#AAABjx7qUz8
    (2025-05-21 11:33:26)
0728 chloe:請寄另外地址
T-POLE Srl
Via De Gasperi, 4
27040 PORTALBERA (PV)
Italy</t>
        </r>
      </text>
    </comment>
    <comment ref="M3288" authorId="0" shapeId="0" xr:uid="{569BCB8A-73F9-7443-A2B8-225C9A82D6CF}">
      <text>
        <r>
          <rPr>
            <sz val="10"/>
            <color rgb="FF000000"/>
            <rFont val="Aptos Narrow"/>
            <scheme val="minor"/>
          </rPr>
          <t>======
ID#AAABjx7qPgw
    (2025-05-21 11:33:24)
1021 chloe:待回覆正確交期→回覆應該可以，告知10/27中午前一定要到貨</t>
        </r>
      </text>
    </comment>
    <comment ref="W3288" authorId="0" shapeId="0" xr:uid="{20C765E5-D085-2546-8D61-E6EF14023A5E}">
      <text>
        <r>
          <rPr>
            <sz val="10"/>
            <color rgb="FF000000"/>
            <rFont val="Aptos Narrow"/>
            <scheme val="minor"/>
          </rPr>
          <t>======
ID#AAABjx7qTh8
    (2025-05-21 11:33:26)
1021 chloe:付款後三天出貨</t>
        </r>
      </text>
    </comment>
    <comment ref="H3289" authorId="0" shapeId="0" xr:uid="{CEA3F42F-E915-F949-826A-D0FB7BED6E08}">
      <text>
        <r>
          <rPr>
            <sz val="10"/>
            <color rgb="FF000000"/>
            <rFont val="Aptos Narrow"/>
            <scheme val="minor"/>
          </rPr>
          <t>======
ID#AAABjx7qVAI
    (2025-05-21 11:33:27)
1202 chloe:收到銀行通知USD10342</t>
        </r>
      </text>
    </comment>
    <comment ref="K3289" authorId="0" shapeId="0" xr:uid="{36718487-421A-DE45-BB77-05F32985B7A3}">
      <text>
        <r>
          <rPr>
            <sz val="10"/>
            <color rgb="FF000000"/>
            <rFont val="Aptos Narrow"/>
            <scheme val="minor"/>
          </rPr>
          <t>======
ID#AAABjx7qTYg
    (2025-05-21 11:33:26)
0728 chloe:請寄另外地址
T-POLE Srl
Via De Gasperi, 4
27040 PORTALBERA (PV)
Italy</t>
        </r>
      </text>
    </comment>
    <comment ref="M3289" authorId="0" shapeId="0" xr:uid="{DF3E8AA9-3093-1945-BF25-6C56C10288F8}">
      <text>
        <r>
          <rPr>
            <sz val="10"/>
            <color rgb="FF000000"/>
            <rFont val="Aptos Narrow"/>
            <scheme val="minor"/>
          </rPr>
          <t>======
ID#AAABjx7qPcY
    (2025-05-21 11:33:24)
1021 chloe:待回覆正確交期→回覆應該可以，告知10/27中午前一定要到貨</t>
        </r>
      </text>
    </comment>
    <comment ref="W3289" authorId="0" shapeId="0" xr:uid="{EA48D076-FEF1-EE40-B963-A403F3B3D0A9}">
      <text>
        <r>
          <rPr>
            <sz val="10"/>
            <color rgb="FF000000"/>
            <rFont val="Aptos Narrow"/>
            <scheme val="minor"/>
          </rPr>
          <t>======
ID#AAABjx7qMvo
    (2025-05-21 11:33:23)
1021 chloe:付款後三天出貨</t>
        </r>
      </text>
    </comment>
    <comment ref="H3290" authorId="0" shapeId="0" xr:uid="{27D91AB1-580B-A54F-9683-D2DD2935A31A}">
      <text>
        <r>
          <rPr>
            <sz val="10"/>
            <color rgb="FF000000"/>
            <rFont val="Aptos Narrow"/>
            <scheme val="minor"/>
          </rPr>
          <t>======
ID#AAABjx7qQ8E
    (2025-05-21 11:33:25)
1103 chloe:收到銀行通知USD594</t>
        </r>
      </text>
    </comment>
    <comment ref="K3290" authorId="0" shapeId="0" xr:uid="{559E4CD8-4C3A-7B43-9448-CCF03858E7EE}">
      <text>
        <r>
          <rPr>
            <sz val="10"/>
            <color rgb="FF000000"/>
            <rFont val="Aptos Narrow"/>
            <scheme val="minor"/>
          </rPr>
          <t>======
ID#AAABjx7qTD4
    (2025-05-21 11:33:26)
161020 Tammy: 數到貨款後，才能出貨
1027 chloe:尚未收到貨款，故此貨延到10/31</t>
        </r>
      </text>
    </comment>
    <comment ref="H3291" authorId="0" shapeId="0" xr:uid="{930EEB17-FF28-2F4E-AD08-FBEB6E835B7A}">
      <text>
        <r>
          <rPr>
            <sz val="10"/>
            <color rgb="FF000000"/>
            <rFont val="Aptos Narrow"/>
            <scheme val="minor"/>
          </rPr>
          <t>======
ID#AAABjx7qR3U
    (2025-05-21 11:33:25)
1026 chloe:已收到銀行通知USD182</t>
        </r>
      </text>
    </comment>
    <comment ref="Q3291" authorId="0" shapeId="0" xr:uid="{720C5ED0-E6A7-CA45-A8EF-4C22BA529237}">
      <text>
        <r>
          <rPr>
            <sz val="10"/>
            <color rgb="FF000000"/>
            <rFont val="Aptos Narrow"/>
            <scheme val="minor"/>
          </rPr>
          <t>======
ID#AAABjx7qRNo
    (2025-05-21 11:33:25)
1026 chloe:3717+105(運費)</t>
        </r>
      </text>
    </comment>
    <comment ref="H3292" authorId="0" shapeId="0" xr:uid="{68E2AEA6-BC80-764F-A826-942C38BFB921}">
      <text>
        <r>
          <rPr>
            <sz val="10"/>
            <color rgb="FF000000"/>
            <rFont val="Aptos Narrow"/>
            <scheme val="minor"/>
          </rPr>
          <t>======
ID#AAABjx7qPaA
    (2025-05-21 11:33:24)
1026 chloe:已收到銀行通知USD182</t>
        </r>
      </text>
    </comment>
    <comment ref="H3293" authorId="0" shapeId="0" xr:uid="{ADFB240E-3839-8D41-899C-215BD5B67216}">
      <text>
        <r>
          <rPr>
            <sz val="10"/>
            <color rgb="FF000000"/>
            <rFont val="Aptos Narrow"/>
            <scheme val="minor"/>
          </rPr>
          <t>======
ID#AAABjx7qTg0
    (2025-05-21 11:33:26)
1026 chloe:已收到銀行通知USD182</t>
        </r>
      </text>
    </comment>
    <comment ref="H3294" authorId="0" shapeId="0" xr:uid="{1B013966-41E3-8249-A0EE-3BA89AC9093F}">
      <text>
        <r>
          <rPr>
            <sz val="10"/>
            <color rgb="FF000000"/>
            <rFont val="Aptos Narrow"/>
            <scheme val="minor"/>
          </rPr>
          <t>======
ID#AAABjx7qVjE
    (2025-05-21 11:33:27)
1206 chloe:收到銀行通知USD6761</t>
        </r>
      </text>
    </comment>
    <comment ref="H3295" authorId="0" shapeId="0" xr:uid="{0334AE07-77CD-2140-A77C-29D833D8B05C}">
      <text>
        <r>
          <rPr>
            <sz val="10"/>
            <color rgb="FF000000"/>
            <rFont val="Aptos Narrow"/>
            <scheme val="minor"/>
          </rPr>
          <t>======
ID#AAABjx7qNZ4
    (2025-05-21 11:33:23)
1207 chloe:收到銀行通知USD2804</t>
        </r>
      </text>
    </comment>
    <comment ref="H3296" authorId="0" shapeId="0" xr:uid="{1BDAC3E7-C14A-FF47-B261-24CE86F9697A}">
      <text>
        <r>
          <rPr>
            <sz val="10"/>
            <color rgb="FF000000"/>
            <rFont val="Aptos Narrow"/>
            <scheme val="minor"/>
          </rPr>
          <t>======
ID#AAABjx7qNWA
    (2025-05-21 11:33:23)
1207 chloe:收到銀行通知USD2804</t>
        </r>
      </text>
    </comment>
    <comment ref="H3297" authorId="0" shapeId="0" xr:uid="{106BE141-F090-8C4A-92DB-D024299B5A30}">
      <text>
        <r>
          <rPr>
            <sz val="10"/>
            <color rgb="FF000000"/>
            <rFont val="Aptos Narrow"/>
            <scheme val="minor"/>
          </rPr>
          <t>======
ID#AAABjx7qR-A
    (2025-05-21 11:33:25)
1202 chloe:收到銀行通知USD10342</t>
        </r>
      </text>
    </comment>
    <comment ref="M3297" authorId="0" shapeId="0" xr:uid="{41B268FB-96BA-3343-B155-703C4D07EF94}">
      <text>
        <r>
          <rPr>
            <sz val="10"/>
            <color rgb="FF000000"/>
            <rFont val="Aptos Narrow"/>
            <scheme val="minor"/>
          </rPr>
          <t>======
ID#AAABjx7qPOM
    (2025-05-21 11:33:24)
1026 chloe:下單待回交期
1027 chloe:因更改BIOS故交期會往後延一個星期</t>
        </r>
      </text>
    </comment>
    <comment ref="H3298" authorId="0" shapeId="0" xr:uid="{D832EF19-F797-174E-B02C-49914717538E}">
      <text>
        <r>
          <rPr>
            <sz val="10"/>
            <color rgb="FF000000"/>
            <rFont val="Aptos Narrow"/>
            <scheme val="minor"/>
          </rPr>
          <t>======
ID#AAABjx7qVFk
    (2025-05-21 11:33:27)
1202 chloe:收到銀行通知USD10342</t>
        </r>
      </text>
    </comment>
    <comment ref="M3298" authorId="0" shapeId="0" xr:uid="{A43A7537-CF63-6A44-9313-4CA21721535E}">
      <text>
        <r>
          <rPr>
            <sz val="10"/>
            <color rgb="FF000000"/>
            <rFont val="Aptos Narrow"/>
            <scheme val="minor"/>
          </rPr>
          <t>======
ID#AAABjx7qPyQ
    (2025-05-21 11:33:24)
1026 chloe:下單待回交期
1027 chloe:因更改BIOS故交期會往後延一個星期</t>
        </r>
      </text>
    </comment>
    <comment ref="H3299" authorId="0" shapeId="0" xr:uid="{6C1CBDEF-35F5-E54D-AD80-2AD7C7E78CD6}">
      <text>
        <r>
          <rPr>
            <sz val="10"/>
            <color rgb="FF000000"/>
            <rFont val="Aptos Narrow"/>
            <scheme val="minor"/>
          </rPr>
          <t>======
ID#AAABjx7qSqQ
    (2025-05-21 11:33:26)
1202 chloe:收到銀行通知USD10342</t>
        </r>
      </text>
    </comment>
    <comment ref="M3299" authorId="0" shapeId="0" xr:uid="{50FB7A7E-E26C-8144-A9E6-22223466EAA7}">
      <text>
        <r>
          <rPr>
            <sz val="10"/>
            <color rgb="FF000000"/>
            <rFont val="Aptos Narrow"/>
            <scheme val="minor"/>
          </rPr>
          <t>======
ID#AAABjx7qS-A
    (2025-05-21 11:33:26)
1026 chloe:下單待回交期
1027 chloe:因更改BIOS故交期會往後延一個星期</t>
        </r>
      </text>
    </comment>
    <comment ref="H3300" authorId="0" shapeId="0" xr:uid="{615962DE-0F5C-1745-B7A3-1B6FD69FFDFD}">
      <text>
        <r>
          <rPr>
            <sz val="10"/>
            <color rgb="FF000000"/>
            <rFont val="Aptos Narrow"/>
            <scheme val="minor"/>
          </rPr>
          <t>======
ID#AAABjx7qWWc
    (2025-05-21 11:33:27)
1202 chloe:收到銀行通知USD10342</t>
        </r>
      </text>
    </comment>
    <comment ref="M3300" authorId="0" shapeId="0" xr:uid="{3D3CF564-C3B5-0A4F-A096-9F235449ACC6}">
      <text>
        <r>
          <rPr>
            <sz val="10"/>
            <color rgb="FF000000"/>
            <rFont val="Aptos Narrow"/>
            <scheme val="minor"/>
          </rPr>
          <t>======
ID#AAABjx7qNr8
    (2025-05-21 11:33:23)
1026 chloe:下單待回交期
1027 chloe:因更改BIOS故交期會往後延一個星期</t>
        </r>
      </text>
    </comment>
    <comment ref="H3301" authorId="0" shapeId="0" xr:uid="{F3F160BD-9409-9C43-B763-FBF8488D970C}">
      <text>
        <r>
          <rPr>
            <sz val="10"/>
            <color rgb="FF000000"/>
            <rFont val="Aptos Narrow"/>
            <scheme val="minor"/>
          </rPr>
          <t>======
ID#AAABjx7qTGs
    (2025-05-21 11:33:26)
1202 chloe:收到銀行通知USD10342</t>
        </r>
      </text>
    </comment>
    <comment ref="M3301" authorId="0" shapeId="0" xr:uid="{C8089FB5-7657-174D-BEB8-87ECBC6D6DB1}">
      <text>
        <r>
          <rPr>
            <sz val="10"/>
            <color rgb="FF000000"/>
            <rFont val="Aptos Narrow"/>
            <scheme val="minor"/>
          </rPr>
          <t>======
ID#AAABjx7qVOw
    (2025-05-21 11:33:27)
1026 chloe:下單待回交期
1027 chloe:因更改BIOS故交期會往後延一個星期</t>
        </r>
      </text>
    </comment>
    <comment ref="G3302" authorId="0" shapeId="0" xr:uid="{B58FA518-95D5-4742-A3C5-716609B0F311}">
      <text>
        <r>
          <rPr>
            <sz val="10"/>
            <color rgb="FF000000"/>
            <rFont val="Aptos Narrow"/>
            <scheme val="minor"/>
          </rPr>
          <t>======
ID#AAABjx7qM7Q
    (2025-05-21 11:33:23)
w/5%VAT</t>
        </r>
      </text>
    </comment>
    <comment ref="H3302" authorId="0" shapeId="0" xr:uid="{B284CB5E-5A1A-8248-B834-36C0795A1EB9}">
      <text>
        <r>
          <rPr>
            <sz val="10"/>
            <color rgb="FF000000"/>
            <rFont val="Aptos Narrow"/>
            <scheme val="minor"/>
          </rPr>
          <t>======
ID#AAABjx7qO4c
    (2025-05-21 11:33:24)
20170104 chloe:收到NT23681</t>
        </r>
      </text>
    </comment>
    <comment ref="H3303" authorId="0" shapeId="0" xr:uid="{ED38A77F-1973-BC49-8F18-303CB6841F1F}">
      <text>
        <r>
          <rPr>
            <sz val="10"/>
            <color rgb="FF000000"/>
            <rFont val="Aptos Narrow"/>
            <scheme val="minor"/>
          </rPr>
          <t>======
ID#AAABjx7qSVk
    (2025-05-21 11:33:26)
1206 chloe:收到銀行通知USD6761</t>
        </r>
      </text>
    </comment>
    <comment ref="M3303" authorId="0" shapeId="0" xr:uid="{FFB1BEC1-B62D-F44A-BDF5-8E983DB19541}">
      <text>
        <r>
          <rPr>
            <sz val="10"/>
            <color rgb="FF000000"/>
            <rFont val="Aptos Narrow"/>
            <scheme val="minor"/>
          </rPr>
          <t>======
ID#AAABjx7qWBc
    (2025-05-21 11:33:27)
1025 chloe:下單追交期</t>
        </r>
      </text>
    </comment>
    <comment ref="H3304" authorId="0" shapeId="0" xr:uid="{93D0730D-CBF3-744F-B80F-2F9CCF66C33D}">
      <text>
        <r>
          <rPr>
            <sz val="10"/>
            <color rgb="FF000000"/>
            <rFont val="Aptos Narrow"/>
            <scheme val="minor"/>
          </rPr>
          <t>======
ID#AAABjx7qPQ0
    (2025-05-21 11:33:24)
1206 chloe:收到銀行通知USD6761</t>
        </r>
      </text>
    </comment>
    <comment ref="H3305" authorId="0" shapeId="0" xr:uid="{2EA07E01-18FE-EC45-A241-513575936664}">
      <text>
        <r>
          <rPr>
            <sz val="10"/>
            <color rgb="FF000000"/>
            <rFont val="Aptos Narrow"/>
            <scheme val="minor"/>
          </rPr>
          <t>======
ID#AAABjx7qWIg
    (2025-05-21 11:33:27)
1206 chloe:收到銀行通知USD6761</t>
        </r>
      </text>
    </comment>
    <comment ref="H3306" authorId="0" shapeId="0" xr:uid="{DF3FF61F-5874-AF44-9318-F663863FC1E7}">
      <text>
        <r>
          <rPr>
            <sz val="10"/>
            <color rgb="FF000000"/>
            <rFont val="Aptos Narrow"/>
            <scheme val="minor"/>
          </rPr>
          <t>======
ID#AAABjx7qVyk
    (2025-05-21 11:33:27)
1207 chloe:收到銀行通知USD2804</t>
        </r>
      </text>
    </comment>
    <comment ref="H3307" authorId="0" shapeId="0" xr:uid="{A79CA2FB-865C-A643-BD31-CE5465B3AFE5}">
      <text>
        <r>
          <rPr>
            <sz val="10"/>
            <color rgb="FF000000"/>
            <rFont val="Aptos Narrow"/>
            <scheme val="minor"/>
          </rPr>
          <t>======
ID#AAABjx7qQFw
    (2025-05-21 11:33:25)
1117 chloe:收到銀行通知USD13714</t>
        </r>
      </text>
    </comment>
    <comment ref="H3308" authorId="0" shapeId="0" xr:uid="{187E79CB-5046-7D4A-BF57-A3F970552212}">
      <text>
        <r>
          <rPr>
            <sz val="10"/>
            <color rgb="FF000000"/>
            <rFont val="Aptos Narrow"/>
            <scheme val="minor"/>
          </rPr>
          <t>======
ID#AAABjx7qNHI
    (2025-05-21 11:33:23)
1206 chloe:收到銀行通知USD6761</t>
        </r>
      </text>
    </comment>
    <comment ref="H3309" authorId="0" shapeId="0" xr:uid="{19274169-27A3-9648-971D-C18DAC52CEBD}">
      <text>
        <r>
          <rPr>
            <sz val="10"/>
            <color rgb="FF000000"/>
            <rFont val="Aptos Narrow"/>
            <scheme val="minor"/>
          </rPr>
          <t>======
ID#AAABjx7qUxE
    (2025-05-21 11:33:26)
1206 chloe:收到銀行通知USD6761</t>
        </r>
      </text>
    </comment>
    <comment ref="H3310" authorId="0" shapeId="0" xr:uid="{48FB47EC-9DD8-9741-B368-215469790C53}">
      <text>
        <r>
          <rPr>
            <sz val="10"/>
            <color rgb="FF000000"/>
            <rFont val="Aptos Narrow"/>
            <scheme val="minor"/>
          </rPr>
          <t>======
ID#AAABjx7qWFc
    (2025-05-21 11:33:27)
1207 chloe:收到銀行通知USD2804</t>
        </r>
      </text>
    </comment>
    <comment ref="M3310" authorId="0" shapeId="0" xr:uid="{65FE6654-11BF-AA48-8876-E2AB06D349F9}">
      <text>
        <r>
          <rPr>
            <sz val="10"/>
            <color rgb="FF000000"/>
            <rFont val="Aptos Narrow"/>
            <scheme val="minor"/>
          </rPr>
          <t>======
ID#AAABjx7qQdE
    (2025-05-21 11:33:25)
1031 chloe:待回覆</t>
        </r>
      </text>
    </comment>
    <comment ref="H3311" authorId="0" shapeId="0" xr:uid="{63085FEB-1654-054F-9298-0486D2E53119}">
      <text>
        <r>
          <rPr>
            <sz val="10"/>
            <color rgb="FF000000"/>
            <rFont val="Aptos Narrow"/>
            <scheme val="minor"/>
          </rPr>
          <t>======
ID#AAABjx7qRx8
    (2025-05-21 11:33:25)
1202 chloe:收到銀行通知USD10342</t>
        </r>
      </text>
    </comment>
    <comment ref="H3312" authorId="0" shapeId="0" xr:uid="{464274AB-5D76-6742-984D-5E309857B315}">
      <text>
        <r>
          <rPr>
            <sz val="10"/>
            <color rgb="FF000000"/>
            <rFont val="Aptos Narrow"/>
            <scheme val="minor"/>
          </rPr>
          <t>======
ID#AAABjx7qST0
    (2025-05-21 11:33:26)
20161207 chloe: 合庫收到款項NT1057383</t>
        </r>
      </text>
    </comment>
    <comment ref="P3312" authorId="0" shapeId="0" xr:uid="{51421349-C1D8-C443-A956-6DEE1B6F3488}">
      <text>
        <r>
          <rPr>
            <sz val="10"/>
            <color rgb="FF000000"/>
            <rFont val="Aptos Narrow"/>
            <scheme val="minor"/>
          </rPr>
          <t>======
ID#AAABjx7qVek
    (2025-05-21 11:33:27)
161102 158-78, 剩80
161010 修改 225-67, 剩158
160930 225-76, 剩149</t>
        </r>
      </text>
    </comment>
    <comment ref="E3313" authorId="0" shapeId="0" xr:uid="{668F77CC-4DC5-C242-9A8B-4D72C0579680}">
      <text>
        <r>
          <rPr>
            <sz val="10"/>
            <color rgb="FF000000"/>
            <rFont val="Aptos Narrow"/>
            <scheme val="minor"/>
          </rPr>
          <t>======
ID#AAABjx7qNrQ
    (2025-05-21 11:33:23)
20160929 Santiago: 和之前訂單一樣, w/o cable</t>
        </r>
      </text>
    </comment>
    <comment ref="H3313" authorId="0" shapeId="0" xr:uid="{B10FA901-03A0-0D48-B0C4-112CB8B6ABFD}">
      <text>
        <r>
          <rPr>
            <sz val="10"/>
            <color rgb="FF000000"/>
            <rFont val="Aptos Narrow"/>
            <scheme val="minor"/>
          </rPr>
          <t>======
ID#AAABjx7qNVU
    (2025-05-21 11:33:23)
20161207 chloe: 合庫收到款項NT1057383</t>
        </r>
      </text>
    </comment>
    <comment ref="H3314" authorId="0" shapeId="0" xr:uid="{9DCD0A93-CC00-3244-ACE4-B322E057C092}">
      <text>
        <r>
          <rPr>
            <sz val="10"/>
            <color rgb="FF000000"/>
            <rFont val="Aptos Narrow"/>
            <scheme val="minor"/>
          </rPr>
          <t>======
ID#AAABjx7qSAg
    (2025-05-21 11:33:25)
161102 免費給Anita</t>
        </r>
      </text>
    </comment>
    <comment ref="Q3314" authorId="0" shapeId="0" xr:uid="{99D6A597-6546-B14B-B5EF-D4384ADDD134}">
      <text>
        <r>
          <rPr>
            <sz val="10"/>
            <color rgb="FF000000"/>
            <rFont val="Aptos Narrow"/>
            <scheme val="minor"/>
          </rPr>
          <t>======
ID#AAABjx7qTe4
    (2025-05-21 11:33:26)
20161102 chloe:sample</t>
        </r>
      </text>
    </comment>
    <comment ref="H3315" authorId="0" shapeId="0" xr:uid="{A12CF028-1A6F-4447-A7FD-29AD1E98F3E8}">
      <text>
        <r>
          <rPr>
            <sz val="10"/>
            <color rgb="FF000000"/>
            <rFont val="Aptos Narrow"/>
            <scheme val="minor"/>
          </rPr>
          <t>======
ID#AAABjx7qTEM
    (2025-05-21 11:33:26)
1206 chloe:收到銀行通知USD6761</t>
        </r>
      </text>
    </comment>
    <comment ref="H3316" authorId="0" shapeId="0" xr:uid="{118725C3-09F9-A844-BCDA-3D0C3364017A}">
      <text>
        <r>
          <rPr>
            <sz val="10"/>
            <color rgb="FF000000"/>
            <rFont val="Aptos Narrow"/>
            <scheme val="minor"/>
          </rPr>
          <t>======
ID#AAABjx7qNVs
    (2025-05-21 11:33:23)
1125 chloe:收到銀行通知USD2686</t>
        </r>
      </text>
    </comment>
    <comment ref="H3317" authorId="0" shapeId="0" xr:uid="{E74E1D2A-A6AE-DA42-B7B9-0B7FEEFAC454}">
      <text>
        <r>
          <rPr>
            <sz val="10"/>
            <color rgb="FF000000"/>
            <rFont val="Aptos Narrow"/>
            <scheme val="minor"/>
          </rPr>
          <t>======
ID#AAABjx7qR0M
    (2025-05-21 11:33:25)
20170105 chloe: 收到銀行通知USD2683.5</t>
        </r>
      </text>
    </comment>
    <comment ref="H3318" authorId="0" shapeId="0" xr:uid="{6640B505-4539-EA4A-B395-FC9604109372}">
      <text>
        <r>
          <rPr>
            <sz val="10"/>
            <color rgb="FF000000"/>
            <rFont val="Aptos Narrow"/>
            <scheme val="minor"/>
          </rPr>
          <t>======
ID#AAABjx7qNWU
    (2025-05-21 11:33:23)
20170105 chloe: 收到銀行通知USD2683.5</t>
        </r>
      </text>
    </comment>
    <comment ref="E3319" authorId="0" shapeId="0" xr:uid="{C228CF1E-F1EC-D74C-8689-3DF8C5A46875}">
      <text>
        <r>
          <rPr>
            <sz val="10"/>
            <color rgb="FF000000"/>
            <rFont val="Aptos Narrow"/>
            <scheme val="minor"/>
          </rPr>
          <t>======
ID#AAABjx7qPh4
    (2025-05-21 11:33:24)
161107 Karen: 確認EU</t>
        </r>
      </text>
    </comment>
    <comment ref="H3319" authorId="0" shapeId="0" xr:uid="{0D7EC7AE-BFC5-3047-9D6C-DB09E70ED3EE}">
      <text>
        <r>
          <rPr>
            <sz val="10"/>
            <color rgb="FF000000"/>
            <rFont val="Aptos Narrow"/>
            <scheme val="minor"/>
          </rPr>
          <t>======
ID#AAABjx7qO3A
    (2025-05-21 11:33:24)
1213 chloe:收到支票NT193565(12/30以兌換成功)</t>
        </r>
      </text>
    </comment>
    <comment ref="H3320" authorId="0" shapeId="0" xr:uid="{E6485FAD-B9D2-3344-AD00-CAD3A1EA9D1E}">
      <text>
        <r>
          <rPr>
            <sz val="10"/>
            <color rgb="FF000000"/>
            <rFont val="Aptos Narrow"/>
            <scheme val="minor"/>
          </rPr>
          <t>======
ID#AAABjx7qM7U
    (2025-05-21 11:33:23)
20161207 chloe: 合庫收到款項NT1057383</t>
        </r>
      </text>
    </comment>
    <comment ref="H3321" authorId="0" shapeId="0" xr:uid="{6E1CA52D-C77E-C941-BB58-59EC21339D5A}">
      <text>
        <r>
          <rPr>
            <sz val="10"/>
            <color rgb="FF000000"/>
            <rFont val="Aptos Narrow"/>
            <scheme val="minor"/>
          </rPr>
          <t>======
ID#AAABjx7qTWA
    (2025-05-21 11:33:26)
1115 chloe:收到銀行通知USD1505</t>
        </r>
      </text>
    </comment>
    <comment ref="H3322" authorId="0" shapeId="0" xr:uid="{14B86919-E069-2A48-8292-7E42AB9DA6A8}">
      <text>
        <r>
          <rPr>
            <sz val="10"/>
            <color rgb="FF000000"/>
            <rFont val="Aptos Narrow"/>
            <scheme val="minor"/>
          </rPr>
          <t>======
ID#AAABjx7qQeI
    (2025-05-21 11:33:25)
1115 chloe:收到銀行通知USD1505</t>
        </r>
      </text>
    </comment>
    <comment ref="H3323" authorId="0" shapeId="0" xr:uid="{B4274890-F681-774D-B2AA-2CB26F9FD8A0}">
      <text>
        <r>
          <rPr>
            <sz val="10"/>
            <color rgb="FF000000"/>
            <rFont val="Aptos Narrow"/>
            <scheme val="minor"/>
          </rPr>
          <t>======
ID#AAABjx7qQac
    (2025-05-21 11:33:25)
1115 chloe:收到銀行通知USD1505</t>
        </r>
      </text>
    </comment>
    <comment ref="H3324" authorId="0" shapeId="0" xr:uid="{357A4E78-F23E-7F47-AF98-5586734D5E61}">
      <text>
        <r>
          <rPr>
            <sz val="10"/>
            <color rgb="FF000000"/>
            <rFont val="Aptos Narrow"/>
            <scheme val="minor"/>
          </rPr>
          <t>======
ID#AAABjx7qPm8
    (2025-05-21 11:33:24)
20170112 chloe:收到銀行通知USD19203</t>
        </r>
      </text>
    </comment>
    <comment ref="H3325" authorId="0" shapeId="0" xr:uid="{8036541B-3F6F-5B4F-9402-0B462DC5E0E8}">
      <text>
        <r>
          <rPr>
            <sz val="10"/>
            <color rgb="FF000000"/>
            <rFont val="Aptos Narrow"/>
            <scheme val="minor"/>
          </rPr>
          <t>======
ID#AAABjx7qP78
    (2025-05-21 11:33:24)
20170112 chloe:收到銀行通知USD19203</t>
        </r>
      </text>
    </comment>
    <comment ref="H3326" authorId="0" shapeId="0" xr:uid="{8775142B-4B3A-4C4F-808C-A5971902FC35}">
      <text>
        <r>
          <rPr>
            <sz val="10"/>
            <color rgb="FF000000"/>
            <rFont val="Aptos Narrow"/>
            <scheme val="minor"/>
          </rPr>
          <t>======
ID#AAABjx7qTQA
    (2025-05-21 11:33:26)
20170112 chloe:收到銀行通知USD19203</t>
        </r>
      </text>
    </comment>
    <comment ref="H3327" authorId="0" shapeId="0" xr:uid="{094D0A07-F2AF-AD48-98AE-6CCC7F2D4C0D}">
      <text>
        <r>
          <rPr>
            <sz val="10"/>
            <color rgb="FF000000"/>
            <rFont val="Aptos Narrow"/>
            <scheme val="minor"/>
          </rPr>
          <t>======
ID#AAABjx7qPjE
    (2025-05-21 11:33:24)
1206 chloe:收到銀行通知USD6761</t>
        </r>
      </text>
    </comment>
    <comment ref="H3328" authorId="0" shapeId="0" xr:uid="{1D23E643-00EA-1F47-A85F-519E5AB4DE15}">
      <text>
        <r>
          <rPr>
            <sz val="10"/>
            <color rgb="FF000000"/>
            <rFont val="Aptos Narrow"/>
            <scheme val="minor"/>
          </rPr>
          <t>======
ID#AAABjx7qWRg
    (2025-05-21 11:33:27)
20170113 chloe:收到銀行通知USD283</t>
        </r>
      </text>
    </comment>
    <comment ref="K3328" authorId="0" shapeId="0" xr:uid="{7C5A5416-C211-B148-A981-3DF715EE46BF}">
      <text>
        <r>
          <rPr>
            <sz val="10"/>
            <color rgb="FF000000"/>
            <rFont val="Aptos Narrow"/>
            <scheme val="minor"/>
          </rPr>
          <t>======
ID#AAABjx7qRJ4
    (2025-05-21 11:33:25)
161202 Tammy: 不能晚於12/8出貨
1208 chloe:待業務通知
1211 通知出貨方式</t>
        </r>
      </text>
    </comment>
    <comment ref="M3328" authorId="0" shapeId="0" xr:uid="{F45A84ED-6519-664A-9321-F0FBD2EA4FD0}">
      <text>
        <r>
          <rPr>
            <sz val="10"/>
            <color rgb="FF000000"/>
            <rFont val="Aptos Narrow"/>
            <scheme val="minor"/>
          </rPr>
          <t>======
ID#AAABjx7qQU8
    (2025-05-21 11:33:25)
1115 chloe: 3-4週，待回覆交期
1123 chloe:PULL IN中
1202 chloe:因料件缺貨故延遲至12/6出貨</t>
        </r>
      </text>
    </comment>
    <comment ref="Z3328" authorId="0" shapeId="0" xr:uid="{47E55010-4872-BF41-B2F3-2B315733BE72}">
      <text>
        <r>
          <rPr>
            <sz val="10"/>
            <color rgb="FF000000"/>
            <rFont val="Aptos Narrow"/>
            <scheme val="minor"/>
          </rPr>
          <t>======
ID#AAABjx7qVQY
    (2025-05-21 11:33:27)
1213 chloe: 已發信給閎亮請副本
→1214收到副本</t>
        </r>
      </text>
    </comment>
    <comment ref="H3329" authorId="0" shapeId="0" xr:uid="{25C4DC17-5103-404F-8530-1190740A89F8}">
      <text>
        <r>
          <rPr>
            <sz val="10"/>
            <color rgb="FF000000"/>
            <rFont val="Aptos Narrow"/>
            <scheme val="minor"/>
          </rPr>
          <t>======
ID#AAABjx7qWSI
    (2025-05-21 11:33:27)
1122 chloe:收到銀行通知USD1786</t>
        </r>
      </text>
    </comment>
    <comment ref="O3329" authorId="0" shapeId="0" xr:uid="{CD03B949-93F4-C64D-8E7E-B6C45028DAD1}">
      <text>
        <r>
          <rPr>
            <sz val="10"/>
            <color rgb="FF000000"/>
            <rFont val="Aptos Narrow"/>
            <scheme val="minor"/>
          </rPr>
          <t>======
ID#AAABjx7qR2I
    (2025-05-21 11:33:25)
170116 原報單20161100193734有誤，修改</t>
        </r>
      </text>
    </comment>
    <comment ref="H3330" authorId="0" shapeId="0" xr:uid="{D2B2D4E3-20EA-374B-B639-32C92FF772D1}">
      <text>
        <r>
          <rPr>
            <sz val="10"/>
            <color rgb="FF000000"/>
            <rFont val="Aptos Narrow"/>
            <scheme val="minor"/>
          </rPr>
          <t>======
ID#AAABjx7qV5U
    (2025-05-21 11:33:27)
1122 chloe:收到銀行通知USD1786</t>
        </r>
      </text>
    </comment>
    <comment ref="H3331" authorId="0" shapeId="0" xr:uid="{23A890A0-B87D-FB48-8AC4-32FA07ABA670}">
      <text>
        <r>
          <rPr>
            <sz val="10"/>
            <color rgb="FF000000"/>
            <rFont val="Aptos Narrow"/>
            <scheme val="minor"/>
          </rPr>
          <t>======
ID#AAABjx7qOCA
    (2025-05-21 11:33:24)
1122 chloe:收到銀行通知USD1786</t>
        </r>
      </text>
    </comment>
    <comment ref="O3331" authorId="0" shapeId="0" xr:uid="{F0501942-13C6-7B47-9514-02DE9E9C99A0}">
      <text>
        <r>
          <rPr>
            <sz val="10"/>
            <color rgb="FF000000"/>
            <rFont val="Aptos Narrow"/>
            <scheme val="minor"/>
          </rPr>
          <t>======
ID#AAABjx7qNEM
    (2025-05-21 11:33:23)
170116 原報單20161100193734有誤，修改</t>
        </r>
      </text>
    </comment>
    <comment ref="H3332" authorId="0" shapeId="0" xr:uid="{33E661CA-3DBD-D941-ACDD-3DE3146543E5}">
      <text>
        <r>
          <rPr>
            <sz val="10"/>
            <color rgb="FF000000"/>
            <rFont val="Aptos Narrow"/>
            <scheme val="minor"/>
          </rPr>
          <t>======
ID#AAABjx7qOKQ
    (2025-05-21 11:33:24)
1122 chloe:收到銀行通知USD1786</t>
        </r>
      </text>
    </comment>
    <comment ref="O3332" authorId="0" shapeId="0" xr:uid="{A24CEB5B-ABBD-DA46-AD07-AEA81E0EB500}">
      <text>
        <r>
          <rPr>
            <sz val="10"/>
            <color rgb="FF000000"/>
            <rFont val="Aptos Narrow"/>
            <scheme val="minor"/>
          </rPr>
          <t>======
ID#AAABjx7qTB0
    (2025-05-21 11:33:26)
170116 原報單20161100193734有誤，修改</t>
        </r>
      </text>
    </comment>
    <comment ref="H3334" authorId="0" shapeId="0" xr:uid="{F45F4291-6846-E647-AB9A-696D2E8518A6}">
      <text>
        <r>
          <rPr>
            <sz val="10"/>
            <color rgb="FF000000"/>
            <rFont val="Aptos Narrow"/>
            <scheme val="minor"/>
          </rPr>
          <t>======
ID#AAABjx7qVs8
    (2025-05-21 11:33:27)
20170112 chloe:收到銀行通知USD19203</t>
        </r>
      </text>
    </comment>
    <comment ref="H3335" authorId="0" shapeId="0" xr:uid="{8972B8B6-74D5-894C-99BA-AAFAFEF18EDB}">
      <text>
        <r>
          <rPr>
            <sz val="10"/>
            <color rgb="FF000000"/>
            <rFont val="Aptos Narrow"/>
            <scheme val="minor"/>
          </rPr>
          <t>======
ID#AAABjx7qO0s
    (2025-05-21 11:33:24)
1116 chloe:收到銀行通知USD368</t>
        </r>
      </text>
    </comment>
    <comment ref="H3336" authorId="0" shapeId="0" xr:uid="{B95A20F6-32C3-994D-BF56-722EA76D5C5C}">
      <text>
        <r>
          <rPr>
            <sz val="10"/>
            <color rgb="FF000000"/>
            <rFont val="Aptos Narrow"/>
            <scheme val="minor"/>
          </rPr>
          <t>======
ID#AAABjx7qQFQ
    (2025-05-21 11:33:25)
1116 chloe:收到銀行通知USD368</t>
        </r>
      </text>
    </comment>
    <comment ref="H3337" authorId="0" shapeId="0" xr:uid="{3CC78247-794D-2C46-A3BE-FA5D76548F98}">
      <text>
        <r>
          <rPr>
            <sz val="10"/>
            <color rgb="FF000000"/>
            <rFont val="Aptos Narrow"/>
            <scheme val="minor"/>
          </rPr>
          <t>======
ID#AAABjx7qSEU
    (2025-05-21 11:33:26)
1118 chloe:已收到銀行通知USD6115</t>
        </r>
      </text>
    </comment>
    <comment ref="M3337" authorId="0" shapeId="0" xr:uid="{334E2AF3-5001-C343-A105-B5E07FC397CB}">
      <text>
        <r>
          <rPr>
            <sz val="10"/>
            <color rgb="FF000000"/>
            <rFont val="Aptos Narrow"/>
            <scheme val="minor"/>
          </rPr>
          <t>======
ID#AAABjx7qNgA
    (2025-05-21 11:33:23)
1116 chloe: 已協調供應商分批出貨，但交期仍要看工廠</t>
        </r>
      </text>
    </comment>
    <comment ref="H3338" authorId="0" shapeId="0" xr:uid="{242882FE-E74F-FE4B-BB2A-EBFCC0340088}">
      <text>
        <r>
          <rPr>
            <sz val="10"/>
            <color rgb="FF000000"/>
            <rFont val="Aptos Narrow"/>
            <scheme val="minor"/>
          </rPr>
          <t>======
ID#AAABjx7qNvE
    (2025-05-21 11:33:23)
1118 chloe:已收到銀行通知USD6115</t>
        </r>
      </text>
    </comment>
    <comment ref="H3339" authorId="0" shapeId="0" xr:uid="{05FF7B27-939F-AB49-AE1E-423BF1ECB5CE}">
      <text>
        <r>
          <rPr>
            <sz val="10"/>
            <color rgb="FF000000"/>
            <rFont val="Aptos Narrow"/>
            <scheme val="minor"/>
          </rPr>
          <t>======
ID#AAABjx7qMxM
    (2025-05-21 11:33:23)
1118 chloe:已收到銀行通知USD6115</t>
        </r>
      </text>
    </comment>
    <comment ref="M3339" authorId="0" shapeId="0" xr:uid="{B436652F-FE80-CE48-9771-AB070F7B4959}">
      <text>
        <r>
          <rPr>
            <sz val="10"/>
            <color rgb="FF000000"/>
            <rFont val="Aptos Narrow"/>
            <scheme val="minor"/>
          </rPr>
          <t>======
ID#AAABjx7qSF8
    (2025-05-21 11:33:26)
1116 chloe: 已協調供應商分批出貨，但交期仍要看工廠
1117 chloe:待PULL IN中
1124 chloe:缺料，預計12/20，待PULL IN
1202 chloe:料件到貨，工廠交期仍抓12/20，待PULL IN</t>
        </r>
      </text>
    </comment>
    <comment ref="H3340" authorId="0" shapeId="0" xr:uid="{7D0ACF9F-DA85-1047-87B4-E6BE246F4A46}">
      <text>
        <r>
          <rPr>
            <sz val="10"/>
            <color rgb="FF000000"/>
            <rFont val="Aptos Narrow"/>
            <scheme val="minor"/>
          </rPr>
          <t>======
ID#AAABjx7qSUo
    (2025-05-21 11:33:26)
1118 chloe:已收到銀行通知USD6115</t>
        </r>
      </text>
    </comment>
    <comment ref="D3341" authorId="0" shapeId="0" xr:uid="{EE3691AF-2472-9A4C-ABE7-D2A353618E7A}">
      <text>
        <r>
          <rPr>
            <sz val="10"/>
            <color rgb="FF000000"/>
            <rFont val="Aptos Narrow"/>
            <scheme val="minor"/>
          </rPr>
          <t>======
ID#AAABjx7qOYo
    (2025-05-21 11:33:24)
測試步驟：
1. Disable Fast Start-up function
2. Remove Power at 2nd stage
3. Check "Boot option priorities" in BIOS
4. Prepare DRAM module 2~3 pcs
5. 加測Memtest86+</t>
        </r>
      </text>
    </comment>
    <comment ref="H3341" authorId="0" shapeId="0" xr:uid="{E860502F-4B88-684A-A018-4D043FAE710D}">
      <text>
        <r>
          <rPr>
            <sz val="10"/>
            <color rgb="FF000000"/>
            <rFont val="Aptos Narrow"/>
            <scheme val="minor"/>
          </rPr>
          <t>======
ID#AAABjx7qNAw
    (2025-05-21 11:33:23)
20170112 chloe:收到銀行通知USD19203</t>
        </r>
      </text>
    </comment>
    <comment ref="K3341" authorId="0" shapeId="0" xr:uid="{50BC5B5A-C566-5749-875D-81712B64C92C}">
      <text>
        <r>
          <rPr>
            <sz val="10"/>
            <color rgb="FF000000"/>
            <rFont val="Aptos Narrow"/>
            <scheme val="minor"/>
          </rPr>
          <t>======
ID#AAABjx7qWWo
    (2025-05-21 11:33:27)
1116 chloe:已告知出貨日可提前11/28出貨</t>
        </r>
      </text>
    </comment>
    <comment ref="M3341" authorId="0" shapeId="0" xr:uid="{C7CF8D23-AB99-0F46-91A7-8ACF5C167786}">
      <text>
        <r>
          <rPr>
            <sz val="10"/>
            <color rgb="FF000000"/>
            <rFont val="Aptos Narrow"/>
            <scheme val="minor"/>
          </rPr>
          <t>======
ID#AAABjx7qTfI
    (2025-05-21 11:33:26)
1116 chloe:出貨前追Serial Number</t>
        </r>
      </text>
    </comment>
    <comment ref="D3342" authorId="0" shapeId="0" xr:uid="{CBB36DD6-7ED7-3646-BBEE-543BA105F7A4}">
      <text>
        <r>
          <rPr>
            <sz val="10"/>
            <color rgb="FF000000"/>
            <rFont val="Aptos Narrow"/>
            <scheme val="minor"/>
          </rPr>
          <t>======
ID#AAABjx7qVuI
    (2025-05-21 11:33:27)
測試步驟：
1. Disable Fast Start-up function
2. Remove Power at 2nd stage
3. Check " Boot option priorities" in BIOS
4. Prepare DRAM module 2~3 pcs
5. 加測Memtest86+</t>
        </r>
      </text>
    </comment>
    <comment ref="H3342" authorId="0" shapeId="0" xr:uid="{776C7958-A29E-D14E-A5F1-983E955A529C}">
      <text>
        <r>
          <rPr>
            <sz val="10"/>
            <color rgb="FF000000"/>
            <rFont val="Aptos Narrow"/>
            <scheme val="minor"/>
          </rPr>
          <t>======
ID#AAABjx7qVXE
    (2025-05-21 11:33:27)
20170112 chloe:收到銀行通知USD19203</t>
        </r>
      </text>
    </comment>
    <comment ref="K3342" authorId="0" shapeId="0" xr:uid="{82923015-6155-EA45-B29C-D3C4D9D1165F}">
      <text>
        <r>
          <rPr>
            <sz val="10"/>
            <color rgb="FF000000"/>
            <rFont val="Aptos Narrow"/>
            <scheme val="minor"/>
          </rPr>
          <t>======
ID#AAABjx7qNUI
    (2025-05-21 11:33:23)
1116 chloe:已告知出貨日可提前11/28出貨</t>
        </r>
      </text>
    </comment>
    <comment ref="D3343" authorId="0" shapeId="0" xr:uid="{F958C555-76A3-FE46-A75A-E1CDBC5C56D7}">
      <text>
        <r>
          <rPr>
            <sz val="10"/>
            <color rgb="FF000000"/>
            <rFont val="Aptos Narrow"/>
            <scheme val="minor"/>
          </rPr>
          <t>======
ID#AAABjx7qWS4
    (2025-05-21 11:33:27)
測試步驟：
1. Disable Fast Start-up function
2. Remove Power at 2nd stage
3. Check " Boot option priorities" in BIOS
4. Prepare DRAM module 2~3 pcs
5. 加測 Memtest86+</t>
        </r>
      </text>
    </comment>
    <comment ref="H3343" authorId="0" shapeId="0" xr:uid="{5FA41E09-076A-684C-BEF0-603C8AF2C4E7}">
      <text>
        <r>
          <rPr>
            <sz val="10"/>
            <color rgb="FF000000"/>
            <rFont val="Aptos Narrow"/>
            <scheme val="minor"/>
          </rPr>
          <t>======
ID#AAABjx7qM-E
    (2025-05-21 11:33:23)
20170112 chloe:收到銀行通知USD19203</t>
        </r>
      </text>
    </comment>
    <comment ref="K3343" authorId="0" shapeId="0" xr:uid="{D9696C72-71F9-7143-8D06-07C080DE45A8}">
      <text>
        <r>
          <rPr>
            <sz val="10"/>
            <color rgb="FF000000"/>
            <rFont val="Aptos Narrow"/>
            <scheme val="minor"/>
          </rPr>
          <t>======
ID#AAABjx7qSZQ
    (2025-05-21 11:33:26)
1116 chloe:已告知出貨日可提前11/28出貨</t>
        </r>
      </text>
    </comment>
    <comment ref="H3344" authorId="0" shapeId="0" xr:uid="{414C311C-D6C0-F648-87AF-E4F072DEC036}">
      <text>
        <r>
          <rPr>
            <sz val="10"/>
            <color rgb="FF000000"/>
            <rFont val="Aptos Narrow"/>
            <scheme val="minor"/>
          </rPr>
          <t>======
ID#AAABjx7qRDE
    (2025-05-21 11:33:25)
1118 chloe:收到銀行通知USD3234</t>
        </r>
      </text>
    </comment>
    <comment ref="H3345" authorId="0" shapeId="0" xr:uid="{59ED2B87-46D3-1D4A-BF28-54E5688398D1}">
      <text>
        <r>
          <rPr>
            <sz val="10"/>
            <color rgb="FF000000"/>
            <rFont val="Aptos Narrow"/>
            <scheme val="minor"/>
          </rPr>
          <t>======
ID#AAABjx7qQZI
    (2025-05-21 11:33:25)
1118 chloe:收到銀行通知USD3234
1124 chloe:因供應商紙箱過大，材積有變，運費預估7184元。
已告知業務差額請下次收取回來。故暫不計算獎金</t>
        </r>
      </text>
    </comment>
    <comment ref="H3346" authorId="0" shapeId="0" xr:uid="{5DA19503-9931-B54F-8FBA-165C2F292208}">
      <text>
        <r>
          <rPr>
            <sz val="10"/>
            <color rgb="FF000000"/>
            <rFont val="Aptos Narrow"/>
            <scheme val="minor"/>
          </rPr>
          <t>======
ID#AAABjx7qVVw
    (2025-05-21 11:33:27)
20170112 chloe:收到銀行通知USD19203</t>
        </r>
      </text>
    </comment>
    <comment ref="J3346" authorId="0" shapeId="0" xr:uid="{E5E8C96B-88E8-B347-BE4A-44A6C1DA5FA6}">
      <text>
        <r>
          <rPr>
            <sz val="10"/>
            <color rgb="FF000000"/>
            <rFont val="Aptos Narrow"/>
            <scheme val="minor"/>
          </rPr>
          <t>======
ID#AAABjx7qM7A
    (2025-05-21 11:33:23)
1212 chloe:估錯材積，TNT Economy  運費 7925較便宜，故使用TNT</t>
        </r>
      </text>
    </comment>
    <comment ref="M3346" authorId="0" shapeId="0" xr:uid="{479C6BC8-81F5-1747-8C34-7BB1B48306FB}">
      <text>
        <r>
          <rPr>
            <sz val="10"/>
            <color rgb="FF000000"/>
            <rFont val="Aptos Narrow"/>
            <scheme val="minor"/>
          </rPr>
          <t>======
ID#AAABjx7qVXg
    (2025-05-21 11:33:27)
1116 chloe:待回覆交期
1118 chloe:待11/29 PULL IN是否能提前在12/6到貨</t>
        </r>
      </text>
    </comment>
    <comment ref="Q3346" authorId="0" shapeId="0" xr:uid="{C1961B8E-C889-744D-A30C-73C728E0A57F}">
      <text>
        <r>
          <rPr>
            <sz val="10"/>
            <color rgb="FF000000"/>
            <rFont val="Aptos Narrow"/>
            <scheme val="minor"/>
          </rPr>
          <t>======
ID#AAABjx7qQg8
    (2025-05-21 11:33:25)
閎亮</t>
        </r>
      </text>
    </comment>
    <comment ref="H3347" authorId="0" shapeId="0" xr:uid="{07EA57D2-3AE1-8047-A799-F7C5A0BC00C5}">
      <text>
        <r>
          <rPr>
            <sz val="10"/>
            <color rgb="FF000000"/>
            <rFont val="Aptos Narrow"/>
            <scheme val="minor"/>
          </rPr>
          <t>======
ID#AAABjx7qOLA
    (2025-05-21 11:33:24)
20170112 chloe:收到銀行通知USD19203</t>
        </r>
      </text>
    </comment>
    <comment ref="J3347" authorId="0" shapeId="0" xr:uid="{1618DA57-F723-4541-A925-372A71130144}">
      <text>
        <r>
          <rPr>
            <sz val="10"/>
            <color rgb="FF000000"/>
            <rFont val="Aptos Narrow"/>
            <scheme val="minor"/>
          </rPr>
          <t>======
ID#AAABjx7qPKg
    (2025-05-21 11:33:24)
1212 chloe:估錯材積，TNT Economy  運費 7925較便宜，故使用TNT</t>
        </r>
      </text>
    </comment>
    <comment ref="H3348" authorId="0" shapeId="0" xr:uid="{962BE979-7574-A14A-B344-445AB63FA8A5}">
      <text>
        <r>
          <rPr>
            <sz val="10"/>
            <color rgb="FF000000"/>
            <rFont val="Aptos Narrow"/>
            <scheme val="minor"/>
          </rPr>
          <t>======
ID#AAABjx7qQX4
    (2025-05-21 11:33:25)
20170112 chloe:收到銀行通知USD19203</t>
        </r>
      </text>
    </comment>
    <comment ref="J3348" authorId="0" shapeId="0" xr:uid="{AA4FBE3A-38ED-9549-BE9E-0C64887D2A0C}">
      <text>
        <r>
          <rPr>
            <sz val="10"/>
            <color rgb="FF000000"/>
            <rFont val="Aptos Narrow"/>
            <scheme val="minor"/>
          </rPr>
          <t>======
ID#AAABjx7qQfo
    (2025-05-21 11:33:25)
1212 chloe:估錯材積，TNT Economy  運費 7925較便宜，故使用TNT</t>
        </r>
      </text>
    </comment>
    <comment ref="H3349" authorId="0" shapeId="0" xr:uid="{C5D2FC5C-3539-2346-B66A-A17AF7A1239A}">
      <text>
        <r>
          <rPr>
            <sz val="10"/>
            <color rgb="FF000000"/>
            <rFont val="Aptos Narrow"/>
            <scheme val="minor"/>
          </rPr>
          <t>======
ID#AAABjx7qNzI
    (2025-05-21 11:33:23)
20170112 chloe:收到銀行通知USD19203</t>
        </r>
      </text>
    </comment>
    <comment ref="J3349" authorId="0" shapeId="0" xr:uid="{1BBE973B-85D2-3C47-9A7C-F980024AE7F5}">
      <text>
        <r>
          <rPr>
            <sz val="10"/>
            <color rgb="FF000000"/>
            <rFont val="Aptos Narrow"/>
            <scheme val="minor"/>
          </rPr>
          <t>======
ID#AAABjx7qWOE
    (2025-05-21 11:33:27)
1212 chloe:估錯材積，TNT Economy  運費 7925較便宜，故使用TNT</t>
        </r>
      </text>
    </comment>
    <comment ref="H3350" authorId="0" shapeId="0" xr:uid="{C6499B26-FF8C-CB44-8A23-ACEF50EF98CF}">
      <text>
        <r>
          <rPr>
            <sz val="10"/>
            <color rgb="FF000000"/>
            <rFont val="Aptos Narrow"/>
            <scheme val="minor"/>
          </rPr>
          <t>======
ID#AAABjx7qPYw
    (2025-05-21 11:33:24)
20170105 chloe: 收到銀行通知USD2683.5</t>
        </r>
      </text>
    </comment>
    <comment ref="H3351" authorId="0" shapeId="0" xr:uid="{0A7AA01C-EA71-4340-A076-9A7082AFB016}">
      <text>
        <r>
          <rPr>
            <sz val="10"/>
            <color rgb="FF000000"/>
            <rFont val="Aptos Narrow"/>
            <scheme val="minor"/>
          </rPr>
          <t>======
ID#AAABjx7qQyE
    (2025-05-21 11:33:25)
20170105 chloe: 收到銀行通知USD2683.5</t>
        </r>
      </text>
    </comment>
    <comment ref="H3352" authorId="0" shapeId="0" xr:uid="{282AAF97-BE7E-BE45-A448-BA84CC465C48}">
      <text>
        <r>
          <rPr>
            <sz val="10"/>
            <color rgb="FF000000"/>
            <rFont val="Aptos Narrow"/>
            <scheme val="minor"/>
          </rPr>
          <t>======
ID#AAABjx7qThs
    (2025-05-21 11:33:26)
0119 chloe:收到銀行通知USD2514.6</t>
        </r>
      </text>
    </comment>
    <comment ref="H3353" authorId="0" shapeId="0" xr:uid="{50B51E8C-1697-3048-9F6E-0ABF6EDCC75F}">
      <text>
        <r>
          <rPr>
            <sz val="10"/>
            <color rgb="FF000000"/>
            <rFont val="Aptos Narrow"/>
            <scheme val="minor"/>
          </rPr>
          <t>======
ID#AAABjx7qWKk
    (2025-05-21 11:33:27)
20170105 chloe: 收到銀行通知USD2683.5</t>
        </r>
      </text>
    </comment>
    <comment ref="H3354" authorId="0" shapeId="0" xr:uid="{92231B89-9811-074C-ACC2-8D36D3E6DE8C}">
      <text>
        <r>
          <rPr>
            <sz val="10"/>
            <color rgb="FF000000"/>
            <rFont val="Aptos Narrow"/>
            <scheme val="minor"/>
          </rPr>
          <t>======
ID#AAABjx7qN68
    (2025-05-21 11:33:23)
20170105 chloe: 收到銀行通知USD2683.5</t>
        </r>
      </text>
    </comment>
    <comment ref="H3356" authorId="0" shapeId="0" xr:uid="{121D2226-A7FA-5146-9D65-B1594FDE1993}">
      <text>
        <r>
          <rPr>
            <sz val="10"/>
            <color rgb="FF000000"/>
            <rFont val="Aptos Narrow"/>
            <scheme val="minor"/>
          </rPr>
          <t>======
ID#AAABjx7qNNk
    (2025-05-21 11:33:23)
1212 chloe:收到銀行通知USD6330</t>
        </r>
      </text>
    </comment>
    <comment ref="K3356" authorId="0" shapeId="0" xr:uid="{8451310D-1E0A-0F4D-9343-E8E287784260}">
      <text>
        <r>
          <rPr>
            <sz val="10"/>
            <color rgb="FF000000"/>
            <rFont val="Aptos Narrow"/>
            <scheme val="minor"/>
          </rPr>
          <t>======
ID#AAABjx7qQv4
    (2025-05-21 11:33:25)
1125 chloe:若能在12/12 中午前到貨則12/12出貨。
1208 chloe:已超額待客戶付款
1209 chloe:收到12/12入帳通知</t>
        </r>
      </text>
    </comment>
    <comment ref="M3356" authorId="0" shapeId="0" xr:uid="{BC9633A3-3245-224D-AE55-93C722C25400}">
      <text>
        <r>
          <rPr>
            <sz val="10"/>
            <color rgb="FF000000"/>
            <rFont val="Aptos Narrow"/>
            <scheme val="minor"/>
          </rPr>
          <t>======
ID#AAABj82dpFc
    (2025-05-21 11:33:23)
1122 chloe: 5台現貨，5台12月底
，客戶要一起交貨，故待PULL IN中
1125 chloe: 另外五台交期詢問中
1208 chloe:已超額待客戶付款</t>
        </r>
      </text>
    </comment>
    <comment ref="H3357" authorId="0" shapeId="0" xr:uid="{CA755646-B0D0-6C47-9B25-C46E4248CC17}">
      <text>
        <r>
          <rPr>
            <sz val="10"/>
            <color rgb="FF000000"/>
            <rFont val="Aptos Narrow"/>
            <scheme val="minor"/>
          </rPr>
          <t>======
ID#AAABjx7qVKE
    (2025-05-21 11:33:27)
1212 chloe:收到銀行通知USD6330</t>
        </r>
      </text>
    </comment>
    <comment ref="K3357" authorId="0" shapeId="0" xr:uid="{96718E46-2719-D540-987C-CB2F443CC8E6}">
      <text>
        <r>
          <rPr>
            <sz val="10"/>
            <color rgb="FF000000"/>
            <rFont val="Aptos Narrow"/>
            <scheme val="minor"/>
          </rPr>
          <t>======
ID#AAABjx7qRrk
    (2025-05-21 11:33:25)
1125 chloe:若能在12/12 中午前到貨則12/12出貨。
1208 chloe:已超額待客戶付款</t>
        </r>
      </text>
    </comment>
    <comment ref="M3357" authorId="0" shapeId="0" xr:uid="{73EC229B-73CD-2C41-BB09-E79808B54D0C}">
      <text>
        <r>
          <rPr>
            <sz val="10"/>
            <color rgb="FF000000"/>
            <rFont val="Aptos Narrow"/>
            <scheme val="minor"/>
          </rPr>
          <t>======
ID#AAABjx7qUs8
    (2025-05-21 11:33:26)
1122 chloe: 5台現貨，5台12月底
，客戶要一起交貨，故待PULL In
1125 chloe: 另外五台交期詢問中
1208 chloe:已超額待客戶付款</t>
        </r>
      </text>
    </comment>
    <comment ref="D3358" authorId="0" shapeId="0" xr:uid="{3671C07C-1F9D-D547-89F8-5939DDC26A52}">
      <text>
        <r>
          <rPr>
            <sz val="10"/>
            <color rgb="FF000000"/>
            <rFont val="Aptos Narrow"/>
            <scheme val="minor"/>
          </rPr>
          <t>======
ID#AAABjx7qWbM
    (2025-05-21 11:33:27)
測試步驟：
1. Disable Fast Start-up function
2. Remove Power at 2nd stage
3. Check "Boot option priorities" in BIOS
4. Prepare DRAM module 2~3 pcs
5. 加測Memtest86+</t>
        </r>
      </text>
    </comment>
    <comment ref="H3358" authorId="0" shapeId="0" xr:uid="{5709ABDC-D418-0A46-A58A-C59466FA29A7}">
      <text>
        <r>
          <rPr>
            <sz val="10"/>
            <color rgb="FF000000"/>
            <rFont val="Aptos Narrow"/>
            <scheme val="minor"/>
          </rPr>
          <t>======
ID#AAABjx7qORc
    (2025-05-21 11:33:24)
20170112 chloe:收到銀行通知USD19203</t>
        </r>
      </text>
    </comment>
    <comment ref="J3358" authorId="0" shapeId="0" xr:uid="{A7FE2EFC-4FEC-2742-A6DB-3F4C27BDD977}">
      <text>
        <r>
          <rPr>
            <sz val="10"/>
            <color rgb="FF000000"/>
            <rFont val="Aptos Narrow"/>
            <scheme val="minor"/>
          </rPr>
          <t>======
ID#AAABjx7qS4E
    (2025-05-21 11:33:26)
1212 chloe:估錯材積，TNT Economy  運費 7925較便宜，故使用TNT</t>
        </r>
      </text>
    </comment>
    <comment ref="D3359" authorId="0" shapeId="0" xr:uid="{D8C3A85C-F03C-F14A-976F-28FC1B60653D}">
      <text>
        <r>
          <rPr>
            <sz val="10"/>
            <color rgb="FF000000"/>
            <rFont val="Aptos Narrow"/>
            <scheme val="minor"/>
          </rPr>
          <t>======
ID#AAABjx7qQfA
    (2025-05-21 11:33:25)
測試步驟：
1. Disable Fast Start-up function
2. Remove Power at 2nd stage
3. Check "Boot option priorities" in BIOS
4. Prepare DRAM module 2~3 pcs
5. 加測Memtest86+</t>
        </r>
      </text>
    </comment>
    <comment ref="H3359" authorId="0" shapeId="0" xr:uid="{21DB8C46-C50D-1740-B6CE-E5BA191F653C}">
      <text>
        <r>
          <rPr>
            <sz val="10"/>
            <color rgb="FF000000"/>
            <rFont val="Aptos Narrow"/>
            <scheme val="minor"/>
          </rPr>
          <t>======
ID#AAABjx7qRWw
    (2025-05-21 11:33:25)
20170112 chloe:收到銀行通知USD19203</t>
        </r>
      </text>
    </comment>
    <comment ref="J3359" authorId="0" shapeId="0" xr:uid="{A4ABC751-8FAE-DF4B-88BD-98E30F9307A9}">
      <text>
        <r>
          <rPr>
            <sz val="10"/>
            <color rgb="FF000000"/>
            <rFont val="Aptos Narrow"/>
            <scheme val="minor"/>
          </rPr>
          <t>======
ID#AAABjx7qToo
    (2025-05-21 11:33:26)
1212 chloe:估錯材積，TNT Economy  運費 7925較便宜，故使用TNT</t>
        </r>
      </text>
    </comment>
    <comment ref="D3360" authorId="0" shapeId="0" xr:uid="{53A7629C-5A15-D843-A82B-5020858589D9}">
      <text>
        <r>
          <rPr>
            <sz val="10"/>
            <color rgb="FF000000"/>
            <rFont val="Aptos Narrow"/>
            <scheme val="minor"/>
          </rPr>
          <t>======
ID#AAABjx7qQKs
    (2025-05-21 11:33:25)
測試步驟：
1. Disable Fast Start-up function
2. Remove Power at 2nd stage
3. Check "Boot option priorities" in BIOS
4. Prepare DRAM module 2~3 pcs
5. 加測Memtest86+</t>
        </r>
      </text>
    </comment>
    <comment ref="H3360" authorId="0" shapeId="0" xr:uid="{9F70726E-11A9-184B-8EDE-253CD5DCD028}">
      <text>
        <r>
          <rPr>
            <sz val="10"/>
            <color rgb="FF000000"/>
            <rFont val="Aptos Narrow"/>
            <scheme val="minor"/>
          </rPr>
          <t>======
ID#AAABjx7qVtk
    (2025-05-21 11:33:27)
20170112 chloe:收到銀行通知USD19203</t>
        </r>
      </text>
    </comment>
    <comment ref="J3360" authorId="0" shapeId="0" xr:uid="{9EEC26D8-9A5A-5244-B243-5AAD30F04439}">
      <text>
        <r>
          <rPr>
            <sz val="10"/>
            <color rgb="FF000000"/>
            <rFont val="Aptos Narrow"/>
            <scheme val="minor"/>
          </rPr>
          <t>======
ID#AAABjx7qU0U
    (2025-05-21 11:33:26)
1212 chloe:估錯材積，TNT Economy  運費 7925較便宜，故使用TNT</t>
        </r>
      </text>
    </comment>
    <comment ref="N3360" authorId="0" shapeId="0" xr:uid="{252ED2EF-3B8B-4144-A32E-905E1287D311}">
      <text>
        <r>
          <rPr>
            <sz val="10"/>
            <color rgb="FF000000"/>
            <rFont val="Aptos Narrow"/>
            <scheme val="minor"/>
          </rPr>
          <t>======
ID#AAABjx7qM1Q
    (2025-05-21 11:33:23)
1212 chloe:估錯材積，TNT Economy  運費 7925較便宜，故使用TNT</t>
        </r>
      </text>
    </comment>
    <comment ref="H3361" authorId="0" shapeId="0" xr:uid="{7E1813DC-8A66-3645-9960-56819194E26C}">
      <text>
        <r>
          <rPr>
            <sz val="10"/>
            <color rgb="FF000000"/>
            <rFont val="Aptos Narrow"/>
            <scheme val="minor"/>
          </rPr>
          <t>======
ID#AAABjx7qUt8
    (2025-05-21 11:33:26)
1229 chloe:收到銀行通知USD4362</t>
        </r>
      </text>
    </comment>
    <comment ref="H3362" authorId="0" shapeId="0" xr:uid="{7461F5A3-6667-0D47-B569-7DB9236531B8}">
      <text>
        <r>
          <rPr>
            <sz val="10"/>
            <color rgb="FF000000"/>
            <rFont val="Aptos Narrow"/>
            <scheme val="minor"/>
          </rPr>
          <t>======
ID#AAABjx7qSkY
    (2025-05-21 11:33:26)
20170112 chloe:收到銀行通知USD19203</t>
        </r>
      </text>
    </comment>
    <comment ref="P3362" authorId="0" shapeId="0" xr:uid="{E9904A74-8F1F-8A45-8266-91AECE65B116}">
      <text>
        <r>
          <rPr>
            <sz val="10"/>
            <color rgb="FF000000"/>
            <rFont val="Aptos Narrow"/>
            <scheme val="minor"/>
          </rPr>
          <t>======
ID#AAABjx7qTsU
    (2025-05-21 11:33:26)
1124 chloe: 敲定匯率31.92</t>
        </r>
      </text>
    </comment>
    <comment ref="H3363" authorId="0" shapeId="0" xr:uid="{22350D34-2EA4-4D46-9C59-4AC2F5B2DB2B}">
      <text>
        <r>
          <rPr>
            <sz val="10"/>
            <color rgb="FF000000"/>
            <rFont val="Aptos Narrow"/>
            <scheme val="minor"/>
          </rPr>
          <t>======
ID#AAABjx7qQPo
    (2025-05-21 11:33:25)
20170112 chloe:收到銀行通知USD19203</t>
        </r>
      </text>
    </comment>
    <comment ref="H3364" authorId="0" shapeId="0" xr:uid="{73919010-0F4A-9A43-AA13-B9E7F933D05B}">
      <text>
        <r>
          <rPr>
            <sz val="10"/>
            <color rgb="FF000000"/>
            <rFont val="Aptos Narrow"/>
            <scheme val="minor"/>
          </rPr>
          <t>======
ID#AAABjx7qM8I
    (2025-05-21 11:33:23)
20170112 chloe:收到銀行通知USD19203</t>
        </r>
      </text>
    </comment>
    <comment ref="H3365" authorId="0" shapeId="0" xr:uid="{E42CD717-D42E-E64C-9C68-EB84102CC8A3}">
      <text>
        <r>
          <rPr>
            <sz val="10"/>
            <color rgb="FF000000"/>
            <rFont val="Aptos Narrow"/>
            <scheme val="minor"/>
          </rPr>
          <t>======
ID#AAABjx7qSf4
    (2025-05-21 11:33:26)
20170112 chloe:收到銀行通知USD19203</t>
        </r>
      </text>
    </comment>
    <comment ref="H3366" authorId="0" shapeId="0" xr:uid="{F62B7F4D-ED67-A14E-9C53-09AA5A8EA5D1}">
      <text>
        <r>
          <rPr>
            <sz val="10"/>
            <color rgb="FF000000"/>
            <rFont val="Aptos Narrow"/>
            <scheme val="minor"/>
          </rPr>
          <t>======
ID#AAABjx7qR78
    (2025-05-21 11:33:25)
1230 chloe:收到銀行通知USD7125</t>
        </r>
      </text>
    </comment>
    <comment ref="H3367" authorId="0" shapeId="0" xr:uid="{3E8093DD-042B-C34D-8D7C-55DCED8B9F31}">
      <text>
        <r>
          <rPr>
            <sz val="10"/>
            <color rgb="FF000000"/>
            <rFont val="Aptos Narrow"/>
            <scheme val="minor"/>
          </rPr>
          <t>======
ID#AAABjx7qOAM
    (2025-05-21 11:33:24)
1230 chloe:收到銀行通知USD7125</t>
        </r>
      </text>
    </comment>
    <comment ref="H3368" authorId="0" shapeId="0" xr:uid="{D8DFC765-BAE3-A84C-8079-82963A97873A}">
      <text>
        <r>
          <rPr>
            <sz val="10"/>
            <color rgb="FF000000"/>
            <rFont val="Aptos Narrow"/>
            <scheme val="minor"/>
          </rPr>
          <t>======
ID#AAABjx7qV5s
    (2025-05-21 11:33:27)
1230 chloe:收到銀行通知USD7125</t>
        </r>
      </text>
    </comment>
    <comment ref="H3369" authorId="0" shapeId="0" xr:uid="{E08B81D1-9959-B24E-B90B-675D36246F90}">
      <text>
        <r>
          <rPr>
            <sz val="10"/>
            <color rgb="FF000000"/>
            <rFont val="Aptos Narrow"/>
            <scheme val="minor"/>
          </rPr>
          <t>======
ID#AAABjx7qTiQ
    (2025-05-21 11:33:26)
1230 chloe:收到銀行通知USD7125</t>
        </r>
      </text>
    </comment>
    <comment ref="H3370" authorId="0" shapeId="0" xr:uid="{D76C4BCE-CACE-DC4E-898C-B57DC6CD72D1}">
      <text>
        <r>
          <rPr>
            <sz val="10"/>
            <color rgb="FF000000"/>
            <rFont val="Aptos Narrow"/>
            <scheme val="minor"/>
          </rPr>
          <t>======
ID#AAABjx7qOwE
    (2025-05-21 11:33:24)
1230 chloe:收到銀行通知USD7125</t>
        </r>
      </text>
    </comment>
    <comment ref="H3371" authorId="0" shapeId="0" xr:uid="{D28F88D1-96B7-1342-84D4-B7EE703E3C06}">
      <text>
        <r>
          <rPr>
            <sz val="10"/>
            <color rgb="FF000000"/>
            <rFont val="Aptos Narrow"/>
            <scheme val="minor"/>
          </rPr>
          <t>======
ID#AAABjx7qV3Y
    (2025-05-21 11:33:27)
1230 chloe:收到銀行通知USD7125</t>
        </r>
      </text>
    </comment>
    <comment ref="H3372" authorId="0" shapeId="0" xr:uid="{D88303B3-0676-2C40-94EF-CC6942A8FB84}">
      <text>
        <r>
          <rPr>
            <sz val="10"/>
            <color rgb="FF000000"/>
            <rFont val="Aptos Narrow"/>
            <scheme val="minor"/>
          </rPr>
          <t>======
ID#AAABjx7qRVI
    (2025-05-21 11:33:25)
0119 chloe:收到銀行通知USD2514.6</t>
        </r>
      </text>
    </comment>
    <comment ref="H3373" authorId="0" shapeId="0" xr:uid="{423F55A9-0EFA-E44D-ADC3-125DFC5D67F6}">
      <text>
        <r>
          <rPr>
            <sz val="10"/>
            <color rgb="FF000000"/>
            <rFont val="Aptos Narrow"/>
            <scheme val="minor"/>
          </rPr>
          <t>======
ID#AAABjx7qNLU
    (2025-05-21 11:33:23)
0119 chloe:收到銀行通知USD2514.6</t>
        </r>
      </text>
    </comment>
    <comment ref="H3374" authorId="0" shapeId="0" xr:uid="{DB2BA3CD-9C63-6547-969E-DE0EC5D0A87B}">
      <text>
        <r>
          <rPr>
            <sz val="10"/>
            <color rgb="FF000000"/>
            <rFont val="Aptos Narrow"/>
            <scheme val="minor"/>
          </rPr>
          <t>======
ID#AAABjx7qTR4
    (2025-05-21 11:33:26)
0119 chloe:收到銀行通知USD2514.6</t>
        </r>
      </text>
    </comment>
    <comment ref="H3375" authorId="0" shapeId="0" xr:uid="{1DE4E879-8565-0B48-BCF1-2999C64086F1}">
      <text>
        <r>
          <rPr>
            <sz val="10"/>
            <color rgb="FF000000"/>
            <rFont val="Aptos Narrow"/>
            <scheme val="minor"/>
          </rPr>
          <t>======
ID#AAABjx7qPHI
    (2025-05-21 11:33:24)
0119 chloe:收到銀行通知USD2514.6</t>
        </r>
      </text>
    </comment>
    <comment ref="H3376" authorId="0" shapeId="0" xr:uid="{9B50EFBF-3F97-3C49-B79D-46C6D056D322}">
      <text>
        <r>
          <rPr>
            <sz val="10"/>
            <color rgb="FF000000"/>
            <rFont val="Aptos Narrow"/>
            <scheme val="minor"/>
          </rPr>
          <t>======
ID#AAABjx7qQwU
    (2025-05-21 11:33:25)
0119 chloe:收到銀行通知USD2514.6</t>
        </r>
      </text>
    </comment>
    <comment ref="H3377" authorId="0" shapeId="0" xr:uid="{7CF54FDD-8703-BA4D-BE8E-C85FA53C1817}">
      <text>
        <r>
          <rPr>
            <sz val="10"/>
            <color rgb="FF000000"/>
            <rFont val="Aptos Narrow"/>
            <scheme val="minor"/>
          </rPr>
          <t>======
ID#AAABjx7qRWo
    (2025-05-21 11:33:25)
0119 chloe:收到銀行通知USD2514.6</t>
        </r>
      </text>
    </comment>
    <comment ref="H3378" authorId="0" shapeId="0" xr:uid="{5887EE39-7404-874E-8F93-A3FE3EC0F958}">
      <text>
        <r>
          <rPr>
            <sz val="10"/>
            <color rgb="FF000000"/>
            <rFont val="Aptos Narrow"/>
            <scheme val="minor"/>
          </rPr>
          <t>======
ID#AAABjx7qNbM
    (2025-05-21 11:33:23)
0119 chloe:收到銀行通知USD2514.6</t>
        </r>
      </text>
    </comment>
    <comment ref="H3379" authorId="0" shapeId="0" xr:uid="{E7F4B40E-A32E-3248-BFE4-0EBF38EBF110}">
      <text>
        <r>
          <rPr>
            <sz val="10"/>
            <color rgb="FF000000"/>
            <rFont val="Aptos Narrow"/>
            <scheme val="minor"/>
          </rPr>
          <t>======
ID#AAABjx7qPoM
    (2025-05-21 11:33:24)
0119 chloe:收到銀行通知USD2514.6</t>
        </r>
      </text>
    </comment>
    <comment ref="H3380" authorId="0" shapeId="0" xr:uid="{2548A4AA-7458-0F4E-82BF-05FDD0E39D3B}">
      <text>
        <r>
          <rPr>
            <sz val="10"/>
            <color rgb="FF000000"/>
            <rFont val="Aptos Narrow"/>
            <scheme val="minor"/>
          </rPr>
          <t>======
ID#AAABjx7qSRg
    (2025-05-21 11:33:26)
0119 chloe:收到銀行通知USD2514.6</t>
        </r>
      </text>
    </comment>
    <comment ref="H3381" authorId="0" shapeId="0" xr:uid="{D0BEBB80-4937-0848-AD93-40E5D1C02BE2}">
      <text>
        <r>
          <rPr>
            <sz val="10"/>
            <color rgb="FF000000"/>
            <rFont val="Aptos Narrow"/>
            <scheme val="minor"/>
          </rPr>
          <t>======
ID#AAABjx7qTbU
    (2025-05-21 11:33:26)
20170107 chloe:合庫收到款項NT1,048,171</t>
        </r>
      </text>
    </comment>
    <comment ref="P3381" authorId="0" shapeId="0" xr:uid="{48251B4E-260D-284C-BCD6-156B157FD6AB}">
      <text>
        <r>
          <rPr>
            <sz val="10"/>
            <color rgb="FF000000"/>
            <rFont val="Aptos Narrow"/>
            <scheme val="minor"/>
          </rPr>
          <t>======
ID#AAABj82dpN0
    (2025-05-21 11:33:23)
161129 80-77, 剩3
161102 158-78, 剩80
161010 修改 225-67, 剩158
160930 225-76, 剩149</t>
        </r>
      </text>
    </comment>
    <comment ref="E3382" authorId="0" shapeId="0" xr:uid="{ADAB2E69-4261-2440-808B-CEB5AD27CBD6}">
      <text>
        <r>
          <rPr>
            <sz val="10"/>
            <color rgb="FF000000"/>
            <rFont val="Aptos Narrow"/>
            <scheme val="minor"/>
          </rPr>
          <t>======
ID#AAABjx7qNMQ
    (2025-05-21 11:33:23)
20160929 Santiago: 和之前訂單一樣, w/o cable</t>
        </r>
      </text>
    </comment>
    <comment ref="H3382" authorId="0" shapeId="0" xr:uid="{ADA50E1B-F78E-9347-915B-850739E86906}">
      <text>
        <r>
          <rPr>
            <sz val="10"/>
            <color rgb="FF000000"/>
            <rFont val="Aptos Narrow"/>
            <scheme val="minor"/>
          </rPr>
          <t>======
ID#AAABjx7qTUA
    (2025-05-21 11:33:26)
20170107 chloe:合庫收到款項NT1,048,171</t>
        </r>
      </text>
    </comment>
    <comment ref="H3383" authorId="0" shapeId="0" xr:uid="{C780F49B-7768-F94A-81F7-07012207A2AB}">
      <text>
        <r>
          <rPr>
            <sz val="10"/>
            <color rgb="FF000000"/>
            <rFont val="Aptos Narrow"/>
            <scheme val="minor"/>
          </rPr>
          <t>======
ID#AAABjx7qNW0
    (2025-05-21 11:33:23)
1223 chloe:收到銀行通知USD5904</t>
        </r>
      </text>
    </comment>
    <comment ref="H3384" authorId="0" shapeId="0" xr:uid="{C5AA7E60-137E-C149-B9A3-5E15B2C8A48C}">
      <text>
        <r>
          <rPr>
            <sz val="10"/>
            <color rgb="FF000000"/>
            <rFont val="Aptos Narrow"/>
            <scheme val="minor"/>
          </rPr>
          <t>======
ID#AAABjx7qV0s
    (2025-05-21 11:33:27)
1223 chloe:收到銀行通知USD5904</t>
        </r>
      </text>
    </comment>
    <comment ref="H3385" authorId="0" shapeId="0" xr:uid="{8442FE2D-D9BE-FF41-8DA2-F62597C7A8F6}">
      <text>
        <r>
          <rPr>
            <sz val="10"/>
            <color rgb="FF000000"/>
            <rFont val="Aptos Narrow"/>
            <scheme val="minor"/>
          </rPr>
          <t>======
ID#AAABjx7qNUY
    (2025-05-21 11:33:23)
1229 chloe:收到銀行通知USD4362</t>
        </r>
      </text>
    </comment>
    <comment ref="H3386" authorId="0" shapeId="0" xr:uid="{7E3A809B-F42C-824E-B517-29A157B230C4}">
      <text>
        <r>
          <rPr>
            <sz val="10"/>
            <color rgb="FF000000"/>
            <rFont val="Aptos Narrow"/>
            <scheme val="minor"/>
          </rPr>
          <t>======
ID#AAABjx7qN88
    (2025-05-21 11:33:23)
1229 chloe:收到銀行通知USD4362</t>
        </r>
      </text>
    </comment>
    <comment ref="G3389" authorId="0" shapeId="0" xr:uid="{2CC50C8E-CD8A-E246-A169-81F4F09AD0EF}">
      <text>
        <r>
          <rPr>
            <sz val="10"/>
            <color rgb="FF000000"/>
            <rFont val="Aptos Narrow"/>
            <scheme val="minor"/>
          </rPr>
          <t>======
ID#AAABj82dpMc
    (2025-05-21 11:33:23)
140美元 = 131.3歐元</t>
        </r>
      </text>
    </comment>
    <comment ref="H3389" authorId="0" shapeId="0" xr:uid="{7BAFEF9D-C38A-754A-B52F-8845C74D9F0F}">
      <text>
        <r>
          <rPr>
            <sz val="10"/>
            <color rgb="FF000000"/>
            <rFont val="Aptos Narrow"/>
            <scheme val="minor"/>
          </rPr>
          <t>======
ID#AAABjx7qVrg
    (2025-05-21 11:33:27)
1208 chloe:收到銀行通知EUR207.2</t>
        </r>
      </text>
    </comment>
    <comment ref="G3390" authorId="0" shapeId="0" xr:uid="{759C6515-308C-7248-9467-FAA5DB0CFA26}">
      <text>
        <r>
          <rPr>
            <sz val="10"/>
            <color rgb="FF000000"/>
            <rFont val="Aptos Narrow"/>
            <scheme val="minor"/>
          </rPr>
          <t>======
ID#AAABjx7qOUU
    (2025-05-21 11:33:24)
48美元 = 45歐元</t>
        </r>
      </text>
    </comment>
    <comment ref="H3390" authorId="0" shapeId="0" xr:uid="{B6C4BC89-9B30-9647-AC61-8D8516E76292}">
      <text>
        <r>
          <rPr>
            <sz val="10"/>
            <color rgb="FF000000"/>
            <rFont val="Aptos Narrow"/>
            <scheme val="minor"/>
          </rPr>
          <t>======
ID#AAABjx7qRpY
    (2025-05-21 11:33:25)
1208 chloe:收到銀行通知EUR207.2</t>
        </r>
      </text>
    </comment>
    <comment ref="G3391" authorId="0" shapeId="0" xr:uid="{73FAF12D-CB38-BA45-92A1-32B7BCCDB25C}">
      <text>
        <r>
          <rPr>
            <sz val="10"/>
            <color rgb="FF000000"/>
            <rFont val="Aptos Narrow"/>
            <scheme val="minor"/>
          </rPr>
          <t>======
ID#AAABjx7qRzc
    (2025-05-21 11:33:25)
25美元 = 23.4歐元</t>
        </r>
      </text>
    </comment>
    <comment ref="H3391" authorId="0" shapeId="0" xr:uid="{C7A46AF8-8D15-0041-8A19-B4782CCB5947}">
      <text>
        <r>
          <rPr>
            <sz val="10"/>
            <color rgb="FF000000"/>
            <rFont val="Aptos Narrow"/>
            <scheme val="minor"/>
          </rPr>
          <t>======
ID#AAABjx7qWI4
    (2025-05-21 11:33:27)
1208 chloe:收到銀行通知EUR207.2</t>
        </r>
      </text>
    </comment>
    <comment ref="G3392" authorId="0" shapeId="0" xr:uid="{321276AD-57A9-724C-B4E5-1BB220A7651C}">
      <text>
        <r>
          <rPr>
            <sz val="10"/>
            <color rgb="FF000000"/>
            <rFont val="Aptos Narrow"/>
            <scheme val="minor"/>
          </rPr>
          <t>======
ID#AAABjx7qWMs
    (2025-05-21 11:33:27)
8美元 = 7.5歐元</t>
        </r>
      </text>
    </comment>
    <comment ref="H3392" authorId="0" shapeId="0" xr:uid="{017DF355-D977-C74B-8332-4722A778BCB0}">
      <text>
        <r>
          <rPr>
            <sz val="10"/>
            <color rgb="FF000000"/>
            <rFont val="Aptos Narrow"/>
            <scheme val="minor"/>
          </rPr>
          <t>======
ID#AAABjx7qViE
    (2025-05-21 11:33:27)
1208 chloe:收到銀行通知EUR207.2</t>
        </r>
      </text>
    </comment>
    <comment ref="H3393" authorId="0" shapeId="0" xr:uid="{9048B07A-ECD4-0044-BCEE-A5BD93034CF4}">
      <text>
        <r>
          <rPr>
            <sz val="10"/>
            <color rgb="FF000000"/>
            <rFont val="Aptos Narrow"/>
            <scheme val="minor"/>
          </rPr>
          <t>======
ID#AAABjx7qWXY
    (2025-05-21 11:33:27)
20170202 chloe:收到銀行通知USD13551</t>
        </r>
      </text>
    </comment>
    <comment ref="M3393" authorId="0" shapeId="0" xr:uid="{C71F20E9-DCDD-0741-8B53-A4E6C4EF2803}">
      <text>
        <r>
          <rPr>
            <sz val="10"/>
            <color rgb="FF000000"/>
            <rFont val="Aptos Narrow"/>
            <scheme val="minor"/>
          </rPr>
          <t>======
ID#AAABjx7qTBE
    (2025-05-21 11:33:26)
1201 chloe:先壓日期12/9
1202 chloe:1203中午前會到</t>
        </r>
      </text>
    </comment>
    <comment ref="E3394" authorId="0" shapeId="0" xr:uid="{4593B4A5-0810-664B-803E-7D40593DA517}">
      <text>
        <r>
          <rPr>
            <sz val="10"/>
            <color rgb="FF000000"/>
            <rFont val="Aptos Narrow"/>
            <scheme val="minor"/>
          </rPr>
          <t>======
ID#AAABjx7qOCM
    (2025-05-21 11:33:24)
161202 Karen: w/ EU adaptor</t>
        </r>
      </text>
    </comment>
    <comment ref="H3394" authorId="0" shapeId="0" xr:uid="{D78B4FB3-9786-5444-8581-FFDB3216D1EF}">
      <text>
        <r>
          <rPr>
            <sz val="10"/>
            <color rgb="FF000000"/>
            <rFont val="Aptos Narrow"/>
            <scheme val="minor"/>
          </rPr>
          <t>======
ID#AAABjx7qN1Y
    (2025-05-21 11:33:23)
1219 chloe:收到銀行通知USD183</t>
        </r>
      </text>
    </comment>
    <comment ref="K3394" authorId="0" shapeId="0" xr:uid="{C26C781B-12B4-214B-A4F9-7A402651929C}">
      <text>
        <r>
          <rPr>
            <sz val="10"/>
            <color rgb="FF000000"/>
            <rFont val="Aptos Narrow"/>
            <scheme val="minor"/>
          </rPr>
          <t>======
ID#AAABjx7qRAU
    (2025-05-21 11:33:25)
1207 chloe: Bank fee 不能打在INVOICE上</t>
        </r>
      </text>
    </comment>
    <comment ref="H3395" authorId="0" shapeId="0" xr:uid="{8A6F43D7-E0E2-D447-91CC-5D24FABF9C86}">
      <text>
        <r>
          <rPr>
            <sz val="10"/>
            <color rgb="FF000000"/>
            <rFont val="Aptos Narrow"/>
            <scheme val="minor"/>
          </rPr>
          <t>======
ID#AAABjx7qNSw
    (2025-05-21 11:33:23)
20170202 chloe:收到銀行通知USD1906</t>
        </r>
      </text>
    </comment>
    <comment ref="M3395" authorId="0" shapeId="0" xr:uid="{3ED363D1-1FDA-CD46-833E-1EB5ABC9C93F}">
      <text>
        <r>
          <rPr>
            <sz val="10"/>
            <color rgb="FF000000"/>
            <rFont val="Aptos Narrow"/>
            <scheme val="minor"/>
          </rPr>
          <t>======
ID#AAABjx7qPGM
    (2025-05-21 11:33:24)
1206 chloe:預計產出時間
台灣2017/1/24
大陸無庫存(台灣生產)
Booking 中</t>
        </r>
      </text>
    </comment>
    <comment ref="H3396" authorId="0" shapeId="0" xr:uid="{F2565CEA-9B3B-C443-A857-2893C0CF8D2A}">
      <text>
        <r>
          <rPr>
            <sz val="10"/>
            <color rgb="FF000000"/>
            <rFont val="Aptos Narrow"/>
            <scheme val="minor"/>
          </rPr>
          <t>======
ID#AAABjx7qRyM
    (2025-05-21 11:33:25)
0119 chloe:收到銀行通知USD2514.6</t>
        </r>
      </text>
    </comment>
    <comment ref="G3398" authorId="0" shapeId="0" xr:uid="{CEB56F0E-CD11-584E-915D-AA78EB27B220}">
      <text>
        <r>
          <rPr>
            <sz val="10"/>
            <color rgb="FF000000"/>
            <rFont val="Aptos Narrow"/>
            <scheme val="minor"/>
          </rPr>
          <t>======
ID#AAABjx7qOAY
    (2025-05-21 11:33:24)
w/5%VAT</t>
        </r>
      </text>
    </comment>
    <comment ref="H3398" authorId="0" shapeId="0" xr:uid="{D93A8D73-EA1F-1843-803F-E0D81B5C7CA9}">
      <text>
        <r>
          <rPr>
            <sz val="10"/>
            <color rgb="FF000000"/>
            <rFont val="Aptos Narrow"/>
            <scheme val="minor"/>
          </rPr>
          <t>======
ID#AAABjx7qVUk
    (2025-05-21 11:33:27)
0125 chloe:收到NT23904</t>
        </r>
      </text>
    </comment>
    <comment ref="H3399" authorId="0" shapeId="0" xr:uid="{8C90CDC4-DE88-394B-BB52-4C3C601C95AC}">
      <text>
        <r>
          <rPr>
            <sz val="10"/>
            <color rgb="FF000000"/>
            <rFont val="Aptos Narrow"/>
            <scheme val="minor"/>
          </rPr>
          <t>======
ID#AAABjx7qRGU
    (2025-05-21 11:33:25)
0118 chloe:收到支票NT52760(12/30以兌換成功)</t>
        </r>
      </text>
    </comment>
    <comment ref="M3399" authorId="0" shapeId="0" xr:uid="{68B7F042-DD2A-6947-B963-54D689F93B33}">
      <text>
        <r>
          <rPr>
            <sz val="10"/>
            <color rgb="FF000000"/>
            <rFont val="Aptos Narrow"/>
            <scheme val="minor"/>
          </rPr>
          <t>======
ID#AAABjx7qWNU
    (2025-05-21 11:33:27)
1207 chloe:下單待交期回覆
→回覆明年2月產出→待PULL IN</t>
        </r>
      </text>
    </comment>
    <comment ref="H3401" authorId="0" shapeId="0" xr:uid="{372B4DC9-5499-5144-BB7A-BFAB3D201BA7}">
      <text>
        <r>
          <rPr>
            <sz val="10"/>
            <color rgb="FF000000"/>
            <rFont val="Aptos Narrow"/>
            <scheme val="minor"/>
          </rPr>
          <t>======
ID#AAABjx7qPy4
    (2025-05-21 11:33:24)
20170112 chloe:收到銀行通知USD19203</t>
        </r>
      </text>
    </comment>
    <comment ref="J3401" authorId="0" shapeId="0" xr:uid="{6876DA8C-94E9-1248-B037-36C5745E14D1}">
      <text>
        <r>
          <rPr>
            <sz val="10"/>
            <color rgb="FF000000"/>
            <rFont val="Aptos Narrow"/>
            <scheme val="minor"/>
          </rPr>
          <t>======
ID#AAABjx7qOPA
    (2025-05-21 11:33:24)
1212 chloe:估錯材積，TNT Economy  運費 7925較便宜，故使用TNT</t>
        </r>
      </text>
    </comment>
    <comment ref="N3401" authorId="0" shapeId="0" xr:uid="{C5E6892B-FBF2-254D-994C-79680E13D87C}">
      <text>
        <r>
          <rPr>
            <sz val="10"/>
            <color rgb="FF000000"/>
            <rFont val="Aptos Narrow"/>
            <scheme val="minor"/>
          </rPr>
          <t>======
ID#AAABjx7qOLo
    (2025-05-21 11:33:24)
1212 chloe:估錯材積，TNT Economy  運費 7925較便宜，故使用TNT</t>
        </r>
      </text>
    </comment>
    <comment ref="H3402" authorId="0" shapeId="0" xr:uid="{7600976F-3244-C046-BFCA-CF230BEF6835}">
      <text>
        <r>
          <rPr>
            <sz val="10"/>
            <color rgb="FF000000"/>
            <rFont val="Aptos Narrow"/>
            <scheme val="minor"/>
          </rPr>
          <t>======
ID#AAABjx7qSRw
    (2025-05-21 11:33:26)
20170105 chloe:收到銀行通知USD225</t>
        </r>
      </text>
    </comment>
    <comment ref="H3403" authorId="0" shapeId="0" xr:uid="{D6676AD2-C850-1E44-9EF4-E98A17EEE83F}">
      <text>
        <r>
          <rPr>
            <sz val="10"/>
            <color rgb="FF000000"/>
            <rFont val="Aptos Narrow"/>
            <scheme val="minor"/>
          </rPr>
          <t>======
ID#AAABjx7qWCA
    (2025-05-21 11:33:27)
20170202 chloe:收到銀行通知USD1906</t>
        </r>
      </text>
    </comment>
    <comment ref="K3403" authorId="0" shapeId="0" xr:uid="{D2B5FA1E-AB37-6C42-80F2-1AA24FC639A4}">
      <text>
        <r>
          <rPr>
            <sz val="10"/>
            <color rgb="FF000000"/>
            <rFont val="Aptos Narrow"/>
            <scheme val="minor"/>
          </rPr>
          <t>======
ID#AAABjx7qMy0
    (2025-05-21 11:33:23)
161212 Tammy: 不能晚於12/26出貨, 謝謝</t>
        </r>
      </text>
    </comment>
    <comment ref="H3404" authorId="0" shapeId="0" xr:uid="{017B5E61-601B-0244-B5D4-DE265E0132D1}">
      <text>
        <r>
          <rPr>
            <sz val="10"/>
            <color rgb="FF000000"/>
            <rFont val="Aptos Narrow"/>
            <scheme val="minor"/>
          </rPr>
          <t>======
ID#AAABjx7qPUI
    (2025-05-21 11:33:24)
0202 chloe:收到銀行通知USD13806</t>
        </r>
      </text>
    </comment>
    <comment ref="H3405" authorId="0" shapeId="0" xr:uid="{2B6CDD19-0468-FA4D-A4B7-9AFA5A253E3E}">
      <text>
        <r>
          <rPr>
            <sz val="10"/>
            <color rgb="FF000000"/>
            <rFont val="Aptos Narrow"/>
            <scheme val="minor"/>
          </rPr>
          <t>======
ID#AAABjx7qNdQ
    (2025-05-21 11:33:23)
20170202 chloe:收到銀行通知USD13551</t>
        </r>
      </text>
    </comment>
    <comment ref="H3406" authorId="0" shapeId="0" xr:uid="{D4C66E60-7A8C-C043-8664-09FC2C7DAE9A}">
      <text>
        <r>
          <rPr>
            <sz val="10"/>
            <color rgb="FF000000"/>
            <rFont val="Aptos Narrow"/>
            <scheme val="minor"/>
          </rPr>
          <t>======
ID#AAABjx7qRnw
    (2025-05-21 11:33:25)
1216 chloe:收到銀行通知USD2130</t>
        </r>
      </text>
    </comment>
    <comment ref="H3407" authorId="0" shapeId="0" xr:uid="{35B030E7-8DF3-7748-AE86-2223C8314F86}">
      <text>
        <r>
          <rPr>
            <sz val="10"/>
            <color rgb="FF000000"/>
            <rFont val="Aptos Narrow"/>
            <scheme val="minor"/>
          </rPr>
          <t>======
ID#AAABjx7qRUI
    (2025-05-21 11:33:25)
20170202 chloe:收到銀行通知USD1906</t>
        </r>
      </text>
    </comment>
    <comment ref="H3408" authorId="0" shapeId="0" xr:uid="{FCA01186-DA66-2E45-9E2D-93D3BA4446B1}">
      <text>
        <r>
          <rPr>
            <sz val="10"/>
            <color rgb="FF000000"/>
            <rFont val="Aptos Narrow"/>
            <scheme val="minor"/>
          </rPr>
          <t>======
ID#AAABjx7qS-4
    (2025-05-21 11:33:26)
20170202 chloe:收到銀行通知USD1906</t>
        </r>
      </text>
    </comment>
    <comment ref="H3409" authorId="0" shapeId="0" xr:uid="{83B4DD3F-50FE-D546-8105-BF875DA6681D}">
      <text>
        <r>
          <rPr>
            <sz val="10"/>
            <color rgb="FF000000"/>
            <rFont val="Aptos Narrow"/>
            <scheme val="minor"/>
          </rPr>
          <t>======
ID#AAABjx7qSMs
    (2025-05-21 11:33:26)
20170202 chloe:收到銀行通知USD1906</t>
        </r>
      </text>
    </comment>
    <comment ref="H3410" authorId="0" shapeId="0" xr:uid="{4EE55748-C886-474E-92CD-801DB37150EE}">
      <text>
        <r>
          <rPr>
            <sz val="10"/>
            <color rgb="FF000000"/>
            <rFont val="Aptos Narrow"/>
            <scheme val="minor"/>
          </rPr>
          <t>======
ID#AAABjx7qTK4
    (2025-05-21 11:33:26)
20170202 chloe:收到銀行通知USD1906</t>
        </r>
      </text>
    </comment>
    <comment ref="H3411" authorId="0" shapeId="0" xr:uid="{005DEA5E-AFDA-E141-843B-561A43280AB2}">
      <text>
        <r>
          <rPr>
            <sz val="10"/>
            <color rgb="FF000000"/>
            <rFont val="Aptos Narrow"/>
            <scheme val="minor"/>
          </rPr>
          <t>======
ID#AAABjx7qTjw
    (2025-05-21 11:33:26)
20170202 chloe:收到銀行通知USD1906</t>
        </r>
      </text>
    </comment>
    <comment ref="H3412" authorId="0" shapeId="0" xr:uid="{960EC74D-741A-2C41-AE6B-25ACDDEAE246}">
      <text>
        <r>
          <rPr>
            <sz val="10"/>
            <color rgb="FF000000"/>
            <rFont val="Aptos Narrow"/>
            <scheme val="minor"/>
          </rPr>
          <t>======
ID#AAABjx7qVYM
    (2025-05-21 11:33:27)
20170202 chloe:收到銀行通知USD1906</t>
        </r>
      </text>
    </comment>
    <comment ref="H3413" authorId="0" shapeId="0" xr:uid="{4FEC96BE-BCFD-CB4E-91AD-98769782C770}">
      <text>
        <r>
          <rPr>
            <sz val="10"/>
            <color rgb="FF000000"/>
            <rFont val="Aptos Narrow"/>
            <scheme val="minor"/>
          </rPr>
          <t>======
ID#AAABjx7qPIE
    (2025-05-21 11:33:24)
20170322 chloe:收到銀行通知USD2237</t>
        </r>
      </text>
    </comment>
    <comment ref="M3413" authorId="0" shapeId="0" xr:uid="{61E1BB7D-C912-3244-8F9B-C20B4A6152E5}">
      <text>
        <r>
          <rPr>
            <sz val="10"/>
            <color rgb="FF000000"/>
            <rFont val="Aptos Narrow"/>
            <scheme val="minor"/>
          </rPr>
          <t>======
ID#AAABjx7qNVY
    (2025-05-21 11:33:23)
RMA 不報關</t>
        </r>
      </text>
    </comment>
    <comment ref="H3414" authorId="0" shapeId="0" xr:uid="{46F59E83-C497-FB49-97B3-28FA141BACCE}">
      <text>
        <r>
          <rPr>
            <sz val="10"/>
            <color rgb="FF000000"/>
            <rFont val="Aptos Narrow"/>
            <scheme val="minor"/>
          </rPr>
          <t>======
ID#AAABjx7qRF8
    (2025-05-21 11:33:25)
20170202 chloe:收到銀行通知USD13551</t>
        </r>
      </text>
    </comment>
    <comment ref="H3415" authorId="0" shapeId="0" xr:uid="{3BC98D07-93FC-0345-A0C4-78C283551143}">
      <text>
        <r>
          <rPr>
            <sz val="10"/>
            <color rgb="FF000000"/>
            <rFont val="Aptos Narrow"/>
            <scheme val="minor"/>
          </rPr>
          <t>======
ID#AAABjx7qSsI
    (2025-05-21 11:33:26)
20170202 chloe:收到銀行通知USD13551</t>
        </r>
      </text>
    </comment>
    <comment ref="N3415" authorId="0" shapeId="0" xr:uid="{1901BFD2-D60F-FE44-A3C6-DB7A0887EE02}">
      <text>
        <r>
          <rPr>
            <sz val="10"/>
            <color rgb="FF000000"/>
            <rFont val="Aptos Narrow"/>
            <scheme val="minor"/>
          </rPr>
          <t>======
ID#AAABjx7qShQ
    (2025-05-21 11:33:26)
1228 chloe:不組裝直接出貨</t>
        </r>
      </text>
    </comment>
    <comment ref="H3416" authorId="0" shapeId="0" xr:uid="{A13D3F88-90D3-6548-BDC7-BC0FD88C9815}">
      <text>
        <r>
          <rPr>
            <sz val="10"/>
            <color rgb="FF000000"/>
            <rFont val="Aptos Narrow"/>
            <scheme val="minor"/>
          </rPr>
          <t>======
ID#AAABjx7qPro
    (2025-05-21 11:33:24)
20170202 chloe:收到銀行通知USD13551</t>
        </r>
      </text>
    </comment>
    <comment ref="H3417" authorId="0" shapeId="0" xr:uid="{EEB14FF5-570A-974E-88E6-E52E13EB5771}">
      <text>
        <r>
          <rPr>
            <sz val="10"/>
            <color rgb="FF000000"/>
            <rFont val="Aptos Narrow"/>
            <scheme val="minor"/>
          </rPr>
          <t>======
ID#AAABjx7qN_I
    (2025-05-21 11:33:24)
20170202 chloe:收到銀行通知USD13551</t>
        </r>
      </text>
    </comment>
    <comment ref="H3418" authorId="0" shapeId="0" xr:uid="{D3EFB145-2179-B14E-9AA0-FDA1B84076DB}">
      <text>
        <r>
          <rPr>
            <sz val="10"/>
            <color rgb="FF000000"/>
            <rFont val="Aptos Narrow"/>
            <scheme val="minor"/>
          </rPr>
          <t>======
ID#AAABjx7qQMw
    (2025-05-21 11:33:25)
20170202 chloe:收到銀行通知USD13551</t>
        </r>
      </text>
    </comment>
    <comment ref="H3419" authorId="0" shapeId="0" xr:uid="{3E33978B-A050-7346-8136-B4225226D5B9}">
      <text>
        <r>
          <rPr>
            <sz val="10"/>
            <color rgb="FF000000"/>
            <rFont val="Aptos Narrow"/>
            <scheme val="minor"/>
          </rPr>
          <t>======
ID#AAABjx7qRG0
    (2025-05-21 11:33:25)
20170202 chloe:收到銀行通知USD13551</t>
        </r>
      </text>
    </comment>
    <comment ref="H3420" authorId="0" shapeId="0" xr:uid="{DC65E2B2-4C55-5E4E-8BAB-29FD7FD8A69E}">
      <text>
        <r>
          <rPr>
            <sz val="10"/>
            <color rgb="FF000000"/>
            <rFont val="Aptos Narrow"/>
            <scheme val="minor"/>
          </rPr>
          <t>======
ID#AAABjx7qThY
    (2025-05-21 11:33:26)
20170202 chloe:收到銀行通知USD13551</t>
        </r>
      </text>
    </comment>
    <comment ref="H3421" authorId="0" shapeId="0" xr:uid="{E60D25F0-8187-B042-AC4A-9A315128A44B}">
      <text>
        <r>
          <rPr>
            <sz val="10"/>
            <color rgb="FF000000"/>
            <rFont val="Aptos Narrow"/>
            <scheme val="minor"/>
          </rPr>
          <t>======
ID#AAABjx7qRvs
    (2025-05-21 11:33:25)
20170202 chloe:收到銀行通知USD13551</t>
        </r>
      </text>
    </comment>
    <comment ref="K3422" authorId="0" shapeId="0" xr:uid="{EFC4A412-6322-C24D-9111-FD24E44C2C5D}">
      <text>
        <r>
          <rPr>
            <sz val="10"/>
            <color rgb="FF000000"/>
            <rFont val="Aptos Narrow"/>
            <scheme val="minor"/>
          </rPr>
          <t>======
ID#AAABjx7qNI0
    (2025-05-21 11:33:23)
3/25要付款完畢</t>
        </r>
      </text>
    </comment>
    <comment ref="R3422" authorId="0" shapeId="0" xr:uid="{8CBB29FC-BF86-1447-A825-816DCE5C7152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ID#AAABjx7qMxE
</t>
        </r>
        <r>
          <rPr>
            <sz val="10"/>
            <color rgb="FF000000"/>
            <rFont val="Aptos Narrow"/>
          </rPr>
          <t xml:space="preserve">    (2025-05-21 11:33:23)
</t>
        </r>
        <r>
          <rPr>
            <sz val="10"/>
            <color rgb="FF000000"/>
            <rFont val="Aptos Narrow"/>
            <scheme val="minor"/>
          </rPr>
          <t>匯率</t>
        </r>
        <r>
          <rPr>
            <sz val="10"/>
            <color rgb="FF000000"/>
            <rFont val="Aptos Narrow"/>
          </rPr>
          <t>30</t>
        </r>
      </text>
    </comment>
    <comment ref="S3422" authorId="0" shapeId="0" xr:uid="{8DFF94F7-20E3-CC48-BD26-7B41BC5FFC8A}">
      <text>
        <r>
          <rPr>
            <sz val="10"/>
            <color rgb="FF000000"/>
            <rFont val="Aptos Narrow"/>
            <scheme val="minor"/>
          </rPr>
          <t>======
ID#AAABjx7qS7Y
    (2025-05-21 11:33:26)
3/31 入帳</t>
        </r>
      </text>
    </comment>
    <comment ref="K3423" authorId="0" shapeId="0" xr:uid="{A3550C70-A2A0-3247-8CC9-55D895F5B8FE}">
      <text>
        <r>
          <rPr>
            <sz val="10"/>
            <color rgb="FF000000"/>
            <rFont val="Aptos Narrow"/>
            <scheme val="minor"/>
          </rPr>
          <t>======
ID#AAABjx7qNqY
    (2025-05-21 11:33:23)
3/25要付款完畢</t>
        </r>
      </text>
    </comment>
    <comment ref="R3423" authorId="0" shapeId="0" xr:uid="{55E99247-AB4B-1546-9E86-FD91D80DE752}">
      <text>
        <r>
          <rPr>
            <sz val="10"/>
            <color rgb="FF000000"/>
            <rFont val="Aptos Narrow"/>
            <scheme val="minor"/>
          </rPr>
          <t>======
ID#AAABjx7qVBk
    (2025-05-21 11:33:27)
匯率30</t>
        </r>
      </text>
    </comment>
    <comment ref="S3423" authorId="0" shapeId="0" xr:uid="{2A068C32-D3F5-3042-BEB9-1FD64864EF88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ID#AAABjx7qWaM
</t>
        </r>
        <r>
          <rPr>
            <sz val="10"/>
            <color rgb="FF000000"/>
            <rFont val="Aptos Narrow"/>
          </rPr>
          <t xml:space="preserve">    (2025-05-21 11:33:27)
</t>
        </r>
        <r>
          <rPr>
            <sz val="10"/>
            <color rgb="FF000000"/>
            <rFont val="Aptos Narrow"/>
          </rPr>
          <t xml:space="preserve">3/31 </t>
        </r>
        <r>
          <rPr>
            <sz val="10"/>
            <color rgb="FF000000"/>
            <rFont val="Aptos Narrow"/>
            <scheme val="minor"/>
          </rPr>
          <t>入帳</t>
        </r>
      </text>
    </comment>
    <comment ref="K3424" authorId="0" shapeId="0" xr:uid="{4F8E63D9-AD25-EA4C-8B82-A71C4FB685F8}">
      <text>
        <r>
          <rPr>
            <sz val="10"/>
            <color rgb="FF000000"/>
            <rFont val="Aptos Narrow"/>
            <scheme val="minor"/>
          </rPr>
          <t>======
ID#AAABjx7qSNk
    (2025-05-21 11:33:26)
CHLOE 4/25前付款</t>
        </r>
      </text>
    </comment>
    <comment ref="R3424" authorId="0" shapeId="0" xr:uid="{1A81D744-653A-7F4D-BE6D-187C01505364}">
      <text>
        <r>
          <rPr>
            <sz val="10"/>
            <color rgb="FF000000"/>
            <rFont val="Aptos Narrow"/>
            <scheme val="minor"/>
          </rPr>
          <t>======
ID#AAABjx7qMyM
    (2025-05-21 11:33:23)
匯率30</t>
        </r>
      </text>
    </comment>
    <comment ref="S3424" authorId="0" shapeId="0" xr:uid="{A82F7ADB-B781-E741-8A9D-CC34F175416E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ID#AAABjx7qTi8
</t>
        </r>
        <r>
          <rPr>
            <sz val="10"/>
            <color rgb="FF000000"/>
            <rFont val="Aptos Narrow"/>
          </rPr>
          <t xml:space="preserve">Santiago 0505    (2025-05-21 11:33:26)
</t>
        </r>
        <r>
          <rPr>
            <sz val="10"/>
            <color rgb="FF000000"/>
            <rFont val="Aptos Narrow"/>
          </rPr>
          <t xml:space="preserve">0430 </t>
        </r>
        <r>
          <rPr>
            <sz val="10"/>
            <color rgb="FF000000"/>
            <rFont val="Aptos Narrow"/>
            <scheme val="minor"/>
          </rPr>
          <t>已匯款</t>
        </r>
      </text>
    </comment>
    <comment ref="K3425" authorId="0" shapeId="0" xr:uid="{285C238A-E393-FC41-B475-B75DF364B12C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ID#AAABjx7qNy0
</t>
        </r>
        <r>
          <rPr>
            <sz val="10"/>
            <color rgb="FF000000"/>
            <rFont val="Aptos Narrow"/>
          </rPr>
          <t xml:space="preserve">    (2025-05-21 11:33:23)
</t>
        </r>
        <r>
          <rPr>
            <sz val="10"/>
            <color rgb="FF000000"/>
            <rFont val="Aptos Narrow"/>
          </rPr>
          <t>3/25</t>
        </r>
        <r>
          <rPr>
            <sz val="10"/>
            <color rgb="FF000000"/>
            <rFont val="Aptos Narrow"/>
            <scheme val="minor"/>
          </rPr>
          <t>要付款完畢</t>
        </r>
      </text>
    </comment>
    <comment ref="M3425" authorId="0" shapeId="0" xr:uid="{965029A1-5AB6-F04C-8685-0EF8810C32D9}">
      <text>
        <r>
          <rPr>
            <sz val="10"/>
            <color rgb="FF000000"/>
            <rFont val="Aptos Narrow"/>
            <scheme val="minor"/>
          </rPr>
          <t>======
ID#AAABjx7qU8k
    (2025-05-21 11:33:27)
0325 michelle: 再push</t>
        </r>
      </text>
    </comment>
    <comment ref="R3425" authorId="0" shapeId="0" xr:uid="{31A9246D-AE86-4D4E-8CF1-2955DAFB7BA8}">
      <text>
        <r>
          <rPr>
            <sz val="10"/>
            <color rgb="FF000000"/>
            <rFont val="Aptos Narrow"/>
            <scheme val="minor"/>
          </rPr>
          <t>======
ID#AAABjx7qQ1o
    (2025-05-21 11:33:25)
匯率30</t>
        </r>
      </text>
    </comment>
    <comment ref="S3425" authorId="0" shapeId="0" xr:uid="{FF42147D-5753-2B4E-9291-9CBED3F0416A}">
      <text>
        <r>
          <rPr>
            <sz val="10"/>
            <color rgb="FF000000"/>
            <rFont val="Aptos Narrow"/>
            <scheme val="minor"/>
          </rPr>
          <t>======
ID#AAABjx7qTOE
    (2025-05-21 11:33:26)
0528 chloe 已通知結算，預計0625追貨款
0703 已入帳</t>
        </r>
      </text>
    </comment>
    <comment ref="H3426" authorId="0" shapeId="0" xr:uid="{6A5FA845-39B2-2843-906B-51EBCC651C86}">
      <text>
        <r>
          <rPr>
            <sz val="10"/>
            <color rgb="FF000000"/>
            <rFont val="Aptos Narrow"/>
            <scheme val="minor"/>
          </rPr>
          <t>======
ID#AAABjx7qQ_w
    (2025-05-21 11:33:25)
0527 chloe 催款預計0625
0602 chloe 發票開立匯率已5/4央行30.69開立</t>
        </r>
      </text>
    </comment>
    <comment ref="J3426" authorId="0" shapeId="0" xr:uid="{13C53621-4E01-6B49-9E29-4AEF5F351B4E}">
      <text>
        <r>
          <rPr>
            <sz val="10"/>
            <color rgb="FF000000"/>
            <rFont val="Aptos Narrow"/>
            <scheme val="minor"/>
          </rPr>
          <t>======
ID#AAABjx7qRHc
0421 Forster    (2025-05-21 11:33:25)
連維修換下的SSD一同寄回</t>
        </r>
      </text>
    </comment>
    <comment ref="K3426" authorId="0" shapeId="0" xr:uid="{C60B8197-E3D8-2B4F-B26F-6B3764CCE7FD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ID#AAABjx7qPRU
</t>
        </r>
        <r>
          <rPr>
            <sz val="10"/>
            <color rgb="FF000000"/>
            <rFont val="Aptos Narrow"/>
          </rPr>
          <t xml:space="preserve">    (2025-05-21 11:33:24)
</t>
        </r>
        <r>
          <rPr>
            <sz val="10"/>
            <color rgb="FF000000"/>
            <rFont val="Aptos Narrow"/>
          </rPr>
          <t xml:space="preserve">5/5 michelle : </t>
        </r>
        <r>
          <rPr>
            <sz val="10"/>
            <color rgb="FF000000"/>
            <rFont val="Aptos Narrow"/>
            <scheme val="minor"/>
          </rPr>
          <t>業務說</t>
        </r>
        <r>
          <rPr>
            <sz val="10"/>
            <color rgb="FF000000"/>
            <rFont val="Aptos Narrow"/>
          </rPr>
          <t xml:space="preserve">5/8 </t>
        </r>
        <r>
          <rPr>
            <sz val="10"/>
            <color rgb="FF000000"/>
            <rFont val="Aptos Narrow"/>
            <scheme val="minor"/>
          </rPr>
          <t>親送</t>
        </r>
      </text>
    </comment>
    <comment ref="S3426" authorId="0" shapeId="0" xr:uid="{8112896E-A8E1-0240-83E3-9DA07B399EFA}">
      <text>
        <r>
          <rPr>
            <sz val="10"/>
            <color rgb="FF000000"/>
            <rFont val="Aptos Narrow"/>
            <scheme val="minor"/>
          </rPr>
          <t>======
ID#AAABjx7qQIU
    (2025-05-21 11:33:25)
0528 chloe 已通知結算，預計0625追貨款
0703 已入帳</t>
        </r>
      </text>
    </comment>
    <comment ref="V3426" authorId="0" shapeId="0" xr:uid="{4595B661-B2EA-A94E-9B6B-220CEE069D07}">
      <text>
        <r>
          <rPr>
            <sz val="10"/>
            <color rgb="FF000000"/>
            <rFont val="Aptos Narrow"/>
            <scheme val="minor"/>
          </rPr>
          <t>======
ID#AAABjx7qV2E
    (2025-05-21 11:33:27)
0421 michelle: 沖5月份應收帳款</t>
        </r>
      </text>
    </comment>
    <comment ref="Z3426" authorId="0" shapeId="0" xr:uid="{3D5CB9E6-AC54-AF4E-B204-CA9684DC055D}">
      <text>
        <r>
          <rPr>
            <sz val="10"/>
            <color rgb="FF000000"/>
            <rFont val="Aptos Narrow"/>
            <scheme val="minor"/>
          </rPr>
          <t>======
ID#AAABjx7qUrY
    (2025-05-21 11:33:26)
0602 chloe 發票金額含PI-20150423A</t>
        </r>
      </text>
    </comment>
    <comment ref="G3427" authorId="0" shapeId="0" xr:uid="{367F6CA5-644B-2A46-9B5F-0F1075F970CA}">
      <text>
        <r>
          <rPr>
            <sz val="10"/>
            <color rgb="FF000000"/>
            <rFont val="Aptos Narrow"/>
            <scheme val="minor"/>
          </rPr>
          <t>======
ID#AAABjx7qQa8
    (2025-05-21 11:33:25)
Forster 0401: Margin 50%</t>
        </r>
      </text>
    </comment>
    <comment ref="R3427" authorId="0" shapeId="0" xr:uid="{0B8829C4-822A-5F4D-8D8D-0D80A545AA4D}">
      <text>
        <r>
          <rPr>
            <sz val="10"/>
            <color rgb="FF000000"/>
            <rFont val="Aptos Narrow"/>
            <scheme val="minor"/>
          </rPr>
          <t>======
ID#AAABjx7qWS8
    (2025-05-21 11:33:27)
匯率31.2</t>
        </r>
      </text>
    </comment>
    <comment ref="S3427" authorId="0" shapeId="0" xr:uid="{941B5CAE-5D23-F04D-9EDA-5639137F604E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ID#AAABjx7qQHs
</t>
        </r>
        <r>
          <rPr>
            <sz val="10"/>
            <color rgb="FF000000"/>
            <rFont val="Aptos Narrow"/>
          </rPr>
          <t xml:space="preserve">    (2025-05-21 11:33:25)
</t>
        </r>
        <r>
          <rPr>
            <sz val="10"/>
            <color rgb="FF000000"/>
            <rFont val="Aptos Narrow"/>
          </rPr>
          <t>0426 chloe:5/25</t>
        </r>
        <r>
          <rPr>
            <sz val="10"/>
            <color rgb="FF000000"/>
            <rFont val="Aptos Narrow"/>
            <scheme val="minor"/>
          </rPr>
          <t>追貨款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>0528 chloe:</t>
        </r>
        <r>
          <rPr>
            <sz val="10"/>
            <color rgb="FF000000"/>
            <rFont val="Aptos Narrow"/>
            <scheme val="minor"/>
          </rPr>
          <t>已通知業務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>0601 chloe:</t>
        </r>
        <r>
          <rPr>
            <sz val="10"/>
            <color rgb="FF000000"/>
            <rFont val="Aptos Narrow"/>
            <scheme val="minor"/>
          </rPr>
          <t>已收到款項</t>
        </r>
      </text>
    </comment>
    <comment ref="C3428" authorId="0" shapeId="0" xr:uid="{16AD043C-C95A-BA48-B7CD-06BDF6433382}">
      <text>
        <r>
          <rPr>
            <sz val="10"/>
            <color rgb="FF000000"/>
            <rFont val="Aptos Narrow"/>
            <scheme val="minor"/>
          </rPr>
          <t>======
ID#AAABjx7qM94
    (2025-05-21 11:33:23)
0526 chloe 已詢問Santiago 5/26會取回
0529 michelle 6/12
0612 michelle 0615寄還Nicky</t>
        </r>
      </text>
    </comment>
    <comment ref="S3429" authorId="0" shapeId="0" xr:uid="{92DCCF7F-2846-774C-9C8C-FD995D9744D1}">
      <text>
        <r>
          <rPr>
            <sz val="10"/>
            <color rgb="FF000000"/>
            <rFont val="Aptos Narrow"/>
            <scheme val="minor"/>
          </rPr>
          <t>======
ID#AAABjx7qRsw
    (2025-05-21 11:33:25)
0715 Santiago : 玉山已入帳</t>
        </r>
      </text>
    </comment>
    <comment ref="AA3429" authorId="0" shapeId="0" xr:uid="{19D34B8F-1468-6940-BC47-827613789476}">
      <text>
        <r>
          <rPr>
            <sz val="10"/>
            <color rgb="FF000000"/>
            <rFont val="Aptos Narrow"/>
            <scheme val="minor"/>
          </rPr>
          <t>======
ID#AAABjx7qQYI
    (2025-05-21 11:33:25)
有一筆6月份暫收款 NTD29385
會與 7/16出貨 此筆 帳款NTD18900  對沖帳款金額
目前餘額暫收款剩 NTD 10,485  請知 悉  謝謝</t>
        </r>
      </text>
    </comment>
    <comment ref="S3430" authorId="0" shapeId="0" xr:uid="{2C5E9BF0-B24D-6440-B134-FF4E9BF150EA}">
      <text>
        <r>
          <rPr>
            <sz val="10"/>
            <color rgb="FF000000"/>
            <rFont val="Aptos Narrow"/>
            <scheme val="minor"/>
          </rPr>
          <t>======
ID#AAABjx7qSdk
    (2025-05-21 11:33:26)
0715 Santiago : 玉山已入帳</t>
        </r>
      </text>
    </comment>
    <comment ref="AA3430" authorId="0" shapeId="0" xr:uid="{4496174F-B4F0-6544-868A-486ECA0F28CD}">
      <text>
        <r>
          <rPr>
            <sz val="10"/>
            <color rgb="FF000000"/>
            <rFont val="Aptos Narrow"/>
            <scheme val="minor"/>
          </rPr>
          <t>======
ID#AAABjx7qRis
    (2025-05-21 11:33:25)
有一筆6月份暫收款 NTD29385
會與 7/16出貨 此筆 帳款NTD18900  對沖帳款金額
目前餘額暫收款剩 NTD 10,485  請知 悉  謝謝</t>
        </r>
      </text>
    </comment>
    <comment ref="S3431" authorId="0" shapeId="0" xr:uid="{3B359CDC-22F8-D749-B833-43378B1D1979}">
      <text>
        <r>
          <rPr>
            <sz val="10"/>
            <color rgb="FF000000"/>
            <rFont val="Aptos Narrow"/>
            <scheme val="minor"/>
          </rPr>
          <t>======
ID#AAABjx7qRI4
    (2025-05-21 11:33:25)
0305 匯入</t>
        </r>
      </text>
    </comment>
    <comment ref="S3432" authorId="0" shapeId="0" xr:uid="{499C267F-EA59-D846-9EEC-DFA623BD0C86}">
      <text>
        <r>
          <rPr>
            <sz val="10"/>
            <color rgb="FF000000"/>
            <rFont val="Aptos Narrow"/>
            <scheme val="minor"/>
          </rPr>
          <t>======
ID#AAABjx7qQ1I
    (2025-05-21 11:33:25)
0305 匯入</t>
        </r>
      </text>
    </comment>
    <comment ref="E3433" authorId="0" shapeId="0" xr:uid="{E514E279-B1B4-5E42-A4F4-0C62A254D24C}">
      <text>
        <r>
          <rPr>
            <sz val="10"/>
            <color rgb="FF000000"/>
            <rFont val="Aptos Narrow"/>
            <scheme val="minor"/>
          </rPr>
          <t>======
ID#AAABjx7qOa8
    (2025-05-21 11:33:24)
150302 Karen: 下單EU電源</t>
        </r>
      </text>
    </comment>
    <comment ref="S3433" authorId="0" shapeId="0" xr:uid="{BA15DDBE-41BC-3440-B222-38DEA9C95CD4}">
      <text>
        <r>
          <rPr>
            <sz val="10"/>
            <color rgb="FF000000"/>
            <rFont val="Aptos Narrow"/>
            <scheme val="minor"/>
          </rPr>
          <t>======
ID#AAABjx7qP6c
    (2025-05-21 11:33:24)
0305 匯入</t>
        </r>
      </text>
    </comment>
    <comment ref="S3434" authorId="0" shapeId="0" xr:uid="{7E67442D-7FBC-054D-B251-E1C9B8BF44A6}">
      <text>
        <r>
          <rPr>
            <sz val="10"/>
            <color rgb="FF000000"/>
            <rFont val="Aptos Narrow"/>
            <scheme val="minor"/>
          </rPr>
          <t>======
ID#AAABjx7qQTY
    (2025-05-21 11:33:25)
0305 匯入</t>
        </r>
      </text>
    </comment>
    <comment ref="S3435" authorId="0" shapeId="0" xr:uid="{4B44734E-1203-D347-83B4-6E9C57AD9D58}">
      <text>
        <r>
          <rPr>
            <sz val="10"/>
            <color rgb="FF000000"/>
            <rFont val="Aptos Narrow"/>
            <scheme val="minor"/>
          </rPr>
          <t>======
ID#AAABjx7qRUY
    (2025-05-21 11:33:25)
0305 匯入</t>
        </r>
      </text>
    </comment>
    <comment ref="Q3436" authorId="0" shapeId="0" xr:uid="{0AADB673-8B67-6B4D-A2F3-DAA63208A0C0}">
      <text>
        <r>
          <rPr>
            <sz val="10"/>
            <color rgb="FF000000"/>
            <rFont val="Aptos Narrow"/>
            <scheme val="minor"/>
          </rPr>
          <t>======
ID#AAABjx7qSLY
    (2025-05-21 11:33:26)
151014 扣抵金額(含稅)US$567元,應支付貨款(含稅)為US$3118.5元</t>
        </r>
      </text>
    </comment>
    <comment ref="S3436" authorId="0" shapeId="0" xr:uid="{01D629B2-42B1-CF4F-81C1-BA7FF633C90F}">
      <text>
        <r>
          <rPr>
            <sz val="10"/>
            <color rgb="FF000000"/>
            <rFont val="Aptos Narrow"/>
            <scheme val="minor"/>
          </rPr>
          <t>======
ID#AAABjx7qVVg
    (2025-05-21 11:33:27)
10/26 michelle: tcb-bank通知匯入USD3739</t>
        </r>
      </text>
    </comment>
    <comment ref="Q3437" authorId="0" shapeId="0" xr:uid="{C92DA611-5198-684A-9760-3D6DB38DB718}">
      <text>
        <r>
          <rPr>
            <sz val="10"/>
            <color rgb="FF000000"/>
            <rFont val="Aptos Narrow"/>
            <scheme val="minor"/>
          </rPr>
          <t>======
ID#AAABjx7qOCo
    (2025-05-21 11:33:24)
151110 扣抵金額(含稅)US$283.5元,應支付貨款(含稅)為US$1501.5元</t>
        </r>
      </text>
    </comment>
    <comment ref="S3437" authorId="0" shapeId="0" xr:uid="{748D94D2-CE50-AF48-8B52-3D1244A65E3F}">
      <text>
        <r>
          <rPr>
            <sz val="10"/>
            <color rgb="FF000000"/>
            <rFont val="Aptos Narrow"/>
            <scheme val="minor"/>
          </rPr>
          <t>======
ID#AAABjx7qWEI
    (2025-05-21 11:33:27)
11/18 : TCB通知匯入款共USD2599</t>
        </r>
      </text>
    </comment>
    <comment ref="Q3438" authorId="0" shapeId="0" xr:uid="{291C93D1-5E15-0441-BBA7-3EA775488285}">
      <text>
        <r>
          <rPr>
            <sz val="10"/>
            <color rgb="FF000000"/>
            <rFont val="Aptos Narrow"/>
            <scheme val="minor"/>
          </rPr>
          <t>======
ID#AAABjx7qTXw
    (2025-05-21 11:33:26)
151110 扣抵金額(含稅)US$126元,應支付貨款(含稅)為US$693元</t>
        </r>
      </text>
    </comment>
    <comment ref="S3438" authorId="0" shapeId="0" xr:uid="{2A6DB0D5-B3B9-5F42-BAA4-7C4B1710669D}">
      <text>
        <r>
          <rPr>
            <sz val="10"/>
            <color rgb="FF000000"/>
            <rFont val="Aptos Narrow"/>
            <scheme val="minor"/>
          </rPr>
          <t>======
ID#AAABjx7qSC4
    (2025-05-21 11:33:25)
11/18 : TCB通知匯入款共USD2599</t>
        </r>
      </text>
    </comment>
    <comment ref="S3439" authorId="0" shapeId="0" xr:uid="{F8FC59DB-31FE-D942-B37E-D412E6DB177D}">
      <text>
        <r>
          <rPr>
            <sz val="10"/>
            <color rgb="FF000000"/>
            <rFont val="Aptos Narrow"/>
            <scheme val="minor"/>
          </rPr>
          <t>======
ID#AAABjx7qN1s
    (2025-05-21 11:33:23)
20151224 Santiago: 收到銀行通知</t>
        </r>
      </text>
    </comment>
    <comment ref="S3440" authorId="0" shapeId="0" xr:uid="{A4FB9740-A01E-C64E-AD49-51D1439E3D8F}">
      <text>
        <r>
          <rPr>
            <sz val="10"/>
            <color rgb="FF000000"/>
            <rFont val="Aptos Narrow"/>
            <scheme val="minor"/>
          </rPr>
          <t>======
ID#AAABjx7qS6c
    (2025-05-21 11:33:26)
20151224 Santiago: 收到銀行通知</t>
        </r>
      </text>
    </comment>
    <comment ref="E3441" authorId="0" shapeId="0" xr:uid="{E94886FD-6359-AE48-97D2-CE46849F21C4}">
      <text>
        <r>
          <rPr>
            <sz val="10"/>
            <color rgb="FF000000"/>
            <rFont val="Aptos Narrow"/>
            <scheme val="minor"/>
          </rPr>
          <t>======
ID#AAABjx7qNOE
    (2025-05-21 11:33:23)
151209 Karen: 下單EU電源</t>
        </r>
      </text>
    </comment>
    <comment ref="S3441" authorId="0" shapeId="0" xr:uid="{E8EDF21B-F152-5440-BD98-A8EF71CBB328}">
      <text>
        <r>
          <rPr>
            <sz val="10"/>
            <color rgb="FF000000"/>
            <rFont val="Aptos Narrow"/>
            <scheme val="minor"/>
          </rPr>
          <t>======
ID#AAABj82dpLw
    (2025-05-21 11:33:23)
20151224 Santiago: 收到銀行通知</t>
        </r>
      </text>
    </comment>
    <comment ref="Q3442" authorId="0" shapeId="0" xr:uid="{04983DC5-2759-B345-87F9-F717377450FB}">
      <text>
        <r>
          <rPr>
            <sz val="10"/>
            <color rgb="FF000000"/>
            <rFont val="Aptos Narrow"/>
            <scheme val="minor"/>
          </rPr>
          <t>======
ID#AAABjx7qSaU
    (2025-05-21 11:33:26)
151215 扣抵金額(含稅)US$567元,應支付貨款(含稅)為US$3118.5元</t>
        </r>
      </text>
    </comment>
    <comment ref="S3442" authorId="0" shapeId="0" xr:uid="{4AABB5E3-75DF-004E-A610-F8330EE9182C}">
      <text>
        <r>
          <rPr>
            <sz val="10"/>
            <color rgb="FF000000"/>
            <rFont val="Aptos Narrow"/>
            <scheme val="minor"/>
          </rPr>
          <t>======
ID#AAABjx7qQFo
    (2025-05-21 11:33:25)
20151224 Santiago: 收到銀行通知</t>
        </r>
      </text>
    </comment>
    <comment ref="D3443" authorId="0" shapeId="0" xr:uid="{57A46EB1-8235-A642-92B8-29D35D867177}">
      <text>
        <r>
          <rPr>
            <sz val="10"/>
            <color rgb="FF000000"/>
            <rFont val="Aptos Narrow"/>
            <scheme val="minor"/>
          </rPr>
          <t>======
ID#AAABjx7qP00
    (2025-05-21 11:33:24)
PI-20141222B為RMA，預計2015結案</t>
        </r>
      </text>
    </comment>
    <comment ref="M3443" authorId="0" shapeId="0" xr:uid="{1CA71689-24F9-DF46-B86F-4BFC9DCADAF2}">
      <text>
        <r>
          <rPr>
            <sz val="10"/>
            <color rgb="FF000000"/>
            <rFont val="Aptos Narrow"/>
            <scheme val="minor"/>
          </rPr>
          <t>======
ID#AAABjx7qR_8
    (2025-05-21 11:33:25)
0105 Forster點收</t>
        </r>
      </text>
    </comment>
    <comment ref="R3443" authorId="0" shapeId="0" xr:uid="{CDD8AF9E-A7F2-0E45-9C59-36D41F4F05AF}">
      <text>
        <r>
          <rPr>
            <sz val="10"/>
            <color rgb="FF000000"/>
            <rFont val="Aptos Narrow"/>
            <scheme val="minor"/>
          </rPr>
          <t>======
ID#AAABjx7qNtI
    (2025-05-21 11:33:23)
匯率30</t>
        </r>
      </text>
    </comment>
    <comment ref="S3444" authorId="0" shapeId="0" xr:uid="{C2B49FDA-58D8-2C4C-AE19-68DBC86EAD3D}">
      <text>
        <r>
          <rPr>
            <sz val="10"/>
            <color rgb="FF000000"/>
            <rFont val="Aptos Narrow"/>
            <scheme val="minor"/>
          </rPr>
          <t>======
ID#AAABjx7qRDg
    (2025-05-21 11:33:25)
1204 收到匯款</t>
        </r>
      </text>
    </comment>
    <comment ref="J3445" authorId="0" shapeId="0" xr:uid="{D0D71BAA-1F87-0A41-8579-C24485B90AC2}">
      <text>
        <r>
          <rPr>
            <sz val="10"/>
            <color rgb="FF000000"/>
            <rFont val="Aptos Narrow"/>
            <scheme val="minor"/>
          </rPr>
          <t>======
ID#AAABj82dpJM
    (2025-05-21 11:33:23)
JUDY KAO
Supervisor Of Sales Div.
FETA FREIGHT SYSTEMS (TAIWAN ) LTD. 
Tel: +886-3-399-2033 EXT: 135
Direct: +886-3-3992106
Fax: +886-3-3992036/2055
E-mail: judykao@ffsi.com.tw
Skype:judykao-mlattao</t>
        </r>
      </text>
    </comment>
    <comment ref="O3445" authorId="0" shapeId="0" xr:uid="{CA87C96B-9E18-2947-B7A2-065DF7016093}">
      <text>
        <r>
          <rPr>
            <sz val="10"/>
            <color rgb="FF000000"/>
            <rFont val="Aptos Narrow"/>
            <scheme val="minor"/>
          </rPr>
          <t>======
ID#AAABjx7qNII
    (2025-05-21 11:33:23)
150115 Karen: 分批出貨</t>
        </r>
      </text>
    </comment>
    <comment ref="S3445" authorId="0" shapeId="0" xr:uid="{C0AA52A4-A0CC-4A40-A58D-80933885883D}">
      <text>
        <r>
          <rPr>
            <sz val="10"/>
            <color rgb="FF000000"/>
            <rFont val="Aptos Narrow"/>
            <scheme val="minor"/>
          </rPr>
          <t>======
ID#AAABjx7qNs8
    (2025-05-21 11:33:23)
1/21 收到匯款</t>
        </r>
      </text>
    </comment>
    <comment ref="J3446" authorId="0" shapeId="0" xr:uid="{A7C5CE57-D734-814B-A877-AB0D07646303}">
      <text>
        <r>
          <rPr>
            <sz val="10"/>
            <color rgb="FF000000"/>
            <rFont val="Aptos Narrow"/>
            <scheme val="minor"/>
          </rPr>
          <t>======
ID#AAABjx7qVKY
    (2025-05-21 11:33:27)
AVIHS Technologies</t>
        </r>
      </text>
    </comment>
    <comment ref="O3446" authorId="0" shapeId="0" xr:uid="{38DAF902-5AAD-5544-93F7-1E30785C55D8}">
      <text>
        <r>
          <rPr>
            <sz val="10"/>
            <color rgb="FF000000"/>
            <rFont val="Aptos Narrow"/>
            <scheme val="minor"/>
          </rPr>
          <t>======
ID#AAABjx7qQgo
    (2025-05-21 11:33:25)
150115 Karen: 分批出貨</t>
        </r>
      </text>
    </comment>
    <comment ref="J3449" authorId="0" shapeId="0" xr:uid="{A4488761-0DA5-AE46-870D-0C5F6CFECBCA}">
      <text>
        <r>
          <rPr>
            <sz val="10"/>
            <color rgb="FF000000"/>
            <rFont val="Aptos Narrow"/>
            <scheme val="minor"/>
          </rPr>
          <t>======
ID#AAABjx7qU14
    (2025-05-21 11:33:26)
AVIHS Technologies</t>
        </r>
      </text>
    </comment>
    <comment ref="S3449" authorId="0" shapeId="0" xr:uid="{34B6F8BE-EA4E-5948-800C-8773BBE9E95A}">
      <text>
        <r>
          <rPr>
            <sz val="10"/>
            <color rgb="FF000000"/>
            <rFont val="Aptos Narrow"/>
            <scheme val="minor"/>
          </rPr>
          <t>======
ID#AAABjx7qOSc
    (2025-05-21 11:33:24)
2/3 入帳</t>
        </r>
      </text>
    </comment>
    <comment ref="E3450" authorId="0" shapeId="0" xr:uid="{7C473FAB-ECC5-0445-9A7D-667507BABB9B}">
      <text>
        <r>
          <rPr>
            <sz val="10"/>
            <color rgb="FF000000"/>
            <rFont val="Aptos Narrow"/>
            <scheme val="minor"/>
          </rPr>
          <t>======
ID#AAABjx7qVlg
    (2025-05-21 11:33:27)
150209 Karen: EU電源</t>
        </r>
      </text>
    </comment>
    <comment ref="J3450" authorId="0" shapeId="0" xr:uid="{D327FC5D-9BD2-544A-8015-66B4BCF2F45E}">
      <text>
        <r>
          <rPr>
            <sz val="10"/>
            <color rgb="FF000000"/>
            <rFont val="Aptos Narrow"/>
            <scheme val="minor"/>
          </rPr>
          <t>======
ID#AAABjx7qOhs
    (2025-05-21 11:33:24)
AVIHS Technologies</t>
        </r>
      </text>
    </comment>
    <comment ref="S3450" authorId="0" shapeId="0" xr:uid="{5E6B9B55-A706-244C-97B0-BE0E86280FFA}">
      <text>
        <r>
          <rPr>
            <sz val="10"/>
            <color rgb="FF000000"/>
            <rFont val="Aptos Narrow"/>
            <scheme val="minor"/>
          </rPr>
          <t>======
ID#AAABjx7qMxI
    (2025-05-21 11:33:23)
0211 Santiago: 收到匯款</t>
        </r>
      </text>
    </comment>
    <comment ref="J3451" authorId="0" shapeId="0" xr:uid="{607F91D8-FFB9-6B4E-9366-32E6D63C83C9}">
      <text>
        <r>
          <rPr>
            <sz val="10"/>
            <color rgb="FF000000"/>
            <rFont val="Aptos Narrow"/>
            <scheme val="minor"/>
          </rPr>
          <t>======
ID#AAABjx7qNZI
    (2025-05-21 11:33:23)
AVIHS Technologies</t>
        </r>
      </text>
    </comment>
    <comment ref="S3451" authorId="0" shapeId="0" xr:uid="{7D73AC15-9B35-CC4D-80DF-EB647D7FA13D}">
      <text>
        <r>
          <rPr>
            <sz val="10"/>
            <color rgb="FF000000"/>
            <rFont val="Aptos Narrow"/>
            <scheme val="minor"/>
          </rPr>
          <t>======
ID#AAABjx7qVC8
    (2025-05-21 11:33:27)
0303 chloe 收到水單</t>
        </r>
      </text>
    </comment>
    <comment ref="J3452" authorId="0" shapeId="0" xr:uid="{EF4D270A-2534-F244-AB04-F2E06E210E80}">
      <text>
        <r>
          <rPr>
            <sz val="10"/>
            <color rgb="FF000000"/>
            <rFont val="Aptos Narrow"/>
            <scheme val="minor"/>
          </rPr>
          <t>======
ID#AAABjx7qQVA
    (2025-05-21 11:33:25)
AVIHS Technologies</t>
        </r>
      </text>
    </comment>
    <comment ref="S3452" authorId="0" shapeId="0" xr:uid="{FE42360E-7D95-B44D-879C-ADCC3B963FC7}">
      <text>
        <r>
          <rPr>
            <sz val="10"/>
            <color rgb="FF000000"/>
            <rFont val="Aptos Narrow"/>
            <scheme val="minor"/>
          </rPr>
          <t>======
ID#AAABjx7qSTo
    (2025-05-21 11:33:26)
0303 chloe 收到水單</t>
        </r>
      </text>
    </comment>
    <comment ref="J3453" authorId="0" shapeId="0" xr:uid="{71BEF708-76FF-B347-AD5C-69AB96FE2454}">
      <text>
        <r>
          <rPr>
            <sz val="10"/>
            <color rgb="FF000000"/>
            <rFont val="Aptos Narrow"/>
            <scheme val="minor"/>
          </rPr>
          <t>======
ID#AAABjx7qTDA
    (2025-05-21 11:33:26)
AVIHS Technologies</t>
        </r>
      </text>
    </comment>
    <comment ref="S3453" authorId="0" shapeId="0" xr:uid="{5BDAED72-B481-3F43-B4C9-27534114919E}">
      <text>
        <r>
          <rPr>
            <sz val="10"/>
            <color rgb="FF000000"/>
            <rFont val="Aptos Narrow"/>
            <scheme val="minor"/>
          </rPr>
          <t>======
ID#AAABjx7qV4Y
    (2025-05-21 11:33:27)
0303 chloe 收到水單</t>
        </r>
      </text>
    </comment>
    <comment ref="J3454" authorId="0" shapeId="0" xr:uid="{AE0FD516-069F-5547-8D31-22D117278A8E}">
      <text>
        <r>
          <rPr>
            <sz val="10"/>
            <color rgb="FF000000"/>
            <rFont val="Aptos Narrow"/>
            <scheme val="minor"/>
          </rPr>
          <t>======
ID#AAABjx7qPgM
    (2025-05-21 11:33:24)
AVIHS Technologies</t>
        </r>
      </text>
    </comment>
    <comment ref="S3454" authorId="0" shapeId="0" xr:uid="{8D5A7D47-AD1B-9B44-A609-D53221379167}">
      <text>
        <r>
          <rPr>
            <sz val="10"/>
            <color rgb="FF000000"/>
            <rFont val="Aptos Narrow"/>
            <scheme val="minor"/>
          </rPr>
          <t>======
ID#AAABjx7qNXo
    (2025-05-21 11:33:23)
0320 銀行通知(01176)</t>
        </r>
      </text>
    </comment>
    <comment ref="C3455" authorId="0" shapeId="0" xr:uid="{CC04961B-85CB-EE44-A9A1-DADC3E9A10DA}">
      <text>
        <r>
          <rPr>
            <sz val="10"/>
            <color rgb="FF000000"/>
            <rFont val="Aptos Narrow"/>
            <scheme val="minor"/>
          </rPr>
          <t>======
ID#AAABjx7qQOA
    (2025-05-21 11:33:25)
Forster 0312
收到借測品，返還給Vic
Forster 0304
預計3/6轉出貨
Forster 0226
尚未，再確認
Santiago 02011 歸還否?</t>
        </r>
      </text>
    </comment>
    <comment ref="K3456" authorId="0" shapeId="0" xr:uid="{F271CD12-3FEC-5748-95C4-74E60B493F32}">
      <text>
        <r>
          <rPr>
            <sz val="10"/>
            <color rgb="FF000000"/>
            <rFont val="Aptos Narrow"/>
            <scheme val="minor"/>
          </rPr>
          <t>======
ID#AAABjx7qTeY
    (2025-05-21 11:33:26)
3/25要付款完畢</t>
        </r>
      </text>
    </comment>
    <comment ref="S3456" authorId="0" shapeId="0" xr:uid="{FF40C0A0-62AD-6D46-B8E4-E3B0345038EB}">
      <text>
        <r>
          <rPr>
            <sz val="10"/>
            <color rgb="FF000000"/>
            <rFont val="Aptos Narrow"/>
            <scheme val="minor"/>
          </rPr>
          <t>======
ID#AAABjx7qMzA
    (2025-05-21 11:33:23)
3/31 收到支票 NT2237
chloe：Santiago 將支票存入玉山戎克</t>
        </r>
      </text>
    </comment>
    <comment ref="S3457" authorId="0" shapeId="0" xr:uid="{F2BB6A9D-36DA-5242-B731-E9DB7A1C9601}">
      <text>
        <r>
          <rPr>
            <sz val="10"/>
            <color rgb="FF000000"/>
            <rFont val="Aptos Narrow"/>
            <scheme val="minor"/>
          </rPr>
          <t>======
ID#AAABjx7qSSs
    (2025-05-21 11:33:26)
chloe:0430收到支票</t>
        </r>
      </text>
    </comment>
    <comment ref="E3458" authorId="0" shapeId="0" xr:uid="{DD08FB5D-48E2-314A-BE11-78AFB30E9DE2}">
      <text>
        <r>
          <rPr>
            <sz val="10"/>
            <color rgb="FF000000"/>
            <rFont val="Aptos Narrow"/>
            <scheme val="minor"/>
          </rPr>
          <t>======
ID#AAABjx7qN-c
    (2025-05-21 11:33:24)
150319 Karen: 下單w/US adapter</t>
        </r>
      </text>
    </comment>
    <comment ref="S3458" authorId="0" shapeId="0" xr:uid="{21C9EDDF-AD1E-1E47-9CAE-84451D88DF4A}">
      <text>
        <r>
          <rPr>
            <sz val="10"/>
            <color rgb="FF000000"/>
            <rFont val="Aptos Narrow"/>
            <scheme val="minor"/>
          </rPr>
          <t>======
ID#AAABjx7qRgs
    (2025-05-21 11:33:25)
已通知,5月初付款
0528 chloe 預計6/3匯款 
0529 michelle: 5/29 支票</t>
        </r>
      </text>
    </comment>
    <comment ref="S3459" authorId="0" shapeId="0" xr:uid="{FD8645E2-A1CC-2F45-9888-B8C841F4F3C5}">
      <text>
        <r>
          <rPr>
            <sz val="10"/>
            <color rgb="FF000000"/>
            <rFont val="Aptos Narrow"/>
            <scheme val="minor"/>
          </rPr>
          <t>======
ID#AAABjx7qSdU
    (2025-05-21 11:33:26)
已通知,5月初付款
0526 chloe
 阿姐已通知匯款目前先進行卡貨動作
0528 chloe 預計6/3匯款
0529 michelle: 5/29 支票</t>
        </r>
      </text>
    </comment>
    <comment ref="S3460" authorId="0" shapeId="0" xr:uid="{E4FC7751-26A9-9041-A9FD-7BEB9F8F1B65}">
      <text>
        <r>
          <rPr>
            <sz val="10"/>
            <color rgb="FF000000"/>
            <rFont val="Aptos Narrow"/>
            <scheme val="minor"/>
          </rPr>
          <t>======
ID#AAABjx7qPS4
    (2025-05-21 11:33:24)
已通知,5月初付款
0526 chloe
 阿姐已通知匯款目前先進行卡貨動作
0529 michelle: 5/29 支票</t>
        </r>
      </text>
    </comment>
    <comment ref="S3461" authorId="0" shapeId="0" xr:uid="{B568A44D-4796-FE41-BD43-CA36A14D6B7D}">
      <text>
        <r>
          <rPr>
            <sz val="10"/>
            <color rgb="FF000000"/>
            <rFont val="Aptos Narrow"/>
            <scheme val="minor"/>
          </rPr>
          <t>======
ID#AAABjx7qQH8
    (2025-05-21 11:33:25)
已通知,5月初付款
0526 chloe
 阿姐已通知匯款目前先進行卡貨動作
0528 chloe 預計6/3匯款
0529 michelle: 5/29 支票</t>
        </r>
      </text>
    </comment>
    <comment ref="S3462" authorId="0" shapeId="0" xr:uid="{A18BA3A4-6BA2-9F48-82BC-2F22108282C5}">
      <text>
        <r>
          <rPr>
            <sz val="10"/>
            <color rgb="FF000000"/>
            <rFont val="Aptos Narrow"/>
            <scheme val="minor"/>
          </rPr>
          <t>======
ID#AAABjx7qOG0
    (2025-05-21 11:33:24)
已通知,5月初付款
0526 chloe
 阿姐已通知匯款目前先進行卡貨動作
0528 chloe 預計6/3匯款
0529michelle: 5/29 支票</t>
        </r>
      </text>
    </comment>
    <comment ref="S3463" authorId="0" shapeId="0" xr:uid="{AF108B64-04EE-A046-A4C7-58C1CDFE3F01}">
      <text>
        <r>
          <rPr>
            <sz val="10"/>
            <color rgb="FF000000"/>
            <rFont val="Aptos Narrow"/>
            <scheme val="minor"/>
          </rPr>
          <t>======
ID#AAABjx7qQ8I
    (2025-05-21 11:33:25)
已通知,5月初付款
0526 chloe
 阿姐已通知匯款目前先進行卡貨動作
0528 chloe 預計6/3匯款
0529 michelle: 5/29 支票</t>
        </r>
      </text>
    </comment>
    <comment ref="S3464" authorId="0" shapeId="0" xr:uid="{BB865037-045B-334D-AB15-A3684DE0ED33}">
      <text>
        <r>
          <rPr>
            <sz val="10"/>
            <color rgb="FF000000"/>
            <rFont val="Aptos Narrow"/>
            <scheme val="minor"/>
          </rPr>
          <t>======
ID#AAABjx7qVgs
    (2025-05-21 11:33:27)
已通知,5月初付款
0526 chloe
 阿姐已通知匯款目前先進行卡貨動作
0528 chloe 預計6/3匯款
0529 michelle: 5/29 支票</t>
        </r>
      </text>
    </comment>
    <comment ref="S3465" authorId="0" shapeId="0" xr:uid="{78D057FE-4168-C54B-8B4D-BBB6CDC7C748}">
      <text>
        <r>
          <rPr>
            <sz val="10"/>
            <color rgb="FF000000"/>
            <rFont val="Aptos Narrow"/>
            <scheme val="minor"/>
          </rPr>
          <t>======
ID#AAABjx7qN-k
    (2025-05-21 11:33:24)
0625結算，0725追款
0731 michelle: 支票到,轉回土城</t>
        </r>
      </text>
    </comment>
    <comment ref="S3466" authorId="0" shapeId="0" xr:uid="{CD245532-66E4-B54C-BF46-29FC23D718EE}">
      <text>
        <r>
          <rPr>
            <sz val="10"/>
            <color rgb="FF000000"/>
            <rFont val="Aptos Narrow"/>
            <scheme val="minor"/>
          </rPr>
          <t>======
ID#AAABjx7qUts
    (2025-05-21 11:33:26)
0529 michelle: 5/29 支票</t>
        </r>
      </text>
    </comment>
    <comment ref="S3467" authorId="0" shapeId="0" xr:uid="{3CC802D0-C778-0F44-91F4-847A904ED607}">
      <text>
        <r>
          <rPr>
            <sz val="10"/>
            <color rgb="FF000000"/>
            <rFont val="Aptos Narrow"/>
            <scheme val="minor"/>
          </rPr>
          <t>======
ID#AAABjx7qOFE
    (2025-05-21 11:33:24)
0529 michelle: 6/1-&gt;6/3 TT
0602 michelle: 客戶水單</t>
        </r>
      </text>
    </comment>
    <comment ref="S3468" authorId="0" shapeId="0" xr:uid="{687DFD4A-F4E5-1B42-AEC1-76E709266BEF}">
      <text>
        <r>
          <rPr>
            <sz val="10"/>
            <color rgb="FF000000"/>
            <rFont val="Aptos Narrow"/>
            <scheme val="minor"/>
          </rPr>
          <t>======
ID#AAABjx7qREM
    (2025-05-21 11:33:25)
Chloe 7/25結算  8/25追款
michelle 8/31 收到支票NTD4517轉交santiago</t>
        </r>
      </text>
    </comment>
    <comment ref="S3469" authorId="0" shapeId="0" xr:uid="{966668C5-408F-2E47-BD2B-365851E0ABC5}">
      <text>
        <r>
          <rPr>
            <sz val="10"/>
            <color rgb="FF000000"/>
            <rFont val="Aptos Narrow"/>
            <scheme val="minor"/>
          </rPr>
          <t>======
ID#AAABjx7qNAA
    (2025-05-21 11:33:23)
12/1 michelle 收到10月份貨款支票共NTD2066</t>
        </r>
      </text>
    </comment>
    <comment ref="S3470" authorId="0" shapeId="0" xr:uid="{0F9C94E3-2DA8-224E-BC43-5291CB36C66A}">
      <text>
        <r>
          <rPr>
            <sz val="10"/>
            <color rgb="FF000000"/>
            <rFont val="Aptos Narrow"/>
            <scheme val="minor"/>
          </rPr>
          <t>======
ID#AAABjx7qWO4
    (2025-05-21 11:33:27)
12/1 michelle 收到10月份貨款支票共NTD2066</t>
        </r>
      </text>
    </comment>
    <comment ref="S3471" authorId="0" shapeId="0" xr:uid="{5DE6A823-FBEB-D445-B01B-6940EFDF47CA}">
      <text>
        <r>
          <rPr>
            <sz val="10"/>
            <color rgb="FF000000"/>
            <rFont val="Aptos Narrow"/>
            <scheme val="minor"/>
          </rPr>
          <t>======
ID#AAABjx7qQsU
    (2025-05-21 11:33:25)
1/4 michelle: 支票付款三筆總計NTD16973 SA0058701</t>
        </r>
      </text>
    </comment>
    <comment ref="E3472" authorId="0" shapeId="0" xr:uid="{C989240C-E6DB-B14D-8797-91DDD1A1EE42}">
      <text>
        <r>
          <rPr>
            <sz val="10"/>
            <color rgb="FF000000"/>
            <rFont val="Aptos Narrow"/>
            <scheme val="minor"/>
          </rPr>
          <t>======
ID#AAABjx7qS_4
    (2025-05-21 11:33:26)
10/27 Karen: 下單US ADAPTER</t>
        </r>
      </text>
    </comment>
    <comment ref="S3472" authorId="0" shapeId="0" xr:uid="{E04A1C71-813D-FE47-B91B-09AB7EB42CB1}">
      <text>
        <r>
          <rPr>
            <sz val="10"/>
            <color rgb="FF000000"/>
            <rFont val="Aptos Narrow"/>
            <scheme val="minor"/>
          </rPr>
          <t>======
ID#AAABjx7qU6U
    (2025-05-21 11:33:27)
1/4 michelle: 支票付款三筆總計NTD16973 SA0058701</t>
        </r>
      </text>
    </comment>
    <comment ref="S3473" authorId="0" shapeId="0" xr:uid="{475B6782-BD9A-FD41-B91A-13E55FE88B97}">
      <text>
        <r>
          <rPr>
            <sz val="10"/>
            <color rgb="FF000000"/>
            <rFont val="Aptos Narrow"/>
            <scheme val="minor"/>
          </rPr>
          <t>======
ID#AAABjx7qVQc
    (2025-05-21 11:33:27)
1/4 michelle: 支票付款三筆總計NTD16973 SA0058701</t>
        </r>
      </text>
    </comment>
    <comment ref="E3474" authorId="0" shapeId="0" xr:uid="{07C7E04A-0377-B649-82F4-3EE5C83F9C49}">
      <text>
        <r>
          <rPr>
            <sz val="10"/>
            <color rgb="FF000000"/>
            <rFont val="Aptos Narrow"/>
            <scheme val="minor"/>
          </rPr>
          <t>======
ID#AAABjx7qTjE
    (2025-05-21 11:33:26)
151123 Karen: 下單歐規電源,正確型號EL100T-E</t>
        </r>
      </text>
    </comment>
    <comment ref="S3474" authorId="0" shapeId="0" xr:uid="{12D6A157-941C-E44A-8C14-40C006B16A5E}">
      <text>
        <r>
          <rPr>
            <sz val="10"/>
            <color rgb="FF000000"/>
            <rFont val="Aptos Narrow"/>
            <scheme val="minor"/>
          </rPr>
          <t>======
ID#AAABjx7qSPU
    (2025-05-21 11:33:26)
11/30 michelle: 玉山通知匯入款</t>
        </r>
      </text>
    </comment>
    <comment ref="S3475" authorId="0" shapeId="0" xr:uid="{012B4DC8-AF01-494A-ABBE-1A4295DFC224}">
      <text>
        <r>
          <rPr>
            <sz val="10"/>
            <color rgb="FF000000"/>
            <rFont val="Aptos Narrow"/>
            <scheme val="minor"/>
          </rPr>
          <t>======
ID#AAABjx7qVZw
    (2025-05-21 11:33:27)
11/30 michelle: 玉山通知匯入款</t>
        </r>
      </text>
    </comment>
    <comment ref="S3476" authorId="0" shapeId="0" xr:uid="{8F5FCB6F-15DA-9249-BD53-F47E0D136251}">
      <text>
        <r>
          <rPr>
            <sz val="10"/>
            <color rgb="FF000000"/>
            <rFont val="Aptos Narrow"/>
            <scheme val="minor"/>
          </rPr>
          <t>======
ID#AAABjx7qWIc
Santiago 0422    (2025-05-21 11:33:27)
收到銀行通知</t>
        </r>
      </text>
    </comment>
    <comment ref="E3477" authorId="0" shapeId="0" xr:uid="{10DE4A69-E5A5-4E4B-9A52-A997B243F106}">
      <text>
        <r>
          <rPr>
            <sz val="10"/>
            <color rgb="FF000000"/>
            <rFont val="Aptos Narrow"/>
            <scheme val="minor"/>
          </rPr>
          <t>======
ID#AAABjx7qS9M
    (2025-05-21 11:33:26)
cost
CP-104EL-DB9M, US$85/PC
CBL-M44M9X4-50, US$8/PC</t>
        </r>
      </text>
    </comment>
    <comment ref="Q3477" authorId="0" shapeId="0" xr:uid="{C7EB92C3-F0DD-BB46-BA0D-FBC722354858}">
      <text>
        <r>
          <rPr>
            <sz val="10"/>
            <color rgb="FF000000"/>
            <rFont val="Aptos Narrow"/>
            <scheme val="minor"/>
          </rPr>
          <t>======
ID#AAABjx7qVrY
    (2025-05-21 11:33:27)
150421 
CP-104EL-DB9M US$85/PC
CBL-M44M9X4-50  US$8/PC</t>
        </r>
      </text>
    </comment>
    <comment ref="S3477" authorId="0" shapeId="0" xr:uid="{3B30BF31-B496-5D49-A0A0-1DB7671330CB}">
      <text>
        <r>
          <rPr>
            <sz val="10"/>
            <color rgb="FF000000"/>
            <rFont val="Aptos Narrow"/>
            <scheme val="minor"/>
          </rPr>
          <t>======
ID#AAABj82dpE8
Santiago 0422    (2025-05-21 11:33:23)
收到銀行通知</t>
        </r>
      </text>
    </comment>
    <comment ref="S3478" authorId="0" shapeId="0" xr:uid="{B5B5EFD3-65B0-A141-BAFB-632E661FDE1A}">
      <text>
        <r>
          <rPr>
            <sz val="10"/>
            <color rgb="FF000000"/>
            <rFont val="Aptos Narrow"/>
            <scheme val="minor"/>
          </rPr>
          <t>======
ID#AAABjx7qUrA
Santiago 0422    (2025-05-21 11:33:26)
收到銀行通知</t>
        </r>
      </text>
    </comment>
    <comment ref="S3479" authorId="0" shapeId="0" xr:uid="{CB9CAB35-6F74-F94D-9648-1D219166328F}">
      <text>
        <r>
          <rPr>
            <sz val="10"/>
            <color rgb="FF000000"/>
            <rFont val="Aptos Narrow"/>
            <scheme val="minor"/>
          </rPr>
          <t>======
ID#AAABjx7qPFg
Santiago 0422    (2025-05-21 11:33:24)
收到銀行通知</t>
        </r>
      </text>
    </comment>
    <comment ref="S3480" authorId="0" shapeId="0" xr:uid="{5A480B01-ED17-2542-936A-0F77D3BFE53B}">
      <text>
        <r>
          <rPr>
            <sz val="10"/>
            <color rgb="FF000000"/>
            <rFont val="Aptos Narrow"/>
            <scheme val="minor"/>
          </rPr>
          <t>======
ID#AAABjx7qO1M
    (2025-05-21 11:33:24)
0505 收到銀行通知NT$2488</t>
        </r>
      </text>
    </comment>
    <comment ref="S3481" authorId="0" shapeId="0" xr:uid="{DEC55DAE-8DDB-3A49-A51E-3E0881B5561A}">
      <text>
        <r>
          <rPr>
            <sz val="10"/>
            <color rgb="FF000000"/>
            <rFont val="Aptos Narrow"/>
            <scheme val="minor"/>
          </rPr>
          <t>======
ID#AAABjx7qOhI
    (2025-05-21 11:33:24)
0505 收到銀行通知NT$2488</t>
        </r>
      </text>
    </comment>
    <comment ref="S3482" authorId="0" shapeId="0" xr:uid="{D6A54D6F-72E5-C647-BC7B-DDEA87879E6F}">
      <text>
        <r>
          <rPr>
            <sz val="10"/>
            <color rgb="FF000000"/>
            <rFont val="Aptos Narrow"/>
            <scheme val="minor"/>
          </rPr>
          <t>======
ID#AAABjx7qRjg
    (2025-05-21 11:33:25)
chloe：3/25結算，4/25追貨款到否?
chloe 4/30 入帳</t>
        </r>
      </text>
    </comment>
    <comment ref="S3483" authorId="0" shapeId="0" xr:uid="{E745D70E-8551-ED41-A803-C5DBF0F228C2}">
      <text>
        <r>
          <rPr>
            <sz val="10"/>
            <color rgb="FF000000"/>
            <rFont val="Aptos Narrow"/>
            <scheme val="minor"/>
          </rPr>
          <t>======
ID#AAABjx7qPQE
    (2025-05-21 11:33:24)
chloe：3/25結算，4/25追貨款到否?
chloe 4/30 入帳</t>
        </r>
      </text>
    </comment>
    <comment ref="S3484" authorId="0" shapeId="0" xr:uid="{5EB99CA4-2520-584D-98CE-D1D2EA018C2B}">
      <text>
        <r>
          <rPr>
            <sz val="10"/>
            <color rgb="FF000000"/>
            <rFont val="Aptos Narrow"/>
            <scheme val="minor"/>
          </rPr>
          <t>======
ID#AAABjx7qNZo
    (2025-05-21 11:33:23)
chloe：3/25結算，4/25追貨款到否?
chloe 4/30 入帳</t>
        </r>
      </text>
    </comment>
    <comment ref="S3485" authorId="0" shapeId="0" xr:uid="{3C2EC41C-CF41-D34F-B567-6629F7304F3C}">
      <text>
        <r>
          <rPr>
            <sz val="10"/>
            <color rgb="FF000000"/>
            <rFont val="Aptos Narrow"/>
            <scheme val="minor"/>
          </rPr>
          <t>======
ID#AAABjx7qSz0
    (2025-05-21 11:33:26)
chloe：3/25結算，4/25追貨款到否?
chloe 4/30 入帳</t>
        </r>
      </text>
    </comment>
    <comment ref="S3486" authorId="0" shapeId="0" xr:uid="{D0653B04-B006-2446-8C3D-5B7E56DA789C}">
      <text>
        <r>
          <rPr>
            <sz val="10"/>
            <color rgb="FF000000"/>
            <rFont val="Aptos Narrow"/>
            <scheme val="minor"/>
          </rPr>
          <t>======
ID#AAABjx7qS9A
    (2025-05-21 11:33:26)
chloel：0630入帳
0528 chloe 已通知結算，預計0625追貨款</t>
        </r>
      </text>
    </comment>
    <comment ref="K3487" authorId="0" shapeId="0" xr:uid="{41827332-7BA6-954B-976B-5C818137A07E}">
      <text>
        <r>
          <rPr>
            <sz val="10"/>
            <color rgb="FF000000"/>
            <rFont val="Aptos Narrow"/>
            <scheme val="minor"/>
          </rPr>
          <t>======
ID#AAABjx7qWPE
Forster 0504    (2025-05-21 11:33:27)
提前一天連同發票一起寄出。0514 michelle 改0515 早上快遞</t>
        </r>
      </text>
    </comment>
    <comment ref="S3487" authorId="0" shapeId="0" xr:uid="{DE624083-50F8-D84F-A6DF-FC5994908113}">
      <text>
        <r>
          <rPr>
            <sz val="10"/>
            <color rgb="FF000000"/>
            <rFont val="Aptos Narrow"/>
            <scheme val="minor"/>
          </rPr>
          <t>======
ID#AAABjx7qWHE
    (2025-05-21 11:33:27)
chloel：0630入帳
0528 chloe 已通知結算，預計0625追貨款</t>
        </r>
      </text>
    </comment>
    <comment ref="S3488" authorId="0" shapeId="0" xr:uid="{57650F08-0FC0-4345-9047-211BAF562CE1}">
      <text>
        <r>
          <rPr>
            <sz val="10"/>
            <color rgb="FF000000"/>
            <rFont val="Aptos Narrow"/>
            <scheme val="minor"/>
          </rPr>
          <t>======
ID#AAABjx7qSZY
    (2025-05-21 11:33:26)
10/22 michelle: 銀行通知匯入 歐元 153</t>
        </r>
      </text>
    </comment>
    <comment ref="S3489" authorId="0" shapeId="0" xr:uid="{AB57F248-7517-0148-BB23-4E356ADC1773}">
      <text>
        <r>
          <rPr>
            <sz val="10"/>
            <color rgb="FF000000"/>
            <rFont val="Aptos Narrow"/>
            <scheme val="minor"/>
          </rPr>
          <t>======
ID#AAABjx7qOi4
    (2025-05-21 11:33:24)
1/29 收到水單
2/3 錢收到</t>
        </r>
      </text>
    </comment>
    <comment ref="U3489" authorId="0" shapeId="0" xr:uid="{996AFF65-1FB4-FF49-B53C-B731658CEBB6}">
      <text>
        <r>
          <rPr>
            <sz val="10"/>
            <color rgb="FF000000"/>
            <rFont val="Aptos Narrow"/>
            <scheme val="minor"/>
          </rPr>
          <t>======
ID#AAABjx7qOx4
    (2025-05-21 11:33:24)
=1438.5*31 暫抓,以發票為准</t>
        </r>
      </text>
    </comment>
    <comment ref="S3490" authorId="0" shapeId="0" xr:uid="{2E9D7651-C05B-5E48-A70E-5BC8BDF96F11}">
      <text>
        <r>
          <rPr>
            <sz val="10"/>
            <color rgb="FF000000"/>
            <rFont val="Aptos Narrow"/>
            <scheme val="minor"/>
          </rPr>
          <t>======
ID#AAABjx7qRoQ
    (2025-05-21 11:33:25)
3/6 收到</t>
        </r>
      </text>
    </comment>
    <comment ref="U3490" authorId="0" shapeId="0" xr:uid="{0AD802A3-DC45-924D-8169-6B4F10EE2899}">
      <text>
        <r>
          <rPr>
            <sz val="10"/>
            <color rgb="FF000000"/>
            <rFont val="Aptos Narrow"/>
            <scheme val="minor"/>
          </rPr>
          <t>======
ID#AAABjx7qN94
    (2025-05-21 11:33:23)
=1438.5*31 暫抓,以發票為准</t>
        </r>
      </text>
    </comment>
    <comment ref="S3491" authorId="0" shapeId="0" xr:uid="{1CBC7769-AAD5-E84C-B4CE-3BBD0D2E7AA2}">
      <text>
        <r>
          <rPr>
            <sz val="10"/>
            <color rgb="FF000000"/>
            <rFont val="Aptos Narrow"/>
            <scheme val="minor"/>
          </rPr>
          <t>======
ID#AAABjx7qR2U
    (2025-05-21 11:33:25)
3/31 收到水單
4/7 銀行通知入帳</t>
        </r>
      </text>
    </comment>
    <comment ref="M3492" authorId="0" shapeId="0" xr:uid="{94C29E29-A239-3E4F-AA24-C8AB3E64C016}">
      <text>
        <r>
          <rPr>
            <sz val="10"/>
            <color rgb="FF000000"/>
            <rFont val="Aptos Narrow"/>
            <scheme val="minor"/>
          </rPr>
          <t>======
ID#AAABjx7qObA
    (2025-05-21 11:33:24)
0109 Forster點收</t>
        </r>
      </text>
    </comment>
    <comment ref="M3497" authorId="0" shapeId="0" xr:uid="{8BE2CF0F-E015-F346-A308-5298921B0610}">
      <text>
        <r>
          <rPr>
            <sz val="10"/>
            <color rgb="FF000000"/>
            <rFont val="Aptos Narrow"/>
            <scheme val="minor"/>
          </rPr>
          <t>======
ID#AAABjx7qUzc
    (2025-05-21 11:33:26)
20150121 Forster點收</t>
        </r>
      </text>
    </comment>
    <comment ref="E3498" authorId="0" shapeId="0" xr:uid="{E9BED3DB-0D29-AB4E-BB65-EC5F2276F7B4}">
      <text>
        <r>
          <rPr>
            <sz val="10"/>
            <color rgb="FF000000"/>
            <rFont val="Aptos Narrow"/>
            <scheme val="minor"/>
          </rPr>
          <t>======
ID#AAABjx7qN9c
    (2025-05-21 11:33:23)
150111 Karen: 下單型號C104H/PCI-DB9M</t>
        </r>
      </text>
    </comment>
    <comment ref="M3499" authorId="0" shapeId="0" xr:uid="{ACE94808-D623-584D-B14F-5EE4B411CE75}">
      <text>
        <r>
          <rPr>
            <sz val="10"/>
            <color rgb="FF000000"/>
            <rFont val="Aptos Narrow"/>
            <scheme val="minor"/>
          </rPr>
          <t>======
ID#AAABjx7qNq4
    (2025-05-21 11:33:23)
20150114 Forster點收</t>
        </r>
      </text>
    </comment>
    <comment ref="M3500" authorId="0" shapeId="0" xr:uid="{5E66597A-49AF-824E-BAC1-6C11749A0BAB}">
      <text>
        <r>
          <rPr>
            <sz val="10"/>
            <color rgb="FF000000"/>
            <rFont val="Aptos Narrow"/>
            <scheme val="minor"/>
          </rPr>
          <t>======
ID#AAABjx7qPqE
    (2025-05-21 11:33:24)
20150114 Forster點收</t>
        </r>
      </text>
    </comment>
    <comment ref="M3501" authorId="0" shapeId="0" xr:uid="{240EB728-85CB-FB4C-A03B-15E49698A9C4}">
      <text>
        <r>
          <rPr>
            <sz val="10"/>
            <color rgb="FF000000"/>
            <rFont val="Aptos Narrow"/>
            <scheme val="minor"/>
          </rPr>
          <t>======
ID#AAABjx7qMug
    (2025-05-21 11:33:23)
20150120 Forster點收</t>
        </r>
      </text>
    </comment>
    <comment ref="E3502" authorId="0" shapeId="0" xr:uid="{579469D9-578C-0C40-B514-52AF95E97CE8}">
      <text>
        <r>
          <rPr>
            <sz val="10"/>
            <color rgb="FF000000"/>
            <rFont val="Aptos Narrow"/>
            <scheme val="minor"/>
          </rPr>
          <t>======
ID#AAABjx7qM-Y
    (2025-05-21 11:33:23)
150116 Karen: 下單型號CP-118EL-A w/o cable</t>
        </r>
      </text>
    </comment>
    <comment ref="I3503" authorId="0" shapeId="0" xr:uid="{1A2BC3F0-8A28-D741-9C01-F0EAD030752D}">
      <text>
        <r>
          <rPr>
            <sz val="10"/>
            <color rgb="FF000000"/>
            <rFont val="Aptos Narrow"/>
            <scheme val="minor"/>
          </rPr>
          <t>======
ID#AAABjx7qNks
    (2025-05-21 11:33:23)
FORSTER的部分計算獎金，但不發給(因採固定制)</t>
        </r>
      </text>
    </comment>
    <comment ref="K3503" authorId="0" shapeId="0" xr:uid="{1F1D7167-8F90-024F-9A00-BEB678688CE1}">
      <text>
        <r>
          <rPr>
            <sz val="10"/>
            <color rgb="FF000000"/>
            <rFont val="Aptos Narrow"/>
            <scheme val="minor"/>
          </rPr>
          <t>======
ID#AAABjx7qRts
    (2025-05-21 11:33:25)
20150210 宅急便寄出</t>
        </r>
      </text>
    </comment>
    <comment ref="M3503" authorId="0" shapeId="0" xr:uid="{21B85414-6CAA-154C-81B3-96D45816788F}">
      <text>
        <r>
          <rPr>
            <sz val="10"/>
            <color rgb="FF000000"/>
            <rFont val="Aptos Narrow"/>
            <scheme val="minor"/>
          </rPr>
          <t>======
ID#AAABjx7qOG4
    (2025-05-21 11:33:24)
20150204 Forster點收</t>
        </r>
      </text>
    </comment>
    <comment ref="M3504" authorId="0" shapeId="0" xr:uid="{4E10E78D-2BBD-0E4E-B4FE-CFBC33BE3839}">
      <text>
        <r>
          <rPr>
            <sz val="10"/>
            <color rgb="FF000000"/>
            <rFont val="Aptos Narrow"/>
            <scheme val="minor"/>
          </rPr>
          <t>======
ID#AAABjx7qVCc
    (2025-05-21 11:33:27)
20150120 Forster點收</t>
        </r>
      </text>
    </comment>
    <comment ref="M3505" authorId="0" shapeId="0" xr:uid="{97346B9B-0F94-D248-818C-FEF3B56173F3}">
      <text>
        <r>
          <rPr>
            <sz val="10"/>
            <color rgb="FF000000"/>
            <rFont val="Aptos Narrow"/>
            <scheme val="minor"/>
          </rPr>
          <t>======
ID#AAABjx7qR9w
    (2025-05-21 11:33:25)
20150120 Forster點收</t>
        </r>
      </text>
    </comment>
    <comment ref="M3507" authorId="0" shapeId="0" xr:uid="{6A77D8A9-2E4B-334D-87D4-93283D6D343B}">
      <text>
        <r>
          <rPr>
            <sz val="10"/>
            <color rgb="FF000000"/>
            <rFont val="Aptos Narrow"/>
            <scheme val="minor"/>
          </rPr>
          <t>======
ID#AAABjx7qVBQ
    (2025-05-21 11:33:27)
20150123 Forster點收</t>
        </r>
      </text>
    </comment>
    <comment ref="M3508" authorId="0" shapeId="0" xr:uid="{725E5165-D384-764A-8518-D8E152E71869}">
      <text>
        <r>
          <rPr>
            <sz val="10"/>
            <color rgb="FF000000"/>
            <rFont val="Aptos Narrow"/>
            <scheme val="minor"/>
          </rPr>
          <t>======
ID#AAABjx7qNRc
    (2025-05-21 11:33:23)
20150123 Forster點收</t>
        </r>
      </text>
    </comment>
    <comment ref="M3509" authorId="0" shapeId="0" xr:uid="{DE2941EA-D2D3-404E-BE7C-D03D997D9F10}">
      <text>
        <r>
          <rPr>
            <sz val="10"/>
            <color rgb="FF000000"/>
            <rFont val="Aptos Narrow"/>
            <scheme val="minor"/>
          </rPr>
          <t>======
ID#AAABjx7qTsA
    (2025-05-21 11:33:26)
20150123 Forster點收</t>
        </r>
      </text>
    </comment>
    <comment ref="M3510" authorId="0" shapeId="0" xr:uid="{CCAC820D-FD19-5049-A9DD-A0CAE70FDB1E}">
      <text>
        <r>
          <rPr>
            <sz val="10"/>
            <color rgb="FF000000"/>
            <rFont val="Aptos Narrow"/>
            <scheme val="minor"/>
          </rPr>
          <t>======
ID#AAABjx7qQ7w
    (2025-05-21 11:33:25)
20150123 Forster點收</t>
        </r>
      </text>
    </comment>
    <comment ref="M3511" authorId="0" shapeId="0" xr:uid="{B9314BC0-7F10-9248-9A35-ADD8787A813B}">
      <text>
        <r>
          <rPr>
            <sz val="10"/>
            <color rgb="FF000000"/>
            <rFont val="Aptos Narrow"/>
            <scheme val="minor"/>
          </rPr>
          <t>======
ID#AAABjx7qP98
    (2025-05-21 11:33:25)
20150123 Forster點收</t>
        </r>
      </text>
    </comment>
    <comment ref="E3512" authorId="0" shapeId="0" xr:uid="{FB8869C1-CC9D-5340-8F69-519DABE8E6BF}">
      <text>
        <r>
          <rPr>
            <sz val="10"/>
            <color rgb="FF000000"/>
            <rFont val="Aptos Narrow"/>
            <scheme val="minor"/>
          </rPr>
          <t>======
ID#AAABjx7qSJ8
    (2025-05-21 11:33:26)
150123 Karen: 下單型號CP-118EL-A w/o cable</t>
        </r>
      </text>
    </comment>
    <comment ref="I3513" authorId="0" shapeId="0" xr:uid="{705AD815-7919-E241-B7E5-800A77E162DE}">
      <text>
        <r>
          <rPr>
            <sz val="10"/>
            <color rgb="FF000000"/>
            <rFont val="Aptos Narrow"/>
            <scheme val="minor"/>
          </rPr>
          <t>======
ID#AAABjx7qTZo
    (2025-05-21 11:33:26)
FORSTER的部分計算獎金，但不發給(因採固定制)</t>
        </r>
      </text>
    </comment>
    <comment ref="K3513" authorId="0" shapeId="0" xr:uid="{27B22CDE-0BA3-B842-9A1B-9EE7981B09EB}">
      <text>
        <r>
          <rPr>
            <sz val="10"/>
            <color rgb="FF000000"/>
            <rFont val="Aptos Narrow"/>
            <scheme val="minor"/>
          </rPr>
          <t>======
ID#AAABjx7qU7U
    (2025-05-21 11:33:27)
確認新調漲中
Forster 1/29已跟客戶協調這單吸收1/5%。</t>
        </r>
      </text>
    </comment>
    <comment ref="M3513" authorId="0" shapeId="0" xr:uid="{BEC22BCA-36FE-944C-BAD1-8CFCB25779A4}">
      <text>
        <r>
          <rPr>
            <sz val="10"/>
            <color rgb="FF000000"/>
            <rFont val="Aptos Narrow"/>
            <scheme val="minor"/>
          </rPr>
          <t>======
ID#AAABjx7qNTw
    (2025-05-21 11:33:23)
20150203 Forster點收</t>
        </r>
      </text>
    </comment>
    <comment ref="I3514" authorId="0" shapeId="0" xr:uid="{66FD04E9-19F7-9443-8D8B-A028B02BE1F3}">
      <text>
        <r>
          <rPr>
            <sz val="10"/>
            <color rgb="FF000000"/>
            <rFont val="Aptos Narrow"/>
            <scheme val="minor"/>
          </rPr>
          <t>======
ID#AAABjx7qO2o
    (2025-05-21 11:33:24)
FORSTER的部分計算獎金，但不發給(因採固定制)</t>
        </r>
      </text>
    </comment>
    <comment ref="K3514" authorId="0" shapeId="0" xr:uid="{93A95750-71A6-A048-91D9-B221CDAE0ED2}">
      <text>
        <r>
          <rPr>
            <sz val="10"/>
            <color rgb="FF000000"/>
            <rFont val="Aptos Narrow"/>
            <scheme val="minor"/>
          </rPr>
          <t>======
ID#AAABjx7qU1Y
    (2025-05-21 11:33:26)
確認新調漲中
Forster 1/29已跟客戶協調這單吸收1/5%。</t>
        </r>
      </text>
    </comment>
    <comment ref="M3514" authorId="0" shapeId="0" xr:uid="{E2F3219A-F6D1-7A41-9DFD-68B35F3542D3}">
      <text>
        <r>
          <rPr>
            <sz val="10"/>
            <color rgb="FF000000"/>
            <rFont val="Aptos Narrow"/>
            <scheme val="minor"/>
          </rPr>
          <t>======
ID#AAABjx7qPpk
    (2025-05-21 11:33:24)
20150203 Forster點收</t>
        </r>
      </text>
    </comment>
    <comment ref="I3515" authorId="0" shapeId="0" xr:uid="{4823641B-BB33-C542-903F-CB14F1C1D50D}">
      <text>
        <r>
          <rPr>
            <sz val="10"/>
            <color rgb="FF000000"/>
            <rFont val="Aptos Narrow"/>
            <scheme val="minor"/>
          </rPr>
          <t>======
ID#AAABjx7qO-U
    (2025-05-21 11:33:24)
FORSTER的部分計算獎金，但不發給(因採固定制)</t>
        </r>
      </text>
    </comment>
    <comment ref="K3515" authorId="0" shapeId="0" xr:uid="{B3B769C4-7BF8-584B-ABE0-2C3DFD63184C}">
      <text>
        <r>
          <rPr>
            <sz val="10"/>
            <color rgb="FF000000"/>
            <rFont val="Aptos Narrow"/>
            <scheme val="minor"/>
          </rPr>
          <t>======
ID#AAABjx7qNoU
    (2025-05-21 11:33:23)
確認新調漲中
Forster 1/29已跟客戶協調這單吸收1/5%。</t>
        </r>
      </text>
    </comment>
    <comment ref="M3515" authorId="0" shapeId="0" xr:uid="{96380469-2F9F-9F44-ABF6-7A04030BE55D}">
      <text>
        <r>
          <rPr>
            <sz val="10"/>
            <color rgb="FF000000"/>
            <rFont val="Aptos Narrow"/>
            <scheme val="minor"/>
          </rPr>
          <t>======
ID#AAABjx7qQos
    (2025-05-21 11:33:25)
20150203 Forster點收</t>
        </r>
      </text>
    </comment>
    <comment ref="I3516" authorId="0" shapeId="0" xr:uid="{08B302B1-901F-2D4E-8BBB-E8E5BD754986}">
      <text>
        <r>
          <rPr>
            <sz val="10"/>
            <color rgb="FF000000"/>
            <rFont val="Aptos Narrow"/>
            <scheme val="minor"/>
          </rPr>
          <t>======
ID#AAABjx7qUtU
    (2025-05-21 11:33:26)
FORSTER的部分計算獎金，但不發給(因採固定制)</t>
        </r>
      </text>
    </comment>
    <comment ref="K3516" authorId="0" shapeId="0" xr:uid="{9614B1B2-EEAC-4146-9862-04379190DBE3}">
      <text>
        <r>
          <rPr>
            <sz val="10"/>
            <color rgb="FF000000"/>
            <rFont val="Aptos Narrow"/>
            <scheme val="minor"/>
          </rPr>
          <t>======
ID#AAABj82dpNk
    (2025-05-21 11:33:23)
確認新調漲中
Forster 1/29已跟客戶協調這單吸收1/5%。</t>
        </r>
      </text>
    </comment>
    <comment ref="M3516" authorId="0" shapeId="0" xr:uid="{B216165C-626D-1C4B-A180-F21142CC2346}">
      <text>
        <r>
          <rPr>
            <sz val="10"/>
            <color rgb="FF000000"/>
            <rFont val="Aptos Narrow"/>
            <scheme val="minor"/>
          </rPr>
          <t>======
ID#AAABjx7qQaY
    (2025-05-21 11:33:25)
20150203 Forster點收</t>
        </r>
      </text>
    </comment>
    <comment ref="I3517" authorId="0" shapeId="0" xr:uid="{60687F7C-B6E9-2940-8707-57C2E8C15D77}">
      <text>
        <r>
          <rPr>
            <sz val="10"/>
            <color rgb="FF000000"/>
            <rFont val="Aptos Narrow"/>
            <scheme val="minor"/>
          </rPr>
          <t>======
ID#AAABjx7qOlM
    (2025-05-21 11:33:24)
FORSTER的部分計算獎金，但不發給(因採固定制)</t>
        </r>
      </text>
    </comment>
    <comment ref="K3517" authorId="0" shapeId="0" xr:uid="{09F49C85-66E7-7343-963A-64993EA8F7B2}">
      <text>
        <r>
          <rPr>
            <sz val="10"/>
            <color rgb="FF000000"/>
            <rFont val="Aptos Narrow"/>
            <scheme val="minor"/>
          </rPr>
          <t>======
ID#AAABjx7qTEA
    (2025-05-21 11:33:26)
確認新調漲中
Forster 1/29已跟客戶協調這單吸收1/5%。</t>
        </r>
      </text>
    </comment>
    <comment ref="M3517" authorId="0" shapeId="0" xr:uid="{ABAEC13F-DE2A-814D-B5D1-E09F06FCE694}">
      <text>
        <r>
          <rPr>
            <sz val="10"/>
            <color rgb="FF000000"/>
            <rFont val="Aptos Narrow"/>
            <scheme val="minor"/>
          </rPr>
          <t>======
ID#AAABjx7qPSQ
    (2025-05-21 11:33:24)
20150203 Forster點收</t>
        </r>
      </text>
    </comment>
    <comment ref="I3518" authorId="0" shapeId="0" xr:uid="{7BC22F75-61C5-9945-B947-97BCF91B5E88}">
      <text>
        <r>
          <rPr>
            <sz val="10"/>
            <color rgb="FF000000"/>
            <rFont val="Aptos Narrow"/>
            <scheme val="minor"/>
          </rPr>
          <t>======
ID#AAABjx7qPFE
    (2025-05-21 11:33:24)
FORSTER的部分計算獎金，但不發給(因採固定制)</t>
        </r>
      </text>
    </comment>
    <comment ref="K3518" authorId="0" shapeId="0" xr:uid="{A00615F3-2A66-4F4C-8DFF-102F2FC377AB}">
      <text>
        <r>
          <rPr>
            <sz val="10"/>
            <color rgb="FF000000"/>
            <rFont val="Aptos Narrow"/>
            <scheme val="minor"/>
          </rPr>
          <t>======
ID#AAABjx7qVlw
    (2025-05-21 11:33:27)
確認新調漲中
Forster 1/29已跟客戶協調這單吸收1/5%。</t>
        </r>
      </text>
    </comment>
    <comment ref="M3518" authorId="0" shapeId="0" xr:uid="{2F56F5E3-A8B2-8744-9A90-80E32EB6E993}">
      <text>
        <r>
          <rPr>
            <sz val="10"/>
            <color rgb="FF000000"/>
            <rFont val="Aptos Narrow"/>
            <scheme val="minor"/>
          </rPr>
          <t>======
ID#AAABjx7qVNo
    (2025-05-21 11:33:27)
20150203 Forster點收</t>
        </r>
      </text>
    </comment>
    <comment ref="I3519" authorId="0" shapeId="0" xr:uid="{C3E5D43B-6712-304A-AEF3-66FC55411872}">
      <text>
        <r>
          <rPr>
            <sz val="10"/>
            <color rgb="FF000000"/>
            <rFont val="Aptos Narrow"/>
            <scheme val="minor"/>
          </rPr>
          <t>======
ID#AAABjx7qUv4
    (2025-05-21 11:33:26)
FORSTER的部分計算獎金，但不發給(因採固定制)</t>
        </r>
      </text>
    </comment>
    <comment ref="M3519" authorId="0" shapeId="0" xr:uid="{0DFD62D0-6180-754D-BAEC-5CA1A869F0FC}">
      <text>
        <r>
          <rPr>
            <sz val="10"/>
            <color rgb="FF000000"/>
            <rFont val="Aptos Narrow"/>
            <scheme val="minor"/>
          </rPr>
          <t>======
ID#AAABjx7qQWs
    (2025-05-21 11:33:25)
2015/2/13 Forster以點收</t>
        </r>
      </text>
    </comment>
    <comment ref="M3520" authorId="0" shapeId="0" xr:uid="{50314CC8-FBEE-DF46-82E8-487F21A9E409}">
      <text>
        <r>
          <rPr>
            <sz val="10"/>
            <color rgb="FF000000"/>
            <rFont val="Aptos Narrow"/>
            <scheme val="minor"/>
          </rPr>
          <t>======
ID#AAABjx7qWY4
    (2025-05-21 11:33:27)
20150316 Forster點收</t>
        </r>
      </text>
    </comment>
    <comment ref="E3521" authorId="0" shapeId="0" xr:uid="{B2A81CC5-9469-0545-BEFD-771AEC2DA405}">
      <text>
        <r>
          <rPr>
            <sz val="10"/>
            <color rgb="FF000000"/>
            <rFont val="Aptos Narrow"/>
            <scheme val="minor"/>
          </rPr>
          <t>======
ID#AAABjx7qRJo
    (2025-05-21 11:33:25)
150217 Karen: 下單EU ADAPTER</t>
        </r>
      </text>
    </comment>
    <comment ref="M3524" authorId="0" shapeId="0" xr:uid="{EEBAC40E-6B15-7946-8D58-1BAAA995B600}">
      <text>
        <r>
          <rPr>
            <sz val="10"/>
            <color rgb="FF000000"/>
            <rFont val="Aptos Narrow"/>
            <scheme val="minor"/>
          </rPr>
          <t>======
ID#AAABj82dpOM
    (2025-05-21 11:33:23)
2015/3/3 Lynn點收</t>
        </r>
      </text>
    </comment>
    <comment ref="R3524" authorId="0" shapeId="0" xr:uid="{4C4DF168-E634-CB46-B84E-ECC0CDEBB5AB}">
      <text>
        <r>
          <rPr>
            <sz val="10"/>
            <color rgb="FF000000"/>
            <rFont val="Aptos Narrow"/>
            <scheme val="minor"/>
          </rPr>
          <t>======
ID#AAABjx7qRiM
    (2025-05-21 11:33:25)
匯率30</t>
        </r>
      </text>
    </comment>
    <comment ref="M3525" authorId="0" shapeId="0" xr:uid="{50673C19-7554-2343-AB17-ADDFFECB6167}">
      <text>
        <r>
          <rPr>
            <sz val="10"/>
            <color rgb="FF000000"/>
            <rFont val="Aptos Narrow"/>
            <scheme val="minor"/>
          </rPr>
          <t>======
ID#AAABjx7qO3g
    (2025-05-21 11:33:24)
2015/3/9 Chloe點收</t>
        </r>
      </text>
    </comment>
    <comment ref="M3526" authorId="0" shapeId="0" xr:uid="{D6D72648-EB29-7041-8131-A1AA05F90977}">
      <text>
        <r>
          <rPr>
            <sz val="10"/>
            <color rgb="FF000000"/>
            <rFont val="Aptos Narrow"/>
            <scheme val="minor"/>
          </rPr>
          <t>======
ID#AAABjx7qNJg
    (2025-05-21 11:33:23)
2015/3/3 Lynn點收</t>
        </r>
      </text>
    </comment>
    <comment ref="M3527" authorId="0" shapeId="0" xr:uid="{82EE6744-A365-7F47-99E9-04E7765ADC68}">
      <text>
        <r>
          <rPr>
            <sz val="10"/>
            <color rgb="FF000000"/>
            <rFont val="Aptos Narrow"/>
            <scheme val="minor"/>
          </rPr>
          <t>======
ID#AAABjx7qMsY
    (2025-05-21 11:33:23)
2015/3/3 Lynn點收</t>
        </r>
      </text>
    </comment>
    <comment ref="M3528" authorId="0" shapeId="0" xr:uid="{EE6FB5E0-1D1E-8E47-B813-A5F433C56740}">
      <text>
        <r>
          <rPr>
            <sz val="10"/>
            <color rgb="FF000000"/>
            <rFont val="Aptos Narrow"/>
            <scheme val="minor"/>
          </rPr>
          <t>======
ID#AAABjx7qNpc
    (2025-05-21 11:33:23)
2015/3/3 Lynn點收</t>
        </r>
      </text>
    </comment>
    <comment ref="M3529" authorId="0" shapeId="0" xr:uid="{E5971806-D4A0-5642-AAD7-264805E374E8}">
      <text>
        <r>
          <rPr>
            <sz val="10"/>
            <color rgb="FF000000"/>
            <rFont val="Aptos Narrow"/>
            <scheme val="minor"/>
          </rPr>
          <t>======
ID#AAABjx7qWGM
    (2025-05-21 11:33:27)
2015/3/3 Lynn點收</t>
        </r>
      </text>
    </comment>
    <comment ref="M3530" authorId="0" shapeId="0" xr:uid="{EF0D98A0-327A-0A4F-BD15-E5FB2FBD2126}">
      <text>
        <r>
          <rPr>
            <sz val="10"/>
            <color rgb="FF000000"/>
            <rFont val="Aptos Narrow"/>
            <scheme val="minor"/>
          </rPr>
          <t>======
ID#AAABjx7qORg
    (2025-05-21 11:33:24)
2015/3/9 Chloe點收</t>
        </r>
      </text>
    </comment>
    <comment ref="R3530" authorId="0" shapeId="0" xr:uid="{741B263D-D57F-434B-ACA1-A0E8E7DCA367}">
      <text>
        <r>
          <rPr>
            <sz val="10"/>
            <color rgb="FF000000"/>
            <rFont val="Aptos Narrow"/>
            <scheme val="minor"/>
          </rPr>
          <t>======
ID#AAABjx7qVO0
    (2025-05-21 11:33:27)
30</t>
        </r>
      </text>
    </comment>
    <comment ref="M3531" authorId="0" shapeId="0" xr:uid="{92339CAD-3FD0-7E41-B478-A1A2C04A5354}">
      <text>
        <r>
          <rPr>
            <sz val="10"/>
            <color rgb="FF000000"/>
            <rFont val="Aptos Narrow"/>
            <scheme val="minor"/>
          </rPr>
          <t>======
ID#AAABjx7qWY8
    (2025-05-21 11:33:27)
20150306 Lynn點收</t>
        </r>
      </text>
    </comment>
    <comment ref="M3532" authorId="0" shapeId="0" xr:uid="{466C9451-9A69-2D48-9091-C0CA5464EE37}">
      <text>
        <r>
          <rPr>
            <sz val="10"/>
            <color rgb="FF000000"/>
            <rFont val="Aptos Narrow"/>
            <scheme val="minor"/>
          </rPr>
          <t>======
ID#AAABjx7qSCs
    (2025-05-21 11:33:25)
20150306 Lynn點收</t>
        </r>
      </text>
    </comment>
    <comment ref="M3533" authorId="0" shapeId="0" xr:uid="{50C09736-6724-A243-B92F-01EB27D04554}">
      <text>
        <r>
          <rPr>
            <sz val="10"/>
            <color rgb="FF000000"/>
            <rFont val="Aptos Narrow"/>
            <scheme val="minor"/>
          </rPr>
          <t>======
ID#AAABjx7qVA8
    (2025-05-21 11:33:27)
20150306 Lynn點收</t>
        </r>
      </text>
    </comment>
    <comment ref="M3534" authorId="0" shapeId="0" xr:uid="{D16F368E-2352-8E4E-9F6F-3AC99789DAC4}">
      <text>
        <r>
          <rPr>
            <sz val="10"/>
            <color rgb="FF000000"/>
            <rFont val="Aptos Narrow"/>
            <scheme val="minor"/>
          </rPr>
          <t>======
ID#AAABjx7qWZA
    (2025-05-21 11:33:27)
20150306 Lynn點收</t>
        </r>
      </text>
    </comment>
    <comment ref="M3535" authorId="0" shapeId="0" xr:uid="{1A36D585-BA19-3A41-A089-6A1ABBDAEF72}">
      <text>
        <r>
          <rPr>
            <sz val="10"/>
            <color rgb="FF000000"/>
            <rFont val="Aptos Narrow"/>
            <scheme val="minor"/>
          </rPr>
          <t>======
ID#AAABjx7qSvU
    (2025-05-21 11:33:26)
20150306 Lynn點收</t>
        </r>
      </text>
    </comment>
    <comment ref="M3536" authorId="0" shapeId="0" xr:uid="{E14242B3-60ED-554D-8454-57C9A563CAAD}">
      <text>
        <r>
          <rPr>
            <sz val="10"/>
            <color rgb="FF000000"/>
            <rFont val="Aptos Narrow"/>
            <scheme val="minor"/>
          </rPr>
          <t>======
ID#AAABjx7qNVE
    (2025-05-21 11:33:23)
20150316 Forster點收</t>
        </r>
      </text>
    </comment>
    <comment ref="R3536" authorId="0" shapeId="0" xr:uid="{B3D01C02-BFAD-304F-8742-60DB441156E8}">
      <text>
        <r>
          <rPr>
            <sz val="10"/>
            <color rgb="FF000000"/>
            <rFont val="Aptos Narrow"/>
            <scheme val="minor"/>
          </rPr>
          <t>======
ID#AAABjx7qS_w
    (2025-05-21 11:33:26)
30</t>
        </r>
      </text>
    </comment>
    <comment ref="M3538" authorId="0" shapeId="0" xr:uid="{B36BF501-7882-D343-95AC-DD4EFB0DCF2F}">
      <text>
        <r>
          <rPr>
            <sz val="10"/>
            <color rgb="FF000000"/>
            <rFont val="Aptos Narrow"/>
            <scheme val="minor"/>
          </rPr>
          <t>======
ID#AAABjx7qSrs
    (2025-05-21 11:33:26)
20150316 Forster點收</t>
        </r>
      </text>
    </comment>
    <comment ref="M3542" authorId="0" shapeId="0" xr:uid="{F4788770-5E46-FB43-8EEA-08D87CB5900D}">
      <text>
        <r>
          <rPr>
            <sz val="10"/>
            <color rgb="FF000000"/>
            <rFont val="Aptos Narrow"/>
            <scheme val="minor"/>
          </rPr>
          <t>======
ID#AAABjx7qWR4
    (2025-05-21 11:33:27)
20150323 Forster點收</t>
        </r>
      </text>
    </comment>
    <comment ref="M3543" authorId="0" shapeId="0" xr:uid="{ED2B675F-8596-6641-8B7D-4ED65C28EF04}">
      <text>
        <r>
          <rPr>
            <sz val="10"/>
            <color rgb="FF000000"/>
            <rFont val="Aptos Narrow"/>
            <scheme val="minor"/>
          </rPr>
          <t>======
ID#AAABjx7qMvY
    (2025-05-21 11:33:23)
20150323 Forster點收</t>
        </r>
      </text>
    </comment>
    <comment ref="M3544" authorId="0" shapeId="0" xr:uid="{F42BB0E2-70BB-5D4A-896A-D632C3FFF9B5}">
      <text>
        <r>
          <rPr>
            <sz val="10"/>
            <color rgb="FF000000"/>
            <rFont val="Aptos Narrow"/>
            <scheme val="minor"/>
          </rPr>
          <t>======
ID#AAABjx7qQ0g
    (2025-05-21 11:33:25)
20150323 Forster點收</t>
        </r>
      </text>
    </comment>
    <comment ref="M3545" authorId="0" shapeId="0" xr:uid="{0634620E-A6AD-864A-9515-48F3954E8348}">
      <text>
        <r>
          <rPr>
            <sz val="10"/>
            <color rgb="FF000000"/>
            <rFont val="Aptos Narrow"/>
            <scheme val="minor"/>
          </rPr>
          <t>======
ID#AAABjx7qRfs
    (2025-05-21 11:33:25)
20150323 Forster點收</t>
        </r>
      </text>
    </comment>
    <comment ref="M3546" authorId="0" shapeId="0" xr:uid="{C57E8CDF-0B72-BD4E-86E8-250C8A443BB5}">
      <text>
        <r>
          <rPr>
            <sz val="10"/>
            <color rgb="FF000000"/>
            <rFont val="Aptos Narrow"/>
            <scheme val="minor"/>
          </rPr>
          <t>======
ID#AAABjx7qR_A
    (2025-05-21 11:33:25)
20150323 Forster點收</t>
        </r>
      </text>
    </comment>
    <comment ref="M3551" authorId="0" shapeId="0" xr:uid="{1C7310C4-B2D0-4442-8E0F-F248137A6D60}">
      <text>
        <r>
          <rPr>
            <sz val="10"/>
            <color rgb="FF000000"/>
            <rFont val="Aptos Narrow"/>
            <scheme val="minor"/>
          </rPr>
          <t>======
ID#AAABjx7qViI
    (2025-05-21 11:33:27)
20150327 Forster點收</t>
        </r>
      </text>
    </comment>
    <comment ref="M3552" authorId="0" shapeId="0" xr:uid="{CD3FAEBF-4627-494F-ACCF-B95287C13F0E}">
      <text>
        <r>
          <rPr>
            <sz val="10"/>
            <color rgb="FF000000"/>
            <rFont val="Aptos Narrow"/>
            <scheme val="minor"/>
          </rPr>
          <t>======
ID#AAABjx7qRyA
    (2025-05-21 11:33:25)
20150327 Forster點收</t>
        </r>
      </text>
    </comment>
    <comment ref="M3553" authorId="0" shapeId="0" xr:uid="{99F80B40-990C-8041-9D19-E62557AB4D1B}">
      <text>
        <r>
          <rPr>
            <sz val="10"/>
            <color rgb="FF000000"/>
            <rFont val="Aptos Narrow"/>
            <scheme val="minor"/>
          </rPr>
          <t>======
ID#AAABjx7qQaE
    (2025-05-21 11:33:25)
20150327 Forster點收</t>
        </r>
      </text>
    </comment>
    <comment ref="M3554" authorId="0" shapeId="0" xr:uid="{93706531-0B7B-4849-861D-CB3B17520950}">
      <text>
        <r>
          <rPr>
            <sz val="10"/>
            <color rgb="FF000000"/>
            <rFont val="Aptos Narrow"/>
            <scheme val="minor"/>
          </rPr>
          <t>======
ID#AAABjx7qRr8
    (2025-05-21 11:33:25)
20150327 Forster點收</t>
        </r>
      </text>
    </comment>
    <comment ref="M3555" authorId="0" shapeId="0" xr:uid="{FEBB21E3-4FC5-1A46-8DF5-BA36A3C0EF41}">
      <text>
        <r>
          <rPr>
            <sz val="10"/>
            <color rgb="FF000000"/>
            <rFont val="Aptos Narrow"/>
            <scheme val="minor"/>
          </rPr>
          <t>======
ID#AAABjx7qOVg
    (2025-05-21 11:33:24)
20150327 Forster點收</t>
        </r>
      </text>
    </comment>
    <comment ref="M3556" authorId="0" shapeId="0" xr:uid="{8FDCC14A-D9F8-E84D-9E57-BB3B42CBEC53}">
      <text>
        <r>
          <rPr>
            <sz val="10"/>
            <color rgb="FF000000"/>
            <rFont val="Aptos Narrow"/>
            <scheme val="minor"/>
          </rPr>
          <t>======
ID#AAABjx7qSew
    (2025-05-21 11:33:26)
20150327 Forster點收</t>
        </r>
      </text>
    </comment>
    <comment ref="M3557" authorId="0" shapeId="0" xr:uid="{5A7FDFF0-9064-154B-B7A2-9C79FA7D56EC}">
      <text>
        <r>
          <rPr>
            <sz val="10"/>
            <color rgb="FF000000"/>
            <rFont val="Aptos Narrow"/>
            <scheme val="minor"/>
          </rPr>
          <t>======
ID#AAABjx7qPj4
    (2025-05-21 11:33:24)
20150327 Forster點收</t>
        </r>
      </text>
    </comment>
    <comment ref="M3558" authorId="0" shapeId="0" xr:uid="{6FD9D1A5-A193-B646-AD54-E3BAAD724835}">
      <text>
        <r>
          <rPr>
            <sz val="10"/>
            <color rgb="FF000000"/>
            <rFont val="Aptos Narrow"/>
            <scheme val="minor"/>
          </rPr>
          <t>======
ID#AAABjx7qQFY
    (2025-05-21 11:33:25)
20150331 Forster點收</t>
        </r>
      </text>
    </comment>
    <comment ref="R3558" authorId="0" shapeId="0" xr:uid="{019FABB5-CDED-014B-B451-4CFD561E6574}">
      <text>
        <r>
          <rPr>
            <sz val="10"/>
            <color rgb="FF000000"/>
            <rFont val="Aptos Narrow"/>
            <scheme val="minor"/>
          </rPr>
          <t>======
ID#AAABjx7qNL0
    (2025-05-21 11:33:23)
30</t>
        </r>
      </text>
    </comment>
    <comment ref="M3559" authorId="0" shapeId="0" xr:uid="{DA6B7D62-659B-8947-B287-C3F54760B1BA}">
      <text>
        <r>
          <rPr>
            <sz val="10"/>
            <color rgb="FF000000"/>
            <rFont val="Aptos Narrow"/>
            <scheme val="minor"/>
          </rPr>
          <t>======
ID#AAABjx7qQqw
    (2025-05-21 11:33:25)
20150402 Forster點收</t>
        </r>
      </text>
    </comment>
    <comment ref="R3559" authorId="0" shapeId="0" xr:uid="{41F110BC-0E71-A343-A256-957145241E21}">
      <text>
        <r>
          <rPr>
            <sz val="10"/>
            <color rgb="FF000000"/>
            <rFont val="Aptos Narrow"/>
            <scheme val="minor"/>
          </rPr>
          <t>======
ID#AAABjx7qTik
    (2025-05-21 11:33:26)
匯率30</t>
        </r>
      </text>
    </comment>
    <comment ref="E3563" authorId="0" shapeId="0" xr:uid="{487E0C6B-122F-6E44-82F6-4BC53A7DC39D}">
      <text>
        <r>
          <rPr>
            <sz val="10"/>
            <color rgb="FF000000"/>
            <rFont val="Aptos Narrow"/>
            <scheme val="minor"/>
          </rPr>
          <t>======
ID#AAABjx7qUsg
    (2025-05-21 11:33:26)
150410 Karen: 下單EU ADAPTER</t>
        </r>
      </text>
    </comment>
    <comment ref="U3572" authorId="0" shapeId="0" xr:uid="{E51FF60D-F9E9-C24E-9D40-17595436CFF8}">
      <text>
        <r>
          <rPr>
            <sz val="10"/>
            <color rgb="FF000000"/>
            <rFont val="Aptos Narrow"/>
            <scheme val="minor"/>
          </rPr>
          <t>======
ID#AAABjx7qSwY
    (2025-05-21 11:33:26)
chloe
0506更改後與研華發票符合
0515收到四月份對帳單此筆金額與訂單不符合五月需注意
0528 收到對帳單與成本金額相符合</t>
        </r>
      </text>
    </comment>
    <comment ref="X3572" authorId="0" shapeId="0" xr:uid="{236A3B89-0456-D14E-8F72-9EA2303E1452}">
      <text>
        <r>
          <rPr>
            <sz val="10"/>
            <color rgb="FF000000"/>
            <rFont val="Aptos Narrow"/>
            <scheme val="minor"/>
          </rPr>
          <t>======
ID#AAABjx7qWOQ
    (2025-05-21 11:33:27)
0502 chloe
發票修改，待追研華
0505 chloe
收到研華發票</t>
        </r>
      </text>
    </comment>
    <comment ref="U3573" authorId="0" shapeId="0" xr:uid="{2569034F-6E04-EC42-A50C-32C5AEC1945B}">
      <text>
        <r>
          <rPr>
            <sz val="10"/>
            <color rgb="FF000000"/>
            <rFont val="Aptos Narrow"/>
            <scheme val="minor"/>
          </rPr>
          <t>======
ID#AAABjx7qV7I
    (2025-05-21 11:33:27)
chloe
0506更改後與研華發票符合
0515收到四月份對帳單此筆金額與訂單不符合五月需注意
0528 收到對帳單與成本金額相符合</t>
        </r>
      </text>
    </comment>
    <comment ref="X3573" authorId="0" shapeId="0" xr:uid="{85B26836-1476-1246-A033-30E7A6F8E010}">
      <text>
        <r>
          <rPr>
            <sz val="10"/>
            <color rgb="FF000000"/>
            <rFont val="Aptos Narrow"/>
            <scheme val="minor"/>
          </rPr>
          <t>======
ID#AAABjx7qTUw
    (2025-05-21 11:33:26)
0502 chloe
發票修改，待追研華
0505 chloe
收到研華發票</t>
        </r>
      </text>
    </comment>
    <comment ref="U3574" authorId="0" shapeId="0" xr:uid="{FD41D265-426B-8547-8807-A91A698E3B6E}">
      <text>
        <r>
          <rPr>
            <sz val="10"/>
            <color rgb="FF000000"/>
            <rFont val="Aptos Narrow"/>
            <scheme val="minor"/>
          </rPr>
          <t>======
ID#AAABjx7qVYU
    (2025-05-21 11:33:27)
chloe
0506更改後與研華發票符合
0515收到四月份對帳單此筆金額與訂單不符合五月需注意
0528 收到對帳單與成本金額相符合</t>
        </r>
      </text>
    </comment>
    <comment ref="X3574" authorId="0" shapeId="0" xr:uid="{38D0BD11-49D7-1343-833A-BA0905712D5D}">
      <text>
        <r>
          <rPr>
            <sz val="10"/>
            <color rgb="FF000000"/>
            <rFont val="Aptos Narrow"/>
            <scheme val="minor"/>
          </rPr>
          <t>======
ID#AAABjx7qRU8
    (2025-05-21 11:33:25)
0502 chloe
發票修改，待追研華
0505 chloe
收到研華發票</t>
        </r>
      </text>
    </comment>
    <comment ref="U3575" authorId="0" shapeId="0" xr:uid="{AC7984B9-4273-ED49-9678-D59AE11A072F}">
      <text>
        <r>
          <rPr>
            <sz val="10"/>
            <color rgb="FF000000"/>
            <rFont val="Aptos Narrow"/>
            <scheme val="minor"/>
          </rPr>
          <t>======
ID#AAABjx7qNpI
    (2025-05-21 11:33:23)
chloe
0506更改後與研華發票符合
0515收到四月份對帳單此筆金額與訂單不符合五月需注意
0528 收到對帳單與成本金額相符合</t>
        </r>
      </text>
    </comment>
    <comment ref="X3575" authorId="0" shapeId="0" xr:uid="{1F912729-9E97-DB44-AD34-3DAA80361BDB}">
      <text>
        <r>
          <rPr>
            <sz val="10"/>
            <color rgb="FF000000"/>
            <rFont val="Aptos Narrow"/>
            <scheme val="minor"/>
          </rPr>
          <t>======
ID#AAABjx7qQrk
    (2025-05-21 11:33:25)
0502 chloe
發票修改，待追研華
0505 chloe
收到研華發票</t>
        </r>
      </text>
    </comment>
    <comment ref="J3578" authorId="0" shapeId="0" xr:uid="{A8029B8D-A695-944E-A282-25BC91B027C5}">
      <text>
        <r>
          <rPr>
            <sz val="10"/>
            <color rgb="FF000000"/>
            <rFont val="Aptos Narrow"/>
            <scheme val="minor"/>
          </rPr>
          <t>======
ID#AAABj82dpKU
0421 Forster    (2025-05-21 11:33:23)
連維修換下的SSD一同寄回</t>
        </r>
      </text>
    </comment>
    <comment ref="J3580" authorId="0" shapeId="0" xr:uid="{D5710AE7-A01D-714D-92DF-D15ABEB50D00}">
      <text>
        <r>
          <rPr>
            <sz val="10"/>
            <color rgb="FF000000"/>
            <rFont val="Aptos Narrow"/>
            <scheme val="minor"/>
          </rPr>
          <t>======
ID#AAABjx7qM5c
0421 Forster    (2025-05-21 11:33:23)
連維修換下的SSD一同寄回</t>
        </r>
      </text>
    </comment>
    <comment ref="J3581" authorId="0" shapeId="0" xr:uid="{908F63C1-BCD4-1A4A-84C8-3733C7F162BD}">
      <text>
        <r>
          <rPr>
            <sz val="10"/>
            <color rgb="FF000000"/>
            <rFont val="Aptos Narrow"/>
            <scheme val="minor"/>
          </rPr>
          <t>======
ID#AAABjx7qRos
0421 Forster    (2025-05-21 11:33:25)
連維修換下的SSD一同寄回</t>
        </r>
      </text>
    </comment>
    <comment ref="J3582" authorId="0" shapeId="0" xr:uid="{1890FAF5-6C3C-6E43-A83C-12BE2283B06E}">
      <text>
        <r>
          <rPr>
            <sz val="10"/>
            <color rgb="FF000000"/>
            <rFont val="Aptos Narrow"/>
            <scheme val="minor"/>
          </rPr>
          <t>======
ID#AAABjx7qR7M
0421 Forster    (2025-05-21 11:33:25)
連維修換下的SSD一同寄回</t>
        </r>
      </text>
    </comment>
    <comment ref="J3583" authorId="0" shapeId="0" xr:uid="{210BE139-C5FA-1F4D-8865-A93B9B83618B}">
      <text>
        <r>
          <rPr>
            <sz val="10"/>
            <color rgb="FF000000"/>
            <rFont val="Aptos Narrow"/>
            <scheme val="minor"/>
          </rPr>
          <t>======
ID#AAABjx7qOQI
0421 Forster    (2025-05-21 11:33:24)
連維修換下的SSD一同寄回</t>
        </r>
      </text>
    </comment>
    <comment ref="J3584" authorId="0" shapeId="0" xr:uid="{3EF2EFD7-4080-8E4D-9691-141A90EA8B73}">
      <text>
        <r>
          <rPr>
            <sz val="10"/>
            <color rgb="FF000000"/>
            <rFont val="Aptos Narrow"/>
            <scheme val="minor"/>
          </rPr>
          <t>======
ID#AAABjx7qVkM
0421 Forster    (2025-05-21 11:33:27)
連維修換下的SSD一同寄回</t>
        </r>
      </text>
    </comment>
    <comment ref="J3585" authorId="0" shapeId="0" xr:uid="{14913AA1-1EDD-9240-85A6-A9DA4DFA70BB}">
      <text>
        <r>
          <rPr>
            <sz val="10"/>
            <color rgb="FF000000"/>
            <rFont val="Aptos Narrow"/>
            <scheme val="minor"/>
          </rPr>
          <t>======
ID#AAABjx7qRhM
0421 Forster    (2025-05-21 11:33:25)
連維修換下的SSD一同寄回</t>
        </r>
      </text>
    </comment>
    <comment ref="E3586" authorId="0" shapeId="0" xr:uid="{0D64565E-39AF-5646-A9CC-F511072EFE4E}">
      <text>
        <r>
          <rPr>
            <sz val="10"/>
            <color rgb="FF000000"/>
            <rFont val="Aptos Narrow"/>
            <scheme val="minor"/>
          </rPr>
          <t>======
ID#AAABjx7qVNQ
    (2025-05-21 11:33:27)
150501 Karen: 下單EU ADAPTER</t>
        </r>
      </text>
    </comment>
    <comment ref="S3589" authorId="0" shapeId="0" xr:uid="{E3FFD599-2423-2E4E-88AA-2BE383221280}">
      <text>
        <r>
          <rPr>
            <sz val="10"/>
            <color rgb="FF000000"/>
            <rFont val="Aptos Narrow"/>
            <scheme val="minor"/>
          </rPr>
          <t>======
ID#AAABjx7qO2I
    (2025-05-21 11:33:24)
0527 chloe:已匯入170285</t>
        </r>
      </text>
    </comment>
    <comment ref="S3590" authorId="0" shapeId="0" xr:uid="{EFE60DB3-92AB-9947-A9D0-992BBB75C94C}">
      <text>
        <r>
          <rPr>
            <sz val="10"/>
            <color rgb="FF000000"/>
            <rFont val="Aptos Narrow"/>
            <scheme val="minor"/>
          </rPr>
          <t>======
ID#AAABjx7qSt4
    (2025-05-21 11:33:26)
0601 Michelle: 客戶 通知已付
5月份貨款</t>
        </r>
      </text>
    </comment>
    <comment ref="S3597" authorId="0" shapeId="0" xr:uid="{71BBDC3D-BAD3-204A-ACF8-A62406256C4B}">
      <text>
        <r>
          <rPr>
            <sz val="10"/>
            <color rgb="FF000000"/>
            <rFont val="Aptos Narrow"/>
            <scheme val="minor"/>
          </rPr>
          <t>======
ID#AAABjx7qQT8
    (2025-05-21 11:33:25)
20150801 Santiago 收到款</t>
        </r>
      </text>
    </comment>
    <comment ref="S3598" authorId="0" shapeId="0" xr:uid="{1B9E2313-AD9C-CF4F-BBB3-04424AA298C1}">
      <text>
        <r>
          <rPr>
            <sz val="10"/>
            <color rgb="FF000000"/>
            <rFont val="Aptos Narrow"/>
            <scheme val="minor"/>
          </rPr>
          <t>======
ID#AAABjx7qPqQ
    (2025-05-21 11:33:24)
20150801 Santiago 收到款</t>
        </r>
      </text>
    </comment>
    <comment ref="S3599" authorId="0" shapeId="0" xr:uid="{94518BB0-C26F-8C44-B91C-D30738B9BBDC}">
      <text>
        <r>
          <rPr>
            <sz val="10"/>
            <color rgb="FF000000"/>
            <rFont val="Aptos Narrow"/>
            <scheme val="minor"/>
          </rPr>
          <t>======
ID#AAABjx7qTQg
    (2025-05-21 11:33:26)
20150801 Santiago 收到款</t>
        </r>
      </text>
    </comment>
    <comment ref="S3600" authorId="0" shapeId="0" xr:uid="{EB6C3679-2C40-164A-989A-804B3A87FA97}">
      <text>
        <r>
          <rPr>
            <sz val="10"/>
            <color rgb="FF000000"/>
            <rFont val="Aptos Narrow"/>
            <scheme val="minor"/>
          </rPr>
          <t>======
ID#AAABjx7qNKA
    (2025-05-21 11:33:23)
20150801 Santiago 收到款</t>
        </r>
      </text>
    </comment>
    <comment ref="S3601" authorId="0" shapeId="0" xr:uid="{965B5121-C66B-154B-A652-874BFAAE21D0}">
      <text>
        <r>
          <rPr>
            <sz val="10"/>
            <color rgb="FF000000"/>
            <rFont val="Aptos Narrow"/>
            <scheme val="minor"/>
          </rPr>
          <t>======
ID#AAABjx7qTPI
    (2025-05-21 11:33:26)
20150801 Santiago 收到款</t>
        </r>
      </text>
    </comment>
    <comment ref="S3602" authorId="0" shapeId="0" xr:uid="{360A8ED3-96C9-0949-A82C-0C466A459CCD}">
      <text>
        <r>
          <rPr>
            <sz val="10"/>
            <color rgb="FF000000"/>
            <rFont val="Aptos Narrow"/>
            <scheme val="minor"/>
          </rPr>
          <t>======
ID#AAABjx7qPr8
    (2025-05-21 11:33:24)
20150801 Santiago 收到款
0703 Santiago : 已付款</t>
        </r>
      </text>
    </comment>
    <comment ref="H3603" authorId="0" shapeId="0" xr:uid="{631CC86D-A987-BA41-9EC4-B838257C2CFC}">
      <text>
        <r>
          <rPr>
            <sz val="10"/>
            <color rgb="FF000000"/>
            <rFont val="Aptos Narrow"/>
            <scheme val="minor"/>
          </rPr>
          <t>======
ID#AAABjx7qShU
    (2025-05-21 11:33:26)
7/3 michelle: 客戶已付款</t>
        </r>
      </text>
    </comment>
    <comment ref="S3604" authorId="0" shapeId="0" xr:uid="{33918CC1-AB1D-2142-9249-2C6A54427924}">
      <text>
        <r>
          <rPr>
            <sz val="10"/>
            <color rgb="FF000000"/>
            <rFont val="Aptos Narrow"/>
            <scheme val="minor"/>
          </rPr>
          <t>======
ID#AAABjx7qNac
    (2025-05-21 11:33:23)
20150801 Santiago 收到款</t>
        </r>
      </text>
    </comment>
    <comment ref="S3605" authorId="0" shapeId="0" xr:uid="{D3517C9A-718C-D041-B16F-32AF647CA659}">
      <text>
        <r>
          <rPr>
            <sz val="10"/>
            <color rgb="FF000000"/>
            <rFont val="Aptos Narrow"/>
            <scheme val="minor"/>
          </rPr>
          <t>======
ID#AAABjx7qMrI
    (2025-05-21 11:33:23)
20150801 Santiago 收到款</t>
        </r>
      </text>
    </comment>
    <comment ref="S3606" authorId="0" shapeId="0" xr:uid="{F03DD9D0-1090-3B4B-AC08-80D92F8EB32E}">
      <text>
        <r>
          <rPr>
            <sz val="10"/>
            <color rgb="FF000000"/>
            <rFont val="Aptos Narrow"/>
            <scheme val="minor"/>
          </rPr>
          <t>======
ID#AAABjx7qMyk
    (2025-05-21 11:33:23)
20150801 Santiago 收到款</t>
        </r>
      </text>
    </comment>
    <comment ref="S3607" authorId="0" shapeId="0" xr:uid="{33763529-71E4-314F-B0E7-49098D68EC24}">
      <text>
        <r>
          <rPr>
            <sz val="10"/>
            <color rgb="FF000000"/>
            <rFont val="Aptos Narrow"/>
            <scheme val="minor"/>
          </rPr>
          <t>======
ID#AAABjx7qTIA
    (2025-05-21 11:33:26)
20150801 Santiago 收到款</t>
        </r>
      </text>
    </comment>
    <comment ref="S3608" authorId="0" shapeId="0" xr:uid="{F8208603-BBD8-BC4F-8D1B-11904A82CB6A}">
      <text>
        <r>
          <rPr>
            <sz val="10"/>
            <color rgb="FF000000"/>
            <rFont val="Aptos Narrow"/>
            <scheme val="minor"/>
          </rPr>
          <t>======
ID#AAABjx7qWXw
    (2025-05-21 11:33:27)
20150801 Santiago 收到款</t>
        </r>
      </text>
    </comment>
    <comment ref="S3609" authorId="0" shapeId="0" xr:uid="{C4BE8A56-5880-F84D-ADD2-C630E58369C1}">
      <text>
        <r>
          <rPr>
            <sz val="10"/>
            <color rgb="FF000000"/>
            <rFont val="Aptos Narrow"/>
            <scheme val="minor"/>
          </rPr>
          <t>======
ID#AAABjx7qM_k
    (2025-05-21 11:33:23)
20150801 Santiago 收到款</t>
        </r>
      </text>
    </comment>
    <comment ref="S3610" authorId="0" shapeId="0" xr:uid="{DC0CBF20-D96F-E44A-B2EF-3F7FEFEC30AF}">
      <text>
        <r>
          <rPr>
            <sz val="10"/>
            <color rgb="FF000000"/>
            <rFont val="Aptos Narrow"/>
            <scheme val="minor"/>
          </rPr>
          <t>======
ID#AAABjx7qPs4
    (2025-05-21 11:33:24)
20150801 Santiago 收到款</t>
        </r>
      </text>
    </comment>
    <comment ref="H3611" authorId="0" shapeId="0" xr:uid="{D4169219-55B3-0146-B96B-6D841728A421}">
      <text>
        <r>
          <rPr>
            <sz val="10"/>
            <color rgb="FF000000"/>
            <rFont val="Aptos Narrow"/>
            <scheme val="minor"/>
          </rPr>
          <t>======
ID#AAABjx7qVhI
    (2025-05-21 11:33:27)
7/29: michelle :8/1 tt</t>
        </r>
      </text>
    </comment>
    <comment ref="U3611" authorId="0" shapeId="0" xr:uid="{5EFD6D3C-1A78-2F4D-9185-9E5B826F54CE}">
      <text>
        <r>
          <rPr>
            <sz val="10"/>
            <color rgb="FF000000"/>
            <rFont val="Aptos Narrow"/>
            <scheme val="minor"/>
          </rPr>
          <t>======
ID#AAABjx7qOdM
    (2025-05-21 11:33:24)
匯率: 31.45</t>
        </r>
      </text>
    </comment>
    <comment ref="Q3612" authorId="0" shapeId="0" xr:uid="{A8C46196-0A48-AD4F-86E3-41E66B5EE113}">
      <text>
        <r>
          <rPr>
            <sz val="10"/>
            <color rgb="FF000000"/>
            <rFont val="Aptos Narrow"/>
            <scheme val="minor"/>
          </rPr>
          <t>======
ID#AAABjx7qVNA
    (2025-05-21 11:33:27)
20151020Santiago: Moxa 沖錯帳, 已沖銷. 待10/27 Jem 解釋</t>
        </r>
      </text>
    </comment>
    <comment ref="Q3616" authorId="0" shapeId="0" xr:uid="{4D6F9657-B5BA-6A4F-9A00-954D044165EC}">
      <text>
        <r>
          <rPr>
            <sz val="10"/>
            <color rgb="FF000000"/>
            <rFont val="Aptos Narrow"/>
            <scheme val="minor"/>
          </rPr>
          <t>======
ID#AAABjx7qQto
    (2025-05-21 11:33:25)
20151020Santiago: Moxa 沖錯帳, 已沖銷. 待10/27 Jem 解釋</t>
        </r>
      </text>
    </comment>
    <comment ref="E3631" authorId="0" shapeId="0" xr:uid="{F3144BDB-6287-8F4D-83AA-38D838637783}">
      <text>
        <r>
          <rPr>
            <sz val="10"/>
            <color rgb="FF000000"/>
            <rFont val="Aptos Narrow"/>
            <scheme val="minor"/>
          </rPr>
          <t>======
ID#AAABjx7qTpg
    (2025-05-21 11:33:26)
150917 Karen: 下單EU ADAPTER</t>
        </r>
      </text>
    </comment>
    <comment ref="Q3631" authorId="0" shapeId="0" xr:uid="{18B4185B-752A-224A-AFF0-15AB57EBF0C3}">
      <text>
        <r>
          <rPr>
            <sz val="10"/>
            <color rgb="FF000000"/>
            <rFont val="Aptos Narrow"/>
            <scheme val="minor"/>
          </rPr>
          <t>======
ID#AAABjx7qMrQ
    (2025-05-21 11:33:23)
150918 扣抵金額(含稅)US$84,應支付貨款(含稅)為US$1260元</t>
        </r>
      </text>
    </comment>
    <comment ref="Q3632" authorId="0" shapeId="0" xr:uid="{5CC46763-FCCD-F44B-8DA7-00AE1A7D9696}">
      <text>
        <r>
          <rPr>
            <sz val="10"/>
            <color rgb="FF000000"/>
            <rFont val="Aptos Narrow"/>
            <scheme val="minor"/>
          </rPr>
          <t>======
ID#AAABjx7qQqQ
    (2025-05-21 11:33:25)
150918 扣抵金額(含稅)US$10.5,應支付貨款(含稅)為US$21元</t>
        </r>
      </text>
    </comment>
    <comment ref="S3633" authorId="0" shapeId="0" xr:uid="{4EF36E1B-3D1A-8D40-A76E-52D1A2647DD2}">
      <text>
        <r>
          <rPr>
            <sz val="10"/>
            <color rgb="FF000000"/>
            <rFont val="Aptos Narrow"/>
            <scheme val="minor"/>
          </rPr>
          <t>======
ID#AAABjx7qN-I
    (2025-05-21 11:33:23)
chloe 已付款</t>
        </r>
      </text>
    </comment>
    <comment ref="H3634" authorId="0" shapeId="0" xr:uid="{21CA5037-FDDE-2643-97F9-ACD4E680B2E9}">
      <text>
        <r>
          <rPr>
            <sz val="10"/>
            <color rgb="FF000000"/>
            <rFont val="Aptos Narrow"/>
            <scheme val="minor"/>
          </rPr>
          <t>======
ID#AAABjx7qTC8
    (2025-05-21 11:33:26)
11/3 michelle: 已匯入款共67966</t>
        </r>
      </text>
    </comment>
    <comment ref="H3635" authorId="0" shapeId="0" xr:uid="{39AF54EE-59B5-E14F-91C5-996D88F0DFF1}">
      <text>
        <r>
          <rPr>
            <sz val="10"/>
            <color rgb="FF000000"/>
            <rFont val="Aptos Narrow"/>
            <scheme val="minor"/>
          </rPr>
          <t>======
ID#AAABjx7qPwc
    (2025-05-21 11:33:24)
11/3 michelle: 已匯入款共67966</t>
        </r>
      </text>
    </comment>
    <comment ref="H3636" authorId="0" shapeId="0" xr:uid="{DD39354B-FA80-704A-9433-EC0BA8224C1D}">
      <text>
        <r>
          <rPr>
            <sz val="10"/>
            <color rgb="FF000000"/>
            <rFont val="Aptos Narrow"/>
            <scheme val="minor"/>
          </rPr>
          <t>======
ID#AAABjx7qU9c
    (2025-05-21 11:33:27)
11/3 michelle: 已匯入款共67966</t>
        </r>
      </text>
    </comment>
    <comment ref="H3637" authorId="0" shapeId="0" xr:uid="{FBD205EF-AEE0-6146-9769-B700ECDBC73A}">
      <text>
        <r>
          <rPr>
            <sz val="10"/>
            <color rgb="FF000000"/>
            <rFont val="Aptos Narrow"/>
            <scheme val="minor"/>
          </rPr>
          <t>======
ID#AAABj82dpMU
    (2025-05-21 11:33:23)
11/3 michelle: 已匯入款共67966</t>
        </r>
      </text>
    </comment>
    <comment ref="H3638" authorId="0" shapeId="0" xr:uid="{00E9159E-FF34-D44C-9BB4-F8236DD18B20}">
      <text>
        <r>
          <rPr>
            <sz val="10"/>
            <color rgb="FF000000"/>
            <rFont val="Aptos Narrow"/>
            <scheme val="minor"/>
          </rPr>
          <t>======
ID#AAABjx7qSkg
    (2025-05-21 11:33:26)
11/3 michelle: 已匯入款共67966</t>
        </r>
      </text>
    </comment>
    <comment ref="H3639" authorId="0" shapeId="0" xr:uid="{704DDA3C-68DB-3841-BB4F-20B206BAAF88}">
      <text>
        <r>
          <rPr>
            <sz val="10"/>
            <color rgb="FF000000"/>
            <rFont val="Aptos Narrow"/>
            <scheme val="minor"/>
          </rPr>
          <t>======
ID#AAABjx7qWVY
    (2025-05-21 11:33:27)
11/3 michelle: 已匯入款共67966</t>
        </r>
      </text>
    </comment>
    <comment ref="D3640" authorId="0" shapeId="0" xr:uid="{E6B639F2-3F13-8C43-9E8C-78C7C212FF7A}">
      <text>
        <r>
          <rPr>
            <sz val="10"/>
            <color rgb="FF000000"/>
            <rFont val="Aptos Narrow"/>
            <scheme val="minor"/>
          </rPr>
          <t>======
ID#AAABj82dpLk
    (2025-05-21 11:33:23)
此筆費用攤入PI-20150106A
0212 Santiago :
此筆PI 賠錢, 待Chloe 於3月初向業務扣款NT1400
chloel：4/7已扣</t>
        </r>
      </text>
    </comment>
    <comment ref="U3640" authorId="0" shapeId="0" xr:uid="{29055A94-AA51-2241-B23F-FDFA1B3DFCB8}">
      <text>
        <r>
          <rPr>
            <sz val="10"/>
            <color rgb="FF000000"/>
            <rFont val="Aptos Narrow"/>
            <scheme val="minor"/>
          </rPr>
          <t>======
ID#AAABjx7qQkk
    (2025-05-21 11:33:25)
150212 Karen: 每台僅收維修費NT$6000(未稅)
150208 Karen: 一台的檢測費750, 一台的維修費6000</t>
        </r>
      </text>
    </comment>
    <comment ref="S3644" authorId="0" shapeId="0" xr:uid="{69A6C303-604C-E141-B7DE-BB90B8F7391E}">
      <text>
        <r>
          <rPr>
            <sz val="10"/>
            <color rgb="FF000000"/>
            <rFont val="Aptos Narrow"/>
            <scheme val="minor"/>
          </rPr>
          <t>======
ID#AAABjx7qS24
    (2025-05-21 11:33:26)
3/3 入帳</t>
        </r>
      </text>
    </comment>
    <comment ref="K3645" authorId="0" shapeId="0" xr:uid="{EEEFF61A-6B63-1A4F-BFC6-33E6C9C00CC1}">
      <text>
        <r>
          <rPr>
            <sz val="10"/>
            <color rgb="FF000000"/>
            <rFont val="Aptos Narrow"/>
            <scheme val="minor"/>
          </rPr>
          <t>======
ID#AAABjx7qWDQ
    (2025-05-21 11:33:27)
啟良快遞忘了收件故改成3/3</t>
        </r>
      </text>
    </comment>
    <comment ref="S3645" authorId="0" shapeId="0" xr:uid="{23D2976D-0B54-CE43-9181-B9C09CB2D260}">
      <text>
        <r>
          <rPr>
            <sz val="10"/>
            <color rgb="FF000000"/>
            <rFont val="Aptos Narrow"/>
            <scheme val="minor"/>
          </rPr>
          <t>======
ID#AAABjx7qTBg
    (2025-05-21 11:33:26)
4/2 匯款通知 5G01371</t>
        </r>
      </text>
    </comment>
    <comment ref="E3646" authorId="0" shapeId="0" xr:uid="{CF560D98-07D8-B545-BC4E-AA92F40CBC11}">
      <text>
        <r>
          <rPr>
            <sz val="10"/>
            <color rgb="FF000000"/>
            <rFont val="Aptos Narrow"/>
            <scheme val="minor"/>
          </rPr>
          <t>======
ID#AAABjx7qRIk
    (2025-05-21 11:33:25)
150108 Karen: 下單UK adapter</t>
        </r>
      </text>
    </comment>
    <comment ref="E3650" authorId="0" shapeId="0" xr:uid="{0CE7879A-8B77-4E46-A261-6479C9C8BFF5}">
      <text>
        <r>
          <rPr>
            <sz val="10"/>
            <color rgb="FF000000"/>
            <rFont val="Aptos Narrow"/>
            <scheme val="minor"/>
          </rPr>
          <t>======
ID#AAABjx7qWPU
    (2025-05-21 11:33:27)
150120 Karen: 以UK電源下單</t>
        </r>
      </text>
    </comment>
    <comment ref="S3650" authorId="0" shapeId="0" xr:uid="{599F0CBC-F798-B04B-B262-BDD85A71CDF8}">
      <text>
        <r>
          <rPr>
            <sz val="10"/>
            <color rgb="FF000000"/>
            <rFont val="Aptos Narrow"/>
            <scheme val="minor"/>
          </rPr>
          <t>======
ID#AAABjx7qRW0
    (2025-05-21 11:33:25)
2/6 已入帳</t>
        </r>
      </text>
    </comment>
    <comment ref="E3651" authorId="0" shapeId="0" xr:uid="{5B1E2D53-528E-9741-BAF2-C2E548A6D113}">
      <text>
        <r>
          <rPr>
            <sz val="10"/>
            <color rgb="FF000000"/>
            <rFont val="Aptos Narrow"/>
            <scheme val="minor"/>
          </rPr>
          <t>======
ID#AAABjx7qV5Y
    (2025-05-21 11:33:27)
150125 Karen: 是power cord</t>
        </r>
      </text>
    </comment>
    <comment ref="I3651" authorId="0" shapeId="0" xr:uid="{E432DD14-6A1C-264A-B070-D90399205950}">
      <text>
        <r>
          <rPr>
            <sz val="10"/>
            <color rgb="FF000000"/>
            <rFont val="Aptos Narrow"/>
            <scheme val="minor"/>
          </rPr>
          <t>======
ID#AAABjx7qSW4
    (2025-05-21 11:33:26)
FORSTER的部分計算獎金，但不發給(因採固定制)</t>
        </r>
      </text>
    </comment>
    <comment ref="S3651" authorId="0" shapeId="0" xr:uid="{E1896DEB-F699-C549-BDCC-83616C0F5CB7}">
      <text>
        <r>
          <rPr>
            <sz val="10"/>
            <color rgb="FF000000"/>
            <rFont val="Aptos Narrow"/>
            <scheme val="minor"/>
          </rPr>
          <t>======
ID#AAABjx7qWP8
    (2025-05-21 11:33:27)
3/3 入帳</t>
        </r>
      </text>
    </comment>
    <comment ref="E3652" authorId="0" shapeId="0" xr:uid="{FB0640A7-01AB-9C4B-9DFD-90E56F727BEB}">
      <text>
        <r>
          <rPr>
            <sz val="10"/>
            <color rgb="FF000000"/>
            <rFont val="Aptos Narrow"/>
            <scheme val="minor"/>
          </rPr>
          <t>======
ID#AAABjx7qNy8
    (2025-05-21 11:33:23)
150126 Karen: 下單UK電源</t>
        </r>
      </text>
    </comment>
    <comment ref="I3652" authorId="0" shapeId="0" xr:uid="{668C87DC-3A83-C24F-BE2B-83FE32388206}">
      <text>
        <r>
          <rPr>
            <sz val="10"/>
            <color rgb="FF000000"/>
            <rFont val="Aptos Narrow"/>
            <scheme val="minor"/>
          </rPr>
          <t>======
ID#AAABjx7qTDE
    (2025-05-21 11:33:26)
FORSTER的部分計算獎金，但不發給(因採固定制薪資)</t>
        </r>
      </text>
    </comment>
    <comment ref="E3653" authorId="0" shapeId="0" xr:uid="{43B0E411-16B8-F249-8AC8-2DEE13FFBC1D}">
      <text>
        <r>
          <rPr>
            <sz val="10"/>
            <color rgb="FF000000"/>
            <rFont val="Aptos Narrow"/>
            <scheme val="minor"/>
          </rPr>
          <t>======
ID#AAABjx7qScc
    (2025-05-21 11:33:26)
150126 Karen: 下單UK電源</t>
        </r>
      </text>
    </comment>
    <comment ref="I3653" authorId="0" shapeId="0" xr:uid="{10EC5868-2768-064D-B3E4-D06BFE9BAED7}">
      <text>
        <r>
          <rPr>
            <sz val="10"/>
            <color rgb="FF000000"/>
            <rFont val="Aptos Narrow"/>
            <scheme val="minor"/>
          </rPr>
          <t>======
ID#AAABjx7qS6o
    (2025-05-21 11:33:26)
FORSTER的部分計算獎金，但不發給(因採固定制)</t>
        </r>
      </text>
    </comment>
    <comment ref="E3654" authorId="0" shapeId="0" xr:uid="{03992958-C0BB-9C46-AF46-16EF901256BE}">
      <text>
        <r>
          <rPr>
            <sz val="10"/>
            <color rgb="FF000000"/>
            <rFont val="Aptos Narrow"/>
            <scheme val="minor"/>
          </rPr>
          <t>======
ID#AAABjx7qO2s
    (2025-05-21 11:33:24)
150204 Karen: 下單型號MGate MB3480，UK ADAPTER</t>
        </r>
      </text>
    </comment>
    <comment ref="I3654" authorId="0" shapeId="0" xr:uid="{1581B2AF-9E89-8B49-8707-B0C366B14367}">
      <text>
        <r>
          <rPr>
            <sz val="10"/>
            <color rgb="FF000000"/>
            <rFont val="Aptos Narrow"/>
            <scheme val="minor"/>
          </rPr>
          <t>======
ID#AAABjx7qOyw
    (2025-05-21 11:33:24)
計算獎金，但不發給(因採固定制)</t>
        </r>
      </text>
    </comment>
    <comment ref="K3655" authorId="0" shapeId="0" xr:uid="{8D629515-CD01-BF4F-97C8-2B42647DB01A}">
      <text>
        <r>
          <rPr>
            <sz val="10"/>
            <color rgb="FF000000"/>
            <rFont val="Aptos Narrow"/>
            <scheme val="minor"/>
          </rPr>
          <t>======
ID#AAABjx7qWNk
    (2025-05-21 11:33:27)
啟良快遞忘了收件故改成3/3</t>
        </r>
      </text>
    </comment>
    <comment ref="S3655" authorId="0" shapeId="0" xr:uid="{0A5A3712-05AB-6640-963D-3AADE65E8D8E}">
      <text>
        <r>
          <rPr>
            <sz val="10"/>
            <color rgb="FF000000"/>
            <rFont val="Aptos Narrow"/>
            <scheme val="minor"/>
          </rPr>
          <t>======
ID#AAABjx7qVLE
    (2025-05-21 11:33:27)
4/2 匯款通知 5G01371</t>
        </r>
      </text>
    </comment>
    <comment ref="E3656" authorId="0" shapeId="0" xr:uid="{98FD17EE-2840-D140-B382-E8974150ED3C}">
      <text>
        <r>
          <rPr>
            <sz val="10"/>
            <color rgb="FF000000"/>
            <rFont val="Aptos Narrow"/>
            <scheme val="minor"/>
          </rPr>
          <t>======
ID#AAABjx7qQ8M
    (2025-05-21 11:33:25)
150226 Karen: 下單UK電源</t>
        </r>
      </text>
    </comment>
    <comment ref="S3656" authorId="0" shapeId="0" xr:uid="{3CE4B567-3E14-E441-A70B-9E77E75170CE}">
      <text>
        <r>
          <rPr>
            <sz val="10"/>
            <color rgb="FF000000"/>
            <rFont val="Aptos Narrow"/>
            <scheme val="minor"/>
          </rPr>
          <t>======
ID#AAABjx7qWG8
    (2025-05-21 11:33:27)
4/2 匯款通知 5G01371</t>
        </r>
      </text>
    </comment>
    <comment ref="S3657" authorId="0" shapeId="0" xr:uid="{3BBE08E6-6155-0245-8CE9-D4120EAD630E}">
      <text>
        <r>
          <rPr>
            <sz val="10"/>
            <color rgb="FF000000"/>
            <rFont val="Aptos Narrow"/>
            <scheme val="minor"/>
          </rPr>
          <t>======
ID#AAABjx7qQk4
    (2025-05-21 11:33:25)
4/2 匯款通知 5G01371</t>
        </r>
      </text>
    </comment>
    <comment ref="E3659" authorId="0" shapeId="0" xr:uid="{923A45C6-639D-5348-8203-CC37515076EF}">
      <text>
        <r>
          <rPr>
            <sz val="10"/>
            <color rgb="FF000000"/>
            <rFont val="Aptos Narrow"/>
            <scheme val="minor"/>
          </rPr>
          <t>======
ID#AAABjx7qNtw
    (2025-05-21 11:33:23)
150304 Karen: 下單型號CBL-M44M25x4-50</t>
        </r>
      </text>
    </comment>
    <comment ref="S3660" authorId="0" shapeId="0" xr:uid="{B43B8599-4DF1-294F-8CD6-4105BA72D561}">
      <text>
        <r>
          <rPr>
            <sz val="10"/>
            <color rgb="FF000000"/>
            <rFont val="Aptos Narrow"/>
            <scheme val="minor"/>
          </rPr>
          <t>======
ID#AAABjx7qS0s
    (2025-05-21 11:33:26)
4/2 匯款通知 5G01371</t>
        </r>
      </text>
    </comment>
    <comment ref="S3661" authorId="0" shapeId="0" xr:uid="{85839BC7-089F-BE43-A8EA-A6024A86D417}">
      <text>
        <r>
          <rPr>
            <sz val="10"/>
            <color rgb="FF000000"/>
            <rFont val="Aptos Narrow"/>
            <scheme val="minor"/>
          </rPr>
          <t>======
ID#AAABjx7qToc
    (2025-05-21 11:33:26)
4/2 匯款通知 5G01371</t>
        </r>
      </text>
    </comment>
    <comment ref="M3662" authorId="0" shapeId="0" xr:uid="{AC438392-0AE5-BB42-831F-057C69E9E679}">
      <text>
        <r>
          <rPr>
            <sz val="10"/>
            <color rgb="FF000000"/>
            <rFont val="Aptos Narrow"/>
            <scheme val="minor"/>
          </rPr>
          <t>======
ID#AAABjx7qRQk
    (2025-05-21 11:33:25)
20150316 Forster點收</t>
        </r>
      </text>
    </comment>
    <comment ref="S3662" authorId="0" shapeId="0" xr:uid="{4DA1A766-B4BD-734F-A6AC-D35A639701B5}">
      <text>
        <r>
          <rPr>
            <sz val="10"/>
            <color rgb="FF000000"/>
            <rFont val="Aptos Narrow"/>
            <scheme val="minor"/>
          </rPr>
          <t>======
ID#AAABjx7qSV8
    (2025-05-21 11:33:26)
4/2 匯款通知 5G01371</t>
        </r>
      </text>
    </comment>
    <comment ref="S3663" authorId="0" shapeId="0" xr:uid="{B3456954-71F2-DB4E-9CB4-E89BA14FB4B4}">
      <text>
        <r>
          <rPr>
            <sz val="10"/>
            <color rgb="FF000000"/>
            <rFont val="Aptos Narrow"/>
            <scheme val="minor"/>
          </rPr>
          <t>======
ID#AAABjx7qSDg
    (2025-05-21 11:33:25)
4/2 匯款通知 5G01371</t>
        </r>
      </text>
    </comment>
    <comment ref="S3664" authorId="0" shapeId="0" xr:uid="{E5B28551-9E1B-014D-935B-956415C3FE09}">
      <text>
        <r>
          <rPr>
            <sz val="10"/>
            <color rgb="FF000000"/>
            <rFont val="Aptos Narrow"/>
            <scheme val="minor"/>
          </rPr>
          <t>======
ID#AAABjx7qNQc
    (2025-05-21 11:33:23)
4/2 匯款通知 5G01371</t>
        </r>
      </text>
    </comment>
    <comment ref="S3665" authorId="0" shapeId="0" xr:uid="{AC814B52-E5F5-5542-B8D1-9D2CF80D3ED1}">
      <text>
        <r>
          <rPr>
            <sz val="10"/>
            <color rgb="FF000000"/>
            <rFont val="Aptos Narrow"/>
            <scheme val="minor"/>
          </rPr>
          <t>======
ID#AAABjx7qQV8
    (2025-05-21 11:33:25)
chloe 0507收到銀行通知</t>
        </r>
      </text>
    </comment>
    <comment ref="E3666" authorId="0" shapeId="0" xr:uid="{0A955698-0A49-834E-854E-F794178FE541}">
      <text>
        <r>
          <rPr>
            <sz val="10"/>
            <color rgb="FF000000"/>
            <rFont val="Aptos Narrow"/>
            <scheme val="minor"/>
          </rPr>
          <t>======
ID#AAABjx7qR7k
    (2025-05-21 11:33:25)
150327 Karen: 下單型號C218T/PCI</t>
        </r>
      </text>
    </comment>
    <comment ref="S3666" authorId="0" shapeId="0" xr:uid="{47834F38-0FB7-A442-B561-D9312616EE86}">
      <text>
        <r>
          <rPr>
            <sz val="10"/>
            <color rgb="FF000000"/>
            <rFont val="Aptos Narrow"/>
            <scheme val="minor"/>
          </rPr>
          <t>======
ID#AAABjx7qOjw
    (2025-05-21 11:33:24)
chloe 0507收到銀行通知</t>
        </r>
      </text>
    </comment>
    <comment ref="AB3666" authorId="0" shapeId="0" xr:uid="{92C8E346-3040-E347-ADE9-BF31C934AE92}">
      <text>
        <r>
          <rPr>
            <sz val="10"/>
            <color rgb="FF000000"/>
            <rFont val="Aptos Narrow"/>
            <scheme val="minor"/>
          </rPr>
          <t>======
ID#AAABjx7qV5E
    (2025-05-21 11:33:27)
4/17 michelle: BA52630410</t>
        </r>
      </text>
    </comment>
    <comment ref="S3667" authorId="0" shapeId="0" xr:uid="{D9F4AD29-7F6D-564D-B580-E39AE4EFA9D7}">
      <text>
        <r>
          <rPr>
            <sz val="10"/>
            <color rgb="FF000000"/>
            <rFont val="Aptos Narrow"/>
            <scheme val="minor"/>
          </rPr>
          <t>======
ID#AAABjx7qVJQ
    (2025-05-21 11:33:27)
chloe 0507收到銀行通知</t>
        </r>
      </text>
    </comment>
    <comment ref="AB3667" authorId="0" shapeId="0" xr:uid="{AC25BFEF-C14C-8749-961C-2EAC0AFA7EB4}">
      <text>
        <r>
          <rPr>
            <sz val="10"/>
            <color rgb="FF000000"/>
            <rFont val="Aptos Narrow"/>
            <scheme val="minor"/>
          </rPr>
          <t>======
ID#AAABjx7qQHc
    (2025-05-21 11:33:25)
4/17 michelle: BA52630410</t>
        </r>
      </text>
    </comment>
    <comment ref="S3668" authorId="0" shapeId="0" xr:uid="{C3B10912-7C26-C645-BC43-D0EB940E8157}">
      <text>
        <r>
          <rPr>
            <sz val="10"/>
            <color rgb="FF000000"/>
            <rFont val="Aptos Narrow"/>
            <scheme val="minor"/>
          </rPr>
          <t>======
ID#AAABjx7qPmo
    (2025-05-21 11:33:24)
chloe 0507收到銀行通知</t>
        </r>
      </text>
    </comment>
    <comment ref="S3669" authorId="0" shapeId="0" xr:uid="{FDA48E02-F4CD-5C45-8794-CE9476A8EB25}">
      <text>
        <r>
          <rPr>
            <sz val="10"/>
            <color rgb="FF000000"/>
            <rFont val="Aptos Narrow"/>
            <scheme val="minor"/>
          </rPr>
          <t>======
ID#AAABjx7qSd8
    (2025-05-21 11:33:26)
chloe 0507收到銀行通知</t>
        </r>
      </text>
    </comment>
    <comment ref="AB3669" authorId="0" shapeId="0" xr:uid="{5DA68009-CE61-1540-8145-2C4F52507E5C}">
      <text>
        <r>
          <rPr>
            <sz val="10"/>
            <color rgb="FF000000"/>
            <rFont val="Aptos Narrow"/>
            <scheme val="minor"/>
          </rPr>
          <t>======
ID#AAABj82dpFE
    (2025-05-21 11:33:23)
4/17 michelle: BA52630410</t>
        </r>
      </text>
    </comment>
    <comment ref="S3670" authorId="0" shapeId="0" xr:uid="{71209AFA-24FA-8A4F-8CEF-6EA606431B91}">
      <text>
        <r>
          <rPr>
            <sz val="10"/>
            <color rgb="FF000000"/>
            <rFont val="Aptos Narrow"/>
            <scheme val="minor"/>
          </rPr>
          <t>======
ID#AAABjx7qP4A
    (2025-05-21 11:33:24)
chloe 0507收到銀行通知</t>
        </r>
      </text>
    </comment>
    <comment ref="AB3670" authorId="0" shapeId="0" xr:uid="{1533F940-ECEF-2049-BF4A-15EDEC522058}">
      <text>
        <r>
          <rPr>
            <sz val="10"/>
            <color rgb="FF000000"/>
            <rFont val="Aptos Narrow"/>
            <scheme val="minor"/>
          </rPr>
          <t>======
ID#AAABjx7qP5c
    (2025-05-21 11:33:24)
4/17 michelle: BA52630410</t>
        </r>
      </text>
    </comment>
    <comment ref="D3671" authorId="0" shapeId="0" xr:uid="{CD125F19-05C8-5748-A12E-D777A43837BC}">
      <text>
        <r>
          <rPr>
            <sz val="10"/>
            <color rgb="FF000000"/>
            <rFont val="Aptos Narrow"/>
            <scheme val="minor"/>
          </rPr>
          <t>======
ID#AAABjx7qMzM
Santiago 0518     (2025-05-21 11:33:23)
請業務處理, 即使不知客戶何時來台. 勿使帳款拖過2個月
Forster 0601：
Oscar已請人匯款至戎克玉山戶頭</t>
        </r>
      </text>
    </comment>
    <comment ref="J3671" authorId="0" shapeId="0" xr:uid="{E36881F0-D0C5-F54C-9CAF-230E969F1B14}">
      <text>
        <r>
          <rPr>
            <sz val="10"/>
            <color rgb="FF000000"/>
            <rFont val="Aptos Narrow"/>
            <scheme val="minor"/>
          </rPr>
          <t>======
ID#AAABj82dpPM
    (2025-05-21 11:33:23)
客戶指定送安勤</t>
        </r>
      </text>
    </comment>
    <comment ref="S3671" authorId="0" shapeId="0" xr:uid="{F1CA99C4-E7A8-1548-9743-A683C090A7C4}">
      <text>
        <r>
          <rPr>
            <sz val="10"/>
            <color rgb="FF000000"/>
            <rFont val="Aptos Narrow"/>
            <scheme val="minor"/>
          </rPr>
          <t>======
ID#AAABjx7qQtA
    (2025-05-21 11:33:25)
Santiago 0330 : 此單較特別，待客戶來台再付現, 可以先出貨
0426 chloe:尚未得知客戶何時來台
0515 Forster:六月第一周
0601 Forster: 客戶已請人匯款至戎克玉山戶頭</t>
        </r>
      </text>
    </comment>
    <comment ref="E3672" authorId="0" shapeId="0" xr:uid="{575715A9-3932-4B47-9288-D468317CC3CC}">
      <text>
        <r>
          <rPr>
            <sz val="10"/>
            <color rgb="FF000000"/>
            <rFont val="Aptos Narrow"/>
            <scheme val="minor"/>
          </rPr>
          <t>======
ID#AAABjx7qN8o
    (2025-05-21 11:33:23)
150416 Karen：下單UK adapter</t>
        </r>
      </text>
    </comment>
    <comment ref="S3672" authorId="0" shapeId="0" xr:uid="{0F0FFF42-EE07-0F4C-9951-FD0D2336EFF0}">
      <text>
        <r>
          <rPr>
            <sz val="10"/>
            <color rgb="FF000000"/>
            <rFont val="Aptos Narrow"/>
            <scheme val="minor"/>
          </rPr>
          <t>======
ID#AAABjx7qWXg
    (2025-05-21 11:33:27)
chloe 0507收到銀行通知</t>
        </r>
      </text>
    </comment>
    <comment ref="E3673" authorId="0" shapeId="0" xr:uid="{10280AB5-8999-134A-B97C-FE9317DAB059}">
      <text>
        <r>
          <rPr>
            <sz val="10"/>
            <color rgb="FF000000"/>
            <rFont val="Aptos Narrow"/>
            <scheme val="minor"/>
          </rPr>
          <t>======
ID#AAABjx7qVqY
    (2025-05-21 11:33:27)
150416 Karen: 下單UK adapter</t>
        </r>
      </text>
    </comment>
    <comment ref="S3673" authorId="0" shapeId="0" xr:uid="{F9EF3C29-22B5-2245-8991-A39A0A329863}">
      <text>
        <r>
          <rPr>
            <sz val="10"/>
            <color rgb="FF000000"/>
            <rFont val="Aptos Narrow"/>
            <scheme val="minor"/>
          </rPr>
          <t>======
ID#AAABjx7qVsY
    (2025-05-21 11:33:27)
chloe 0507收到銀行通知</t>
        </r>
      </text>
    </comment>
    <comment ref="S3674" authorId="0" shapeId="0" xr:uid="{5D57DB99-8FD8-CF4E-B1A6-542E1A89BD33}">
      <text>
        <r>
          <rPr>
            <sz val="10"/>
            <color rgb="FF000000"/>
            <rFont val="Aptos Narrow"/>
            <scheme val="minor"/>
          </rPr>
          <t>======
ID#AAABjx7qNhA
    (2025-05-21 11:33:23)
5/27 michelle: 客戶水單</t>
        </r>
      </text>
    </comment>
    <comment ref="E3675" authorId="0" shapeId="0" xr:uid="{C338C0D4-9575-9645-B697-91C853F23ACA}">
      <text>
        <r>
          <rPr>
            <sz val="10"/>
            <color rgb="FF000000"/>
            <rFont val="Aptos Narrow"/>
            <scheme val="minor"/>
          </rPr>
          <t>======
ID#AAABjx7qVxE
    (2025-05-21 11:33:27)
150506 Karen: w/ UK plug</t>
        </r>
      </text>
    </comment>
    <comment ref="S3675" authorId="0" shapeId="0" xr:uid="{C36EB146-7C57-BA42-927B-4142E39A9433}">
      <text>
        <r>
          <rPr>
            <sz val="10"/>
            <color rgb="FF000000"/>
            <rFont val="Aptos Narrow"/>
            <scheme val="minor"/>
          </rPr>
          <t>======
ID#AAABjx7qV5A
    (2025-05-21 11:33:27)
5/27 michelle: 客戶水單</t>
        </r>
      </text>
    </comment>
    <comment ref="S3676" authorId="0" shapeId="0" xr:uid="{FB8008D0-D5C2-5F4E-B51A-9361B33903B4}">
      <text>
        <r>
          <rPr>
            <sz val="10"/>
            <color rgb="FF000000"/>
            <rFont val="Aptos Narrow"/>
            <scheme val="minor"/>
          </rPr>
          <t>======
ID#AAABjx7qSiI
    (2025-05-21 11:33:26)
5/27 michelle: 客戶水單</t>
        </r>
      </text>
    </comment>
    <comment ref="S3677" authorId="0" shapeId="0" xr:uid="{04A554F1-FF64-9341-B636-437277082E28}">
      <text>
        <r>
          <rPr>
            <sz val="10"/>
            <color rgb="FF000000"/>
            <rFont val="Aptos Narrow"/>
            <scheme val="minor"/>
          </rPr>
          <t>======
ID#AAABjx7qU08
    (2025-05-21 11:33:26)
5/27 michelle: 客戶水單</t>
        </r>
      </text>
    </comment>
    <comment ref="S3678" authorId="0" shapeId="0" xr:uid="{F5E78D5A-30E7-8E4D-B4DE-661C73952736}">
      <text>
        <r>
          <rPr>
            <sz val="10"/>
            <color rgb="FF000000"/>
            <rFont val="Aptos Narrow"/>
            <scheme val="minor"/>
          </rPr>
          <t>======
ID#AAABjx7qPyA
    (2025-05-21 11:33:24)
0701 michelle : 銀行通知收到款USD5267</t>
        </r>
      </text>
    </comment>
    <comment ref="D3679" authorId="0" shapeId="0" xr:uid="{626E813B-E2DA-044E-A7C2-1ECF81141F44}">
      <text>
        <r>
          <rPr>
            <sz val="10"/>
            <color rgb="FF000000"/>
            <rFont val="Aptos Narrow"/>
            <scheme val="minor"/>
          </rPr>
          <t>======
ID#AAABjx7qTkg
20150916 Santiago    (2025-05-21 11:33:26)
目前End User 庫存未消化. 案子還沒結案. 所以先取消訂單</t>
        </r>
      </text>
    </comment>
    <comment ref="O3679" authorId="0" shapeId="0" xr:uid="{5C9D6FED-2166-B945-AC11-41365E2E4AA1}">
      <text>
        <r>
          <rPr>
            <sz val="10"/>
            <color rgb="FF000000"/>
            <rFont val="Aptos Narrow"/>
            <scheme val="minor"/>
          </rPr>
          <t>======
ID#AAABjx7qP0k
    (2025-05-21 11:33:24)
150728 Karen: 預計在8/24重下單。</t>
        </r>
      </text>
    </comment>
    <comment ref="S3680" authorId="0" shapeId="0" xr:uid="{C5217940-7F11-D544-9490-89E29D246316}">
      <text>
        <r>
          <rPr>
            <sz val="10"/>
            <color rgb="FF000000"/>
            <rFont val="Aptos Narrow"/>
            <scheme val="minor"/>
          </rPr>
          <t>======
ID#AAABjx7qQO4
    (2025-05-21 11:33:25)
0930 Santiago: 銀行通知4817</t>
        </r>
      </text>
    </comment>
    <comment ref="U3680" authorId="0" shapeId="0" xr:uid="{E4138AE9-7B5C-AC4D-B324-D03AA72C7D20}">
      <text>
        <r>
          <rPr>
            <sz val="10"/>
            <color rgb="FF000000"/>
            <rFont val="Aptos Narrow"/>
            <scheme val="minor"/>
          </rPr>
          <t>======
ID#AAABjx7qSTI
    (2025-05-21 11:33:26)
32.13</t>
        </r>
      </text>
    </comment>
    <comment ref="R3681" authorId="0" shapeId="0" xr:uid="{D506447A-2259-484D-8180-4992F7E3FD20}">
      <text>
        <r>
          <rPr>
            <sz val="10"/>
            <color rgb="FF000000"/>
            <rFont val="Aptos Narrow"/>
            <scheme val="minor"/>
          </rPr>
          <t>======
ID#AAABjx7qN1w
Santiago 0909    (2025-05-21 11:33:23)
報價給客戶應為US$50
但由於是戎克疏失, 只要客戶下次付款即可</t>
        </r>
      </text>
    </comment>
    <comment ref="S3681" authorId="0" shapeId="0" xr:uid="{B848E7DF-97DA-0948-ADBE-5CD394AC867C}">
      <text>
        <r>
          <rPr>
            <sz val="10"/>
            <color rgb="FF000000"/>
            <rFont val="Aptos Narrow"/>
            <scheme val="minor"/>
          </rPr>
          <t>======
ID#AAABjx7qPGk
    (2025-05-21 11:33:24)
0930 Santiago: 銀行通知4817</t>
        </r>
      </text>
    </comment>
    <comment ref="S3682" authorId="0" shapeId="0" xr:uid="{A38AA483-C55D-3645-92A0-4B5513A56476}">
      <text>
        <r>
          <rPr>
            <sz val="10"/>
            <color rgb="FF000000"/>
            <rFont val="Aptos Narrow"/>
            <scheme val="minor"/>
          </rPr>
          <t>======
ID#AAABjx7qVCs
    (2025-05-21 11:33:27)
0930 Santiago: 銀行通知4817</t>
        </r>
      </text>
    </comment>
    <comment ref="S3683" authorId="0" shapeId="0" xr:uid="{DE6978E2-DB86-C14C-AC2A-111D3B6A9393}">
      <text>
        <r>
          <rPr>
            <sz val="10"/>
            <color rgb="FF000000"/>
            <rFont val="Aptos Narrow"/>
            <scheme val="minor"/>
          </rPr>
          <t>======
ID#AAABjx7qQJ4
    (2025-05-21 11:33:25)
0930 Santiago: 銀行通知4817</t>
        </r>
      </text>
    </comment>
    <comment ref="E3684" authorId="0" shapeId="0" xr:uid="{AFC5F097-3846-F74D-83EA-52077702C067}">
      <text>
        <r>
          <rPr>
            <sz val="10"/>
            <color rgb="FF000000"/>
            <rFont val="Aptos Narrow"/>
            <scheme val="minor"/>
          </rPr>
          <t>======
ID#AAABjx7qQ0s
    (2025-05-21 11:33:25)
9/9 michele: 原本就已加購 7400065009X00 +power code USD25</t>
        </r>
      </text>
    </comment>
    <comment ref="S3684" authorId="0" shapeId="0" xr:uid="{E61BEE9F-4F6C-2140-AD49-10A084834EEC}">
      <text>
        <r>
          <rPr>
            <sz val="10"/>
            <color rgb="FF000000"/>
            <rFont val="Aptos Narrow"/>
            <scheme val="minor"/>
          </rPr>
          <t>======
ID#AAABjx7qVxM
    (2025-05-21 11:33:27)
0930 Santiago: 銀行通知4817</t>
        </r>
      </text>
    </comment>
    <comment ref="U3684" authorId="0" shapeId="0" xr:uid="{675E1835-1823-EE4F-AE73-6D3F6E481F6E}">
      <text>
        <r>
          <rPr>
            <sz val="10"/>
            <color rgb="FF000000"/>
            <rFont val="Aptos Narrow"/>
            <scheme val="minor"/>
          </rPr>
          <t>======
ID#AAABjx7qRdk
    (2025-05-21 11:33:25)
32.13</t>
        </r>
      </text>
    </comment>
    <comment ref="S3685" authorId="0" shapeId="0" xr:uid="{98C708FF-C77E-6D48-8BB0-A753882A726F}">
      <text>
        <r>
          <rPr>
            <sz val="10"/>
            <color rgb="FF000000"/>
            <rFont val="Aptos Narrow"/>
            <scheme val="minor"/>
          </rPr>
          <t>======
ID#AAABjx7qNyk
    (2025-05-21 11:33:23)
0930 Santiago: 銀行通知4817</t>
        </r>
      </text>
    </comment>
    <comment ref="S3686" authorId="0" shapeId="0" xr:uid="{8C51BB62-29F5-CB45-A771-55F78F164770}">
      <text>
        <r>
          <rPr>
            <sz val="10"/>
            <color rgb="FF000000"/>
            <rFont val="Aptos Narrow"/>
            <scheme val="minor"/>
          </rPr>
          <t>======
ID#AAABjx7qSsc
    (2025-05-21 11:33:26)
9/8 Santiago 
已收到玉山預先通知</t>
        </r>
      </text>
    </comment>
    <comment ref="U3686" authorId="0" shapeId="0" xr:uid="{0F85C706-3EB8-0941-A099-87E1CF932413}">
      <text>
        <r>
          <rPr>
            <sz val="10"/>
            <color rgb="FF000000"/>
            <rFont val="Aptos Narrow"/>
            <scheme val="minor"/>
          </rPr>
          <t>======
ID#AAABjx7qTWU
    (2025-05-21 11:33:26)
32.13</t>
        </r>
      </text>
    </comment>
    <comment ref="S3687" authorId="0" shapeId="0" xr:uid="{B0F32436-227D-5C4C-A61B-E88F10DA9815}">
      <text>
        <r>
          <rPr>
            <sz val="10"/>
            <color rgb="FF000000"/>
            <rFont val="Aptos Narrow"/>
            <scheme val="minor"/>
          </rPr>
          <t>======
ID#AAABjx7qVn8
    (2025-05-21 11:33:27)
10/19 michelle: 10/19玉山通知匯入款</t>
        </r>
      </text>
    </comment>
    <comment ref="R3688" authorId="0" shapeId="0" xr:uid="{76E7BEAE-2C09-7D46-A1CF-80F5CD427830}">
      <text>
        <r>
          <rPr>
            <sz val="10"/>
            <color rgb="FF000000"/>
            <rFont val="Aptos Narrow"/>
            <scheme val="minor"/>
          </rPr>
          <t>======
ID#AAABjx7qOns
Santiago 0909    (2025-05-21 11:33:24)
報價給客戶應為US$50
但由於是戎克疏失, 只要客戶下次付款即可</t>
        </r>
      </text>
    </comment>
    <comment ref="S3688" authorId="0" shapeId="0" xr:uid="{ECB4355C-94AD-0841-B8F3-E354040987C5}">
      <text>
        <r>
          <rPr>
            <sz val="10"/>
            <color rgb="FF000000"/>
            <rFont val="Aptos Narrow"/>
            <scheme val="minor"/>
          </rPr>
          <t>======
ID#AAABjx7qPlg
    (2025-05-21 11:33:24)
10/19 michelle: 10/19玉山通知匯入款</t>
        </r>
      </text>
    </comment>
    <comment ref="S3689" authorId="0" shapeId="0" xr:uid="{1F74B307-8E4C-1549-B340-403CF63579CE}">
      <text>
        <r>
          <rPr>
            <sz val="10"/>
            <color rgb="FF000000"/>
            <rFont val="Aptos Narrow"/>
            <scheme val="minor"/>
          </rPr>
          <t>======
ID#AAABjx7qMuA
    (2025-05-21 11:33:23)
10/19 michelle: 10/19玉山通知匯入款</t>
        </r>
      </text>
    </comment>
    <comment ref="S3690" authorId="0" shapeId="0" xr:uid="{2140E32E-FFAB-1A40-AFF0-1D9D3AC441C6}">
      <text>
        <r>
          <rPr>
            <sz val="10"/>
            <color rgb="FF000000"/>
            <rFont val="Aptos Narrow"/>
            <scheme val="minor"/>
          </rPr>
          <t>======
ID#AAABjx7qRAA
    (2025-05-21 11:33:25)
10/19 michelle: 10/19玉山通知匯入款</t>
        </r>
      </text>
    </comment>
    <comment ref="S3691" authorId="0" shapeId="0" xr:uid="{3A619C83-B599-104E-9F90-789586EFDCBA}">
      <text>
        <r>
          <rPr>
            <sz val="10"/>
            <color rgb="FF000000"/>
            <rFont val="Aptos Narrow"/>
            <scheme val="minor"/>
          </rPr>
          <t>======
ID#AAABjx7qSB0
    (2025-05-21 11:33:25)
10/19 michelle: 10/19玉山通知匯入款</t>
        </r>
      </text>
    </comment>
    <comment ref="S3692" authorId="0" shapeId="0" xr:uid="{B332827D-230A-6D41-8F84-5530F74C457A}">
      <text>
        <r>
          <rPr>
            <sz val="10"/>
            <color rgb="FF000000"/>
            <rFont val="Aptos Narrow"/>
            <scheme val="minor"/>
          </rPr>
          <t>======
ID#AAABjx7qVAM
    (2025-05-21 11:33:27)
Santiago 20151104 :已收到銀行通知</t>
        </r>
      </text>
    </comment>
    <comment ref="E3693" authorId="0" shapeId="0" xr:uid="{2356A387-F527-0A41-862E-B9BB1CBE8D46}">
      <text>
        <r>
          <rPr>
            <sz val="10"/>
            <color rgb="FF000000"/>
            <rFont val="Aptos Narrow"/>
            <scheme val="minor"/>
          </rPr>
          <t>======
ID#AAABjx7qVug
    (2025-05-21 11:33:27)
1012 michelle: 7400065009X00 FSP065-RAB
60233POW38X00 美規</t>
        </r>
      </text>
    </comment>
    <comment ref="S3693" authorId="0" shapeId="0" xr:uid="{ABAD2017-8B80-7046-9E9D-2ACF628058D4}">
      <text>
        <r>
          <rPr>
            <sz val="10"/>
            <color rgb="FF000000"/>
            <rFont val="Aptos Narrow"/>
            <scheme val="minor"/>
          </rPr>
          <t>======
ID#AAABj82dpIE
    (2025-05-21 11:33:23)
Santiago 20151104 :已收到銀行通知</t>
        </r>
      </text>
    </comment>
    <comment ref="S3694" authorId="0" shapeId="0" xr:uid="{34F59983-D07A-1F4B-85EA-51A0223E0795}">
      <text>
        <r>
          <rPr>
            <sz val="10"/>
            <color rgb="FF000000"/>
            <rFont val="Aptos Narrow"/>
            <scheme val="minor"/>
          </rPr>
          <t>======
ID#AAABjx7qVtE
    (2025-05-21 11:33:27)
1/5 michelle: 玉山通知匯入共USD2490</t>
        </r>
      </text>
    </comment>
    <comment ref="U3694" authorId="0" shapeId="0" xr:uid="{D4D1F3A2-5F9F-5F47-A0B9-88D40C159048}">
      <text>
        <r>
          <rPr>
            <sz val="10"/>
            <color rgb="FF000000"/>
            <rFont val="Aptos Narrow"/>
            <scheme val="minor"/>
          </rPr>
          <t>======
ID#AAABjx7qQe4
    (2025-05-21 11:33:25)
1/25 michelle: 已匯NTD75722,並補NTD543</t>
        </r>
      </text>
    </comment>
    <comment ref="AA3694" authorId="0" shapeId="0" xr:uid="{D2E254EB-F9F2-F047-8502-E498C0215F44}">
      <text>
        <r>
          <rPr>
            <sz val="10"/>
            <color rgb="FF000000"/>
            <rFont val="Aptos Narrow"/>
            <scheme val="minor"/>
          </rPr>
          <t>======
ID#AAABjx7qVdY
    (2025-05-21 11:33:27)
1/25 michelle: 已匯NTD75722,差1/29補NTD543</t>
        </r>
      </text>
    </comment>
    <comment ref="S3695" authorId="0" shapeId="0" xr:uid="{B109B0BA-CB27-E94B-AF67-D4ABAAFA9AEB}">
      <text>
        <r>
          <rPr>
            <sz val="10"/>
            <color rgb="FF000000"/>
            <rFont val="Aptos Narrow"/>
            <scheme val="minor"/>
          </rPr>
          <t>======
ID#AAABjx7qNS0
    (2025-05-21 11:33:23)
1/13 michelle: 玉山通知匯入共USD60</t>
        </r>
      </text>
    </comment>
    <comment ref="C3697" authorId="0" shapeId="0" xr:uid="{BBC75A3B-BA21-A341-8570-54BC0F82316B}">
      <text>
        <r>
          <rPr>
            <sz val="10"/>
            <color rgb="FF000000"/>
            <rFont val="Aptos Narrow"/>
            <scheme val="minor"/>
          </rPr>
          <t>======
ID#AAABjx7qO5o
    (2025-05-21 11:33:24)
(Forster 2/9交還給Ryan)</t>
        </r>
      </text>
    </comment>
    <comment ref="E3697" authorId="0" shapeId="0" xr:uid="{AC598072-EF97-CF4A-BF76-BBA5FEA49281}">
      <text>
        <r>
          <rPr>
            <sz val="10"/>
            <color rgb="FF000000"/>
            <rFont val="Aptos Narrow"/>
            <scheme val="minor"/>
          </rPr>
          <t>======
ID#AAABjx7qU_Y
    (2025-05-21 11:33:27)
( 1/28 已交還Forster )
(Forster 2/2: 還在我手上，1/28去新店要歸還，Ryan沒接電話)
(Forster 2/9交還給Ryan)</t>
        </r>
      </text>
    </comment>
    <comment ref="S3697" authorId="0" shapeId="0" xr:uid="{7DFEB926-FA3B-994F-95CE-3DC99A5CDE45}">
      <text>
        <r>
          <rPr>
            <sz val="10"/>
            <color rgb="FF000000"/>
            <rFont val="Aptos Narrow"/>
            <scheme val="minor"/>
          </rPr>
          <t>======
ID#AAABjx7qVJo
    (2025-05-21 11:33:27)
牌價借測</t>
        </r>
      </text>
    </comment>
    <comment ref="C3698" authorId="0" shapeId="0" xr:uid="{E993BFF3-08A6-0F44-937C-AC3D735DCEBC}">
      <text>
        <r>
          <rPr>
            <sz val="10"/>
            <color rgb="FF000000"/>
            <rFont val="Aptos Narrow"/>
            <scheme val="minor"/>
          </rPr>
          <t>======
ID#AAABjx7qTKg
Santiago 0205    (2025-05-21 11:33:26)
請Forster 註明何時歸還
Forster 0209:
已註明
Forster 0305:
尚有技術問題待解決，延長一個月
Santiago 0327:
待Forster 4/4~15至鴻海取回. 先不計扣帳費用
Santiago 0407 : 由於MOXA取消meeting 緣故. 順延至5/2
Forster 0423:
由於MOXA不確定W2150A是否可滿足需求?? 故Vic現場同意續借此樣品做交叉驗證
預計5/24歸還)
(Forster預計5/26取回歸還)
(Forster 5/27已取回，5/28送至戎克辦公室</t>
        </r>
      </text>
    </comment>
    <comment ref="M3698" authorId="0" shapeId="0" xr:uid="{2BB76C4B-F162-6243-A9C7-7961CD4CF7CB}">
      <text>
        <r>
          <rPr>
            <sz val="10"/>
            <color rgb="FF000000"/>
            <rFont val="Aptos Narrow"/>
            <scheme val="minor"/>
          </rPr>
          <t>======
ID#AAABjx7qREo
    (2025-05-21 11:33:25)
20150123 Forster點收</t>
        </r>
      </text>
    </comment>
    <comment ref="S3698" authorId="0" shapeId="0" xr:uid="{603FF6BD-59EB-2F44-82EE-4CC0DBCBF3DA}">
      <text>
        <r>
          <rPr>
            <sz val="10"/>
            <color rgb="FF000000"/>
            <rFont val="Aptos Narrow"/>
            <scheme val="minor"/>
          </rPr>
          <t>======
ID#AAABjx7qPig
    (2025-05-21 11:33:24)
牌價借測</t>
        </r>
      </text>
    </comment>
    <comment ref="E3699" authorId="0" shapeId="0" xr:uid="{B745C6D8-92CE-0C49-94C2-30EB943BC8C2}">
      <text>
        <r>
          <rPr>
            <sz val="10"/>
            <color rgb="FF000000"/>
            <rFont val="Aptos Narrow"/>
            <scheme val="minor"/>
          </rPr>
          <t>======
ID#AAABjx7qWME
    (2025-05-21 11:33:27)
150327 Karen: 下EU BAND</t>
        </r>
      </text>
    </comment>
    <comment ref="J3699" authorId="0" shapeId="0" xr:uid="{C78A253A-7A8F-6B4C-B727-DD3EB14887FF}">
      <text>
        <r>
          <rPr>
            <sz val="10"/>
            <color rgb="FF000000"/>
            <rFont val="Aptos Narrow"/>
            <scheme val="minor"/>
          </rPr>
          <t>======
ID#AAABjx7qVkg
    (2025-05-21 11:33:27)
由MOXA業務順道交付客戶</t>
        </r>
      </text>
    </comment>
    <comment ref="S3699" authorId="0" shapeId="0" xr:uid="{995F397C-C047-554E-9696-FB8C7FBE5DED}">
      <text>
        <r>
          <rPr>
            <sz val="10"/>
            <color rgb="FF000000"/>
            <rFont val="Aptos Narrow"/>
            <scheme val="minor"/>
          </rPr>
          <t>======
ID#AAABjx7qSGk
    (2025-05-21 11:33:26)
牌價借測</t>
        </r>
      </text>
    </comment>
    <comment ref="F3700" authorId="0" shapeId="0" xr:uid="{C98BB081-0D16-DC45-83CE-051C3CE251DC}">
      <text>
        <r>
          <rPr>
            <sz val="10"/>
            <color rgb="FF000000"/>
            <rFont val="Aptos Narrow"/>
            <scheme val="minor"/>
          </rPr>
          <t>======
ID#AAABjx7qOGc
    (2025-05-21 11:33:24)
4/16 先交82pcs</t>
        </r>
      </text>
    </comment>
    <comment ref="S3700" authorId="0" shapeId="0" xr:uid="{44062165-5947-5249-9E50-5A24B6D6EFBB}">
      <text>
        <r>
          <rPr>
            <sz val="10"/>
            <color rgb="FF000000"/>
            <rFont val="Aptos Narrow"/>
            <scheme val="minor"/>
          </rPr>
          <t>======
ID#AAABjx7qTnI
    (2025-05-21 11:33:26)
4/16 玉山銀行通知</t>
        </r>
      </text>
    </comment>
    <comment ref="F3701" authorId="0" shapeId="0" xr:uid="{43E619D7-0BCA-4546-AF99-86FDD6AF354A}">
      <text>
        <r>
          <rPr>
            <sz val="10"/>
            <color rgb="FF000000"/>
            <rFont val="Aptos Narrow"/>
            <scheme val="minor"/>
          </rPr>
          <t>======
ID#AAABjx7qQ04
    (2025-05-21 11:33:25)
5/4 :michelle 共216pcs,請修改</t>
        </r>
      </text>
    </comment>
    <comment ref="M3701" authorId="0" shapeId="0" xr:uid="{D1EDC84E-A402-4F45-AA44-E31BAEC8B92C}">
      <text>
        <r>
          <rPr>
            <sz val="10"/>
            <color rgb="FF000000"/>
            <rFont val="Aptos Narrow"/>
            <scheme val="minor"/>
          </rPr>
          <t>======
ID#AAABjx7qR9o
    (2025-05-21 11:33:25)
4/24 michelle: 4/27發料</t>
        </r>
      </text>
    </comment>
    <comment ref="U3701" authorId="0" shapeId="0" xr:uid="{DEB81B68-8992-2640-B35D-05003C311579}">
      <text>
        <r>
          <rPr>
            <sz val="10"/>
            <color rgb="FF000000"/>
            <rFont val="Aptos Narrow"/>
            <scheme val="minor"/>
          </rPr>
          <t>======
ID#AAABjx7qOjM
    (2025-05-21 11:33:24)
0520 michelle: 更正金額為6804
0520 Santiago: 更正3087</t>
        </r>
      </text>
    </comment>
    <comment ref="S3702" authorId="0" shapeId="0" xr:uid="{B23A958A-2124-9B44-9512-86F73FA0025E}">
      <text>
        <r>
          <rPr>
            <sz val="10"/>
            <color rgb="FF000000"/>
            <rFont val="Aptos Narrow"/>
            <scheme val="minor"/>
          </rPr>
          <t>======
ID#AAABjx7qNcM
    (2025-05-21 11:33:23)
0714 michelle: santiago說已收到款</t>
        </r>
      </text>
    </comment>
    <comment ref="E3703" authorId="0" shapeId="0" xr:uid="{9AC2E581-C8B2-A04D-8FD6-4AB28E57015E}">
      <text>
        <r>
          <rPr>
            <sz val="10"/>
            <color rgb="FF000000"/>
            <rFont val="Aptos Narrow"/>
            <scheme val="minor"/>
          </rPr>
          <t>======
ID#AAABjx7qPqI
    (2025-05-21 11:33:24)
此為戎克樣品</t>
        </r>
      </text>
    </comment>
    <comment ref="S3704" authorId="0" shapeId="0" xr:uid="{313FABE4-C49B-9F4A-B751-B057F10E9961}">
      <text>
        <r>
          <rPr>
            <sz val="10"/>
            <color rgb="FF000000"/>
            <rFont val="Aptos Narrow"/>
            <scheme val="minor"/>
          </rPr>
          <t>======
ID#AAABjx7qSX4
    (2025-05-21 11:33:26)
0119 收到</t>
        </r>
      </text>
    </comment>
    <comment ref="S3705" authorId="0" shapeId="0" xr:uid="{B33ACBE8-4476-E745-9476-E0959C09DE5D}">
      <text>
        <r>
          <rPr>
            <sz val="10"/>
            <color rgb="FF000000"/>
            <rFont val="Aptos Narrow"/>
            <scheme val="minor"/>
          </rPr>
          <t>======
ID#AAABjx7qQ4c
    (2025-05-21 11:33:25)
0130 收到水單
0202 收到匯款</t>
        </r>
      </text>
    </comment>
    <comment ref="S3706" authorId="0" shapeId="0" xr:uid="{79F0CD9B-FF72-C94B-A397-32A5680F7CCD}">
      <text>
        <r>
          <rPr>
            <sz val="10"/>
            <color rgb="FF000000"/>
            <rFont val="Aptos Narrow"/>
            <scheme val="minor"/>
          </rPr>
          <t>======
ID#AAABjx7qRSo
    (2025-05-21 11:33:25)
Santiago 20160118 收到銀行通知</t>
        </r>
      </text>
    </comment>
    <comment ref="Z3706" authorId="0" shapeId="0" xr:uid="{2C51394D-153D-A540-BE5F-BBF3ABFA565E}">
      <text>
        <r>
          <rPr>
            <sz val="10"/>
            <color rgb="FF000000"/>
            <rFont val="Aptos Narrow"/>
            <scheme val="minor"/>
          </rPr>
          <t>======
ID#AAABjx7qNOg
    (2025-05-21 11:33:23)
此發票為10月份發票已給會計</t>
        </r>
      </text>
    </comment>
    <comment ref="S3707" authorId="0" shapeId="0" xr:uid="{64738139-311A-844D-8AAC-4581E2682F7D}">
      <text>
        <r>
          <rPr>
            <sz val="10"/>
            <color rgb="FF000000"/>
            <rFont val="Aptos Narrow"/>
            <scheme val="minor"/>
          </rPr>
          <t>======
ID#AAABjx7qR8Y
    (2025-05-21 11:33:25)
Santiago 20160118 收到銀行通知</t>
        </r>
      </text>
    </comment>
    <comment ref="Z3707" authorId="0" shapeId="0" xr:uid="{7541ABD7-2D9D-8D46-B49A-36007EA34D1A}">
      <text>
        <r>
          <rPr>
            <sz val="10"/>
            <color rgb="FF000000"/>
            <rFont val="Aptos Narrow"/>
            <scheme val="minor"/>
          </rPr>
          <t>======
ID#AAABjx7qRJQ
    (2025-05-21 11:33:25)
此發票為10月份發票已給會計</t>
        </r>
      </text>
    </comment>
    <comment ref="S3708" authorId="0" shapeId="0" xr:uid="{0816D3DC-32FA-2D44-A1CC-DD0B909554BC}">
      <text>
        <r>
          <rPr>
            <sz val="10"/>
            <color rgb="FF000000"/>
            <rFont val="Aptos Narrow"/>
            <scheme val="minor"/>
          </rPr>
          <t>======
ID#AAABjx7qNA8
    (2025-05-21 11:33:23)
Santiago 20160118 收到銀行通知</t>
        </r>
      </text>
    </comment>
    <comment ref="S3709" authorId="0" shapeId="0" xr:uid="{65D3C454-821B-BA4A-B430-9EADEA45CDF5}">
      <text>
        <r>
          <rPr>
            <sz val="10"/>
            <color rgb="FF000000"/>
            <rFont val="Aptos Narrow"/>
            <scheme val="minor"/>
          </rPr>
          <t>======
ID#AAABjx7qSdc
    (2025-05-21 11:33:26)
Santiago 20160118 收到銀行通知</t>
        </r>
      </text>
    </comment>
    <comment ref="S3710" authorId="0" shapeId="0" xr:uid="{D01084B1-EFF4-C24B-9ED0-4958BA09B5FC}">
      <text>
        <r>
          <rPr>
            <sz val="10"/>
            <color rgb="FF000000"/>
            <rFont val="Aptos Narrow"/>
            <scheme val="minor"/>
          </rPr>
          <t>======
ID#AAABjx7qR4Q
    (2025-05-21 11:33:25)
Santiago 20160118 收到銀行通知</t>
        </r>
      </text>
    </comment>
    <comment ref="S3711" authorId="0" shapeId="0" xr:uid="{E7D99502-5BEF-774E-B9A7-C6709FCE6D95}">
      <text>
        <r>
          <rPr>
            <sz val="10"/>
            <color rgb="FF000000"/>
            <rFont val="Aptos Narrow"/>
            <scheme val="minor"/>
          </rPr>
          <t>======
ID#AAABjx7qOuU
    (2025-05-21 11:33:24)
0615 立端來信重開規格故此單先暫時刪除，待規格確定才會下單</t>
        </r>
      </text>
    </comment>
    <comment ref="R3712" authorId="0" shapeId="0" xr:uid="{3564AC89-6ECD-6E4B-92EE-D9A6BE04EE8F}">
      <text>
        <r>
          <rPr>
            <sz val="10"/>
            <color rgb="FF000000"/>
            <rFont val="Aptos Narrow"/>
            <scheme val="minor"/>
          </rPr>
          <t>======
ID#AAABjx7qPp4
    (2025-05-21 11:33:24)
3/19台灣銀行買賣平均匯率為31.371</t>
        </r>
      </text>
    </comment>
    <comment ref="S3712" authorId="0" shapeId="0" xr:uid="{C18C92E4-EA27-774C-9825-2946B2321B00}">
      <text>
        <r>
          <rPr>
            <sz val="10"/>
            <color rgb="FF000000"/>
            <rFont val="Aptos Narrow"/>
            <scheme val="minor"/>
          </rPr>
          <t>======
ID#AAABjx7qO8E
Santiago 0429    (2025-05-21 11:33:24)
Re. PI20150319C1+2
已匯入NT$99,843元
Forster 20150413:
預計4/28匯入
chloe 0602
此獎金暫不發放，待Santiago通知</t>
        </r>
      </text>
    </comment>
    <comment ref="E3713" authorId="0" shapeId="0" xr:uid="{52A99B0B-B7AD-C941-A8F2-1A00F678D786}">
      <text>
        <r>
          <rPr>
            <sz val="10"/>
            <color rgb="FF000000"/>
            <rFont val="Aptos Narrow"/>
            <scheme val="minor"/>
          </rPr>
          <t>======
ID#AAABjx7qVtU
    (2025-05-21 11:33:27)
1. Panel - AUO G104STN01.0
2. LVDS Cable
3. Backlight Power Cable</t>
        </r>
      </text>
    </comment>
    <comment ref="R3713" authorId="0" shapeId="0" xr:uid="{5CDED2F4-0132-E24E-95F9-896EAEF08297}">
      <text>
        <r>
          <rPr>
            <sz val="10"/>
            <color rgb="FF000000"/>
            <rFont val="Aptos Narrow"/>
            <scheme val="minor"/>
          </rPr>
          <t>======
ID#AAABjx7qTN4
    (2025-05-21 11:33:26)
3/19台灣銀行買賣平均匯率為31.371</t>
        </r>
      </text>
    </comment>
    <comment ref="S3713" authorId="0" shapeId="0" xr:uid="{DFC4A5FA-4F67-CA43-B99A-D02B12FBEE11}">
      <text>
        <r>
          <rPr>
            <sz val="10"/>
            <color rgb="FF000000"/>
            <rFont val="Aptos Narrow"/>
            <scheme val="minor"/>
          </rPr>
          <t>======
ID#AAABjx7qOOA
    (2025-05-21 11:33:24)
chloe 0625
此獎金暫不發放，待Santiago通知
Santiago 0429:
Re. PI20150319C1+2
已匯入NT$99,843元
Forster 20150413:
預計4/28匯入</t>
        </r>
      </text>
    </comment>
    <comment ref="S3714" authorId="0" shapeId="0" xr:uid="{B0A4A576-FBCE-FF43-8C49-98897D54BDA4}">
      <text>
        <r>
          <rPr>
            <sz val="10"/>
            <color rgb="FF000000"/>
            <rFont val="Aptos Narrow"/>
            <scheme val="minor"/>
          </rPr>
          <t>======
ID#AAABjx7qU6k
    (2025-05-21 11:33:27)
20151210 Santiago: 匯入合作金庫</t>
        </r>
      </text>
    </comment>
    <comment ref="S3715" authorId="0" shapeId="0" xr:uid="{DE54440D-2DBF-F040-8E80-DE7407D639CB}">
      <text>
        <r>
          <rPr>
            <sz val="10"/>
            <color rgb="FF000000"/>
            <rFont val="Aptos Narrow"/>
            <scheme val="minor"/>
          </rPr>
          <t>======
ID#AAABjx7qRK8
    (2025-05-21 11:33:25)
0312 入帳</t>
        </r>
      </text>
    </comment>
    <comment ref="S3716" authorId="0" shapeId="0" xr:uid="{5DFC4C30-0220-3B4E-A6A4-78B49B38C83D}">
      <text>
        <r>
          <rPr>
            <sz val="10"/>
            <color rgb="FF000000"/>
            <rFont val="Aptos Narrow"/>
            <scheme val="minor"/>
          </rPr>
          <t>======
ID#AAABjx7qNPI
    (2025-05-21 11:33:23)
0828</t>
        </r>
      </text>
    </comment>
    <comment ref="Y3716" authorId="0" shapeId="0" xr:uid="{1574D8E1-4B8B-EF47-9958-5C53CDD2B97B}">
      <text>
        <r>
          <rPr>
            <sz val="10"/>
            <color rgb="FF000000"/>
            <rFont val="Aptos Narrow"/>
            <scheme val="minor"/>
          </rPr>
          <t>======
ID#AAABjx7qRkI
    (2025-05-21 11:33:25)
9/8副本發票將會送達</t>
        </r>
      </text>
    </comment>
    <comment ref="E3717" authorId="0" shapeId="0" xr:uid="{35D1CE90-4B78-374B-8244-0FCE58713D5C}">
      <text>
        <r>
          <rPr>
            <sz val="10"/>
            <color rgb="FF000000"/>
            <rFont val="Aptos Narrow"/>
            <scheme val="minor"/>
          </rPr>
          <t>======
ID#AAABjx7qWCc
    (2025-05-21 11:33:27)
11/20 Michelle :歐規電源</t>
        </r>
      </text>
    </comment>
    <comment ref="S3717" authorId="0" shapeId="0" xr:uid="{F4A64130-40B6-E549-84A8-668C43A9A1E6}">
      <text>
        <r>
          <rPr>
            <sz val="10"/>
            <color rgb="FF000000"/>
            <rFont val="Aptos Narrow"/>
            <scheme val="minor"/>
          </rPr>
          <t>======
ID#AAABjx7qU8Y
    (2025-05-21 11:33:27)
12/30 michelle:TCB通知匯入共USD4012</t>
        </r>
      </text>
    </comment>
    <comment ref="E3718" authorId="0" shapeId="0" xr:uid="{95079D6C-4561-CA46-BD9B-B331E2D57DA7}">
      <text>
        <r>
          <rPr>
            <sz val="10"/>
            <color rgb="FF000000"/>
            <rFont val="Aptos Narrow"/>
            <scheme val="minor"/>
          </rPr>
          <t>======
ID#AAABjx7qSLo
    (2025-05-21 11:33:26)
11/20 Michelle :歐規電源</t>
        </r>
      </text>
    </comment>
    <comment ref="S3718" authorId="0" shapeId="0" xr:uid="{8352BA24-DD5F-814A-8499-B9519F5E786B}">
      <text>
        <r>
          <rPr>
            <sz val="10"/>
            <color rgb="FF000000"/>
            <rFont val="Aptos Narrow"/>
            <scheme val="minor"/>
          </rPr>
          <t>======
ID#AAABjx7qPrw
    (2025-05-21 11:33:24)
12/30 michelle:TCB通知匯入共USD4012</t>
        </r>
      </text>
    </comment>
    <comment ref="E3719" authorId="0" shapeId="0" xr:uid="{F895B3F4-8C63-3049-A319-2C8AF640C7F5}">
      <text>
        <r>
          <rPr>
            <sz val="10"/>
            <color rgb="FF000000"/>
            <rFont val="Aptos Narrow"/>
            <scheme val="minor"/>
          </rPr>
          <t>======
ID#AAABjx7qVCM
    (2025-05-21 11:33:27)
150108 Karen: 下單EU ADAPTER</t>
        </r>
      </text>
    </comment>
    <comment ref="S3719" authorId="0" shapeId="0" xr:uid="{48541B12-58D0-EA4F-B8E9-1119D54E47E5}">
      <text>
        <r>
          <rPr>
            <sz val="10"/>
            <color rgb="FF000000"/>
            <rFont val="Aptos Narrow"/>
            <scheme val="minor"/>
          </rPr>
          <t>======
ID#AAABjx7qQMo
    (2025-05-21 11:33:25)
1/13 已收到</t>
        </r>
      </text>
    </comment>
    <comment ref="E3720" authorId="0" shapeId="0" xr:uid="{6AC04798-3BC6-664A-A2DE-6F46F1697728}">
      <text>
        <r>
          <rPr>
            <sz val="10"/>
            <color rgb="FF000000"/>
            <rFont val="Aptos Narrow"/>
            <scheme val="minor"/>
          </rPr>
          <t>======
ID#AAABjx7qVPo
    (2025-05-21 11:33:27)
150108 Karen: 下單型號NPort 5232 w/adapter (EU)</t>
        </r>
      </text>
    </comment>
    <comment ref="S3720" authorId="0" shapeId="0" xr:uid="{61D009C0-B2B5-074F-B39B-E13E61565039}">
      <text>
        <r>
          <rPr>
            <sz val="10"/>
            <color rgb="FF000000"/>
            <rFont val="Aptos Narrow"/>
            <scheme val="minor"/>
          </rPr>
          <t>======
ID#AAABjx7qWMI
    (2025-05-21 11:33:27)
1/13已入帳</t>
        </r>
      </text>
    </comment>
    <comment ref="E3721" authorId="0" shapeId="0" xr:uid="{88C621B6-DA82-0F4D-B696-E927367A34F8}">
      <text>
        <r>
          <rPr>
            <sz val="10"/>
            <color rgb="FF000000"/>
            <rFont val="Aptos Narrow"/>
            <scheme val="minor"/>
          </rPr>
          <t>======
ID#AAABjx7qSXs
    (2025-05-21 11:33:26)
150713 Karen: EU ADAPTER</t>
        </r>
      </text>
    </comment>
    <comment ref="S3721" authorId="0" shapeId="0" xr:uid="{6DEB85C6-1176-EB43-9161-431129C7B655}">
      <text>
        <r>
          <rPr>
            <sz val="10"/>
            <color rgb="FF000000"/>
            <rFont val="Aptos Narrow"/>
            <scheme val="minor"/>
          </rPr>
          <t>======
ID#AAABjx7qTI0
    (2025-05-21 11:33:26)
0716 Santiago: 已入帳</t>
        </r>
      </text>
    </comment>
    <comment ref="E3722" authorId="0" shapeId="0" xr:uid="{456CDA49-DC95-6647-B00C-1CAF00647C93}">
      <text>
        <r>
          <rPr>
            <sz val="10"/>
            <color rgb="FF000000"/>
            <rFont val="Aptos Narrow"/>
            <scheme val="minor"/>
          </rPr>
          <t>======
ID#AAABjx7qNjQ
    (2025-05-21 11:33:23)
1006 Santiago : w/adapter (EU)</t>
        </r>
      </text>
    </comment>
    <comment ref="S3722" authorId="0" shapeId="0" xr:uid="{9DDC6D45-C623-014C-877B-6ECFC7E9C542}">
      <text>
        <r>
          <rPr>
            <sz val="10"/>
            <color rgb="FF000000"/>
            <rFont val="Aptos Narrow"/>
            <scheme val="minor"/>
          </rPr>
          <t>======
ID#AAABjx7qO98
    (2025-05-21 11:33:24)
1014 Santiago: 銀行通知</t>
        </r>
      </text>
    </comment>
    <comment ref="E3723" authorId="0" shapeId="0" xr:uid="{A5BB1E8E-3251-6540-B383-D5312B77610F}">
      <text>
        <r>
          <rPr>
            <sz val="10"/>
            <color rgb="FF000000"/>
            <rFont val="Aptos Narrow"/>
            <scheme val="minor"/>
          </rPr>
          <t>======
ID#AAABjx7qRNU
    (2025-05-21 11:33:25)
1013 Santiago :原先adapter 為US, 要改為EU才行</t>
        </r>
      </text>
    </comment>
    <comment ref="S3723" authorId="0" shapeId="0" xr:uid="{69A4E0C8-6D5A-7141-BA2E-BF54E368E976}">
      <text>
        <r>
          <rPr>
            <sz val="10"/>
            <color rgb="FF000000"/>
            <rFont val="Aptos Narrow"/>
            <scheme val="minor"/>
          </rPr>
          <t>======
ID#AAABjx7qM4I
    (2025-05-21 11:33:23)
1014 Santiago: 銀行通知</t>
        </r>
      </text>
    </comment>
    <comment ref="E3724" authorId="0" shapeId="0" xr:uid="{C9BDC7AF-08EE-8046-93DD-6BE96BB0A172}">
      <text>
        <r>
          <rPr>
            <sz val="10"/>
            <color rgb="FF000000"/>
            <rFont val="Aptos Narrow"/>
            <scheme val="minor"/>
          </rPr>
          <t>======
ID#AAABjx7qSfQ
    (2025-05-21 11:33:26)
151211 Karen: 下單歐規電源</t>
        </r>
      </text>
    </comment>
    <comment ref="S3724" authorId="0" shapeId="0" xr:uid="{EAA8087F-C8D4-B748-937B-C712BF0C0EBF}">
      <text>
        <r>
          <rPr>
            <sz val="10"/>
            <color rgb="FF000000"/>
            <rFont val="Aptos Narrow"/>
            <scheme val="minor"/>
          </rPr>
          <t>======
ID#AAABjx7qRCI
    (2025-05-21 11:33:25)
12/16 michelle: TCB-BANK通知匯入共USD1118.2</t>
        </r>
      </text>
    </comment>
    <comment ref="S3725" authorId="0" shapeId="0" xr:uid="{D9483B03-B256-6043-9E57-DAC7E45B5F9C}">
      <text>
        <r>
          <rPr>
            <sz val="10"/>
            <color rgb="FF000000"/>
            <rFont val="Aptos Narrow"/>
            <scheme val="minor"/>
          </rPr>
          <t>======
ID#AAABjx7qVWI
    (2025-05-21 11:33:27)
0211 Santiago: 收到匯款</t>
        </r>
      </text>
    </comment>
    <comment ref="K3726" authorId="0" shapeId="0" xr:uid="{A1DBE9CB-36DA-F747-8C10-B56951BCCB40}">
      <text>
        <r>
          <rPr>
            <sz val="10"/>
            <color rgb="FF000000"/>
            <rFont val="Aptos Narrow"/>
            <scheme val="minor"/>
          </rPr>
          <t>======
ID#AAABjx7qTSU
    (2025-05-21 11:33:26)
3/14要付款完畢</t>
        </r>
      </text>
    </comment>
    <comment ref="S3726" authorId="0" shapeId="0" xr:uid="{D4406246-A0E9-8D41-9A23-1FEC83366DD1}">
      <text>
        <r>
          <rPr>
            <sz val="10"/>
            <color rgb="FF000000"/>
            <rFont val="Aptos Narrow"/>
            <scheme val="minor"/>
          </rPr>
          <t>======
ID#AAABjx7qOhM
    (2025-05-21 11:33:24)
3/26 銀行通知</t>
        </r>
      </text>
    </comment>
    <comment ref="K3727" authorId="0" shapeId="0" xr:uid="{45A3464B-2F1C-F745-B32B-D4CA26B2FD63}">
      <text>
        <r>
          <rPr>
            <sz val="10"/>
            <color rgb="FF000000"/>
            <rFont val="Aptos Narrow"/>
            <scheme val="minor"/>
          </rPr>
          <t>======
ID#AAABjx7qSL8
    (2025-05-21 11:33:26)
delivery with PI-20150317A</t>
        </r>
      </text>
    </comment>
    <comment ref="M3727" authorId="0" shapeId="0" xr:uid="{16310005-228C-E942-B1E3-92BC9985BDE8}">
      <text>
        <r>
          <rPr>
            <sz val="10"/>
            <color rgb="FF000000"/>
            <rFont val="Aptos Narrow"/>
            <scheme val="minor"/>
          </rPr>
          <t>======
ID#AAABjx7qTFs
    (2025-05-21 11:33:26)
6-8weeks</t>
        </r>
      </text>
    </comment>
    <comment ref="S3727" authorId="0" shapeId="0" xr:uid="{64BCFABF-CD14-274C-B53B-FC7C79254FF8}">
      <text>
        <r>
          <rPr>
            <sz val="10"/>
            <color rgb="FF000000"/>
            <rFont val="Aptos Narrow"/>
            <scheme val="minor"/>
          </rPr>
          <t>======
ID#AAABjx7qRPs
    (2025-05-21 11:33:25)
7/1 michelle: 銀行通知到款共USD2725.4</t>
        </r>
      </text>
    </comment>
    <comment ref="AB3727" authorId="0" shapeId="0" xr:uid="{32D03E8F-DBD7-A849-8AB6-EB3D87D7BDFB}">
      <text>
        <r>
          <rPr>
            <sz val="10"/>
            <color rgb="FF000000"/>
            <rFont val="Aptos Narrow"/>
            <scheme val="minor"/>
          </rPr>
          <t>======
ID#AAABjx7qTcE
    (2025-05-21 11:33:26)
0602 chloe 詢問簡易型出口報單可否辦理退稅
0603 chloe 會計回答簡易型出口報單統計方式若為04(申報的為02)則不能辦理退稅
0604 chloe 已向快遞申請02</t>
        </r>
      </text>
    </comment>
    <comment ref="K3728" authorId="0" shapeId="0" xr:uid="{F5F65DAC-D26A-9245-BE4E-4A1FB30C1CA3}">
      <text>
        <r>
          <rPr>
            <sz val="10"/>
            <color rgb="FF000000"/>
            <rFont val="Aptos Narrow"/>
            <scheme val="minor"/>
          </rPr>
          <t>======
ID#AAABjx7qM2U
    (2025-05-21 11:33:23)
delivery with PI-20150317A</t>
        </r>
      </text>
    </comment>
    <comment ref="M3728" authorId="0" shapeId="0" xr:uid="{0795DF64-CFC2-0A4A-99AB-B2409896B790}">
      <text>
        <r>
          <rPr>
            <sz val="10"/>
            <color rgb="FF000000"/>
            <rFont val="Aptos Narrow"/>
            <scheme val="minor"/>
          </rPr>
          <t>======
ID#AAABjx7qOXQ
    (2025-05-21 11:33:24)
6-8weeks</t>
        </r>
      </text>
    </comment>
    <comment ref="S3728" authorId="0" shapeId="0" xr:uid="{27364743-7484-6744-9E11-AA19A74BDA56}">
      <text>
        <r>
          <rPr>
            <sz val="10"/>
            <color rgb="FF000000"/>
            <rFont val="Aptos Narrow"/>
            <scheme val="minor"/>
          </rPr>
          <t>======
ID#AAABjx7qRX0
    (2025-05-21 11:33:25)
7/1 michelle: 銀行通知到款共USD2725.4</t>
        </r>
      </text>
    </comment>
    <comment ref="AB3728" authorId="0" shapeId="0" xr:uid="{C3A7707D-F8EB-DB41-9018-D21E34035B3A}">
      <text>
        <r>
          <rPr>
            <sz val="10"/>
            <color rgb="FF000000"/>
            <rFont val="Aptos Narrow"/>
            <scheme val="minor"/>
          </rPr>
          <t>======
ID#AAABjx7qTU4
    (2025-05-21 11:33:26)
0602 chloe 詢問簡易型出口報單可否辦理退稅
0603 chloe 會計回答簡易型出口報單統計方式若為04(申報的為02)則不能辦理退稅
0604 chloe 已向快遞申請02</t>
        </r>
      </text>
    </comment>
    <comment ref="K3729" authorId="0" shapeId="0" xr:uid="{FE4C6568-473F-744D-AA75-E55E97A24585}">
      <text>
        <r>
          <rPr>
            <sz val="10"/>
            <color rgb="FF000000"/>
            <rFont val="Aptos Narrow"/>
            <scheme val="minor"/>
          </rPr>
          <t>======
ID#AAABjx7qPzc
    (2025-05-21 11:33:24)
delivery with PI-20150317A</t>
        </r>
      </text>
    </comment>
    <comment ref="M3729" authorId="0" shapeId="0" xr:uid="{684ECEE0-FAB3-6E4D-A629-B7874643F024}">
      <text>
        <r>
          <rPr>
            <sz val="10"/>
            <color rgb="FF000000"/>
            <rFont val="Aptos Narrow"/>
            <scheme val="minor"/>
          </rPr>
          <t>======
ID#AAABjx7qO88
    (2025-05-21 11:33:24)
6-8weeks</t>
        </r>
      </text>
    </comment>
    <comment ref="S3729" authorId="0" shapeId="0" xr:uid="{E04538BE-94A1-0C48-8C52-287DFB89E185}">
      <text>
        <r>
          <rPr>
            <sz val="10"/>
            <color rgb="FF000000"/>
            <rFont val="Aptos Narrow"/>
            <scheme val="minor"/>
          </rPr>
          <t>======
ID#AAABjx7qVik
    (2025-05-21 11:33:27)
7/1 michelle: 銀行通知到款共USD2725.4</t>
        </r>
      </text>
    </comment>
    <comment ref="AB3729" authorId="0" shapeId="0" xr:uid="{1A62ACC3-EEC9-1740-8BCD-FD00FF24C574}">
      <text>
        <r>
          <rPr>
            <sz val="10"/>
            <color rgb="FF000000"/>
            <rFont val="Aptos Narrow"/>
            <scheme val="minor"/>
          </rPr>
          <t>======
ID#AAABjx7qQno
    (2025-05-21 11:33:25)
0602 chloe 詢問簡易型出口報單可否辦理退稅
0603 chloe 會計回答簡易型出口報單統計方式若為04(申報的為02)則不能辦理退稅
0604 chloe 已向快遞申請02</t>
        </r>
      </text>
    </comment>
    <comment ref="J3730" authorId="0" shapeId="0" xr:uid="{5B61D070-8AE8-3A49-BCCF-1853B67594C9}">
      <text>
        <r>
          <rPr>
            <sz val="10"/>
            <color rgb="FF000000"/>
            <rFont val="Aptos Narrow"/>
            <scheme val="minor"/>
          </rPr>
          <t>======
ID#AAABjx7qNUs
    (2025-05-21 11:33:23)
Santiago 0420
稽核未來統一寫在總金額H欄位
Chloe
尚未付兩成訂金，等FIONA通知</t>
        </r>
      </text>
    </comment>
    <comment ref="S3730" authorId="0" shapeId="0" xr:uid="{B708D114-F0C9-2E45-B468-722A4ACFE4AD}">
      <text>
        <r>
          <rPr>
            <sz val="10"/>
            <color rgb="FF000000"/>
            <rFont val="Aptos Narrow"/>
            <scheme val="minor"/>
          </rPr>
          <t>======
ID#AAABjx7qQaI
5/25 Santiago    (2025-05-21 11:33:25)
收到US$5904
4/13 Santiago:
收到US$4602.8
尚欠US$6000
0603 chloe：已匯入戶頭</t>
        </r>
      </text>
    </comment>
    <comment ref="S3731" authorId="0" shapeId="0" xr:uid="{A2A2AFEF-70A3-2E48-A298-AF4878125EF8}">
      <text>
        <r>
          <rPr>
            <sz val="10"/>
            <color rgb="FF000000"/>
            <rFont val="Aptos Narrow"/>
            <scheme val="minor"/>
          </rPr>
          <t>======
ID#AAABjx7qSgo
4/13 Santiago    (2025-05-21 11:33:26)
收到US$4602.8
尚欠US$6000
0603 chloe：已匯入戶頭</t>
        </r>
      </text>
    </comment>
    <comment ref="U3731" authorId="0" shapeId="0" xr:uid="{BF11D620-C0C9-AE45-A7A4-7AC435CC8364}">
      <text>
        <r>
          <rPr>
            <sz val="10"/>
            <color rgb="FF000000"/>
            <rFont val="Aptos Narrow"/>
            <scheme val="minor"/>
          </rPr>
          <t>======
ID#AAABjx7qPpU
    (2025-05-21 11:33:24)
USD360*12*1.05* 匯率31.458</t>
        </r>
      </text>
    </comment>
    <comment ref="J3732" authorId="0" shapeId="0" xr:uid="{767AF9AF-19A2-194B-927A-96DD1CAC94A7}">
      <text>
        <r>
          <rPr>
            <sz val="10"/>
            <color rgb="FF000000"/>
            <rFont val="Aptos Narrow"/>
            <scheme val="minor"/>
          </rPr>
          <t>======
ID#AAABjx7qQBo
    (2025-05-21 11:33:25)
Santiago 0420
稽核未來統一寫在總金額H欄位
尚未付兩成訂金，等FIONA通知</t>
        </r>
      </text>
    </comment>
    <comment ref="M3732" authorId="0" shapeId="0" xr:uid="{CD19C505-1A2B-E640-A582-DA3A182A7785}">
      <text>
        <r>
          <rPr>
            <sz val="10"/>
            <color rgb="FF000000"/>
            <rFont val="Aptos Narrow"/>
            <scheme val="minor"/>
          </rPr>
          <t>======
ID#AAABjx7qTaE
    (2025-05-21 11:33:26)
stock</t>
        </r>
      </text>
    </comment>
    <comment ref="S3732" authorId="0" shapeId="0" xr:uid="{F71CB50E-9619-1A42-B2B7-130E6DB99589}">
      <text>
        <r>
          <rPr>
            <sz val="10"/>
            <color rgb="FF000000"/>
            <rFont val="Aptos Narrow"/>
            <scheme val="minor"/>
          </rPr>
          <t>======
ID#AAABjx7qRJY
5/25 Santiago    (2025-05-21 11:33:25)
收到US$5904
4/13 Santiago:
收到US$4602.8
尚欠US$6000
0603 chloe：已匯入戶頭</t>
        </r>
      </text>
    </comment>
    <comment ref="J3733" authorId="0" shapeId="0" xr:uid="{75944691-5E61-4B42-B0FB-9CC78F8B5B02}">
      <text>
        <r>
          <rPr>
            <sz val="10"/>
            <color rgb="FF000000"/>
            <rFont val="Aptos Narrow"/>
            <scheme val="minor"/>
          </rPr>
          <t>======
ID#AAABjx7qVxQ
    (2025-05-21 11:33:27)
Santiago 0420
稽核未來統一寫在總金額H欄位
尚未付兩成訂金，等FIONA通知</t>
        </r>
      </text>
    </comment>
    <comment ref="M3733" authorId="0" shapeId="0" xr:uid="{6D8E5C46-EB39-794E-939E-11E3028ECF05}">
      <text>
        <r>
          <rPr>
            <sz val="10"/>
            <color rgb="FF000000"/>
            <rFont val="Aptos Narrow"/>
            <scheme val="minor"/>
          </rPr>
          <t>======
ID#AAABjx7qQy8
    (2025-05-21 11:33:25)
stock</t>
        </r>
      </text>
    </comment>
    <comment ref="S3733" authorId="0" shapeId="0" xr:uid="{C3CE26D2-6B95-574A-80ED-A4E8E4A5DDA6}">
      <text>
        <r>
          <rPr>
            <sz val="10"/>
            <color rgb="FF000000"/>
            <rFont val="Aptos Narrow"/>
            <scheme val="minor"/>
          </rPr>
          <t>======
ID#AAABjx7qSbU
5/25 Santiago    (2025-05-21 11:33:26)
收到US$5904
4/13 Santiago:
收到US$4602.8
尚欠US$6000
0603 chloe：已匯入戶頭</t>
        </r>
      </text>
    </comment>
    <comment ref="J3734" authorId="0" shapeId="0" xr:uid="{F0856B6C-4583-BA48-8DB1-6063F0098A2F}">
      <text>
        <r>
          <rPr>
            <sz val="10"/>
            <color rgb="FF000000"/>
            <rFont val="Aptos Narrow"/>
            <scheme val="minor"/>
          </rPr>
          <t>======
ID#AAABjx7qVGI
    (2025-05-21 11:33:27)
Santiago 0420
稽核未來統一寫在總金額H欄位
Chloe
尚未付兩成訂金，等FIONA通知</t>
        </r>
      </text>
    </comment>
    <comment ref="M3734" authorId="0" shapeId="0" xr:uid="{602F47DD-2840-C147-9AB9-729260260D43}">
      <text>
        <r>
          <rPr>
            <sz val="10"/>
            <color rgb="FF000000"/>
            <rFont val="Aptos Narrow"/>
            <scheme val="minor"/>
          </rPr>
          <t>======
ID#AAABjx7qSpU
    (2025-05-21 11:33:26)
stock</t>
        </r>
      </text>
    </comment>
    <comment ref="S3734" authorId="0" shapeId="0" xr:uid="{F547FC0C-4E74-7D48-B0A9-AB5D6ACFFA82}">
      <text>
        <r>
          <rPr>
            <sz val="10"/>
            <color rgb="FF000000"/>
            <rFont val="Aptos Narrow"/>
            <scheme val="minor"/>
          </rPr>
          <t>======
ID#AAABjx7qMxQ
5/25 Santiago    (2025-05-21 11:33:23)
收到US$5904
4/13 Santiago:
收到US$4602.8
尚欠US$6000
0603 chloe：已匯入戶頭</t>
        </r>
      </text>
    </comment>
    <comment ref="S3735" authorId="0" shapeId="0" xr:uid="{033EF913-0DE2-5B44-935C-1D569D3A10A8}">
      <text>
        <r>
          <rPr>
            <sz val="10"/>
            <color rgb="FF000000"/>
            <rFont val="Aptos Narrow"/>
            <scheme val="minor"/>
          </rPr>
          <t>======
ID#AAABjx7qMz8
4/13 Santiago    (2025-05-21 11:33:23)
收到US$4602.8</t>
        </r>
      </text>
    </comment>
    <comment ref="U3735" authorId="0" shapeId="0" xr:uid="{4F150CF4-A343-B049-99AB-C9871BF84FF4}">
      <text>
        <r>
          <rPr>
            <sz val="10"/>
            <color rgb="FF000000"/>
            <rFont val="Aptos Narrow"/>
            <scheme val="minor"/>
          </rPr>
          <t>======
ID#AAABjx7qOeA
    (2025-05-21 11:33:24)
在此輸入
USD320*12*1.05* 4/13
匯率31.919</t>
        </r>
      </text>
    </comment>
    <comment ref="S3736" authorId="0" shapeId="0" xr:uid="{A5BFA25F-538D-234E-8E2D-168DE699BFD0}">
      <text>
        <r>
          <rPr>
            <sz val="10"/>
            <color rgb="FF000000"/>
            <rFont val="Aptos Narrow"/>
            <scheme val="minor"/>
          </rPr>
          <t>======
ID#AAABjx7qP5M
    (2025-05-21 11:33:24)
7/1 michelle: 銀行通知到款共USD2725.4</t>
        </r>
      </text>
    </comment>
    <comment ref="AB3736" authorId="0" shapeId="0" xr:uid="{EFD0B5D3-E7F7-834C-B126-6863E614D95A}">
      <text>
        <r>
          <rPr>
            <sz val="10"/>
            <color rgb="FF000000"/>
            <rFont val="Aptos Narrow"/>
            <scheme val="minor"/>
          </rPr>
          <t>======
ID#AAABjx7qUww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7" authorId="0" shapeId="0" xr:uid="{B149B5EA-9F61-AE4F-BC85-F5A1C26A210A}">
      <text>
        <r>
          <rPr>
            <sz val="10"/>
            <color rgb="FF000000"/>
            <rFont val="Aptos Narrow"/>
            <scheme val="minor"/>
          </rPr>
          <t>======
ID#AAABjx7qVAw
    (2025-05-21 11:33:27)
7/1 michelle: 銀行通知到款共USD2725.4</t>
        </r>
      </text>
    </comment>
    <comment ref="AB3737" authorId="0" shapeId="0" xr:uid="{0988DAE3-AED8-F044-B6AC-6D024654AECC}">
      <text>
        <r>
          <rPr>
            <sz val="10"/>
            <color rgb="FF000000"/>
            <rFont val="Aptos Narrow"/>
            <scheme val="minor"/>
          </rPr>
          <t>======
ID#AAABjx7qNVo
    (2025-05-21 11:33:23)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8" authorId="0" shapeId="0" xr:uid="{C966C77E-EE25-014C-B8A1-B4F3CF452E44}">
      <text>
        <r>
          <rPr>
            <sz val="10"/>
            <color rgb="FF000000"/>
            <rFont val="Aptos Narrow"/>
            <scheme val="minor"/>
          </rPr>
          <t>======
ID#AAABjx7qNFA
    (2025-05-21 11:33:23)
7/1 michelle: 銀行通知到款共USD2725.4</t>
        </r>
      </text>
    </comment>
    <comment ref="AB3738" authorId="0" shapeId="0" xr:uid="{F8A46FE6-A638-2E4B-B1B1-C44CA9ADE3B2}">
      <text>
        <r>
          <rPr>
            <sz val="10"/>
            <color rgb="FF000000"/>
            <rFont val="Aptos Narrow"/>
            <scheme val="minor"/>
          </rPr>
          <t>======
ID#AAABjx7qTns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39" authorId="0" shapeId="0" xr:uid="{355834CE-88AA-D845-99BE-EB6C2CC5E4AC}">
      <text>
        <r>
          <rPr>
            <sz val="10"/>
            <color rgb="FF000000"/>
            <rFont val="Aptos Narrow"/>
            <scheme val="minor"/>
          </rPr>
          <t>======
ID#AAABjx7qOJk
    (2025-05-21 11:33:24)
7/1 michelle: 銀行通知到款共USD2725.4</t>
        </r>
      </text>
    </comment>
    <comment ref="AB3739" authorId="0" shapeId="0" xr:uid="{D341AEF5-A4EA-3745-8B32-8659E931BA52}">
      <text>
        <r>
          <rPr>
            <sz val="10"/>
            <color rgb="FF000000"/>
            <rFont val="Aptos Narrow"/>
            <scheme val="minor"/>
          </rPr>
          <t>======
ID#AAABjx7qVOE
    (2025-05-21 11:33:27)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M3740" authorId="0" shapeId="0" xr:uid="{E64F2745-5B06-F442-9F79-33B5659B2853}">
      <text>
        <r>
          <rPr>
            <sz val="10"/>
            <color rgb="FF000000"/>
            <rFont val="Aptos Narrow"/>
            <scheme val="minor"/>
          </rPr>
          <t>======
ID#AAABjx7qVwI
    (2025-05-21 11:33:27)
0410 michelle: Carlo組裝</t>
        </r>
      </text>
    </comment>
    <comment ref="S3740" authorId="0" shapeId="0" xr:uid="{2817E65E-EF2D-DA4F-A033-7938D155302E}">
      <text>
        <r>
          <rPr>
            <sz val="10"/>
            <color rgb="FF000000"/>
            <rFont val="Aptos Narrow"/>
            <scheme val="minor"/>
          </rPr>
          <t>======
ID#AAABjx7qM5E
    (2025-05-21 11:33:23)
7/1 michelle: 銀行通知到款共USD2725.4</t>
        </r>
      </text>
    </comment>
    <comment ref="C3741" authorId="0" shapeId="0" xr:uid="{A0C20A1E-8FB6-A84C-A67D-4D9521EDC84A}">
      <text>
        <r>
          <rPr>
            <sz val="10"/>
            <color rgb="FF000000"/>
            <rFont val="Aptos Narrow"/>
            <scheme val="minor"/>
          </rPr>
          <t>======
ID#AAABjx7qO_A
    (2025-05-21 11:33:24)
Santiago 0409
Re: CB15-178.180,.181PO
客戶取消CB15-180 訂單</t>
        </r>
      </text>
    </comment>
    <comment ref="E3741" authorId="0" shapeId="0" xr:uid="{03127460-6F14-B643-AACC-EC31F518DDB1}">
      <text>
        <r>
          <rPr>
            <sz val="10"/>
            <color rgb="FF000000"/>
            <rFont val="Aptos Narrow"/>
            <scheme val="minor"/>
          </rPr>
          <t>======
ID#AAABjx7qVYc
    (2025-05-21 11:33:27)
GPS MiniPCIe Card and G-Sensor</t>
        </r>
      </text>
    </comment>
    <comment ref="S3742" authorId="0" shapeId="0" xr:uid="{FCF506C0-A498-4B4D-8C5B-689A96A70362}">
      <text>
        <r>
          <rPr>
            <sz val="10"/>
            <color rgb="FF000000"/>
            <rFont val="Aptos Narrow"/>
            <scheme val="minor"/>
          </rPr>
          <t>======
ID#AAABjx7qThM
    (2025-05-21 11:33:26)
7/1 michelle: 銀行通知到款共USD2725.4</t>
        </r>
      </text>
    </comment>
    <comment ref="AB3742" authorId="0" shapeId="0" xr:uid="{ADE187F2-498F-6444-B816-FA55F08C3E75}">
      <text>
        <r>
          <rPr>
            <sz val="10"/>
            <color rgb="FF000000"/>
            <rFont val="Aptos Narrow"/>
            <scheme val="minor"/>
          </rPr>
          <t>======
ID#AAABjx7qU1o
    (2025-05-21 11:33:26)
0502 chloe 報單內容與CI不符合
0504 chloe 快遞只能向海關申請更改金額但內容不能變動，國外海關是以正本INVOICE填寫入口，故不會有問題
0526 chloe 已與會計聯絡提供他種發票為此次出貨廠商發票</t>
        </r>
      </text>
    </comment>
    <comment ref="S3743" authorId="0" shapeId="0" xr:uid="{4331EDF3-B909-8540-8326-BE1F7CFD3DE7}">
      <text>
        <r>
          <rPr>
            <sz val="10"/>
            <color rgb="FF000000"/>
            <rFont val="Aptos Narrow"/>
            <scheme val="minor"/>
          </rPr>
          <t>======
ID#AAABjx7qTac
4/13 Santiago    (2025-05-21 11:33:26)
收到US$4602.8
尚欠US$6000
0603 chloe：已匯入戶頭</t>
        </r>
      </text>
    </comment>
    <comment ref="U3743" authorId="0" shapeId="0" xr:uid="{2CC84160-0812-5446-8EF1-24DBB64DD307}">
      <text>
        <r>
          <rPr>
            <sz val="10"/>
            <color rgb="FF000000"/>
            <rFont val="Aptos Narrow"/>
            <scheme val="minor"/>
          </rPr>
          <t>======
ID#AAABjx7qNGw
    (2025-05-21 11:33:23)
30*12*1.05 4/13Michelle:  *31.27</t>
        </r>
      </text>
    </comment>
    <comment ref="K3744" authorId="0" shapeId="0" xr:uid="{BB062890-35DE-0E4D-A6FE-AFF728D2A604}">
      <text>
        <r>
          <rPr>
            <sz val="10"/>
            <color rgb="FF000000"/>
            <rFont val="Aptos Narrow"/>
            <scheme val="minor"/>
          </rPr>
          <t>======
ID#AAABjx7qV4U
    (2025-05-21 11:33:27)
delivery with PI-20150317A</t>
        </r>
      </text>
    </comment>
    <comment ref="S3744" authorId="0" shapeId="0" xr:uid="{30DA3FBA-CEE6-9E4B-95F3-BA3DB140D32F}">
      <text>
        <r>
          <rPr>
            <sz val="10"/>
            <color rgb="FF000000"/>
            <rFont val="Aptos Narrow"/>
            <scheme val="minor"/>
          </rPr>
          <t>======
ID#AAABjx7qPUA
    (2025-05-21 11:33:24)
7/1 michelle: 銀行通知到款共USD2725.4</t>
        </r>
      </text>
    </comment>
    <comment ref="AB3744" authorId="0" shapeId="0" xr:uid="{CEBC87D2-6E6C-4E4C-B47B-E49E618B8D50}">
      <text>
        <r>
          <rPr>
            <sz val="10"/>
            <color rgb="FF000000"/>
            <rFont val="Aptos Narrow"/>
            <scheme val="minor"/>
          </rPr>
          <t>======
ID#AAABjx7qQgU
    (2025-05-21 11:33:25)
0602 chloe 詢問簡易型出口報單可否辦理退稅
0603 chloe 會計回答簡易型出口報單統計方式若為04(申報的為02)則不能辦理退稅
0604 chloe 已向快遞申請02</t>
        </r>
      </text>
    </comment>
    <comment ref="K3745" authorId="0" shapeId="0" xr:uid="{CE9949D2-88F5-8248-BF4C-EBCCDDCB4AD1}">
      <text>
        <r>
          <rPr>
            <sz val="10"/>
            <color rgb="FF000000"/>
            <rFont val="Aptos Narrow"/>
            <scheme val="minor"/>
          </rPr>
          <t>======
ID#AAABjx7qPhc
    (2025-05-21 11:33:24)
delivery with PI-20150317A</t>
        </r>
      </text>
    </comment>
    <comment ref="S3745" authorId="0" shapeId="0" xr:uid="{4CA8A835-14B8-E24A-AA1A-7C3A8B4F6F72}">
      <text>
        <r>
          <rPr>
            <sz val="10"/>
            <color rgb="FF000000"/>
            <rFont val="Aptos Narrow"/>
            <scheme val="minor"/>
          </rPr>
          <t>======
ID#AAABjx7qV_4
    (2025-05-21 11:33:27)
7/1 michelle: 銀行通知到款共USD2725.4</t>
        </r>
      </text>
    </comment>
    <comment ref="AB3745" authorId="0" shapeId="0" xr:uid="{52C5EF99-76D5-5E48-A097-A178DD203D36}">
      <text>
        <r>
          <rPr>
            <sz val="10"/>
            <color rgb="FF000000"/>
            <rFont val="Aptos Narrow"/>
            <scheme val="minor"/>
          </rPr>
          <t>======
ID#AAABjx7qNTY
    (2025-05-21 11:33:23)
0602 chloe 詢問簡易型出口報單可否辦理退稅
0603 chloe 會計回答簡易型出口報單統計方式若為04(申報的為02)則不能辦理退稅
0604 chloe 已向快遞申請02</t>
        </r>
      </text>
    </comment>
    <comment ref="C3746" authorId="0" shapeId="0" xr:uid="{1334B94F-8ACB-824F-9746-4009A475EFC2}">
      <text>
        <r>
          <rPr>
            <sz val="10"/>
            <color rgb="FF000000"/>
            <rFont val="Aptos Narrow"/>
            <scheme val="minor"/>
          </rPr>
          <t>======
ID#AAABjx7qPNA
    (2025-05-21 11:33:24)
arrived on 2015/5/25</t>
        </r>
      </text>
    </comment>
    <comment ref="Y3746" authorId="0" shapeId="0" xr:uid="{9773E495-824F-8A46-843F-618C8ED2C2C1}">
      <text>
        <r>
          <rPr>
            <sz val="10"/>
            <color rgb="FF000000"/>
            <rFont val="Aptos Narrow"/>
            <scheme val="minor"/>
          </rPr>
          <t>======
ID#AAABjx7qQgM
    (2025-05-21 11:33:25)
5/25 michelle: 客戶進口報單稅基NTD12507,稅金共625</t>
        </r>
      </text>
    </comment>
    <comment ref="S3747" authorId="0" shapeId="0" xr:uid="{A6D9C0BE-F03D-C043-9F07-330698551925}">
      <text>
        <r>
          <rPr>
            <sz val="10"/>
            <color rgb="FF000000"/>
            <rFont val="Aptos Narrow"/>
            <scheme val="minor"/>
          </rPr>
          <t>======
ID#AAABjx7qQDU
    (2025-05-21 11:33:25)
10/15 michelle: 玉山通知匯款</t>
        </r>
      </text>
    </comment>
    <comment ref="S3748" authorId="0" shapeId="0" xr:uid="{E6D97AE1-10D9-E44C-9C2D-38648412B592}">
      <text>
        <r>
          <rPr>
            <sz val="10"/>
            <color rgb="FF000000"/>
            <rFont val="Aptos Narrow"/>
            <scheme val="minor"/>
          </rPr>
          <t>======
ID#AAABjx7qQYo
    (2025-05-21 11:33:25)
10/15 michelle: 玉山通知匯款</t>
        </r>
      </text>
    </comment>
    <comment ref="K3749" authorId="0" shapeId="0" xr:uid="{3A2CC64D-B63D-5340-BDD3-872C99405502}">
      <text>
        <r>
          <rPr>
            <sz val="10"/>
            <color rgb="FF000000"/>
            <rFont val="Aptos Narrow"/>
            <scheme val="minor"/>
          </rPr>
          <t>======
ID#AAABjx7qPR8
    (2025-05-21 11:33:24)
9/22 michelle: 等齊飛的貨一起出</t>
        </r>
      </text>
    </comment>
    <comment ref="S3749" authorId="0" shapeId="0" xr:uid="{77CFB06A-CA65-F342-A8CA-4E3A0D1167EA}">
      <text>
        <r>
          <rPr>
            <sz val="10"/>
            <color rgb="FF000000"/>
            <rFont val="Aptos Narrow"/>
            <scheme val="minor"/>
          </rPr>
          <t>======
ID#AAABjx7qM5o
    (2025-05-21 11:33:23)
10/15 michelle: 玉山通知匯款</t>
        </r>
      </text>
    </comment>
    <comment ref="S3750" authorId="0" shapeId="0" xr:uid="{1B0484F7-30E7-9D42-A8F3-7B2D7646399C}">
      <text>
        <r>
          <rPr>
            <sz val="10"/>
            <color rgb="FF000000"/>
            <rFont val="Aptos Narrow"/>
            <scheme val="minor"/>
          </rPr>
          <t>======
ID#AAABjx7qU9Y
    (2025-05-21 11:33:27)
10/15 michelle: 玉山通知匯款</t>
        </r>
      </text>
    </comment>
    <comment ref="S3751" authorId="0" shapeId="0" xr:uid="{571BB446-83BE-904B-B795-00505BF7C212}">
      <text>
        <r>
          <rPr>
            <sz val="10"/>
            <color rgb="FF000000"/>
            <rFont val="Aptos Narrow"/>
            <scheme val="minor"/>
          </rPr>
          <t>======
ID#AAABjx7qQ4Q
    (2025-05-21 11:33:25)
10/15 michelle: 玉山通知匯款</t>
        </r>
      </text>
    </comment>
    <comment ref="S3752" authorId="0" shapeId="0" xr:uid="{F183D692-5A5B-4A4F-B936-6CCD7E0E1D76}">
      <text>
        <r>
          <rPr>
            <sz val="10"/>
            <color rgb="FF000000"/>
            <rFont val="Aptos Narrow"/>
            <scheme val="minor"/>
          </rPr>
          <t>======
ID#AAABjx7qQB4
    (2025-05-21 11:33:25)
20160310 Santiago : 收到銀行通知</t>
        </r>
      </text>
    </comment>
    <comment ref="S3753" authorId="0" shapeId="0" xr:uid="{C1CD9610-94FB-EB4D-A564-7254D6359BC7}">
      <text>
        <r>
          <rPr>
            <sz val="10"/>
            <color rgb="FF000000"/>
            <rFont val="Aptos Narrow"/>
            <scheme val="minor"/>
          </rPr>
          <t>======
ID#AAABjx7qM2s
    (2025-05-21 11:33:23)
20160310 Santiago : 收到銀行通知</t>
        </r>
      </text>
    </comment>
    <comment ref="S3754" authorId="0" shapeId="0" xr:uid="{EB029DA1-9C03-6946-A2B8-5192F30346B8}">
      <text>
        <r>
          <rPr>
            <sz val="10"/>
            <color rgb="FF000000"/>
            <rFont val="Aptos Narrow"/>
            <scheme val="minor"/>
          </rPr>
          <t>======
ID#AAABjx7qNFc
    (2025-05-21 11:33:23)
0826 Santiago 收到銀行通知</t>
        </r>
      </text>
    </comment>
    <comment ref="S3755" authorId="0" shapeId="0" xr:uid="{554C0693-1286-8C4B-BC55-5CA4B11E6B28}">
      <text>
        <r>
          <rPr>
            <sz val="10"/>
            <color rgb="FF000000"/>
            <rFont val="Aptos Narrow"/>
            <scheme val="minor"/>
          </rPr>
          <t>======
ID#AAABjx7qM1A
    (2025-05-21 11:33:23)
0826 Santiago 收到銀行通知</t>
        </r>
      </text>
    </comment>
    <comment ref="S3756" authorId="0" shapeId="0" xr:uid="{2EBA0138-F141-044A-9D0E-921213E03DEF}">
      <text>
        <r>
          <rPr>
            <sz val="10"/>
            <color rgb="FF000000"/>
            <rFont val="Aptos Narrow"/>
            <scheme val="minor"/>
          </rPr>
          <t>======
ID#AAABjx7qQQo
    (2025-05-21 11:33:25)
0826 Santiago 收到銀行通知</t>
        </r>
      </text>
    </comment>
    <comment ref="S3757" authorId="0" shapeId="0" xr:uid="{CCD1CAFA-F961-6240-AE66-000B56D1B638}">
      <text>
        <r>
          <rPr>
            <sz val="10"/>
            <color rgb="FF000000"/>
            <rFont val="Aptos Narrow"/>
            <scheme val="minor"/>
          </rPr>
          <t>======
ID#AAABjx7qPm4
    (2025-05-21 11:33:24)
10/1 玉山通知到款USD930</t>
        </r>
      </text>
    </comment>
    <comment ref="S3758" authorId="0" shapeId="0" xr:uid="{A574235E-C802-3444-8DAC-C7762B8DED5B}">
      <text>
        <r>
          <rPr>
            <sz val="10"/>
            <color rgb="FF000000"/>
            <rFont val="Aptos Narrow"/>
            <scheme val="minor"/>
          </rPr>
          <t>======
ID#AAABjx7qRnI
    (2025-05-21 11:33:25)
10/29 michelle: 玉山通知匯入USD1100</t>
        </r>
      </text>
    </comment>
    <comment ref="S3759" authorId="0" shapeId="0" xr:uid="{8D2F2E7D-F231-6B45-893E-5A6271F7F28E}">
      <text>
        <r>
          <rPr>
            <sz val="10"/>
            <color rgb="FF000000"/>
            <rFont val="Aptos Narrow"/>
            <scheme val="minor"/>
          </rPr>
          <t>======
ID#AAABjx7qRVE
    (2025-05-21 11:33:25)
12/8 michelle: 玉山通知匯入共USD30476</t>
        </r>
      </text>
    </comment>
    <comment ref="AB3759" authorId="0" shapeId="0" xr:uid="{5A33EB0E-342E-964C-A238-9C0C7161ADF5}">
      <text>
        <r>
          <rPr>
            <sz val="10"/>
            <color rgb="FF000000"/>
            <rFont val="Aptos Narrow"/>
            <scheme val="minor"/>
          </rPr>
          <t>======
ID#AAABjx7qWOI
    (2025-05-21 11:33:27)
發票已整理</t>
        </r>
      </text>
    </comment>
    <comment ref="Q3760" authorId="0" shapeId="0" xr:uid="{96FE9D97-C69F-E44C-B7E0-4E4CC4EC634A}">
      <text>
        <r>
          <rPr>
            <sz val="10"/>
            <color rgb="FF000000"/>
            <rFont val="Aptos Narrow"/>
            <scheme val="minor"/>
          </rPr>
          <t>======
ID#AAABjx7qQtQ
    (2025-05-21 11:33:25)
151122 Karen: 因爭取不多的庫存,故此單沒申請SRRC特殊專案價</t>
        </r>
      </text>
    </comment>
    <comment ref="S3760" authorId="0" shapeId="0" xr:uid="{D4D2C2BB-D72A-E348-A3E3-E08E30A8B19E}">
      <text>
        <r>
          <rPr>
            <sz val="10"/>
            <color rgb="FF000000"/>
            <rFont val="Aptos Narrow"/>
            <scheme val="minor"/>
          </rPr>
          <t>======
ID#AAABjx7qR_s
    (2025-05-21 11:33:25)
12/8 michelle: 玉山通知匯入共USD30476</t>
        </r>
      </text>
    </comment>
    <comment ref="AB3760" authorId="0" shapeId="0" xr:uid="{02A12959-B02D-794A-B40E-C512C19856E7}">
      <text>
        <r>
          <rPr>
            <sz val="10"/>
            <color rgb="FF000000"/>
            <rFont val="Aptos Narrow"/>
            <scheme val="minor"/>
          </rPr>
          <t>======
ID#AAABjx7qPBc
    (2025-05-21 11:33:24)
發票已整理</t>
        </r>
      </text>
    </comment>
    <comment ref="S3761" authorId="0" shapeId="0" xr:uid="{3FBE608A-A7A9-7B4B-B789-F7FF75113DB9}">
      <text>
        <r>
          <rPr>
            <sz val="10"/>
            <color rgb="FF000000"/>
            <rFont val="Aptos Narrow"/>
            <scheme val="minor"/>
          </rPr>
          <t>======
ID#AAABjx7qVNU
    (2025-05-21 11:33:27)
12/8 michelle: 玉山通知匯入共USD30476</t>
        </r>
      </text>
    </comment>
    <comment ref="AB3761" authorId="0" shapeId="0" xr:uid="{3F12D1F6-648F-CE4E-866B-753EB948423C}">
      <text>
        <r>
          <rPr>
            <sz val="10"/>
            <color rgb="FF000000"/>
            <rFont val="Aptos Narrow"/>
            <scheme val="minor"/>
          </rPr>
          <t>======
ID#AAABjx7qQGo
    (2025-05-21 11:33:25)
發票已整理</t>
        </r>
      </text>
    </comment>
    <comment ref="R3762" authorId="0" shapeId="0" xr:uid="{61531722-1711-E648-BE90-FB2D40D769C8}">
      <text>
        <r>
          <rPr>
            <sz val="10"/>
            <color rgb="FF000000"/>
            <rFont val="Aptos Narrow"/>
            <scheme val="minor"/>
          </rPr>
          <t>======
ID#AAABjx7qNUo
    (2025-05-21 11:33:23)
w/ 5% tax</t>
        </r>
      </text>
    </comment>
    <comment ref="S3762" authorId="0" shapeId="0" xr:uid="{D8587854-6542-2E4C-B1EC-EE49A88C3B02}">
      <text>
        <r>
          <rPr>
            <sz val="10"/>
            <color rgb="FF000000"/>
            <rFont val="Aptos Narrow"/>
            <scheme val="minor"/>
          </rPr>
          <t>======
ID#AAABjx7qUyg
20141113 Santiago    (2025-05-21 11:33:26)
已收到 US$5110</t>
        </r>
      </text>
    </comment>
    <comment ref="M3763" authorId="0" shapeId="0" xr:uid="{C58B0D8F-7F07-BD41-958A-9EC24B8B31AA}">
      <text>
        <r>
          <rPr>
            <sz val="10"/>
            <color rgb="FF000000"/>
            <rFont val="Aptos Narrow"/>
            <scheme val="minor"/>
          </rPr>
          <t>======
ID#AAABjx7qWYY
    (2025-05-21 11:33:27)
20150120 Forster點收</t>
        </r>
      </text>
    </comment>
    <comment ref="R3763" authorId="0" shapeId="0" xr:uid="{85E501E9-2CFA-214B-AF43-BC879A1F8144}">
      <text>
        <r>
          <rPr>
            <sz val="10"/>
            <color rgb="FF000000"/>
            <rFont val="Aptos Narrow"/>
            <scheme val="minor"/>
          </rPr>
          <t>======
ID#AAABjx7qPzo
    (2025-05-21 11:33:24)
匯率30</t>
        </r>
      </text>
    </comment>
    <comment ref="S3763" authorId="0" shapeId="0" xr:uid="{DD495066-2A14-AE45-ACD2-6DAAD51D3B6A}">
      <text>
        <r>
          <rPr>
            <sz val="10"/>
            <color rgb="FF000000"/>
            <rFont val="Aptos Narrow"/>
            <scheme val="minor"/>
          </rPr>
          <t>======
ID#AAABjx7qMqc
    (2025-05-21 11:33:23)
Forster 0202
借轉銷，已完成流程，待客戶付款，客戶安排2/3匯款。
Santiago 0203
已收到匯款</t>
        </r>
      </text>
    </comment>
    <comment ref="G3764" authorId="0" shapeId="0" xr:uid="{EADB3872-A75C-1244-906A-A93A6A54D0D7}">
      <text>
        <r>
          <rPr>
            <sz val="10"/>
            <color rgb="FF000000"/>
            <rFont val="Aptos Narrow"/>
            <scheme val="minor"/>
          </rPr>
          <t>======
ID#AAABjx7qSNo
    (2025-05-21 11:33:26)
2/25 Karen: w/5%</t>
        </r>
      </text>
    </comment>
    <comment ref="K3764" authorId="0" shapeId="0" xr:uid="{C0A1602C-CC6E-934F-8FBA-B76CA86641FB}">
      <text>
        <r>
          <rPr>
            <sz val="10"/>
            <color rgb="FF000000"/>
            <rFont val="Aptos Narrow"/>
            <scheme val="minor"/>
          </rPr>
          <t>======
ID#AAABjx7qRvo
    (2025-05-21 11:33:25)
Forster 0226
安排3/6匯款</t>
        </r>
      </text>
    </comment>
    <comment ref="R3764" authorId="0" shapeId="0" xr:uid="{4A7716F5-A829-D144-96B8-5195108541B5}">
      <text>
        <r>
          <rPr>
            <sz val="10"/>
            <color rgb="FF000000"/>
            <rFont val="Aptos Narrow"/>
            <scheme val="minor"/>
          </rPr>
          <t>======
ID#AAABjx7qSzk
    (2025-05-21 11:33:26)
2/25 Karen: 改為NT$6536.25(w/5%) / RATE 30 = 217.88
匯率30
w/o 5% Tax</t>
        </r>
      </text>
    </comment>
    <comment ref="S3764" authorId="0" shapeId="0" xr:uid="{36D3C03F-F8D3-D34F-88B8-1A09F65A3613}">
      <text>
        <r>
          <rPr>
            <sz val="10"/>
            <color rgb="FF000000"/>
            <rFont val="Aptos Narrow"/>
            <scheme val="minor"/>
          </rPr>
          <t>======
ID#AAABjx7qUvM
    (2025-05-21 11:33:26)
Santiago 0306 : 已入帳
Forster 0226
安排3/6匯款
2/25 Karen:改國內出貨，含５％稅
此單出上海新漢不含5%稅. 並以台幣計價</t>
        </r>
      </text>
    </comment>
    <comment ref="R3765" authorId="0" shapeId="0" xr:uid="{212C2056-4C2C-FE4F-8784-B953224FD1BF}">
      <text>
        <r>
          <rPr>
            <sz val="10"/>
            <color rgb="FF000000"/>
            <rFont val="Aptos Narrow"/>
            <scheme val="minor"/>
          </rPr>
          <t>======
ID#AAABjx7qQzk
    (2025-05-21 11:33:25)
w/ 5% tax</t>
        </r>
      </text>
    </comment>
    <comment ref="S3765" authorId="0" shapeId="0" xr:uid="{27FBB6DB-8D46-EA4F-9B6E-9C6FB5A7A47E}">
      <text>
        <r>
          <rPr>
            <sz val="10"/>
            <color rgb="FF000000"/>
            <rFont val="Aptos Narrow"/>
            <scheme val="minor"/>
          </rPr>
          <t>======
ID#AAABjx7qTeQ
    (2025-05-21 11:33:26)
5/6 michelle:收到銀
行通知匯款</t>
        </r>
      </text>
    </comment>
    <comment ref="R3766" authorId="0" shapeId="0" xr:uid="{D8AFA2F3-E5FB-364C-AC0C-021971D2C392}">
      <text>
        <r>
          <rPr>
            <sz val="10"/>
            <color rgb="FF000000"/>
            <rFont val="Aptos Narrow"/>
            <scheme val="minor"/>
          </rPr>
          <t>======
ID#AAABjx7qRp8
    (2025-05-21 11:33:25)
w/5%VAT</t>
        </r>
      </text>
    </comment>
    <comment ref="S3766" authorId="0" shapeId="0" xr:uid="{F82B44E7-1EDC-3F4B-97FA-7493821B5064}">
      <text>
        <r>
          <rPr>
            <sz val="10"/>
            <color rgb="FF000000"/>
            <rFont val="Aptos Narrow"/>
            <scheme val="minor"/>
          </rPr>
          <t>======
ID#AAABjx7qRuU
    (2025-05-21 11:33:25)
Santiago0330 : 收到銀行通知</t>
        </r>
      </text>
    </comment>
    <comment ref="R3767" authorId="0" shapeId="0" xr:uid="{DF91AFAE-AED8-CC48-BC13-23C9955F7475}">
      <text>
        <r>
          <rPr>
            <sz val="10"/>
            <color rgb="FF000000"/>
            <rFont val="Aptos Narrow"/>
            <scheme val="minor"/>
          </rPr>
          <t>======
ID#AAABjx7qPZY
    (2025-05-21 11:33:24)
含5%稅</t>
        </r>
      </text>
    </comment>
    <comment ref="S3767" authorId="0" shapeId="0" xr:uid="{F81463AE-9574-834E-873A-2898770495D6}">
      <text>
        <r>
          <rPr>
            <sz val="10"/>
            <color rgb="FF000000"/>
            <rFont val="Aptos Narrow"/>
            <scheme val="minor"/>
          </rPr>
          <t>======
ID#AAABjx7qOW0
    (2025-05-21 11:33:24)
Santiago0325 : 收到銀行通知</t>
        </r>
      </text>
    </comment>
    <comment ref="R3768" authorId="0" shapeId="0" xr:uid="{FD495BCE-880B-2641-A7B3-AEF4A258177D}">
      <text>
        <r>
          <rPr>
            <sz val="10"/>
            <color rgb="FF000000"/>
            <rFont val="Aptos Narrow"/>
            <scheme val="minor"/>
          </rPr>
          <t>======
ID#AAABjx7qOSg
    (2025-05-21 11:33:24)
含5%稅</t>
        </r>
      </text>
    </comment>
    <comment ref="S3768" authorId="0" shapeId="0" xr:uid="{FA7211B3-CEAB-6947-AAEF-0523ACCA4969}">
      <text>
        <r>
          <rPr>
            <sz val="10"/>
            <color rgb="FF000000"/>
            <rFont val="Aptos Narrow"/>
            <scheme val="minor"/>
          </rPr>
          <t>======
ID#AAABjx7qRtU
    (2025-05-21 11:33:25)
Santiago0325 : 收到銀行通知</t>
        </r>
      </text>
    </comment>
    <comment ref="R3769" authorId="0" shapeId="0" xr:uid="{F39ADB25-0327-7C4C-BC97-4D84BA88F5DA}">
      <text>
        <r>
          <rPr>
            <sz val="10"/>
            <color rgb="FF000000"/>
            <rFont val="Aptos Narrow"/>
            <scheme val="minor"/>
          </rPr>
          <t>======
ID#AAABjx7qUyU
    (2025-05-21 11:33:26)
w/ 5% tax</t>
        </r>
      </text>
    </comment>
    <comment ref="S3769" authorId="0" shapeId="0" xr:uid="{77EC573D-8C65-164A-8F51-8586D3CD07C6}">
      <text>
        <r>
          <rPr>
            <sz val="10"/>
            <color rgb="FF000000"/>
            <rFont val="Aptos Narrow"/>
            <scheme val="minor"/>
          </rPr>
          <t>======
ID#AAABjx7qSK8
    (2025-05-21 11:33:26)
0527 michelle:銀行通知USD5110</t>
        </r>
      </text>
    </comment>
    <comment ref="R3770" authorId="0" shapeId="0" xr:uid="{296DBB2F-938C-8340-9C16-B2DAC0A7E75D}">
      <text>
        <r>
          <rPr>
            <sz val="10"/>
            <color rgb="FF000000"/>
            <rFont val="Aptos Narrow"/>
            <scheme val="minor"/>
          </rPr>
          <t>======
ID#AAABjx7qRqw
    (2025-05-21 11:33:25)
w/ 5% tax</t>
        </r>
      </text>
    </comment>
    <comment ref="S3770" authorId="0" shapeId="0" xr:uid="{CF5462A3-5E50-0244-A6EF-9772D6D3F136}">
      <text>
        <r>
          <rPr>
            <sz val="10"/>
            <color rgb="FF000000"/>
            <rFont val="Aptos Narrow"/>
            <scheme val="minor"/>
          </rPr>
          <t>======
ID#AAABjx7qPGg
    (2025-05-21 11:33:24)
7/1 michelle: 銀行通知到款USD5110</t>
        </r>
      </text>
    </comment>
    <comment ref="R3771" authorId="0" shapeId="0" xr:uid="{63E13C6A-C58E-9F47-92F9-2607EB069B0E}">
      <text>
        <r>
          <rPr>
            <sz val="10"/>
            <color rgb="FF000000"/>
            <rFont val="Aptos Narrow"/>
            <scheme val="minor"/>
          </rPr>
          <t>======
ID#AAABjx7qPG0
    (2025-05-21 11:33:24)
含5%稅</t>
        </r>
      </text>
    </comment>
    <comment ref="S3771" authorId="0" shapeId="0" xr:uid="{F4C5DC91-8045-E34A-A188-B8839D716E9D}">
      <text>
        <r>
          <rPr>
            <sz val="10"/>
            <color rgb="FF000000"/>
            <rFont val="Aptos Narrow"/>
            <scheme val="minor"/>
          </rPr>
          <t>======
ID#AAABjx7qNCo
    (2025-05-21 11:33:23)
5/6 michelle:收到銀
行通知匯款</t>
        </r>
      </text>
    </comment>
    <comment ref="R3772" authorId="0" shapeId="0" xr:uid="{16679A22-EEFB-FF45-8331-5AD6E401524B}">
      <text>
        <r>
          <rPr>
            <sz val="10"/>
            <color rgb="FF000000"/>
            <rFont val="Aptos Narrow"/>
            <scheme val="minor"/>
          </rPr>
          <t>======
ID#AAABjx7qWMA
    (2025-05-21 11:33:27)
含5%稅</t>
        </r>
      </text>
    </comment>
    <comment ref="S3772" authorId="0" shapeId="0" xr:uid="{51C7B568-1108-A747-B496-8FF50EA2C9E8}">
      <text>
        <r>
          <rPr>
            <sz val="10"/>
            <color rgb="FF000000"/>
            <rFont val="Aptos Narrow"/>
            <scheme val="minor"/>
          </rPr>
          <t>======
ID#AAABjx7qVBw
    (2025-05-21 11:33:27)
0520 michelle: 收到匯款通知USD22960</t>
        </r>
      </text>
    </comment>
    <comment ref="R3773" authorId="0" shapeId="0" xr:uid="{6F3FCC5E-D40D-0545-B659-DAC9D1138251}">
      <text>
        <r>
          <rPr>
            <sz val="10"/>
            <color rgb="FF000000"/>
            <rFont val="Aptos Narrow"/>
            <scheme val="minor"/>
          </rPr>
          <t>======
ID#AAABjx7qQiE
    (2025-05-21 11:33:25)
w/ 5% tax</t>
        </r>
      </text>
    </comment>
    <comment ref="S3773" authorId="0" shapeId="0" xr:uid="{B1885E2A-3D76-384B-A40B-A9810C334127}">
      <text>
        <r>
          <rPr>
            <sz val="10"/>
            <color rgb="FF000000"/>
            <rFont val="Aptos Narrow"/>
            <scheme val="minor"/>
          </rPr>
          <t>======
ID#AAABjx7qPPs
    (2025-05-21 11:33:24)
20150918 收到銀行通知</t>
        </r>
      </text>
    </comment>
    <comment ref="R3774" authorId="0" shapeId="0" xr:uid="{307226C1-05BD-7049-AD94-CCD7BA65DB7A}">
      <text>
        <r>
          <rPr>
            <sz val="10"/>
            <color rgb="FF000000"/>
            <rFont val="Aptos Narrow"/>
            <scheme val="minor"/>
          </rPr>
          <t>======
ID#AAABjx7qPfY
    (2025-05-21 11:33:24)
W/5%
NT$8100*105%/33</t>
        </r>
      </text>
    </comment>
    <comment ref="S3775" authorId="0" shapeId="0" xr:uid="{53094F80-FDBC-B348-B7E3-B18A3B63AB9D}">
      <text>
        <r>
          <rPr>
            <sz val="10"/>
            <color rgb="FF000000"/>
            <rFont val="Aptos Narrow"/>
            <scheme val="minor"/>
          </rPr>
          <t>======
ID#AAABjx7qNNs
    (2025-05-21 11:33:23)
1/20 台銀平均匯率31.571
Forster0210: 安排2/17匯款</t>
        </r>
      </text>
    </comment>
    <comment ref="E3776" authorId="0" shapeId="0" xr:uid="{D2437261-8E00-B843-9C8B-737AA95EC972}">
      <text>
        <r>
          <rPr>
            <sz val="10"/>
            <color rgb="FF000000"/>
            <rFont val="Aptos Narrow"/>
            <scheme val="minor"/>
          </rPr>
          <t>======
ID#AAABjx7qSI8
    (2025-05-21 11:33:26)
S/N: B85338-0114</t>
        </r>
      </text>
    </comment>
    <comment ref="S3776" authorId="0" shapeId="0" xr:uid="{7CBFD18F-6109-4740-925B-27138353F25A}">
      <text>
        <r>
          <rPr>
            <sz val="10"/>
            <color rgb="FF000000"/>
            <rFont val="Aptos Narrow"/>
            <scheme val="minor"/>
          </rPr>
          <t>======
ID#AAABjx7qNWM
Santiago 0122    (2025-05-21 11:33:23)
這次是為了幫NEXCOM 趕交期. 怕他們來不及匯款.  才先用Evaluation PI 幫他們過關. 
請Forster要求Nexcom下週內完成付款
Forster0210: 安排2/17匯款</t>
        </r>
      </text>
    </comment>
    <comment ref="C3777" authorId="0" shapeId="0" xr:uid="{9307283A-4276-714B-9C51-4C950517B7B8}">
      <text>
        <r>
          <rPr>
            <sz val="10"/>
            <color rgb="FF000000"/>
            <rFont val="Aptos Narrow"/>
            <scheme val="minor"/>
          </rPr>
          <t>======
ID#AAABjx7qO_s
    (2025-05-21 11:33:24)
chloe：4/24追歸還否?
forster 0427: 4/24已收客戶歸還借測品，4/27開會再送至辦公室</t>
        </r>
      </text>
    </comment>
    <comment ref="M3777" authorId="0" shapeId="0" xr:uid="{2EC6B9C7-502E-7A44-893F-352A51E63FC3}">
      <text>
        <r>
          <rPr>
            <sz val="10"/>
            <color rgb="FF000000"/>
            <rFont val="Aptos Narrow"/>
            <scheme val="minor"/>
          </rPr>
          <t>======
ID#AAABjx7qNc4
    (2025-05-21 11:33:23)
3/13料齊</t>
        </r>
      </text>
    </comment>
    <comment ref="U3777" authorId="0" shapeId="0" xr:uid="{19D56A7E-4BE4-FB4D-9A89-88834BDEFF6C}">
      <text>
        <r>
          <rPr>
            <sz val="10"/>
            <color rgb="FF000000"/>
            <rFont val="Aptos Narrow"/>
            <scheme val="minor"/>
          </rPr>
          <t>======
ID#AAABjx7qQbc
    (2025-05-21 11:33:25)
匯率同售價
31.571</t>
        </r>
      </text>
    </comment>
    <comment ref="C3778" authorId="0" shapeId="0" xr:uid="{AA098E49-4BDD-C14D-B285-B76FEAB10730}">
      <text>
        <r>
          <rPr>
            <sz val="10"/>
            <color rgb="FF000000"/>
            <rFont val="Aptos Narrow"/>
            <scheme val="minor"/>
          </rPr>
          <t>======
ID#AAABjx7qM10
    (2025-05-21 11:33:23)
chloe：4/24追歸還否?
forster 0427: 4/24已收客戶歸還借測品，4/27開會再送至辦公室</t>
        </r>
      </text>
    </comment>
    <comment ref="E3778" authorId="0" shapeId="0" xr:uid="{7C8F61EE-587C-2943-98D4-EAED3DED136B}">
      <text>
        <r>
          <rPr>
            <sz val="10"/>
            <color rgb="FF000000"/>
            <rFont val="Aptos Narrow"/>
            <scheme val="minor"/>
          </rPr>
          <t>======
ID#AAABjx7qScE
    (2025-05-21 11:33:26)
S/N: TBC</t>
        </r>
      </text>
    </comment>
    <comment ref="S3779" authorId="0" shapeId="0" xr:uid="{96894A22-E61B-424A-8895-AC682C1E049F}">
      <text>
        <r>
          <rPr>
            <sz val="10"/>
            <color rgb="FF000000"/>
            <rFont val="Aptos Narrow"/>
            <scheme val="minor"/>
          </rPr>
          <t>======
ID#AAABjx7qTDI
    (2025-05-21 11:33:26)
3/4 入帳</t>
        </r>
      </text>
    </comment>
    <comment ref="M3780" authorId="0" shapeId="0" xr:uid="{104B45D7-F84C-BA46-B4F1-73C874EE64E1}">
      <text>
        <r>
          <rPr>
            <sz val="10"/>
            <color rgb="FF000000"/>
            <rFont val="Aptos Narrow"/>
            <scheme val="minor"/>
          </rPr>
          <t>======
ID#AAABjx7qSrw
    (2025-05-21 11:33:26)
20150213 Forster點收</t>
        </r>
      </text>
    </comment>
    <comment ref="M3781" authorId="0" shapeId="0" xr:uid="{FE16E418-78BC-D648-93A6-DA6E813AAE2C}">
      <text>
        <r>
          <rPr>
            <sz val="10"/>
            <color rgb="FF000000"/>
            <rFont val="Aptos Narrow"/>
            <scheme val="minor"/>
          </rPr>
          <t>======
ID#AAABjx7qV2Y
    (2025-05-21 11:33:27)
20150203 Forster點收</t>
        </r>
      </text>
    </comment>
    <comment ref="E3783" authorId="0" shapeId="0" xr:uid="{BDAC85DD-8252-8041-95E2-542115C2FE48}">
      <text>
        <r>
          <rPr>
            <sz val="10"/>
            <color rgb="FF000000"/>
            <rFont val="Aptos Narrow"/>
            <scheme val="minor"/>
          </rPr>
          <t>======
ID#AAABjx7qOPU
    (2025-05-21 11:33:24)
150206 Karen: 下單型號C218T/PCI</t>
        </r>
      </text>
    </comment>
    <comment ref="H3783" authorId="0" shapeId="0" xr:uid="{9DE2282E-491A-564A-BF28-9F42F8FF0DCB}">
      <text>
        <r>
          <rPr>
            <sz val="10"/>
            <color rgb="FF000000"/>
            <rFont val="Aptos Narrow"/>
            <scheme val="minor"/>
          </rPr>
          <t>======
ID#AAABjx7qQNM
    (2025-05-21 11:33:25)
匯率31.5</t>
        </r>
      </text>
    </comment>
    <comment ref="E3784" authorId="0" shapeId="0" xr:uid="{1F2EF93C-7798-514D-A58F-08F7DD755D99}">
      <text>
        <r>
          <rPr>
            <sz val="10"/>
            <color rgb="FF000000"/>
            <rFont val="Aptos Narrow"/>
            <scheme val="minor"/>
          </rPr>
          <t>======
ID#AAABjx7qVxA
    (2025-05-21 11:33:27)
150728 Karen: 下單型號ioLogik E2210</t>
        </r>
      </text>
    </comment>
    <comment ref="S3784" authorId="0" shapeId="0" xr:uid="{F21026F0-980E-AF45-887E-3A40D4D089CA}">
      <text>
        <r>
          <rPr>
            <sz val="10"/>
            <color rgb="FF000000"/>
            <rFont val="Aptos Narrow"/>
            <scheme val="minor"/>
          </rPr>
          <t>======
ID#AAABjx7qStA
    (2025-05-21 11:33:26)
9/1 michelle: 客戶轉帳單NTD22813</t>
        </r>
      </text>
    </comment>
    <comment ref="S3785" authorId="0" shapeId="0" xr:uid="{D930C7FF-04DF-9447-AF9F-11762B5FD5B3}">
      <text>
        <r>
          <rPr>
            <sz val="10"/>
            <color rgb="FF000000"/>
            <rFont val="Aptos Narrow"/>
            <scheme val="minor"/>
          </rPr>
          <t>======
ID#AAABjx7qWGY
    (2025-05-21 11:33:27)
11/3 michelle: 收到客戶支票NTD58577,到期日11/30,當天轉回chloe 
11/10 Santiago: Michelle的支票是轉交給Santiago 並不是Chloe</t>
        </r>
      </text>
    </comment>
    <comment ref="Q3786" authorId="0" shapeId="0" xr:uid="{38A04736-A651-9240-B8C8-D7699CA23351}">
      <text>
        <r>
          <rPr>
            <sz val="10"/>
            <color rgb="FF000000"/>
            <rFont val="Aptos Narrow"/>
            <scheme val="minor"/>
          </rPr>
          <t>======
ID#AAABjx7qOBA
    (2025-05-21 11:33:24)
151103 扣抵金額(含稅)US$787.5元,應支付貨款(含稅)為US$4331.25元</t>
        </r>
      </text>
    </comment>
    <comment ref="S3786" authorId="0" shapeId="0" xr:uid="{F36577C9-7705-DC41-8430-33237D4F1AB1}">
      <text>
        <r>
          <rPr>
            <sz val="10"/>
            <color rgb="FF000000"/>
            <rFont val="Aptos Narrow"/>
            <scheme val="minor"/>
          </rPr>
          <t>======
ID#AAABjx7qQbQ
    (2025-05-21 11:33:25)
20151218 Santiago : 收到支票</t>
        </r>
      </text>
    </comment>
    <comment ref="Q3787" authorId="0" shapeId="0" xr:uid="{51A956F8-8E39-C043-B49B-9A2E3B1A075F}">
      <text>
        <r>
          <rPr>
            <sz val="10"/>
            <color rgb="FF000000"/>
            <rFont val="Aptos Narrow"/>
            <scheme val="minor"/>
          </rPr>
          <t>======
ID#AAABjx7qNZ8
    (2025-05-21 11:33:23)
151103 己是專案價,故未再向MOXA詢問SRRC的特殊專案價</t>
        </r>
      </text>
    </comment>
    <comment ref="S3787" authorId="0" shapeId="0" xr:uid="{9220B236-EB5F-CF4C-B436-9486924B624B}">
      <text>
        <r>
          <rPr>
            <sz val="10"/>
            <color rgb="FF000000"/>
            <rFont val="Aptos Narrow"/>
            <scheme val="minor"/>
          </rPr>
          <t>======
ID#AAABjx7qNN0
    (2025-05-21 11:33:23)
1/7 michelle: 收到支票金額共423,587.轉交Santiago</t>
        </r>
      </text>
    </comment>
    <comment ref="S3788" authorId="0" shapeId="0" xr:uid="{794D00FE-6866-0E45-BC33-3AB92D9577DB}">
      <text>
        <r>
          <rPr>
            <sz val="10"/>
            <color rgb="FF000000"/>
            <rFont val="Aptos Narrow"/>
            <scheme val="minor"/>
          </rPr>
          <t>======
ID#AAABjx7qWPI
    (2025-05-21 11:33:27)
20151218 Santiago : 收到支票</t>
        </r>
      </text>
    </comment>
    <comment ref="Q3789" authorId="0" shapeId="0" xr:uid="{1BCD67D0-BC2B-E943-B5BE-4469FEB59256}">
      <text>
        <r>
          <rPr>
            <sz val="10"/>
            <color rgb="FF000000"/>
            <rFont val="Aptos Narrow"/>
            <scheme val="minor"/>
          </rPr>
          <t>======
ID#AAABjx7qOo0
    (2025-05-21 11:33:24)
151014 扣抵金額(含稅)US$617.4元,應支付貨款(含稅)為US$3381元</t>
        </r>
      </text>
    </comment>
    <comment ref="E3790" authorId="0" shapeId="0" xr:uid="{BF90090F-0A07-E94E-8FF4-DDFCEA14D06B}">
      <text>
        <r>
          <rPr>
            <sz val="10"/>
            <color rgb="FF000000"/>
            <rFont val="Aptos Narrow"/>
            <scheme val="minor"/>
          </rPr>
          <t>======
ID#AAABjx7qSOU
    (2025-05-21 11:33:26)
10/20 michelle :廠商料號 LS38-C3S-TC-N-DD</t>
        </r>
      </text>
    </comment>
    <comment ref="U3790" authorId="0" shapeId="0" xr:uid="{025158E9-8589-B349-857C-429742ED65F5}">
      <text>
        <r>
          <rPr>
            <sz val="10"/>
            <color rgb="FF000000"/>
            <rFont val="Aptos Narrow"/>
            <scheme val="minor"/>
          </rPr>
          <t>======
ID#AAABjx7qPp8
Santiago 1019    (2025-05-21 11:33:24)
原本APAC前鼎光電的成本為20286, 但軟體因為有Moxa 版權, APAC前鼎光電不能燒錄. 後來前鼎的業務有私下介紹翔生的工程師幫我們燒錄Moxa 軟體, 由於是私人幫忙性質. 要另外多付10,000給翔生工程師, 不會有發票, 所以總成本成20,286 + 10,000</t>
        </r>
      </text>
    </comment>
    <comment ref="S3791" authorId="0" shapeId="0" xr:uid="{0C67BCB8-7607-5242-848B-CB5CC4BFE907}">
      <text>
        <r>
          <rPr>
            <sz val="10"/>
            <color rgb="FF000000"/>
            <rFont val="Aptos Narrow"/>
            <scheme val="minor"/>
          </rPr>
          <t>======
ID#AAABjx7qTXk
    (2025-05-21 11:33:26)
20151104 收到銀行通知</t>
        </r>
      </text>
    </comment>
    <comment ref="S3792" authorId="0" shapeId="0" xr:uid="{801C3FF3-AAB9-1148-ABE9-9645990AC0CB}">
      <text>
        <r>
          <rPr>
            <sz val="10"/>
            <color rgb="FF000000"/>
            <rFont val="Aptos Narrow"/>
            <scheme val="minor"/>
          </rPr>
          <t>======
ID#AAABjx7qTb8
    (2025-05-21 11:33:26)
Santiago 3/17 匯入(01112)</t>
        </r>
      </text>
    </comment>
    <comment ref="U3792" authorId="0" shapeId="0" xr:uid="{234E52F9-83D4-F94E-B47F-BA4B9AEE1C1F}">
      <text>
        <r>
          <rPr>
            <sz val="10"/>
            <color rgb="FF000000"/>
            <rFont val="Aptos Narrow"/>
            <scheme val="minor"/>
          </rPr>
          <t>======
ID#AAABjx7qOVA
    (2025-05-21 11:33:24)
匯率暫抓USD5460*31.5</t>
        </r>
      </text>
    </comment>
    <comment ref="S3793" authorId="0" shapeId="0" xr:uid="{C68B65E7-FCBB-944D-987A-2033DE1321B3}">
      <text>
        <r>
          <rPr>
            <sz val="10"/>
            <color rgb="FF000000"/>
            <rFont val="Aptos Narrow"/>
            <scheme val="minor"/>
          </rPr>
          <t>======
ID#AAABjx7qOD0
    (2025-05-21 11:33:24)
Santiago 0423
收到銀行通知</t>
        </r>
      </text>
    </comment>
    <comment ref="U3793" authorId="0" shapeId="0" xr:uid="{A80AA45C-9FA6-534B-A8AE-08063DCE3D42}">
      <text>
        <r>
          <rPr>
            <sz val="10"/>
            <color rgb="FF000000"/>
            <rFont val="Aptos Narrow"/>
            <scheme val="minor"/>
          </rPr>
          <t>======
ID#AAABjx7qOjs
    (2025-05-21 11:33:24)
4/13匯率USD4095*31.28</t>
        </r>
      </text>
    </comment>
    <comment ref="K3794" authorId="0" shapeId="0" xr:uid="{FF144C33-777E-8D41-AE61-085AC448D97B}">
      <text>
        <r>
          <rPr>
            <sz val="10"/>
            <color rgb="FF000000"/>
            <rFont val="Aptos Narrow"/>
            <scheme val="minor"/>
          </rPr>
          <t>======
ID#AAABjx7qVp4
0325 Santiago    (2025-05-21 11:33:27)
和PI-20150212B-2 一起出貨</t>
        </r>
      </text>
    </comment>
    <comment ref="S3794" authorId="0" shapeId="0" xr:uid="{366CFF25-FF17-2042-82D7-D61B46E28787}">
      <text>
        <r>
          <rPr>
            <sz val="10"/>
            <color rgb="FF000000"/>
            <rFont val="Aptos Narrow"/>
            <scheme val="minor"/>
          </rPr>
          <t>======
ID#AAABjx7qQGw
    (2025-05-21 11:33:25)
Santiago 0423
收到銀行通知</t>
        </r>
      </text>
    </comment>
    <comment ref="U3794" authorId="0" shapeId="0" xr:uid="{C209958B-7AB0-9349-AA4E-2054384BA317}">
      <text>
        <r>
          <rPr>
            <sz val="10"/>
            <color rgb="FF000000"/>
            <rFont val="Aptos Narrow"/>
            <scheme val="minor"/>
          </rPr>
          <t>======
ID#AAABjx7qVVs
    (2025-05-21 11:33:27)
NT$6245+ 4/2 NT$5586</t>
        </r>
      </text>
    </comment>
    <comment ref="S3795" authorId="0" shapeId="0" xr:uid="{AB9E8139-3FAA-114D-BC24-867E8EABE836}">
      <text>
        <r>
          <rPr>
            <sz val="10"/>
            <color rgb="FF000000"/>
            <rFont val="Aptos Narrow"/>
            <scheme val="minor"/>
          </rPr>
          <t>======
ID#AAABjx7qNSQ
0420 Santiago    (2025-05-21 11:33:23)
客戶已傳水單
0421 Santiago: 
銀行通知收到匯款</t>
        </r>
      </text>
    </comment>
    <comment ref="S3796" authorId="0" shapeId="0" xr:uid="{AEEDBF4D-5ADF-A741-A644-B5E4964ECC6E}">
      <text>
        <r>
          <rPr>
            <sz val="10"/>
            <color rgb="FF000000"/>
            <rFont val="Aptos Narrow"/>
            <scheme val="minor"/>
          </rPr>
          <t>======
ID#AAABjx7qM50
0420 Santiago    (2025-05-21 11:33:23)
客戶已傳水單
0421 Santiago: 
銀行通知收到匯款</t>
        </r>
      </text>
    </comment>
    <comment ref="S3797" authorId="0" shapeId="0" xr:uid="{25BB2EAE-939C-384E-ABCB-E9EED9317858}">
      <text>
        <r>
          <rPr>
            <sz val="10"/>
            <color rgb="FF000000"/>
            <rFont val="Aptos Narrow"/>
            <scheme val="minor"/>
          </rPr>
          <t>======
ID#AAABjx7qWAc
    (2025-05-21 11:33:27)
0507 Santiago 收到客戶水單</t>
        </r>
      </text>
    </comment>
    <comment ref="U3797" authorId="0" shapeId="0" xr:uid="{3C6B97FD-4056-6F4E-8550-76B304C179AF}">
      <text>
        <r>
          <rPr>
            <sz val="10"/>
            <color rgb="FF000000"/>
            <rFont val="Aptos Narrow"/>
            <scheme val="minor"/>
          </rPr>
          <t>======
ID#AAABjx7qN5s
    (2025-05-21 11:33:23)
同前QA36248906</t>
        </r>
      </text>
    </comment>
    <comment ref="Z3797" authorId="0" shapeId="0" xr:uid="{4968BB59-2302-E647-9D8C-DBEFF1E614E0}">
      <text>
        <r>
          <rPr>
            <sz val="10"/>
            <color rgb="FF000000"/>
            <rFont val="Aptos Narrow"/>
            <scheme val="minor"/>
          </rPr>
          <t>======
ID#AAABjx7qNyY
    (2025-05-21 11:33:23)
Z將國內外出口發票打成同一張</t>
        </r>
      </text>
    </comment>
    <comment ref="S3798" authorId="0" shapeId="0" xr:uid="{682D0B0F-D3D3-EA42-BE6E-C274FD683FE2}">
      <text>
        <r>
          <rPr>
            <sz val="10"/>
            <color rgb="FF000000"/>
            <rFont val="Aptos Narrow"/>
            <scheme val="minor"/>
          </rPr>
          <t>======
ID#AAABjx7qQCE
    (2025-05-21 11:33:25)
5/22 michelle: 客戶水單USD9000</t>
        </r>
      </text>
    </comment>
    <comment ref="S3799" authorId="0" shapeId="0" xr:uid="{E5E23412-B886-8544-B122-5FD35E7EEB9D}">
      <text>
        <r>
          <rPr>
            <sz val="10"/>
            <color rgb="FF000000"/>
            <rFont val="Aptos Narrow"/>
            <scheme val="minor"/>
          </rPr>
          <t>======
ID#AAABjx7qPz0
    (2025-05-21 11:33:24)
0729 Santiago: 銀行通知入帳</t>
        </r>
      </text>
    </comment>
    <comment ref="S3800" authorId="0" shapeId="0" xr:uid="{33DE63BF-0CA9-FB41-9328-A11E984610BD}">
      <text>
        <r>
          <rPr>
            <sz val="10"/>
            <color rgb="FF000000"/>
            <rFont val="Aptos Narrow"/>
            <scheme val="minor"/>
          </rPr>
          <t>======
ID#AAABjx7qUtk
    (2025-05-21 11:33:26)
0729 Santiago: 銀行通知入帳</t>
        </r>
      </text>
    </comment>
    <comment ref="U3800" authorId="0" shapeId="0" xr:uid="{527DE87D-5AAD-5745-ADB9-3B656D2F5964}">
      <text>
        <r>
          <rPr>
            <sz val="10"/>
            <color rgb="FF000000"/>
            <rFont val="Aptos Narrow"/>
            <scheme val="minor"/>
          </rPr>
          <t>======
ID#AAABjx7qUto
    (2025-05-21 11:33:26)
USD12*30.98*1.05</t>
        </r>
      </text>
    </comment>
    <comment ref="S3801" authorId="0" shapeId="0" xr:uid="{B464093E-788A-3B49-B0E2-A26670CF3E36}">
      <text>
        <r>
          <rPr>
            <sz val="10"/>
            <color rgb="FF000000"/>
            <rFont val="Aptos Narrow"/>
            <scheme val="minor"/>
          </rPr>
          <t>======
ID#AAABjx7qVhY
    (2025-05-21 11:33:27)
0729 Santiago: 銀行通知入帳</t>
        </r>
      </text>
    </comment>
    <comment ref="Z3801" authorId="0" shapeId="0" xr:uid="{0BD9F000-0804-394E-9835-3EF892623B8E}">
      <text>
        <r>
          <rPr>
            <sz val="10"/>
            <color rgb="FF000000"/>
            <rFont val="Aptos Narrow"/>
            <scheme val="minor"/>
          </rPr>
          <t>======
ID#AAABjx7qNbk
    (2025-05-21 11:33:23)
發票在chloe那</t>
        </r>
      </text>
    </comment>
    <comment ref="S3802" authorId="0" shapeId="0" xr:uid="{68083890-42C4-9242-ACF9-DF02705E5FAE}">
      <text>
        <r>
          <rPr>
            <sz val="10"/>
            <color rgb="FF000000"/>
            <rFont val="Aptos Narrow"/>
            <scheme val="minor"/>
          </rPr>
          <t>======
ID#AAABjx7qWac
0811 Santiago    (2025-05-21 11:33:27)
收到2000, 缺4000
0902 Santiago 收到6000</t>
        </r>
      </text>
    </comment>
    <comment ref="Z3802" authorId="0" shapeId="0" xr:uid="{E3AFB303-75B2-6C41-8019-AB85E7A0A542}">
      <text>
        <r>
          <rPr>
            <sz val="10"/>
            <color rgb="FF000000"/>
            <rFont val="Aptos Narrow"/>
            <scheme val="minor"/>
          </rPr>
          <t>======
ID#AAABjx7qTmM
    (2025-05-21 11:33:26)
32.68</t>
        </r>
      </text>
    </comment>
    <comment ref="S3803" authorId="0" shapeId="0" xr:uid="{26FE6732-7409-B348-9226-689F1E0D0069}">
      <text>
        <r>
          <rPr>
            <sz val="10"/>
            <color rgb="FF000000"/>
            <rFont val="Aptos Narrow"/>
            <scheme val="minor"/>
          </rPr>
          <t>======
ID#AAABjx7qNzA
    (2025-05-21 11:33:23)
0902 Santiago 收到</t>
        </r>
      </text>
    </comment>
    <comment ref="D3804" authorId="0" shapeId="0" xr:uid="{0B997A42-B3A7-3943-80AE-503CA7E9D484}">
      <text>
        <r>
          <rPr>
            <sz val="10"/>
            <color rgb="FF000000"/>
            <rFont val="Aptos Narrow"/>
            <scheme val="minor"/>
          </rPr>
          <t>======
ID#AAABjx7qQh0
    (2025-05-21 11:33:25)
0911 Santiago
客戶取消訂單, 下次等客戶簽回PI 再下單</t>
        </r>
      </text>
    </comment>
    <comment ref="F3804" authorId="0" shapeId="0" xr:uid="{E5F509CD-C4A5-5C41-BA57-8E5696A4125E}">
      <text>
        <r>
          <rPr>
            <sz val="10"/>
            <color rgb="FF000000"/>
            <rFont val="Aptos Narrow"/>
            <scheme val="minor"/>
          </rPr>
          <t>======
ID#AAABjx7qPY0
    (2025-05-21 11:33:24)
0911 Santiago
客戶取消訂單, 下次等客戶簽回PI 再下單</t>
        </r>
      </text>
    </comment>
    <comment ref="Z3804" authorId="0" shapeId="0" xr:uid="{2122085F-3714-0C43-B8D7-4103DC0D9457}">
      <text>
        <r>
          <rPr>
            <sz val="10"/>
            <color rgb="FF000000"/>
            <rFont val="Aptos Narrow"/>
            <scheme val="minor"/>
          </rPr>
          <t>======
ID#AAABjx7qV8E
    (2025-05-21 11:33:27)
1007 chloe 發票尚未給會計,存留中，待阿姐拍賣後開立國內發票</t>
        </r>
      </text>
    </comment>
    <comment ref="S3805" authorId="0" shapeId="0" xr:uid="{6C2B9BD1-8665-D148-81C7-BFDABCF7940B}">
      <text>
        <r>
          <rPr>
            <sz val="10"/>
            <color rgb="FF000000"/>
            <rFont val="Aptos Narrow"/>
            <scheme val="minor"/>
          </rPr>
          <t>======
ID#AAABjx7qTfM
    (2025-05-21 11:33:26)
11/16 michelle:玉山通知匯入共USD9905</t>
        </r>
      </text>
    </comment>
    <comment ref="S3806" authorId="0" shapeId="0" xr:uid="{66B77262-E13E-4149-A981-7E808E90D0C5}">
      <text>
        <r>
          <rPr>
            <sz val="10"/>
            <color rgb="FF000000"/>
            <rFont val="Aptos Narrow"/>
            <scheme val="minor"/>
          </rPr>
          <t>======
ID#AAABjx7qRe8
    (2025-05-21 11:33:25)
11/16 michelle:玉山通知匯入共USD9905</t>
        </r>
      </text>
    </comment>
    <comment ref="S3807" authorId="0" shapeId="0" xr:uid="{4D32C3E1-26EA-E542-B864-DB9FB126D13F}">
      <text>
        <r>
          <rPr>
            <sz val="10"/>
            <color rgb="FF000000"/>
            <rFont val="Aptos Narrow"/>
            <scheme val="minor"/>
          </rPr>
          <t>======
ID#AAABjx7qPwM
    (2025-05-21 11:33:24)
11/16 michelle:玉山通知匯入共USD9905</t>
        </r>
      </text>
    </comment>
    <comment ref="S3808" authorId="0" shapeId="0" xr:uid="{ED324E0C-892D-4845-875E-1D94F1D73B57}">
      <text>
        <r>
          <rPr>
            <sz val="10"/>
            <color rgb="FF000000"/>
            <rFont val="Aptos Narrow"/>
            <scheme val="minor"/>
          </rPr>
          <t>======
ID#AAABjx7qOmI
    (2025-05-21 11:33:24)
11/16 michelle:玉山通知匯入共USD9905</t>
        </r>
      </text>
    </comment>
    <comment ref="S3809" authorId="0" shapeId="0" xr:uid="{8B58485D-C186-8447-96A8-54F79E7534FB}">
      <text>
        <r>
          <rPr>
            <sz val="10"/>
            <color rgb="FF000000"/>
            <rFont val="Aptos Narrow"/>
            <scheme val="minor"/>
          </rPr>
          <t>======
ID#AAABjx7qVx4
    (2025-05-21 11:33:27)
11/16 michelle:玉山通知匯入共USD9905</t>
        </r>
      </text>
    </comment>
    <comment ref="S3812" authorId="0" shapeId="0" xr:uid="{CCF42CE9-28EB-494D-ACF1-E3779CA2BFF4}">
      <text>
        <r>
          <rPr>
            <sz val="10"/>
            <color rgb="FF000000"/>
            <rFont val="Aptos Narrow"/>
            <scheme val="minor"/>
          </rPr>
          <t>======
ID#AAABjx7qSrA
    (2025-05-21 11:33:26)
11/16 michelle:玉山通知匯入共USD9905</t>
        </r>
      </text>
    </comment>
    <comment ref="S3815" authorId="0" shapeId="0" xr:uid="{B1DCEE8E-25AF-664D-8731-8D3AC405FDA0}">
      <text>
        <r>
          <rPr>
            <sz val="10"/>
            <color rgb="FF000000"/>
            <rFont val="Aptos Narrow"/>
            <scheme val="minor"/>
          </rPr>
          <t>======
ID#AAABjx7qPdY
    (2025-05-21 11:33:24)
12/2 michelle: 銀行通知匯入共USD2965.2</t>
        </r>
      </text>
    </comment>
    <comment ref="E3816" authorId="0" shapeId="0" xr:uid="{CB304FA9-B699-0447-B5F8-DCD89F2EE198}">
      <text>
        <r>
          <rPr>
            <sz val="10"/>
            <color rgb="FF000000"/>
            <rFont val="Aptos Narrow"/>
            <scheme val="minor"/>
          </rPr>
          <t>======
ID#AAABjx7qRJs
    (2025-05-21 11:33:25)
11/20 michelle:報價單為BTC013-1-79-500  請確認更正</t>
        </r>
      </text>
    </comment>
    <comment ref="S3816" authorId="0" shapeId="0" xr:uid="{004AE6D1-6D84-2B4C-BCDA-158554D9E412}">
      <text>
        <r>
          <rPr>
            <sz val="10"/>
            <color rgb="FF000000"/>
            <rFont val="Aptos Narrow"/>
            <scheme val="minor"/>
          </rPr>
          <t>======
ID#AAABjx7qPQc
    (2025-05-21 11:33:24)
12/2 michelle: 銀行通知匯入共USD2965.2</t>
        </r>
      </text>
    </comment>
    <comment ref="S3817" authorId="0" shapeId="0" xr:uid="{D0E2CD15-0780-B74F-AB05-F72634DD0851}">
      <text>
        <r>
          <rPr>
            <sz val="10"/>
            <color rgb="FF000000"/>
            <rFont val="Aptos Narrow"/>
            <scheme val="minor"/>
          </rPr>
          <t>======
ID#AAABjx7qQDo
    (2025-05-21 11:33:25)
12/2 michelle: 銀行通知匯入共USD2965.2</t>
        </r>
      </text>
    </comment>
    <comment ref="U3817" authorId="0" shapeId="0" xr:uid="{6A077791-2A64-124F-A670-F2CB2C6845C8}">
      <text>
        <r>
          <rPr>
            <sz val="10"/>
            <color rgb="FF000000"/>
            <rFont val="Aptos Narrow"/>
            <scheme val="minor"/>
          </rPr>
          <t>======
ID#AAABjx7qN2M
    (2025-05-21 11:33:23)
NET30</t>
        </r>
      </text>
    </comment>
    <comment ref="AB3817" authorId="0" shapeId="0" xr:uid="{A4EBD14A-D39C-8541-9ED7-915A3F2D046A}">
      <text>
        <r>
          <rPr>
            <sz val="10"/>
            <color rgb="FF000000"/>
            <rFont val="Aptos Narrow"/>
            <scheme val="minor"/>
          </rPr>
          <t>======
ID#AAABjx7qMwo
    (2025-05-21 11:33:23)
發票已整理</t>
        </r>
      </text>
    </comment>
    <comment ref="S3818" authorId="0" shapeId="0" xr:uid="{D41EF54A-EB02-9E4A-96F9-766B6E4824D9}">
      <text>
        <r>
          <rPr>
            <sz val="10"/>
            <color rgb="FF000000"/>
            <rFont val="Aptos Narrow"/>
            <scheme val="minor"/>
          </rPr>
          <t>======
ID#AAABjx7qOlc
    (2025-05-21 11:33:24)
12/2 michelle: 銀行通知匯入共USD2965.2</t>
        </r>
      </text>
    </comment>
    <comment ref="AB3818" authorId="0" shapeId="0" xr:uid="{FEDBE757-7DC7-CB4D-A936-F0598B811DC7}">
      <text>
        <r>
          <rPr>
            <sz val="10"/>
            <color rgb="FF000000"/>
            <rFont val="Aptos Narrow"/>
            <scheme val="minor"/>
          </rPr>
          <t>======
ID#AAABjx7qSf0
    (2025-05-21 11:33:26)
發票已整理</t>
        </r>
      </text>
    </comment>
    <comment ref="S3819" authorId="0" shapeId="0" xr:uid="{870BE95D-FCCF-7748-8AD4-6F0974589922}">
      <text>
        <r>
          <rPr>
            <sz val="10"/>
            <color rgb="FF000000"/>
            <rFont val="Aptos Narrow"/>
            <scheme val="minor"/>
          </rPr>
          <t>======
ID#AAABjx7qWWA
    (2025-05-21 11:33:27)
12/2 michelle: 銀行通知匯入共USD2965.2</t>
        </r>
      </text>
    </comment>
    <comment ref="AB3819" authorId="0" shapeId="0" xr:uid="{0EB5D1DA-CA11-9047-96F3-72CEBD15E81F}">
      <text>
        <r>
          <rPr>
            <sz val="10"/>
            <color rgb="FF000000"/>
            <rFont val="Aptos Narrow"/>
            <scheme val="minor"/>
          </rPr>
          <t>======
ID#AAABjx7qNxA
    (2025-05-21 11:33:23)
發票已整理</t>
        </r>
      </text>
    </comment>
    <comment ref="S3820" authorId="0" shapeId="0" xr:uid="{24C13CB8-1DD3-154E-BB67-6829DA8474F3}">
      <text>
        <r>
          <rPr>
            <sz val="10"/>
            <color rgb="FF000000"/>
            <rFont val="Aptos Narrow"/>
            <scheme val="minor"/>
          </rPr>
          <t>======
ID#AAABjx7qPjY
    (2025-05-21 11:33:24)
12/2 michelle: 銀行通知匯入共USD2965.2</t>
        </r>
      </text>
    </comment>
    <comment ref="AB3820" authorId="0" shapeId="0" xr:uid="{C7637CE0-3A28-774B-AC16-20E238180454}">
      <text>
        <r>
          <rPr>
            <sz val="10"/>
            <color rgb="FF000000"/>
            <rFont val="Aptos Narrow"/>
            <scheme val="minor"/>
          </rPr>
          <t>======
ID#AAABjx7qNs4
    (2025-05-21 11:33:23)
發票已整理</t>
        </r>
      </text>
    </comment>
    <comment ref="S3821" authorId="0" shapeId="0" xr:uid="{AE95D2E9-A278-F841-B2C6-9D426F9BE4C3}">
      <text>
        <r>
          <rPr>
            <sz val="10"/>
            <color rgb="FF000000"/>
            <rFont val="Aptos Narrow"/>
            <scheme val="minor"/>
          </rPr>
          <t>======
ID#AAABjx7qVo0
    (2025-05-21 11:33:27)
0110 Santiago: 收到客戶水單
0114 michelle:玉山通知入帳</t>
        </r>
      </text>
    </comment>
    <comment ref="E3822" authorId="0" shapeId="0" xr:uid="{F08A0F1A-E0CB-5547-9A23-70036830A3BD}">
      <text>
        <r>
          <rPr>
            <sz val="10"/>
            <color rgb="FF000000"/>
            <rFont val="Aptos Narrow"/>
            <scheme val="minor"/>
          </rPr>
          <t>======
ID#AAABjx7qRPY
    (2025-05-21 11:33:25)
150616 Karen: w/o adapter</t>
        </r>
      </text>
    </comment>
    <comment ref="S3822" authorId="0" shapeId="0" xr:uid="{CD838AE2-5C38-5D45-99E7-178267D6B27A}">
      <text>
        <r>
          <rPr>
            <sz val="10"/>
            <color rgb="FF000000"/>
            <rFont val="Aptos Narrow"/>
            <scheme val="minor"/>
          </rPr>
          <t>======
ID#AAABjx7qQrA
    (2025-05-21 11:33:25)
6/23 santiago 已收到款</t>
        </r>
      </text>
    </comment>
    <comment ref="Z3822" authorId="0" shapeId="0" xr:uid="{CF887814-7798-AE4D-BA4A-22F5E563A520}">
      <text>
        <r>
          <rPr>
            <sz val="10"/>
            <color rgb="FF000000"/>
            <rFont val="Aptos Narrow"/>
            <scheme val="minor"/>
          </rPr>
          <t>======
ID#AAABjx7qQHk
    (2025-05-21 11:33:25)
chloe 0805 發票開立440195</t>
        </r>
      </text>
    </comment>
    <comment ref="D3823" authorId="0" shapeId="0" xr:uid="{E9F8D35B-B315-0947-912A-4DA4085741E2}">
      <text>
        <r>
          <rPr>
            <sz val="10"/>
            <color rgb="FF000000"/>
            <rFont val="Aptos Narrow"/>
            <scheme val="minor"/>
          </rPr>
          <t>======
ID#AAABjx7qNdE
    (2025-05-21 11:33:23)
150721 Santiago: 客戶銷退. 換成PI-20150721A</t>
        </r>
      </text>
    </comment>
    <comment ref="E3823" authorId="0" shapeId="0" xr:uid="{CCFF119B-00C8-6341-9196-F482089548C2}">
      <text>
        <r>
          <rPr>
            <sz val="10"/>
            <color rgb="FF000000"/>
            <rFont val="Aptos Narrow"/>
            <scheme val="minor"/>
          </rPr>
          <t>======
ID#AAABjx7qMxk
    (2025-05-21 11:33:23)
150721 Santiago: 客戶銷退. 換成PI-20150721A
150616 Karen: 歐規電源</t>
        </r>
      </text>
    </comment>
    <comment ref="H3823" authorId="0" shapeId="0" xr:uid="{520D62E8-F9D9-7C4E-92E0-77E594EF85B2}">
      <text>
        <r>
          <rPr>
            <sz val="10"/>
            <color rgb="FF000000"/>
            <rFont val="Aptos Narrow"/>
            <scheme val="minor"/>
          </rPr>
          <t>======
ID#AAABjx7qSpM
    (2025-05-21 11:33:26)
7/25折讓430337,轉為暫付款</t>
        </r>
      </text>
    </comment>
    <comment ref="Q3823" authorId="0" shapeId="0" xr:uid="{D4DA98CC-080D-B149-ABF9-1289719580DA}">
      <text>
        <r>
          <rPr>
            <sz val="10"/>
            <color rgb="FF000000"/>
            <rFont val="Aptos Narrow"/>
            <scheme val="minor"/>
          </rPr>
          <t>======
ID#AAABjx7qQQ8
    (2025-05-21 11:33:25)
0728 michelle: 已開折讓393697,為戎克暫付MOXA</t>
        </r>
      </text>
    </comment>
    <comment ref="S3823" authorId="0" shapeId="0" xr:uid="{B885FA75-1D1A-A344-BC97-AD81ADC47C71}">
      <text>
        <r>
          <rPr>
            <sz val="10"/>
            <color rgb="FF000000"/>
            <rFont val="Aptos Narrow"/>
            <scheme val="minor"/>
          </rPr>
          <t>======
ID#AAABjx7qR-0
    (2025-05-21 11:33:25)
150721 Santiago: 客戶銷退. 換成PI-20150721A
6/23 santiago 已收到款 30.7</t>
        </r>
      </text>
    </comment>
    <comment ref="Y3823" authorId="0" shapeId="0" xr:uid="{71C903FF-E97F-604B-AB77-E43A74E60443}">
      <text>
        <r>
          <rPr>
            <sz val="10"/>
            <color rgb="FF000000"/>
            <rFont val="Aptos Narrow"/>
            <scheme val="minor"/>
          </rPr>
          <t>======
ID#AAABjx7qQUM
    (2025-05-21 11:33:25)
7/28 michelle: 已開折讓393697</t>
        </r>
      </text>
    </comment>
    <comment ref="AB3823" authorId="0" shapeId="0" xr:uid="{ABC4E126-3AFC-484B-A9E2-3AD01EAFC31B}">
      <text>
        <r>
          <rPr>
            <sz val="10"/>
            <color rgb="FF000000"/>
            <rFont val="Aptos Narrow"/>
            <scheme val="minor"/>
          </rPr>
          <t>======
ID#AAABjx7qV0Y
    (2025-05-21 11:33:27)
7/28:已開折讓430337</t>
        </r>
      </text>
    </comment>
    <comment ref="D3824" authorId="0" shapeId="0" xr:uid="{2FE1EDAF-270C-F140-B946-1388EB4385CD}">
      <text>
        <r>
          <rPr>
            <sz val="10"/>
            <color rgb="FF000000"/>
            <rFont val="Aptos Narrow"/>
            <scheme val="minor"/>
          </rPr>
          <t>======
ID#AAABjx7qWbU
    (2025-05-21 11:33:27)
0713 Santiago 客戶要求取消訂單
0629 Santiago:
追加訂單, 併PI-20150617A出貨</t>
        </r>
      </text>
    </comment>
    <comment ref="E3824" authorId="0" shapeId="0" xr:uid="{AD136C18-C8F6-DA41-8477-6643E118EFCC}">
      <text>
        <r>
          <rPr>
            <sz val="10"/>
            <color rgb="FF000000"/>
            <rFont val="Aptos Narrow"/>
            <scheme val="minor"/>
          </rPr>
          <t>======
ID#AAABjx7qShw
    (2025-05-21 11:33:26)
0713 Santiago 客戶要求取消訂單
150629 Karen: w/o adapter (同前票訂單)</t>
        </r>
      </text>
    </comment>
    <comment ref="D3825" authorId="0" shapeId="0" xr:uid="{BFF9A8F9-0972-5245-9403-68A70301B7A0}">
      <text>
        <r>
          <rPr>
            <sz val="10"/>
            <color rgb="FF000000"/>
            <rFont val="Aptos Narrow"/>
            <scheme val="minor"/>
          </rPr>
          <t>======
ID#AAABjx7qO2U
    (2025-05-21 11:33:24)
0713 Santiago 客戶要求取消訂單
0629 Santiago:
追加訂單, 併PI-20150617A出貨</t>
        </r>
      </text>
    </comment>
    <comment ref="E3825" authorId="0" shapeId="0" xr:uid="{3F3687B7-516C-F84D-9CD8-32FB1BA3FE05}">
      <text>
        <r>
          <rPr>
            <sz val="10"/>
            <color rgb="FF000000"/>
            <rFont val="Aptos Narrow"/>
            <scheme val="minor"/>
          </rPr>
          <t>======
ID#AAABjx7qTSY
    (2025-05-21 11:33:26)
0713 Santiago 客戶要求取消訂單</t>
        </r>
      </text>
    </comment>
    <comment ref="H3826" authorId="0" shapeId="0" xr:uid="{CA77A290-690C-6D45-9D60-CB825DA683F6}">
      <text>
        <r>
          <rPr>
            <sz val="10"/>
            <color rgb="FF000000"/>
            <rFont val="Aptos Narrow"/>
            <scheme val="minor"/>
          </rPr>
          <t>======
ID#AAABjx7qVrM
    (2025-05-21 11:33:27)
0727 Santiago: 已入帳</t>
        </r>
      </text>
    </comment>
    <comment ref="S3826" authorId="0" shapeId="0" xr:uid="{582705DE-E8B3-1949-973C-521CF333D0E9}">
      <text>
        <r>
          <rPr>
            <sz val="10"/>
            <color rgb="FF000000"/>
            <rFont val="Aptos Narrow"/>
            <scheme val="minor"/>
          </rPr>
          <t>======
ID#AAABjx7qRO0
    (2025-05-21 11:33:25)
0727 Santiago: 已入帳</t>
        </r>
      </text>
    </comment>
    <comment ref="E3827" authorId="0" shapeId="0" xr:uid="{0CFACA06-8313-C449-A35E-74771E028520}">
      <text>
        <r>
          <rPr>
            <sz val="10"/>
            <color rgb="FF000000"/>
            <rFont val="Aptos Narrow"/>
            <scheme val="minor"/>
          </rPr>
          <t>======
ID#AAABjx7qVXk
    (2025-05-21 11:33:27)
150716 Karen: w/o adapter (同前票訂單)</t>
        </r>
      </text>
    </comment>
    <comment ref="H3827" authorId="0" shapeId="0" xr:uid="{825DC39C-2FD5-9941-99D1-118FB95D72A0}">
      <text>
        <r>
          <rPr>
            <sz val="10"/>
            <color rgb="FF000000"/>
            <rFont val="Aptos Narrow"/>
            <scheme val="minor"/>
          </rPr>
          <t>======
ID#AAABjx7qPkI
    (2025-05-21 11:33:24)
0727 Santiago: 已入帳</t>
        </r>
      </text>
    </comment>
    <comment ref="S3827" authorId="0" shapeId="0" xr:uid="{852BDD09-E605-9940-A6BA-00CD283A2862}">
      <text>
        <r>
          <rPr>
            <sz val="10"/>
            <color rgb="FF000000"/>
            <rFont val="Aptos Narrow"/>
            <scheme val="minor"/>
          </rPr>
          <t>======
ID#AAABjx7qQW4
    (2025-05-21 11:33:25)
0727 Santiago: 已入帳</t>
        </r>
      </text>
    </comment>
    <comment ref="H3828" authorId="0" shapeId="0" xr:uid="{3100E4DA-2F20-494F-A746-46757B301DC2}">
      <text>
        <r>
          <rPr>
            <sz val="10"/>
            <color rgb="FF000000"/>
            <rFont val="Aptos Narrow"/>
            <scheme val="minor"/>
          </rPr>
          <t>======
ID#AAABjx7qV6I
    (2025-05-21 11:33:27)
1. 科技國給戎克的貨款還多付NTD$1,449 (430,337-428,888)</t>
        </r>
      </text>
    </comment>
    <comment ref="Q3828" authorId="0" shapeId="0" xr:uid="{23A7C63F-3C48-D147-A3D0-84702480A1DA}">
      <text>
        <r>
          <rPr>
            <sz val="10"/>
            <color rgb="FF000000"/>
            <rFont val="Aptos Narrow"/>
            <scheme val="minor"/>
          </rPr>
          <t>======
ID#AAABj82dpJY
0728 Santiago    (2025-05-21 11:33:23)
今日先墊付, 待MOXA安排讓 PI-20150612A-1 折讓成其他放帳額度</t>
        </r>
      </text>
    </comment>
    <comment ref="D3829" authorId="0" shapeId="0" xr:uid="{1A0179E1-F9EC-D143-80CB-F1C32AB77143}">
      <text>
        <r>
          <rPr>
            <sz val="10"/>
            <color rgb="FF000000"/>
            <rFont val="Aptos Narrow"/>
            <scheme val="minor"/>
          </rPr>
          <t>======
ID#AAABjx7qTUc
    (2025-05-21 11:33:26)
PI-20150612A-1 銷退貨費用</t>
        </r>
      </text>
    </comment>
    <comment ref="H3829" authorId="0" shapeId="0" xr:uid="{D717E055-F0FF-C844-B685-19810A63B5F6}">
      <text>
        <r>
          <rPr>
            <sz val="10"/>
            <color rgb="FF000000"/>
            <rFont val="Aptos Narrow"/>
            <scheme val="minor"/>
          </rPr>
          <t>======
ID#AAABjx7qOI8
    (2025-05-21 11:33:24)
0727 Santiago: 已入帳
會計說不用開發票給科技國</t>
        </r>
      </text>
    </comment>
    <comment ref="S3829" authorId="0" shapeId="0" xr:uid="{9891369B-4392-FA40-8BC9-63B505C91CC6}">
      <text>
        <r>
          <rPr>
            <sz val="10"/>
            <color rgb="FF000000"/>
            <rFont val="Aptos Narrow"/>
            <scheme val="minor"/>
          </rPr>
          <t>======
ID#AAABjx7qPqY
    (2025-05-21 11:33:24)
0727 Santiago: 已入帳</t>
        </r>
      </text>
    </comment>
    <comment ref="Q3830" authorId="0" shapeId="0" xr:uid="{05950EF0-B6EA-5C41-9D06-2EF1AB79A0F5}">
      <text>
        <r>
          <rPr>
            <sz val="10"/>
            <color rgb="FF000000"/>
            <rFont val="Aptos Narrow"/>
            <scheme val="minor"/>
          </rPr>
          <t>======
ID#AAABjx7qOcM
    (2025-05-21 11:33:24)
150916 扣抵金額(含稅)US$698.25,應支付貨款為(含稅)US$13524元</t>
        </r>
      </text>
    </comment>
    <comment ref="S3830" authorId="0" shapeId="0" xr:uid="{067FE4F8-F13E-074D-A008-F49AE527D600}">
      <text>
        <r>
          <rPr>
            <sz val="10"/>
            <color rgb="FF000000"/>
            <rFont val="Aptos Narrow"/>
            <scheme val="minor"/>
          </rPr>
          <t>======
ID#AAABjx7qVxk
    (2025-05-21 11:33:27)
0914 Santiago : 已收到匯款</t>
        </r>
      </text>
    </comment>
    <comment ref="Z3830" authorId="0" shapeId="0" xr:uid="{9EA7B61A-3017-164F-963F-7B3B85D95B74}">
      <text>
        <r>
          <rPr>
            <sz val="10"/>
            <color rgb="FF000000"/>
            <rFont val="Aptos Narrow"/>
            <scheme val="minor"/>
          </rPr>
          <t>======
ID#AAABjx7qOoE
    (2025-05-21 11:33:24)
USD13524</t>
        </r>
      </text>
    </comment>
    <comment ref="E3831" authorId="0" shapeId="0" xr:uid="{B7D333B3-6A97-9241-8E6D-C6DD08707064}">
      <text>
        <r>
          <rPr>
            <sz val="10"/>
            <color rgb="FF000000"/>
            <rFont val="Aptos Narrow"/>
            <scheme val="minor"/>
          </rPr>
          <t>======
ID#AAABjx7qOVI
    (2025-05-21 11:33:24)
150818 Karen: w/o adapter (同前票訂單)</t>
        </r>
      </text>
    </comment>
    <comment ref="Q3831" authorId="0" shapeId="0" xr:uid="{3D7D29B0-7C4E-6F4A-8DDD-1A6A7391DABB}">
      <text>
        <r>
          <rPr>
            <sz val="10"/>
            <color rgb="FF000000"/>
            <rFont val="Aptos Narrow"/>
            <scheme val="minor"/>
          </rPr>
          <t>======
ID#AAABjx7qPZM
    (2025-05-21 11:33:24)
150916 扣抵金額(含稅)US$220.5,應支付貨款為(含稅)US$4299.75元</t>
        </r>
      </text>
    </comment>
    <comment ref="S3831" authorId="0" shapeId="0" xr:uid="{7A649303-B232-214D-8F7C-DA5E2E143D37}">
      <text>
        <r>
          <rPr>
            <sz val="10"/>
            <color rgb="FF000000"/>
            <rFont val="Aptos Narrow"/>
            <scheme val="minor"/>
          </rPr>
          <t>======
ID#AAABjx7qUzA
    (2025-05-21 11:33:26)
0914 Santiago : 已收到匯款</t>
        </r>
      </text>
    </comment>
    <comment ref="Z3831" authorId="0" shapeId="0" xr:uid="{1C068C7D-8312-1B4D-ABCD-C5C8C02424D3}">
      <text>
        <r>
          <rPr>
            <sz val="10"/>
            <color rgb="FF000000"/>
            <rFont val="Aptos Narrow"/>
            <scheme val="minor"/>
          </rPr>
          <t>======
ID#AAABjx7qVjk
    (2025-05-21 11:33:27)
USD4299.75</t>
        </r>
      </text>
    </comment>
    <comment ref="Q3832" authorId="0" shapeId="0" xr:uid="{B705C670-6349-6546-B5D6-E95F787D5533}">
      <text>
        <r>
          <rPr>
            <sz val="10"/>
            <color rgb="FF000000"/>
            <rFont val="Aptos Narrow"/>
            <scheme val="minor"/>
          </rPr>
          <t>======
ID#AAABjx7qQyI
    (2025-05-21 11:33:25)
151105 扣抵金額(含稅)US$798元,應支付貨款(含稅)為US$15456元</t>
        </r>
      </text>
    </comment>
    <comment ref="S3832" authorId="0" shapeId="0" xr:uid="{D2528BF5-EEFF-8843-9256-2D77776FE80A}">
      <text>
        <r>
          <rPr>
            <sz val="10"/>
            <color rgb="FF000000"/>
            <rFont val="Aptos Narrow"/>
            <scheme val="minor"/>
          </rPr>
          <t>======
ID#AAABjx7qV9A
    (2025-05-21 11:33:27)
1120 Santiago: 已匯入</t>
        </r>
      </text>
    </comment>
    <comment ref="E3833" authorId="0" shapeId="0" xr:uid="{6D54F724-D2F8-F642-B4D2-E0FF28FEEC83}">
      <text>
        <r>
          <rPr>
            <sz val="10"/>
            <color rgb="FF000000"/>
            <rFont val="Aptos Narrow"/>
            <scheme val="minor"/>
          </rPr>
          <t>======
ID#AAABjx7qPS8
    (2025-05-21 11:33:24)
151105 Karen: w/o adapter (同前票訂單)</t>
        </r>
      </text>
    </comment>
    <comment ref="Q3833" authorId="0" shapeId="0" xr:uid="{882F4879-DFFE-684E-92D3-94B19E185319}">
      <text>
        <r>
          <rPr>
            <sz val="10"/>
            <color rgb="FF000000"/>
            <rFont val="Aptos Narrow"/>
            <scheme val="minor"/>
          </rPr>
          <t>======
ID#AAABjx7qWOo
    (2025-05-21 11:33:27)
151105 扣抵金額(含稅)US$147元,應支付貨款(含稅)為US$2866.5元</t>
        </r>
      </text>
    </comment>
    <comment ref="S3833" authorId="0" shapeId="0" xr:uid="{4DF8D36F-11A0-E840-9CD0-E2F1D3038A1B}">
      <text>
        <r>
          <rPr>
            <sz val="10"/>
            <color rgb="FF000000"/>
            <rFont val="Aptos Narrow"/>
            <scheme val="minor"/>
          </rPr>
          <t>======
ID#AAABjx7qOm8
    (2025-05-21 11:33:24)
1120 Santiago: 已匯入</t>
        </r>
      </text>
    </comment>
    <comment ref="F3834" authorId="0" shapeId="0" xr:uid="{08542A0E-63C2-5546-BA96-7BB742C615B1}">
      <text>
        <r>
          <rPr>
            <sz val="10"/>
            <color rgb="FF000000"/>
            <rFont val="Aptos Narrow"/>
            <scheme val="minor"/>
          </rPr>
          <t>======
ID#AAABjx7qRmc
    (2025-05-21 11:33:25)
151106 Karen: 一組2片,下單4組</t>
        </r>
      </text>
    </comment>
    <comment ref="F3835" authorId="0" shapeId="0" xr:uid="{CE9CDA3C-1622-4B41-BBEC-ABB3DDC694E7}">
      <text>
        <r>
          <rPr>
            <sz val="10"/>
            <color rgb="FF000000"/>
            <rFont val="Aptos Narrow"/>
            <scheme val="minor"/>
          </rPr>
          <t>======
ID#AAABjx7qRjs
    (2025-05-21 11:33:25)
151106 Karen: 一組2片,下單4組</t>
        </r>
      </text>
    </comment>
    <comment ref="H3836" authorId="0" shapeId="0" xr:uid="{66324193-AEE4-6146-A61C-BC8C62C3988F}">
      <text>
        <r>
          <rPr>
            <sz val="10"/>
            <color rgb="FF000000"/>
            <rFont val="Aptos Narrow"/>
            <scheme val="minor"/>
          </rPr>
          <t>======
ID#AAABjx7qVFM
    (2025-05-21 11:33:27)
Santiago 1222 : 收到匯款</t>
        </r>
      </text>
    </comment>
    <comment ref="Q3836" authorId="0" shapeId="0" xr:uid="{E429E719-08F3-3D42-A022-B61A83E5B625}">
      <text>
        <r>
          <rPr>
            <sz val="10"/>
            <color rgb="FF000000"/>
            <rFont val="Aptos Narrow"/>
            <scheme val="minor"/>
          </rPr>
          <t>======
ID#AAABjx7qReg
    (2025-05-21 11:33:25)
151130 扣抵金額(含稅)US$698.25元,應支付貨款(含稅)為US$13524元</t>
        </r>
      </text>
    </comment>
    <comment ref="S3836" authorId="0" shapeId="0" xr:uid="{7580EEF2-05BB-0A4B-813A-27624A9C20A8}">
      <text>
        <r>
          <rPr>
            <sz val="10"/>
            <color rgb="FF000000"/>
            <rFont val="Aptos Narrow"/>
            <scheme val="minor"/>
          </rPr>
          <t>======
ID#AAABjx7qNsI
    (2025-05-21 11:33:23)
Santiago 1222 : 收到匯款</t>
        </r>
      </text>
    </comment>
    <comment ref="H3837" authorId="0" shapeId="0" xr:uid="{55F73DA4-2825-734D-B4E1-92B80E279BB8}">
      <text>
        <r>
          <rPr>
            <sz val="10"/>
            <color rgb="FF000000"/>
            <rFont val="Aptos Narrow"/>
            <scheme val="minor"/>
          </rPr>
          <t>======
ID#AAABjx7qNfs
    (2025-05-21 11:33:23)
Santiago 1222 : 收到匯款</t>
        </r>
      </text>
    </comment>
    <comment ref="Q3837" authorId="0" shapeId="0" xr:uid="{FB9347CF-6F29-7E47-9042-EB487ABEB659}">
      <text>
        <r>
          <rPr>
            <sz val="10"/>
            <color rgb="FF000000"/>
            <rFont val="Aptos Narrow"/>
            <scheme val="minor"/>
          </rPr>
          <t>======
ID#AAABjx7qOgw
    (2025-05-21 11:33:24)
151207 扣抵金額(含稅)US$319.2元,應支付貨款(含稅)為US$6182.4元</t>
        </r>
      </text>
    </comment>
    <comment ref="S3837" authorId="0" shapeId="0" xr:uid="{2B5A8914-F6A7-0441-88DC-62EA9973E27A}">
      <text>
        <r>
          <rPr>
            <sz val="10"/>
            <color rgb="FF000000"/>
            <rFont val="Aptos Narrow"/>
            <scheme val="minor"/>
          </rPr>
          <t>======
ID#AAABjx7qPUE
    (2025-05-21 11:33:24)
Santiago 1222 : 收到匯款</t>
        </r>
      </text>
    </comment>
    <comment ref="J3838" authorId="0" shapeId="0" xr:uid="{A5659863-A679-314A-A9B7-987E1D4DC99B}">
      <text>
        <r>
          <rPr>
            <sz val="10"/>
            <color rgb="FF000000"/>
            <rFont val="Aptos Narrow"/>
            <scheme val="minor"/>
          </rPr>
          <t>======
ID#AAABjx7qTqg
    (2025-05-21 11:33:26)
11/9 Michelle: 已簽約</t>
        </r>
      </text>
    </comment>
    <comment ref="S3838" authorId="0" shapeId="0" xr:uid="{8721A0F9-1E71-B849-A545-52E76C7627BC}">
      <text>
        <r>
          <rPr>
            <sz val="10"/>
            <color rgb="FF000000"/>
            <rFont val="Aptos Narrow"/>
            <scheme val="minor"/>
          </rPr>
          <t>======
ID#AAABjx7qNmU
    (2025-05-21 11:33:23)
1224 Santiago: 收到客戶水單, 但戶名有問題, 錢還沒進帳戶
0106 Santiago: 已匯入</t>
        </r>
      </text>
    </comment>
    <comment ref="J3839" authorId="0" shapeId="0" xr:uid="{547A4352-9B34-2649-9A10-034F8A3653F1}">
      <text>
        <r>
          <rPr>
            <sz val="10"/>
            <color rgb="FF000000"/>
            <rFont val="Aptos Narrow"/>
            <scheme val="minor"/>
          </rPr>
          <t>======
ID#AAABjx7qOB8
    (2025-05-21 11:33:24)
11/9 Michelle: 已簽約</t>
        </r>
      </text>
    </comment>
    <comment ref="S3839" authorId="0" shapeId="0" xr:uid="{7AA3579B-B401-B24B-82A1-3B385205BA5F}">
      <text>
        <r>
          <rPr>
            <sz val="10"/>
            <color rgb="FF000000"/>
            <rFont val="Aptos Narrow"/>
            <scheme val="minor"/>
          </rPr>
          <t>======
ID#AAABjx7qM40
    (2025-05-21 11:33:23)
1224 Santiago: 收到客戶水單, 但戶名有問題, 錢還沒進帳戶
0106 Santiago: 已匯入</t>
        </r>
      </text>
    </comment>
    <comment ref="U3839" authorId="0" shapeId="0" xr:uid="{9A6ADAF7-DC51-0648-BCE2-020786085319}">
      <text>
        <r>
          <rPr>
            <sz val="10"/>
            <color rgb="FF000000"/>
            <rFont val="Aptos Narrow"/>
            <scheme val="minor"/>
          </rPr>
          <t>======
ID#AAABjx7qSgE
    (2025-05-21 11:33:26)
32.645</t>
        </r>
      </text>
    </comment>
    <comment ref="J3840" authorId="0" shapeId="0" xr:uid="{D09B4729-985B-184E-BA48-D7A2CA3E9FD8}">
      <text>
        <r>
          <rPr>
            <sz val="10"/>
            <color rgb="FF000000"/>
            <rFont val="Aptos Narrow"/>
            <scheme val="minor"/>
          </rPr>
          <t>======
ID#AAABjx7qV4o
    (2025-05-21 11:33:27)
11/9 Michelle: 已簽約</t>
        </r>
      </text>
    </comment>
    <comment ref="S3840" authorId="0" shapeId="0" xr:uid="{5B02C4C4-EFA7-BE48-AE99-F7B79196F4CB}">
      <text>
        <r>
          <rPr>
            <sz val="10"/>
            <color rgb="FF000000"/>
            <rFont val="Aptos Narrow"/>
            <scheme val="minor"/>
          </rPr>
          <t>======
ID#AAABjx7qSls
    (2025-05-21 11:33:26)
1224 Santiago: 收到客戶水單, 但戶名有問題, 錢還沒進帳戶
0106 Santiago: 已匯入</t>
        </r>
      </text>
    </comment>
    <comment ref="S3841" authorId="0" shapeId="0" xr:uid="{8A24786F-BD9B-0447-8955-ED4282FBE395}">
      <text>
        <r>
          <rPr>
            <sz val="10"/>
            <color rgb="FF000000"/>
            <rFont val="Aptos Narrow"/>
            <scheme val="minor"/>
          </rPr>
          <t>======
ID#AAABjx7qRHA
    (2025-05-21 11:33:25)
1224 Santiago: 收到客戶水單
但戶名有問題, 錢還沒進帳戶
0106 Santiago: 已匯入</t>
        </r>
      </text>
    </comment>
    <comment ref="S3842" authorId="0" shapeId="0" xr:uid="{3FD6E582-EE68-E74E-BEE6-5FE289B7C536}">
      <text>
        <r>
          <rPr>
            <sz val="10"/>
            <color rgb="FF000000"/>
            <rFont val="Aptos Narrow"/>
            <scheme val="minor"/>
          </rPr>
          <t>======
ID#AAABjx7qODs
    (2025-05-21 11:33:24)
1224 Santiago: 收到客戶水單
但戶名有問題, 錢還沒進帳戶
0106 Santiago: 已匯入</t>
        </r>
      </text>
    </comment>
    <comment ref="S3843" authorId="0" shapeId="0" xr:uid="{BE4A9CE0-3371-6043-836F-74FEBF0ABFC3}">
      <text>
        <r>
          <rPr>
            <sz val="10"/>
            <color rgb="FF000000"/>
            <rFont val="Aptos Narrow"/>
            <scheme val="minor"/>
          </rPr>
          <t>======
ID#AAABjx7qO5k
    (2025-05-21 11:33:24)
1224 Santiago: 收到客戶水單
但戶名有問題, 錢還沒進帳戶
0106 Santiago: 已匯入</t>
        </r>
      </text>
    </comment>
    <comment ref="S3844" authorId="0" shapeId="0" xr:uid="{7324DCDB-AF7B-FC4A-ABF7-812F3E21E27D}">
      <text>
        <r>
          <rPr>
            <sz val="10"/>
            <color rgb="FF000000"/>
            <rFont val="Aptos Narrow"/>
            <scheme val="minor"/>
          </rPr>
          <t>======
ID#AAABjx7qSvw
    (2025-05-21 11:33:26)
1224 Santiago: 收到客戶水單
但戶名有問題, 錢還沒進帳戶
0106 Santiago: 已匯入</t>
        </r>
      </text>
    </comment>
    <comment ref="S3845" authorId="0" shapeId="0" xr:uid="{9E408A49-DEC6-FB40-8780-CD9A680BE9FB}">
      <text>
        <r>
          <rPr>
            <sz val="10"/>
            <color rgb="FF000000"/>
            <rFont val="Aptos Narrow"/>
            <scheme val="minor"/>
          </rPr>
          <t>======
ID#AAABjx7qWC0
    (2025-05-21 11:33:27)
1224 Santiago: 收到客戶水單
但戶名有問題, 錢還沒進帳戶
0106 Santiago: 已匯入</t>
        </r>
      </text>
    </comment>
    <comment ref="E3846" authorId="0" shapeId="0" xr:uid="{761AB81E-8093-1C47-BDFB-FC0DB0647B18}">
      <text>
        <r>
          <rPr>
            <sz val="10"/>
            <color rgb="FF000000"/>
            <rFont val="Aptos Narrow"/>
            <scheme val="minor"/>
          </rPr>
          <t>======
ID#AAABjx7qRKo
    (2025-05-21 11:33:25)
11/12 michelle: 58-80024-0000</t>
        </r>
      </text>
    </comment>
    <comment ref="S3846" authorId="0" shapeId="0" xr:uid="{72447F62-854E-8B4B-9D29-C5D87F78FC6E}">
      <text>
        <r>
          <rPr>
            <sz val="10"/>
            <color rgb="FF000000"/>
            <rFont val="Aptos Narrow"/>
            <scheme val="minor"/>
          </rPr>
          <t>======
ID#AAABjx7qP6I
    (2025-05-21 11:33:24)
1224 Santiago: 收到客戶水單
但戶名有問題, 錢還沒進帳戶
0106 Santiago: 已匯入</t>
        </r>
      </text>
    </comment>
    <comment ref="S3847" authorId="0" shapeId="0" xr:uid="{2B40860C-B16A-7B47-A19E-946F7F24794B}">
      <text>
        <r>
          <rPr>
            <sz val="10"/>
            <color rgb="FF000000"/>
            <rFont val="Aptos Narrow"/>
            <scheme val="minor"/>
          </rPr>
          <t>======
ID#AAABjx7qTCw
    (2025-05-21 11:33:26)
1224 Santiago: 收到客戶水單
但戶名有問題, 錢還沒進帳戶
0106 Santiago: 已匯入0</t>
        </r>
      </text>
    </comment>
    <comment ref="S3848" authorId="0" shapeId="0" xr:uid="{531CE519-32DC-384D-9354-7BCAAD15E0C6}">
      <text>
        <r>
          <rPr>
            <sz val="10"/>
            <color rgb="FF000000"/>
            <rFont val="Aptos Narrow"/>
            <scheme val="minor"/>
          </rPr>
          <t>======
ID#AAABjx7qSWA
    (2025-05-21 11:33:26)
1224 Santiago: 收到客戶水單
但戶名有問題, 錢還沒進帳戶
0106 Santiago: 已匯入</t>
        </r>
      </text>
    </comment>
    <comment ref="S3849" authorId="0" shapeId="0" xr:uid="{EAD7E601-C627-BC49-9535-85EA80CB2821}">
      <text>
        <r>
          <rPr>
            <sz val="10"/>
            <color rgb="FF000000"/>
            <rFont val="Aptos Narrow"/>
            <scheme val="minor"/>
          </rPr>
          <t>======
ID#AAABjx7qPlE
    (2025-05-21 11:33:24)
20150105 Santiago 收到客戶水單</t>
        </r>
      </text>
    </comment>
    <comment ref="S3850" authorId="0" shapeId="0" xr:uid="{CF2C6FE6-2A9F-244C-A01C-04B6D6AC3CC2}">
      <text>
        <r>
          <rPr>
            <sz val="10"/>
            <color rgb="FF000000"/>
            <rFont val="Aptos Narrow"/>
            <scheme val="minor"/>
          </rPr>
          <t>======
ID#AAABjx7qTgg
    (2025-05-21 11:33:26)
20150105 Santiago 收到客戶水單</t>
        </r>
      </text>
    </comment>
    <comment ref="S3851" authorId="0" shapeId="0" xr:uid="{4DEB617D-3AD6-2040-A315-807830AAFD66}">
      <text>
        <r>
          <rPr>
            <sz val="10"/>
            <color rgb="FF000000"/>
            <rFont val="Aptos Narrow"/>
            <scheme val="minor"/>
          </rPr>
          <t>======
ID#AAABjx7qQqk
    (2025-05-21 11:33:25)
20150105 Santiago 收到客戶水單</t>
        </r>
      </text>
    </comment>
    <comment ref="S3852" authorId="0" shapeId="0" xr:uid="{C6E0C499-FF3E-3B44-BEB9-80B418ACE5A8}">
      <text>
        <r>
          <rPr>
            <sz val="10"/>
            <color rgb="FF000000"/>
            <rFont val="Aptos Narrow"/>
            <scheme val="minor"/>
          </rPr>
          <t>======
ID#AAABjx7qOcw
    (2025-05-21 11:33:24)
20150105 收到客戶水單</t>
        </r>
      </text>
    </comment>
    <comment ref="S3853" authorId="0" shapeId="0" xr:uid="{750A70D3-512D-A642-B3AC-9DBA5C973DA3}">
      <text>
        <r>
          <rPr>
            <sz val="10"/>
            <color rgb="FF000000"/>
            <rFont val="Aptos Narrow"/>
            <scheme val="minor"/>
          </rPr>
          <t>======
ID#AAABjx7qPiQ
    (2025-05-21 11:33:24)
20150105 收到客戶水單</t>
        </r>
      </text>
    </comment>
    <comment ref="E3854" authorId="0" shapeId="0" xr:uid="{C2D05616-CF26-7B43-B9C6-DE379DC8F92F}">
      <text>
        <r>
          <rPr>
            <sz val="10"/>
            <color rgb="FF000000"/>
            <rFont val="Aptos Narrow"/>
            <scheme val="minor"/>
          </rPr>
          <t>======
ID#AAABjx7qONo
    (2025-05-21 11:33:24)
11/12 michelle: 58-80024-0000</t>
        </r>
      </text>
    </comment>
    <comment ref="S3854" authorId="0" shapeId="0" xr:uid="{1B4F87C2-B6F9-E74A-A04D-88DB4A1A86F8}">
      <text>
        <r>
          <rPr>
            <sz val="10"/>
            <color rgb="FF000000"/>
            <rFont val="Aptos Narrow"/>
            <scheme val="minor"/>
          </rPr>
          <t>======
ID#AAABjx7qOzY
    (2025-05-21 11:33:24)
20150105 收到客戶水單</t>
        </r>
      </text>
    </comment>
    <comment ref="S3855" authorId="0" shapeId="0" xr:uid="{C81CA091-EDE4-CE42-8DDB-5AC35C8470D9}">
      <text>
        <r>
          <rPr>
            <sz val="10"/>
            <color rgb="FF000000"/>
            <rFont val="Aptos Narrow"/>
            <scheme val="minor"/>
          </rPr>
          <t>======
ID#AAABjx7qTL4
    (2025-05-21 11:33:26)
20150105 收到客戶水單</t>
        </r>
      </text>
    </comment>
    <comment ref="S3856" authorId="0" shapeId="0" xr:uid="{3C7ED955-1E9B-E044-8EC1-86913C02E2A2}">
      <text>
        <r>
          <rPr>
            <sz val="10"/>
            <color rgb="FF000000"/>
            <rFont val="Aptos Narrow"/>
            <scheme val="minor"/>
          </rPr>
          <t>======
ID#AAABjx7qP04
    (2025-05-21 11:33:24)
20150105 Santiago 收到客戶水單</t>
        </r>
      </text>
    </comment>
    <comment ref="S3857" authorId="0" shapeId="0" xr:uid="{96B4A766-76DA-0947-88EA-B0B55D87600A}">
      <text>
        <r>
          <rPr>
            <sz val="10"/>
            <color rgb="FF000000"/>
            <rFont val="Aptos Narrow"/>
            <scheme val="minor"/>
          </rPr>
          <t>======
ID#AAABjx7qSVU
    (2025-05-21 11:33:26)
1224 Santiago: 收到客戶水單, 但戶名有問題, 錢還沒進帳戶
0106 Santiago: 已匯入</t>
        </r>
      </text>
    </comment>
    <comment ref="S3858" authorId="0" shapeId="0" xr:uid="{E8D04852-6AB0-194C-B70D-25B973EB90C1}">
      <text>
        <r>
          <rPr>
            <sz val="10"/>
            <color rgb="FF000000"/>
            <rFont val="Aptos Narrow"/>
            <scheme val="minor"/>
          </rPr>
          <t>======
ID#AAABjx7qS1A
    (2025-05-21 11:33:26)
1224 Santiago: 收到客戶水單, 但戶名有問題, 錢還沒進帳戶
0106 Santiago: 已匯入</t>
        </r>
      </text>
    </comment>
    <comment ref="S3859" authorId="0" shapeId="0" xr:uid="{1A578DA8-D782-FD47-B243-12842FD8EACF}">
      <text>
        <r>
          <rPr>
            <sz val="10"/>
            <color rgb="FF000000"/>
            <rFont val="Aptos Narrow"/>
            <scheme val="minor"/>
          </rPr>
          <t>======
ID#AAABjx7qQE4
    (2025-05-21 11:33:25)
1224 Santiago: 收到客戶水單, 但戶名有問題, 錢還沒進帳戶
0106 Santiago: 已匯入</t>
        </r>
      </text>
    </comment>
    <comment ref="S3860" authorId="0" shapeId="0" xr:uid="{25FC37CF-924C-7A41-9576-CB519015C092}">
      <text>
        <r>
          <rPr>
            <sz val="10"/>
            <color rgb="FF000000"/>
            <rFont val="Aptos Narrow"/>
            <scheme val="minor"/>
          </rPr>
          <t>======
ID#AAABjx7qTcw
    (2025-05-21 11:33:26)
1224 Santiago: 收到客戶水單, 但戶名有問題, 錢還沒進帳戶
0106 Santiago: 已匯入</t>
        </r>
      </text>
    </comment>
    <comment ref="S3861" authorId="0" shapeId="0" xr:uid="{FB0BBDAB-579E-BF45-B647-7D9A110C0EDF}">
      <text>
        <r>
          <rPr>
            <sz val="10"/>
            <color rgb="FF000000"/>
            <rFont val="Aptos Narrow"/>
            <scheme val="minor"/>
          </rPr>
          <t>======
ID#AAABjx7qTjU
    (2025-05-21 11:33:26)
1224 Santiago: 收到客戶水單, 但戶名有問題, 錢還沒進帳戶
0106 Santiago: 已匯入</t>
        </r>
      </text>
    </comment>
    <comment ref="S3862" authorId="0" shapeId="0" xr:uid="{F6A80567-8C4B-A64D-B83E-742975BADF52}">
      <text>
        <r>
          <rPr>
            <sz val="10"/>
            <color rgb="FF000000"/>
            <rFont val="Aptos Narrow"/>
            <scheme val="minor"/>
          </rPr>
          <t>======
ID#AAABjx7qOgM
    (2025-05-21 11:33:24)
1224 Santiago: 收到客戶水單, 但戶名有問題, 錢還沒進帳戶
0106 Santiago: 已匯入</t>
        </r>
      </text>
    </comment>
    <comment ref="S3863" authorId="0" shapeId="0" xr:uid="{2B912707-A7DE-1640-B225-1D398EF2587E}">
      <text>
        <r>
          <rPr>
            <sz val="10"/>
            <color rgb="FF000000"/>
            <rFont val="Aptos Narrow"/>
            <scheme val="minor"/>
          </rPr>
          <t>======
ID#AAABjx7qSRQ
    (2025-05-21 11:33:26)
1224 Santiago: 收到客戶水單, 但戶名有問題, 錢還沒進帳戶
0106 Santiago: 已匯入</t>
        </r>
      </text>
    </comment>
    <comment ref="S3864" authorId="0" shapeId="0" xr:uid="{53073283-A1C0-F448-878B-8B4DDA627707}">
      <text>
        <r>
          <rPr>
            <sz val="10"/>
            <color rgb="FF000000"/>
            <rFont val="Aptos Narrow"/>
            <scheme val="minor"/>
          </rPr>
          <t>======
ID#AAABjx7qVTU
    (2025-05-21 11:33:27)
1224 Santiago: 收到客戶水單, 但戶名有問題, 錢還沒進帳戶
0106 Santiago: 已匯入</t>
        </r>
      </text>
    </comment>
    <comment ref="S3865" authorId="0" shapeId="0" xr:uid="{A9E5DAA3-C88B-2849-908D-C1572C5E7A29}">
      <text>
        <r>
          <rPr>
            <sz val="10"/>
            <color rgb="FF000000"/>
            <rFont val="Aptos Narrow"/>
            <scheme val="minor"/>
          </rPr>
          <t>======
ID#AAABjx7qMuU
    (2025-05-21 11:33:23)
1224 Santiago: 收到客戶水單, 但戶名有問題, 錢還沒進帳戶
0106 Santiago: 已匯入</t>
        </r>
      </text>
    </comment>
    <comment ref="B3866" authorId="0" shapeId="0" xr:uid="{07DC20CF-A9BF-894F-B896-C9BA58991684}">
      <text>
        <r>
          <rPr>
            <sz val="10"/>
            <color rgb="FF000000"/>
            <rFont val="Aptos Narrow"/>
            <scheme val="minor"/>
          </rPr>
          <t>======
ID#AAABjx7qNAQ
    (2025-05-21 11:33:23)
1025 chloe 代老闆指示後才能核算獎金</t>
        </r>
      </text>
    </comment>
    <comment ref="K3866" authorId="0" shapeId="0" xr:uid="{63F9BFF2-0E3F-5C4D-80C4-69B080DBB262}">
      <text>
        <r>
          <rPr>
            <sz val="10"/>
            <color rgb="FF000000"/>
            <rFont val="Aptos Narrow"/>
            <scheme val="minor"/>
          </rPr>
          <t>======
ID#AAABjx7qSfY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6" authorId="0" shapeId="0" xr:uid="{850E44EC-9175-3B4A-A2E6-35395D45E9A2}">
      <text>
        <r>
          <rPr>
            <sz val="10"/>
            <color rgb="FF000000"/>
            <rFont val="Aptos Narrow"/>
            <scheme val="minor"/>
          </rPr>
          <t>======
ID#AAABjx7qRYc
    (2025-05-21 11:33:25)
150916 扣抵金額(含稅)US$1627.5元,應支付貨款(含稅)為US$30502.5元</t>
        </r>
      </text>
    </comment>
    <comment ref="S3866" authorId="0" shapeId="0" xr:uid="{9B5445CC-02C6-474C-B102-D3FB6EC2766A}">
      <text>
        <r>
          <rPr>
            <sz val="10"/>
            <color rgb="FF000000"/>
            <rFont val="Aptos Narrow"/>
            <scheme val="minor"/>
          </rPr>
          <t>======
ID#AAABjx7qWbo
    (2025-05-21 11:33:27)
0911 Santiago : 入帳</t>
        </r>
      </text>
    </comment>
    <comment ref="Z3866" authorId="0" shapeId="0" xr:uid="{AC718C0B-FD5B-FF4A-BDD4-E0D2AC72686E}">
      <text>
        <r>
          <rPr>
            <sz val="10"/>
            <color rgb="FF000000"/>
            <rFont val="Aptos Narrow"/>
            <scheme val="minor"/>
          </rPr>
          <t>======
ID#AAABjx7qNgg
    (2025-05-21 11:33:23)
0906 chloe 廠商開立折讓單，64706元</t>
        </r>
      </text>
    </comment>
    <comment ref="B3867" authorId="0" shapeId="0" xr:uid="{AF4EE0D2-F615-684A-BB52-C0216255EB53}">
      <text>
        <r>
          <rPr>
            <sz val="10"/>
            <color rgb="FF000000"/>
            <rFont val="Aptos Narrow"/>
            <scheme val="minor"/>
          </rPr>
          <t>======
ID#AAABjx7qP80
    (2025-05-21 11:33:24)
1025 chloe 代老闆指示後才能核算獎金</t>
        </r>
      </text>
    </comment>
    <comment ref="K3867" authorId="0" shapeId="0" xr:uid="{03FFA1C4-6DA9-D84C-8323-31F020C118AC}">
      <text>
        <r>
          <rPr>
            <sz val="10"/>
            <color rgb="FF000000"/>
            <rFont val="Aptos Narrow"/>
            <scheme val="minor"/>
          </rPr>
          <t>======
ID#AAABjx7qP60
    (2025-05-21 11:33:24)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7" authorId="0" shapeId="0" xr:uid="{0E4A9ADE-2E4E-FF44-833C-2AF3128B99B3}">
      <text>
        <r>
          <rPr>
            <sz val="10"/>
            <color rgb="FF000000"/>
            <rFont val="Aptos Narrow"/>
            <scheme val="minor"/>
          </rPr>
          <t>======
ID#AAABjx7qS6s
    (2025-05-21 11:33:26)
150916 扣抵金額(含稅)US$170.1元,應支付貨款(含稅)為US$2299.5元</t>
        </r>
      </text>
    </comment>
    <comment ref="S3867" authorId="0" shapeId="0" xr:uid="{004E5662-0710-BB4F-9FA9-19D3C4305AE3}">
      <text>
        <r>
          <rPr>
            <sz val="10"/>
            <color rgb="FF000000"/>
            <rFont val="Aptos Narrow"/>
            <scheme val="minor"/>
          </rPr>
          <t>======
ID#AAABj82dpH4
    (2025-05-21 11:33:23)
0911 Santiago : 入帳</t>
        </r>
      </text>
    </comment>
    <comment ref="B3868" authorId="0" shapeId="0" xr:uid="{43FD2C2E-3276-3049-92AB-E87C461CFDD8}">
      <text>
        <r>
          <rPr>
            <sz val="10"/>
            <color rgb="FF000000"/>
            <rFont val="Aptos Narrow"/>
            <scheme val="minor"/>
          </rPr>
          <t>======
ID#AAABjx7qPtg
    (2025-05-21 11:33:24)
1025 chloe 代老闆指示後才能核算獎金</t>
        </r>
      </text>
    </comment>
    <comment ref="K3868" authorId="0" shapeId="0" xr:uid="{101B7849-5DF8-8C4A-AFB3-86D37AF65BDE}">
      <text>
        <r>
          <rPr>
            <sz val="10"/>
            <color rgb="FF000000"/>
            <rFont val="Aptos Narrow"/>
            <scheme val="minor"/>
          </rPr>
          <t>======
ID#AAABjx7qSYE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8" authorId="0" shapeId="0" xr:uid="{4F727D59-D7CB-6F44-8585-1FF56DB19F03}">
      <text>
        <r>
          <rPr>
            <sz val="10"/>
            <color rgb="FF000000"/>
            <rFont val="Aptos Narrow"/>
            <scheme val="minor"/>
          </rPr>
          <t>======
ID#AAABjx7qOk4
    (2025-05-21 11:33:24)
150916 扣抵金額(含稅)US$252元,應支付貨款(含稅)為US$3402元</t>
        </r>
      </text>
    </comment>
    <comment ref="S3868" authorId="0" shapeId="0" xr:uid="{E6E6219C-AC43-234E-A9C4-1188D5AE9368}">
      <text>
        <r>
          <rPr>
            <sz val="10"/>
            <color rgb="FF000000"/>
            <rFont val="Aptos Narrow"/>
            <scheme val="minor"/>
          </rPr>
          <t>======
ID#AAABjx7qUx4
    (2025-05-21 11:33:26)
0911 Santiago : 入帳</t>
        </r>
      </text>
    </comment>
    <comment ref="B3869" authorId="0" shapeId="0" xr:uid="{DFF413A9-09B0-DF41-AC64-EA6F0810FD28}">
      <text>
        <r>
          <rPr>
            <sz val="10"/>
            <color rgb="FF000000"/>
            <rFont val="Aptos Narrow"/>
            <scheme val="minor"/>
          </rPr>
          <t>======
ID#AAABjx7qVCY
    (2025-05-21 11:33:27)
1025 chloe 代老闆指示後才能核算獎金</t>
        </r>
      </text>
    </comment>
    <comment ref="K3869" authorId="0" shapeId="0" xr:uid="{8AA3CF81-16E7-4349-9AE2-5C6A998D1D53}">
      <text>
        <r>
          <rPr>
            <sz val="10"/>
            <color rgb="FF000000"/>
            <rFont val="Aptos Narrow"/>
            <scheme val="minor"/>
          </rPr>
          <t>======
ID#AAABjx7qTTw
    (2025-05-21 11:33:26)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69" authorId="0" shapeId="0" xr:uid="{5E7BA8E7-E670-B046-9B77-571B1507B40A}">
      <text>
        <r>
          <rPr>
            <sz val="10"/>
            <color rgb="FF000000"/>
            <rFont val="Aptos Narrow"/>
            <scheme val="minor"/>
          </rPr>
          <t>======
ID#AAABjx7qOe0
    (2025-05-21 11:33:24)
150916 扣抵金額(含稅)US$498.75,應支付貨款(含稅)為US$8715元</t>
        </r>
      </text>
    </comment>
    <comment ref="S3869" authorId="0" shapeId="0" xr:uid="{7A463C73-425D-7744-8C2F-DB58D232BF9A}">
      <text>
        <r>
          <rPr>
            <sz val="10"/>
            <color rgb="FF000000"/>
            <rFont val="Aptos Narrow"/>
            <scheme val="minor"/>
          </rPr>
          <t>======
ID#AAABjx7qSWw
    (2025-05-21 11:33:26)
0911 Santiago : 入帳</t>
        </r>
      </text>
    </comment>
    <comment ref="B3870" authorId="0" shapeId="0" xr:uid="{1D4CE90E-8693-924D-9814-731DAE0CB584}">
      <text>
        <r>
          <rPr>
            <sz val="10"/>
            <color rgb="FF000000"/>
            <rFont val="Aptos Narrow"/>
            <scheme val="minor"/>
          </rPr>
          <t>======
ID#AAABjx7qSJw
    (2025-05-21 11:33:26)
1025 chloe 代老闆指示後才能核算獎金</t>
        </r>
      </text>
    </comment>
    <comment ref="K3870" authorId="0" shapeId="0" xr:uid="{F5A7E27B-BEA2-8342-9644-943F5772DFE0}">
      <text>
        <r>
          <rPr>
            <sz val="10"/>
            <color rgb="FF000000"/>
            <rFont val="Aptos Narrow"/>
            <scheme val="minor"/>
          </rPr>
          <t>======
ID#AAABjx7qQ1c
    (2025-05-21 11:33:25)
0713 michelle: 需方必須在出貨前二週提供信用狀給供方預審, 避免意外, 導致供方無法收取貨款. 待供方確認內容無誤後, 始可開立不可撤銷即期信用狀
(2) 出貨前一週, 需方東托貿易(上海)有限公司需開立不可撤銷即期信用狀100% 全付。
(3) 出貨後, 供方可憑貨運公司提貨單, 裝箱單, 及發票向銀行提示, 以便兌現不可撤銷即期信用狀之貸款</t>
        </r>
      </text>
    </comment>
    <comment ref="Q3870" authorId="0" shapeId="0" xr:uid="{0E5C96D6-1A15-B640-82FF-CF2BC22B2961}">
      <text>
        <r>
          <rPr>
            <sz val="10"/>
            <color rgb="FF000000"/>
            <rFont val="Aptos Narrow"/>
            <scheme val="minor"/>
          </rPr>
          <t>======
ID#AAABjx7qSWo
    (2025-05-21 11:33:26)
150916 扣抵金額(含稅)US$498.75,應支付貨款(含稅)為US$8715元</t>
        </r>
      </text>
    </comment>
    <comment ref="S3870" authorId="0" shapeId="0" xr:uid="{43EC565D-F0A2-4F49-8E03-D0F1BA63FC15}">
      <text>
        <r>
          <rPr>
            <sz val="10"/>
            <color rgb="FF000000"/>
            <rFont val="Aptos Narrow"/>
            <scheme val="minor"/>
          </rPr>
          <t>======
ID#AAABjx7qSzs
    (2025-05-21 11:33:26)
0911 Santiago : 入帳</t>
        </r>
      </text>
    </comment>
    <comment ref="Q3871" authorId="0" shapeId="0" xr:uid="{DCB1EDDB-42AF-E04C-BEF8-7593BFC57D40}">
      <text>
        <r>
          <rPr>
            <sz val="10"/>
            <color rgb="FF000000"/>
            <rFont val="Aptos Narrow"/>
            <scheme val="minor"/>
          </rPr>
          <t>======
ID#AAABjx7qOic
    (2025-05-21 11:33:24)
151130 扣抵金額(含稅)US$1047.375,應支付貨款(含稅)為US$18301.5元</t>
        </r>
      </text>
    </comment>
    <comment ref="S3871" authorId="0" shapeId="0" xr:uid="{E43B0B55-097B-1040-A0D9-63CC10F3347B}">
      <text>
        <r>
          <rPr>
            <sz val="10"/>
            <color rgb="FF000000"/>
            <rFont val="Aptos Narrow"/>
            <scheme val="minor"/>
          </rPr>
          <t>======
ID#AAABjx7qRQo
    (2025-05-21 11:33:25)
20160106 收到銀行通知</t>
        </r>
      </text>
    </comment>
    <comment ref="C3872" authorId="0" shapeId="0" xr:uid="{F78B8B29-7F77-624B-9FE2-BAE7CDB0CB89}">
      <text>
        <r>
          <rPr>
            <sz val="10"/>
            <color rgb="FF000000"/>
            <rFont val="Aptos Narrow"/>
            <scheme val="minor"/>
          </rPr>
          <t>======
ID#AAABjx7qVoM
    (2025-05-21 11:33:27)
chloe 0519借出</t>
        </r>
      </text>
    </comment>
    <comment ref="J3872" authorId="0" shapeId="0" xr:uid="{2DD4F75D-D140-C645-BF2E-0620CB829CDC}">
      <text>
        <r>
          <rPr>
            <sz val="10"/>
            <color rgb="FF000000"/>
            <rFont val="Aptos Narrow"/>
            <scheme val="minor"/>
          </rPr>
          <t>======
ID#AAABjx7qMyE
    (2025-05-21 11:33:23)
0526 chloe 運費1178</t>
        </r>
      </text>
    </comment>
    <comment ref="C3873" authorId="0" shapeId="0" xr:uid="{7BE379D9-5057-FF40-9A45-5C6BF6AE4557}">
      <text>
        <r>
          <rPr>
            <sz val="10"/>
            <color rgb="FF000000"/>
            <rFont val="Aptos Narrow"/>
            <scheme val="minor"/>
          </rPr>
          <t>======
ID#AAABjx7qVR0
    (2025-05-21 11:33:27)
chloe 0519借出</t>
        </r>
      </text>
    </comment>
    <comment ref="J3873" authorId="0" shapeId="0" xr:uid="{826F65A4-1DDD-0D4F-8DB8-449540A7F75D}">
      <text>
        <r>
          <rPr>
            <sz val="10"/>
            <color rgb="FF000000"/>
            <rFont val="Aptos Narrow"/>
            <scheme val="minor"/>
          </rPr>
          <t>======
ID#AAABjx7qTYE
    (2025-05-21 11:33:26)
0526 chloe 運費1178</t>
        </r>
      </text>
    </comment>
    <comment ref="M3874" authorId="0" shapeId="0" xr:uid="{0AA99908-6D31-1741-A2F2-D3798E0CF735}">
      <text>
        <r>
          <rPr>
            <sz val="10"/>
            <color rgb="FF000000"/>
            <rFont val="Aptos Narrow"/>
            <scheme val="minor"/>
          </rPr>
          <t>======
ID#AAABjx7qR1w
    (2025-05-21 11:33:25)
0109 Forster點收</t>
        </r>
      </text>
    </comment>
    <comment ref="R3875" authorId="0" shapeId="0" xr:uid="{498F4037-24D1-B34E-8E47-11C640741123}">
      <text>
        <r>
          <rPr>
            <sz val="10"/>
            <color rgb="FF000000"/>
            <rFont val="Aptos Narrow"/>
          </rPr>
          <t xml:space="preserve">======
</t>
        </r>
        <r>
          <rPr>
            <sz val="10"/>
            <color rgb="FF000000"/>
            <rFont val="Aptos Narrow"/>
          </rPr>
          <t xml:space="preserve">ID#AAABjx7qVYA
</t>
        </r>
        <r>
          <rPr>
            <sz val="10"/>
            <color rgb="FF000000"/>
            <rFont val="Aptos Narrow"/>
          </rPr>
          <t xml:space="preserve">    (2025-05-21 11:33:27)
</t>
        </r>
        <r>
          <rPr>
            <sz val="10"/>
            <color rgb="FF000000"/>
            <rFont val="Aptos Narrow"/>
            <scheme val="minor"/>
          </rPr>
          <t>含</t>
        </r>
        <r>
          <rPr>
            <sz val="10"/>
            <color rgb="FF000000"/>
            <rFont val="Aptos Narrow"/>
          </rPr>
          <t>5%</t>
        </r>
        <r>
          <rPr>
            <sz val="10"/>
            <color rgb="FF000000"/>
            <rFont val="Aptos Narrow"/>
            <scheme val="minor"/>
          </rPr>
          <t>稅</t>
        </r>
      </text>
    </comment>
    <comment ref="D3876" authorId="0" shapeId="0" xr:uid="{D3FEA47C-7FCD-4844-9F0C-3A1FCE67FD75}">
      <text>
        <r>
          <rPr>
            <sz val="10"/>
            <color rgb="FF000000"/>
            <rFont val="Aptos Narrow"/>
            <scheme val="minor"/>
          </rPr>
          <t>======
ID#AAABjx7qPRg
    (2025-05-21 11:33:24)
12/5 給新漢的PI號是20131205A,因為跟MMC撞號,故由A改為B,但並沒有通知新漢做變動</t>
        </r>
      </text>
    </comment>
    <comment ref="R3876" authorId="0" shapeId="0" xr:uid="{B7CD2613-12E8-454E-AF09-B6C947FBF625}">
      <text>
        <r>
          <rPr>
            <sz val="10"/>
            <color rgb="FF000000"/>
            <rFont val="Aptos Narrow"/>
            <scheme val="minor"/>
          </rPr>
          <t>======
ID#AAABjx7qOww
    (2025-05-21 11:33:24)
含5%稅</t>
        </r>
      </text>
    </comment>
    <comment ref="C3879" authorId="0" shapeId="0" xr:uid="{5B1AF711-A10A-9340-B6FD-B416762EB738}">
      <text>
        <r>
          <rPr>
            <sz val="10"/>
            <color rgb="FF000000"/>
            <rFont val="Aptos Narrow"/>
            <scheme val="minor"/>
          </rPr>
          <t>======
ID#AAABjx7qQi8
    (2025-05-21 11:33:25)
12/20追加 無PO及PI</t>
        </r>
      </text>
    </comment>
    <comment ref="C3880" authorId="0" shapeId="0" xr:uid="{216FBC6E-2DE4-3B49-974F-69F119EE0B3F}">
      <text>
        <r>
          <rPr>
            <sz val="10"/>
            <color rgb="FF000000"/>
            <rFont val="Aptos Narrow"/>
            <scheme val="minor"/>
          </rPr>
          <t>======
ID#AAABjx7qM4Q
    (2025-05-21 11:33:23)
12/20追加 無PO及PI</t>
        </r>
      </text>
    </comment>
    <comment ref="R3883" authorId="0" shapeId="0" xr:uid="{A793CDB5-2CB6-0E49-82B6-D2834EA1D0A7}">
      <text>
        <r>
          <rPr>
            <sz val="10"/>
            <color rgb="FF000000"/>
            <rFont val="Aptos Narrow"/>
            <scheme val="minor"/>
          </rPr>
          <t>======
ID#AAABjx7qOVU
    (2025-05-21 11:33:24)
w/Tax</t>
        </r>
      </text>
    </comment>
    <comment ref="AB3883" authorId="0" shapeId="0" xr:uid="{7A6A3861-0573-7A4D-BCBA-4E22807C7CB8}">
      <text>
        <r>
          <rPr>
            <sz val="10"/>
            <color rgb="FF000000"/>
            <rFont val="Aptos Narrow"/>
            <scheme val="minor"/>
          </rPr>
          <t>======
ID#AAABjx7qWHk
    (2025-05-21 11:33:27)
29.979</t>
        </r>
      </text>
    </comment>
    <comment ref="R3884" authorId="0" shapeId="0" xr:uid="{AF7A00CD-B0C0-2A48-8FE5-D12E2C0A0D86}">
      <text>
        <r>
          <rPr>
            <sz val="10"/>
            <color rgb="FF000000"/>
            <rFont val="Aptos Narrow"/>
            <scheme val="minor"/>
          </rPr>
          <t>======
ID#AAABjx7qSpI
    (2025-05-21 11:33:26)
w/Tax</t>
        </r>
      </text>
    </comment>
    <comment ref="R3885" authorId="0" shapeId="0" xr:uid="{586CC6C8-8900-AC44-8B6A-6558052F3C81}">
      <text>
        <r>
          <rPr>
            <sz val="10"/>
            <color rgb="FF000000"/>
            <rFont val="Aptos Narrow"/>
            <scheme val="minor"/>
          </rPr>
          <t>======
ID#AAABjx7qQNE
    (2025-05-21 11:33:25)
w/Tax</t>
        </r>
      </text>
    </comment>
    <comment ref="R3887" authorId="0" shapeId="0" xr:uid="{F732B1D8-949D-9049-98E7-C715AE96B7D8}">
      <text>
        <r>
          <rPr>
            <sz val="10"/>
            <color rgb="FF000000"/>
            <rFont val="Aptos Narrow"/>
            <scheme val="minor"/>
          </rPr>
          <t>======
ID#AAABjx7qOy0
    (2025-05-21 11:33:24)
w/Tax</t>
        </r>
      </text>
    </comment>
    <comment ref="R3891" authorId="0" shapeId="0" xr:uid="{F23DD873-7DEF-FC41-BA08-305C3C30D4EE}">
      <text>
        <r>
          <rPr>
            <sz val="10"/>
            <color rgb="FF000000"/>
            <rFont val="Aptos Narrow"/>
            <scheme val="minor"/>
          </rPr>
          <t>======
ID#AAABjx7qPio
    (2025-05-21 11:33:24)
w/Tax</t>
        </r>
      </text>
    </comment>
    <comment ref="R3892" authorId="0" shapeId="0" xr:uid="{A47DB5EA-C004-4A42-BAF3-9D429A842D3B}">
      <text>
        <r>
          <rPr>
            <sz val="10"/>
            <color rgb="FF000000"/>
            <rFont val="Aptos Narrow"/>
            <scheme val="minor"/>
          </rPr>
          <t>======
ID#AAABjx7qTrM
    (2025-05-21 11:33:26)
w/Tax</t>
        </r>
      </text>
    </comment>
    <comment ref="R3902" authorId="0" shapeId="0" xr:uid="{782EB0F6-C4E7-2441-ACB3-632DBFD73C63}">
      <text>
        <r>
          <rPr>
            <sz val="10"/>
            <color rgb="FF000000"/>
            <rFont val="Aptos Narrow"/>
            <scheme val="minor"/>
          </rPr>
          <t>======
ID#AAABjx7qRsU
    (2025-05-21 11:33:25)
w/Tax</t>
        </r>
      </text>
    </comment>
    <comment ref="R3903" authorId="0" shapeId="0" xr:uid="{4BFD727A-94AD-0D42-9C78-6695DD7347D8}">
      <text>
        <r>
          <rPr>
            <sz val="10"/>
            <color rgb="FF000000"/>
            <rFont val="Aptos Narrow"/>
            <scheme val="minor"/>
          </rPr>
          <t>======
ID#AAABjx7qQms
    (2025-05-21 11:33:25)
w/Tax</t>
        </r>
      </text>
    </comment>
    <comment ref="R3904" authorId="0" shapeId="0" xr:uid="{CEB9D6DA-1EA8-7C4B-9AD0-F64837E761BF}">
      <text>
        <r>
          <rPr>
            <sz val="10"/>
            <color rgb="FF000000"/>
            <rFont val="Aptos Narrow"/>
            <scheme val="minor"/>
          </rPr>
          <t>======
ID#AAABjx7qTZY
    (2025-05-21 11:33:26)
w/Tax</t>
        </r>
      </text>
    </comment>
    <comment ref="R3905" authorId="0" shapeId="0" xr:uid="{CCA86F20-882E-FB4A-84A5-BF80963A04FE}">
      <text>
        <r>
          <rPr>
            <sz val="10"/>
            <color rgb="FF000000"/>
            <rFont val="Aptos Narrow"/>
            <scheme val="minor"/>
          </rPr>
          <t>======
ID#AAABjx7qOWs
    (2025-05-21 11:33:24)
w/Tax</t>
        </r>
      </text>
    </comment>
    <comment ref="R3906" authorId="0" shapeId="0" xr:uid="{6BE94B44-6AB0-4A41-BDFF-58D2A9536A1F}">
      <text>
        <r>
          <rPr>
            <sz val="10"/>
            <color rgb="FF000000"/>
            <rFont val="Aptos Narrow"/>
            <scheme val="minor"/>
          </rPr>
          <t>======
ID#AAABjx7qWJU
    (2025-05-21 11:33:27)
w/Tax</t>
        </r>
      </text>
    </comment>
    <comment ref="R3907" authorId="0" shapeId="0" xr:uid="{D6BD6880-3C0B-6B48-9089-0EF7934016B5}">
      <text>
        <r>
          <rPr>
            <sz val="10"/>
            <color rgb="FF000000"/>
            <rFont val="Aptos Narrow"/>
            <scheme val="minor"/>
          </rPr>
          <t>======
ID#AAABjx7qSAA
    (2025-05-21 11:33:25)
W/TAX</t>
        </r>
      </text>
    </comment>
    <comment ref="R3908" authorId="0" shapeId="0" xr:uid="{83BB76D1-DFE4-084C-AACD-E794CA705C46}">
      <text>
        <r>
          <rPr>
            <sz val="10"/>
            <color rgb="FF000000"/>
            <rFont val="Aptos Narrow"/>
            <scheme val="minor"/>
          </rPr>
          <t>======
ID#AAABjx7qNlY
    (2025-05-21 11:33:23)
w/Tax</t>
        </r>
      </text>
    </comment>
    <comment ref="AB3911" authorId="0" shapeId="0" xr:uid="{E3FDE4B0-4A87-C243-951A-9CF2A0A34D28}">
      <text>
        <r>
          <rPr>
            <sz val="10"/>
            <color rgb="FF000000"/>
            <rFont val="Aptos Narrow"/>
            <scheme val="minor"/>
          </rPr>
          <t>======
ID#AAABjx7qTS8
    (2025-05-21 11:33:26)
GD474296873WW</t>
        </r>
      </text>
    </comment>
    <comment ref="R3913" authorId="0" shapeId="0" xr:uid="{DAB03A94-C1C3-6B4A-9EFB-C9243EB3BF52}">
      <text>
        <r>
          <rPr>
            <sz val="10"/>
            <color rgb="FF000000"/>
            <rFont val="Aptos Narrow"/>
            <scheme val="minor"/>
          </rPr>
          <t>======
ID#AAABjx7qUtM
    (2025-05-21 11:33:26)
w/Tax</t>
        </r>
      </text>
    </comment>
    <comment ref="R3914" authorId="0" shapeId="0" xr:uid="{048EF735-378F-2440-9074-23D0C4D7838B}">
      <text>
        <r>
          <rPr>
            <sz val="10"/>
            <color rgb="FF000000"/>
            <rFont val="Aptos Narrow"/>
            <scheme val="minor"/>
          </rPr>
          <t>======
ID#AAABjx7qVEY
    (2025-05-21 11:33:27)
w/Tax</t>
        </r>
      </text>
    </comment>
    <comment ref="R3915" authorId="0" shapeId="0" xr:uid="{816DD2EB-72C2-294C-B8E3-808138F33C6C}">
      <text>
        <r>
          <rPr>
            <sz val="10"/>
            <color rgb="FF000000"/>
            <rFont val="Aptos Narrow"/>
            <scheme val="minor"/>
          </rPr>
          <t>======
ID#AAABjx7qORA
    (2025-05-21 11:33:24)
w/Tax</t>
        </r>
      </text>
    </comment>
    <comment ref="S3916" authorId="0" shapeId="0" xr:uid="{22F7E421-3DF0-A448-A750-A6ACCBDCB3C1}">
      <text>
        <r>
          <rPr>
            <sz val="10"/>
            <color rgb="FF000000"/>
            <rFont val="Aptos Narrow"/>
            <scheme val="minor"/>
          </rPr>
          <t>======
ID#AAABjx7qTAY
    (2025-05-21 11:33:26)
3/27 連同 PI-20131210C 已匯US$5707, 尚有US$6000 O/A待收
5/8 收到匯款5890 (扣除US$110 組裝)</t>
        </r>
      </text>
    </comment>
    <comment ref="AB3916" authorId="0" shapeId="0" xr:uid="{BCCBAC3C-E5EE-1E4A-93DE-F2A8A1587423}">
      <text>
        <r>
          <rPr>
            <sz val="10"/>
            <color rgb="FF000000"/>
            <rFont val="Aptos Narrow"/>
            <scheme val="minor"/>
          </rPr>
          <t>======
ID#AAABjx7qTE0
    (2025-05-21 11:33:26)
GD474296887WW</t>
        </r>
      </text>
    </comment>
    <comment ref="AB3920" authorId="0" shapeId="0" xr:uid="{329DF9B4-50BF-0042-B6A4-46F852BF2C3A}">
      <text>
        <r>
          <rPr>
            <sz val="10"/>
            <color rgb="FF000000"/>
            <rFont val="Aptos Narrow"/>
            <scheme val="minor"/>
          </rPr>
          <t>======
ID#AAABjx7qRT0
    (2025-05-21 11:33:25)
5717864445</t>
        </r>
      </text>
    </comment>
    <comment ref="AB3921" authorId="0" shapeId="0" xr:uid="{FC86E283-533D-4347-8CCA-6AE40CB927AC}">
      <text>
        <r>
          <rPr>
            <sz val="10"/>
            <color rgb="FF000000"/>
            <rFont val="Aptos Narrow"/>
            <scheme val="minor"/>
          </rPr>
          <t>======
ID#AAABjx7qVFE
    (2025-05-21 11:33:27)
GD474296873WW</t>
        </r>
      </text>
    </comment>
    <comment ref="R3922" authorId="0" shapeId="0" xr:uid="{264AFE16-6C7A-BC4A-8A65-803FA0335FD6}">
      <text>
        <r>
          <rPr>
            <sz val="10"/>
            <color rgb="FF000000"/>
            <rFont val="Aptos Narrow"/>
            <scheme val="minor"/>
          </rPr>
          <t>======
ID#AAABjx7qO1s
    (2025-05-21 11:33:24)
w/Tax</t>
        </r>
      </text>
    </comment>
    <comment ref="R3923" authorId="0" shapeId="0" xr:uid="{55C42153-F39D-0049-B805-3F2C80988B60}">
      <text>
        <r>
          <rPr>
            <sz val="10"/>
            <color rgb="FF000000"/>
            <rFont val="Aptos Narrow"/>
            <scheme val="minor"/>
          </rPr>
          <t>======
ID#AAABjx7qR30
    (2025-05-21 11:33:25)
w/Tax</t>
        </r>
      </text>
    </comment>
    <comment ref="R3926" authorId="0" shapeId="0" xr:uid="{AF3F30CB-8F06-E546-9E6A-2D6449E4204F}">
      <text>
        <r>
          <rPr>
            <sz val="10"/>
            <color rgb="FF000000"/>
            <rFont val="Aptos Narrow"/>
            <scheme val="minor"/>
          </rPr>
          <t>======
ID#AAABjx7qQAg
    (2025-05-21 11:33:25)
w/Tax</t>
        </r>
      </text>
    </comment>
    <comment ref="R3927" authorId="0" shapeId="0" xr:uid="{FC39035E-BBA7-4648-8949-7838957D1C2E}">
      <text>
        <r>
          <rPr>
            <sz val="10"/>
            <color rgb="FF000000"/>
            <rFont val="Aptos Narrow"/>
            <scheme val="minor"/>
          </rPr>
          <t>======
ID#AAABjx7qOgs
    (2025-05-21 11:33:24)
w/Tax</t>
        </r>
      </text>
    </comment>
    <comment ref="R3928" authorId="0" shapeId="0" xr:uid="{24B17E29-CA07-1141-BBB5-3939E37F674D}">
      <text>
        <r>
          <rPr>
            <sz val="10"/>
            <color rgb="FF000000"/>
            <rFont val="Aptos Narrow"/>
            <scheme val="minor"/>
          </rPr>
          <t>======
ID#AAABjx7qOec
    (2025-05-21 11:33:24)
w/Tax</t>
        </r>
      </text>
    </comment>
    <comment ref="Q3929" authorId="0" shapeId="0" xr:uid="{4001D847-1046-5944-9F21-1AC6F3E8C1EA}">
      <text>
        <r>
          <rPr>
            <sz val="10"/>
            <color rgb="FF000000"/>
            <rFont val="Aptos Narrow"/>
            <scheme val="minor"/>
          </rPr>
          <t>======
ID#AAABjx7qTVQ
    (2025-05-21 11:33:26)
To Angela,
這 L~ Q 綠色欄位是PM 在寫的. 
請你不要寫</t>
        </r>
      </text>
    </comment>
    <comment ref="AB3929" authorId="0" shapeId="0" xr:uid="{1C6CF9F6-F567-0B48-A419-F6A58D3737E1}">
      <text>
        <r>
          <rPr>
            <sz val="10"/>
            <color rgb="FF000000"/>
            <rFont val="Aptos Narrow"/>
            <scheme val="minor"/>
          </rPr>
          <t>======
ID#AAABjx7qUw0
    (2025-05-21 11:33:26)
UNO-2170-C11BE貨物有誤，故5/15走TNT出新貨
5/20TNT荷蘭取舊貨運回研華工廠預計5/23到，運費4012</t>
        </r>
      </text>
    </comment>
    <comment ref="Q3930" authorId="0" shapeId="0" xr:uid="{113C023A-BF24-7D4C-9466-612479F865B6}">
      <text>
        <r>
          <rPr>
            <sz val="10"/>
            <color rgb="FF000000"/>
            <rFont val="Aptos Narrow"/>
            <scheme val="minor"/>
          </rPr>
          <t>======
ID#AAABjx7qQUE
    (2025-05-21 11:33:25)
To Angela,
這 L~ Q 綠色欄位是PM 在寫的. 
請你不要寫</t>
        </r>
      </text>
    </comment>
    <comment ref="I3932" authorId="0" shapeId="0" xr:uid="{3C3CB0CF-843A-5E43-AD4B-4F57A214BD74}">
      <text>
        <r>
          <rPr>
            <sz val="10"/>
            <color rgb="FF000000"/>
            <rFont val="Aptos Narrow"/>
            <scheme val="minor"/>
          </rPr>
          <t>======
ID#AAABjx7qNkQ
    (2025-05-21 11:33:23)
11/20 客戶決定取消訂單. 因此不發獎金</t>
        </r>
      </text>
    </comment>
    <comment ref="S3932" authorId="0" shapeId="0" xr:uid="{488664E0-5EB6-7F42-8263-09F97F5E143C}">
      <text>
        <r>
          <rPr>
            <sz val="10"/>
            <color rgb="FF000000"/>
            <rFont val="Aptos Narrow"/>
            <scheme val="minor"/>
          </rPr>
          <t>======
ID#AAABjx7qP6U
    (2025-05-21 11:33:24)
此筆客戶已答應賠償
1. 戎克11/20 已付20%賠償給Mean Well
2. 客戶賠償PI-20141204A Testing US$630</t>
        </r>
      </text>
    </comment>
    <comment ref="U3932" authorId="0" shapeId="0" xr:uid="{0AC0DC8C-4C87-F048-A0A4-20DE166B16E2}">
      <text>
        <r>
          <rPr>
            <sz val="10"/>
            <color rgb="FF000000"/>
            <rFont val="Aptos Narrow"/>
            <scheme val="minor"/>
          </rPr>
          <t>======
ID#AAABjx7qS5o
    (2025-05-21 11:33:26)
戎克11/20 已付20%賠償給Mean Well</t>
        </r>
      </text>
    </comment>
    <comment ref="Z3932" authorId="0" shapeId="0" xr:uid="{D93B09D8-C664-0949-A7A7-3631727E0458}">
      <text>
        <r>
          <rPr>
            <sz val="10"/>
            <color rgb="FF000000"/>
            <rFont val="Aptos Narrow"/>
            <scheme val="minor"/>
          </rPr>
          <t>======
ID#AAABjx7qO34
    (2025-05-21 11:33:24)
11/20 戎克已付20%賠償費用14400</t>
        </r>
      </text>
    </comment>
    <comment ref="J3933" authorId="0" shapeId="0" xr:uid="{C806E168-43BE-8244-9824-F3B6959DFA14}">
      <text>
        <r>
          <rPr>
            <sz val="10"/>
            <color rgb="FF000000"/>
            <rFont val="Aptos Narrow"/>
            <scheme val="minor"/>
          </rPr>
          <t>======
ID#AAABj82dpGY
    (2025-05-21 11:33:23)
公司名: ADITECH ICT PVT LTD.</t>
        </r>
      </text>
    </comment>
    <comment ref="R3936" authorId="0" shapeId="0" xr:uid="{14BC4245-1B16-F341-9B41-A7BD6EE8F349}">
      <text>
        <r>
          <rPr>
            <sz val="10"/>
            <color rgb="FF000000"/>
            <rFont val="Aptos Narrow"/>
            <scheme val="minor"/>
          </rPr>
          <t>======
ID#AAABjx7qU_c
    (2025-05-21 11:33:27)
w/VAT</t>
        </r>
      </text>
    </comment>
    <comment ref="D3937" authorId="0" shapeId="0" xr:uid="{12B8E6EC-A406-614E-9F7B-DF597DB5250F}">
      <text>
        <r>
          <rPr>
            <sz val="10"/>
            <color rgb="FF000000"/>
            <rFont val="Aptos Narrow"/>
            <scheme val="minor"/>
          </rPr>
          <t>======
ID#AAABjx7qQSw
    (2025-05-21 11:33:25)
To Angela, 
PI 編碼少了最後一碼英文字. 無法區分當天PI 的先後順序</t>
        </r>
      </text>
    </comment>
    <comment ref="R3937" authorId="0" shapeId="0" xr:uid="{B31375ED-C8F4-8D44-8008-A4C69AA743AC}">
      <text>
        <r>
          <rPr>
            <sz val="10"/>
            <color rgb="FF000000"/>
            <rFont val="Aptos Narrow"/>
            <scheme val="minor"/>
          </rPr>
          <t>======
ID#AAABjx7qWRM
    (2025-05-21 11:33:27)
W/VAT</t>
        </r>
      </text>
    </comment>
    <comment ref="D3938" authorId="0" shapeId="0" xr:uid="{98F61CCD-6487-0345-843F-B42252AC69C2}">
      <text>
        <r>
          <rPr>
            <sz val="10"/>
            <color rgb="FF000000"/>
            <rFont val="Aptos Narrow"/>
            <scheme val="minor"/>
          </rPr>
          <t>======
ID#AAABjx7qVho
    (2025-05-21 11:33:27)
To Angela, 
PI 編碼少了最後一碼英文字. 無法區分當天PI 的先後順序</t>
        </r>
      </text>
    </comment>
    <comment ref="R3938" authorId="0" shapeId="0" xr:uid="{6A2A3102-1B10-E048-93A2-4F7C53F33F5F}">
      <text>
        <r>
          <rPr>
            <sz val="10"/>
            <color rgb="FF000000"/>
            <rFont val="Aptos Narrow"/>
            <scheme val="minor"/>
          </rPr>
          <t>======
ID#AAABjx7qS70
    (2025-05-21 11:33:26)
W/5% VAT</t>
        </r>
      </text>
    </comment>
    <comment ref="I3940" authorId="0" shapeId="0" xr:uid="{1ACA3937-0D6E-D742-82C0-FF0723B7F94F}">
      <text>
        <r>
          <rPr>
            <sz val="10"/>
            <color rgb="FF000000"/>
            <rFont val="Aptos Narrow"/>
            <scheme val="minor"/>
          </rPr>
          <t>======
ID#AAABjx7qWYI
    (2025-05-21 11:33:27)
20110507 Forster 的獎金已於5月初發放. 經Michelle同意. 她的獎金留待下月發放</t>
        </r>
      </text>
    </comment>
    <comment ref="R3940" authorId="0" shapeId="0" xr:uid="{F6D114A1-29A6-A748-A234-38A935BB83E1}">
      <text>
        <r>
          <rPr>
            <sz val="10"/>
            <color rgb="FF000000"/>
            <rFont val="Aptos Narrow"/>
            <scheme val="minor"/>
          </rPr>
          <t>======
ID#AAABjx7qNgY
    (2025-05-21 11:33:23)
w/5% VAT</t>
        </r>
      </text>
    </comment>
    <comment ref="R3941" authorId="0" shapeId="0" xr:uid="{F03FC58C-76B2-954A-B0D3-DFCE4E97D91C}">
      <text>
        <r>
          <rPr>
            <sz val="10"/>
            <color rgb="FF000000"/>
            <rFont val="Aptos Narrow"/>
            <scheme val="minor"/>
          </rPr>
          <t>======
ID#AAABjx7qM1c
    (2025-05-21 11:33:23)
w/Tax</t>
        </r>
      </text>
    </comment>
    <comment ref="R3942" authorId="0" shapeId="0" xr:uid="{4C320A19-105B-934F-B3A0-C7BD16A36724}">
      <text>
        <r>
          <rPr>
            <sz val="10"/>
            <color rgb="FF000000"/>
            <rFont val="Aptos Narrow"/>
            <scheme val="minor"/>
          </rPr>
          <t>======
ID#AAABjx7qRKI
    (2025-05-21 11:33:25)
w/Tax</t>
        </r>
      </text>
    </comment>
    <comment ref="R3943" authorId="0" shapeId="0" xr:uid="{0D8EB36A-67BF-2347-8102-66116132B7E7}">
      <text>
        <r>
          <rPr>
            <sz val="10"/>
            <color rgb="FF000000"/>
            <rFont val="Aptos Narrow"/>
            <scheme val="minor"/>
          </rPr>
          <t>======
ID#AAABjx7qQWU
    (2025-05-21 11:33:25)
w/Tax</t>
        </r>
      </text>
    </comment>
    <comment ref="J3944" authorId="0" shapeId="0" xr:uid="{9B7F36AA-AE34-0345-BF22-09B96A80800F}">
      <text>
        <r>
          <rPr>
            <sz val="10"/>
            <color rgb="FF000000"/>
            <rFont val="Aptos Narrow"/>
            <scheme val="minor"/>
          </rPr>
          <t>======
ID#AAABjx7qPbs
    (2025-05-21 11:33:24)
不需產地證明
但invoice and packing 註明Country of origin</t>
        </r>
      </text>
    </comment>
    <comment ref="K3944" authorId="0" shapeId="0" xr:uid="{49DF2F22-F862-444C-A96E-402AB4BCC8CB}">
      <text>
        <r>
          <rPr>
            <sz val="10"/>
            <color rgb="FF000000"/>
            <rFont val="Aptos Narrow"/>
            <scheme val="minor"/>
          </rPr>
          <t>======
ID#AAABjx7qVN8
    (2025-05-21 11:33:27)
與PI20140505A 兩個品項一起出</t>
        </r>
      </text>
    </comment>
    <comment ref="S3944" authorId="0" shapeId="0" xr:uid="{77C13FE5-27F6-C54B-8D60-B3DF29104B57}">
      <text>
        <r>
          <rPr>
            <sz val="10"/>
            <color rgb="FF000000"/>
            <rFont val="Aptos Narrow"/>
            <scheme val="minor"/>
          </rPr>
          <t>======
ID#AAABjx7qS18
    (2025-05-21 11:33:26)
5/9收到錢</t>
        </r>
      </text>
    </comment>
    <comment ref="E3945" authorId="0" shapeId="0" xr:uid="{C1B11754-9C22-AE49-A273-461921033AAC}">
      <text>
        <r>
          <rPr>
            <sz val="10"/>
            <color rgb="FF000000"/>
            <rFont val="Aptos Narrow"/>
            <scheme val="minor"/>
          </rPr>
          <t>======
ID#AAABjx7qOMI
    (2025-05-21 11:33:24)
invoice的備註
ETHERNET SWITCH, HS CODE: 8517.62.90</t>
        </r>
      </text>
    </comment>
    <comment ref="R3945" authorId="0" shapeId="0" xr:uid="{4EB8563B-E055-6B47-9C81-7597A91DE134}">
      <text>
        <r>
          <rPr>
            <sz val="10"/>
            <color rgb="FF000000"/>
            <rFont val="Aptos Narrow"/>
            <scheme val="minor"/>
          </rPr>
          <t>======
ID#AAABjx7qTFw
    (2025-05-21 11:33:26)
plus 67USD freight and 25USD bank charges</t>
        </r>
      </text>
    </comment>
    <comment ref="J3946" authorId="0" shapeId="0" xr:uid="{9EC61DB3-9E03-8A49-BBDA-05A03B49DD68}">
      <text>
        <r>
          <rPr>
            <sz val="10"/>
            <color rgb="FF000000"/>
            <rFont val="Aptos Narrow"/>
            <scheme val="minor"/>
          </rPr>
          <t>======
ID#AAABjx7qOwU
    (2025-05-21 11:33:24)
不需產地證明
但invoice and packing 註明Country of origin</t>
        </r>
      </text>
    </comment>
    <comment ref="K3946" authorId="0" shapeId="0" xr:uid="{641CD8D5-284A-2E46-8482-EAD07A2CEABF}">
      <text>
        <r>
          <rPr>
            <sz val="10"/>
            <color rgb="FF000000"/>
            <rFont val="Aptos Narrow"/>
            <scheme val="minor"/>
          </rPr>
          <t>======
ID#AAABjx7qN4g
    (2025-05-21 11:33:23)
與20140422B一起出</t>
        </r>
      </text>
    </comment>
    <comment ref="S3946" authorId="0" shapeId="0" xr:uid="{0A60B201-6E1B-A34D-BD99-9A6E9E7C7741}">
      <text>
        <r>
          <rPr>
            <sz val="10"/>
            <color rgb="FF000000"/>
            <rFont val="Aptos Narrow"/>
            <scheme val="minor"/>
          </rPr>
          <t>======
ID#AAABjx7qOzQ
    (2025-05-21 11:33:24)
5/9收到錢</t>
        </r>
      </text>
    </comment>
    <comment ref="J3947" authorId="0" shapeId="0" xr:uid="{922644CC-8866-1D49-968D-7B8C0BAD5E9C}">
      <text>
        <r>
          <rPr>
            <sz val="10"/>
            <color rgb="FF000000"/>
            <rFont val="Aptos Narrow"/>
            <scheme val="minor"/>
          </rPr>
          <t>======
ID#AAABjx7qS6E
    (2025-05-21 11:33:26)
不需產地證明
但invoice and packing 註明Country of origin</t>
        </r>
      </text>
    </comment>
    <comment ref="K3947" authorId="0" shapeId="0" xr:uid="{D3773D43-3757-3A4E-9FE8-3F323D02CE28}">
      <text>
        <r>
          <rPr>
            <sz val="10"/>
            <color rgb="FF000000"/>
            <rFont val="Aptos Narrow"/>
            <scheme val="minor"/>
          </rPr>
          <t>======
ID#AAABjx7qO54
    (2025-05-21 11:33:24)
與20140422B一起出</t>
        </r>
      </text>
    </comment>
    <comment ref="S3947" authorId="0" shapeId="0" xr:uid="{EE1001F9-A464-1C40-BD05-99C47A5ACB3F}">
      <text>
        <r>
          <rPr>
            <sz val="10"/>
            <color rgb="FF000000"/>
            <rFont val="Aptos Narrow"/>
            <scheme val="minor"/>
          </rPr>
          <t>======
ID#AAABjx7qR8o
    (2025-05-21 11:33:25)
5/9收到錢</t>
        </r>
      </text>
    </comment>
    <comment ref="E3948" authorId="0" shapeId="0" xr:uid="{0E827970-14B9-3F4C-82E6-5924E6ED06BE}">
      <text>
        <r>
          <rPr>
            <sz val="10"/>
            <color rgb="FF000000"/>
            <rFont val="Aptos Narrow"/>
            <scheme val="minor"/>
          </rPr>
          <t>======
ID#AAABjx7qVc8
    (2025-05-21 11:33:27)
請修正:V101ZHU110+
HJ101NA-02C</t>
        </r>
      </text>
    </comment>
    <comment ref="V3948" authorId="0" shapeId="0" xr:uid="{02FE668C-8D59-A649-A02C-D0FB19BF56B0}">
      <text>
        <r>
          <rPr>
            <sz val="10"/>
            <color rgb="FF000000"/>
            <rFont val="Aptos Narrow"/>
            <scheme val="minor"/>
          </rPr>
          <t>======
ID#AAABjx7qVqU
    (2025-05-21 11:33:27)
預付</t>
        </r>
      </text>
    </comment>
    <comment ref="R3949" authorId="0" shapeId="0" xr:uid="{85876884-09BE-DE46-9E78-3C611864FC40}">
      <text>
        <r>
          <rPr>
            <sz val="10"/>
            <color rgb="FF000000"/>
            <rFont val="Aptos Narrow"/>
            <scheme val="minor"/>
          </rPr>
          <t>======
ID#AAABj82dpIc
    (2025-05-21 11:33:23)
在此輸入
w/ VAT</t>
        </r>
      </text>
    </comment>
    <comment ref="R3952" authorId="0" shapeId="0" xr:uid="{9037B5DE-F903-F146-995D-0FBD3DE280EA}">
      <text>
        <r>
          <rPr>
            <sz val="10"/>
            <color rgb="FF000000"/>
            <rFont val="Aptos Narrow"/>
            <scheme val="minor"/>
          </rPr>
          <t>======
ID#AAABjx7qSHI
    (2025-05-21 11:33:26)
w/VAT (NT$5670)</t>
        </r>
      </text>
    </comment>
    <comment ref="V3952" authorId="0" shapeId="0" xr:uid="{FD0E8748-405F-AA4C-A2B3-1C53EDA24058}">
      <text>
        <r>
          <rPr>
            <sz val="10"/>
            <color rgb="FF000000"/>
            <rFont val="Aptos Narrow"/>
            <scheme val="minor"/>
          </rPr>
          <t>======
ID#AAABjx7qVg8
    (2025-05-21 11:33:27)
預付</t>
        </r>
      </text>
    </comment>
    <comment ref="R3953" authorId="0" shapeId="0" xr:uid="{118011CD-174B-6F41-A83A-94588ED55804}">
      <text>
        <r>
          <rPr>
            <sz val="10"/>
            <color rgb="FF000000"/>
            <rFont val="Aptos Narrow"/>
            <scheme val="minor"/>
          </rPr>
          <t>======
ID#AAABjx7qMr0
    (2025-05-21 11:33:23)
w/VAT (NTS$ 9870)</t>
        </r>
      </text>
    </comment>
    <comment ref="V3953" authorId="0" shapeId="0" xr:uid="{1ED47679-7B8B-C54D-A64A-ACB437C913BD}">
      <text>
        <r>
          <rPr>
            <sz val="10"/>
            <color rgb="FF000000"/>
            <rFont val="Aptos Narrow"/>
            <scheme val="minor"/>
          </rPr>
          <t>======
ID#AAABjx7qOlw
    (2025-05-21 11:33:24)
C1030514.84報價單</t>
        </r>
      </text>
    </comment>
    <comment ref="R3954" authorId="0" shapeId="0" xr:uid="{67DB65EF-1E62-D74C-A1BB-433B52A9A795}">
      <text>
        <r>
          <rPr>
            <sz val="10"/>
            <color rgb="FF000000"/>
            <rFont val="Aptos Narrow"/>
            <scheme val="minor"/>
          </rPr>
          <t>======
ID#AAABjx7qPYA
    (2025-05-21 11:33:24)
W/5%VAT</t>
        </r>
      </text>
    </comment>
    <comment ref="AB3954" authorId="0" shapeId="0" xr:uid="{E5917E54-11A4-3B41-AF94-A2B914E5A5BF}">
      <text>
        <r>
          <rPr>
            <sz val="10"/>
            <color rgb="FF000000"/>
            <rFont val="Aptos Narrow"/>
            <scheme val="minor"/>
          </rPr>
          <t>======
ID#AAABjx7qNS4
    (2025-05-21 11:33:23)
參考兆豐5/22即期匯率，開票匯率：30.12</t>
        </r>
      </text>
    </comment>
    <comment ref="S3955" authorId="0" shapeId="0" xr:uid="{15F79CCE-22B2-8F44-B060-320904EC49F5}">
      <text>
        <r>
          <rPr>
            <sz val="10"/>
            <color rgb="FF000000"/>
            <rFont val="Aptos Narrow"/>
            <scheme val="minor"/>
          </rPr>
          <t>======
ID#AAABjx7qQIM
    (2025-05-21 11:33:25)
含NRE $500</t>
        </r>
      </text>
    </comment>
    <comment ref="R3956" authorId="0" shapeId="0" xr:uid="{D1CB7C17-ED79-9A43-8EFF-428584721DED}">
      <text>
        <r>
          <rPr>
            <sz val="10"/>
            <color rgb="FF000000"/>
            <rFont val="Aptos Narrow"/>
            <scheme val="minor"/>
          </rPr>
          <t>======
ID#AAABjx7qORM
    (2025-05-21 11:33:24)
w/5% VAT</t>
        </r>
      </text>
    </comment>
    <comment ref="R3957" authorId="0" shapeId="0" xr:uid="{73A5A9E5-BD4A-AF4B-81A0-885008A2F2AF}">
      <text>
        <r>
          <rPr>
            <sz val="10"/>
            <color rgb="FF000000"/>
            <rFont val="Aptos Narrow"/>
            <scheme val="minor"/>
          </rPr>
          <t>======
ID#AAABj82dpHg
    (2025-05-21 11:33:23)
w/VAT</t>
        </r>
      </text>
    </comment>
    <comment ref="R3958" authorId="0" shapeId="0" xr:uid="{B5270940-0BEB-2A46-B06E-C6B03A6A9B21}">
      <text>
        <r>
          <rPr>
            <sz val="10"/>
            <color rgb="FF000000"/>
            <rFont val="Aptos Narrow"/>
            <scheme val="minor"/>
          </rPr>
          <t>======
ID#AAABjx7qVOk
    (2025-05-21 11:33:27)
w/VAT</t>
        </r>
      </text>
    </comment>
    <comment ref="AB3958" authorId="0" shapeId="0" xr:uid="{BEF8830D-4B99-7B41-8813-176F07279034}">
      <text>
        <r>
          <rPr>
            <sz val="10"/>
            <color rgb="FF000000"/>
            <rFont val="Aptos Narrow"/>
            <scheme val="minor"/>
          </rPr>
          <t>======
ID#AAABjx7qQek
    (2025-05-21 11:33:25)
參考富邦5/23即期匯率，開票匯率：30.139</t>
        </r>
      </text>
    </comment>
    <comment ref="R3959" authorId="0" shapeId="0" xr:uid="{667A37AF-0DA9-6640-A271-CD47AEBBF365}">
      <text>
        <r>
          <rPr>
            <sz val="10"/>
            <color rgb="FF000000"/>
            <rFont val="Aptos Narrow"/>
            <scheme val="minor"/>
          </rPr>
          <t>======
ID#AAABjx7qWbA
    (2025-05-21 11:33:27)
w/VAT</t>
        </r>
      </text>
    </comment>
    <comment ref="Z3960" authorId="0" shapeId="0" xr:uid="{CA0D4039-B651-454F-B92F-F6D053C24B64}">
      <text>
        <r>
          <rPr>
            <sz val="10"/>
            <color rgb="FF000000"/>
            <rFont val="Aptos Narrow"/>
            <scheme val="minor"/>
          </rPr>
          <t>======
ID#AAABjx7qWa4
    (2025-05-21 11:33:27)
由大陸進口</t>
        </r>
      </text>
    </comment>
    <comment ref="J3964" authorId="0" shapeId="0" xr:uid="{33E60588-593B-A641-8F8A-FFD499D69A28}">
      <text>
        <r>
          <rPr>
            <sz val="10"/>
            <color rgb="FF000000"/>
            <rFont val="Aptos Narrow"/>
            <scheme val="minor"/>
          </rPr>
          <t>======
ID#AAABjx7qQ6I
    (2025-05-21 11:33:25)
不需產地證明
但invoice and packing 註明Country of origin</t>
        </r>
      </text>
    </comment>
    <comment ref="Q3965" authorId="0" shapeId="0" xr:uid="{E9DE6FF6-6D2C-FD4F-BEEE-A021116FCED3}">
      <text>
        <r>
          <rPr>
            <sz val="10"/>
            <color rgb="FF000000"/>
            <rFont val="Aptos Narrow"/>
            <scheme val="minor"/>
          </rPr>
          <t>======
ID#AAABjx7qRsg
Santiago    (2025-05-21 11:33:25)
0523 已付款
故用黑字註記</t>
        </r>
      </text>
    </comment>
    <comment ref="R3965" authorId="0" shapeId="0" xr:uid="{670CE7E6-BE2A-BD45-BCCB-33631CCD4F15}">
      <text>
        <r>
          <rPr>
            <sz val="10"/>
            <color rgb="FF000000"/>
            <rFont val="Aptos Narrow"/>
            <scheme val="minor"/>
          </rPr>
          <t>======
ID#AAABj82dpOI
    (2025-05-21 11:33:23)
w/vat</t>
        </r>
      </text>
    </comment>
    <comment ref="S3965" authorId="0" shapeId="0" xr:uid="{ACE7463E-FE57-B046-96F1-F0CFDB387992}">
      <text>
        <r>
          <rPr>
            <sz val="10"/>
            <color rgb="FF000000"/>
            <rFont val="Aptos Narrow"/>
            <scheme val="minor"/>
          </rPr>
          <t>======
ID#AAABjx7qR5Q
    (2025-05-21 11:33:25)
5/26已TT</t>
        </r>
      </text>
    </comment>
    <comment ref="R3966" authorId="0" shapeId="0" xr:uid="{DE4D0476-B90C-7E4F-AE0A-D19EEEFB4973}">
      <text>
        <r>
          <rPr>
            <sz val="10"/>
            <color rgb="FF000000"/>
            <rFont val="Aptos Narrow"/>
            <scheme val="minor"/>
          </rPr>
          <t>======
ID#AAABjx7qPfk
    (2025-05-21 11:33:24)
w/vot</t>
        </r>
      </text>
    </comment>
    <comment ref="S3966" authorId="0" shapeId="0" xr:uid="{B24F5C88-B346-2F40-939D-FDBC88DE7C94}">
      <text>
        <r>
          <rPr>
            <sz val="10"/>
            <color rgb="FF000000"/>
            <rFont val="Aptos Narrow"/>
            <scheme val="minor"/>
          </rPr>
          <t>======
ID#AAABjx7qM60
    (2025-05-21 11:33:23)
5/26已TT</t>
        </r>
      </text>
    </comment>
    <comment ref="J3968" authorId="0" shapeId="0" xr:uid="{1192B0CE-94B6-6448-B6F1-E8E8E493990B}">
      <text>
        <r>
          <rPr>
            <sz val="10"/>
            <color rgb="FF000000"/>
            <rFont val="Aptos Narrow"/>
            <scheme val="minor"/>
          </rPr>
          <t>======
ID#AAABjx7qQTM
    (2025-05-21 11:33:25)
不需產地證明
但invoice and packing 註明Country of origin</t>
        </r>
      </text>
    </comment>
    <comment ref="J3969" authorId="0" shapeId="0" xr:uid="{E344550F-0D99-3D41-885B-C55001CF0997}">
      <text>
        <r>
          <rPr>
            <sz val="10"/>
            <color rgb="FF000000"/>
            <rFont val="Aptos Narrow"/>
            <scheme val="minor"/>
          </rPr>
          <t>======
ID#AAABjx7qP_c
    (2025-05-21 11:33:25)
不需產地證明
但invoice and packing 註明Country of origin</t>
        </r>
      </text>
    </comment>
    <comment ref="J3970" authorId="0" shapeId="0" xr:uid="{FA6A08C8-9917-E243-A64C-81BBA746A0F4}">
      <text>
        <r>
          <rPr>
            <sz val="10"/>
            <color rgb="FF000000"/>
            <rFont val="Aptos Narrow"/>
            <scheme val="minor"/>
          </rPr>
          <t>======
ID#AAABjx7qVok
    (2025-05-21 11:33:27)
不需產地證明
但invoice and packing 註明Country of origin</t>
        </r>
      </text>
    </comment>
    <comment ref="R3971" authorId="0" shapeId="0" xr:uid="{9E0A8D2B-3D88-A542-8A28-5B0D2ABEBC18}">
      <text>
        <r>
          <rPr>
            <sz val="10"/>
            <color rgb="FF000000"/>
            <rFont val="Aptos Narrow"/>
            <scheme val="minor"/>
          </rPr>
          <t>======
ID#AAABjx7qNZY
    (2025-05-21 11:33:23)
w/5%VAT</t>
        </r>
      </text>
    </comment>
    <comment ref="S3971" authorId="0" shapeId="0" xr:uid="{53D1B54B-DFE3-794D-B115-4478342D8BBB}">
      <text>
        <r>
          <rPr>
            <sz val="10"/>
            <color rgb="FF000000"/>
            <rFont val="Aptos Narrow"/>
            <scheme val="minor"/>
          </rPr>
          <t>======
ID#AAABjx7qSwE
    (2025-05-21 11:33:26)
w/5%VAT</t>
        </r>
      </text>
    </comment>
    <comment ref="S3972" authorId="0" shapeId="0" xr:uid="{2E28C7A6-16DC-2F40-B1DE-EAC3864D0130}">
      <text>
        <r>
          <rPr>
            <sz val="10"/>
            <color rgb="FF000000"/>
            <rFont val="Aptos Narrow"/>
            <scheme val="minor"/>
          </rPr>
          <t>======
ID#AAABjx7qR84
    (2025-05-21 11:33:25)
w/5%VAT</t>
        </r>
      </text>
    </comment>
    <comment ref="J3973" authorId="0" shapeId="0" xr:uid="{8ED1C084-B26D-0441-A47D-126C618FD8F1}">
      <text>
        <r>
          <rPr>
            <sz val="10"/>
            <color rgb="FF000000"/>
            <rFont val="Aptos Narrow"/>
            <scheme val="minor"/>
          </rPr>
          <t>======
ID#AAABjx7qTMM
    (2025-05-21 11:33:26)
Applied Industrial的客戶 GE - Bangalore的DHL帳號</t>
        </r>
      </text>
    </comment>
    <comment ref="S3974" authorId="0" shapeId="0" xr:uid="{1A50D741-7769-784F-B6AB-A878D4080793}">
      <text>
        <r>
          <rPr>
            <sz val="10"/>
            <color rgb="FF000000"/>
            <rFont val="Aptos Narrow"/>
            <scheme val="minor"/>
          </rPr>
          <t>======
ID#AAABjx7qQaU
    (2025-05-21 11:33:25)
with VAT 5%</t>
        </r>
      </text>
    </comment>
    <comment ref="S3975" authorId="0" shapeId="0" xr:uid="{487DE754-F762-0E4C-B512-C8CF90EFA36E}">
      <text>
        <r>
          <rPr>
            <sz val="10"/>
            <color rgb="FF000000"/>
            <rFont val="Aptos Narrow"/>
            <scheme val="minor"/>
          </rPr>
          <t>======
ID#AAABjx7qM3E
    (2025-05-21 11:33:23)
with VAT 5%</t>
        </r>
      </text>
    </comment>
    <comment ref="S3976" authorId="0" shapeId="0" xr:uid="{E8A3AA47-9FC2-D648-8B4F-B66082EA59ED}">
      <text>
        <r>
          <rPr>
            <sz val="10"/>
            <color rgb="FF000000"/>
            <rFont val="Aptos Narrow"/>
            <scheme val="minor"/>
          </rPr>
          <t>======
ID#AAABjx7qRNw
    (2025-05-21 11:33:25)
with VAT 5%</t>
        </r>
      </text>
    </comment>
    <comment ref="S3977" authorId="0" shapeId="0" xr:uid="{5F5A8F8D-CE55-5742-A0A2-77C92C476001}">
      <text>
        <r>
          <rPr>
            <sz val="10"/>
            <color rgb="FF000000"/>
            <rFont val="Aptos Narrow"/>
            <scheme val="minor"/>
          </rPr>
          <t>======
ID#AAABjx7qRjw
    (2025-05-21 11:33:25)
with VAT 5%</t>
        </r>
      </text>
    </comment>
    <comment ref="S3978" authorId="0" shapeId="0" xr:uid="{874D3A93-BF41-1741-9B7F-1241584A74C4}">
      <text>
        <r>
          <rPr>
            <sz val="10"/>
            <color rgb="FF000000"/>
            <rFont val="Aptos Narrow"/>
            <scheme val="minor"/>
          </rPr>
          <t>======
ID#AAABjx7qWYc
    (2025-05-21 11:33:27)
with VAT 5%</t>
        </r>
      </text>
    </comment>
    <comment ref="R3980" authorId="0" shapeId="0" xr:uid="{8E50E300-FAF7-3E46-9174-81390D0BBA27}">
      <text>
        <r>
          <rPr>
            <sz val="10"/>
            <color rgb="FF000000"/>
            <rFont val="Aptos Narrow"/>
            <scheme val="minor"/>
          </rPr>
          <t>======
ID#AAABjx7qTaI
0813 Santiago    (2025-05-21 11:33:26)
Alan 報錯價為US$144.
實際應為US$152
已發信通知客戶此錯誤,
未來會調整回來152</t>
        </r>
      </text>
    </comment>
    <comment ref="S3980" authorId="0" shapeId="0" xr:uid="{0D2226B8-9618-F541-837F-FBB527CC3019}">
      <text>
        <r>
          <rPr>
            <sz val="10"/>
            <color rgb="FF000000"/>
            <rFont val="Aptos Narrow"/>
            <scheme val="minor"/>
          </rPr>
          <t>======
ID#AAABjx7qVPk
    (2025-05-21 11:33:27)
with VAT 5%
0813 Santiago:
Alan 報錯價為US$144.
實際應為US$152
已發信通知客戶此錯誤,
未來會調整回來152</t>
        </r>
      </text>
    </comment>
    <comment ref="S3981" authorId="0" shapeId="0" xr:uid="{D83F345C-8BC1-5240-81AC-E53D6A87A6A4}">
      <text>
        <r>
          <rPr>
            <sz val="10"/>
            <color rgb="FF000000"/>
            <rFont val="Aptos Narrow"/>
            <scheme val="minor"/>
          </rPr>
          <t>======
ID#AAABjx7qVGc
    (2025-05-21 11:33:27)
with VAT 5%</t>
        </r>
      </text>
    </comment>
    <comment ref="S3982" authorId="0" shapeId="0" xr:uid="{05E14DB9-A2D0-964D-8391-980C1C0BB50F}">
      <text>
        <r>
          <rPr>
            <sz val="10"/>
            <color rgb="FF000000"/>
            <rFont val="Aptos Narrow"/>
            <scheme val="minor"/>
          </rPr>
          <t>======
ID#AAABjx7qSuU
    (2025-05-21 11:33:26)
with VAT 5%</t>
        </r>
      </text>
    </comment>
    <comment ref="S3983" authorId="0" shapeId="0" xr:uid="{61DA662A-6569-BC40-A4C6-1DE0FBF87382}">
      <text>
        <r>
          <rPr>
            <sz val="10"/>
            <color rgb="FF000000"/>
            <rFont val="Aptos Narrow"/>
            <scheme val="minor"/>
          </rPr>
          <t>======
ID#AAABjx7qOFg
    (2025-05-21 11:33:24)
with VAT 5%</t>
        </r>
      </text>
    </comment>
    <comment ref="K3984" authorId="0" shapeId="0" xr:uid="{2034E626-9D03-B143-9802-6713ACB6A40F}">
      <text>
        <r>
          <rPr>
            <sz val="10"/>
            <color rgb="FF000000"/>
            <rFont val="Aptos Narrow"/>
            <scheme val="minor"/>
          </rPr>
          <t>======
ID#AAABjx7qPWg
    (2025-05-21 11:33:24)
因大榮貨運問題，遲一天出</t>
        </r>
      </text>
    </comment>
    <comment ref="S3984" authorId="0" shapeId="0" xr:uid="{DC1A7D83-C915-1D41-9E3B-A2798FB71990}">
      <text>
        <r>
          <rPr>
            <sz val="10"/>
            <color rgb="FF000000"/>
            <rFont val="Aptos Narrow"/>
            <scheme val="minor"/>
          </rPr>
          <t>======
ID#AAABjx7qOPc
    (2025-05-21 11:33:24)
with VAT 5%</t>
        </r>
      </text>
    </comment>
    <comment ref="D3985" authorId="0" shapeId="0" xr:uid="{493C23EA-284B-034E-8276-36CE6A465478}">
      <text>
        <r>
          <rPr>
            <sz val="10"/>
            <color rgb="FF000000"/>
            <rFont val="Aptos Narrow"/>
            <scheme val="minor"/>
          </rPr>
          <t>======
ID#AAABjx7qQFs
    (2025-05-21 11:33:25)
配合客戶發QUOTATION LIST 因此PI 延遲於6/30發出</t>
        </r>
      </text>
    </comment>
    <comment ref="K3985" authorId="0" shapeId="0" xr:uid="{353D7CDB-FEBD-0549-AB73-B21771AD296F}">
      <text>
        <r>
          <rPr>
            <sz val="10"/>
            <color rgb="FF000000"/>
            <rFont val="Aptos Narrow"/>
            <scheme val="minor"/>
          </rPr>
          <t>======
ID#AAABjx7qTos
0710 Santiago    (2025-05-21 11:33:26)
此單延至週二出. 
因為要確認好貨款到位以及包材事宜</t>
        </r>
      </text>
    </comment>
    <comment ref="S3985" authorId="0" shapeId="0" xr:uid="{B7733D3C-9502-8B4A-9EEC-52213D3BE786}">
      <text>
        <r>
          <rPr>
            <sz val="10"/>
            <color rgb="FF000000"/>
            <rFont val="Aptos Narrow"/>
            <scheme val="minor"/>
          </rPr>
          <t>======
ID#AAABjx7qSIQ
    (2025-05-21 11:33:26)
入帳 47944.62
10% down payment (7/8 received)
90% T/T in advance</t>
        </r>
      </text>
    </comment>
    <comment ref="K3986" authorId="0" shapeId="0" xr:uid="{025B3BE7-D2CC-A543-B8BE-CD011C8AA934}">
      <text>
        <r>
          <rPr>
            <sz val="10"/>
            <color rgb="FF000000"/>
            <rFont val="Aptos Narrow"/>
            <scheme val="minor"/>
          </rPr>
          <t>======
ID#AAABjx7qP40
0710 Santiago    (2025-05-21 11:33:24)
此單延至週二出. 
因為要確認好貨款到位以及包材事宜</t>
        </r>
      </text>
    </comment>
    <comment ref="S3986" authorId="0" shapeId="0" xr:uid="{DC98B931-7545-DC48-871F-AF04DFA1FA7A}">
      <text>
        <r>
          <rPr>
            <sz val="10"/>
            <color rgb="FF000000"/>
            <rFont val="Aptos Narrow"/>
            <scheme val="minor"/>
          </rPr>
          <t>======
ID#AAABjx7qRmM
    (2025-05-21 11:33:25)
入帳 47944.62
10% down payment (7/8 received)
90% T/T in advance</t>
        </r>
      </text>
    </comment>
    <comment ref="K3987" authorId="0" shapeId="0" xr:uid="{5AF242CA-92C2-474A-8926-9AB2CDF3DB03}">
      <text>
        <r>
          <rPr>
            <sz val="10"/>
            <color rgb="FF000000"/>
            <rFont val="Aptos Narrow"/>
            <scheme val="minor"/>
          </rPr>
          <t>======
ID#AAABjx7qOhA
0710 Santiago    (2025-05-21 11:33:24)
此單延至週二出. 
因為要確認好貨款到位以及包材事宜</t>
        </r>
      </text>
    </comment>
    <comment ref="S3987" authorId="0" shapeId="0" xr:uid="{BFF5E20B-08EA-7245-95B1-B45F0AE9DFEA}">
      <text>
        <r>
          <rPr>
            <sz val="10"/>
            <color rgb="FF000000"/>
            <rFont val="Aptos Narrow"/>
            <scheme val="minor"/>
          </rPr>
          <t>======
ID#AAABjx7qTRk
    (2025-05-21 11:33:26)
入帳 47944.62
10% down payment(7/8 received)
90% T/T in advance</t>
        </r>
      </text>
    </comment>
    <comment ref="S3989" authorId="0" shapeId="0" xr:uid="{B36DD5FC-A5B1-EE42-AB2D-2DFD7854A325}">
      <text>
        <r>
          <rPr>
            <sz val="10"/>
            <color rgb="FF000000"/>
            <rFont val="Aptos Narrow"/>
            <scheme val="minor"/>
          </rPr>
          <t>======
ID#AAABjx7qWRo
    (2025-05-21 11:33:27)
with VAT 5%</t>
        </r>
      </text>
    </comment>
    <comment ref="S3992" authorId="0" shapeId="0" xr:uid="{91122065-2035-0A46-BDA1-CD5C55C514F9}">
      <text>
        <r>
          <rPr>
            <sz val="10"/>
            <color rgb="FF000000"/>
            <rFont val="Aptos Narrow"/>
            <scheme val="minor"/>
          </rPr>
          <t>======
ID#AAABjx7qNvk
    (2025-05-21 11:33:23)
入帳 USD 3580</t>
        </r>
      </text>
    </comment>
    <comment ref="S3995" authorId="0" shapeId="0" xr:uid="{9B535B65-71C8-E341-8561-982322CEB2D1}">
      <text>
        <r>
          <rPr>
            <sz val="10"/>
            <color rgb="FF000000"/>
            <rFont val="Aptos Narrow"/>
            <scheme val="minor"/>
          </rPr>
          <t>======
ID#AAABjx7qNt4
    (2025-05-21 11:33:23)
9/29 收到US$1962.1</t>
        </r>
      </text>
    </comment>
    <comment ref="S3996" authorId="0" shapeId="0" xr:uid="{A9FA058F-022D-7E4C-8915-39287467B32E}">
      <text>
        <r>
          <rPr>
            <sz val="10"/>
            <color rgb="FF000000"/>
            <rFont val="Aptos Narrow"/>
            <scheme val="minor"/>
          </rPr>
          <t>======
ID#AAABjx7qQ5Q
    (2025-05-21 11:33:25)
9/29 收到US$1962.1</t>
        </r>
      </text>
    </comment>
    <comment ref="S3997" authorId="0" shapeId="0" xr:uid="{D548D565-9D50-5F47-B816-42C3CECA57B2}">
      <text>
        <r>
          <rPr>
            <sz val="10"/>
            <color rgb="FF000000"/>
            <rFont val="Aptos Narrow"/>
            <scheme val="minor"/>
          </rPr>
          <t>======
ID#AAABjx7qOkk
    (2025-05-21 11:33:24)
入帳 USD3215.32
0826 匯入</t>
        </r>
      </text>
    </comment>
    <comment ref="R4002" authorId="0" shapeId="0" xr:uid="{1BEBB751-08E2-B746-A2CC-3A782421F5AE}">
      <text>
        <r>
          <rPr>
            <sz val="10"/>
            <color rgb="FF000000"/>
            <rFont val="Aptos Narrow"/>
            <scheme val="minor"/>
          </rPr>
          <t>======
ID#AAABjx7qOrU
    (2025-05-21 11:33:24)
w/Tax</t>
        </r>
      </text>
    </comment>
    <comment ref="H4003" authorId="0" shapeId="0" xr:uid="{ED26B1B1-A124-0644-923F-B1EBA2C605DD}">
      <text>
        <r>
          <rPr>
            <sz val="10"/>
            <color rgb="FF000000"/>
            <rFont val="Aptos Narrow"/>
            <scheme val="minor"/>
          </rPr>
          <t>======
ID#AAABjx7qPCc
    (2025-05-21 11:33:24)
VAT 5%
9/1匯</t>
        </r>
      </text>
    </comment>
    <comment ref="R4003" authorId="0" shapeId="0" xr:uid="{3EE53AF1-FC3C-9849-B8C8-3B5ED3489FFD}">
      <text>
        <r>
          <rPr>
            <sz val="10"/>
            <color rgb="FF000000"/>
            <rFont val="Aptos Narrow"/>
            <scheme val="minor"/>
          </rPr>
          <t>======
ID#AAABjx7qU3Q
    (2025-05-21 11:33:26)
VAT 5%</t>
        </r>
      </text>
    </comment>
    <comment ref="S4003" authorId="0" shapeId="0" xr:uid="{A9E46365-4FC0-A241-A3A0-6C52450F1654}">
      <text>
        <r>
          <rPr>
            <sz val="10"/>
            <color rgb="FF000000"/>
            <rFont val="Aptos Narrow"/>
            <scheme val="minor"/>
          </rPr>
          <t>======
ID#AAABjx7qUv0
    (2025-05-21 11:33:26)
0901 匯入</t>
        </r>
      </text>
    </comment>
    <comment ref="J4004" authorId="0" shapeId="0" xr:uid="{8605E328-81F6-3148-BB84-1930DB92E411}">
      <text>
        <r>
          <rPr>
            <sz val="10"/>
            <color rgb="FF000000"/>
            <rFont val="Aptos Narrow"/>
            <scheme val="minor"/>
          </rPr>
          <t>======
ID#AAABjx7qOyA
    (2025-05-21 11:33:24)
Applied Industrial的客戶 GE - Bangalore的DHL帳號</t>
        </r>
      </text>
    </comment>
    <comment ref="S4004" authorId="0" shapeId="0" xr:uid="{82D43CAC-EA11-4A4D-AF8B-239BC027A4D3}">
      <text>
        <r>
          <rPr>
            <sz val="10"/>
            <color rgb="FF000000"/>
            <rFont val="Aptos Narrow"/>
            <scheme val="minor"/>
          </rPr>
          <t>======
ID#AAABjx7qQL4
    (2025-05-21 11:33:25)
入帳 USD 700.32</t>
        </r>
      </text>
    </comment>
    <comment ref="S4005" authorId="0" shapeId="0" xr:uid="{BB5D195F-0287-E147-9826-0980AEAFB30D}">
      <text>
        <r>
          <rPr>
            <sz val="10"/>
            <color rgb="FF000000"/>
            <rFont val="Aptos Narrow"/>
            <scheme val="minor"/>
          </rPr>
          <t>======
ID#AAABjx7qS7M
    (2025-05-21 11:33:26)
入帳 USD 1034.52</t>
        </r>
      </text>
    </comment>
    <comment ref="R4007" authorId="0" shapeId="0" xr:uid="{733C8269-0B53-854D-8100-A9D446195EE0}">
      <text>
        <r>
          <rPr>
            <sz val="10"/>
            <color rgb="FF000000"/>
            <rFont val="Aptos Narrow"/>
            <scheme val="minor"/>
          </rPr>
          <t>======
ID#AAABjx7qRW4
    (2025-05-21 11:33:25)
w/Tax</t>
        </r>
      </text>
    </comment>
    <comment ref="O4008" authorId="0" shapeId="0" xr:uid="{84F30ABE-F4C7-BF41-84C4-D50275274BD7}">
      <text>
        <r>
          <rPr>
            <sz val="10"/>
            <color rgb="FF000000"/>
            <rFont val="Aptos Narrow"/>
            <scheme val="minor"/>
          </rPr>
          <t>======
ID#AAABjx7qTYQ
    (2025-05-21 11:33:26)
140722
8679: 9pcs
8681: 11pcs</t>
        </r>
      </text>
    </comment>
    <comment ref="Q4008" authorId="0" shapeId="0" xr:uid="{8F8D9F7A-1718-4E4A-AD7B-75008F52DF54}">
      <text>
        <r>
          <rPr>
            <sz val="10"/>
            <color rgb="FF000000"/>
            <rFont val="Aptos Narrow"/>
            <scheme val="minor"/>
          </rPr>
          <t>======
ID#AAABjx7qNbE
    (2025-05-21 11:33:23)
140722
8679: 9pcs US$1077.3
8681: 11pcs US$1316.7</t>
        </r>
      </text>
    </comment>
    <comment ref="R4008" authorId="0" shapeId="0" xr:uid="{069113CA-A032-0F40-9DF1-D0A53EE59D05}">
      <text>
        <r>
          <rPr>
            <sz val="10"/>
            <color rgb="FF000000"/>
            <rFont val="Aptos Narrow"/>
            <scheme val="minor"/>
          </rPr>
          <t>======
ID#AAABjx7qVi0
    (2025-05-21 11:33:27)
w/Tax</t>
        </r>
      </text>
    </comment>
    <comment ref="S4008" authorId="0" shapeId="0" xr:uid="{0E4DCD53-5448-7649-805C-9D66C6396292}">
      <text>
        <r>
          <rPr>
            <sz val="10"/>
            <color rgb="FF000000"/>
            <rFont val="Aptos Narrow"/>
            <scheme val="minor"/>
          </rPr>
          <t>======
ID#AAABjx7qV_o
    (2025-05-21 11:33:27)
台銀8/12匯率29.4</t>
        </r>
      </text>
    </comment>
    <comment ref="K4009" authorId="0" shapeId="0" xr:uid="{6CA93A42-E8D7-9D42-A2C0-F2B5B60D9708}">
      <text>
        <r>
          <rPr>
            <sz val="10"/>
            <color rgb="FF000000"/>
            <rFont val="Aptos Narrow"/>
            <scheme val="minor"/>
          </rPr>
          <t>======
ID#AAABjx7qV-g
    (2025-05-21 11:33:27)
原本交期 7/24. 
待Karen 和業務重新確認</t>
        </r>
      </text>
    </comment>
    <comment ref="R4009" authorId="0" shapeId="0" xr:uid="{A94E07BD-83CC-B24D-9868-F770A0EC0477}">
      <text>
        <r>
          <rPr>
            <sz val="10"/>
            <color rgb="FF000000"/>
            <rFont val="Aptos Narrow"/>
            <scheme val="minor"/>
          </rPr>
          <t>======
ID#AAABjx7qR-g
    (2025-05-21 11:33:25)
w/Tax</t>
        </r>
      </text>
    </comment>
    <comment ref="S4009" authorId="0" shapeId="0" xr:uid="{9CA01797-2CC0-CC4A-B655-2D6D27DE1FC1}">
      <text>
        <r>
          <rPr>
            <sz val="10"/>
            <color rgb="FF000000"/>
            <rFont val="Aptos Narrow"/>
            <scheme val="minor"/>
          </rPr>
          <t>======
ID#AAABjx7qOqg
    (2025-05-21 11:33:24)
台銀匯率29.9</t>
        </r>
      </text>
    </comment>
    <comment ref="S4013" authorId="0" shapeId="0" xr:uid="{887F71D3-D727-9841-8B51-FD04D26088A9}">
      <text>
        <r>
          <rPr>
            <sz val="10"/>
            <color rgb="FF000000"/>
            <rFont val="Aptos Narrow"/>
            <scheme val="minor"/>
          </rPr>
          <t>======
ID#AAABjx7qNys
    (2025-05-21 11:33:23)
入帳 3593.32</t>
        </r>
      </text>
    </comment>
    <comment ref="S4020" authorId="0" shapeId="0" xr:uid="{44B3F9F4-E8D9-2F46-9A99-F077A44F7FF6}">
      <text>
        <r>
          <rPr>
            <sz val="10"/>
            <color rgb="FF000000"/>
            <rFont val="Aptos Narrow"/>
            <scheme val="minor"/>
          </rPr>
          <t>======
ID#AAABjx7qRK4
    (2025-05-21 11:33:25)
入帳 USD 3980.32
$25 credit from last order (PI-20140212A)</t>
        </r>
      </text>
    </comment>
    <comment ref="S4021" authorId="0" shapeId="0" xr:uid="{A850D339-D5C6-944C-B11A-AD55FF4D7354}">
      <text>
        <r>
          <rPr>
            <sz val="10"/>
            <color rgb="FF000000"/>
            <rFont val="Aptos Narrow"/>
            <scheme val="minor"/>
          </rPr>
          <t>======
ID#AAABjx7qNhc
    (2025-05-21 11:33:23)
入帳 USD 3980.32</t>
        </r>
      </text>
    </comment>
    <comment ref="AB4021" authorId="0" shapeId="0" xr:uid="{8EE0B6CA-DE94-8F4D-8057-AC6D95D1AEF0}">
      <text>
        <r>
          <rPr>
            <sz val="10"/>
            <color rgb="FF000000"/>
            <rFont val="Aptos Narrow"/>
            <scheme val="minor"/>
          </rPr>
          <t>======
ID#AAABjx7qNak
    (2025-05-21 11:33:23)
FEDEX-898466913765</t>
        </r>
      </text>
    </comment>
    <comment ref="S4023" authorId="0" shapeId="0" xr:uid="{9089B6D3-0C09-7D4F-9C16-4CDDF75C6561}">
      <text>
        <r>
          <rPr>
            <sz val="10"/>
            <color rgb="FF000000"/>
            <rFont val="Aptos Narrow"/>
            <scheme val="minor"/>
          </rPr>
          <t>======
ID#AAABjx7qM8o
    (2025-05-21 11:33:23)
1001 Santiago 收到貨款</t>
        </r>
      </text>
    </comment>
    <comment ref="S4024" authorId="0" shapeId="0" xr:uid="{3468E12D-56CE-E14B-904E-98097F927591}">
      <text>
        <r>
          <rPr>
            <sz val="10"/>
            <color rgb="FF000000"/>
            <rFont val="Aptos Narrow"/>
            <scheme val="minor"/>
          </rPr>
          <t>======
ID#AAABjx7qVhc
    (2025-05-21 11:33:27)
台銀8/12匯率29.4</t>
        </r>
      </text>
    </comment>
    <comment ref="D4027" authorId="0" shapeId="0" xr:uid="{1D2F9722-921C-8B49-BB75-3F22B90C9D37}">
      <text>
        <r>
          <rPr>
            <sz val="10"/>
            <color rgb="FF000000"/>
            <rFont val="Aptos Narrow"/>
            <scheme val="minor"/>
          </rPr>
          <t>======
ID#AAABjx7qWNY
8/1 Santiago    (2025-05-21 11:33:27)
原本Forster 打的PI 號碼為0730A. 但因為和Alan 7/30 受訂號碼是同一筆, 因此修改為0731B.</t>
        </r>
      </text>
    </comment>
    <comment ref="J4028" authorId="0" shapeId="0" xr:uid="{9348F765-129F-744D-B8B2-441799E86330}">
      <text>
        <r>
          <rPr>
            <sz val="10"/>
            <color rgb="FF000000"/>
            <rFont val="Aptos Narrow"/>
            <scheme val="minor"/>
          </rPr>
          <t>======
ID#AAABjx7qM_E
    (2025-05-21 11:33:23)
同PI-20140813A出貨
B.RGDS
JUDY KAO
Supervisor Of Sales Div.
FETA FREIGHT SYSTEMS (TAIWAN ) LTD. 
Tel: +886-3-399-2033 EXT: 135
Direct: +886-3-3992106
Fax: +886-3-3992036/2055
E-mail: judykao@ffsi.com.tw
Skype:judykao-mlattao</t>
        </r>
      </text>
    </comment>
    <comment ref="O4028" authorId="0" shapeId="0" xr:uid="{89ECB30C-05C3-CB48-87B8-2E9B1CD595BA}">
      <text>
        <r>
          <rPr>
            <sz val="10"/>
            <color rgb="FF000000"/>
            <rFont val="Aptos Narrow"/>
            <scheme val="minor"/>
          </rPr>
          <t>======
ID#AAABjx7qSes
    (2025-05-21 11:33:26)
8/19 舊單號20140800131264</t>
        </r>
      </text>
    </comment>
    <comment ref="S4028" authorId="0" shapeId="0" xr:uid="{3C49E7EE-5693-1A4D-B00F-8E61F5991233}">
      <text>
        <r>
          <rPr>
            <sz val="10"/>
            <color rgb="FF000000"/>
            <rFont val="Aptos Narrow"/>
            <scheme val="minor"/>
          </rPr>
          <t>======
ID#AAABjx7qU5w
    (2025-05-21 11:33:27)
入帳 USD23020.32
0820 收到款項</t>
        </r>
      </text>
    </comment>
    <comment ref="X4028" authorId="0" shapeId="0" xr:uid="{51427F44-7DF3-544B-B57C-80DD39168F96}">
      <text>
        <r>
          <rPr>
            <sz val="10"/>
            <color rgb="FF000000"/>
            <rFont val="Aptos Narrow"/>
            <scheme val="minor"/>
          </rPr>
          <t>======
ID#AAABjx7qWFY
    (2025-05-21 11:33:27)
與PI-20140813A 一起</t>
        </r>
      </text>
    </comment>
    <comment ref="R4029" authorId="0" shapeId="0" xr:uid="{C4A6CEC0-114B-7940-A4D8-E32862BEE961}">
      <text>
        <r>
          <rPr>
            <sz val="10"/>
            <color rgb="FF000000"/>
            <rFont val="Aptos Narrow"/>
            <scheme val="minor"/>
          </rPr>
          <t>======
ID#AAABjx7qPeg
    (2025-05-21 11:33:24)
後改需要DB9 cable故少收 $6x5pcs=$30,客戶下次補</t>
        </r>
      </text>
    </comment>
    <comment ref="S4031" authorId="0" shapeId="0" xr:uid="{DCAB2D95-2CBC-9A4F-8462-3886C09A8469}">
      <text>
        <r>
          <rPr>
            <sz val="10"/>
            <color rgb="FF000000"/>
            <rFont val="Aptos Narrow"/>
            <scheme val="minor"/>
          </rPr>
          <t>======
ID#AAABjx7qUyw
    (2025-05-21 11:33:26)
0901匯入</t>
        </r>
      </text>
    </comment>
    <comment ref="O4033" authorId="0" shapeId="0" xr:uid="{6F397E6E-4601-F14C-A016-D96CCE7B3D7A}">
      <text>
        <r>
          <rPr>
            <sz val="10"/>
            <color rgb="FF000000"/>
            <rFont val="Aptos Narrow"/>
            <scheme val="minor"/>
          </rPr>
          <t>======
ID#AAABjx7qVTE
    (2025-05-21 11:33:27)
8/18 舊單號20140800131152</t>
        </r>
      </text>
    </comment>
    <comment ref="S4033" authorId="0" shapeId="0" xr:uid="{82B645AD-1E02-EA42-B20A-72A575EC0A7C}">
      <text>
        <r>
          <rPr>
            <sz val="10"/>
            <color rgb="FF000000"/>
            <rFont val="Aptos Narrow"/>
            <scheme val="minor"/>
          </rPr>
          <t>======
ID#AAABjx7qPfc
    (2025-05-21 11:33:24)
台銀8/12匯率29.4
20140922收到</t>
        </r>
      </text>
    </comment>
    <comment ref="S4034" authorId="0" shapeId="0" xr:uid="{F16E3F4D-CEC3-6C43-B268-36691C51A246}">
      <text>
        <r>
          <rPr>
            <sz val="10"/>
            <color rgb="FF000000"/>
            <rFont val="Aptos Narrow"/>
            <scheme val="minor"/>
          </rPr>
          <t>======
ID#AAABjx7qRIo
    (2025-05-21 11:33:25)
台銀8/12匯率29.4
20140922收到</t>
        </r>
      </text>
    </comment>
    <comment ref="J4035" authorId="0" shapeId="0" xr:uid="{6951DCA2-EB4F-234D-9AA9-9C8985DEE4EE}">
      <text>
        <r>
          <rPr>
            <sz val="10"/>
            <color rgb="FF000000"/>
            <rFont val="Aptos Narrow"/>
            <scheme val="minor"/>
          </rPr>
          <t>======
ID#AAABjx7qS5A
    (2025-05-21 11:33:26)
同PI-20140805B出貨
B.RGDS
JUDY KAO
Supervisor Of Sales Div.
FETA FREIGHT SYSTEMS (TAIWAN ) LTD. 
Tel: +886-3-399-2033 EXT: 135
Direct: +886-3-3992106
Fax: +886-3-3992036/2055
E-mail: judykao@ffsi.com.tw
Skype:judykao-mlattao</t>
        </r>
      </text>
    </comment>
    <comment ref="O4035" authorId="0" shapeId="0" xr:uid="{BDBCA037-59F9-244F-9B30-9E15EA32899D}">
      <text>
        <r>
          <rPr>
            <sz val="10"/>
            <color rgb="FF000000"/>
            <rFont val="Aptos Narrow"/>
            <scheme val="minor"/>
          </rPr>
          <t>======
ID#AAABjx7qRMU
    (2025-05-21 11:33:25)
8/19 舊單號20140800131264</t>
        </r>
      </text>
    </comment>
    <comment ref="S4035" authorId="0" shapeId="0" xr:uid="{C5498ED6-1142-A742-9E90-0E8B47113A56}">
      <text>
        <r>
          <rPr>
            <sz val="10"/>
            <color rgb="FF000000"/>
            <rFont val="Aptos Narrow"/>
            <scheme val="minor"/>
          </rPr>
          <t>======
ID#AAABjx7qP9E
    (2025-05-21 11:33:25)
入帳 USD23020.32
0820 收到款項</t>
        </r>
      </text>
    </comment>
    <comment ref="R4040" authorId="0" shapeId="0" xr:uid="{2613E650-DD31-844D-80F2-5BB37164AE81}">
      <text>
        <r>
          <rPr>
            <sz val="10"/>
            <color rgb="FF000000"/>
            <rFont val="Aptos Narrow"/>
            <scheme val="minor"/>
          </rPr>
          <t>======
ID#AAABjx7qN5g
    (2025-05-21 11:33:23)
w/5% VAT</t>
        </r>
      </text>
    </comment>
    <comment ref="S4040" authorId="0" shapeId="0" xr:uid="{0CC40128-3DA4-3E48-BDC6-A6C35F01CD5A}">
      <text>
        <r>
          <rPr>
            <sz val="10"/>
            <color rgb="FF000000"/>
            <rFont val="Aptos Narrow"/>
            <scheme val="minor"/>
          </rPr>
          <t>======
ID#AAABjx7qSCA
    (2025-05-21 11:33:25)
入帳 USD7465.82
0825 匯入</t>
        </r>
      </text>
    </comment>
    <comment ref="R4041" authorId="0" shapeId="0" xr:uid="{A47B1736-E631-374E-91A2-3D3ECFE9BE08}">
      <text>
        <r>
          <rPr>
            <sz val="10"/>
            <color rgb="FF000000"/>
            <rFont val="Aptos Narrow"/>
            <scheme val="minor"/>
          </rPr>
          <t>======
ID#AAABjx7qPHQ
    (2025-05-21 11:33:24)
w/5% VAT</t>
        </r>
      </text>
    </comment>
    <comment ref="S4041" authorId="0" shapeId="0" xr:uid="{307C9CA2-6D97-6246-8B57-CF6C65B069B8}">
      <text>
        <r>
          <rPr>
            <sz val="10"/>
            <color rgb="FF000000"/>
            <rFont val="Aptos Narrow"/>
            <scheme val="minor"/>
          </rPr>
          <t>======
ID#AAABjx7qPWk
    (2025-05-21 11:33:24)
入帳 USD7465.82</t>
        </r>
      </text>
    </comment>
    <comment ref="M4043" authorId="0" shapeId="0" xr:uid="{5060910E-83FE-5C4D-A258-CF7A5931B7D0}">
      <text>
        <r>
          <rPr>
            <sz val="10"/>
            <color rgb="FF000000"/>
            <rFont val="Aptos Narrow"/>
            <scheme val="minor"/>
          </rPr>
          <t>======
ID#AAABjx7qNSc
    (2025-05-21 11:33:23)
2014/08/18到貨</t>
        </r>
      </text>
    </comment>
    <comment ref="S4044" authorId="0" shapeId="0" xr:uid="{F56E960B-8A6F-0141-AE3D-84736F713FB7}">
      <text>
        <r>
          <rPr>
            <sz val="10"/>
            <color rgb="FF000000"/>
            <rFont val="Aptos Narrow"/>
            <scheme val="minor"/>
          </rPr>
          <t>======
ID#AAABjx7qViQ
    (2025-05-21 11:33:27)
0902 收到匯款</t>
        </r>
      </text>
    </comment>
    <comment ref="K4046" authorId="0" shapeId="0" xr:uid="{1D8F0386-B9BE-A34A-B868-DCC2A53CF39C}">
      <text>
        <r>
          <rPr>
            <sz val="10"/>
            <color rgb="FF000000"/>
            <rFont val="Aptos Narrow"/>
            <scheme val="minor"/>
          </rPr>
          <t>======
ID#AAABjx7qS2c
    (2025-05-21 11:33:26)
2014/08/25寄出</t>
        </r>
      </text>
    </comment>
    <comment ref="M4046" authorId="0" shapeId="0" xr:uid="{720964B6-25CB-624C-B89D-AE4056AF27B1}">
      <text>
        <r>
          <rPr>
            <sz val="10"/>
            <color rgb="FF000000"/>
            <rFont val="Aptos Narrow"/>
            <scheme val="minor"/>
          </rPr>
          <t>======
ID#AAABjx7qNco
    (2025-05-21 11:33:23)
2014/08/22到貨</t>
        </r>
      </text>
    </comment>
    <comment ref="S4048" authorId="0" shapeId="0" xr:uid="{9993EEC1-E9C4-684B-BA16-61BE9BF4E65F}">
      <text>
        <r>
          <rPr>
            <sz val="10"/>
            <color rgb="FF000000"/>
            <rFont val="Aptos Narrow"/>
            <scheme val="minor"/>
          </rPr>
          <t>======
ID#AAABjx7qWZk
    (2025-05-21 11:33:27)
9/17台銀美元匯率30.06
20140922 匯入</t>
        </r>
      </text>
    </comment>
    <comment ref="S4049" authorId="0" shapeId="0" xr:uid="{3D845177-3525-9246-B06E-BB5008E99445}">
      <text>
        <r>
          <rPr>
            <sz val="10"/>
            <color rgb="FF000000"/>
            <rFont val="Aptos Narrow"/>
            <scheme val="minor"/>
          </rPr>
          <t>======
ID#AAABjx7qN7Y
    (2025-05-21 11:33:23)
9/17台銀美元匯率30.06
20140922 匯入</t>
        </r>
      </text>
    </comment>
    <comment ref="J4050" authorId="0" shapeId="0" xr:uid="{EC8679BA-90C9-BE46-8678-F16EBEA3132B}">
      <text>
        <r>
          <rPr>
            <sz val="10"/>
            <color rgb="FF000000"/>
            <rFont val="Aptos Narrow"/>
            <scheme val="minor"/>
          </rPr>
          <t>======
ID#AAABjx7qMqk
    (2025-05-21 11:33:23)
公司名: ADITECH ICT PVT LTD.</t>
        </r>
      </text>
    </comment>
    <comment ref="S4050" authorId="0" shapeId="0" xr:uid="{3698BE50-01A7-C844-B2AD-3D470E8A5220}">
      <text>
        <r>
          <rPr>
            <sz val="10"/>
            <color rgb="FF000000"/>
            <rFont val="Aptos Narrow"/>
            <scheme val="minor"/>
          </rPr>
          <t>======
ID#AAABjx7qRYQ
    (2025-05-21 11:33:25)
入帳 USD980.3
total $998(25)
0828 received payment</t>
        </r>
      </text>
    </comment>
    <comment ref="H4053" authorId="0" shapeId="0" xr:uid="{86D26674-9FBB-9C44-8303-7620ED8E10B6}">
      <text>
        <r>
          <rPr>
            <sz val="10"/>
            <color rgb="FF000000"/>
            <rFont val="Aptos Narrow"/>
            <scheme val="minor"/>
          </rPr>
          <t>======
ID#AAABjx7qO8s
    (2025-05-21 11:33:24)
8/26中央銀行30.026</t>
        </r>
      </text>
    </comment>
    <comment ref="S4053" authorId="0" shapeId="0" xr:uid="{5C5F42DD-3C0B-0645-89B8-C3456010E1DF}">
      <text>
        <r>
          <rPr>
            <sz val="10"/>
            <color rgb="FF000000"/>
            <rFont val="Aptos Narrow"/>
            <scheme val="minor"/>
          </rPr>
          <t>======
ID#AAABjx7qN2o
    (2025-05-21 11:33:23)
0829 匯入台企銀</t>
        </r>
      </text>
    </comment>
    <comment ref="S4055" authorId="0" shapeId="0" xr:uid="{498988FB-9628-A645-AB0D-3157EF5D8F8D}">
      <text>
        <r>
          <rPr>
            <sz val="10"/>
            <color rgb="FF000000"/>
            <rFont val="Aptos Narrow"/>
            <scheme val="minor"/>
          </rPr>
          <t>======
ID#AAABjx7qVwM
    (2025-05-21 11:33:27)
9/2 提供水單</t>
        </r>
      </text>
    </comment>
    <comment ref="S4075" authorId="0" shapeId="0" xr:uid="{9558A1C4-93E2-0B49-9945-B5BE3B6C417A}">
      <text>
        <r>
          <rPr>
            <sz val="10"/>
            <color rgb="FF000000"/>
            <rFont val="Aptos Narrow"/>
            <scheme val="minor"/>
          </rPr>
          <t>======
ID#AAABjx7qPKw
9/29 Santiago    (2025-05-21 11:33:24)
收到 US$2302</t>
        </r>
      </text>
    </comment>
    <comment ref="S4076" authorId="0" shapeId="0" xr:uid="{F250E60D-F642-184C-BC4B-2A5F75AD669F}">
      <text>
        <r>
          <rPr>
            <sz val="10"/>
            <color rgb="FF000000"/>
            <rFont val="Aptos Narrow"/>
            <scheme val="minor"/>
          </rPr>
          <t>======
ID#AAABjx7qM2k
    (2025-05-21 11:33:23)
1001 Santiago : 客戶1005 才會匯款. 先併入計算10月初獎金</t>
        </r>
      </text>
    </comment>
    <comment ref="S4077" authorId="0" shapeId="0" xr:uid="{69C63B82-2907-DE49-8D67-08FEE30049B8}">
      <text>
        <r>
          <rPr>
            <sz val="10"/>
            <color rgb="FF000000"/>
            <rFont val="Aptos Narrow"/>
            <scheme val="minor"/>
          </rPr>
          <t>======
ID#AAABjx7qS44
    (2025-05-21 11:33:26)
匯率30
20140916收到78,435</t>
        </r>
      </text>
    </comment>
    <comment ref="S4078" authorId="0" shapeId="0" xr:uid="{D6E2A454-103F-594E-8AF9-993C105BB930}">
      <text>
        <r>
          <rPr>
            <sz val="10"/>
            <color rgb="FF000000"/>
            <rFont val="Aptos Narrow"/>
            <scheme val="minor"/>
          </rPr>
          <t>======
ID#AAABjx7qOKg
    (2025-05-21 11:33:24)
1001 Santiago : 客戶1005 才會匯款. 先併入計算10月初獎金</t>
        </r>
      </text>
    </comment>
    <comment ref="S4079" authorId="0" shapeId="0" xr:uid="{16CDC435-94F0-1747-AADF-D53566FA44CE}">
      <text>
        <r>
          <rPr>
            <sz val="10"/>
            <color rgb="FF000000"/>
            <rFont val="Aptos Narrow"/>
            <scheme val="minor"/>
          </rPr>
          <t>======
ID#AAABj82dpLQ
    (2025-05-21 11:33:23)
匯率30</t>
        </r>
      </text>
    </comment>
    <comment ref="S4080" authorId="0" shapeId="0" xr:uid="{AA1952EC-B8E2-1F41-900B-62CE185DA410}">
      <text>
        <r>
          <rPr>
            <sz val="10"/>
            <color rgb="FF000000"/>
            <rFont val="Aptos Narrow"/>
            <scheme val="minor"/>
          </rPr>
          <t>======
ID#AAABjx7qN7c
    (2025-05-21 11:33:23)
匯率30</t>
        </r>
      </text>
    </comment>
    <comment ref="S4081" authorId="0" shapeId="0" xr:uid="{6B371708-38AA-EE49-BA57-AC7215C22C84}">
      <text>
        <r>
          <rPr>
            <sz val="10"/>
            <color rgb="FF000000"/>
            <rFont val="Aptos Narrow"/>
            <scheme val="minor"/>
          </rPr>
          <t>======
ID#AAABjx7qSa0
    (2025-05-21 11:33:26)
匯率30</t>
        </r>
      </text>
    </comment>
    <comment ref="S4082" authorId="0" shapeId="0" xr:uid="{74162094-5D2E-BB44-828C-4C7F594F6D4E}">
      <text>
        <r>
          <rPr>
            <sz val="10"/>
            <color rgb="FF000000"/>
            <rFont val="Aptos Narrow"/>
            <scheme val="minor"/>
          </rPr>
          <t>======
ID#AAABjx7qSsk
    (2025-05-21 11:33:26)
匯率30</t>
        </r>
      </text>
    </comment>
    <comment ref="S4083" authorId="0" shapeId="0" xr:uid="{06836CF2-6343-D64D-8543-3DD4F6E5CDEE}">
      <text>
        <r>
          <rPr>
            <sz val="10"/>
            <color rgb="FF000000"/>
            <rFont val="Aptos Narrow"/>
            <scheme val="minor"/>
          </rPr>
          <t>======
ID#AAABjx7qONM
    (2025-05-21 11:33:24)
匯率30</t>
        </r>
      </text>
    </comment>
    <comment ref="S4084" authorId="0" shapeId="0" xr:uid="{F5A1AD31-FAF2-5341-8C1B-BD26AE941713}">
      <text>
        <r>
          <rPr>
            <sz val="10"/>
            <color rgb="FF000000"/>
            <rFont val="Aptos Narrow"/>
            <scheme val="minor"/>
          </rPr>
          <t>======
ID#AAABjx7qRGs
    (2025-05-21 11:33:25)
1001 Santiago : 客戶1005 才會匯款. 先併入計算10月初獎金</t>
        </r>
      </text>
    </comment>
    <comment ref="S4086" authorId="0" shapeId="0" xr:uid="{2CD31CD8-AF2C-F446-A770-040F05A89501}">
      <text>
        <r>
          <rPr>
            <sz val="10"/>
            <color rgb="FF000000"/>
            <rFont val="Aptos Narrow"/>
            <scheme val="minor"/>
          </rPr>
          <t>======
ID#AAABjx7qPns
    (2025-05-21 11:33:24)
1029 收到水單</t>
        </r>
      </text>
    </comment>
    <comment ref="Z4086" authorId="0" shapeId="0" xr:uid="{207A64FA-1894-B540-A63D-3A1C1FE851DE}">
      <text>
        <r>
          <rPr>
            <sz val="10"/>
            <color rgb="FF000000"/>
            <rFont val="Aptos Narrow"/>
            <scheme val="minor"/>
          </rPr>
          <t>======
ID#AAABjx7qPdQ
    (2025-05-21 11:33:24)
與W 215.216.217 同一張發票</t>
        </r>
      </text>
    </comment>
    <comment ref="Q4087" authorId="0" shapeId="0" xr:uid="{EB0F09B9-2465-6E48-A6BC-AB0343333290}">
      <text>
        <r>
          <rPr>
            <sz val="10"/>
            <color rgb="FF000000"/>
            <rFont val="Aptos Narrow"/>
            <scheme val="minor"/>
          </rPr>
          <t>======
ID#AAABjx7qQp4
    (2025-05-21 11:33:25)
9/22 62*2+4(運費)=128
     128*105%=134.4</t>
        </r>
      </text>
    </comment>
    <comment ref="H4093" authorId="0" shapeId="0" xr:uid="{CE59CB4B-3008-574E-8CC3-2EDA53B1189D}">
      <text>
        <r>
          <rPr>
            <sz val="10"/>
            <color rgb="FF000000"/>
            <rFont val="Aptos Narrow"/>
            <scheme val="minor"/>
          </rPr>
          <t>======
ID#AAABjx7qOSw
    (2025-05-21 11:33:24)
201412/31 收到匯款</t>
        </r>
      </text>
    </comment>
    <comment ref="U4093" authorId="0" shapeId="0" xr:uid="{D664019B-31BA-2F4A-ABF7-B93DB1CB306D}">
      <text>
        <r>
          <rPr>
            <sz val="10"/>
            <color rgb="FF000000"/>
            <rFont val="Aptos Narrow"/>
            <scheme val="minor"/>
          </rPr>
          <t>======
ID#AAABjx7qQBQ
    (2025-05-21 11:33:25)
11/11
(付款500,000)</t>
        </r>
      </text>
    </comment>
    <comment ref="H4094" authorId="0" shapeId="0" xr:uid="{626F2504-D934-6041-A4F7-6FF9AA328B54}">
      <text>
        <r>
          <rPr>
            <sz val="10"/>
            <color rgb="FF000000"/>
            <rFont val="Aptos Narrow"/>
            <scheme val="minor"/>
          </rPr>
          <t>======
ID#AAABjx7qWV0
    (2025-05-21 11:33:27)
2014/12/31 收到匯款</t>
        </r>
      </text>
    </comment>
    <comment ref="H4095" authorId="0" shapeId="0" xr:uid="{CE2AEDF4-5615-8B49-BD10-DEE0663BC740}">
      <text>
        <r>
          <rPr>
            <sz val="10"/>
            <color rgb="FF000000"/>
            <rFont val="Aptos Narrow"/>
            <scheme val="minor"/>
          </rPr>
          <t>======
ID#AAABjx7qRKs
    (2025-05-21 11:33:25)
201412/31 收到匯款</t>
        </r>
      </text>
    </comment>
    <comment ref="S4097" authorId="0" shapeId="0" xr:uid="{F52375F6-1E90-7146-9088-06C31E19CDAC}">
      <text>
        <r>
          <rPr>
            <sz val="10"/>
            <color rgb="FF000000"/>
            <rFont val="Aptos Narrow"/>
            <scheme val="minor"/>
          </rPr>
          <t>======
ID#AAABjx7qS5c
    (2025-05-21 11:33:26)
1029 收到水單</t>
        </r>
      </text>
    </comment>
    <comment ref="K4111" authorId="0" shapeId="0" xr:uid="{40FD4FB5-DD04-404E-96CB-70D5B1853E02}">
      <text>
        <r>
          <rPr>
            <sz val="10"/>
            <color rgb="FF000000"/>
            <rFont val="Aptos Narrow"/>
            <scheme val="minor"/>
          </rPr>
          <t>======
ID#AAABjx7qN5Y
    (2025-05-21 11:33:23)
可能改為10/14出，等併單</t>
        </r>
      </text>
    </comment>
    <comment ref="R4113" authorId="0" shapeId="0" xr:uid="{16C05577-F114-CF4E-B888-D78DF87186F5}">
      <text>
        <r>
          <rPr>
            <sz val="10"/>
            <color rgb="FF000000"/>
            <rFont val="Aptos Narrow"/>
            <scheme val="minor"/>
          </rPr>
          <t>======
ID#AAABjx7qOrc
    (2025-05-21 11:33:24)
w/5% tax</t>
        </r>
      </text>
    </comment>
    <comment ref="S4113" authorId="0" shapeId="0" xr:uid="{ACF339A1-2DBE-7E48-8FB3-F1D62EB74CDE}">
      <text>
        <r>
          <rPr>
            <sz val="10"/>
            <color rgb="FF000000"/>
            <rFont val="Aptos Narrow"/>
            <scheme val="minor"/>
          </rPr>
          <t>======
ID#AAABjx7qMsQ
    (2025-05-21 11:33:23)
1001 Santiago: 收到水單</t>
        </r>
      </text>
    </comment>
    <comment ref="AA4113" authorId="0" shapeId="0" xr:uid="{00661DDB-BC03-9042-9B2A-385A65C62D67}">
      <text>
        <r>
          <rPr>
            <sz val="10"/>
            <color rgb="FF000000"/>
            <rFont val="Aptos Narrow"/>
            <scheme val="minor"/>
          </rPr>
          <t>======
ID#AAABjx7qOZw
    (2025-05-21 11:33:24)
11/4 張杰回覆已沖帳</t>
        </r>
      </text>
    </comment>
    <comment ref="S4114" authorId="0" shapeId="0" xr:uid="{B9BA1BDF-AB16-0C4A-89A7-2B6E85FB003E}">
      <text>
        <r>
          <rPr>
            <sz val="10"/>
            <color rgb="FF000000"/>
            <rFont val="Aptos Narrow"/>
            <scheme val="minor"/>
          </rPr>
          <t>======
ID#AAABjx7qVJ0
    (2025-05-21 11:33:27)
11/14 Santiago: 收到水單</t>
        </r>
      </text>
    </comment>
    <comment ref="S4115" authorId="0" shapeId="0" xr:uid="{C190684B-D006-374A-9560-6B8BB58F4BDD}">
      <text>
        <r>
          <rPr>
            <sz val="10"/>
            <color rgb="FF000000"/>
            <rFont val="Aptos Narrow"/>
            <scheme val="minor"/>
          </rPr>
          <t>======
ID#AAABjx7qO6U
    (2025-05-21 11:33:24)
1104 Santiago 已收到水單</t>
        </r>
      </text>
    </comment>
    <comment ref="S4118" authorId="0" shapeId="0" xr:uid="{AFC20152-4E4D-4640-8C43-2FCAECA20DB2}">
      <text>
        <r>
          <rPr>
            <sz val="10"/>
            <color rgb="FF000000"/>
            <rFont val="Aptos Narrow"/>
            <scheme val="minor"/>
          </rPr>
          <t>======
ID#AAABjx7qSDY
    (2025-05-21 11:33:25)
1029 收到水單</t>
        </r>
      </text>
    </comment>
    <comment ref="R4129" authorId="0" shapeId="0" xr:uid="{1AA53B59-18B0-C842-95DC-934A528DD0CE}">
      <text>
        <r>
          <rPr>
            <sz val="10"/>
            <color rgb="FF000000"/>
            <rFont val="Aptos Narrow"/>
            <scheme val="minor"/>
          </rPr>
          <t>======
ID#AAABjx7qVLM
    (2025-05-21 11:33:27)
w/5% tax</t>
        </r>
      </text>
    </comment>
    <comment ref="S4129" authorId="0" shapeId="0" xr:uid="{442E2FEE-8499-334E-84D6-9D38E928EDCA}">
      <text>
        <r>
          <rPr>
            <sz val="10"/>
            <color rgb="FF000000"/>
            <rFont val="Aptos Narrow"/>
            <scheme val="minor"/>
          </rPr>
          <t>======
ID#AAABjx7qP20
    (2025-05-21 11:33:24)
1008 Santiago 收到匯款US$6821</t>
        </r>
      </text>
    </comment>
    <comment ref="R4130" authorId="0" shapeId="0" xr:uid="{440F6424-15E8-7640-9779-B839ED212442}">
      <text>
        <r>
          <rPr>
            <sz val="10"/>
            <color rgb="FF000000"/>
            <rFont val="Aptos Narrow"/>
            <scheme val="minor"/>
          </rPr>
          <t>======
ID#AAABjx7qVGo
    (2025-05-21 11:33:27)
w/ 5% tax</t>
        </r>
      </text>
    </comment>
    <comment ref="S4130" authorId="0" shapeId="0" xr:uid="{8A7EE21F-A5FA-D743-AC82-55154C9536DD}">
      <text>
        <r>
          <rPr>
            <sz val="10"/>
            <color rgb="FF000000"/>
            <rFont val="Aptos Narrow"/>
            <scheme val="minor"/>
          </rPr>
          <t>======
ID#AAABjx7qSvI
    (2025-05-21 11:33:26)
1,659.00</t>
        </r>
      </text>
    </comment>
    <comment ref="J4135" authorId="0" shapeId="0" xr:uid="{972443F9-8EC8-FF46-BC71-0769B8E03110}">
      <text>
        <r>
          <rPr>
            <sz val="10"/>
            <color rgb="FF000000"/>
            <rFont val="Aptos Narrow"/>
            <scheme val="minor"/>
          </rPr>
          <t>======
ID#AAABjx7qR1o
    (2025-05-21 11:33:25)
同PI-20141028A出貨
B.RGDS
JUDY KAO
Supervisor Of Sales Div.
FETA FREIGHT SYSTEMS (TAIWAN ) LTD. 
Tel: +886-3-399-2033 EXT: 135
Direct: +886-3-3992106
Fax: +886-3-3992036/2055
E-mail: judykao@ffsi.com.tw
Skype:judykao-mlattao</t>
        </r>
      </text>
    </comment>
    <comment ref="S4135" authorId="0" shapeId="0" xr:uid="{D56C0C56-C1BC-4045-BC49-26618A73FE69}">
      <text>
        <r>
          <rPr>
            <sz val="10"/>
            <color rgb="FF000000"/>
            <rFont val="Aptos Narrow"/>
            <scheme val="minor"/>
          </rPr>
          <t>======
ID#AAABjx7qQm8
    (2025-05-21 11:33:25)
20141016, US$3667</t>
        </r>
      </text>
    </comment>
    <comment ref="E4136" authorId="0" shapeId="0" xr:uid="{B716D9EC-AC25-CC4A-8BE1-453DB4019E10}">
      <text>
        <r>
          <rPr>
            <sz val="10"/>
            <color rgb="FF000000"/>
            <rFont val="Aptos Narrow"/>
            <scheme val="minor"/>
          </rPr>
          <t>======
ID#AAABjx7qRrM
1101 Santiago    (2025-05-21 11:33:25)
因為是未組裝的散裝形式出貨. 
因此型號從BPC-100S1
改為BPC-100S1C
(A/B 已在Datasheet中出現)</t>
        </r>
      </text>
    </comment>
    <comment ref="M4136" authorId="0" shapeId="0" xr:uid="{181BB3CB-211C-EE44-B672-1A5828D7EF90}">
      <text>
        <r>
          <rPr>
            <sz val="10"/>
            <color rgb="FF000000"/>
            <rFont val="Aptos Narrow"/>
            <scheme val="minor"/>
          </rPr>
          <t>======
ID#AAABjx7qTIg
    (2025-05-21 11:33:26)
Santiago 10/23 註記</t>
        </r>
      </text>
    </comment>
    <comment ref="S4136" authorId="0" shapeId="0" xr:uid="{CB9113F6-5207-F04E-92F2-8D0AFD2F6358}">
      <text>
        <r>
          <rPr>
            <sz val="10"/>
            <color rgb="FF000000"/>
            <rFont val="Aptos Narrow"/>
            <scheme val="minor"/>
          </rPr>
          <t>======
ID#AAABjx7qS1o
    (2025-05-21 11:33:26)
20141016, US$3667</t>
        </r>
      </text>
    </comment>
    <comment ref="S4137" authorId="0" shapeId="0" xr:uid="{A08152FE-EC93-5542-BC93-FD7AF4C05DC4}">
      <text>
        <r>
          <rPr>
            <sz val="10"/>
            <color rgb="FF000000"/>
            <rFont val="Aptos Narrow"/>
            <scheme val="minor"/>
          </rPr>
          <t>======
ID#AAABjx7qPXU
    (2025-05-21 11:33:24)
20141016, US$3667</t>
        </r>
      </text>
    </comment>
    <comment ref="H4138" authorId="0" shapeId="0" xr:uid="{8CB40F9A-BF9B-BE48-9535-B9FD67778E50}">
      <text>
        <r>
          <rPr>
            <sz val="10"/>
            <color rgb="FF000000"/>
            <rFont val="Aptos Narrow"/>
            <scheme val="minor"/>
          </rPr>
          <t>======
ID#AAABjx7qU5c
    (2025-05-21 11:33:27)
30.46</t>
        </r>
      </text>
    </comment>
    <comment ref="Z4138" authorId="0" shapeId="0" xr:uid="{2014ABE1-8734-DA45-AA96-8D932B6C321B}">
      <text>
        <r>
          <rPr>
            <sz val="10"/>
            <color rgb="FF000000"/>
            <rFont val="Aptos Narrow"/>
            <scheme val="minor"/>
          </rPr>
          <t>======
ID#AAABjx7qQ2Q
    (2025-05-21 11:33:25)
匯率30.34</t>
        </r>
      </text>
    </comment>
    <comment ref="M4147" authorId="0" shapeId="0" xr:uid="{48C6DDFA-4BE4-1C4A-8B0A-65DA371A0B57}">
      <text>
        <r>
          <rPr>
            <sz val="10"/>
            <color rgb="FF000000"/>
            <rFont val="Aptos Narrow"/>
            <scheme val="minor"/>
          </rPr>
          <t>======
ID#AAABjx7qN6o
    (2025-05-21 11:33:23)
2014/10/29到貨</t>
        </r>
      </text>
    </comment>
    <comment ref="S4148" authorId="0" shapeId="0" xr:uid="{9DE97CF8-E404-DC4F-9AFB-4EF661B30D13}">
      <text>
        <r>
          <rPr>
            <sz val="10"/>
            <color rgb="FF000000"/>
            <rFont val="Aptos Narrow"/>
            <scheme val="minor"/>
          </rPr>
          <t>======
ID#AAABjx7qP9o
    (2025-05-21 11:33:25)
20141029 收到366</t>
        </r>
      </text>
    </comment>
    <comment ref="S4149" authorId="0" shapeId="0" xr:uid="{AA20EC1A-2F43-4C45-A745-579C0DAA52DB}">
      <text>
        <r>
          <rPr>
            <sz val="10"/>
            <color rgb="FF000000"/>
            <rFont val="Aptos Narrow"/>
            <scheme val="minor"/>
          </rPr>
          <t>======
ID#AAABjx7qSbI
    (2025-05-21 11:33:26)
20150204 Santiago: 已收到水單</t>
        </r>
      </text>
    </comment>
    <comment ref="S4150" authorId="0" shapeId="0" xr:uid="{56BEB006-198C-6142-B851-C660C7A1C488}">
      <text>
        <r>
          <rPr>
            <sz val="10"/>
            <color rgb="FF000000"/>
            <rFont val="Aptos Narrow"/>
            <scheme val="minor"/>
          </rPr>
          <t>======
ID#AAABjx7qOy8
    (2025-05-21 11:33:24)
11/14 Santiago: 收到水單</t>
        </r>
      </text>
    </comment>
    <comment ref="S4151" authorId="0" shapeId="0" xr:uid="{E00C33E7-66EC-DD49-B364-0815387B22DA}">
      <text>
        <r>
          <rPr>
            <sz val="10"/>
            <color rgb="FF000000"/>
            <rFont val="Aptos Narrow"/>
            <scheme val="minor"/>
          </rPr>
          <t>======
ID#AAABjx7qQ1Y
    (2025-05-21 11:33:25)
10/31 付</t>
        </r>
      </text>
    </comment>
    <comment ref="S4152" authorId="0" shapeId="0" xr:uid="{1DF9B02A-B239-6442-9EDE-13766F25659B}">
      <text>
        <r>
          <rPr>
            <sz val="10"/>
            <color rgb="FF000000"/>
            <rFont val="Aptos Narrow"/>
            <scheme val="minor"/>
          </rPr>
          <t>======
ID#AAABjx7qSKw
    (2025-05-21 11:33:26)
匯率30.63</t>
        </r>
      </text>
    </comment>
    <comment ref="Z4152" authorId="0" shapeId="0" xr:uid="{926108B9-3058-344F-BEA4-63D8D19EFAB1}">
      <text>
        <r>
          <rPr>
            <sz val="10"/>
            <color rgb="FF000000"/>
            <rFont val="Aptos Narrow"/>
            <scheme val="minor"/>
          </rPr>
          <t>======
ID#AAABjx7qU2k
    (2025-05-21 11:33:26)
匯率30.34</t>
        </r>
      </text>
    </comment>
    <comment ref="S4153" authorId="0" shapeId="0" xr:uid="{6DF10762-6015-574A-B92B-0629DD5E51B2}">
      <text>
        <r>
          <rPr>
            <sz val="10"/>
            <color rgb="FF000000"/>
            <rFont val="Aptos Narrow"/>
            <scheme val="minor"/>
          </rPr>
          <t>======
ID#AAABjx7qU_Q
    (2025-05-21 11:33:27)
1029 收到水單</t>
        </r>
      </text>
    </comment>
    <comment ref="K4156" authorId="0" shapeId="0" xr:uid="{60802F4D-6023-A042-8B4C-EED617665382}">
      <text>
        <r>
          <rPr>
            <sz val="10"/>
            <color rgb="FF000000"/>
            <rFont val="Aptos Narrow"/>
            <scheme val="minor"/>
          </rPr>
          <t>======
ID#AAABjx7qQcg
    (2025-05-21 11:33:25)
10/27叫大榮貨運</t>
        </r>
      </text>
    </comment>
    <comment ref="M4156" authorId="0" shapeId="0" xr:uid="{8175ED56-421E-A244-ADDA-9F220FB06E45}">
      <text>
        <r>
          <rPr>
            <sz val="10"/>
            <color rgb="FF000000"/>
            <rFont val="Aptos Narrow"/>
            <scheme val="minor"/>
          </rPr>
          <t>======
ID#AAABjx7qQbk
    (2025-05-21 11:33:25)
10/24到貨</t>
        </r>
      </text>
    </comment>
    <comment ref="K4157" authorId="0" shapeId="0" xr:uid="{6D97CF45-397D-1F4B-8C2F-1C374ADA532A}">
      <text>
        <r>
          <rPr>
            <sz val="10"/>
            <color rgb="FF000000"/>
            <rFont val="Aptos Narrow"/>
            <scheme val="minor"/>
          </rPr>
          <t>======
ID#AAABjx7qPuw
    (2025-05-21 11:33:24)
10/27叫大榮貨運</t>
        </r>
      </text>
    </comment>
    <comment ref="K4159" authorId="0" shapeId="0" xr:uid="{1570F8E1-C45F-684C-999A-7147ABE82E79}">
      <text>
        <r>
          <rPr>
            <sz val="10"/>
            <color rgb="FF000000"/>
            <rFont val="Aptos Narrow"/>
            <scheme val="minor"/>
          </rPr>
          <t>======
ID#AAABjx7qS3g
    (2025-05-21 11:33:26)
10/27叫大榮貨運</t>
        </r>
      </text>
    </comment>
    <comment ref="M4160" authorId="0" shapeId="0" xr:uid="{8267B643-7A17-AE44-84C2-C508C4D1732F}">
      <text>
        <r>
          <rPr>
            <sz val="10"/>
            <color rgb="FF000000"/>
            <rFont val="Aptos Narrow"/>
            <scheme val="minor"/>
          </rPr>
          <t>======
ID#AAABjx7qV4c
    (2025-05-21 11:33:27)
11/7到貨</t>
        </r>
      </text>
    </comment>
    <comment ref="S4161" authorId="0" shapeId="0" xr:uid="{CC9E8541-2D6E-6447-A06C-DF2E08E54506}">
      <text>
        <r>
          <rPr>
            <sz val="10"/>
            <color rgb="FF000000"/>
            <rFont val="Aptos Narrow"/>
            <scheme val="minor"/>
          </rPr>
          <t>======
ID#AAABjx7qRX4
    (2025-05-21 11:33:25)
11/3 Santiago 收到
US$4441.2</t>
        </r>
      </text>
    </comment>
    <comment ref="D4163" authorId="0" shapeId="0" xr:uid="{6BC6D143-9648-B741-B15B-DC8A6F77E512}">
      <text>
        <r>
          <rPr>
            <sz val="10"/>
            <color rgb="FF000000"/>
            <rFont val="Aptos Narrow"/>
            <scheme val="minor"/>
          </rPr>
          <t>======
ID#AAABjx7qOJM
    (2025-05-21 11:33:24)
Evaluation PI 是指客戶借測用的PI number</t>
        </r>
      </text>
    </comment>
    <comment ref="X4163" authorId="0" shapeId="0" xr:uid="{2B72C915-4CE7-A34E-8146-81E81836ABD2}">
      <text>
        <r>
          <rPr>
            <sz val="10"/>
            <color rgb="FF000000"/>
            <rFont val="Aptos Narrow"/>
            <scheme val="minor"/>
          </rPr>
          <t>======
ID#AAABjx7qTCU
12/10 Sanitago    (2025-05-21 11:33:26)
客戶已歸還. 不需要開發票</t>
        </r>
      </text>
    </comment>
    <comment ref="Z4163" authorId="0" shapeId="0" xr:uid="{8B9C8143-5BEA-9143-9466-F64DA305C3E6}">
      <text>
        <r>
          <rPr>
            <sz val="10"/>
            <color rgb="FF000000"/>
            <rFont val="Aptos Narrow"/>
            <scheme val="minor"/>
          </rPr>
          <t>======
ID#AAABjx7qN24
12/10 Sanitago    (2025-05-21 11:33:23)
客戶已歸還. 不需要開發票</t>
        </r>
      </text>
    </comment>
    <comment ref="AB4163" authorId="0" shapeId="0" xr:uid="{F069D458-DF0D-8C46-8E94-7B34DAADFB92}">
      <text>
        <r>
          <rPr>
            <sz val="10"/>
            <color rgb="FF000000"/>
            <rFont val="Aptos Narrow"/>
            <scheme val="minor"/>
          </rPr>
          <t>======
ID#AAABjx7qSu8
12/10 Sanitago    (2025-05-21 11:33:26)
客戶已歸還. 不需要開發票</t>
        </r>
      </text>
    </comment>
    <comment ref="R4166" authorId="0" shapeId="0" xr:uid="{6C674BB3-4F5C-B34F-A3BC-9DEC9E96DF0C}">
      <text>
        <r>
          <rPr>
            <sz val="10"/>
            <color rgb="FF000000"/>
            <rFont val="Aptos Narrow"/>
            <scheme val="minor"/>
          </rPr>
          <t>======
ID#AAABjx7qVrE
    (2025-05-21 11:33:27)
w/5%VAT</t>
        </r>
      </text>
    </comment>
    <comment ref="S4166" authorId="0" shapeId="0" xr:uid="{F9A8B8EE-D053-B64C-B1E8-5A710D0F0B35}">
      <text>
        <r>
          <rPr>
            <sz val="10"/>
            <color rgb="FF000000"/>
            <rFont val="Aptos Narrow"/>
            <scheme val="minor"/>
          </rPr>
          <t>======
ID#AAABjx7qSMU
    (2025-05-21 11:33:26)
10/31 已收到水單</t>
        </r>
      </text>
    </comment>
    <comment ref="H4167" authorId="0" shapeId="0" xr:uid="{176A13C2-6B74-A34B-8B8A-8750FCEFFBC7}">
      <text>
        <r>
          <rPr>
            <sz val="10"/>
            <color rgb="FF000000"/>
            <rFont val="Aptos Narrow"/>
            <scheme val="minor"/>
          </rPr>
          <t>======
ID#AAABjx7qOj0
    (2025-05-21 11:33:24)
10/31 已收到款項</t>
        </r>
      </text>
    </comment>
    <comment ref="O4167" authorId="0" shapeId="0" xr:uid="{531D1197-58A8-1144-A775-9CE428EC1934}">
      <text>
        <r>
          <rPr>
            <sz val="10"/>
            <color rgb="FF000000"/>
            <rFont val="Aptos Narrow"/>
            <scheme val="minor"/>
          </rPr>
          <t>======
ID#AAABjx7qTeE
    (2025-05-21 11:33:26)
141027 原報價單號20141000135858,更換成專案價的報價單20141000136066</t>
        </r>
      </text>
    </comment>
    <comment ref="M4175" authorId="0" shapeId="0" xr:uid="{B6ABBBC4-21B2-AF47-B8E9-C0F557764F6C}">
      <text>
        <r>
          <rPr>
            <sz val="10"/>
            <color rgb="FF000000"/>
            <rFont val="Aptos Narrow"/>
            <scheme val="minor"/>
          </rPr>
          <t>======
ID#AAABjx7qWZE
    (2025-05-21 11:33:27)
10/30到貨</t>
        </r>
      </text>
    </comment>
    <comment ref="S4175" authorId="0" shapeId="0" xr:uid="{C87800F8-C0D5-6C45-8C5B-66D37B02B72B}">
      <text>
        <r>
          <rPr>
            <sz val="10"/>
            <color rgb="FF000000"/>
            <rFont val="Aptos Narrow"/>
            <scheme val="minor"/>
          </rPr>
          <t>======
ID#AAABjx7qM5M
    (2025-05-21 11:33:23)
11/18 收到 US$233</t>
        </r>
      </text>
    </comment>
    <comment ref="S4177" authorId="0" shapeId="0" xr:uid="{0C5FD4C4-493A-4345-84BB-115B8B3CA7EA}">
      <text>
        <r>
          <rPr>
            <sz val="10"/>
            <color rgb="FF000000"/>
            <rFont val="Aptos Narrow"/>
            <scheme val="minor"/>
          </rPr>
          <t>======
ID#AAABjx7qQnI
    (2025-05-21 11:33:25)
匯率 30.515</t>
        </r>
      </text>
    </comment>
    <comment ref="J4178" authorId="0" shapeId="0" xr:uid="{6F665C6E-9133-E04D-9814-2DF95BD26625}">
      <text>
        <r>
          <rPr>
            <sz val="10"/>
            <color rgb="FF000000"/>
            <rFont val="Aptos Narrow"/>
            <scheme val="minor"/>
          </rPr>
          <t>======
ID#AAABjx7qObw
    (2025-05-21 11:33:24)
同PI-20141008A出貨
B.RGDS
JUDY KAO
Supervisor Of Sales Div.
FETA FREIGHT SYSTEMS (TAIWAN ) LTD. 
Tel: +886-3-399-2033 EXT: 135
Direct: +886-3-3992106
Fax: +886-3-3992036/2055
E-mail: judykao@ffsi.com.tw
Skype:judykao-mlattao</t>
        </r>
      </text>
    </comment>
    <comment ref="S4178" authorId="0" shapeId="0" xr:uid="{BDFC9677-5F30-7F4D-958B-9CE39C4F900B}">
      <text>
        <r>
          <rPr>
            <sz val="10"/>
            <color rgb="FF000000"/>
            <rFont val="Aptos Narrow"/>
            <scheme val="minor"/>
          </rPr>
          <t>======
ID#AAABjx7qP7U
    (2025-05-21 11:33:24)
20141023, US$1137</t>
        </r>
      </text>
    </comment>
    <comment ref="S4179" authorId="0" shapeId="0" xr:uid="{DC586C60-F714-AC4A-B9B6-6483855B93F2}">
      <text>
        <r>
          <rPr>
            <sz val="10"/>
            <color rgb="FF000000"/>
            <rFont val="Aptos Narrow"/>
            <scheme val="minor"/>
          </rPr>
          <t>======
ID#AAABjx7qSAk
    (2025-05-21 11:33:25)
11/11 收到70%
12/22 收到30%</t>
        </r>
      </text>
    </comment>
    <comment ref="J4181" authorId="0" shapeId="0" xr:uid="{9AFAA64E-D380-B240-913E-D8F4F4DF1A63}">
      <text>
        <r>
          <rPr>
            <sz val="10"/>
            <color rgb="FF000000"/>
            <rFont val="Aptos Narrow"/>
            <scheme val="minor"/>
          </rPr>
          <t>======
ID#AAABjx7qNss
    (2025-05-21 11:33:23)
運費158元</t>
        </r>
      </text>
    </comment>
    <comment ref="S4184" authorId="0" shapeId="0" xr:uid="{A8467B3E-429E-5C41-8042-98F3E219B2FC}">
      <text>
        <r>
          <rPr>
            <sz val="10"/>
            <color rgb="FF000000"/>
            <rFont val="Aptos Narrow"/>
            <scheme val="minor"/>
          </rPr>
          <t>======
ID#AAABjx7qPV8
    (2025-05-21 11:33:24)
2014/12/31收到匯款</t>
        </r>
      </text>
    </comment>
    <comment ref="S4185" authorId="0" shapeId="0" xr:uid="{A149E596-5391-6B4B-A18B-D16BC08402D1}">
      <text>
        <r>
          <rPr>
            <sz val="10"/>
            <color rgb="FF000000"/>
            <rFont val="Aptos Narrow"/>
            <scheme val="minor"/>
          </rPr>
          <t>======
ID#AAABjx7qV6M
    (2025-05-21 11:33:27)
2014/12/31 收到匯款</t>
        </r>
      </text>
    </comment>
    <comment ref="S4188" authorId="0" shapeId="0" xr:uid="{AFCDDD9C-0753-7246-A816-520496D4E18B}">
      <text>
        <r>
          <rPr>
            <sz val="10"/>
            <color rgb="FF000000"/>
            <rFont val="Aptos Narrow"/>
            <scheme val="minor"/>
          </rPr>
          <t>======
ID#AAABjx7qVHo
    (2025-05-21 11:33:27)
2014/12/31 收到匯款</t>
        </r>
      </text>
    </comment>
    <comment ref="M4191" authorId="0" shapeId="0" xr:uid="{B5FCA65A-A25E-D34E-B8B9-99658E1A1D39}">
      <text>
        <r>
          <rPr>
            <sz val="10"/>
            <color rgb="FF000000"/>
            <rFont val="Aptos Narrow"/>
            <scheme val="minor"/>
          </rPr>
          <t>======
ID#AAABjx7qP8M
    (2025-05-21 11:33:24)
11/10到貨</t>
        </r>
      </text>
    </comment>
    <comment ref="S4192" authorId="0" shapeId="0" xr:uid="{67D4FFC0-2240-1644-8BF4-95F74527B947}">
      <text>
        <r>
          <rPr>
            <sz val="10"/>
            <color rgb="FF000000"/>
            <rFont val="Aptos Narrow"/>
            <scheme val="minor"/>
          </rPr>
          <t>======
ID#AAABjx7qP7s
    (2025-05-21 11:33:24)
11/27 收到水單</t>
        </r>
      </text>
    </comment>
    <comment ref="S4193" authorId="0" shapeId="0" xr:uid="{A609FA1D-BDE2-5B44-9505-65E27494A254}">
      <text>
        <r>
          <rPr>
            <sz val="10"/>
            <color rgb="FF000000"/>
            <rFont val="Aptos Narrow"/>
            <scheme val="minor"/>
          </rPr>
          <t>======
ID#AAABjx7qPKU
    (2025-05-21 11:33:24)
141109 補之前出貨損壞的</t>
        </r>
      </text>
    </comment>
    <comment ref="U4193" authorId="0" shapeId="0" xr:uid="{7B25B9B3-19C2-D147-B69D-C2BFE59B92DD}">
      <text>
        <r>
          <rPr>
            <sz val="10"/>
            <color rgb="FF000000"/>
            <rFont val="Aptos Narrow"/>
            <scheme val="minor"/>
          </rPr>
          <t>======
ID#AAABjx7qOQk
    (2025-05-21 11:33:24)
(1300*1.05 + 運費 100)</t>
        </r>
      </text>
    </comment>
    <comment ref="S4194" authorId="0" shapeId="0" xr:uid="{88F1157F-04A1-594C-B90C-F98D6D1760F3}">
      <text>
        <r>
          <rPr>
            <sz val="10"/>
            <color rgb="FF000000"/>
            <rFont val="Aptos Narrow"/>
            <scheme val="minor"/>
          </rPr>
          <t>======
ID#AAABjx7qOvU
    (2025-05-21 11:33:24)
匯率 30.605</t>
        </r>
      </text>
    </comment>
    <comment ref="S4200" authorId="0" shapeId="0" xr:uid="{6FE14EB8-21C4-CF40-BFE1-6A3E3371C08E}">
      <text>
        <r>
          <rPr>
            <sz val="10"/>
            <color rgb="FF000000"/>
            <rFont val="Aptos Narrow"/>
            <scheme val="minor"/>
          </rPr>
          <t>======
ID#AAABjx7qN9M
    (2025-05-21 11:33:23)
收到水單</t>
        </r>
      </text>
    </comment>
    <comment ref="U4200" authorId="0" shapeId="0" xr:uid="{4F6DB296-7460-5E48-8BE8-A8A06A8747CF}">
      <text>
        <r>
          <rPr>
            <sz val="10"/>
            <color rgb="FF000000"/>
            <rFont val="Aptos Narrow"/>
            <scheme val="minor"/>
          </rPr>
          <t>======
ID#AAABjx7qOEk
    (2025-05-21 11:33:24)
US$1144.5</t>
        </r>
      </text>
    </comment>
    <comment ref="M4202" authorId="0" shapeId="0" xr:uid="{CE0D9CAF-48CD-7745-A868-8BFBD196CD98}">
      <text>
        <r>
          <rPr>
            <sz val="10"/>
            <color rgb="FF000000"/>
            <rFont val="Aptos Narrow"/>
            <scheme val="minor"/>
          </rPr>
          <t>======
ID#AAABjx7qNnY
    (2025-05-21 11:33:23)
20141225 Forster已收貨</t>
        </r>
      </text>
    </comment>
    <comment ref="S4217" authorId="0" shapeId="0" xr:uid="{FDFE255D-41FB-5440-9449-68BAE8090D39}">
      <text>
        <r>
          <rPr>
            <sz val="10"/>
            <color rgb="FF000000"/>
            <rFont val="Aptos Narrow"/>
            <scheme val="minor"/>
          </rPr>
          <t>======
ID#AAABjx7qQ4Y
    (2025-05-21 11:33:25)
11/20 收到水單</t>
        </r>
      </text>
    </comment>
    <comment ref="S4218" authorId="0" shapeId="0" xr:uid="{6865F409-A549-954D-BA8C-189AA1D0C680}">
      <text>
        <r>
          <rPr>
            <sz val="10"/>
            <color rgb="FF000000"/>
            <rFont val="Aptos Narrow"/>
            <scheme val="minor"/>
          </rPr>
          <t>======
ID#AAABjx7qQo8
    (2025-05-21 11:33:25)
1120 收到水單</t>
        </r>
      </text>
    </comment>
    <comment ref="S4224" authorId="0" shapeId="0" xr:uid="{2CB0E9EF-F8E9-144A-AAD6-E6EA7D85A47E}">
      <text>
        <r>
          <rPr>
            <sz val="10"/>
            <color rgb="FF000000"/>
            <rFont val="Aptos Narrow"/>
            <scheme val="minor"/>
          </rPr>
          <t>======
ID#AAABjx7qNEs
    (2025-05-21 11:33:23)
2/2 收到</t>
        </r>
      </text>
    </comment>
    <comment ref="M4237" authorId="0" shapeId="0" xr:uid="{5B009AA2-B3BF-1741-A867-AA628C232F3C}">
      <text>
        <r>
          <rPr>
            <sz val="10"/>
            <color rgb="FF000000"/>
            <rFont val="Aptos Narrow"/>
            <scheme val="minor"/>
          </rPr>
          <t>======
ID#AAABjx7qPM8
    (2025-05-21 11:33:24)
20141217 Lynn已收貨</t>
        </r>
      </text>
    </comment>
    <comment ref="M4238" authorId="0" shapeId="0" xr:uid="{B9091A0F-12E1-CB4E-AC50-F857013AE6CE}">
      <text>
        <r>
          <rPr>
            <sz val="10"/>
            <color rgb="FF000000"/>
            <rFont val="Aptos Narrow"/>
            <scheme val="minor"/>
          </rPr>
          <t>======
ID#AAABjx7qM-M
    (2025-05-21 11:33:23)
實際到貨12/10，因地址給錯</t>
        </r>
      </text>
    </comment>
    <comment ref="M4239" authorId="0" shapeId="0" xr:uid="{874661A5-2EFE-7A48-ADDE-B577E6410423}">
      <text>
        <r>
          <rPr>
            <sz val="10"/>
            <color rgb="FF000000"/>
            <rFont val="Aptos Narrow"/>
            <scheme val="minor"/>
          </rPr>
          <t>======
ID#AAABjx7qWEM
    (2025-05-21 11:33:27)
實際到貨12/10，因地址給錯</t>
        </r>
      </text>
    </comment>
    <comment ref="M4240" authorId="0" shapeId="0" xr:uid="{27366BA7-AAC3-2540-94EE-B469624F50F7}">
      <text>
        <r>
          <rPr>
            <sz val="10"/>
            <color rgb="FF000000"/>
            <rFont val="Aptos Narrow"/>
            <scheme val="minor"/>
          </rPr>
          <t>======
ID#AAABjx7qOvc
    (2025-05-21 11:33:24)
實際到貨12/10，因地址給錯</t>
        </r>
      </text>
    </comment>
    <comment ref="M4241" authorId="0" shapeId="0" xr:uid="{E15C597A-88F3-7D4E-B00D-6F01239CCBCB}">
      <text>
        <r>
          <rPr>
            <sz val="10"/>
            <color rgb="FF000000"/>
            <rFont val="Aptos Narrow"/>
            <scheme val="minor"/>
          </rPr>
          <t>======
ID#AAABjx7qUzE
    (2025-05-21 11:33:26)
實際到貨12/10，因地址給錯</t>
        </r>
      </text>
    </comment>
    <comment ref="M4242" authorId="0" shapeId="0" xr:uid="{CF45A427-EECA-A447-AF1F-BEA98355D075}">
      <text>
        <r>
          <rPr>
            <sz val="10"/>
            <color rgb="FF000000"/>
            <rFont val="Aptos Narrow"/>
            <scheme val="minor"/>
          </rPr>
          <t>======
ID#AAABjx7qROU
    (2025-05-21 11:33:25)
實際到貨12/10，因地址給錯</t>
        </r>
      </text>
    </comment>
    <comment ref="M4243" authorId="0" shapeId="0" xr:uid="{2093FC56-EC07-7A49-9B49-23F0EE2A04D7}">
      <text>
        <r>
          <rPr>
            <sz val="10"/>
            <color rgb="FF000000"/>
            <rFont val="Aptos Narrow"/>
            <scheme val="minor"/>
          </rPr>
          <t>======
ID#AAABjx7qPJw
    (2025-05-21 11:33:24)
實際到貨12/10，因地址給錯</t>
        </r>
      </text>
    </comment>
    <comment ref="E4244" authorId="0" shapeId="0" xr:uid="{457FFDD0-3C7D-C44D-B1D5-3A2E7F642FED}">
      <text>
        <r>
          <rPr>
            <sz val="10"/>
            <color rgb="FF000000"/>
            <rFont val="Aptos Narrow"/>
            <scheme val="minor"/>
          </rPr>
          <t>======
ID#AAABjx7qOAg
    (2025-05-21 11:33:24)
3 IPC924-212-FL with 4 MOXA 
2 IPC924-212-FL with 3 MOXA</t>
        </r>
      </text>
    </comment>
    <comment ref="M4244" authorId="0" shapeId="0" xr:uid="{FAD2C966-1337-B744-8BB7-2408B023D30D}">
      <text>
        <r>
          <rPr>
            <sz val="10"/>
            <color rgb="FF000000"/>
            <rFont val="Aptos Narrow"/>
            <scheme val="minor"/>
          </rPr>
          <t>======
ID#AAABjx7qNdo
    (2025-05-21 11:33:23)
12/15 Santiago 已收貨</t>
        </r>
      </text>
    </comment>
    <comment ref="S4244" authorId="0" shapeId="0" xr:uid="{29867117-4059-C642-9F26-6EFFB7266DF4}">
      <text>
        <r>
          <rPr>
            <sz val="10"/>
            <color rgb="FF000000"/>
            <rFont val="Aptos Narrow"/>
            <scheme val="minor"/>
          </rPr>
          <t>======
ID#AAABjx7qTKw
    (2025-05-21 11:33:26)
20141229 已收到US$1940.2
($6551*20%+$630)
20150204 Santiago: 已收到水單
0209 已收到匯款</t>
        </r>
      </text>
    </comment>
    <comment ref="E4245" authorId="0" shapeId="0" xr:uid="{A4934981-5F60-744A-AD5B-E87BE96208EC}">
      <text>
        <r>
          <rPr>
            <sz val="10"/>
            <color rgb="FF000000"/>
            <rFont val="Aptos Narrow"/>
            <scheme val="minor"/>
          </rPr>
          <t>======
ID#AAABjx7qVgY
    (2025-05-21 11:33:27)
3 IPC924-212-FL with 4 MOXA 
2 IPC924-212-FL with 3 MOXA</t>
        </r>
      </text>
    </comment>
    <comment ref="S4245" authorId="0" shapeId="0" xr:uid="{628FEC1B-A7EB-C849-831F-13AE3F616CA5}">
      <text>
        <r>
          <rPr>
            <sz val="10"/>
            <color rgb="FF000000"/>
            <rFont val="Aptos Narrow"/>
            <scheme val="minor"/>
          </rPr>
          <t>======
ID#AAABjx7qV7A
    (2025-05-21 11:33:27)
20141229 已收到US$1940.2
($6551*20%+$630)
20150204 Santiago: 已收到水單</t>
        </r>
      </text>
    </comment>
    <comment ref="M4246" authorId="0" shapeId="0" xr:uid="{9F30C225-0391-5945-8538-A79F22DD278F}">
      <text>
        <r>
          <rPr>
            <sz val="10"/>
            <color rgb="FF000000"/>
            <rFont val="Aptos Narrow"/>
            <scheme val="minor"/>
          </rPr>
          <t>======
ID#AAABjx7qV2M
    (2025-05-21 11:33:27)
12/22 Santiago 收貨</t>
        </r>
      </text>
    </comment>
    <comment ref="S4246" authorId="0" shapeId="0" xr:uid="{B9F7C53A-77F7-C34D-8D1A-1EB429712A06}">
      <text>
        <r>
          <rPr>
            <sz val="10"/>
            <color rgb="FF000000"/>
            <rFont val="Aptos Narrow"/>
            <scheme val="minor"/>
          </rPr>
          <t>======
ID#AAABjx7qM5k
    (2025-05-21 11:33:23)
20141229 已收到US$1940.2
($6551*20%+$630)
20150204 Santiago: 已收到水單</t>
        </r>
      </text>
    </comment>
    <comment ref="U4246" authorId="0" shapeId="0" xr:uid="{63C78CAF-E9CE-874D-B8DE-EB9827233AE4}">
      <text>
        <r>
          <rPr>
            <sz val="10"/>
            <color rgb="FF000000"/>
            <rFont val="Aptos Narrow"/>
            <scheme val="minor"/>
          </rPr>
          <t>======
ID#AAABjx7qU3A
    (2025-05-21 11:33:26)
匯率:31</t>
        </r>
      </text>
    </comment>
    <comment ref="M4247" authorId="0" shapeId="0" xr:uid="{7C38FD28-F37A-1445-ABAD-A0DD2A4A4D6B}">
      <text>
        <r>
          <rPr>
            <sz val="10"/>
            <color rgb="FF000000"/>
            <rFont val="Aptos Narrow"/>
            <scheme val="minor"/>
          </rPr>
          <t>======
ID#AAABjx7qUzg
    (2025-05-21 11:33:26)
12/22 Santiago 收貨</t>
        </r>
      </text>
    </comment>
    <comment ref="S4247" authorId="0" shapeId="0" xr:uid="{ED30D24F-9A8A-8D42-9F7F-091D549422BC}">
      <text>
        <r>
          <rPr>
            <sz val="10"/>
            <color rgb="FF000000"/>
            <rFont val="Aptos Narrow"/>
            <scheme val="minor"/>
          </rPr>
          <t>======
ID#AAABjx7qQgk
    (2025-05-21 11:33:25)
20141229 已收到US$1940.2
($6551*20%+$630)
20150204 Santiago: 已收到水單</t>
        </r>
      </text>
    </comment>
    <comment ref="U4247" authorId="0" shapeId="0" xr:uid="{0493F276-40C5-6540-9613-83AF4C5D89FC}">
      <text>
        <r>
          <rPr>
            <sz val="10"/>
            <color rgb="FF000000"/>
            <rFont val="Aptos Narrow"/>
            <scheme val="minor"/>
          </rPr>
          <t>======
ID#AAABjx7qP2E
    (2025-05-21 11:33:24)
匯率:31</t>
        </r>
      </text>
    </comment>
    <comment ref="S4248" authorId="0" shapeId="0" xr:uid="{860596BC-402F-C341-84C2-557C99C7E381}">
      <text>
        <r>
          <rPr>
            <sz val="10"/>
            <color rgb="FF000000"/>
            <rFont val="Aptos Narrow"/>
            <scheme val="minor"/>
          </rPr>
          <t>======
ID#AAABjx7qVpc
    (2025-05-21 11:33:27)
20141229 已收到US$1940.2
($6551*20%+$630)
20150204 Santiago: 已收到水單</t>
        </r>
      </text>
    </comment>
    <comment ref="U4248" authorId="0" shapeId="0" xr:uid="{24D03286-861E-EE49-BAE2-895BAD47EDAC}">
      <text>
        <r>
          <rPr>
            <sz val="10"/>
            <color rgb="FF000000"/>
            <rFont val="Aptos Narrow"/>
            <scheme val="minor"/>
          </rPr>
          <t>======
ID#AAABjx7qRzA
    (2025-05-21 11:33:25)
要付給Carlo 的組裝費</t>
        </r>
      </text>
    </comment>
    <comment ref="S4249" authorId="0" shapeId="0" xr:uid="{4BB1A781-B82F-3046-9860-089239FA668F}">
      <text>
        <r>
          <rPr>
            <sz val="10"/>
            <color rgb="FF000000"/>
            <rFont val="Aptos Narrow"/>
            <scheme val="minor"/>
          </rPr>
          <t>======
ID#AAABjx7qU6g
    (2025-05-21 11:33:27)
20141229 已收到US$1940.2
($6551*20%+$630)
20150204 Santiago: 已收到水單</t>
        </r>
      </text>
    </comment>
    <comment ref="M4251" authorId="0" shapeId="0" xr:uid="{ABF8CBC1-7554-6849-BCA3-BC4CCB769D37}">
      <text>
        <r>
          <rPr>
            <sz val="10"/>
            <color rgb="FF000000"/>
            <rFont val="Aptos Narrow"/>
            <scheme val="minor"/>
          </rPr>
          <t>======
ID#AAABjx7qTkM
    (2025-05-21 11:33:26)
12/15 Forster 已收貨</t>
        </r>
      </text>
    </comment>
    <comment ref="R4251" authorId="0" shapeId="0" xr:uid="{CED56F9F-F129-6544-A4E5-F5CB80CD920B}">
      <text>
        <r>
          <rPr>
            <sz val="10"/>
            <color rgb="FF000000"/>
            <rFont val="Aptos Narrow"/>
            <scheme val="minor"/>
          </rPr>
          <t>======
ID#AAABjx7qP3U
    (2025-05-21 11:33:24)
台幣報價，匯率用30計算</t>
        </r>
      </text>
    </comment>
    <comment ref="M4252" authorId="0" shapeId="0" xr:uid="{0D7A5419-079F-184E-8FC7-16948628BD90}">
      <text>
        <r>
          <rPr>
            <sz val="10"/>
            <color rgb="FF000000"/>
            <rFont val="Aptos Narrow"/>
            <scheme val="minor"/>
          </rPr>
          <t>======
ID#AAABjx7qVQw
    (2025-05-21 11:33:27)
12/15 Forster 已收貨</t>
        </r>
      </text>
    </comment>
    <comment ref="R4252" authorId="0" shapeId="0" xr:uid="{4D48EE0A-4A2C-D340-B720-1F4F113D2D92}">
      <text>
        <r>
          <rPr>
            <sz val="10"/>
            <color rgb="FF000000"/>
            <rFont val="Aptos Narrow"/>
            <scheme val="minor"/>
          </rPr>
          <t>======
ID#AAABjx7qWLE
    (2025-05-21 11:33:27)
台幣報價，匯率用30計算</t>
        </r>
      </text>
    </comment>
    <comment ref="M4253" authorId="0" shapeId="0" xr:uid="{CFFEAF5B-9D32-1743-A079-664BCFF1D454}">
      <text>
        <r>
          <rPr>
            <sz val="10"/>
            <color rgb="FF000000"/>
            <rFont val="Aptos Narrow"/>
            <scheme val="minor"/>
          </rPr>
          <t>======
ID#AAABjx7qM2M
    (2025-05-21 11:33:23)
12/15 Forster 已收貨</t>
        </r>
      </text>
    </comment>
    <comment ref="R4253" authorId="0" shapeId="0" xr:uid="{62BA4CBC-E3B2-4D40-994E-9F20CF31D3A8}">
      <text>
        <r>
          <rPr>
            <sz val="10"/>
            <color rgb="FF000000"/>
            <rFont val="Aptos Narrow"/>
            <scheme val="minor"/>
          </rPr>
          <t>======
ID#AAABjx7qMx4
    (2025-05-21 11:33:23)
台幣報價，匯率用30計算</t>
        </r>
      </text>
    </comment>
    <comment ref="Z4254" authorId="0" shapeId="0" xr:uid="{3192F184-3919-C248-89C0-F62118ECBA5E}">
      <text>
        <r>
          <rPr>
            <sz val="10"/>
            <color rgb="FF000000"/>
            <rFont val="Aptos Narrow"/>
            <scheme val="minor"/>
          </rPr>
          <t>======
ID#AAABjx7qNuc
    (2025-05-21 11:33:23)
PI-20141210A兩筆的價格</t>
        </r>
      </text>
    </comment>
    <comment ref="M4256" authorId="0" shapeId="0" xr:uid="{62CBCC55-6F65-714E-B0CA-021B7395529A}">
      <text>
        <r>
          <rPr>
            <sz val="10"/>
            <color rgb="FF000000"/>
            <rFont val="Aptos Narrow"/>
            <scheme val="minor"/>
          </rPr>
          <t>======
ID#AAABjx7qTOk
    (2025-05-21 11:33:26)
20141217 Lynn已收貨</t>
        </r>
      </text>
    </comment>
    <comment ref="M4259" authorId="0" shapeId="0" xr:uid="{B45B38FA-C6F0-6C4E-B3CE-E86426B1A847}">
      <text>
        <r>
          <rPr>
            <sz val="10"/>
            <color rgb="FF000000"/>
            <rFont val="Aptos Narrow"/>
            <scheme val="minor"/>
          </rPr>
          <t>======
ID#AAABjx7qOfU
    (2025-05-21 11:33:24)
12/16 Santiago 收到</t>
        </r>
      </text>
    </comment>
    <comment ref="M4263" authorId="0" shapeId="0" xr:uid="{CECD1EDD-B335-3B4F-9BB2-728903A5984D}">
      <text>
        <r>
          <rPr>
            <sz val="10"/>
            <color rgb="FF000000"/>
            <rFont val="Aptos Narrow"/>
            <scheme val="minor"/>
          </rPr>
          <t>======
ID#AAABjx7qTpw
    (2025-05-21 11:33:26)
12/18 Forster點收</t>
        </r>
      </text>
    </comment>
    <comment ref="M4264" authorId="0" shapeId="0" xr:uid="{0032977F-3E46-B84D-A39E-F8F50CA3B7BC}">
      <text>
        <r>
          <rPr>
            <sz val="10"/>
            <color rgb="FF000000"/>
            <rFont val="Aptos Narrow"/>
            <scheme val="minor"/>
          </rPr>
          <t>======
ID#AAABjx7qSlk
    (2025-05-21 11:33:26)
12/18 Forster點收</t>
        </r>
      </text>
    </comment>
    <comment ref="M4265" authorId="0" shapeId="0" xr:uid="{5DBE71DB-B731-E049-A5F4-34FBFB34E381}">
      <text>
        <r>
          <rPr>
            <sz val="10"/>
            <color rgb="FF000000"/>
            <rFont val="Aptos Narrow"/>
            <scheme val="minor"/>
          </rPr>
          <t>======
ID#AAABjx7qWHc
    (2025-05-21 11:33:27)
12/18 Forster點收</t>
        </r>
      </text>
    </comment>
    <comment ref="M4266" authorId="0" shapeId="0" xr:uid="{5C83C9F0-33F9-6C4B-A8CA-48299D7CE184}">
      <text>
        <r>
          <rPr>
            <sz val="10"/>
            <color rgb="FF000000"/>
            <rFont val="Aptos Narrow"/>
            <scheme val="minor"/>
          </rPr>
          <t>======
ID#AAABjx7qS8w
    (2025-05-21 11:33:26)
12/18 Forster點收</t>
        </r>
      </text>
    </comment>
    <comment ref="M4267" authorId="0" shapeId="0" xr:uid="{109DB07B-3830-AC48-A21E-B2E60BF85A09}">
      <text>
        <r>
          <rPr>
            <sz val="10"/>
            <color rgb="FF000000"/>
            <rFont val="Aptos Narrow"/>
            <scheme val="minor"/>
          </rPr>
          <t>======
ID#AAABjx7qPdE
    (2025-05-21 11:33:24)
12/18 Forster點收</t>
        </r>
      </text>
    </comment>
    <comment ref="M4268" authorId="0" shapeId="0" xr:uid="{B0AF74F8-BFEA-5D43-9C6B-30C2832AC1B4}">
      <text>
        <r>
          <rPr>
            <sz val="10"/>
            <color rgb="FF000000"/>
            <rFont val="Aptos Narrow"/>
            <scheme val="minor"/>
          </rPr>
          <t>======
ID#AAABjx7qQ9M
    (2025-05-21 11:33:25)
20141218 Forster點收</t>
        </r>
      </text>
    </comment>
    <comment ref="M4269" authorId="0" shapeId="0" xr:uid="{668111A9-503C-244F-90BD-A436D57DD9DE}">
      <text>
        <r>
          <rPr>
            <sz val="10"/>
            <color rgb="FF000000"/>
            <rFont val="Aptos Narrow"/>
            <scheme val="minor"/>
          </rPr>
          <t>======
ID#AAABjx7qWXc
    (2025-05-21 11:33:27)
20141218 Forster點收</t>
        </r>
      </text>
    </comment>
    <comment ref="Z4272" authorId="0" shapeId="0" xr:uid="{FFEB4733-2283-FC40-88D8-393B302908B3}">
      <text>
        <r>
          <rPr>
            <sz val="10"/>
            <color rgb="FF000000"/>
            <rFont val="Aptos Narrow"/>
            <scheme val="minor"/>
          </rPr>
          <t>======
ID#AAABjx7qM_g
    (2025-05-21 11:33:23)
兩項併一張發票</t>
        </r>
      </text>
    </comment>
    <comment ref="G4281" authorId="0" shapeId="0" xr:uid="{17DE0F36-31C6-C946-8807-F5ED3AAEBBE8}">
      <text>
        <r>
          <rPr>
            <sz val="10"/>
            <color rgb="FF000000"/>
            <rFont val="Aptos Narrow"/>
            <scheme val="minor"/>
          </rPr>
          <t>======
ID#AAABjx7qOM4
    (2025-05-21 11:33:24)
w/ Tax</t>
        </r>
      </text>
    </comment>
    <comment ref="G4282" authorId="0" shapeId="0" xr:uid="{F9FC93C4-2750-AF47-A3B0-B780F2ABAB2D}">
      <text>
        <r>
          <rPr>
            <sz val="10"/>
            <color rgb="FF000000"/>
            <rFont val="Aptos Narrow"/>
            <scheme val="minor"/>
          </rPr>
          <t>======
ID#AAABjx7qQ_0
    (2025-05-21 11:33:25)
w/ Tax</t>
        </r>
      </text>
    </comment>
    <comment ref="H4293" authorId="0" shapeId="0" xr:uid="{CFC8ED1D-5579-A741-836C-CB7A8329EE1D}">
      <text>
        <r>
          <rPr>
            <sz val="10"/>
            <color rgb="FF000000"/>
            <rFont val="Aptos Narrow"/>
            <scheme val="minor"/>
          </rPr>
          <t>======
ID#AAABjx7qV7w
    (2025-05-21 11:33:27)
O/A 30 days
US$2000</t>
        </r>
      </text>
    </comment>
    <comment ref="U4293" authorId="0" shapeId="0" xr:uid="{D5BC5FB5-1EEE-3845-AA6E-910F1C26FDA4}">
      <text>
        <r>
          <rPr>
            <sz val="10"/>
            <color rgb="FF000000"/>
            <rFont val="Aptos Narrow"/>
            <scheme val="minor"/>
          </rPr>
          <t>======
ID#AAABjx7qPkU
    (2025-05-21 11:33:24)
7/5 已付60,000
5/20 O/A 尚欠60,000</t>
        </r>
      </text>
    </comment>
    <comment ref="G4294" authorId="0" shapeId="0" xr:uid="{C649CA2C-949C-8B44-BA7D-A45E4AACE421}">
      <text>
        <r>
          <rPr>
            <sz val="10"/>
            <color rgb="FF000000"/>
            <rFont val="Aptos Narrow"/>
            <scheme val="minor"/>
          </rPr>
          <t>======
ID#AAABjx7qTVY
    (2025-05-21 11:33:26)
w/ Tax</t>
        </r>
      </text>
    </comment>
    <comment ref="G4295" authorId="0" shapeId="0" xr:uid="{F0C05C20-68F8-E04E-AC1E-EA0B29F73A0F}">
      <text>
        <r>
          <rPr>
            <sz val="10"/>
            <color rgb="FF000000"/>
            <rFont val="Aptos Narrow"/>
            <scheme val="minor"/>
          </rPr>
          <t>======
ID#AAABjx7qSZU
    (2025-05-21 11:33:26)
w/ Tax</t>
        </r>
      </text>
    </comment>
    <comment ref="G4297" authorId="0" shapeId="0" xr:uid="{8041F17F-1F6D-F84C-81AD-8D3D73284C5C}">
      <text>
        <r>
          <rPr>
            <sz val="10"/>
            <color rgb="FF000000"/>
            <rFont val="Aptos Narrow"/>
            <scheme val="minor"/>
          </rPr>
          <t>======
ID#AAABjx7qNFk
    (2025-05-21 11:33:23)
w/ TAX</t>
        </r>
      </text>
    </comment>
    <comment ref="G4298" authorId="0" shapeId="0" xr:uid="{A44827FB-AD7D-B447-9EDC-BA18EC994F83}">
      <text>
        <r>
          <rPr>
            <sz val="10"/>
            <color rgb="FF000000"/>
            <rFont val="Aptos Narrow"/>
            <scheme val="minor"/>
          </rPr>
          <t>======
ID#AAABjx7qTIc
    (2025-05-21 11:33:26)
w/ TAX</t>
        </r>
      </text>
    </comment>
    <comment ref="G4299" authorId="0" shapeId="0" xr:uid="{AFF84BA4-525C-E94D-B9A3-988F927C2077}">
      <text>
        <r>
          <rPr>
            <sz val="10"/>
            <color rgb="FF000000"/>
            <rFont val="Aptos Narrow"/>
            <scheme val="minor"/>
          </rPr>
          <t>======
ID#AAABjx7qTSk
    (2025-05-21 11:33:26)
w/ TAX</t>
        </r>
      </text>
    </comment>
    <comment ref="J4305" authorId="0" shapeId="0" xr:uid="{996D4BC7-5C9C-1E4C-871A-D058822DDB7C}">
      <text>
        <r>
          <rPr>
            <sz val="10"/>
            <color rgb="FF000000"/>
            <rFont val="Aptos Narrow"/>
            <scheme val="minor"/>
          </rPr>
          <t>======
ID#AAABjx7qRF0
    (2025-05-21 11:33:25)
運費240元</t>
        </r>
      </text>
    </comment>
    <comment ref="H4323" authorId="0" shapeId="0" xr:uid="{BA0B7BB5-42FF-DD40-974B-223C079FE9E1}">
      <text>
        <r>
          <rPr>
            <sz val="10"/>
            <color rgb="FF000000"/>
            <rFont val="Aptos Narrow"/>
            <scheme val="minor"/>
          </rPr>
          <t>======
ID#AAABjx7qRQU
    (2025-05-21 11:33:25)
7/19收到水單$1700
9/2 收到水單$2000</t>
        </r>
      </text>
    </comment>
    <comment ref="U4323" authorId="0" shapeId="0" xr:uid="{0530B62F-4E24-3042-B4ED-B5B86B40F927}">
      <text>
        <r>
          <rPr>
            <sz val="10"/>
            <color rgb="FF000000"/>
            <rFont val="Aptos Narrow"/>
            <scheme val="minor"/>
          </rPr>
          <t>======
ID#AAABjx7qSCY
    (2025-05-21 11:33:25)
7/24 付69675, 
其中45000付在此筆
9/11 付60000</t>
        </r>
      </text>
    </comment>
    <comment ref="H4324" authorId="0" shapeId="0" xr:uid="{EE9580FE-7C97-6F4B-8E4F-892AA8F98C41}">
      <text>
        <r>
          <rPr>
            <sz val="10"/>
            <color rgb="FF000000"/>
            <rFont val="Aptos Narrow"/>
            <scheme val="minor"/>
          </rPr>
          <t>======
ID#AAABjx7qOQM
    (2025-05-21 11:33:24)
9/30 付USD 1700
11/5 付USD 2000</t>
        </r>
      </text>
    </comment>
    <comment ref="J4324" authorId="0" shapeId="0" xr:uid="{32EB0290-AAA5-654D-8373-BEFDD48DD1B1}">
      <text>
        <r>
          <rPr>
            <sz val="10"/>
            <color rgb="FF000000"/>
            <rFont val="Aptos Narrow"/>
            <scheme val="minor"/>
          </rPr>
          <t>======
ID#AAABjx7qSYU
    (2025-05-21 11:33:26)
BCN 942854</t>
        </r>
      </text>
    </comment>
    <comment ref="U4324" authorId="0" shapeId="0" xr:uid="{7718A787-5CF1-2C44-A9CB-9875B98221FF}">
      <text>
        <r>
          <rPr>
            <sz val="10"/>
            <color rgb="FF000000"/>
            <rFont val="Aptos Narrow"/>
            <scheme val="minor"/>
          </rPr>
          <t>======
ID#AAABjx7qNbI
    (2025-05-21 11:33:23)
10/2 匯45000
11/7 匯60000</t>
        </r>
      </text>
    </comment>
    <comment ref="B4330" authorId="0" shapeId="0" xr:uid="{B3B9F39B-74B2-FA43-A364-303392C89816}">
      <text>
        <r>
          <rPr>
            <sz val="10"/>
            <color rgb="FF000000"/>
            <rFont val="Aptos Narrow"/>
            <scheme val="minor"/>
          </rPr>
          <t>======
ID#AAABjx7qNxY
    (2025-05-21 11:33:23)
中文: 芳慎企業有限公司</t>
        </r>
      </text>
    </comment>
    <comment ref="G4330" authorId="0" shapeId="0" xr:uid="{E31D7962-04DC-5943-B802-3D5D73C680A9}">
      <text>
        <r>
          <rPr>
            <sz val="10"/>
            <color rgb="FF000000"/>
            <rFont val="Aptos Narrow"/>
            <scheme val="minor"/>
          </rPr>
          <t>======
ID#AAABjx7qQZA
    (2025-05-21 11:33:25)
w/ Tax</t>
        </r>
      </text>
    </comment>
    <comment ref="G4331" authorId="0" shapeId="0" xr:uid="{67E2C102-1E4A-AB4E-9FA4-2F83906AC5D1}">
      <text>
        <r>
          <rPr>
            <sz val="10"/>
            <color rgb="FF000000"/>
            <rFont val="Aptos Narrow"/>
            <scheme val="minor"/>
          </rPr>
          <t>======
ID#AAABjx7qQFE
    (2025-05-21 11:33:25)
w/ Tax</t>
        </r>
      </text>
    </comment>
    <comment ref="J4331" authorId="0" shapeId="0" xr:uid="{67BFE77C-323D-5142-AC2F-7C9D143C5892}">
      <text>
        <r>
          <rPr>
            <sz val="10"/>
            <color rgb="FF000000"/>
            <rFont val="Aptos Narrow"/>
            <scheme val="minor"/>
          </rPr>
          <t>======
ID#AAABjx7qQ3c
    (2025-05-21 11:33:25)
運費90元</t>
        </r>
      </text>
    </comment>
    <comment ref="U4331" authorId="0" shapeId="0" xr:uid="{14828434-590F-1247-A098-ED9AD63F7A67}">
      <text>
        <r>
          <rPr>
            <sz val="10"/>
            <color rgb="FF000000"/>
            <rFont val="Aptos Narrow"/>
            <scheme val="minor"/>
          </rPr>
          <t>======
ID#AAABjx7qPPk
    (2025-05-21 11:33:24)
7/24 付20790
這筆佔9828</t>
        </r>
      </text>
    </comment>
    <comment ref="G4332" authorId="0" shapeId="0" xr:uid="{4A0B4F0E-CB1D-884D-83E3-014579C180AD}">
      <text>
        <r>
          <rPr>
            <sz val="10"/>
            <color rgb="FF000000"/>
            <rFont val="Aptos Narrow"/>
            <scheme val="minor"/>
          </rPr>
          <t>======
ID#AAABjx7qPUw
    (2025-05-21 11:33:24)
w/ Tax</t>
        </r>
      </text>
    </comment>
    <comment ref="G4333" authorId="0" shapeId="0" xr:uid="{532EE4E4-D7B5-D243-9006-BB564BC3A23C}">
      <text>
        <r>
          <rPr>
            <sz val="10"/>
            <color rgb="FF000000"/>
            <rFont val="Aptos Narrow"/>
            <scheme val="minor"/>
          </rPr>
          <t>======
ID#AAABjx7qVAk
    (2025-05-21 11:33:27)
w/ Tax</t>
        </r>
      </text>
    </comment>
    <comment ref="J4333" authorId="0" shapeId="0" xr:uid="{40AFA752-06E8-7042-8A8F-CDF757F8CB22}">
      <text>
        <r>
          <rPr>
            <sz val="10"/>
            <color rgb="FF000000"/>
            <rFont val="Aptos Narrow"/>
            <scheme val="minor"/>
          </rPr>
          <t>======
ID#AAABjx7qQ9s
    (2025-05-21 11:33:25)
運費90元</t>
        </r>
      </text>
    </comment>
    <comment ref="U4333" authorId="0" shapeId="0" xr:uid="{C2D3EDA2-701E-0041-A0BE-6629A38792C3}">
      <text>
        <r>
          <rPr>
            <sz val="10"/>
            <color rgb="FF000000"/>
            <rFont val="Aptos Narrow"/>
            <scheme val="minor"/>
          </rPr>
          <t>======
ID#AAABjx7qWVc
    (2025-05-21 11:33:27)
7/24 付20790
這筆佔10962</t>
        </r>
      </text>
    </comment>
    <comment ref="Z4335" authorId="0" shapeId="0" xr:uid="{416E19EF-1F92-7846-8C9A-5846B2A16E26}">
      <text>
        <r>
          <rPr>
            <sz val="10"/>
            <color rgb="FF000000"/>
            <rFont val="Aptos Narrow"/>
            <scheme val="minor"/>
          </rPr>
          <t>======
ID#AAABjx7qPSI
    (2025-05-21 11:33:24)
匯率29.82</t>
        </r>
      </text>
    </comment>
    <comment ref="H4341" authorId="0" shapeId="0" xr:uid="{35800678-8A6C-454C-AF4E-9DF87D26954C}">
      <text>
        <r>
          <rPr>
            <sz val="10"/>
            <color rgb="FF000000"/>
            <rFont val="Aptos Narrow"/>
            <scheme val="minor"/>
          </rPr>
          <t>======
ID#AAABjx7qPHU
    (2025-05-21 11:33:24)
7/31 收到匯款</t>
        </r>
      </text>
    </comment>
    <comment ref="Z4341" authorId="0" shapeId="0" xr:uid="{534A4086-BE98-4445-BDCF-C3098E3FBF6D}">
      <text>
        <r>
          <rPr>
            <sz val="10"/>
            <color rgb="FF000000"/>
            <rFont val="Aptos Narrow"/>
            <scheme val="minor"/>
          </rPr>
          <t>======
ID#AAABjx7qOFY
    (2025-05-21 11:33:24)
匯率30.06</t>
        </r>
      </text>
    </comment>
    <comment ref="H4342" authorId="0" shapeId="0" xr:uid="{2C121CAA-A9F4-0041-94D0-027FA57B248B}">
      <text>
        <r>
          <rPr>
            <sz val="10"/>
            <color rgb="FF000000"/>
            <rFont val="Aptos Narrow"/>
            <scheme val="minor"/>
          </rPr>
          <t>======
ID#AAABjx7qWA0
    (2025-05-21 11:33:27)
6/26收到貨款</t>
        </r>
      </text>
    </comment>
    <comment ref="Z4343" authorId="0" shapeId="0" xr:uid="{D7909BF3-60F1-2B44-BBDF-BEFD6C749CF4}">
      <text>
        <r>
          <rPr>
            <sz val="10"/>
            <color rgb="FF000000"/>
            <rFont val="Aptos Narrow"/>
            <scheme val="minor"/>
          </rPr>
          <t>======
ID#AAABjx7qQ5U
    (2025-05-21 11:33:25)
電子發票，申請紙本發票中(發票無統編不可報帳)</t>
        </r>
      </text>
    </comment>
    <comment ref="H4344" authorId="0" shapeId="0" xr:uid="{BF4DE5C7-5EAF-3640-BEB4-C2CF89F5128B}">
      <text>
        <r>
          <rPr>
            <sz val="10"/>
            <color rgb="FF000000"/>
            <rFont val="Aptos Narrow"/>
            <scheme val="minor"/>
          </rPr>
          <t>======
ID#AAABjx7qRLU
    (2025-05-21 11:33:25)
7/22 T/T</t>
        </r>
      </text>
    </comment>
    <comment ref="H4345" authorId="0" shapeId="0" xr:uid="{5D6F4733-FB2F-5E47-9B25-45D2E111B98B}">
      <text>
        <r>
          <rPr>
            <sz val="10"/>
            <color rgb="FF000000"/>
            <rFont val="Aptos Narrow"/>
            <scheme val="minor"/>
          </rPr>
          <t>======
ID#AAABjx7qRqg
    (2025-05-21 11:33:25)
7/22 T/T</t>
        </r>
      </text>
    </comment>
    <comment ref="G4350" authorId="0" shapeId="0" xr:uid="{B52FE2DF-D3FD-EF49-82AE-6165C679E0C5}">
      <text>
        <r>
          <rPr>
            <sz val="10"/>
            <color rgb="FF000000"/>
            <rFont val="Aptos Narrow"/>
            <scheme val="minor"/>
          </rPr>
          <t>======
ID#AAABjx7qNEY
    (2025-05-21 11:33:23)
w/ TAX</t>
        </r>
      </text>
    </comment>
    <comment ref="H4351" authorId="0" shapeId="0" xr:uid="{2F61B08E-E71B-D245-84D3-64A7079E5744}">
      <text>
        <r>
          <rPr>
            <sz val="10"/>
            <color rgb="FF000000"/>
            <rFont val="Aptos Narrow"/>
            <scheme val="minor"/>
          </rPr>
          <t>======
ID#AAABjx7qWEc
    (2025-05-21 11:33:27)
7/17收到水單</t>
        </r>
      </text>
    </comment>
    <comment ref="U4352" authorId="0" shapeId="0" xr:uid="{0693D029-06D4-FF43-8043-5CFEE3336A22}">
      <text>
        <r>
          <rPr>
            <sz val="10"/>
            <color rgb="FF000000"/>
            <rFont val="Aptos Narrow"/>
            <scheme val="minor"/>
          </rPr>
          <t>======
ID#AAABjx7qTAs
    (2025-05-21 11:33:26)
7/24 付69675, 
其中24675付在此筆</t>
        </r>
      </text>
    </comment>
    <comment ref="H4353" authorId="0" shapeId="0" xr:uid="{3672B977-6372-654D-BAC6-80CDA0805707}">
      <text>
        <r>
          <rPr>
            <sz val="10"/>
            <color rgb="FF000000"/>
            <rFont val="Aptos Narrow"/>
            <scheme val="minor"/>
          </rPr>
          <t>======
ID#AAABjx7qMtE
    (2025-05-21 11:33:23)
8/1 收到匯款</t>
        </r>
      </text>
    </comment>
    <comment ref="H4356" authorId="0" shapeId="0" xr:uid="{81C57ED6-E1BB-EF40-8382-C7A2780CB884}">
      <text>
        <r>
          <rPr>
            <sz val="10"/>
            <color rgb="FF000000"/>
            <rFont val="Aptos Narrow"/>
            <scheme val="minor"/>
          </rPr>
          <t>======
ID#AAABjx7qQtE
    (2025-05-21 11:33:25)
O/A 30days
9/10 收到匯款4419</t>
        </r>
      </text>
    </comment>
    <comment ref="G4357" authorId="0" shapeId="0" xr:uid="{309E0B9E-3826-AB41-A4EE-96D44A0C9A22}">
      <text>
        <r>
          <rPr>
            <sz val="10"/>
            <color rgb="FF000000"/>
            <rFont val="Aptos Narrow"/>
            <scheme val="minor"/>
          </rPr>
          <t>======
ID#AAABjx7qOCw
    (2025-05-21 11:33:24)
w/ Tax</t>
        </r>
      </text>
    </comment>
    <comment ref="G4358" authorId="0" shapeId="0" xr:uid="{A6268B50-4740-C542-AA74-F93E7AFA7848}">
      <text>
        <r>
          <rPr>
            <sz val="10"/>
            <color rgb="FF000000"/>
            <rFont val="Aptos Narrow"/>
            <scheme val="minor"/>
          </rPr>
          <t>======
ID#AAABjx7qPTk
    (2025-05-21 11:33:24)
w/ Tax</t>
        </r>
      </text>
    </comment>
    <comment ref="G4359" authorId="0" shapeId="0" xr:uid="{BA0B5785-73AD-7E42-A408-CAF4F6FA8AC6}">
      <text>
        <r>
          <rPr>
            <sz val="10"/>
            <color rgb="FF000000"/>
            <rFont val="Aptos Narrow"/>
            <scheme val="minor"/>
          </rPr>
          <t>======
ID#AAABjx7qWJY
    (2025-05-21 11:33:27)
w/ Tax</t>
        </r>
      </text>
    </comment>
    <comment ref="G4360" authorId="0" shapeId="0" xr:uid="{76297325-B244-6943-941C-4C20A50A9449}">
      <text>
        <r>
          <rPr>
            <sz val="10"/>
            <color rgb="FF000000"/>
            <rFont val="Aptos Narrow"/>
            <scheme val="minor"/>
          </rPr>
          <t>======
ID#AAABjx7qQVo
    (2025-05-21 11:33:25)
w/ Tax</t>
        </r>
      </text>
    </comment>
    <comment ref="G4361" authorId="0" shapeId="0" xr:uid="{5EF92E8C-E48E-8A43-B104-25FCD03917D3}">
      <text>
        <r>
          <rPr>
            <sz val="10"/>
            <color rgb="FF000000"/>
            <rFont val="Aptos Narrow"/>
            <scheme val="minor"/>
          </rPr>
          <t>======
ID#AAABjx7qRW8
    (2025-05-21 11:33:25)
W/ Tax</t>
        </r>
      </text>
    </comment>
    <comment ref="H4361" authorId="0" shapeId="0" xr:uid="{A992CEB2-E3B7-3C4E-AA00-307F408A6710}">
      <text>
        <r>
          <rPr>
            <sz val="10"/>
            <color rgb="FF000000"/>
            <rFont val="Aptos Narrow"/>
            <scheme val="minor"/>
          </rPr>
          <t>======
ID#AAABjx7qTLU
    (2025-05-21 11:33:26)
OA 30
9/16 收到匯款2188</t>
        </r>
      </text>
    </comment>
    <comment ref="G4362" authorId="0" shapeId="0" xr:uid="{70D0A31D-C501-5E42-B42B-89C720A5CB2C}">
      <text>
        <r>
          <rPr>
            <sz val="10"/>
            <color rgb="FF000000"/>
            <rFont val="Aptos Narrow"/>
            <scheme val="minor"/>
          </rPr>
          <t>======
ID#AAABjx7qWXA
    (2025-05-21 11:33:27)
w/Tax</t>
        </r>
      </text>
    </comment>
    <comment ref="H4362" authorId="0" shapeId="0" xr:uid="{6FFCA3DA-AB5E-1C4E-81CA-AE5170CE9B5E}">
      <text>
        <r>
          <rPr>
            <sz val="10"/>
            <color rgb="FF000000"/>
            <rFont val="Aptos Narrow"/>
            <scheme val="minor"/>
          </rPr>
          <t>======
ID#AAABjx7qQjg
    (2025-05-21 11:33:25)
OA 30</t>
        </r>
      </text>
    </comment>
    <comment ref="AB4362" authorId="0" shapeId="0" xr:uid="{E1253A3E-1A7F-B04C-9154-8E2B11A48134}">
      <text>
        <r>
          <rPr>
            <sz val="10"/>
            <color rgb="FF000000"/>
            <rFont val="Aptos Narrow"/>
            <scheme val="minor"/>
          </rPr>
          <t>======
ID#AAABjx7qQTQ
    (2025-05-21 11:33:25)
29.99</t>
        </r>
      </text>
    </comment>
    <comment ref="G4363" authorId="0" shapeId="0" xr:uid="{E5EC0F65-D2C6-764E-8D21-9349DAB84AD4}">
      <text>
        <r>
          <rPr>
            <sz val="10"/>
            <color rgb="FF000000"/>
            <rFont val="Aptos Narrow"/>
            <scheme val="minor"/>
          </rPr>
          <t>======
ID#AAABjx7qVhA
    (2025-05-21 11:33:27)
w/Tax</t>
        </r>
      </text>
    </comment>
    <comment ref="H4363" authorId="0" shapeId="0" xr:uid="{0C4E8B4B-80CA-BB4F-BF16-8A8F90376FBF}">
      <text>
        <r>
          <rPr>
            <sz val="10"/>
            <color rgb="FF000000"/>
            <rFont val="Aptos Narrow"/>
            <scheme val="minor"/>
          </rPr>
          <t>======
ID#AAABjx7qPOg
    (2025-05-21 11:33:24)
OA 30</t>
        </r>
      </text>
    </comment>
    <comment ref="AB4363" authorId="0" shapeId="0" xr:uid="{DA12499B-95CB-704E-B32E-3FC18E8B69BD}">
      <text>
        <r>
          <rPr>
            <sz val="10"/>
            <color rgb="FF000000"/>
            <rFont val="Aptos Narrow"/>
            <scheme val="minor"/>
          </rPr>
          <t>======
ID#AAABjx7qSDM
    (2025-05-21 11:33:25)
29.59</t>
        </r>
      </text>
    </comment>
    <comment ref="G4364" authorId="0" shapeId="0" xr:uid="{9A9CF6D9-42B3-9F43-B9D7-08BD5D18E09B}">
      <text>
        <r>
          <rPr>
            <sz val="10"/>
            <color rgb="FF000000"/>
            <rFont val="Aptos Narrow"/>
            <scheme val="minor"/>
          </rPr>
          <t>======
ID#AAABjx7qWUA
    (2025-05-21 11:33:27)
w/Tax</t>
        </r>
      </text>
    </comment>
    <comment ref="H4364" authorId="0" shapeId="0" xr:uid="{78F88AB0-991E-4A40-B773-A48C34ED3A4C}">
      <text>
        <r>
          <rPr>
            <sz val="10"/>
            <color rgb="FF000000"/>
            <rFont val="Aptos Narrow"/>
            <scheme val="minor"/>
          </rPr>
          <t>======
ID#AAABjx7qPd8
    (2025-05-21 11:33:24)
OA 30</t>
        </r>
      </text>
    </comment>
    <comment ref="G4365" authorId="0" shapeId="0" xr:uid="{8D91ABD6-471E-8448-8279-3ACC9A5A79B4}">
      <text>
        <r>
          <rPr>
            <sz val="10"/>
            <color rgb="FF000000"/>
            <rFont val="Aptos Narrow"/>
            <scheme val="minor"/>
          </rPr>
          <t>======
ID#AAABjx7qQdk
    (2025-05-21 11:33:25)
w/Tax</t>
        </r>
      </text>
    </comment>
    <comment ref="H4365" authorId="0" shapeId="0" xr:uid="{1E2099E1-EB32-8142-ACBF-830C29B6A74D}">
      <text>
        <r>
          <rPr>
            <sz val="10"/>
            <color rgb="FF000000"/>
            <rFont val="Aptos Narrow"/>
            <scheme val="minor"/>
          </rPr>
          <t>======
ID#AAABjx7qVG4
    (2025-05-21 11:33:27)
OA 30</t>
        </r>
      </text>
    </comment>
    <comment ref="AB4365" authorId="0" shapeId="0" xr:uid="{EEAE47AB-D31B-0A4D-A735-4118F424C1C9}">
      <text>
        <r>
          <rPr>
            <sz val="10"/>
            <color rgb="FF000000"/>
            <rFont val="Aptos Narrow"/>
            <scheme val="minor"/>
          </rPr>
          <t>======
ID#AAABjx7qPFo
    (2025-05-21 11:33:24)
29.94</t>
        </r>
      </text>
    </comment>
    <comment ref="J4366" authorId="0" shapeId="0" xr:uid="{6A7747E3-FC45-834E-B625-827451EAEA59}">
      <text>
        <r>
          <rPr>
            <sz val="10"/>
            <color rgb="FF000000"/>
            <rFont val="Aptos Narrow"/>
            <scheme val="minor"/>
          </rPr>
          <t>======
ID#AAABjx7qR9s
    (2025-05-21 11:33:25)
BCN 942854</t>
        </r>
      </text>
    </comment>
    <comment ref="K4370" authorId="0" shapeId="0" xr:uid="{5FC0A752-365E-0344-B56B-4CC7E63D58D8}">
      <text>
        <r>
          <rPr>
            <sz val="10"/>
            <color rgb="FF000000"/>
            <rFont val="Aptos Narrow"/>
            <scheme val="minor"/>
          </rPr>
          <t>======
ID#AAABjx7qNIY
    (2025-05-21 11:33:23)
尚未匯款</t>
        </r>
      </text>
    </comment>
    <comment ref="AB4370" authorId="0" shapeId="0" xr:uid="{99D8C964-8868-FF41-84C5-B79FA4DFB2EF}">
      <text>
        <r>
          <rPr>
            <sz val="10"/>
            <color rgb="FF000000"/>
            <rFont val="Aptos Narrow"/>
            <scheme val="minor"/>
          </rPr>
          <t>======
ID#AAABjx7qOv8
    (2025-05-21 11:33:24)
GD683395605WW</t>
        </r>
      </text>
    </comment>
    <comment ref="K4371" authorId="0" shapeId="0" xr:uid="{3B1D162E-2459-E24F-B554-FDB018610023}">
      <text>
        <r>
          <rPr>
            <sz val="10"/>
            <color rgb="FF000000"/>
            <rFont val="Aptos Narrow"/>
            <scheme val="minor"/>
          </rPr>
          <t>======
ID#AAABjx7qMr8
    (2025-05-21 11:33:23)
尚未匯款</t>
        </r>
      </text>
    </comment>
    <comment ref="G4374" authorId="0" shapeId="0" xr:uid="{877AD260-4B08-CE45-A8F3-7CC5C7F433CF}">
      <text>
        <r>
          <rPr>
            <sz val="10"/>
            <color rgb="FF000000"/>
            <rFont val="Aptos Narrow"/>
            <scheme val="minor"/>
          </rPr>
          <t>======
ID#AAABjx7qM3g
    (2025-05-21 11:33:23)
含5%稅</t>
        </r>
      </text>
    </comment>
    <comment ref="G4375" authorId="0" shapeId="0" xr:uid="{29D2F57E-096E-2A4E-A88E-9F3F4AFA82B7}">
      <text>
        <r>
          <rPr>
            <sz val="10"/>
            <color rgb="FF000000"/>
            <rFont val="Aptos Narrow"/>
            <scheme val="minor"/>
          </rPr>
          <t>======
ID#AAABjx7qVmQ
    (2025-05-21 11:33:27)
含5%稅</t>
        </r>
      </text>
    </comment>
    <comment ref="G4376" authorId="0" shapeId="0" xr:uid="{3150DCE3-AFCE-B543-87B6-C3AE8267B6EB}">
      <text>
        <r>
          <rPr>
            <sz val="10"/>
            <color rgb="FF000000"/>
            <rFont val="Aptos Narrow"/>
            <scheme val="minor"/>
          </rPr>
          <t>======
ID#AAABjx7qQNQ
    (2025-05-21 11:33:25)
含5%稅</t>
        </r>
      </text>
    </comment>
    <comment ref="G4377" authorId="0" shapeId="0" xr:uid="{BDCE7CF3-E458-654D-B393-718BEF539731}">
      <text>
        <r>
          <rPr>
            <sz val="10"/>
            <color rgb="FF000000"/>
            <rFont val="Aptos Narrow"/>
            <scheme val="minor"/>
          </rPr>
          <t>======
ID#AAABjx7qSB8
    (2025-05-21 11:33:25)
w/ 5% 的稅</t>
        </r>
      </text>
    </comment>
    <comment ref="G4380" authorId="0" shapeId="0" xr:uid="{D3A8B14E-F3BD-0F4A-BE7F-90B2DD436532}">
      <text>
        <r>
          <rPr>
            <sz val="10"/>
            <color rgb="FF000000"/>
            <rFont val="Aptos Narrow"/>
            <scheme val="minor"/>
          </rPr>
          <t>======
ID#AAABjx7qVYs
    (2025-05-21 11:33:27)
w/Tax</t>
        </r>
      </text>
    </comment>
    <comment ref="G4381" authorId="0" shapeId="0" xr:uid="{8D166F1E-5F6A-8C4E-9549-6AC0474BE2C7}">
      <text>
        <r>
          <rPr>
            <sz val="10"/>
            <color rgb="FF000000"/>
            <rFont val="Aptos Narrow"/>
            <scheme val="minor"/>
          </rPr>
          <t>======
ID#AAABjx7qOS0
    (2025-05-21 11:33:24)
w/Tax</t>
        </r>
      </text>
    </comment>
    <comment ref="G4382" authorId="0" shapeId="0" xr:uid="{1B7F0976-2F7B-1846-A1AF-D6A0F7E9E768}">
      <text>
        <r>
          <rPr>
            <sz val="10"/>
            <color rgb="FF000000"/>
            <rFont val="Aptos Narrow"/>
            <scheme val="minor"/>
          </rPr>
          <t>======
ID#AAABj82dpIU
    (2025-05-21 11:33:23)
w/Tax</t>
        </r>
      </text>
    </comment>
    <comment ref="G4383" authorId="0" shapeId="0" xr:uid="{DA0734BE-1949-224E-B163-1F87C6A95915}">
      <text>
        <r>
          <rPr>
            <sz val="10"/>
            <color rgb="FF000000"/>
            <rFont val="Aptos Narrow"/>
            <scheme val="minor"/>
          </rPr>
          <t>======
ID#AAABjx7qNNM
    (2025-05-21 11:33:23)
w/Tax</t>
        </r>
      </text>
    </comment>
    <comment ref="G4384" authorId="0" shapeId="0" xr:uid="{46B7084A-20C6-4345-A629-7D2D7E4DA900}">
      <text>
        <r>
          <rPr>
            <sz val="10"/>
            <color rgb="FF000000"/>
            <rFont val="Aptos Narrow"/>
            <scheme val="minor"/>
          </rPr>
          <t>======
ID#AAABjx7qNDo
    (2025-05-21 11:33:23)
w/Tax</t>
        </r>
      </text>
    </comment>
    <comment ref="G4385" authorId="0" shapeId="0" xr:uid="{BB2E117D-547F-7841-A233-EE292FE98772}">
      <text>
        <r>
          <rPr>
            <sz val="10"/>
            <color rgb="FF000000"/>
            <rFont val="Aptos Narrow"/>
            <scheme val="minor"/>
          </rPr>
          <t>======
ID#AAABjx7qWZs
    (2025-05-21 11:33:27)
w/Tax</t>
        </r>
      </text>
    </comment>
    <comment ref="G4386" authorId="0" shapeId="0" xr:uid="{950A56F5-E3C6-8040-AD37-E8A941E6D184}">
      <text>
        <r>
          <rPr>
            <sz val="10"/>
            <color rgb="FF000000"/>
            <rFont val="Aptos Narrow"/>
            <scheme val="minor"/>
          </rPr>
          <t>======
ID#AAABjx7qNGg
    (2025-05-21 11:33:23)
w/Tax</t>
        </r>
      </text>
    </comment>
    <comment ref="H4387" authorId="0" shapeId="0" xr:uid="{A8324814-6946-C34C-93BE-F26B2BAFEA87}">
      <text>
        <r>
          <rPr>
            <sz val="10"/>
            <color rgb="FF000000"/>
            <rFont val="Aptos Narrow"/>
            <scheme val="minor"/>
          </rPr>
          <t>======
ID#AAABjx7qRPE
    (2025-05-21 11:33:25)
11/5 收到款項</t>
        </r>
      </text>
    </comment>
    <comment ref="G4388" authorId="0" shapeId="0" xr:uid="{E4F02266-59CB-BF48-A2DF-1AE82824F6FD}">
      <text>
        <r>
          <rPr>
            <sz val="10"/>
            <color rgb="FF000000"/>
            <rFont val="Aptos Narrow"/>
            <scheme val="minor"/>
          </rPr>
          <t>======
ID#AAABjx7qTlI
    (2025-05-21 11:33:26)
w/ Tax</t>
        </r>
      </text>
    </comment>
    <comment ref="G4389" authorId="0" shapeId="0" xr:uid="{0926D6B6-A58F-6945-904A-FC4AAA013850}">
      <text>
        <r>
          <rPr>
            <sz val="10"/>
            <color rgb="FF000000"/>
            <rFont val="Aptos Narrow"/>
            <scheme val="minor"/>
          </rPr>
          <t>======
ID#AAABjx7qOjc
    (2025-05-21 11:33:24)
w/ Tax</t>
        </r>
      </text>
    </comment>
    <comment ref="J4389" authorId="0" shapeId="0" xr:uid="{805C4A04-C903-F743-9B50-2BB2728668C8}">
      <text>
        <r>
          <rPr>
            <sz val="10"/>
            <color rgb="FF000000"/>
            <rFont val="Aptos Narrow"/>
            <scheme val="minor"/>
          </rPr>
          <t>======
ID#AAABjx7qNIg
    (2025-05-21 11:33:23)
運費158元</t>
        </r>
      </text>
    </comment>
    <comment ref="G4390" authorId="0" shapeId="0" xr:uid="{069BB6CD-0C20-F041-B815-AE1D6A878D8B}">
      <text>
        <r>
          <rPr>
            <sz val="10"/>
            <color rgb="FF000000"/>
            <rFont val="Aptos Narrow"/>
            <scheme val="minor"/>
          </rPr>
          <t>======
ID#AAABjx7qSuw
    (2025-05-21 11:33:26)
w/Tax</t>
        </r>
      </text>
    </comment>
    <comment ref="J4391" authorId="0" shapeId="0" xr:uid="{6DF12B1B-F299-CB49-B8EB-47B4A57EE04E}">
      <text>
        <r>
          <rPr>
            <sz val="10"/>
            <color rgb="FF000000"/>
            <rFont val="Aptos Narrow"/>
            <scheme val="minor"/>
          </rPr>
          <t>======
ID#AAABjx7qR70
    (2025-05-21 11:33:25)
10/30老闆確認付款</t>
        </r>
      </text>
    </comment>
    <comment ref="G4395" authorId="0" shapeId="0" xr:uid="{9E6F2BAB-0A8F-9C44-B693-20759A042592}">
      <text>
        <r>
          <rPr>
            <sz val="10"/>
            <color rgb="FF000000"/>
            <rFont val="Aptos Narrow"/>
            <scheme val="minor"/>
          </rPr>
          <t>======
ID#AAABjx7qN-8
    (2025-05-21 11:33:24)
w/Tax</t>
        </r>
      </text>
    </comment>
    <comment ref="G4396" authorId="0" shapeId="0" xr:uid="{ECF8D155-6C65-9946-B689-E8B93E2B68C9}">
      <text>
        <r>
          <rPr>
            <sz val="10"/>
            <color rgb="FF000000"/>
            <rFont val="Aptos Narrow"/>
            <scheme val="minor"/>
          </rPr>
          <t>======
ID#AAABjx7qR_M
    (2025-05-21 11:33:25)
w/Tax</t>
        </r>
      </text>
    </comment>
    <comment ref="AB4396" authorId="0" shapeId="0" xr:uid="{5DB43D4D-0FE0-F84B-B93D-F0C5AA8587EF}">
      <text>
        <r>
          <rPr>
            <sz val="10"/>
            <color rgb="FF000000"/>
            <rFont val="Aptos Narrow"/>
            <scheme val="minor"/>
          </rPr>
          <t>======
ID#AAABjx7qNv8
    (2025-05-21 11:33:23)
29.54</t>
        </r>
      </text>
    </comment>
    <comment ref="G4397" authorId="0" shapeId="0" xr:uid="{1E3435A0-BF8E-6E42-9A66-1E2537F47248}">
      <text>
        <r>
          <rPr>
            <sz val="10"/>
            <color rgb="FF000000"/>
            <rFont val="Aptos Narrow"/>
            <scheme val="minor"/>
          </rPr>
          <t>======
ID#AAABjx7qStg
    (2025-05-21 11:33:26)
w/Tax</t>
        </r>
      </text>
    </comment>
    <comment ref="AB4397" authorId="0" shapeId="0" xr:uid="{E2B32C6A-5609-C44B-923B-0FD1034C4EFF}">
      <text>
        <r>
          <rPr>
            <sz val="10"/>
            <color rgb="FF000000"/>
            <rFont val="Aptos Narrow"/>
            <scheme val="minor"/>
          </rPr>
          <t>======
ID#AAABjx7qPM4
    (2025-05-21 11:33:24)
匯率29.62</t>
        </r>
      </text>
    </comment>
    <comment ref="G4398" authorId="0" shapeId="0" xr:uid="{F741E542-4427-AD47-9700-90855E9BBCD3}">
      <text>
        <r>
          <rPr>
            <sz val="10"/>
            <color rgb="FF000000"/>
            <rFont val="Aptos Narrow"/>
            <scheme val="minor"/>
          </rPr>
          <t>======
ID#AAABjx7qVC0
    (2025-05-21 11:33:27)
w/ TAX</t>
        </r>
      </text>
    </comment>
    <comment ref="G4399" authorId="0" shapeId="0" xr:uid="{A885F727-AECC-A84B-963D-CE4C623C90BF}">
      <text>
        <r>
          <rPr>
            <sz val="10"/>
            <color rgb="FF000000"/>
            <rFont val="Aptos Narrow"/>
            <scheme val="minor"/>
          </rPr>
          <t>======
ID#AAABjx7qVHk
    (2025-05-21 11:33:27)
W/ TAX</t>
        </r>
      </text>
    </comment>
    <comment ref="G4403" authorId="0" shapeId="0" xr:uid="{E72D28C9-1968-C04D-8DE5-7AEA6350563A}">
      <text>
        <r>
          <rPr>
            <sz val="10"/>
            <color rgb="FF000000"/>
            <rFont val="Aptos Narrow"/>
            <scheme val="minor"/>
          </rPr>
          <t>======
ID#AAABjx7qV70
    (2025-05-21 11:33:27)
w/Tax</t>
        </r>
      </text>
    </comment>
    <comment ref="AB4403" authorId="0" shapeId="0" xr:uid="{7486A5F8-D8AA-9044-BB45-1AE084765C22}">
      <text>
        <r>
          <rPr>
            <sz val="10"/>
            <color rgb="FF000000"/>
            <rFont val="Aptos Narrow"/>
            <scheme val="minor"/>
          </rPr>
          <t>======
ID#AAABjx7qOiI
    (2025-05-21 11:33:24)
29.58</t>
        </r>
      </text>
    </comment>
    <comment ref="G4404" authorId="0" shapeId="0" xr:uid="{E75DF52D-FE2F-7E4D-BBF0-BCC9804A68FD}">
      <text>
        <r>
          <rPr>
            <sz val="10"/>
            <color rgb="FF000000"/>
            <rFont val="Aptos Narrow"/>
            <scheme val="minor"/>
          </rPr>
          <t>======
ID#AAABjx7qQu4
    (2025-05-21 11:33:25)
w/Tax</t>
        </r>
      </text>
    </comment>
    <comment ref="H4405" authorId="0" shapeId="0" xr:uid="{046E37CB-D8C6-6F46-966F-DC39080AA96C}">
      <text>
        <r>
          <rPr>
            <sz val="10"/>
            <color rgb="FF000000"/>
            <rFont val="Aptos Narrow"/>
            <scheme val="minor"/>
          </rPr>
          <t>======
ID#AAABjx7qPyg
    (2025-05-21 11:33:24)
12/30 已收到 US$615, 匯費約30美金</t>
        </r>
      </text>
    </comment>
    <comment ref="H4406" authorId="0" shapeId="0" xr:uid="{AA5BA86F-FF68-3C48-B59B-FFB59224BDAA}">
      <text>
        <r>
          <rPr>
            <sz val="10"/>
            <color rgb="FF000000"/>
            <rFont val="Aptos Narrow"/>
            <scheme val="minor"/>
          </rPr>
          <t>======
ID#AAABjx7qP0E
    (2025-05-21 11:33:24)
C126 $5100+ C105 $1161 + C123 $369.6 =6630.6 1/20前付款</t>
        </r>
      </text>
    </comment>
    <comment ref="G4407" authorId="0" shapeId="0" xr:uid="{A62CA31B-EAA8-084A-8FAA-F758BFBE35D1}">
      <text>
        <r>
          <rPr>
            <sz val="10"/>
            <color rgb="FF000000"/>
            <rFont val="Aptos Narrow"/>
            <scheme val="minor"/>
          </rPr>
          <t>======
ID#AAABjx7qTcA
    (2025-05-21 11:33:26)
w/Tax</t>
        </r>
      </text>
    </comment>
    <comment ref="G4409" authorId="0" shapeId="0" xr:uid="{D15B6C5F-4BCC-3447-B1FF-B88D07D7F0E1}">
      <text>
        <r>
          <rPr>
            <sz val="10"/>
            <color rgb="FF000000"/>
            <rFont val="Aptos Narrow"/>
            <scheme val="minor"/>
          </rPr>
          <t>======
ID#AAABjx7qNL4
    (2025-05-21 11:33:23)
含5%稅</t>
        </r>
      </text>
    </comment>
    <comment ref="G4410" authorId="0" shapeId="0" xr:uid="{698A3D2B-0DA0-A04A-9982-8EC5DBE755B6}">
      <text>
        <r>
          <rPr>
            <sz val="10"/>
            <color rgb="FF000000"/>
            <rFont val="Aptos Narrow"/>
            <scheme val="minor"/>
          </rPr>
          <t>======
ID#AAABj82dpOA
    (2025-05-21 11:33:23)
含5%稅</t>
        </r>
      </text>
    </comment>
    <comment ref="AB4410" authorId="0" shapeId="0" xr:uid="{276670AF-E15A-E74C-BF46-1BFBF1DEEDF9}">
      <text>
        <r>
          <rPr>
            <sz val="10"/>
            <color rgb="FF000000"/>
            <rFont val="Aptos Narrow"/>
            <scheme val="minor"/>
          </rPr>
          <t>======
ID#AAABjx7qWL4
    (2025-05-21 11:33:27)
重開發票20140102</t>
        </r>
      </text>
    </comment>
    <comment ref="G4411" authorId="0" shapeId="0" xr:uid="{C111C1B7-B42D-9644-B6B4-1A87EFFE2CF5}">
      <text>
        <r>
          <rPr>
            <sz val="10"/>
            <color rgb="FF000000"/>
            <rFont val="Aptos Narrow"/>
            <scheme val="minor"/>
          </rPr>
          <t>======
ID#AAABjx7qM6s
    (2025-05-21 11:33:23)
w/Tax</t>
        </r>
      </text>
    </comment>
    <comment ref="AB4411" authorId="0" shapeId="0" xr:uid="{17580717-9D45-0346-8B92-424883B39531}">
      <text>
        <r>
          <rPr>
            <sz val="10"/>
            <color rgb="FF000000"/>
            <rFont val="Aptos Narrow"/>
            <scheme val="minor"/>
          </rPr>
          <t>======
ID#AAABjx7qO24
    (2025-05-21 11:33:24)
29.54</t>
        </r>
      </text>
    </comment>
    <comment ref="G4412" authorId="0" shapeId="0" xr:uid="{0238B022-6DA5-9E47-BBE5-791CE34B6054}">
      <text>
        <r>
          <rPr>
            <sz val="10"/>
            <color rgb="FF000000"/>
            <rFont val="Aptos Narrow"/>
            <scheme val="minor"/>
          </rPr>
          <t>======
ID#AAABjx7qTao
    (2025-05-21 11:33:26)
報錯價 正確為133.2</t>
        </r>
      </text>
    </comment>
    <comment ref="H4412" authorId="0" shapeId="0" xr:uid="{80463A0C-544C-4744-B80D-E77C4762F814}">
      <text>
        <r>
          <rPr>
            <sz val="10"/>
            <color rgb="FF000000"/>
            <rFont val="Aptos Narrow"/>
            <scheme val="minor"/>
          </rPr>
          <t>======
ID#AAABjx7qSGg
    (2025-05-21 11:33:26)
C126 $5100+ C105 $1161 + C123 $369.6 =6630.6 1/20前付款</t>
        </r>
      </text>
    </comment>
    <comment ref="H4413" authorId="0" shapeId="0" xr:uid="{6C90BD8A-14AE-7548-A9A7-0AED9AF2F7A3}">
      <text>
        <r>
          <rPr>
            <sz val="10"/>
            <color rgb="FF000000"/>
            <rFont val="Aptos Narrow"/>
            <scheme val="minor"/>
          </rPr>
          <t>======
ID#AAABjx7qRro
    (2025-05-21 11:33:25)
C126 $5100+ C105 $1161 + C123 $369.6 =6630.6 1/20前付款</t>
        </r>
      </text>
    </comment>
    <comment ref="U4413" authorId="0" shapeId="0" xr:uid="{F2F34177-375B-144A-B1BE-BE1EB7A5E505}">
      <text>
        <r>
          <rPr>
            <sz val="10"/>
            <color rgb="FF000000"/>
            <rFont val="Aptos Narrow"/>
            <scheme val="minor"/>
          </rPr>
          <t>======
ID#AAABjx7qUuI
    (2025-05-21 11:33:26)
12/17
先付 36pcs , 1000x 36 x 1.05=37800 VAT
1/17 再付100pcs, 105000元, VAT</t>
        </r>
      </text>
    </comment>
    <comment ref="AA4413" authorId="0" shapeId="0" xr:uid="{2302A63B-FC67-4844-A622-710EEBDD19C4}">
      <text>
        <r>
          <rPr>
            <sz val="10"/>
            <color rgb="FF000000"/>
            <rFont val="Aptos Narrow"/>
            <scheme val="minor"/>
          </rPr>
          <t>======
ID#AAABjx7qRCU
    (2025-05-21 11:33:25)
12/17 先付36pcs
1/17  再付100pcs</t>
        </r>
      </text>
    </comment>
    <comment ref="Q4420" authorId="0" shapeId="0" xr:uid="{00000000-0006-0000-0900-00001B000000}">
      <text>
        <r>
          <rPr>
            <sz val="10"/>
            <color rgb="FF000000"/>
            <rFont val="Aptos Narrow"/>
            <scheme val="minor"/>
          </rPr>
          <t>======
ID#AAABjx7qPBQ
    (2025-05-21 11:33:24)
2 成訂金 40,000 已於 2/24付
8 成尾款170,000 已於4/19付</t>
        </r>
      </text>
    </comment>
    <comment ref="Q4421" authorId="0" shapeId="0" xr:uid="{00000000-0006-0000-0900-00000F000000}">
      <text>
        <r>
          <rPr>
            <sz val="10"/>
            <color rgb="FF000000"/>
            <rFont val="Aptos Narrow"/>
            <scheme val="minor"/>
          </rPr>
          <t>======
ID#AAABjx7qSYg
    (2025-05-21 11:33:26)
尚欠放帳NT60,000
20121002 已匯出60,000</t>
        </r>
      </text>
    </comment>
    <comment ref="B4422" authorId="0" shapeId="0" xr:uid="{00000000-0006-0000-0900-000020000000}">
      <text>
        <r>
          <rPr>
            <sz val="10"/>
            <color rgb="FF000000"/>
            <rFont val="Aptos Narrow"/>
            <scheme val="minor"/>
          </rPr>
          <t>======
ID#AAABjx7qM3o
    (2025-05-21 11:33:23)
統編 53323697</t>
        </r>
      </text>
    </comment>
    <comment ref="C4424" authorId="0" shapeId="0" xr:uid="{00000000-0006-0000-0900-000012000000}">
      <text>
        <r>
          <rPr>
            <sz val="10"/>
            <color rgb="FF000000"/>
            <rFont val="Aptos Narrow"/>
            <scheme val="minor"/>
          </rPr>
          <t>======
ID#AAABjx7qRpA
    (2025-05-21 11:33:25)
3/14 出貨. 請Maggie 在4/14 併 MMC PPS-200-27 x 300 一起收款</t>
        </r>
      </text>
    </comment>
    <comment ref="D4424" authorId="0" shapeId="0" xr:uid="{00000000-0006-0000-0900-000014000000}">
      <text>
        <r>
          <rPr>
            <sz val="10"/>
            <color rgb="FF000000"/>
            <rFont val="Aptos Narrow"/>
            <scheme val="minor"/>
          </rPr>
          <t>======
ID#AAABjx7qQYA
    (2025-05-21 11:33:25)
3/14 出貨. 請Maggie 在4/14 併 MMC PPS-200-27 x 300 一起收款</t>
        </r>
      </text>
    </comment>
    <comment ref="Q4429" authorId="0" shapeId="0" xr:uid="{00000000-0006-0000-0900-00000B000000}">
      <text>
        <r>
          <rPr>
            <sz val="10"/>
            <color rgb="FF000000"/>
            <rFont val="Aptos Narrow"/>
            <scheme val="minor"/>
          </rPr>
          <t>======
ID#AAABjx7qSyE
    (2025-05-21 11:33:26)
3項MOXA 合加的美金總額</t>
        </r>
      </text>
    </comment>
    <comment ref="AB4434" authorId="0" shapeId="0" xr:uid="{00000000-0006-0000-0900-000002000000}">
      <text>
        <r>
          <rPr>
            <sz val="10"/>
            <color rgb="FF000000"/>
            <rFont val="Aptos Narrow"/>
            <scheme val="minor"/>
          </rPr>
          <t>======
ID#AAABjx7qV7k
    (2025-05-21 11:33:27)
隨貨附產地証明</t>
        </r>
      </text>
    </comment>
    <comment ref="F4436" authorId="0" shapeId="0" xr:uid="{00000000-0006-0000-0900-000013000000}">
      <text>
        <r>
          <rPr>
            <sz val="10"/>
            <color rgb="FF000000"/>
            <rFont val="Aptos Narrow"/>
            <scheme val="minor"/>
          </rPr>
          <t>======
ID#AAABjx7qQnY
    (2025-05-21 11:33:25)
5/1 Chloe :與客戶回簽之pi不同數量
Santiago 5/2 註明: 後來MMC 有增加訂單到200 pcs. PI正等MMC回簽. 原PI 請作廢</t>
        </r>
      </text>
    </comment>
    <comment ref="H4442" authorId="0" shapeId="0" xr:uid="{00000000-0006-0000-0900-000010000000}">
      <text>
        <r>
          <rPr>
            <sz val="10"/>
            <color rgb="FF000000"/>
            <rFont val="Aptos Narrow"/>
            <scheme val="minor"/>
          </rPr>
          <t>======
ID#AAABjx7qSCE
    (2025-05-21 11:33:25)
台幣含稅. 發票請開NT$22,523</t>
        </r>
      </text>
    </comment>
    <comment ref="D4449" authorId="0" shapeId="0" xr:uid="{00000000-0006-0000-0900-000021000000}">
      <text>
        <r>
          <rPr>
            <sz val="10"/>
            <color rgb="FF000000"/>
            <rFont val="Aptos Narrow"/>
            <scheme val="minor"/>
          </rPr>
          <t>======
ID#AAABjx7qMso
    (2025-05-21 11:33:23)
PI應為PI-20120524A. 但Amjad 忘記更新PI內的號碼. 為避免出口報關的問題. 將錯就錯. 就用舊的PI號碼</t>
        </r>
      </text>
    </comment>
    <comment ref="H4452" authorId="0" shapeId="0" xr:uid="{00000000-0006-0000-0900-00001F000000}">
      <text>
        <r>
          <rPr>
            <sz val="10"/>
            <color rgb="FF000000"/>
            <rFont val="Aptos Narrow"/>
            <scheme val="minor"/>
          </rPr>
          <t>======
ID#AAABjx7qNBE
    (2025-05-21 11:33:23)
台幣總價含稅為NT$53708, 稅為NT$2558, 單價為NT$51150</t>
        </r>
      </text>
    </comment>
    <comment ref="D4453" authorId="0" shapeId="0" xr:uid="{00000000-0006-0000-0900-000011000000}">
      <text>
        <r>
          <rPr>
            <sz val="10"/>
            <color rgb="FF000000"/>
            <rFont val="Aptos Narrow"/>
            <scheme val="minor"/>
          </rPr>
          <t>======
ID#AAABjx7qR_4
    (2025-05-21 11:33:25)
0829 只出100片
1005出剩下100片</t>
        </r>
      </text>
    </comment>
    <comment ref="Q4453" authorId="0" shapeId="0" xr:uid="{00000000-0006-0000-0900-00000A000000}">
      <text>
        <r>
          <rPr>
            <sz val="10"/>
            <color rgb="FF000000"/>
            <rFont val="Aptos Narrow"/>
            <scheme val="minor"/>
          </rPr>
          <t>======
ID#AAABjx7qTKk
    (2025-05-21 11:33:26)
0828 付105000
1004 付105000</t>
        </r>
      </text>
    </comment>
    <comment ref="H4455" authorId="0" shapeId="0" xr:uid="{00000000-0006-0000-0900-000001000000}">
      <text>
        <r>
          <rPr>
            <sz val="10"/>
            <color rgb="FF000000"/>
            <rFont val="Aptos Narrow"/>
            <scheme val="minor"/>
          </rPr>
          <t>======
ID#AAABjx7qWIM
    (2025-05-21 11:33:27)
貨款US$300*10PCS+銀行手續費US$18.5 = US$3018.5 by Santiago_20120704</t>
        </r>
      </text>
    </comment>
    <comment ref="B4456" authorId="0" shapeId="0" xr:uid="{00000000-0006-0000-0900-000004000000}">
      <text>
        <r>
          <rPr>
            <sz val="10"/>
            <color rgb="FF000000"/>
            <rFont val="Aptos Narrow"/>
            <scheme val="minor"/>
          </rPr>
          <t>======
ID#AAABjx7qVQ0
    (2025-05-21 11:33:27)
中文: 芳慎企業有限公司</t>
        </r>
      </text>
    </comment>
    <comment ref="D4456" authorId="0" shapeId="0" xr:uid="{00000000-0006-0000-0900-000017000000}">
      <text>
        <r>
          <rPr>
            <sz val="10"/>
            <color rgb="FF000000"/>
            <rFont val="Aptos Narrow"/>
            <scheme val="minor"/>
          </rPr>
          <t>======
ID#AAABjx7qP1U
    (2025-05-21 11:33:24)
7/12芳慎要求09A和09B一起出貨</t>
        </r>
      </text>
    </comment>
    <comment ref="H4456" authorId="0" shapeId="0" xr:uid="{00000000-0006-0000-0900-00001D000000}">
      <text>
        <r>
          <rPr>
            <sz val="10"/>
            <color rgb="FF000000"/>
            <rFont val="Aptos Narrow"/>
            <scheme val="minor"/>
          </rPr>
          <t>======
ID#AAABjx7qNZw
    (2025-05-21 11:33:23)
未含５％稅</t>
        </r>
      </text>
    </comment>
    <comment ref="D4457" authorId="0" shapeId="0" xr:uid="{00000000-0006-0000-0900-000018000000}">
      <text>
        <r>
          <rPr>
            <sz val="10"/>
            <color rgb="FF000000"/>
            <rFont val="Aptos Narrow"/>
            <scheme val="minor"/>
          </rPr>
          <t>======
ID#AAABjx7qPkM
    (2025-05-21 11:33:24)
7/12芳慎要求09A和09B一起出貨</t>
        </r>
      </text>
    </comment>
    <comment ref="H4457" authorId="0" shapeId="0" xr:uid="{00000000-0006-0000-0900-000016000000}">
      <text>
        <r>
          <rPr>
            <sz val="10"/>
            <color rgb="FF000000"/>
            <rFont val="Aptos Narrow"/>
            <scheme val="minor"/>
          </rPr>
          <t>======
ID#AAABjx7qP2c
    (2025-05-21 11:33:24)
未含５％稅</t>
        </r>
      </text>
    </comment>
    <comment ref="D4462" authorId="0" shapeId="0" xr:uid="{00000000-0006-0000-0900-000009000000}">
      <text>
        <r>
          <rPr>
            <sz val="10"/>
            <color rgb="FF000000"/>
            <rFont val="Aptos Narrow"/>
            <scheme val="minor"/>
          </rPr>
          <t>======
ID#AAABjx7qTV0
    (2025-05-21 11:33:26)
訂單金額超過US$1500, 客戶要求不付銀行手續費US$39. 已同意. 做INVOICE時要注意到</t>
        </r>
      </text>
    </comment>
    <comment ref="J4466" authorId="0" shapeId="0" xr:uid="{00000000-0006-0000-0900-00001E000000}">
      <text>
        <r>
          <rPr>
            <sz val="10"/>
            <color rgb="FF000000"/>
            <rFont val="Aptos Narrow"/>
            <scheme val="minor"/>
          </rPr>
          <t>======
ID#AAABjx7qNQA
    (2025-05-21 11:33:23)
取件找如下聯絡人：
四零四科技股份有限公司 
新北市新店區寶橋路235巷128號5樓 
黃政傑先生(倉庫)
02-89191230-1869</t>
        </r>
      </text>
    </comment>
    <comment ref="J4467" authorId="0" shapeId="0" xr:uid="{00000000-0006-0000-0900-000003000000}">
      <text>
        <r>
          <rPr>
            <sz val="10"/>
            <color rgb="FF000000"/>
            <rFont val="Aptos Narrow"/>
            <scheme val="minor"/>
          </rPr>
          <t>======
ID#AAABjx7qVZA
    (2025-05-21 11:33:27)
取件找如下聯絡人：
四零四科技股份有限公司 
新北市新店區寶橋路235巷128號5樓 
黃政傑先生(倉庫)
02-89191230-1869</t>
        </r>
      </text>
    </comment>
    <comment ref="J4468" authorId="0" shapeId="0" xr:uid="{00000000-0006-0000-0900-00000E000000}">
      <text>
        <r>
          <rPr>
            <sz val="10"/>
            <color rgb="FF000000"/>
            <rFont val="Aptos Narrow"/>
            <scheme val="minor"/>
          </rPr>
          <t>======
ID#AAABjx7qSgI
    (2025-05-21 11:33:26)
取件找如下聯絡人：
四零四科技股份有限公司 
新北市新店區寶橋路235巷128號5樓 
黃政傑先生(倉庫)
02-89191230-1869</t>
        </r>
      </text>
    </comment>
    <comment ref="J4469" authorId="0" shapeId="0" xr:uid="{00000000-0006-0000-0900-00000C000000}">
      <text>
        <r>
          <rPr>
            <sz val="10"/>
            <color rgb="FF000000"/>
            <rFont val="Aptos Narrow"/>
            <scheme val="minor"/>
          </rPr>
          <t>======
ID#AAABjx7qSp4
    (2025-05-21 11:33:26)
取件找如下聯絡人：
四零四科技股份有限公司 
新北市新店區寶橋路235巷128號5樓 
黃政傑先生(倉庫)
02-89191230-1869</t>
        </r>
      </text>
    </comment>
    <comment ref="H4470" authorId="0" shapeId="0" xr:uid="{00000000-0006-0000-0900-000005000000}">
      <text>
        <r>
          <rPr>
            <sz val="10"/>
            <color rgb="FF000000"/>
            <rFont val="Aptos Narrow"/>
            <scheme val="minor"/>
          </rPr>
          <t>======
ID#AAABjx7qVPs
    (2025-05-21 11:33:27)
放帳US$1500額度內</t>
        </r>
      </text>
    </comment>
    <comment ref="B4476" authorId="0" shapeId="0" xr:uid="{00000000-0006-0000-0900-000015000000}">
      <text>
        <r>
          <rPr>
            <sz val="10"/>
            <color rgb="FF000000"/>
            <rFont val="Aptos Narrow"/>
            <scheme val="minor"/>
          </rPr>
          <t>======
ID#AAABjx7qQTo
    (2025-05-21 11:33:25)
中文: 芳慎企業有限公司</t>
        </r>
      </text>
    </comment>
    <comment ref="X4477" authorId="0" shapeId="0" xr:uid="{00000000-0006-0000-0900-00000D000000}">
      <text>
        <r>
          <rPr>
            <sz val="10"/>
            <color rgb="FF000000"/>
            <rFont val="Aptos Narrow"/>
            <scheme val="minor"/>
          </rPr>
          <t>======
ID#AAABjx7qSko
    (2025-05-21 11:33:26)
走貨運寄出故發票晚開</t>
        </r>
      </text>
    </comment>
    <comment ref="H4478" authorId="0" shapeId="0" xr:uid="{00000000-0006-0000-0900-000006000000}">
      <text>
        <r>
          <rPr>
            <sz val="10"/>
            <color rgb="FF000000"/>
            <rFont val="Aptos Narrow"/>
            <scheme val="minor"/>
          </rPr>
          <t>======
ID#AAABjx7qVBI
    (2025-05-21 11:33:27)
2013/01/15 已付US$150</t>
        </r>
      </text>
    </comment>
    <comment ref="K4478" authorId="0" shapeId="0" xr:uid="{00000000-0006-0000-0900-000007000000}">
      <text>
        <r>
          <rPr>
            <sz val="10"/>
            <color rgb="FF000000"/>
            <rFont val="Aptos Narrow"/>
            <scheme val="minor"/>
          </rPr>
          <t>======
ID#AAABjx7qTsY
    (2025-05-21 11:33:26)
報關日12/14</t>
        </r>
      </text>
    </comment>
    <comment ref="H4479" authorId="0" shapeId="0" xr:uid="{00000000-0006-0000-0900-000019000000}">
      <text>
        <r>
          <rPr>
            <sz val="10"/>
            <color rgb="FF000000"/>
            <rFont val="Aptos Narrow"/>
            <scheme val="minor"/>
          </rPr>
          <t>======
ID#AAABjx7qPZc
    (2025-05-21 11:33:24)
2013/01/15/ 已付O/A
US$2000</t>
        </r>
      </text>
    </comment>
    <comment ref="Q4479" authorId="0" shapeId="0" xr:uid="{00000000-0006-0000-0900-00001C000000}">
      <text>
        <r>
          <rPr>
            <sz val="10"/>
            <color rgb="FF000000"/>
            <rFont val="Aptos Narrow"/>
            <scheme val="minor"/>
          </rPr>
          <t>======
ID#AAABjx7qNtA
    (2025-05-21 11:33:23)
O/A 12/11放帳60000元
2013/01/16 已付60000元</t>
        </r>
      </text>
    </comment>
    <comment ref="Q4481" authorId="0" shapeId="0" xr:uid="{00000000-0006-0000-0900-000008000000}">
      <text>
        <r>
          <rPr>
            <sz val="10"/>
            <color rgb="FF000000"/>
            <rFont val="Aptos Narrow"/>
            <scheme val="minor"/>
          </rPr>
          <t>======
ID#AAABjx7qTYo
    (2025-05-21 11:33:26)
2013/01/11 已付</t>
        </r>
      </text>
    </comment>
    <comment ref="E4543" authorId="0" shapeId="0" xr:uid="{9CE74AB7-1F8C-0F44-B736-AA523D0057D4}">
      <text>
        <r>
          <rPr>
            <sz val="10"/>
            <color rgb="FF000000"/>
            <rFont val="Aptos Narrow"/>
            <scheme val="minor"/>
          </rPr>
          <t>======
ID#AAABjx7qSHQ
    (2025-05-21 11:33:26)
1119 chloe:4U機箱使用</t>
        </r>
      </text>
    </comment>
    <comment ref="H4543" authorId="0" shapeId="0" xr:uid="{B13367E7-D081-1946-995C-A950A5FCEDBD}">
      <text>
        <r>
          <rPr>
            <sz val="10"/>
            <color rgb="FF000000"/>
            <rFont val="Aptos Narrow"/>
            <scheme val="minor"/>
          </rPr>
          <t>======
ID#AAABj82dpIw
    (2025-05-21 11:33:23)
0104 chloe:匯款匯入US$3195.35</t>
        </r>
      </text>
    </comment>
    <comment ref="K4543" authorId="0" shapeId="0" xr:uid="{0AFDA9AC-603D-8441-A764-0DFCC47DDCE9}">
      <text>
        <r>
          <rPr>
            <sz val="10"/>
            <color rgb="FF000000"/>
            <rFont val="Aptos Narrow"/>
            <scheme val="minor"/>
          </rPr>
          <t>======
ID#AAABjx7qV_E
    (2025-05-21 11:33:27)
EX : 2018 ...剩多少 PCS
20181231 止  剩 90 PCS</t>
        </r>
      </text>
    </comment>
    <comment ref="Z4543" authorId="0" shapeId="0" xr:uid="{1BB58A44-D629-B144-98B6-4A14023D59D4}">
      <text>
        <r>
          <rPr>
            <sz val="10"/>
            <color rgb="FF000000"/>
            <rFont val="Aptos Narrow"/>
            <scheme val="minor"/>
          </rPr>
          <t>======
ID#AAABjx7qO60
    (2025-05-21 11:33:24)
發票已給會計</t>
        </r>
      </text>
    </comment>
    <comment ref="H4544" authorId="0" shapeId="0" xr:uid="{6FA60D2F-6A9D-1A4B-AD67-6C514AC934D1}">
      <text>
        <r>
          <rPr>
            <sz val="10"/>
            <color rgb="FF000000"/>
            <rFont val="Aptos Narrow"/>
            <scheme val="minor"/>
          </rPr>
          <t>======
ID#AAABjx7qQyA
    (2025-05-21 11:33:25)
0306 chloe:匯款匯入US$14480.6(含20190119A RG58 cable Sample)</t>
        </r>
      </text>
    </comment>
    <comment ref="K4544" authorId="0" shapeId="0" xr:uid="{6E0D6AAE-1E2A-6740-B4B1-AA564F29168D}">
      <text>
        <r>
          <rPr>
            <sz val="10"/>
            <color rgb="FF000000"/>
            <rFont val="Aptos Narrow"/>
            <scheme val="minor"/>
          </rPr>
          <t>======
ID#AAABjx7qUzM
    (2025-05-21 11:33:26)
Vecow 年底前交貨, 收到超恩貨+2-3 days出貨Ti2</t>
        </r>
      </text>
    </comment>
    <comment ref="H4545" authorId="0" shapeId="0" xr:uid="{3C192FB3-D6AD-3544-97B3-2716609856E1}">
      <text>
        <r>
          <rPr>
            <sz val="10"/>
            <color rgb="FF000000"/>
            <rFont val="Aptos Narrow"/>
            <scheme val="minor"/>
          </rPr>
          <t>======
ID#AAABjx7qPPw
    (2025-05-21 11:33:24)
0306 chloe:匯款匯入US$14480.6(含20190119A RG58 cable Sample)</t>
        </r>
      </text>
    </comment>
    <comment ref="K4545" authorId="0" shapeId="0" xr:uid="{5E8F6CA2-14C5-4B45-AA32-A22F67207A55}">
      <text>
        <r>
          <rPr>
            <sz val="10"/>
            <color rgb="FF000000"/>
            <rFont val="Aptos Narrow"/>
            <scheme val="minor"/>
          </rPr>
          <t>======
ID#AAABjx7qO4s
    (2025-05-21 11:33:24)
Vecow 年底前交貨, 收到超恩貨+2-3 days出貨Ti2</t>
        </r>
      </text>
    </comment>
    <comment ref="H4546" authorId="0" shapeId="0" xr:uid="{C97F0AE8-08AF-4A4D-8334-EF96E8B2A4F9}">
      <text>
        <r>
          <rPr>
            <sz val="10"/>
            <color rgb="FF000000"/>
            <rFont val="Aptos Narrow"/>
            <scheme val="minor"/>
          </rPr>
          <t>======
ID#AAABjx7qRMs
    (2025-05-21 11:33:25)
0306 chloe:匯款匯入US$14480.6(含20190119A RG58 cable Sample)</t>
        </r>
      </text>
    </comment>
    <comment ref="K4546" authorId="0" shapeId="0" xr:uid="{0DB8E794-47C9-F646-8A1E-D2794987394D}">
      <text>
        <r>
          <rPr>
            <sz val="10"/>
            <color rgb="FF000000"/>
            <rFont val="Aptos Narrow"/>
            <scheme val="minor"/>
          </rPr>
          <t>======
ID#AAABjx7qQn8
    (2025-05-21 11:33:25)
Vecow 年底前交貨, 收到超恩貨+2-3 days出貨Ti2</t>
        </r>
      </text>
    </comment>
    <comment ref="H4551" authorId="0" shapeId="0" xr:uid="{D93C124D-6693-6345-9250-41EBC6932BF9}">
      <text>
        <r>
          <rPr>
            <sz val="10"/>
            <color rgb="FF000000"/>
            <rFont val="Aptos Narrow"/>
            <scheme val="minor"/>
          </rPr>
          <t>======
ID#AAABjx7qR3s
    (2025-05-21 11:33:25)
ALICE:2019/05/02-水單匯入USD21462.5</t>
        </r>
      </text>
    </comment>
    <comment ref="K4551" authorId="0" shapeId="0" xr:uid="{0479AF6B-2741-DC4B-AB6A-BEFE4A453F4B}">
      <text>
        <r>
          <rPr>
            <sz val="10"/>
            <color rgb="FF000000"/>
            <rFont val="Aptos Narrow"/>
            <scheme val="minor"/>
          </rPr>
          <t>======
ID#AAABjx7qQCM
    (2025-05-21 11:33:25)
1120Amy: Vecow 年底前交貨, 收到超恩貨+2-3 days出貨Ti2</t>
        </r>
      </text>
    </comment>
    <comment ref="AK4551" authorId="0" shapeId="0" xr:uid="{80371066-F058-6D40-9D1F-9E207D99BBAC}">
      <text>
        <r>
          <rPr>
            <sz val="10"/>
            <color rgb="FF000000"/>
            <rFont val="Aptos Narrow"/>
            <scheme val="minor"/>
          </rPr>
          <t>======
ID#AAABjx7qQtU
    (2025-05-21 11:33:25)
ALICE:2019/05/02-水單匯入USD21462.5-(匯出手續費USD10+匯入手續費USD10.73)=USD21441.77*30.84=NT661264</t>
        </r>
      </text>
    </comment>
    <comment ref="AL4551" authorId="0" shapeId="0" xr:uid="{6C0443E5-AA49-754C-942E-9BCE7A907F98}">
      <text>
        <r>
          <rPr>
            <sz val="10"/>
            <color rgb="FF000000"/>
            <rFont val="Aptos Narrow"/>
            <scheme val="minor"/>
          </rPr>
          <t>======
ID#AAABjx7qOsw
    (2025-05-21 11:33:24)
ALICE:2019/05/02-水單匯入USD21462.5-(匯出手續費USD10+匯入手續費USD10.73)=USD21441.77*30.84=NT661264</t>
        </r>
      </text>
    </comment>
    <comment ref="H4552" authorId="0" shapeId="0" xr:uid="{7359DC4A-1EF3-A846-B2B9-30991C48AD5E}">
      <text>
        <r>
          <rPr>
            <sz val="10"/>
            <color rgb="FF000000"/>
            <rFont val="Aptos Narrow"/>
            <scheme val="minor"/>
          </rPr>
          <t>======
ID#AAABjx7qNao
    (2025-05-21 11:33:23)
ALICE:2019/05/02-水單匯入USD21462.5</t>
        </r>
      </text>
    </comment>
    <comment ref="K4552" authorId="0" shapeId="0" xr:uid="{FC797DA4-E653-B84C-91FB-D113A52FA91F}">
      <text>
        <r>
          <rPr>
            <sz val="10"/>
            <color rgb="FF000000"/>
            <rFont val="Aptos Narrow"/>
            <scheme val="minor"/>
          </rPr>
          <t>======
ID#AAABjx7qOas
    (2025-05-21 11:33:24)
0311 Cathy: 生管告知Q18A525005*1PCS 無法開機。廠商取回處理
1120Amy: Vecow 年底前交貨, 收到超恩貨+2-3 days出貨Ti2</t>
        </r>
      </text>
    </comment>
    <comment ref="AK4552" authorId="0" shapeId="0" xr:uid="{04B9B4BC-1EC9-D64C-9DB9-CBC96C2BFE0A}">
      <text>
        <r>
          <rPr>
            <sz val="10"/>
            <color rgb="FF000000"/>
            <rFont val="Aptos Narrow"/>
            <scheme val="minor"/>
          </rPr>
          <t>======
ID#AAABjx7qNgw
    (2025-05-21 11:33:23)
ALICE:2019/05/02-水單匯入USD21462.5-(匯出手續費USD10+匯入手續費USD10.73)=USD21441.77*30.84=NT661264</t>
        </r>
      </text>
    </comment>
    <comment ref="AL4552" authorId="0" shapeId="0" xr:uid="{73ED21F6-83B8-AF4F-8C2A-911602CFB2F5}">
      <text>
        <r>
          <rPr>
            <sz val="10"/>
            <color rgb="FF000000"/>
            <rFont val="Aptos Narrow"/>
            <scheme val="minor"/>
          </rPr>
          <t>======
ID#AAABjx7qUxI
    (2025-05-21 11:33:26)
ALICE:2019/05/02-水單匯入USD21462.5-(匯出手續費USD10+匯入手續費USD10.73)=USD21441.77*30.84=NT661264</t>
        </r>
      </text>
    </comment>
    <comment ref="H4553" authorId="0" shapeId="0" xr:uid="{AC67B1E4-DBBA-6B4A-BDE3-F9C523E73904}">
      <text>
        <r>
          <rPr>
            <sz val="10"/>
            <color rgb="FF000000"/>
            <rFont val="Aptos Narrow"/>
            <scheme val="minor"/>
          </rPr>
          <t>======
ID#AAABjx7qTHk
    (2025-05-21 11:33:26)
ALICE:2019/05/02-水單匯入USD21462.5</t>
        </r>
      </text>
    </comment>
    <comment ref="K4553" authorId="0" shapeId="0" xr:uid="{AA8283D6-F98E-F740-B479-E8A0BA6EC02A}">
      <text>
        <r>
          <rPr>
            <sz val="10"/>
            <color rgb="FF000000"/>
            <rFont val="Aptos Narrow"/>
            <scheme val="minor"/>
          </rPr>
          <t>======
ID#AAABjx7qU6I
    (2025-05-21 11:33:27)
1120Amy: Vecow 年底前交貨, 收到超恩貨+2-3 days出貨Ti2</t>
        </r>
      </text>
    </comment>
    <comment ref="AK4553" authorId="0" shapeId="0" xr:uid="{E77EE58F-8085-B147-A2C5-9DABEFAFA607}">
      <text>
        <r>
          <rPr>
            <sz val="10"/>
            <color rgb="FF000000"/>
            <rFont val="Aptos Narrow"/>
            <scheme val="minor"/>
          </rPr>
          <t>======
ID#AAABjx7qPoQ
    (2025-05-21 11:33:24)
ALICE:2019/05/02-水單匯入USD21462.5-(匯出手續費USD10+匯入手續費USD10.73)=USD21441.77*30.84=NT661264</t>
        </r>
      </text>
    </comment>
    <comment ref="AL4553" authorId="0" shapeId="0" xr:uid="{596B19BD-A666-C64B-A5B1-BB6C8C339377}">
      <text>
        <r>
          <rPr>
            <sz val="10"/>
            <color rgb="FF000000"/>
            <rFont val="Aptos Narrow"/>
            <scheme val="minor"/>
          </rPr>
          <t>======
ID#AAABjx7qPgk
    (2025-05-21 11:33:24)
ALICE:2019/05/02-水單匯入USD21462.5-(匯出手續費USD10+匯入手續費USD10.73)=USD21441.77*30.84=NT661264</t>
        </r>
      </text>
    </comment>
    <comment ref="H4554" authorId="0" shapeId="0" xr:uid="{3486BB86-0F89-CA40-9502-E485613FC56D}">
      <text>
        <r>
          <rPr>
            <sz val="10"/>
            <color rgb="FF000000"/>
            <rFont val="Aptos Narrow"/>
            <scheme val="minor"/>
          </rPr>
          <t>======
ID#AAABjx7qPTo
    (2025-05-21 11:33:24)
ALICE:2019/05/02-水單匯入USD21462.5</t>
        </r>
      </text>
    </comment>
    <comment ref="K4554" authorId="0" shapeId="0" xr:uid="{45694A95-98F2-BA47-96C8-63823E972366}">
      <text>
        <r>
          <rPr>
            <sz val="10"/>
            <color rgb="FF000000"/>
            <rFont val="Aptos Narrow"/>
            <scheme val="minor"/>
          </rPr>
          <t>======
ID#AAABjx7qTRY
    (2025-05-21 11:33:26)
1120Amy: Vecow 年底前交貨, 收到超恩貨+2-3 days出貨Ti2</t>
        </r>
      </text>
    </comment>
    <comment ref="AK4554" authorId="0" shapeId="0" xr:uid="{F3BF862E-7490-A241-AC0B-F45242ED8A4C}">
      <text>
        <r>
          <rPr>
            <sz val="10"/>
            <color rgb="FF000000"/>
            <rFont val="Aptos Narrow"/>
            <scheme val="minor"/>
          </rPr>
          <t>======
ID#AAABjx7qOfs
    (2025-05-21 11:33:24)
ALICE:2019/05/02-水單匯入USD21462.5-(匯出手續費USD10+匯入手續費USD10.73)=USD21441.77*30.84=NT661264</t>
        </r>
      </text>
    </comment>
    <comment ref="AL4554" authorId="0" shapeId="0" xr:uid="{D6B807E4-7922-CB49-B459-EC364F2DB932}">
      <text>
        <r>
          <rPr>
            <sz val="10"/>
            <color rgb="FF000000"/>
            <rFont val="Aptos Narrow"/>
            <scheme val="minor"/>
          </rPr>
          <t>======
ID#AAABjx7qSzM
    (2025-05-21 11:33:26)
ALICE:2019/05/02-水單匯入USD21462.5-(匯出手續費USD10+匯入手續費USD10.73)=USD21441.77*30.84=NT661264</t>
        </r>
      </text>
    </comment>
    <comment ref="H4555" authorId="0" shapeId="0" xr:uid="{533317D4-2748-5E41-9E23-128598E01AC6}">
      <text>
        <r>
          <rPr>
            <sz val="10"/>
            <color rgb="FF000000"/>
            <rFont val="Aptos Narrow"/>
            <scheme val="minor"/>
          </rPr>
          <t>======
ID#AAABjx7qNAU
    (2025-05-21 11:33:23)
alice:2019/05/17水單通知USD19768沖3/4A $1995.3/4A-1$4152.3/4A-1-F $232.3/8B-F $57.12/21A-2-F $144.3/4A-1 $189.10/22C-2 $10227.12/21A-1 $2772.如上總計共USD19768</t>
        </r>
      </text>
    </comment>
    <comment ref="K4555" authorId="0" shapeId="0" xr:uid="{4B2719C6-A6BC-1B4E-9A8D-BB16A7770A3B}">
      <text>
        <r>
          <rPr>
            <sz val="10"/>
            <color rgb="FF000000"/>
            <rFont val="Aptos Narrow"/>
            <scheme val="minor"/>
          </rPr>
          <t>======
ID#AAABjx7qVlo
    (2025-05-21 11:33:27)
1120Amy: Vecow 年底前交貨, 收到超恩貨+2-3 days出貨Ti2</t>
        </r>
      </text>
    </comment>
    <comment ref="H4556" authorId="0" shapeId="0" xr:uid="{CA830331-F07C-3D48-856A-27F82EAC6005}">
      <text>
        <r>
          <rPr>
            <sz val="10"/>
            <color rgb="FF000000"/>
            <rFont val="Aptos Narrow"/>
            <scheme val="minor"/>
          </rPr>
          <t>======
ID#AAABjx7qUrM
    (2025-05-21 11:33:26)
alice:2019/05/17水單通知USD19768沖3/4A $1995.3/4A-1$4152.3/4A-1-F $232.3/8B-F $57.12/21A-2-F $144.3/4A-1 $189.10/22C-2 $10227.12/21A-1 $2772.如上總計共USD19768</t>
        </r>
      </text>
    </comment>
    <comment ref="K4556" authorId="0" shapeId="0" xr:uid="{E61A2D0F-BC03-4746-A195-18ABE64E735F}">
      <text>
        <r>
          <rPr>
            <sz val="10"/>
            <color rgb="FF000000"/>
            <rFont val="Aptos Narrow"/>
            <scheme val="minor"/>
          </rPr>
          <t>======
ID#AAABjx7qM0A
    (2025-05-21 11:33:23)
1120Amy: Vecow 年底前交貨, 收到超恩貨+2-3 days出貨Ti2</t>
        </r>
      </text>
    </comment>
    <comment ref="H4557" authorId="0" shapeId="0" xr:uid="{969FED06-E997-F24C-89F6-D48074F392CF}">
      <text>
        <r>
          <rPr>
            <sz val="10"/>
            <color rgb="FF000000"/>
            <rFont val="Aptos Narrow"/>
            <scheme val="minor"/>
          </rPr>
          <t>======
ID#AAABjx7qOf8
    (2025-05-21 11:33:24)
alice:2019/05/17水單通知USD19768沖3/4A $1995.3/4A-1$4152.3/4A-1-F $232.3/8B-F $57.12/21A-2-F $144.3/4A-1 $189.10/22C-2 $10227.12/21A-1 $2772.如上總計共USD19768</t>
        </r>
      </text>
    </comment>
    <comment ref="K4557" authorId="0" shapeId="0" xr:uid="{AB302BD5-05B7-894D-829D-352441D83A09}">
      <text>
        <r>
          <rPr>
            <sz val="10"/>
            <color rgb="FF000000"/>
            <rFont val="Aptos Narrow"/>
            <scheme val="minor"/>
          </rPr>
          <t>======
ID#AAABjx7qPAs
    (2025-05-21 11:33:24)
1120Amy: Vecow 年底前交貨, 收到超恩貨+2-3 days出貨Ti2</t>
        </r>
      </text>
    </comment>
    <comment ref="H4558" authorId="0" shapeId="0" xr:uid="{339C9DA8-1C57-6E4E-9E9E-74AA6DA20C86}">
      <text>
        <r>
          <rPr>
            <sz val="10"/>
            <color rgb="FF000000"/>
            <rFont val="Aptos Narrow"/>
            <scheme val="minor"/>
          </rPr>
          <t>======
ID#AAABjx7qS80
    (2025-05-21 11:33:26)
alice:2019/05/17水單通知USD19768沖3/4A $1995.3/4A-1$4152.3/4A-1-F $232.3/8B-F $57.12/21A-2-F $144.3/4A-1 $189.10/22C-2 $10227.12/21A-1 $2772.如上總計共USD19768</t>
        </r>
      </text>
    </comment>
    <comment ref="K4558" authorId="0" shapeId="0" xr:uid="{D505BA31-859F-A745-AC17-4E39C636F351}">
      <text>
        <r>
          <rPr>
            <sz val="10"/>
            <color rgb="FF000000"/>
            <rFont val="Aptos Narrow"/>
            <scheme val="minor"/>
          </rPr>
          <t>======
ID#AAABjx7qRSY
    (2025-05-21 11:33:25)
1120Amy: Vecow 年底前交貨, 收到超恩貨+2-3 days出貨Ti2</t>
        </r>
      </text>
    </comment>
    <comment ref="H4559" authorId="0" shapeId="0" xr:uid="{FB6DE395-DE74-8345-8FCC-9494B916C22E}">
      <text>
        <r>
          <rPr>
            <sz val="10"/>
            <color rgb="FF000000"/>
            <rFont val="Aptos Narrow"/>
            <scheme val="minor"/>
          </rPr>
          <t>======
ID#AAABjx7qTBQ
    (2025-05-21 11:33:26)
0212 Mary:匯款匯入US$14,150</t>
        </r>
      </text>
    </comment>
    <comment ref="K4559" authorId="0" shapeId="0" xr:uid="{57C31663-8B45-5F45-8B34-369014933D16}">
      <text>
        <r>
          <rPr>
            <sz val="10"/>
            <color rgb="FF000000"/>
            <rFont val="Aptos Narrow"/>
            <scheme val="minor"/>
          </rPr>
          <t>======
ID#AAABjx7qOnE
    (2025-05-21 11:33:24)
0117 改走TNT, 請沛勁由機場取回戎克
0111Cathy: 因電池需申報，目前拉下放於Forwarder，帶IBASE 提供電池相關文件</t>
        </r>
      </text>
    </comment>
    <comment ref="AK4559" authorId="0" shapeId="0" xr:uid="{477E74CD-5A46-DC41-93ED-1806327B7BC7}">
      <text>
        <r>
          <rPr>
            <sz val="10"/>
            <color rgb="FF000000"/>
            <rFont val="Aptos Narrow"/>
            <scheme val="minor"/>
          </rPr>
          <t>======
ID#AAABj82dpH8
    (2025-05-21 11:33:23)
alice:PI-20181026B成交總額USD13350，PI-20181212C成交總額USD800，上述兩筆訂單總計USD14150元整，2019/02/12水單匯入UAD14150*30.76=NT435,254元整(全額到付)</t>
        </r>
      </text>
    </comment>
    <comment ref="AL4559" authorId="0" shapeId="0" xr:uid="{696E2482-0425-814A-9D1A-2A2FA1DBF49F}">
      <text>
        <r>
          <rPr>
            <sz val="10"/>
            <color rgb="FF000000"/>
            <rFont val="Aptos Narrow"/>
            <scheme val="minor"/>
          </rPr>
          <t>======
ID#AAABjx7qNjA
    (2025-05-21 11:33:23)
alice:PI-20181026B成交總額USD13350，PI-20181212C成交總額USD800，上述兩筆訂單總計USD14150元整，2019/02/12水單匯入UAD14150*30.76=NT435,254元整(全額到付)</t>
        </r>
      </text>
    </comment>
    <comment ref="G4560" authorId="0" shapeId="0" xr:uid="{2F8597D0-1F86-FC41-A76F-72BCAABD501F}">
      <text>
        <r>
          <rPr>
            <sz val="10"/>
            <color rgb="FF000000"/>
            <rFont val="Aptos Narrow"/>
            <scheme val="minor"/>
          </rPr>
          <t>======
ID#AAABjx7qROw
    (2025-05-21 11:33:25)
180221 Tammy: project price for over 50pcs/lot</t>
        </r>
      </text>
    </comment>
    <comment ref="H4560" authorId="0" shapeId="0" xr:uid="{2FD1D0F1-24B6-584D-A7A8-D49645688EF2}">
      <text>
        <r>
          <rPr>
            <sz val="10"/>
            <color rgb="FF000000"/>
            <rFont val="Aptos Narrow"/>
            <scheme val="minor"/>
          </rPr>
          <t>======
ID#AAABjx7qQqY
    (2025-05-21 11:33:25)
0212 Mary:匯款匯入US$14,150</t>
        </r>
      </text>
    </comment>
    <comment ref="K4560" authorId="0" shapeId="0" xr:uid="{8AF00395-8E79-0243-8D69-33E889828A78}">
      <text>
        <r>
          <rPr>
            <sz val="10"/>
            <color rgb="FF000000"/>
            <rFont val="Aptos Narrow"/>
            <scheme val="minor"/>
          </rPr>
          <t>======
ID#AAABjx7qRw8
    (2025-05-21 11:33:25)
0117 改走TNT, 請沛勁由機場取回戎克
0111Cathy: 因電池需申報，目前拉下放於Forwarder，帶IBASE 提供電池相關文件</t>
        </r>
      </text>
    </comment>
    <comment ref="X4560" authorId="0" shapeId="0" xr:uid="{23E1A0B1-52C8-524A-AC34-CB56905DE3D6}">
      <text>
        <r>
          <rPr>
            <sz val="10"/>
            <color rgb="FF000000"/>
            <rFont val="Aptos Narrow"/>
            <scheme val="minor"/>
          </rPr>
          <t>======
ID#AAABjx7qRYE
    (2025-05-21 11:33:25)
廣積3月開立折讓單</t>
        </r>
      </text>
    </comment>
    <comment ref="F4561" authorId="0" shapeId="0" xr:uid="{58C85ADF-A207-1A42-A040-3DD312F5C202}">
      <text>
        <r>
          <rPr>
            <sz val="10"/>
            <color rgb="FF000000"/>
            <rFont val="Aptos Narrow"/>
            <scheme val="minor"/>
          </rPr>
          <t>======
ID#AAABjx7qOII
    (2025-05-21 11:33:24)
1/14原通知TI2MOQ數量是100PC, NEXT TIME WILL BE 300 PCS</t>
        </r>
      </text>
    </comment>
    <comment ref="H4561" authorId="0" shapeId="0" xr:uid="{4956C04F-2E11-CA46-8652-E7F39283EEED}">
      <text>
        <r>
          <rPr>
            <sz val="10"/>
            <color rgb="FF000000"/>
            <rFont val="Aptos Narrow"/>
            <scheme val="minor"/>
          </rPr>
          <t>======
ID#AAABjx7qOng
    (2025-05-21 11:33:24)
0213 Mary:匯款匯入US$11,250
12/25 Amy: MOQ Charage TI2 first, will retabe $2000 once shipping qty reach 100pcs</t>
        </r>
      </text>
    </comment>
    <comment ref="K4561" authorId="0" shapeId="0" xr:uid="{FA3CB9E6-960C-2D47-8ADD-14C6E1F4CEB9}">
      <text>
        <r>
          <rPr>
            <sz val="10"/>
            <color rgb="FF000000"/>
            <rFont val="Aptos Narrow"/>
            <scheme val="minor"/>
          </rPr>
          <t>======
ID#AAABjx7qVuo
    (2025-05-21 11:33:27)
Invoice已先給會計</t>
        </r>
      </text>
    </comment>
    <comment ref="AK4561" authorId="0" shapeId="0" xr:uid="{C57526BA-55E6-584B-B5ED-06C93A21A4F7}">
      <text>
        <r>
          <rPr>
            <sz val="10"/>
            <color rgb="FF000000"/>
            <rFont val="Aptos Narrow"/>
            <scheme val="minor"/>
          </rPr>
          <t>======
ID#AAABjx7qO0E
    (2025-05-21 11:33:24)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AL4561" authorId="0" shapeId="0" xr:uid="{895204D9-49E0-924A-840E-F9C3276DA617}">
      <text>
        <r>
          <rPr>
            <sz val="10"/>
            <color rgb="FF000000"/>
            <rFont val="Aptos Narrow"/>
            <scheme val="minor"/>
          </rPr>
          <t>======
ID#AAABjx7qTDM
    (2025-05-21 11:33:26)
ALICE:PI-20181031-1總計USD1864+PI-20181031A-1-F總計USD610+PI-20181109A總計USD6776+PI20181031A-2總計2000，上述四筆訂單總計USD11250，於2019/02/12水單匯入USD11233.5*30.77=NT345655
匯出手續費USD10+匯入手續費USD6.5=USD16.5*30.77=手續費總計NT508元整</t>
        </r>
      </text>
    </comment>
    <comment ref="H4562" authorId="0" shapeId="0" xr:uid="{CEFD4E8A-4576-4840-B56C-689AB0A9794F}">
      <text>
        <r>
          <rPr>
            <sz val="10"/>
            <color rgb="FF000000"/>
            <rFont val="Aptos Narrow"/>
            <scheme val="minor"/>
          </rPr>
          <t>======
ID#AAABjx7qVr8
    (2025-05-21 11:33:27)
1227 chloe:匯款匯入US$53334</t>
        </r>
      </text>
    </comment>
    <comment ref="H4563" authorId="0" shapeId="0" xr:uid="{2301CB48-4CC9-1E4D-B90A-D4601ED5A54C}">
      <text>
        <r>
          <rPr>
            <sz val="10"/>
            <color rgb="FF000000"/>
            <rFont val="Aptos Narrow"/>
            <scheme val="minor"/>
          </rPr>
          <t>======
ID#AAABjx7qSXw
    (2025-05-21 11:33:26)
1227 chloe:匯款匯入US$53334</t>
        </r>
      </text>
    </comment>
    <comment ref="H4564" authorId="0" shapeId="0" xr:uid="{3C60B0DD-60A6-0F47-A5E7-D7ED0D38F486}">
      <text>
        <r>
          <rPr>
            <sz val="10"/>
            <color rgb="FF000000"/>
            <rFont val="Aptos Narrow"/>
            <scheme val="minor"/>
          </rPr>
          <t>======
ID#AAABjx7qOtg
    (2025-05-21 11:33:24)
1227 chloe:匯款匯入US$53334</t>
        </r>
      </text>
    </comment>
    <comment ref="H4565" authorId="0" shapeId="0" xr:uid="{BFE912A2-E7E7-054C-8332-6DB6E05AB1FA}">
      <text>
        <r>
          <rPr>
            <sz val="10"/>
            <color rgb="FF000000"/>
            <rFont val="Aptos Narrow"/>
            <scheme val="minor"/>
          </rPr>
          <t>======
ID#AAABjx7qWHI
    (2025-05-21 11:33:27)
0128 Mary: 匯款匯入 US$11,920</t>
        </r>
      </text>
    </comment>
    <comment ref="H4566" authorId="0" shapeId="0" xr:uid="{A39AD4D2-DF5D-E544-9AF4-7FE64397AA88}">
      <text>
        <r>
          <rPr>
            <sz val="10"/>
            <color rgb="FF000000"/>
            <rFont val="Aptos Narrow"/>
            <scheme val="minor"/>
          </rPr>
          <t>======
ID#AAABj82dpPU
    (2025-05-21 11:33:23)
0128 Mary: 匯款匯入 US$11,920(同H25)</t>
        </r>
      </text>
    </comment>
    <comment ref="H4567" authorId="0" shapeId="0" xr:uid="{8F6107A6-D37F-4E44-B6B9-90A0DF4499BD}">
      <text>
        <r>
          <rPr>
            <sz val="10"/>
            <color rgb="FF000000"/>
            <rFont val="Aptos Narrow"/>
            <scheme val="minor"/>
          </rPr>
          <t>======
ID#AAABjx7qPi4
    (2025-05-21 11:33:24)
0128 Mary: 匯款匯入 US$11,920(同H25)</t>
        </r>
      </text>
    </comment>
    <comment ref="H4568" authorId="0" shapeId="0" xr:uid="{5E1AF123-442D-4841-93DC-4959EF907139}">
      <text>
        <r>
          <rPr>
            <sz val="10"/>
            <color rgb="FF000000"/>
            <rFont val="Aptos Narrow"/>
            <scheme val="minor"/>
          </rPr>
          <t>======
ID#AAABjx7qQrY
    (2025-05-21 11:33:25)
0128 Mary: 匯款匯入 US$11,920(同H25)</t>
        </r>
      </text>
    </comment>
    <comment ref="H4569" authorId="0" shapeId="0" xr:uid="{E67352E9-0DF8-F44A-AB33-93B9603444F7}">
      <text>
        <r>
          <rPr>
            <sz val="10"/>
            <color rgb="FF000000"/>
            <rFont val="Aptos Narrow"/>
            <scheme val="minor"/>
          </rPr>
          <t>======
ID#AAABjx7qQ-o
    (2025-05-21 11:33:25)
0128 Mary: 匯款匯入 US$11,920(同H25)</t>
        </r>
      </text>
    </comment>
    <comment ref="D4570" authorId="0" shapeId="0" xr:uid="{9F35905E-D58A-7741-B5CE-582D4F5F298E}">
      <text>
        <r>
          <rPr>
            <sz val="10"/>
            <color rgb="FF000000"/>
            <rFont val="Aptos Narrow"/>
            <scheme val="minor"/>
          </rPr>
          <t>======
ID#AAABjx7qTWg
    (2025-05-21 11:33:26)
0108 Cathy:1/10進廠後待小葛抽驗</t>
        </r>
      </text>
    </comment>
    <comment ref="H4570" authorId="0" shapeId="0" xr:uid="{0A80F1A5-A201-4041-BF49-8AD0C3443B7C}">
      <text>
        <r>
          <rPr>
            <sz val="10"/>
            <color rgb="FF000000"/>
            <rFont val="Aptos Narrow"/>
            <scheme val="minor"/>
          </rPr>
          <t>======
ID#AAABj82dpJc
    (2025-05-21 11:33:23)
0128 Mary: 匯款匯入 US$11,920(同H25)</t>
        </r>
      </text>
    </comment>
    <comment ref="H4571" authorId="0" shapeId="0" xr:uid="{4B83D0C3-60E6-9244-B3F3-6BCCDA8A30BC}">
      <text>
        <r>
          <rPr>
            <sz val="10"/>
            <color rgb="FF000000"/>
            <rFont val="Aptos Narrow"/>
            <scheme val="minor"/>
          </rPr>
          <t>======
ID#AAABjx7qSnw
    (2025-05-21 11:33:26)
0225 chloe:匯款匯入5948-10(手續費)</t>
        </r>
      </text>
    </comment>
    <comment ref="H4572" authorId="0" shapeId="0" xr:uid="{7C0DD8C4-4F79-0C49-84D2-CACA17A07950}">
      <text>
        <r>
          <rPr>
            <sz val="10"/>
            <color rgb="FF000000"/>
            <rFont val="Aptos Narrow"/>
            <scheme val="minor"/>
          </rPr>
          <t>======
ID#AAABjx7qWFw
    (2025-05-21 11:33:27)
0225 chloe:匯款匯入5948-10(手續費)</t>
        </r>
      </text>
    </comment>
    <comment ref="H4573" authorId="0" shapeId="0" xr:uid="{5253BC0D-62D7-214F-B771-B3E9A80381EA}">
      <text>
        <r>
          <rPr>
            <sz val="10"/>
            <color rgb="FF000000"/>
            <rFont val="Aptos Narrow"/>
            <scheme val="minor"/>
          </rPr>
          <t>======
ID#AAABjx7qQgs
    (2025-05-21 11:33:25)
0225 chloe:匯款匯入5948-10(手續費)</t>
        </r>
      </text>
    </comment>
    <comment ref="H4574" authorId="0" shapeId="0" xr:uid="{2F48D052-D359-5142-A2B5-D4CC69844C36}">
      <text>
        <r>
          <rPr>
            <sz val="10"/>
            <color rgb="FF000000"/>
            <rFont val="Aptos Narrow"/>
            <scheme val="minor"/>
          </rPr>
          <t>======
ID#AAABjx7qS6A
    (2025-05-21 11:33:26)
0225 chloe:匯款匯入5948-10(手續費)</t>
        </r>
      </text>
    </comment>
    <comment ref="D4575" authorId="0" shapeId="0" xr:uid="{EA4A334F-9C6E-B947-AD29-23235D19A9E1}">
      <text>
        <r>
          <rPr>
            <sz val="10"/>
            <color rgb="FF000000"/>
            <rFont val="Aptos Narrow"/>
            <scheme val="minor"/>
          </rPr>
          <t>======
ID#AAABjx7qSTw
    (2025-05-21 11:33:26)
2019/01/08 Keiju: 已QC
2019/01/08 Cathy: 待小葛驗收</t>
        </r>
      </text>
    </comment>
    <comment ref="H4575" authorId="0" shapeId="0" xr:uid="{71D6109A-5483-E944-BA7D-52DD4983EEEB}">
      <text>
        <r>
          <rPr>
            <sz val="10"/>
            <color rgb="FF000000"/>
            <rFont val="Aptos Narrow"/>
            <scheme val="minor"/>
          </rPr>
          <t>======
ID#AAABjx7qSeE
    (2025-05-21 11:33:26)
0225 chloe:匯款匯入5948-10(手續費)</t>
        </r>
      </text>
    </comment>
    <comment ref="AK4575" authorId="0" shapeId="0" xr:uid="{4EAAB4EC-CAB1-7D41-B73C-28344F103B1E}">
      <text>
        <r>
          <rPr>
            <sz val="10"/>
            <color rgb="FF000000"/>
            <rFont val="Aptos Narrow"/>
            <scheme val="minor"/>
          </rPr>
          <t>======
ID#AAABjx7qTMg
    (2025-05-21 11:33:26)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AL4575" authorId="0" shapeId="0" xr:uid="{64D3F13F-E72B-FC42-B7FA-40CB8B7CF0CC}">
      <text>
        <r>
          <rPr>
            <sz val="10"/>
            <color rgb="FF000000"/>
            <rFont val="Aptos Narrow"/>
            <scheme val="minor"/>
          </rPr>
          <t>======
ID#AAABj82dpMY
    (2025-05-21 11:33:23)
ALCIE:2019/02/25水單匯入 PI-20181212A-F 訂單總計USD1500，PI-20181212A訂單總計USD1198，PI-20181212B訂單總計USD3251，合計三筆訂單USD5949元整，實收2/25水單匯入USD5938-手續費USD6.5=USD5931.5*30.76=NT182,453元整</t>
        </r>
      </text>
    </comment>
    <comment ref="H4576" authorId="0" shapeId="0" xr:uid="{4D0AD862-AF74-1843-96D9-4585BFDE37A3}">
      <text>
        <r>
          <rPr>
            <sz val="10"/>
            <color rgb="FF000000"/>
            <rFont val="Aptos Narrow"/>
            <scheme val="minor"/>
          </rPr>
          <t>======
ID#AAABjx7qNig
    (2025-05-21 11:33:23)
0225 chloe:匯款匯入5948-10(手續費)</t>
        </r>
      </text>
    </comment>
    <comment ref="Z4576" authorId="0" shapeId="0" xr:uid="{A1E7B176-5A69-F74E-AB2E-3F419A197A38}">
      <text>
        <r>
          <rPr>
            <sz val="10"/>
            <color rgb="FF000000"/>
            <rFont val="Aptos Narrow"/>
            <scheme val="minor"/>
          </rPr>
          <t>======
ID#AAABjx7qQv8
    (2025-05-21 11:33:25)
INVOICE 已開立</t>
        </r>
      </text>
    </comment>
    <comment ref="H4577" authorId="0" shapeId="0" xr:uid="{9E3E033E-3AC6-A848-9772-4E8420E3274A}">
      <text>
        <r>
          <rPr>
            <sz val="10"/>
            <color rgb="FF000000"/>
            <rFont val="Aptos Narrow"/>
            <scheme val="minor"/>
          </rPr>
          <t>======
ID#AAABjx7qPxA
    (2025-05-21 11:33:24)
0225 chloe:匯款匯入5948-10(手續費)</t>
        </r>
      </text>
    </comment>
    <comment ref="H4578" authorId="0" shapeId="0" xr:uid="{6024EC10-7632-904E-AEDD-F98ED2219DFF}">
      <text>
        <r>
          <rPr>
            <sz val="10"/>
            <color rgb="FF000000"/>
            <rFont val="Aptos Narrow"/>
            <scheme val="minor"/>
          </rPr>
          <t>======
ID#AAABjx7qM9A
    (2025-05-21 11:33:23)
0225 chloe:匯款匯入5948-10(手續費)</t>
        </r>
      </text>
    </comment>
    <comment ref="H4579" authorId="0" shapeId="0" xr:uid="{28656687-E60C-B048-B13C-B104F9950CBB}">
      <text>
        <r>
          <rPr>
            <sz val="10"/>
            <color rgb="FF000000"/>
            <rFont val="Aptos Narrow"/>
            <scheme val="minor"/>
          </rPr>
          <t>======
ID#AAABjx7qPQo
    (2025-05-21 11:33:24)
0225 chloe:匯款匯入5948-10(手續費)</t>
        </r>
      </text>
    </comment>
    <comment ref="H4580" authorId="0" shapeId="0" xr:uid="{F4A0DF3B-1CC7-4441-80D7-F973B1A87406}">
      <text>
        <r>
          <rPr>
            <sz val="10"/>
            <color rgb="FF000000"/>
            <rFont val="Aptos Narrow"/>
            <scheme val="minor"/>
          </rPr>
          <t>======
ID#AAABjx7qR-Q
    (2025-05-21 11:33:25)
0225 chloe:匯款匯入5948-10(手續費)</t>
        </r>
      </text>
    </comment>
    <comment ref="H4581" authorId="0" shapeId="0" xr:uid="{B572A878-752C-9F45-BC8E-E67382AA0DF5}">
      <text>
        <r>
          <rPr>
            <sz val="10"/>
            <color rgb="FF000000"/>
            <rFont val="Aptos Narrow"/>
            <scheme val="minor"/>
          </rPr>
          <t>======
ID#AAABjx7qNRE
    (2025-05-21 11:33:23)
0225 chloe:匯款匯入5948-10(手續費)</t>
        </r>
      </text>
    </comment>
    <comment ref="H4582" authorId="0" shapeId="0" xr:uid="{89E913B6-17B6-1548-9881-CFD163476D71}">
      <text>
        <r>
          <rPr>
            <sz val="10"/>
            <color rgb="FF000000"/>
            <rFont val="Aptos Narrow"/>
            <scheme val="minor"/>
          </rPr>
          <t>======
ID#AAABjx7qQYM
    (2025-05-21 11:33:25)
0225 chloe:匯款匯入5948-10(手續費)</t>
        </r>
      </text>
    </comment>
    <comment ref="H4583" authorId="0" shapeId="0" xr:uid="{B12716EA-EE79-2841-B0CC-86DA78494A77}">
      <text>
        <r>
          <rPr>
            <sz val="10"/>
            <color rgb="FF000000"/>
            <rFont val="Aptos Narrow"/>
            <scheme val="minor"/>
          </rPr>
          <t>======
ID#AAABjx7qPB8
    (2025-05-21 11:33:24)
0225 chloe:0225 匯款匯入多此筆款項</t>
        </r>
      </text>
    </comment>
    <comment ref="H4584" authorId="0" shapeId="0" xr:uid="{092BD4E1-104E-514C-AE88-CE5965C21D5E}">
      <text>
        <r>
          <rPr>
            <sz val="10"/>
            <color rgb="FF000000"/>
            <rFont val="Aptos Narrow"/>
            <scheme val="minor"/>
          </rPr>
          <t>======
ID#AAABjx7qWXU
    (2025-05-21 11:33:27)
0225 chloe:匯款匯入5948-10(手續費)</t>
        </r>
      </text>
    </comment>
    <comment ref="D4586" authorId="0" shapeId="0" xr:uid="{4D1E2908-0E97-6145-B16F-A4840E8C846E}">
      <text>
        <r>
          <rPr>
            <sz val="10"/>
            <color rgb="FF000000"/>
            <rFont val="Aptos Narrow"/>
            <scheme val="minor"/>
          </rPr>
          <t>======
ID#AAABjx7qOfg
    (2025-05-21 11:33:24)
181212 由1212A改為1212C</t>
        </r>
      </text>
    </comment>
    <comment ref="H4586" authorId="0" shapeId="0" xr:uid="{04070A2B-281F-0F4E-A93D-E3B5830EAB6C}">
      <text>
        <r>
          <rPr>
            <sz val="10"/>
            <color rgb="FF000000"/>
            <rFont val="Aptos Narrow"/>
            <scheme val="minor"/>
          </rPr>
          <t>======
ID#AAABjx7qPrQ
    (2025-05-21 11:33:24)
0212 Mary:匯款匯入US$14,150</t>
        </r>
      </text>
    </comment>
    <comment ref="E4587" authorId="0" shapeId="0" xr:uid="{523F618D-C9BA-7748-8A67-4AF3A3C34A4E}">
      <text>
        <r>
          <rPr>
            <sz val="10"/>
            <color rgb="FF000000"/>
            <rFont val="Aptos Narrow"/>
            <scheme val="minor"/>
          </rPr>
          <t>======
ID#AAABjx7qRt4
    (2025-05-21 11:33:25)
1213 AMY: 專案價110
190115 Karen: 序號TAHIB1115411
TAHIB1115476
TAHKB1054532
TAHKB1054552
TAHKB1054567
TAHKB1054570
TAHKB1054573
TAHKB1054589
TAHKB1054590
TAHKB1054627
TAHKB1054645
TAHKB1054661
TAHKB1054692
TAHKB1054709
TAHKB1054716
TAHKB1054724
TAHKB1054726
TAHKB1054778
TAHKB1054814
TAHKB1054845
TAHKB1054859
TAHKB1055105</t>
        </r>
      </text>
    </comment>
    <comment ref="H4587" authorId="0" shapeId="0" xr:uid="{C04DB397-5593-0D4F-956D-87D3DF1CECE7}">
      <text>
        <r>
          <rPr>
            <sz val="10"/>
            <color rgb="FF000000"/>
            <rFont val="Aptos Narrow"/>
            <scheme val="minor"/>
          </rPr>
          <t>======
ID#AAABjx7qVUw
    (2025-05-21 11:33:27)
0306 chloe:匯款匯入US$14480.6(含20190119A RG58 cable Sample)</t>
        </r>
      </text>
    </comment>
    <comment ref="K4587" authorId="0" shapeId="0" xr:uid="{AF535094-0B8A-5640-A9E5-127D44E76A20}">
      <text>
        <r>
          <rPr>
            <sz val="10"/>
            <color rgb="FF000000"/>
            <rFont val="Aptos Narrow"/>
            <scheme val="minor"/>
          </rPr>
          <t>======
ID#AAABjx7qVak
    (2025-05-21 11:33:27)
Vecow 年底前交貨, 收到超恩貨+2-3 days出貨Ti2</t>
        </r>
      </text>
    </comment>
    <comment ref="H4588" authorId="0" shapeId="0" xr:uid="{D292C175-9BE5-5E41-87C0-6D1E497C9251}">
      <text>
        <r>
          <rPr>
            <sz val="10"/>
            <color rgb="FF000000"/>
            <rFont val="Aptos Narrow"/>
            <scheme val="minor"/>
          </rPr>
          <t>======
ID#AAABjx7qQiM
    (2025-05-21 11:33:25)
0306 chloe:匯款匯入US$14480.6(含20190119A RG58 cable Sample)</t>
        </r>
      </text>
    </comment>
    <comment ref="D4589" authorId="0" shapeId="0" xr:uid="{7F5318D2-BAE5-E947-8B64-2EA319E7470F}">
      <text>
        <r>
          <rPr>
            <sz val="10"/>
            <color rgb="FF000000"/>
            <rFont val="Aptos Narrow"/>
            <scheme val="minor"/>
          </rPr>
          <t>======
ID#AAABjx7qR-4
    (2025-05-21 11:33:25)
0115 到貨，已mail通知小葛
0115 Keiju: 已QC OK</t>
        </r>
      </text>
    </comment>
    <comment ref="E4589" authorId="0" shapeId="0" xr:uid="{21CC9522-A40B-C046-8D0E-07D87B1CA138}">
      <text>
        <r>
          <rPr>
            <sz val="10"/>
            <color rgb="FF000000"/>
            <rFont val="Aptos Narrow"/>
            <scheme val="minor"/>
          </rPr>
          <t>======
ID#AAABjx7qNbw
    (2025-05-21 11:33:23)
12 13AMY: 20PCS, 宸曜折扣價$293</t>
        </r>
      </text>
    </comment>
    <comment ref="F4589" authorId="0" shapeId="0" xr:uid="{5034A617-0216-1E4D-8338-FE8C0A7EBC6A}">
      <text>
        <r>
          <rPr>
            <sz val="10"/>
            <color rgb="FF000000"/>
            <rFont val="Aptos Narrow"/>
            <scheme val="minor"/>
          </rPr>
          <t>======
ID#AAABjx7qPUk
    (2025-05-21 11:33:24)
在此輸入
庫存2台
20181221 Chole 提供2pcs</t>
        </r>
      </text>
    </comment>
    <comment ref="H4589" authorId="0" shapeId="0" xr:uid="{D4655FE4-EE34-AA42-AA1D-D4C5E159FD25}">
      <text>
        <r>
          <rPr>
            <sz val="10"/>
            <color rgb="FF000000"/>
            <rFont val="Aptos Narrow"/>
            <scheme val="minor"/>
          </rPr>
          <t>======
ID#AAABjx7qVHE
    (2025-05-21 11:33:27)
0306 chloe:匯款匯入US$14480.6(含20190119A RG58 cable Sample)</t>
        </r>
      </text>
    </comment>
    <comment ref="D4590" authorId="0" shapeId="0" xr:uid="{F52C8291-112C-7943-A564-169445D74F27}">
      <text>
        <r>
          <rPr>
            <sz val="10"/>
            <color rgb="FF000000"/>
            <rFont val="Aptos Narrow"/>
            <scheme val="minor"/>
          </rPr>
          <t>======
ID#AAABjx7qREw
    (2025-05-21 11:33:25)
0115 到貨，已mail通知小葛
0115 Keiju: 已QC OK</t>
        </r>
      </text>
    </comment>
    <comment ref="F4590" authorId="0" shapeId="0" xr:uid="{2DCD8DCC-C4ED-724F-89FF-1B8D775D4EB6}">
      <text>
        <r>
          <rPr>
            <sz val="10"/>
            <color rgb="FF000000"/>
            <rFont val="Aptos Narrow"/>
            <scheme val="minor"/>
          </rPr>
          <t>======
ID#AAABjx7qRGk
    (2025-05-21 11:33:25)
庫存2台</t>
        </r>
      </text>
    </comment>
    <comment ref="H4590" authorId="0" shapeId="0" xr:uid="{0BE5F0D0-9AB1-9747-986D-0048DBC3EFB5}">
      <text>
        <r>
          <rPr>
            <sz val="10"/>
            <color rgb="FF000000"/>
            <rFont val="Aptos Narrow"/>
            <scheme val="minor"/>
          </rPr>
          <t>======
ID#AAABjx7qPsk
    (2025-05-21 11:33:24)
0306 chloe:匯款匯入US$14480.6(含20190119A RG58 cable Sample)</t>
        </r>
      </text>
    </comment>
    <comment ref="G4591" authorId="0" shapeId="0" xr:uid="{0DD7D512-A10B-314E-8AC1-0C3EF9DE5541}">
      <text>
        <r>
          <rPr>
            <sz val="10"/>
            <color rgb="FF000000"/>
            <rFont val="Aptos Narrow"/>
            <scheme val="minor"/>
          </rPr>
          <t>======
ID#AAABjx7qNu0
    (2025-05-21 11:33:23)
170323 w/ 5%VAT</t>
        </r>
      </text>
    </comment>
    <comment ref="H4591" authorId="0" shapeId="0" xr:uid="{6BEBBF3F-4D4A-AA4E-8AC4-6DF38B507A1E}">
      <text>
        <r>
          <rPr>
            <sz val="10"/>
            <color rgb="FF000000"/>
            <rFont val="Aptos Narrow"/>
            <scheme val="minor"/>
          </rPr>
          <t>======
ID#AAABjx7qQJ8
    (2025-05-21 11:33:25)
0305 chloe:匯款匯入US2520</t>
        </r>
      </text>
    </comment>
    <comment ref="E4592" authorId="0" shapeId="0" xr:uid="{28FAE243-7BFB-384C-82A8-FD2D9B204ECD}">
      <text>
        <r>
          <rPr>
            <sz val="10"/>
            <color rgb="FF000000"/>
            <rFont val="Aptos Narrow"/>
            <scheme val="minor"/>
          </rPr>
          <t>======
ID#AAABjx7qQwY
20181218 Santiago    (2025-05-21 11:33:25)
-&gt; 待客戶將 7' LCD (AA070ME01)寄來後， 寄曦立光電做貼合</t>
        </r>
      </text>
    </comment>
    <comment ref="H4592" authorId="0" shapeId="0" xr:uid="{F85B7EA5-EBE8-214F-8A9C-28D58689E81E}">
      <text>
        <r>
          <rPr>
            <sz val="10"/>
            <color rgb="FF000000"/>
            <rFont val="Aptos Narrow"/>
            <scheme val="minor"/>
          </rPr>
          <t>======
ID#AAABjx7qOZg
    (2025-05-21 11:33:24)
0221 Mary:匯款匯入US$11594</t>
        </r>
      </text>
    </comment>
    <comment ref="W4592" authorId="0" shapeId="0" xr:uid="{F9597095-7D69-0042-84D4-B143EA059907}">
      <text>
        <r>
          <rPr>
            <sz val="10"/>
            <color rgb="FF000000"/>
            <rFont val="Aptos Narrow"/>
            <scheme val="minor"/>
          </rPr>
          <t>======
ID#AAABjx7qSKk
    (2025-05-21 11:33:26)
當月底結，隔月五號付款</t>
        </r>
      </text>
    </comment>
    <comment ref="AK4592" authorId="0" shapeId="0" xr:uid="{4C09F697-2349-E342-B3E2-EFCD85CE2510}">
      <text>
        <r>
          <rPr>
            <sz val="10"/>
            <color rgb="FF000000"/>
            <rFont val="Aptos Narrow"/>
            <scheme val="minor"/>
          </rPr>
          <t>======
ID#AAABjx7qMsE
    (2025-05-21 11:33:23)
ALICE:訂單PI-20181218成交總額USD11594，2016/02/21水(單USD11577.5*30.79=NT356,471元整，匯出手續費10+匯入手續費6.5*30.79=手續費額NT508元整</t>
        </r>
      </text>
    </comment>
    <comment ref="AL4592" authorId="0" shapeId="0" xr:uid="{D43DBD1D-A498-B64B-B654-E95F9386DA23}">
      <text>
        <r>
          <rPr>
            <sz val="10"/>
            <color rgb="FF000000"/>
            <rFont val="Aptos Narrow"/>
            <scheme val="minor"/>
          </rPr>
          <t>======
ID#AAABjx7qRWA
    (2025-05-21 11:33:25)
ALICE:訂單PI-20181218成交總額USD11594，2016/02/21水(單USD11577.5*30.79=NT356,471元整，匯出手續費10+匯入手續費6.5*30.79=手續費額NT508元整</t>
        </r>
      </text>
    </comment>
    <comment ref="E4593" authorId="0" shapeId="0" xr:uid="{F6C4F12A-AEC4-F44C-9BB4-A384536AE41B}">
      <text>
        <r>
          <rPr>
            <sz val="10"/>
            <color rgb="FF000000"/>
            <rFont val="Aptos Narrow"/>
            <scheme val="minor"/>
          </rPr>
          <t>======
ID#AAABjx7qM3s
20181218 Santiago    (2025-05-21 11:33:23)
-&gt; 待客戶將 7' LCD (AA070ME01)寄來後， 寄曦立光電做貼合</t>
        </r>
      </text>
    </comment>
    <comment ref="G4594" authorId="0" shapeId="0" xr:uid="{6D19959A-FC72-2546-8F22-BA391BF1F849}">
      <text>
        <r>
          <rPr>
            <sz val="10"/>
            <color rgb="FF000000"/>
            <rFont val="Aptos Narrow"/>
            <scheme val="minor"/>
          </rPr>
          <t>======
ID#AAABjx7qQIE
    (2025-05-21 11:33:25)
w/5%VAT</t>
        </r>
      </text>
    </comment>
    <comment ref="H4594" authorId="0" shapeId="0" xr:uid="{4A1DA949-FAD7-F546-84BB-6924C6B95F3A}">
      <text>
        <r>
          <rPr>
            <sz val="10"/>
            <color rgb="FF000000"/>
            <rFont val="Aptos Narrow"/>
            <scheme val="minor"/>
          </rPr>
          <t>======
ID#AAABjx7qS1k
    (2025-05-21 11:33:26)
0225 chloe:匯款匯入NT46249-15(手續費)</t>
        </r>
      </text>
    </comment>
    <comment ref="D4595" authorId="0" shapeId="0" xr:uid="{7DBD0DE4-4FED-9F40-A5A1-E474FE54E0C0}">
      <text>
        <r>
          <rPr>
            <sz val="10"/>
            <color rgb="FF000000"/>
            <rFont val="Aptos Narrow"/>
            <scheme val="minor"/>
          </rPr>
          <t>======
ID#AAABjx7qVkQ
    (2025-05-21 11:33:27)
1/21 Keiju: 出貨前拍照</t>
        </r>
      </text>
    </comment>
    <comment ref="H4595" authorId="0" shapeId="0" xr:uid="{A5D850C1-1C95-484E-8A97-49A52DD4831F}">
      <text>
        <r>
          <rPr>
            <sz val="10"/>
            <color rgb="FF000000"/>
            <rFont val="Aptos Narrow"/>
            <scheme val="minor"/>
          </rPr>
          <t>======
ID#AAABjx7qVss
    (2025-05-21 11:33:27)
alice:2019/05/17水單通知USD19768沖3/4A $1995.3/4A-1$4152.3/4A-1-F $232.3/8B-F $57.12/21A-2-F $144.3/4A-1 $189.10/22C-2 $10227.12/21A-1 $2772.如上總計共USD19768</t>
        </r>
      </text>
    </comment>
    <comment ref="K4595" authorId="0" shapeId="0" xr:uid="{E67FB93A-FFD9-DE45-985B-80741A292F74}">
      <text>
        <r>
          <rPr>
            <sz val="10"/>
            <color rgb="FF000000"/>
            <rFont val="Aptos Narrow"/>
            <scheme val="minor"/>
          </rPr>
          <t>======
ID#AAABjx7qOb8
    (2025-05-21 11:33:24)
0121出貨前6pcs拍照 
Vecow 年底前交貨, 收到超恩貨+2-3 days出貨Ti2</t>
        </r>
      </text>
    </comment>
    <comment ref="E4596" authorId="0" shapeId="0" xr:uid="{50F96A11-2D9D-DB44-BF18-CD90E02EAA5A}">
      <text>
        <r>
          <rPr>
            <sz val="10"/>
            <color rgb="FF000000"/>
            <rFont val="Aptos Narrow"/>
            <scheme val="minor"/>
          </rPr>
          <t>======
ID#AAABjx7qPnU
    (2025-05-21 11:33:24)
在此輸入
vecow offer 195
Jetone 只有i5-8500 at $218</t>
        </r>
      </text>
    </comment>
    <comment ref="H4596" authorId="0" shapeId="0" xr:uid="{3C9F8B85-FE80-F34E-8C38-96EE0A4AC8D2}">
      <text>
        <r>
          <rPr>
            <sz val="10"/>
            <color rgb="FF000000"/>
            <rFont val="Aptos Narrow"/>
            <scheme val="minor"/>
          </rPr>
          <t>======
ID#AAABjx7qOzE
    (2025-05-21 11:33:24)
alice:2019/05/17水單通知USD19768沖3/4A $1995.3/4A-1$4152.3/4A-1-F $232.3/8B-F $57.12/21A-2-F $144.3/4A-1 $189.10/22C-2 $10227.12/21A-1 $2772.如上總計共USD19768</t>
        </r>
      </text>
    </comment>
    <comment ref="K4596" authorId="0" shapeId="0" xr:uid="{0DEA5405-CD7F-3F41-B838-6FE5A292D656}">
      <text>
        <r>
          <rPr>
            <sz val="10"/>
            <color rgb="FF000000"/>
            <rFont val="Aptos Narrow"/>
            <scheme val="minor"/>
          </rPr>
          <t>======
ID#AAABjx7qP-Q
    (2025-05-21 11:33:25)
0121出貨前6pcs拍照 
Vecow 年底前交貨, 收到超恩貨+2-3 days出貨Ti2</t>
        </r>
      </text>
    </comment>
    <comment ref="E4597" authorId="0" shapeId="0" xr:uid="{5179FABC-CB4D-CA41-868F-FDDA99863D66}">
      <text>
        <r>
          <rPr>
            <sz val="10"/>
            <color rgb="FF000000"/>
            <rFont val="Aptos Narrow"/>
            <scheme val="minor"/>
          </rPr>
          <t>======
ID#AAABjx7qRtE
    (2025-05-21 11:33:25)
1224 chloe:樣品庫存</t>
        </r>
      </text>
    </comment>
    <comment ref="H4597" authorId="0" shapeId="0" xr:uid="{A494E8F2-3729-594B-A685-EA6CFF5B602A}">
      <text>
        <r>
          <rPr>
            <sz val="10"/>
            <color rgb="FF000000"/>
            <rFont val="Aptos Narrow"/>
            <scheme val="minor"/>
          </rPr>
          <t>======
ID#AAABjx7qWOY
    (2025-05-21 11:33:27)
alice:2019/05/17水單通知USD19768沖3/4A $1995.3/4A-1$4152.3/4A-1-F $232.3/8B-F $57.12/21A-2-F $144.3/4A-1 $189.10/22C-2 $10227.12/21A-1 $2772.如上總計共USD19768</t>
        </r>
      </text>
    </comment>
    <comment ref="K4597" authorId="0" shapeId="0" xr:uid="{511B9DAB-19EB-064A-9F6E-8C4F61048C7D}">
      <text>
        <r>
          <rPr>
            <sz val="10"/>
            <color rgb="FF000000"/>
            <rFont val="Aptos Narrow"/>
            <scheme val="minor"/>
          </rPr>
          <t>======
ID#AAABjx7qNvQ
    (2025-05-21 11:33:23)
0121出貨前6pcs拍照 
Vecow 年底前交貨, 收到超恩貨+2-3 days出貨Ti2</t>
        </r>
      </text>
    </comment>
    <comment ref="E4598" authorId="0" shapeId="0" xr:uid="{7A3BF939-2165-5740-A9E6-F96289EB577F}">
      <text>
        <r>
          <rPr>
            <sz val="10"/>
            <color rgb="FF000000"/>
            <rFont val="Aptos Narrow"/>
            <scheme val="minor"/>
          </rPr>
          <t>======
ID#AAABjx7qO7E
    (2025-05-21 11:33:24)
在此輸入
vecow offer 195
Jetone 只有i5-8500 at $218</t>
        </r>
      </text>
    </comment>
    <comment ref="H4598" authorId="0" shapeId="0" xr:uid="{73CE28FD-2F92-0B49-ACDC-A90B06C24A0E}">
      <text>
        <r>
          <rPr>
            <sz val="10"/>
            <color rgb="FF000000"/>
            <rFont val="Aptos Narrow"/>
            <scheme val="minor"/>
          </rPr>
          <t>======
ID#AAABjx7qVPY
    (2025-05-21 11:33:27)
ALICE:201904/10水單匯入USD11416*30.78
沖(229+2394+326+34+5274+3066+103)=11426</t>
        </r>
      </text>
    </comment>
    <comment ref="K4598" authorId="0" shapeId="0" xr:uid="{2A8388B4-153C-A741-B3C9-42BF1BABA857}">
      <text>
        <r>
          <rPr>
            <sz val="10"/>
            <color rgb="FF000000"/>
            <rFont val="Aptos Narrow"/>
            <scheme val="minor"/>
          </rPr>
          <t>======
ID#AAABjx7qOKA
    (2025-05-21 11:33:24)
032５
2/12 Jay reply 2/19 by partial 3 pcs
Reply to Ti2 ship date: 2/21</t>
        </r>
      </text>
    </comment>
    <comment ref="D4599" authorId="0" shapeId="0" xr:uid="{0639C1E6-A274-5244-8B41-8EB262604802}">
      <text>
        <r>
          <rPr>
            <sz val="10"/>
            <color rgb="FF000000"/>
            <rFont val="Aptos Narrow"/>
            <scheme val="minor"/>
          </rPr>
          <t>======
ID#AAABjx7qSks
    (2025-05-21 11:33:26)
1/21 Keiju: 出貨前拍照</t>
        </r>
      </text>
    </comment>
    <comment ref="H4599" authorId="0" shapeId="0" xr:uid="{48A3763D-AB7B-C444-BC95-811D784D5E7A}">
      <text>
        <r>
          <rPr>
            <sz val="10"/>
            <color rgb="FF000000"/>
            <rFont val="Aptos Narrow"/>
            <scheme val="minor"/>
          </rPr>
          <t>======
ID#AAABjx7qRxM
    (2025-05-21 11:33:25)
ALICE:201904/10水單匯入USD11416*30.78
沖(229+2394+326+34+5274+3066+103)=11426</t>
        </r>
      </text>
    </comment>
    <comment ref="K4599" authorId="0" shapeId="0" xr:uid="{AFE7BDC1-9455-E14A-A516-14DD9CAE527D}">
      <text>
        <r>
          <rPr>
            <sz val="10"/>
            <color rgb="FF000000"/>
            <rFont val="Aptos Narrow"/>
            <scheme val="minor"/>
          </rPr>
          <t>======
ID#AAABjx7qS7Q
    (2025-05-21 11:33:26)
032５
2/12 Jay reply 2/19 by partial 3 pcs
Reply to Ti2 ship date: 2/21</t>
        </r>
      </text>
    </comment>
    <comment ref="E4600" authorId="0" shapeId="0" xr:uid="{42B7F99F-5A27-4440-A58A-771FC46638D9}">
      <text>
        <r>
          <rPr>
            <sz val="10"/>
            <color rgb="FF000000"/>
            <rFont val="Aptos Narrow"/>
            <scheme val="minor"/>
          </rPr>
          <t>======
ID#AAABjx7qO58
    (2025-05-21 11:33:24)
1224 chloe:樣品庫存</t>
        </r>
      </text>
    </comment>
    <comment ref="H4600" authorId="0" shapeId="0" xr:uid="{9849F4F2-FB5C-3044-8905-3ACAAC611E9D}">
      <text>
        <r>
          <rPr>
            <sz val="10"/>
            <color rgb="FF000000"/>
            <rFont val="Aptos Narrow"/>
            <scheme val="minor"/>
          </rPr>
          <t>======
ID#AAABjx7qVk8
    (2025-05-21 11:33:27)
ALICE:201904/10水單匯入USD11416*30.78
沖(229+2394+326+34+5274+3066+103)=11426</t>
        </r>
      </text>
    </comment>
    <comment ref="K4600" authorId="0" shapeId="0" xr:uid="{09E216A8-C58B-D743-8081-3FABB6BE750E}">
      <text>
        <r>
          <rPr>
            <sz val="10"/>
            <color rgb="FF000000"/>
            <rFont val="Aptos Narrow"/>
            <scheme val="minor"/>
          </rPr>
          <t>======
ID#AAABjx7qRL8
    (2025-05-21 11:33:25)
032５
2/12 Jay reply 2/19 by partial 3 pcs
Reply to Ti2 ship date: 2/21</t>
        </r>
      </text>
    </comment>
    <comment ref="H4601" authorId="0" shapeId="0" xr:uid="{EBC18DC1-0AE8-9D44-AC0E-BD3D4B6D2D6A}">
      <text>
        <r>
          <rPr>
            <sz val="10"/>
            <color rgb="FF000000"/>
            <rFont val="Aptos Narrow"/>
            <scheme val="minor"/>
          </rPr>
          <t>======
ID#AAABjx7qQLw
    (2025-05-21 11:33:25)
0115 chloe: 匯款匯入US$1153.04</t>
        </r>
      </text>
    </comment>
    <comment ref="K4601" authorId="0" shapeId="0" xr:uid="{EDF7B358-2753-EC4B-AA3D-718287B81814}">
      <text>
        <r>
          <rPr>
            <sz val="10"/>
            <color rgb="FF000000"/>
            <rFont val="Aptos Narrow"/>
            <scheme val="minor"/>
          </rPr>
          <t>======
ID#AAABjx7qR0w
    (2025-05-21 11:33:25)
0115 Cathy: Chloe 告知已收到款項，可出貨  
12/24 AMY: Waiting customer T/T</t>
        </r>
      </text>
    </comment>
    <comment ref="H4602" authorId="0" shapeId="0" xr:uid="{82504259-6D35-DF44-9912-1B19ACBAF311}">
      <text>
        <r>
          <rPr>
            <sz val="10"/>
            <color rgb="FF000000"/>
            <rFont val="Aptos Narrow"/>
            <scheme val="minor"/>
          </rPr>
          <t>======
ID#AAABjx7qWPc
    (2025-05-21 11:33:27)
0311  chloe:匯款匯入US1134-20(手續費)</t>
        </r>
      </text>
    </comment>
    <comment ref="H4603" authorId="0" shapeId="0" xr:uid="{EA1F80C2-3564-A64B-8703-DF316F45A53A}">
      <text>
        <r>
          <rPr>
            <sz val="10"/>
            <color rgb="FF000000"/>
            <rFont val="Aptos Narrow"/>
            <scheme val="minor"/>
          </rPr>
          <t>======
ID#AAABjx7qOTE
    (2025-05-21 11:33:24)
0124 chloe:匯款匯入US$48799</t>
        </r>
      </text>
    </comment>
    <comment ref="H4604" authorId="0" shapeId="0" xr:uid="{11904880-AF00-7548-BEEA-479ED728D798}">
      <text>
        <r>
          <rPr>
            <sz val="10"/>
            <color rgb="FF000000"/>
            <rFont val="Aptos Narrow"/>
            <scheme val="minor"/>
          </rPr>
          <t>======
ID#AAABjx7qSJo
    (2025-05-21 11:33:26)
0124 chloe:匯款匯入US$48799</t>
        </r>
      </text>
    </comment>
    <comment ref="H4605" authorId="0" shapeId="0" xr:uid="{44CCDE1F-C4CF-2043-B2AD-12C86BABB617}">
      <text>
        <r>
          <rPr>
            <sz val="10"/>
            <color rgb="FF000000"/>
            <rFont val="Aptos Narrow"/>
            <scheme val="minor"/>
          </rPr>
          <t>======
ID#AAABjx7qV1A
    (2025-05-21 11:33:27)
0124 chloe:匯款匯入US$48799</t>
        </r>
      </text>
    </comment>
    <comment ref="H4606" authorId="0" shapeId="0" xr:uid="{FFE4EC9F-F1BA-C849-BAFA-487D819C47F4}">
      <text>
        <r>
          <rPr>
            <sz val="10"/>
            <color rgb="FF000000"/>
            <rFont val="Aptos Narrow"/>
            <scheme val="minor"/>
          </rPr>
          <t>======
ID#AAABjx7qN6k
    (2025-05-21 11:33:23)
0124 chloe:匯款匯入US$48799</t>
        </r>
      </text>
    </comment>
    <comment ref="H4607" authorId="0" shapeId="0" xr:uid="{843868A1-2716-4544-B77A-3220BC1CC5C4}">
      <text>
        <r>
          <rPr>
            <sz val="10"/>
            <color rgb="FF000000"/>
            <rFont val="Aptos Narrow"/>
            <scheme val="minor"/>
          </rPr>
          <t>======
ID#AAABjx7qWC8
    (2025-05-21 11:33:27)
0124 chloe:匯款匯入US$48799</t>
        </r>
      </text>
    </comment>
    <comment ref="H4608" authorId="0" shapeId="0" xr:uid="{D582347C-FF53-CC40-8212-58A86DC6F4D9}">
      <text>
        <r>
          <rPr>
            <sz val="10"/>
            <color rgb="FF000000"/>
            <rFont val="Aptos Narrow"/>
            <scheme val="minor"/>
          </rPr>
          <t>======
ID#AAABjx7qRYg
    (2025-05-21 11:33:25)
0117 chloe:匯款匯入US$1,866.00</t>
        </r>
      </text>
    </comment>
    <comment ref="K4608" authorId="0" shapeId="0" xr:uid="{143FAF28-49F5-0044-87FE-309319F65AEB}">
      <text>
        <r>
          <rPr>
            <sz val="10"/>
            <color rgb="FF000000"/>
            <rFont val="Aptos Narrow"/>
            <scheme val="minor"/>
          </rPr>
          <t>======
ID#AAABjx7qP34
    (2025-05-21 11:33:24)
0116 chloe:待收到客戶水單或是匯款才能放行出貨</t>
        </r>
      </text>
    </comment>
    <comment ref="H4609" authorId="0" shapeId="0" xr:uid="{6F2A4D4E-BC47-CF47-9FFF-83CF7BF3A84E}">
      <text>
        <r>
          <rPr>
            <sz val="10"/>
            <color rgb="FF000000"/>
            <rFont val="Aptos Narrow"/>
            <scheme val="minor"/>
          </rPr>
          <t>======
ID#AAABjx7qWLg
    (2025-05-21 11:33:27)
0117 chloe:匯款匯入US$1,866.00</t>
        </r>
      </text>
    </comment>
    <comment ref="K4609" authorId="0" shapeId="0" xr:uid="{E3557FDC-22BA-A344-92A4-66AB0520390F}">
      <text>
        <r>
          <rPr>
            <sz val="10"/>
            <color rgb="FF000000"/>
            <rFont val="Aptos Narrow"/>
            <scheme val="minor"/>
          </rPr>
          <t>======
ID#AAABjx7qPIs
    (2025-05-21 11:33:24)
0116 chloe:待收到客戶水單或是匯款才能放行出貨</t>
        </r>
      </text>
    </comment>
    <comment ref="H4610" authorId="0" shapeId="0" xr:uid="{4AE53307-7406-A94B-8936-ACE23D6D266C}">
      <text>
        <r>
          <rPr>
            <sz val="10"/>
            <color rgb="FF000000"/>
            <rFont val="Aptos Narrow"/>
            <scheme val="minor"/>
          </rPr>
          <t>======
ID#AAABjx7qQzQ
    (2025-05-21 11:33:25)
0117 chloe:匯款匯入US$1,866.00</t>
        </r>
      </text>
    </comment>
    <comment ref="K4610" authorId="0" shapeId="0" xr:uid="{D9F2FD96-DA2A-1841-B7FA-7B1A564DA96D}">
      <text>
        <r>
          <rPr>
            <sz val="10"/>
            <color rgb="FF000000"/>
            <rFont val="Aptos Narrow"/>
            <scheme val="minor"/>
          </rPr>
          <t>======
ID#AAABjx7qOG8
    (2025-05-21 11:33:24)
0116 chloe:待收到客戶水單或是匯款才能放行出貨</t>
        </r>
      </text>
    </comment>
    <comment ref="W4610" authorId="0" shapeId="0" xr:uid="{85B5925D-EFD8-A84B-AACC-984E4E5D9447}">
      <text>
        <r>
          <rPr>
            <sz val="10"/>
            <color rgb="FF000000"/>
            <rFont val="Aptos Narrow"/>
            <scheme val="minor"/>
          </rPr>
          <t>======
ID#AAABjx7qNwk
0226 chloe    (2025-05-21 11:33:23)
原金額 US58.8 (2/28 已付款)
但後續哲讓修改產品顧</t>
        </r>
      </text>
    </comment>
    <comment ref="E4611" authorId="0" shapeId="0" xr:uid="{71434372-34FB-3442-8E40-9189E7EB6234}">
      <text>
        <r>
          <rPr>
            <sz val="10"/>
            <color rgb="FF000000"/>
            <rFont val="Aptos Narrow"/>
            <scheme val="minor"/>
          </rPr>
          <t>======
ID#AAABjx7qTiE
    (2025-05-21 11:33:26)
190215 原訂CP-132UL-DB9M銷退, 換CP-132EL-I-DB9M</t>
        </r>
      </text>
    </comment>
    <comment ref="H4611" authorId="0" shapeId="0" xr:uid="{DF67FCE6-5F9D-9B42-B9C0-92AB22CF9D23}">
      <text>
        <r>
          <rPr>
            <sz val="10"/>
            <color rgb="FF000000"/>
            <rFont val="Aptos Narrow"/>
            <scheme val="minor"/>
          </rPr>
          <t>======
ID#AAABjx7qPVw
    (2025-05-21 11:33:24)
0329 chloe:匯款匯入US$340.5</t>
        </r>
      </text>
    </comment>
    <comment ref="K4611" authorId="0" shapeId="0" xr:uid="{6590BD6F-B19F-D04E-A90F-6ECFA284C90A}">
      <text>
        <r>
          <rPr>
            <sz val="10"/>
            <color rgb="FF000000"/>
            <rFont val="Aptos Narrow"/>
            <scheme val="minor"/>
          </rPr>
          <t>======
ID#AAABjx7qP-A
    (2025-05-21 11:33:25)
190108 Tammy：先由MOXA出到IBASE，等IBASE測完後，IBASE寄回戎克，暨時跟著其他TPOLE的貨一起出，並請款
0129 chloe:貨在Chloe手上，待Tammy告知後續消退還是寄出
0221 Tammy: 重新訂購CP-132EL-I-DB9M</t>
        </r>
      </text>
    </comment>
    <comment ref="W4611" authorId="0" shapeId="0" xr:uid="{AC78D7A6-D5CA-5740-AA01-4DEB34D4BE91}">
      <text>
        <r>
          <rPr>
            <sz val="10"/>
            <color rgb="FF000000"/>
            <rFont val="Aptos Narrow"/>
            <scheme val="minor"/>
          </rPr>
          <t>======
ID#AAABjx7qQzw
    (2025-05-21 11:33:25)
chloe 2/26 先匯出 58.8</t>
        </r>
      </text>
    </comment>
    <comment ref="Z4611" authorId="0" shapeId="0" xr:uid="{FCFE4BD4-B937-3049-960D-9A6560D000B8}">
      <text>
        <r>
          <rPr>
            <sz val="10"/>
            <color rgb="FF000000"/>
            <rFont val="Aptos Narrow"/>
            <scheme val="minor"/>
          </rPr>
          <t>======
ID#AAABjx7qNxs
    (2025-05-21 11:33:23)
2/1開折讓單1,808</t>
        </r>
      </text>
    </comment>
    <comment ref="H4612" authorId="0" shapeId="0" xr:uid="{C807BDD7-27ED-284D-87DB-CF86EC8FF8E5}">
      <text>
        <r>
          <rPr>
            <sz val="10"/>
            <color rgb="FF000000"/>
            <rFont val="Aptos Narrow"/>
            <scheme val="minor"/>
          </rPr>
          <t>======
ID#AAABjx7qRf4
    (2025-05-21 11:33:25)
0305 chloe:匯款匯入US8750</t>
        </r>
      </text>
    </comment>
    <comment ref="H4613" authorId="0" shapeId="0" xr:uid="{1AC7412B-5801-E244-9015-49318DEC37E3}">
      <text>
        <r>
          <rPr>
            <sz val="10"/>
            <color rgb="FF000000"/>
            <rFont val="Aptos Narrow"/>
            <scheme val="minor"/>
          </rPr>
          <t>======
ID#AAABj82dpGw
    (2025-05-21 11:33:23)
0305 chloe:匯款匯入US8750</t>
        </r>
      </text>
    </comment>
    <comment ref="H4614" authorId="0" shapeId="0" xr:uid="{BF82FC11-FE5F-8447-8CF0-BDA8907C0EFF}">
      <text>
        <r>
          <rPr>
            <sz val="10"/>
            <color rgb="FF000000"/>
            <rFont val="Aptos Narrow"/>
            <scheme val="minor"/>
          </rPr>
          <t>======
ID#AAABjx7qTmg
    (2025-05-21 11:33:26)
0305 chloe:匯款匯入US8750</t>
        </r>
      </text>
    </comment>
    <comment ref="D4615" authorId="0" shapeId="0" xr:uid="{906C9879-F26C-3249-A257-D715A6823C50}">
      <text>
        <r>
          <rPr>
            <sz val="10"/>
            <color rgb="FF000000"/>
            <rFont val="Aptos Narrow"/>
            <scheme val="minor"/>
          </rPr>
          <t>======
ID#AAABjx7qNCA
    (2025-05-21 11:33:23)
190109 Tammy: 抽驗即可, 謝謝</t>
        </r>
      </text>
    </comment>
    <comment ref="H4615" authorId="0" shapeId="0" xr:uid="{4FC074C3-2CFC-8947-B15E-BF85AE274560}">
      <text>
        <r>
          <rPr>
            <sz val="10"/>
            <color rgb="FF000000"/>
            <rFont val="Aptos Narrow"/>
            <scheme val="minor"/>
          </rPr>
          <t>======
ID#AAABjx7qSOQ
    (2025-05-21 11:33:26)
0305 chloe:匯款匯入US8750</t>
        </r>
      </text>
    </comment>
    <comment ref="H4616" authorId="0" shapeId="0" xr:uid="{571998FB-7E48-0049-89B6-28BDF30BDACA}">
      <text>
        <r>
          <rPr>
            <sz val="10"/>
            <color rgb="FF000000"/>
            <rFont val="Aptos Narrow"/>
            <scheme val="minor"/>
          </rPr>
          <t>======
ID#AAABjx7qRLk
    (2025-05-21 11:33:25)
alice:6/20銀行水單匯入USD4462 沖PI20190107A.PI-20190318B.PI-20190508B.PI-20181022C-2-F</t>
        </r>
      </text>
    </comment>
    <comment ref="K4616" authorId="0" shapeId="0" xr:uid="{6EDA0A41-F998-E940-A98A-05B43C9D522C}">
      <text>
        <r>
          <rPr>
            <sz val="10"/>
            <color rgb="FF000000"/>
            <rFont val="Aptos Narrow"/>
            <scheme val="minor"/>
          </rPr>
          <t>======
ID#AAABjx7qND0
    (2025-05-21 11:33:23)
6/20 amy: this shipment DOA, the RMA Return date is 04/30, so A/R should be count from 4/30, due date is 6/15</t>
        </r>
      </text>
    </comment>
    <comment ref="E4617" authorId="0" shapeId="0" xr:uid="{6189A043-6759-CA45-977D-CB3D9139FAB0}">
      <text>
        <r>
          <rPr>
            <sz val="10"/>
            <color rgb="FF000000"/>
            <rFont val="Aptos Narrow"/>
            <scheme val="minor"/>
          </rPr>
          <t>======
ID#AAABjx7qUu8
    (2025-05-21 11:33:26)
在此輸入
0107AMY:請注意CPU是I5-6300U, 寬螢幕及修改版鐵殼+鋁三 角椎</t>
        </r>
      </text>
    </comment>
    <comment ref="H4617" authorId="0" shapeId="0" xr:uid="{E94C4B09-DB78-2F40-A682-D64A20CEAF80}">
      <text>
        <r>
          <rPr>
            <sz val="10"/>
            <color rgb="FF000000"/>
            <rFont val="Aptos Narrow"/>
            <scheme val="minor"/>
          </rPr>
          <t>======
ID#AAABjx7qTHE
    (2025-05-21 11:33:26)
alice:6/20銀行水單匯入USD4462 沖PI20190107A.PI-20190318B.PI-20190508B.PI-20181022C-2-F</t>
        </r>
      </text>
    </comment>
    <comment ref="K4617" authorId="0" shapeId="0" xr:uid="{ADF3FEB7-521A-5A40-97D9-453A9EA80679}">
      <text>
        <r>
          <rPr>
            <sz val="10"/>
            <color rgb="FF000000"/>
            <rFont val="Aptos Narrow"/>
            <scheme val="minor"/>
          </rPr>
          <t>======
ID#AAABjx7qMuc
    (2025-05-21 11:33:23)
6/20 amy: this shipment DOA, the RMA Return date is 04/30, so A/R should be count from 4/30, due date is 6/15</t>
        </r>
      </text>
    </comment>
    <comment ref="H4618" authorId="0" shapeId="0" xr:uid="{4762C0EF-6B5D-4F40-9264-F8D964016490}">
      <text>
        <r>
          <rPr>
            <sz val="10"/>
            <color rgb="FF000000"/>
            <rFont val="Aptos Narrow"/>
            <scheme val="minor"/>
          </rPr>
          <t>======
ID#AAABjx7qVCE
    (2025-05-21 11:33:27)
alice:6/20銀行水單匯入USD4462 沖PI20190107A.PI-20190318B.PI-20190508B.PI-20181022C-2-F</t>
        </r>
      </text>
    </comment>
    <comment ref="K4618" authorId="0" shapeId="0" xr:uid="{004F33B3-0BB3-A047-B3E5-0A0C56B86529}">
      <text>
        <r>
          <rPr>
            <sz val="10"/>
            <color rgb="FF000000"/>
            <rFont val="Aptos Narrow"/>
            <scheme val="minor"/>
          </rPr>
          <t>======
ID#AAABjx7qPTs
    (2025-05-21 11:33:24)
6/20 amy: this shipment DOA, the RMA Return date is 04/30, so A/R should be count from 4/30, due date is 6/15</t>
        </r>
      </text>
    </comment>
    <comment ref="H4619" authorId="0" shapeId="0" xr:uid="{BF26F1A0-476B-5A49-ADAE-815E9668C586}">
      <text>
        <r>
          <rPr>
            <sz val="10"/>
            <color rgb="FF000000"/>
            <rFont val="Aptos Narrow"/>
            <scheme val="minor"/>
          </rPr>
          <t>======
ID#AAABjx7qTFg
    (2025-05-21 11:33:26)
alice:6/20銀行水單匯入USD4462 沖PI20190107A.PI-20190318B.PI-20190508B.PI-20181022C-2-F</t>
        </r>
      </text>
    </comment>
    <comment ref="K4619" authorId="0" shapeId="0" xr:uid="{151A56C0-02B4-3C44-900A-49CFA3A51DEC}">
      <text>
        <r>
          <rPr>
            <sz val="10"/>
            <color rgb="FF000000"/>
            <rFont val="Aptos Narrow"/>
            <scheme val="minor"/>
          </rPr>
          <t>======
ID#AAABjx7qVbc
    (2025-05-21 11:33:27)
6/20 amy: this shipment DOA, the RMA Return date is 04/30, so A/R should be count from 4/30, due date is 6/15</t>
        </r>
      </text>
    </comment>
    <comment ref="E4620" authorId="0" shapeId="0" xr:uid="{5F32C361-E36F-EA46-8346-669F2C84F73D}">
      <text>
        <r>
          <rPr>
            <sz val="10"/>
            <color rgb="FF000000"/>
            <rFont val="Aptos Narrow"/>
            <scheme val="minor"/>
          </rPr>
          <t>======
ID#AAABjx7qOvo
    (2025-05-21 11:33:24)
256GB 2.5" SSD M3M MP808 Samsung eMMC ET(-25℃~+85℃)</t>
        </r>
      </text>
    </comment>
    <comment ref="H4620" authorId="0" shapeId="0" xr:uid="{671C5285-2DB1-F041-A696-E8D5152A2158}">
      <text>
        <r>
          <rPr>
            <sz val="10"/>
            <color rgb="FF000000"/>
            <rFont val="Aptos Narrow"/>
            <scheme val="minor"/>
          </rPr>
          <t>======
ID#AAABjx7qR_k
    (2025-05-21 11:33:25)
alice:6/20銀行水單匯入USD4462 沖PI20190107A.PI-20190318B.PI-20190508B.PI-20181022C-2-F</t>
        </r>
      </text>
    </comment>
    <comment ref="K4620" authorId="0" shapeId="0" xr:uid="{ADBF8B8E-6D2E-A049-8566-ACD9EC65D02B}">
      <text>
        <r>
          <rPr>
            <sz val="10"/>
            <color rgb="FF000000"/>
            <rFont val="Aptos Narrow"/>
            <scheme val="minor"/>
          </rPr>
          <t>======
ID#AAABjx7qVyE
    (2025-05-21 11:33:27)
6/20 amy: this shipment DOA, the RMA Return date is 04/30, so A/R should be count from 4/30, due date is 6/15</t>
        </r>
      </text>
    </comment>
    <comment ref="H4621" authorId="0" shapeId="0" xr:uid="{3EEF6381-0769-0848-81C0-AC46BF0856C3}">
      <text>
        <r>
          <rPr>
            <sz val="10"/>
            <color rgb="FF000000"/>
            <rFont val="Aptos Narrow"/>
            <scheme val="minor"/>
          </rPr>
          <t>======
ID#AAABjx7qNEk
    (2025-05-21 11:33:23)
alice:6/20銀行水單匯入USD4462 沖PI20190107A.PI-20190318B.PI-20190508B.PI-20181022C-2-F</t>
        </r>
      </text>
    </comment>
    <comment ref="E4623" authorId="0" shapeId="0" xr:uid="{9947157B-89FB-4149-91DE-AC44255F8021}">
      <text>
        <r>
          <rPr>
            <sz val="10"/>
            <color rgb="FF000000"/>
            <rFont val="Aptos Narrow"/>
            <scheme val="minor"/>
          </rPr>
          <t>======
ID#AAABjx7qTTU
    (2025-05-21 11:33:26)
1122AMY: 3pin power connector 改為RG58 power connector
寬螢幕及修改版鐵殼+鋁三 角椎</t>
        </r>
      </text>
    </comment>
    <comment ref="H4623" authorId="0" shapeId="0" xr:uid="{A707B66C-3145-A54B-941D-2AA5281DA2B3}">
      <text>
        <r>
          <rPr>
            <sz val="10"/>
            <color rgb="FF000000"/>
            <rFont val="Aptos Narrow"/>
            <scheme val="minor"/>
          </rPr>
          <t>======
ID#AAABjx7qNO8
    (2025-05-21 11:33:23)
ALICE:201904/10水單匯入USD11416*30.78
沖(229+2394+326+34+5274+3066+103)=11426</t>
        </r>
      </text>
    </comment>
    <comment ref="H4624" authorId="0" shapeId="0" xr:uid="{A86D40FF-9802-F54B-8950-173B158B0199}">
      <text>
        <r>
          <rPr>
            <sz val="10"/>
            <color rgb="FF000000"/>
            <rFont val="Aptos Narrow"/>
            <scheme val="minor"/>
          </rPr>
          <t>======
ID#AAABjx7qTQ8
    (2025-05-21 11:33:26)
ALICE:201904/10水單匯入USD11416*30.78
沖(229+2394+326+34+5274+3066+103)=11426</t>
        </r>
      </text>
    </comment>
    <comment ref="E4625" authorId="0" shapeId="0" xr:uid="{FBCCE47A-70CE-E541-B2FE-DFE6120F9C86}">
      <text>
        <r>
          <rPr>
            <sz val="10"/>
            <color rgb="FF000000"/>
            <rFont val="Aptos Narrow"/>
            <scheme val="minor"/>
          </rPr>
          <t>======
ID#AAABjx7qQqc
    (2025-05-21 11:33:25)
0301 chloe:原定DDS8GHIMBFC
 (8GB DDR3L DRAM Normal Temp)</t>
        </r>
      </text>
    </comment>
    <comment ref="H4625" authorId="0" shapeId="0" xr:uid="{B45E0C66-5E89-6549-8503-099BADEB17B2}">
      <text>
        <r>
          <rPr>
            <sz val="10"/>
            <color rgb="FF000000"/>
            <rFont val="Aptos Narrow"/>
            <scheme val="minor"/>
          </rPr>
          <t>======
ID#AAABjx7qS9Q
    (2025-05-21 11:33:26)
ALICE:201904/10水單匯入USD11416*30.78
沖(229+2394+326+34+5274+3066+103)=11426</t>
        </r>
      </text>
    </comment>
    <comment ref="E4626" authorId="0" shapeId="0" xr:uid="{2D8A5BC9-83A1-894B-B65C-75FE68FC36DF}">
      <text>
        <r>
          <rPr>
            <sz val="10"/>
            <color rgb="FF000000"/>
            <rFont val="Aptos Narrow"/>
            <scheme val="minor"/>
          </rPr>
          <t>======
ID#AAABjx7qPxE
    (2025-05-21 11:33:24)
256GB 2.5" SSD M3M MP808 Samsung eMMC ET(-25℃~+85℃)</t>
        </r>
      </text>
    </comment>
    <comment ref="H4626" authorId="0" shapeId="0" xr:uid="{BBB10664-FE1D-374C-A6B6-6819A79F6438}">
      <text>
        <r>
          <rPr>
            <sz val="10"/>
            <color rgb="FF000000"/>
            <rFont val="Aptos Narrow"/>
            <scheme val="minor"/>
          </rPr>
          <t>======
ID#AAABjx7qUwE
    (2025-05-21 11:33:26)
ALICE:201904/10水單匯入USD11416*30.78
沖(229+2394+326+34+5274+3066+103)=11426</t>
        </r>
      </text>
    </comment>
    <comment ref="H4627" authorId="0" shapeId="0" xr:uid="{D9C558CC-C2D2-5E4D-9583-0A8886F74B7A}">
      <text>
        <r>
          <rPr>
            <sz val="10"/>
            <color rgb="FF000000"/>
            <rFont val="Aptos Narrow"/>
            <scheme val="minor"/>
          </rPr>
          <t>======
ID#AAABjx7qSps
    (2025-05-21 11:33:26)
ALICE:201904/10水單匯入USD11416*30.78
沖(229+2394+326+34+5274+3066+103)=11426</t>
        </r>
      </text>
    </comment>
    <comment ref="H4628" authorId="0" shapeId="0" xr:uid="{9D2B5C27-CA23-7A4E-8917-DD64A40EEACA}">
      <text>
        <r>
          <rPr>
            <sz val="10"/>
            <color rgb="FF000000"/>
            <rFont val="Aptos Narrow"/>
            <scheme val="minor"/>
          </rPr>
          <t>======
ID#AAABjx7qNPE
    (2025-05-21 11:33:23)
ALICE:201904/10水單匯入USD11416*30.78
沖(229+2394+326+34+5274+3066+103)=11426</t>
        </r>
      </text>
    </comment>
    <comment ref="H4629" authorId="0" shapeId="0" xr:uid="{04429E3A-77F0-7649-952F-8187186C489E}">
      <text>
        <r>
          <rPr>
            <sz val="10"/>
            <color rgb="FF000000"/>
            <rFont val="Aptos Narrow"/>
            <scheme val="minor"/>
          </rPr>
          <t>======
ID#AAABjx7qM-c
    (2025-05-21 11:33:23)
0128 Mary: 匯款匯入 US $1,149</t>
        </r>
      </text>
    </comment>
    <comment ref="H4630" authorId="0" shapeId="0" xr:uid="{76FFCA49-30F3-A14C-A745-BB0F83CD4B02}">
      <text>
        <r>
          <rPr>
            <sz val="10"/>
            <color rgb="FF000000"/>
            <rFont val="Aptos Narrow"/>
            <scheme val="minor"/>
          </rPr>
          <t>======
ID#AAABjx7qNmQ
    (2025-05-21 11:33:23)
0124 chloe:匯款匯入US$48799</t>
        </r>
      </text>
    </comment>
    <comment ref="H4631" authorId="0" shapeId="0" xr:uid="{E05006C0-1BD8-4D4E-B9C2-74A4604C3C07}">
      <text>
        <r>
          <rPr>
            <sz val="10"/>
            <color rgb="FF000000"/>
            <rFont val="Aptos Narrow"/>
            <scheme val="minor"/>
          </rPr>
          <t>======
ID#AAABjx7qToM
    (2025-05-21 11:33:26)
0124 chloe:匯款匯入US$48799</t>
        </r>
      </text>
    </comment>
    <comment ref="H4632" authorId="0" shapeId="0" xr:uid="{47474713-4971-7348-8DCB-2C3FDABBCF83}">
      <text>
        <r>
          <rPr>
            <sz val="10"/>
            <color rgb="FF000000"/>
            <rFont val="Aptos Narrow"/>
            <scheme val="minor"/>
          </rPr>
          <t>======
ID#AAABjx7qVew
    (2025-05-21 11:33:27)
0225  chloe:匯款匯入439676-30(手續費)</t>
        </r>
      </text>
    </comment>
    <comment ref="H4633" authorId="0" shapeId="0" xr:uid="{06C3830E-01A5-A444-A609-3F74D184A0E9}">
      <text>
        <r>
          <rPr>
            <sz val="10"/>
            <color rgb="FF000000"/>
            <rFont val="Aptos Narrow"/>
            <scheme val="minor"/>
          </rPr>
          <t>======
ID#AAABjx7qRq0
    (2025-05-21 11:33:25)
0227 chloe:匯款匯入US4578</t>
        </r>
      </text>
    </comment>
    <comment ref="K4633" authorId="0" shapeId="0" xr:uid="{5E4A8D5D-43E8-A449-B58E-84E1A07B66EE}">
      <text>
        <r>
          <rPr>
            <sz val="10"/>
            <color rgb="FF000000"/>
            <rFont val="Aptos Narrow"/>
            <scheme val="minor"/>
          </rPr>
          <t>======
ID#AAABjx7qSWg
    (2025-05-21 11:33:26)
0212 San: 用DHL箱子把2個貨箱放成一個箱子</t>
        </r>
      </text>
    </comment>
    <comment ref="D4634" authorId="0" shapeId="0" xr:uid="{C858A13B-A5E4-5745-96F8-E12EF907442F}">
      <text>
        <r>
          <rPr>
            <sz val="10"/>
            <color rgb="FF000000"/>
            <rFont val="Aptos Narrow"/>
            <scheme val="minor"/>
          </rPr>
          <t>======
ID#AAABjx7qR6g
    (2025-05-21 11:33:25)
1/21 Keiju: 已納入生產排程</t>
        </r>
      </text>
    </comment>
    <comment ref="H4634" authorId="0" shapeId="0" xr:uid="{92B2BCA8-16E8-8742-ADFA-AE4A684FE9F1}">
      <text>
        <r>
          <rPr>
            <sz val="10"/>
            <color rgb="FF000000"/>
            <rFont val="Aptos Narrow"/>
            <scheme val="minor"/>
          </rPr>
          <t>======
ID#AAABjx7qRXg
    (2025-05-21 11:33:25)
0227 chloe:匯款匯入US4578</t>
        </r>
      </text>
    </comment>
    <comment ref="K4634" authorId="0" shapeId="0" xr:uid="{DA5F3B0C-7324-3C42-8FF0-FE5088EB73E1}">
      <text>
        <r>
          <rPr>
            <sz val="10"/>
            <color rgb="FF000000"/>
            <rFont val="Aptos Narrow"/>
            <scheme val="minor"/>
          </rPr>
          <t>======
ID#AAABjx7qOUA
    (2025-05-21 11:33:24)
0212 San: 用DHL箱子把2個貨箱放成一個箱子</t>
        </r>
      </text>
    </comment>
    <comment ref="D4635" authorId="0" shapeId="0" xr:uid="{798917E4-88A9-1E4D-B2E1-7499B27FF54F}">
      <text>
        <r>
          <rPr>
            <sz val="10"/>
            <color rgb="FF000000"/>
            <rFont val="Aptos Narrow"/>
            <scheme val="minor"/>
          </rPr>
          <t>======
ID#AAABjx7qPZE
    (2025-05-21 11:33:24)
1/21 Keiju: 已納入生產排程</t>
        </r>
      </text>
    </comment>
    <comment ref="H4635" authorId="0" shapeId="0" xr:uid="{79D0903D-4E1B-744B-890F-753BFF696101}">
      <text>
        <r>
          <rPr>
            <sz val="10"/>
            <color rgb="FF000000"/>
            <rFont val="Aptos Narrow"/>
            <scheme val="minor"/>
          </rPr>
          <t>======
ID#AAABjx7qNeM
    (2025-05-21 11:33:23)
0227 chloe:匯款匯入US4578</t>
        </r>
      </text>
    </comment>
    <comment ref="K4635" authorId="0" shapeId="0" xr:uid="{9C809F2C-CCE2-4846-A2BF-8D4089CBFDE4}">
      <text>
        <r>
          <rPr>
            <sz val="10"/>
            <color rgb="FF000000"/>
            <rFont val="Aptos Narrow"/>
            <scheme val="minor"/>
          </rPr>
          <t>======
ID#AAABjx7qPsA
    (2025-05-21 11:33:24)
0212 San: 用DHL箱子把2個貨箱放成一個箱子</t>
        </r>
      </text>
    </comment>
    <comment ref="D4636" authorId="0" shapeId="0" xr:uid="{E9A39F91-CC70-5445-B1F2-5059EB53D87F}">
      <text>
        <r>
          <rPr>
            <sz val="10"/>
            <color rgb="FF000000"/>
            <rFont val="Aptos Narrow"/>
            <scheme val="minor"/>
          </rPr>
          <t>======
ID#AAABjx7qUtc
    (2025-05-21 11:33:26)
1/21 Keiju: 已納入生產排程</t>
        </r>
      </text>
    </comment>
    <comment ref="H4636" authorId="0" shapeId="0" xr:uid="{AA2B9F5E-242C-3741-A7F8-F7D47B34113D}">
      <text>
        <r>
          <rPr>
            <sz val="10"/>
            <color rgb="FF000000"/>
            <rFont val="Aptos Narrow"/>
            <scheme val="minor"/>
          </rPr>
          <t>======
ID#AAABjx7qVQU
    (2025-05-21 11:33:27)
0227 chloe:匯款匯入US4578</t>
        </r>
      </text>
    </comment>
    <comment ref="K4636" authorId="0" shapeId="0" xr:uid="{766B8105-0453-A54A-9EAF-6A5000D14F4F}">
      <text>
        <r>
          <rPr>
            <sz val="10"/>
            <color rgb="FF000000"/>
            <rFont val="Aptos Narrow"/>
            <scheme val="minor"/>
          </rPr>
          <t>======
ID#AAABjx7qTGU
    (2025-05-21 11:33:26)
0212 San: 用DHL箱子把2個貨箱放成一個箱子</t>
        </r>
      </text>
    </comment>
    <comment ref="D4637" authorId="0" shapeId="0" xr:uid="{2E2FCC61-1638-AB4B-9E56-155D585C6041}">
      <text>
        <r>
          <rPr>
            <sz val="10"/>
            <color rgb="FF000000"/>
            <rFont val="Aptos Narrow"/>
            <scheme val="minor"/>
          </rPr>
          <t>======
ID#AAABjx7qR2s
    (2025-05-21 11:33:25)
1/21 Keiju: 出貨前拍照</t>
        </r>
      </text>
    </comment>
    <comment ref="H4637" authorId="0" shapeId="0" xr:uid="{CD4EF83D-8CCD-4D45-B2C5-BBBC93B31ABF}">
      <text>
        <r>
          <rPr>
            <sz val="10"/>
            <color rgb="FF000000"/>
            <rFont val="Aptos Narrow"/>
            <scheme val="minor"/>
          </rPr>
          <t>======
ID#AAABjx7qTXY
    (2025-05-21 11:33:26)
0227 chloe:匯款匯入US4578*30.73-手續費NT200=NT140482</t>
        </r>
      </text>
    </comment>
    <comment ref="K4637" authorId="0" shapeId="0" xr:uid="{F765CDAD-8C98-864C-AE75-185999D1184F}">
      <text>
        <r>
          <rPr>
            <sz val="10"/>
            <color rgb="FF000000"/>
            <rFont val="Aptos Narrow"/>
            <scheme val="minor"/>
          </rPr>
          <t>======
ID#AAABjx7qQNU
    (2025-05-21 11:33:25)
0212 San: 用DHL箱子把2個貨箱放成一個箱子</t>
        </r>
      </text>
    </comment>
    <comment ref="AK4637" authorId="0" shapeId="0" xr:uid="{C230474C-F425-064C-84C3-BACD2B4C57E5}">
      <text>
        <r>
          <rPr>
            <sz val="10"/>
            <color rgb="FF000000"/>
            <rFont val="Aptos Narrow"/>
            <scheme val="minor"/>
          </rPr>
          <t>======
ID#AAABjx7qPME
    (2025-05-21 11:33:24)
ALICE:PI-20190111A訂單總計USD4578，水單2019/02/27匯入USD4571.49*30.73=NT140,482
手續費USD6.51*30.73=NT200元整</t>
        </r>
      </text>
    </comment>
    <comment ref="AL4637" authorId="0" shapeId="0" xr:uid="{FB9FB3CF-D817-2849-9CF9-BF1DF6B4CE4B}">
      <text>
        <r>
          <rPr>
            <sz val="10"/>
            <color rgb="FF000000"/>
            <rFont val="Aptos Narrow"/>
            <scheme val="minor"/>
          </rPr>
          <t>======
ID#AAABjx7qNE4
    (2025-05-21 11:33:23)
ALICE:PI-20190111A訂單總計USD4578，水單2019/02/27匯入USD4571.49*30.73=NT140,482
手續費USD6.51*30.73=NT200元整</t>
        </r>
      </text>
    </comment>
    <comment ref="D4638" authorId="0" shapeId="0" xr:uid="{1FF1B620-1218-2541-910B-14699004694F}">
      <text>
        <r>
          <rPr>
            <sz val="10"/>
            <color rgb="FF000000"/>
            <rFont val="Aptos Narrow"/>
            <scheme val="minor"/>
          </rPr>
          <t>======
ID#AAABjx7qNc8
    (2025-05-21 11:33:23)
1/17 倉管Keiju: 已領出30, 交給業助</t>
        </r>
      </text>
    </comment>
    <comment ref="H4638" authorId="0" shapeId="0" xr:uid="{5B7856FC-750B-6447-8965-4883C829772A}">
      <text>
        <r>
          <rPr>
            <sz val="10"/>
            <color rgb="FF000000"/>
            <rFont val="Aptos Narrow"/>
            <scheme val="minor"/>
          </rPr>
          <t>======
ID#AAABjx7qM20
    (2025-05-21 11:33:23)
0329 chloe:匯款匯入US$340.5</t>
        </r>
      </text>
    </comment>
    <comment ref="H4639" authorId="0" shapeId="0" xr:uid="{5B7BB199-EA89-CA4D-8966-129B75176676}">
      <text>
        <r>
          <rPr>
            <sz val="10"/>
            <color rgb="FF000000"/>
            <rFont val="Aptos Narrow"/>
            <scheme val="minor"/>
          </rPr>
          <t>======
ID#AAABjx7qPY8
    (2025-05-21 11:33:24)
0329 chloe:匯款匯入US$340.5</t>
        </r>
      </text>
    </comment>
    <comment ref="H4640" authorId="0" shapeId="0" xr:uid="{64884457-8F98-9842-884E-308FD75138E2}">
      <text>
        <r>
          <rPr>
            <sz val="10"/>
            <color rgb="FF000000"/>
            <rFont val="Aptos Narrow"/>
            <scheme val="minor"/>
          </rPr>
          <t>======
ID#AAABjx7qNdA
    (2025-05-21 11:33:23)
0311  chloe:匯款匯入US1134-20(手續費)</t>
        </r>
      </text>
    </comment>
    <comment ref="H4641" authorId="0" shapeId="0" xr:uid="{099C9799-8B84-BB44-991B-9BC8D5BEBAF7}">
      <text>
        <r>
          <rPr>
            <sz val="10"/>
            <color rgb="FF000000"/>
            <rFont val="Aptos Narrow"/>
            <scheme val="minor"/>
          </rPr>
          <t>======
ID#AAABjx7qNu8
    (2025-05-21 11:33:23)
0311  chloe:匯款匯入US1134-20(手續費)</t>
        </r>
      </text>
    </comment>
    <comment ref="H4642" authorId="0" shapeId="0" xr:uid="{08A09B60-A160-4A41-A828-BF491659B0E8}">
      <text>
        <r>
          <rPr>
            <sz val="10"/>
            <color rgb="FF000000"/>
            <rFont val="Aptos Narrow"/>
            <scheme val="minor"/>
          </rPr>
          <t>======
ID#AAABjx7qOz4
    (2025-05-21 11:33:24)
0311  chloe:匯款匯入US1134-20(手續費)</t>
        </r>
      </text>
    </comment>
    <comment ref="H4643" authorId="0" shapeId="0" xr:uid="{A515E473-3BAC-3E43-A0B9-64CCACE7D620}">
      <text>
        <r>
          <rPr>
            <sz val="10"/>
            <color rgb="FF000000"/>
            <rFont val="Aptos Narrow"/>
            <scheme val="minor"/>
          </rPr>
          <t>======
ID#AAABjx7qReI
    (2025-05-21 11:33:25)
0306 chloe:匯款匯入US$14480.6(含20190119A RG58 cable Sample)</t>
        </r>
      </text>
    </comment>
    <comment ref="K4643" authorId="0" shapeId="0" xr:uid="{9E6B7FC7-69BF-B240-88E4-20A74020BE81}">
      <text>
        <r>
          <rPr>
            <sz val="10"/>
            <color rgb="FF000000"/>
            <rFont val="Aptos Narrow"/>
            <scheme val="minor"/>
          </rPr>
          <t>======
ID#AAABjx7qR5M
    (2025-05-21 11:33:25)
Vecow 年底前交貨, 收到超恩貨+2-3 days出貨Ti2</t>
        </r>
      </text>
    </comment>
    <comment ref="Z4643" authorId="0" shapeId="0" xr:uid="{B6B3EB13-0DA3-CF42-9546-2E22CD8ABD9A}">
      <text>
        <r>
          <rPr>
            <sz val="10"/>
            <color rgb="FF000000"/>
            <rFont val="Aptos Narrow"/>
            <scheme val="minor"/>
          </rPr>
          <t>======
ID#AAABjx7qQeU
    (2025-05-21 11:33:25)
含提單:3658076855 Cable寄出費用</t>
        </r>
      </text>
    </comment>
    <comment ref="D4644" authorId="0" shapeId="0" xr:uid="{183C54F4-D475-5248-BA91-3B9E64BB210F}">
      <text>
        <r>
          <rPr>
            <sz val="10"/>
            <color rgb="FF000000"/>
            <rFont val="Aptos Narrow"/>
            <scheme val="minor"/>
          </rPr>
          <t>======
ID#AAABjx7qQHI
    (2025-05-21 11:33:25)
1/21 Keiju: 出貨前拍照</t>
        </r>
      </text>
    </comment>
    <comment ref="H4644" authorId="0" shapeId="0" xr:uid="{D46FC332-7518-8A4C-9B52-4B5AD9340806}">
      <text>
        <r>
          <rPr>
            <sz val="10"/>
            <color rgb="FF000000"/>
            <rFont val="Aptos Narrow"/>
            <scheme val="minor"/>
          </rPr>
          <t>======
ID#AAABjx7qV_Y
    (2025-05-21 11:33:27)
ALICE:2019/05/02-水單匯入USD21462.5</t>
        </r>
      </text>
    </comment>
    <comment ref="K4644" authorId="0" shapeId="0" xr:uid="{40A6C1CF-3B59-494F-BB5F-88ED84BF1043}">
      <text>
        <r>
          <rPr>
            <sz val="10"/>
            <color rgb="FF000000"/>
            <rFont val="Aptos Narrow"/>
            <scheme val="minor"/>
          </rPr>
          <t>======
ID#AAABjx7qPFk
    (2025-05-21 11:33:24)
0226 Cathy: 詢問alan 出雪梨
0121 Sant: 出貨前拍照</t>
        </r>
      </text>
    </comment>
    <comment ref="AK4644" authorId="0" shapeId="0" xr:uid="{DBED7E8C-BE7B-B947-A92B-8BE988E47622}">
      <text>
        <r>
          <rPr>
            <sz val="10"/>
            <color rgb="FF000000"/>
            <rFont val="Aptos Narrow"/>
            <scheme val="minor"/>
          </rPr>
          <t>======
ID#AAABjx7qQ-U
    (2025-05-21 11:33:25)
ALICE:2019/05/02-水單匯入USD21462.5-(匯出手續費USD10+匯入手續費USD10.73)=USD21441.77*30.84=NT661264</t>
        </r>
      </text>
    </comment>
    <comment ref="AL4644" authorId="0" shapeId="0" xr:uid="{021709B5-66E8-CB4B-B035-E99CCDF34F07}">
      <text>
        <r>
          <rPr>
            <sz val="10"/>
            <color rgb="FF000000"/>
            <rFont val="Aptos Narrow"/>
            <scheme val="minor"/>
          </rPr>
          <t>======
ID#AAABjx7qR2M
    (2025-05-21 11:33:25)
ALICE:2019/05/02-水單匯入USD21462.5-(匯出手續費USD10+匯入手續費USD10.73)=USD21441.77*30.84=NT661264</t>
        </r>
      </text>
    </comment>
    <comment ref="H4645" authorId="0" shapeId="0" xr:uid="{51C5FCB1-5CB4-0641-AE62-F8E07C2B8BAE}">
      <text>
        <r>
          <rPr>
            <sz val="10"/>
            <color rgb="FF000000"/>
            <rFont val="Aptos Narrow"/>
            <scheme val="minor"/>
          </rPr>
          <t>======
ID#AAABjx7qNfw
    (2025-05-21 11:33:23)
ALICE:2019/05/02-水單匯入USD21462.5</t>
        </r>
      </text>
    </comment>
    <comment ref="K4645" authorId="0" shapeId="0" xr:uid="{16D870ED-04CB-9F43-9F89-1C51D2F32892}">
      <text>
        <r>
          <rPr>
            <sz val="10"/>
            <color rgb="FF000000"/>
            <rFont val="Aptos Narrow"/>
            <scheme val="minor"/>
          </rPr>
          <t>======
ID#AAABjx7qNo4
    (2025-05-21 11:33:23)
0226 Cathy: 詢問alan 出雪梨
0121 Sant: 出貨前拍照</t>
        </r>
      </text>
    </comment>
    <comment ref="AK4645" authorId="0" shapeId="0" xr:uid="{DBCCEAF8-0BEF-DE4F-826F-CF1AF094078B}">
      <text>
        <r>
          <rPr>
            <sz val="10"/>
            <color rgb="FF000000"/>
            <rFont val="Aptos Narrow"/>
            <scheme val="minor"/>
          </rPr>
          <t>======
ID#AAABjx7qVfU
    (2025-05-21 11:33:27)
ALICE:2019/05/02-水單匯入USD21462.5-(匯出手續費USD10+匯入手續費USD10.73)=USD21441.77*30.84=NT661264</t>
        </r>
      </text>
    </comment>
    <comment ref="AL4645" authorId="0" shapeId="0" xr:uid="{58C8A568-8E49-2141-8337-1944EF41FD48}">
      <text>
        <r>
          <rPr>
            <sz val="10"/>
            <color rgb="FF000000"/>
            <rFont val="Aptos Narrow"/>
            <scheme val="minor"/>
          </rPr>
          <t>======
ID#AAABjx7qSJQ
    (2025-05-21 11:33:26)
ALICE:2019/05/02-水單匯入USD21462.5-(匯出手續費USD10+匯入手續費USD10.73)=USD21441.77*30.84=NT661264</t>
        </r>
      </text>
    </comment>
    <comment ref="E4646" authorId="0" shapeId="0" xr:uid="{1E059FB7-A7E3-754B-A24E-53539E1F32BE}">
      <text>
        <r>
          <rPr>
            <sz val="10"/>
            <color rgb="FF000000"/>
            <rFont val="Aptos Narrow"/>
            <scheme val="minor"/>
          </rPr>
          <t>======
ID#AAABjx7qRUM
0213 Cathy    (2025-05-21 11:33:25)
1. 發現下單錯誤(下成8101，已與廠商詢問有否750-375物料
2. 請廠商協助詢問有否客戶需求
0215 cathy:廠商告知申請到不出貨(可cancel)</t>
        </r>
      </text>
    </comment>
    <comment ref="K4646" authorId="0" shapeId="0" xr:uid="{606D5953-16BE-8848-8C4E-E8014719F187}">
      <text>
        <r>
          <rPr>
            <sz val="10"/>
            <color rgb="FF000000"/>
            <rFont val="Aptos Narrow"/>
            <scheme val="minor"/>
          </rPr>
          <t>======
ID#AAABjx7qTG4
    (2025-05-21 11:33:26)
0121 Sant: 出貨前拍照</t>
        </r>
      </text>
    </comment>
    <comment ref="H4647" authorId="0" shapeId="0" xr:uid="{5812BDDD-905A-D34F-AAD5-631903E45CFC}">
      <text>
        <r>
          <rPr>
            <sz val="10"/>
            <color rgb="FF000000"/>
            <rFont val="Aptos Narrow"/>
            <scheme val="minor"/>
          </rPr>
          <t>======
ID#AAABjx7qPIU
    (2025-05-21 11:33:24)
0128 Mary: 匯款匯入 US$5,260</t>
        </r>
      </text>
    </comment>
    <comment ref="H4648" authorId="0" shapeId="0" xr:uid="{DA5E504B-C8D5-0D4D-9AE6-CA03096D07CB}">
      <text>
        <r>
          <rPr>
            <sz val="10"/>
            <color rgb="FF000000"/>
            <rFont val="Aptos Narrow"/>
            <scheme val="minor"/>
          </rPr>
          <t>======
ID#AAABjx7qPbI
    (2025-05-21 11:33:24)
0128 Mary: 匯款匯入 US$5,260(同H103)</t>
        </r>
      </text>
    </comment>
    <comment ref="H4649" authorId="0" shapeId="0" xr:uid="{B37578DF-4F19-D645-B2A8-F4D5BDFC394E}">
      <text>
        <r>
          <rPr>
            <sz val="10"/>
            <color rgb="FF000000"/>
            <rFont val="Aptos Narrow"/>
            <scheme val="minor"/>
          </rPr>
          <t>======
ID#AAABjx7qQvo
    (2025-05-21 11:33:25)
0128 Mary: 匯款匯入 US$5,260(同H103)</t>
        </r>
      </text>
    </comment>
    <comment ref="H4650" authorId="0" shapeId="0" xr:uid="{9EE8885D-C8F7-F948-8609-637342A7B627}">
      <text>
        <r>
          <rPr>
            <sz val="10"/>
            <color rgb="FF000000"/>
            <rFont val="Aptos Narrow"/>
            <scheme val="minor"/>
          </rPr>
          <t>======
ID#AAABjx7qOsc
    (2025-05-21 11:33:24)
0128 Mary: 匯款匯入 US$5,260(同H103)</t>
        </r>
      </text>
    </comment>
    <comment ref="H4651" authorId="0" shapeId="0" xr:uid="{88780B1D-7FEB-9546-BF6A-773D9686DB47}">
      <text>
        <r>
          <rPr>
            <sz val="10"/>
            <color rgb="FF000000"/>
            <rFont val="Aptos Narrow"/>
            <scheme val="minor"/>
          </rPr>
          <t>======
ID#AAABjx7qRDA
    (2025-05-21 11:33:25)
0128 Mary: 匯款匯入 US$5,260(同H103)</t>
        </r>
      </text>
    </comment>
    <comment ref="H4652" authorId="0" shapeId="0" xr:uid="{4BB44DC1-3E1A-2844-971B-F6CD35C49075}">
      <text>
        <r>
          <rPr>
            <sz val="10"/>
            <color rgb="FF000000"/>
            <rFont val="Aptos Narrow"/>
            <scheme val="minor"/>
          </rPr>
          <t>======
ID#AAABjx7qPYI
    (2025-05-21 11:33:24)
0128 Mary: 匯款匯入 US$5,260(同H103)</t>
        </r>
      </text>
    </comment>
    <comment ref="H4653" authorId="0" shapeId="0" xr:uid="{0A241E73-EBE2-BC4B-BA92-29CCAE23E4C3}">
      <text>
        <r>
          <rPr>
            <sz val="10"/>
            <color rgb="FF000000"/>
            <rFont val="Aptos Narrow"/>
            <scheme val="minor"/>
          </rPr>
          <t>======
ID#AAABjx7qOPY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4" authorId="0" shapeId="0" xr:uid="{DDE56611-295D-034C-9B65-A83FF09A87E3}">
      <text>
        <r>
          <rPr>
            <sz val="10"/>
            <color rgb="FF000000"/>
            <rFont val="Aptos Narrow"/>
            <scheme val="minor"/>
          </rPr>
          <t>======
ID#AAABjx7qPac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5" authorId="0" shapeId="0" xr:uid="{3C98595E-2A10-3443-A776-692403857131}">
      <text>
        <r>
          <rPr>
            <sz val="10"/>
            <color rgb="FF000000"/>
            <rFont val="Aptos Narrow"/>
            <scheme val="minor"/>
          </rPr>
          <t>======
ID#AAABjx7qPrM
    (2025-05-21 11:33:24)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6" authorId="0" shapeId="0" xr:uid="{43F12F2C-0657-5B4F-96F0-E888B2701350}">
      <text>
        <r>
          <rPr>
            <sz val="10"/>
            <color rgb="FF000000"/>
            <rFont val="Aptos Narrow"/>
            <scheme val="minor"/>
          </rPr>
          <t>======
ID#AAABjx7qSrM
    (2025-05-21 11:33:26)
1/29 Amy: payment will be collected together with next order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657" authorId="0" shapeId="0" xr:uid="{0115BC94-4FE9-9243-A6CF-5A06135A37FA}">
      <text>
        <r>
          <rPr>
            <sz val="10"/>
            <color rgb="FF000000"/>
            <rFont val="Aptos Narrow"/>
            <scheme val="minor"/>
          </rPr>
          <t>======
ID#AAABjx7qSp8
    (2025-05-21 11:33:26)
ALICE:5/3收到USD12965.5(沖PI-20190121B.PI20190217A.PI-20190131C.PI-20190313A.PI-20190306A)</t>
        </r>
      </text>
    </comment>
    <comment ref="H4658" authorId="0" shapeId="0" xr:uid="{936DBB53-3E4F-3940-B1E1-77AC16F57A12}">
      <text>
        <r>
          <rPr>
            <sz val="10"/>
            <color rgb="FF000000"/>
            <rFont val="Aptos Narrow"/>
            <scheme val="minor"/>
          </rPr>
          <t>======
ID#AAABjx7qO-c
    (2025-05-21 11:33:24)
ALICE:5/3收到USD12965.5(沖PI-20190121B.PI20190217A.PI-20190131C.PI-20190313A.PI-20190306A)</t>
        </r>
      </text>
    </comment>
    <comment ref="H4659" authorId="0" shapeId="0" xr:uid="{E99E6209-465F-F843-A55F-94F2F8C9C7C8}">
      <text>
        <r>
          <rPr>
            <sz val="10"/>
            <color rgb="FF000000"/>
            <rFont val="Aptos Narrow"/>
            <scheme val="minor"/>
          </rPr>
          <t>======
ID#AAABjx7qMuw
    (2025-05-21 11:33:23)
ALICE:5/3收到USD12965.5(沖PI-20190121B.PI20190217A.PI-20190131C.PI-20190313A.PI-20190306A)</t>
        </r>
      </text>
    </comment>
    <comment ref="H4660" authorId="0" shapeId="0" xr:uid="{E8D8C4DF-0DC1-7643-8DD0-E75781AEB188}">
      <text>
        <r>
          <rPr>
            <sz val="10"/>
            <color rgb="FF000000"/>
            <rFont val="Aptos Narrow"/>
            <scheme val="minor"/>
          </rPr>
          <t>======
ID#AAABjx7qRLY
    (2025-05-21 11:33:25)
0201 chloe:匯款匯入38286-20(手續費)</t>
        </r>
      </text>
    </comment>
    <comment ref="AK4660" authorId="0" shapeId="0" xr:uid="{93E36625-1D4D-EE4E-A292-25B0DC1FDE99}">
      <text>
        <r>
          <rPr>
            <sz val="10"/>
            <color rgb="FF000000"/>
            <rFont val="Aptos Narrow"/>
            <scheme val="minor"/>
          </rPr>
          <t>======
ID#AAABjx7qVVM
    (2025-05-21 11:33:27)
ALICE:2019/02/01-應收總額USD38286 實收USD38266-手續費USD19.13=USD38246.87*30.69=NT1,173,796元整</t>
        </r>
      </text>
    </comment>
    <comment ref="AL4660" authorId="0" shapeId="0" xr:uid="{07218358-BC43-154F-8DB2-C6609D87DEDA}">
      <text>
        <r>
          <rPr>
            <sz val="10"/>
            <color rgb="FF000000"/>
            <rFont val="Aptos Narrow"/>
            <scheme val="minor"/>
          </rPr>
          <t>======
ID#AAABjx7qOzo
    (2025-05-21 11:33:24)
ALICE:2019/02/01-應收總額USD38286 實收USD38266-手續費USD19.13=USD38246.87*30.69=NT1,173,796元整</t>
        </r>
      </text>
    </comment>
    <comment ref="H4661" authorId="0" shapeId="0" xr:uid="{A6733DA7-1E86-EA44-9F9F-E5E308334355}">
      <text>
        <r>
          <rPr>
            <sz val="10"/>
            <color rgb="FF000000"/>
            <rFont val="Aptos Narrow"/>
            <scheme val="minor"/>
          </rPr>
          <t>======
ID#AAABjx7qM8Y
    (2025-05-21 11:33:23)
ALICE:201904/10水單匯入USD11416*30.78
沖(229+2394+326+34+5274+3066+103)=11426</t>
        </r>
      </text>
    </comment>
    <comment ref="K4661" authorId="0" shapeId="0" xr:uid="{D7F377F2-3DAE-F244-8503-135DC3D16C93}">
      <text>
        <r>
          <rPr>
            <sz val="10"/>
            <color rgb="FF000000"/>
            <rFont val="Aptos Narrow"/>
            <scheme val="minor"/>
          </rPr>
          <t>======
ID#AAABjx7qVG8
    (2025-05-21 11:33:27)
在此輸入
0220 Bruce: 告知預計2/25可出貨</t>
        </r>
      </text>
    </comment>
    <comment ref="D4662" authorId="0" shapeId="0" xr:uid="{ED06D5BA-F09E-824B-A94D-AB48B95B4AE0}">
      <text>
        <r>
          <rPr>
            <sz val="10"/>
            <color rgb="FF000000"/>
            <rFont val="Aptos Narrow"/>
            <scheme val="minor"/>
          </rPr>
          <t>======
ID#AAABjx7qSoU
    (2025-05-21 11:33:26)
1/25宸曜這批無法協駔組裝SSD &amp; DRAM, 需自行組裝, 並請確認SATA Cable、DRAM處需點膠加強.</t>
        </r>
      </text>
    </comment>
    <comment ref="E4662" authorId="0" shapeId="0" xr:uid="{02C4C320-646E-DC40-B6AF-E14E3DCCF6E2}">
      <text>
        <r>
          <rPr>
            <sz val="10"/>
            <color rgb="FF000000"/>
            <rFont val="Aptos Narrow"/>
            <scheme val="minor"/>
          </rPr>
          <t>======
ID#AAABjx7qNJs
    (2025-05-21 11:33:23)
NeouSys 1/23 於 Line group 報價$283</t>
        </r>
      </text>
    </comment>
    <comment ref="H4662" authorId="0" shapeId="0" xr:uid="{99BE6631-BA9D-FB42-ABE1-BF92428609B1}">
      <text>
        <r>
          <rPr>
            <sz val="10"/>
            <color rgb="FF000000"/>
            <rFont val="Aptos Narrow"/>
            <scheme val="minor"/>
          </rPr>
          <t>======
ID#AAABjx7qVmU
    (2025-05-21 11:33:27)
ALICE:201904/10水單匯入USD11416*30.78
沖(229+2394+326+34+5274+3066+103)=11426</t>
        </r>
      </text>
    </comment>
    <comment ref="K4662" authorId="0" shapeId="0" xr:uid="{53E31336-E7E5-254A-BB11-628994922FF3}">
      <text>
        <r>
          <rPr>
            <sz val="10"/>
            <color rgb="FF000000"/>
            <rFont val="Aptos Narrow"/>
            <scheme val="minor"/>
          </rPr>
          <t>======
ID#AAABjx7qU0A
    (2025-05-21 11:33:26)
在此輸入
0220 Bruce: 告知預計2/25可出貨</t>
        </r>
      </text>
    </comment>
    <comment ref="D4663" authorId="0" shapeId="0" xr:uid="{3443C019-8B21-C940-8DD1-1F92E0B1A4DD}">
      <text>
        <r>
          <rPr>
            <sz val="10"/>
            <color rgb="FF000000"/>
            <rFont val="Aptos Narrow"/>
            <scheme val="minor"/>
          </rPr>
          <t>======
ID#AAABjx7qOEc
    (2025-05-21 11:33:24)
1/25宸曜這批無法協駔組裝SSD &amp; DRAM, 需自行組裝, 並請確認SATA Cable、DRAM處需點膠加強.</t>
        </r>
      </text>
    </comment>
    <comment ref="H4663" authorId="0" shapeId="0" xr:uid="{C8047C1A-A817-1843-9E8C-1F9DE37F88C7}">
      <text>
        <r>
          <rPr>
            <sz val="10"/>
            <color rgb="FF000000"/>
            <rFont val="Aptos Narrow"/>
            <scheme val="minor"/>
          </rPr>
          <t>======
ID#AAABjx7qWQ8
    (2025-05-21 11:33:27)
ALICE:201904/10水單匯入USD11416*30.78
沖(229+2394+326+34+5274+3066+103)=11426</t>
        </r>
      </text>
    </comment>
    <comment ref="K4663" authorId="0" shapeId="0" xr:uid="{AA8901A1-6319-E54F-B298-754EE4BA071C}">
      <text>
        <r>
          <rPr>
            <sz val="10"/>
            <color rgb="FF000000"/>
            <rFont val="Aptos Narrow"/>
            <scheme val="minor"/>
          </rPr>
          <t>======
ID#AAABj82dpIA
    (2025-05-21 11:33:23)
在此輸入
0220 Bruce: 告知預計2/25可出貨</t>
        </r>
      </text>
    </comment>
    <comment ref="W4663" authorId="0" shapeId="0" xr:uid="{57BC3843-7321-C441-AB58-67E081434281}">
      <text>
        <r>
          <rPr>
            <sz val="10"/>
            <color rgb="FF000000"/>
            <rFont val="Aptos Narrow"/>
            <scheme val="minor"/>
          </rPr>
          <t>======
ID#AAABjx7qTV8
    (2025-05-21 11:33:26)
預付款</t>
        </r>
      </text>
    </comment>
    <comment ref="D4664" authorId="0" shapeId="0" xr:uid="{D4E95697-64F5-AC4B-93BB-0AEFD552342F}">
      <text>
        <r>
          <rPr>
            <sz val="10"/>
            <color rgb="FF000000"/>
            <rFont val="Aptos Narrow"/>
            <scheme val="minor"/>
          </rPr>
          <t>======
ID#AAABjx7qOBY
    (2025-05-21 11:33:24)
1/25宸曜這批無法協駔組裝SSD &amp; DRAM, 需自行組裝, 並請確認SATA Cable、DRAM處需點膠加強.</t>
        </r>
      </text>
    </comment>
    <comment ref="H4664" authorId="0" shapeId="0" xr:uid="{1E4C0052-D433-D94B-BF77-9F377C4B931B}">
      <text>
        <r>
          <rPr>
            <sz val="10"/>
            <color rgb="FF000000"/>
            <rFont val="Aptos Narrow"/>
            <scheme val="minor"/>
          </rPr>
          <t>======
ID#AAABjx7qPb0
    (2025-05-21 11:33:24)
ALICE:201904/10水單匯入USD11416*30.78
沖(229+2394+326+34+5274+3066+103)=11426</t>
        </r>
      </text>
    </comment>
    <comment ref="K4664" authorId="0" shapeId="0" xr:uid="{115D7122-681E-D840-8A72-C3813EFC3AFC}">
      <text>
        <r>
          <rPr>
            <sz val="10"/>
            <color rgb="FF000000"/>
            <rFont val="Aptos Narrow"/>
            <scheme val="minor"/>
          </rPr>
          <t>======
ID#AAABjx7qQgA
    (2025-05-21 11:33:25)
在此輸入
0220 Bruce: 告知預計2/25可出貨</t>
        </r>
      </text>
    </comment>
    <comment ref="H4665" authorId="0" shapeId="0" xr:uid="{0F67FD98-1D28-5149-B1AE-70AC9BB6C407}">
      <text>
        <r>
          <rPr>
            <sz val="10"/>
            <color rgb="FF000000"/>
            <rFont val="Aptos Narrow"/>
            <scheme val="minor"/>
          </rPr>
          <t>======
ID#AAABjx7qVPE
    (2025-05-21 11:33:27)
ALICE:201904/10水單匯入USD11416*30.78
沖(229+2394+326+34+5274+3066+103)=11426</t>
        </r>
      </text>
    </comment>
    <comment ref="Z4665" authorId="0" shapeId="0" xr:uid="{1864DBF3-58C9-BF4C-B679-B82950395C7E}">
      <text>
        <r>
          <rPr>
            <sz val="10"/>
            <color rgb="FF000000"/>
            <rFont val="Aptos Narrow"/>
            <scheme val="minor"/>
          </rPr>
          <t>======
ID#AAABjx7qTbg
    (2025-05-21 11:33:26)
共三筆運費
1)1836940674  PI-20190123B-F</t>
        </r>
      </text>
    </comment>
    <comment ref="H4666" authorId="0" shapeId="0" xr:uid="{935FF1B1-69C0-AB4D-BEB6-1F7931FC1AB9}">
      <text>
        <r>
          <rPr>
            <sz val="10"/>
            <color rgb="FF000000"/>
            <rFont val="Aptos Narrow"/>
            <scheme val="minor"/>
          </rPr>
          <t>======
ID#AAABjx7qPe4
    (2025-05-21 11:33:24)
0215 Mary:匯款匯入US$21,605+6,990</t>
        </r>
      </text>
    </comment>
    <comment ref="Z4666" authorId="0" shapeId="0" xr:uid="{BED7DB6C-B9D7-4940-8B24-496E4992E1B6}">
      <text>
        <r>
          <rPr>
            <sz val="10"/>
            <color rgb="FF000000"/>
            <rFont val="Aptos Narrow"/>
            <scheme val="minor"/>
          </rPr>
          <t>======
ID#AAABjx7qPrs
    (2025-05-21 11:33:24)
匯率30.685
TOTAL:25582.2</t>
        </r>
      </text>
    </comment>
    <comment ref="AK4666" authorId="0" shapeId="0" xr:uid="{6B94E862-15E8-7341-A5A2-CC89E9C44253}">
      <text>
        <r>
          <rPr>
            <sz val="10"/>
            <color rgb="FF000000"/>
            <rFont val="Aptos Narrow"/>
            <scheme val="minor"/>
          </rPr>
          <t>======
ID#AAABjx7qWXk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AL4666" authorId="0" shapeId="0" xr:uid="{994E3DF4-559F-DA44-9BDE-B9C7857EA3AD}">
      <text>
        <r>
          <rPr>
            <sz val="10"/>
            <color rgb="FF000000"/>
            <rFont val="Aptos Narrow"/>
            <scheme val="minor"/>
          </rPr>
          <t>======
ID#AAABjx7qVhM
    (2025-05-21 11:33:27)
ALICE:2019/02/15-水單匯入(USD21605-手續費USD10.82)*30.787=NT664820
2019/02/14-水單匯入(USD6990-手續費USD6.5)*30.784=NT214980
應收總計USD28615-實收USD21605+USD6990=USD20匯出手續費
手續費總計USD10.82*30.787+6.5*30.784+20*30.787=NT1449元整</t>
        </r>
      </text>
    </comment>
    <comment ref="H4667" authorId="0" shapeId="0" xr:uid="{6B40E6BE-05D9-3A45-9252-F6610EBBDD90}">
      <text>
        <r>
          <rPr>
            <sz val="10"/>
            <color rgb="FF000000"/>
            <rFont val="Aptos Narrow"/>
            <scheme val="minor"/>
          </rPr>
          <t>======
ID#AAABjx7qPdM
    (2025-05-21 11:33:24)
0215 Mary:匯款匯入US$21,605+6,990</t>
        </r>
      </text>
    </comment>
    <comment ref="H4668" authorId="0" shapeId="0" xr:uid="{340D69B3-4B27-DD45-9A1D-8CE9D6EA7378}">
      <text>
        <r>
          <rPr>
            <sz val="10"/>
            <color rgb="FF000000"/>
            <rFont val="Aptos Narrow"/>
            <scheme val="minor"/>
          </rPr>
          <t>======
ID#AAABjx7qOxY
    (2025-05-21 11:33:24)
0215 Mary:匯款匯入US$21,605+6,990</t>
        </r>
      </text>
    </comment>
    <comment ref="H4669" authorId="0" shapeId="0" xr:uid="{AB1E0BE1-320D-9E4A-8692-A4950068A9F8}">
      <text>
        <r>
          <rPr>
            <sz val="10"/>
            <color rgb="FF000000"/>
            <rFont val="Aptos Narrow"/>
            <scheme val="minor"/>
          </rPr>
          <t>======
ID#AAABjx7qTIM
    (2025-05-21 11:33:26)
0215 Mary:匯款匯入US$21,605+6,990</t>
        </r>
      </text>
    </comment>
    <comment ref="H4670" authorId="0" shapeId="0" xr:uid="{DE433065-43EB-2549-AE16-1F3447AC0900}">
      <text>
        <r>
          <rPr>
            <sz val="10"/>
            <color rgb="FF000000"/>
            <rFont val="Aptos Narrow"/>
            <scheme val="minor"/>
          </rPr>
          <t>======
ID#AAABjx7qTMk
    (2025-05-21 11:33:26)
0215 Mary:匯款匯入US$21,605+6,990</t>
        </r>
      </text>
    </comment>
    <comment ref="H4671" authorId="0" shapeId="0" xr:uid="{4F143FA4-CEEE-E74F-BE9A-F1503261101D}">
      <text>
        <r>
          <rPr>
            <sz val="10"/>
            <color rgb="FF000000"/>
            <rFont val="Aptos Narrow"/>
            <scheme val="minor"/>
          </rPr>
          <t>======
ID#AAABjx7qPH4
    (2025-05-21 11:33:24)
0327 chloe:匯款匯入42,592-10(手續費)</t>
        </r>
      </text>
    </comment>
    <comment ref="K4671" authorId="0" shapeId="0" xr:uid="{B740AFA7-707F-CE4B-8335-F1CBCB1CEAC3}">
      <text>
        <r>
          <rPr>
            <sz val="10"/>
            <color rgb="FF000000"/>
            <rFont val="Aptos Narrow"/>
            <scheme val="minor"/>
          </rPr>
          <t>======
ID#AAABjx7qPwg
    (2025-05-21 11:33:24)
0307 san告知提前交期</t>
        </r>
      </text>
    </comment>
    <comment ref="E4672" authorId="0" shapeId="0" xr:uid="{74B554C0-5267-EE4C-9EC9-C15FEBB76301}">
      <text>
        <r>
          <rPr>
            <sz val="10"/>
            <color rgb="FF000000"/>
            <rFont val="Aptos Narrow"/>
            <scheme val="minor"/>
          </rPr>
          <t>======
ID#AAABjx7qVKQ
    (2025-05-21 11:33:27)
1122AMY: 3pin power connector 改為RG58 power connector</t>
        </r>
      </text>
    </comment>
    <comment ref="H4672" authorId="0" shapeId="0" xr:uid="{B91F10D6-EE1F-A84F-91AC-7738267C307A}">
      <text>
        <r>
          <rPr>
            <sz val="10"/>
            <color rgb="FF000000"/>
            <rFont val="Aptos Narrow"/>
            <scheme val="minor"/>
          </rPr>
          <t>======
ID#AAABjx7qOnQ
    (2025-05-21 11:33:24)
ALICE:2019/05/02-水單匯入USD21462.5</t>
        </r>
      </text>
    </comment>
    <comment ref="AK4672" authorId="0" shapeId="0" xr:uid="{CAFB531E-D757-1B4A-9959-E6C4821F4054}">
      <text>
        <r>
          <rPr>
            <sz val="10"/>
            <color rgb="FF000000"/>
            <rFont val="Aptos Narrow"/>
            <scheme val="minor"/>
          </rPr>
          <t>======
ID#AAABjx7qPIo
    (2025-05-21 11:33:24)
ALICE:2019/05/02-水單匯入USD21462.5-(匯出手續費USD10+匯入手續費USD10.73)=USD21441.77*30.84=NT661264</t>
        </r>
      </text>
    </comment>
    <comment ref="AL4672" authorId="0" shapeId="0" xr:uid="{B2D14EA1-4E76-0C44-8649-D902C354521F}">
      <text>
        <r>
          <rPr>
            <sz val="10"/>
            <color rgb="FF000000"/>
            <rFont val="Aptos Narrow"/>
            <scheme val="minor"/>
          </rPr>
          <t>======
ID#AAABjx7qR3I
    (2025-05-21 11:33:25)
ALICE:2019/05/02-水單匯入USD21462.5-(匯出手續費USD10+匯入手續費USD10.73)=USD21441.77*30.84=NT661264</t>
        </r>
      </text>
    </comment>
    <comment ref="H4673" authorId="0" shapeId="0" xr:uid="{6DFDCACC-4BDB-3D46-9F86-23D994E38FF3}">
      <text>
        <r>
          <rPr>
            <sz val="10"/>
            <color rgb="FF000000"/>
            <rFont val="Aptos Narrow"/>
            <scheme val="minor"/>
          </rPr>
          <t>======
ID#AAABjx7qNMg
    (2025-05-21 11:33:23)
ALICE:2019/05/02-水單匯入USD21462.5</t>
        </r>
      </text>
    </comment>
    <comment ref="AK4673" authorId="0" shapeId="0" xr:uid="{7D2BDFE8-585C-9D4B-AEE5-A7A6BB9C75EB}">
      <text>
        <r>
          <rPr>
            <sz val="10"/>
            <color rgb="FF000000"/>
            <rFont val="Aptos Narrow"/>
            <scheme val="minor"/>
          </rPr>
          <t>======
ID#AAABjx7qQ_E
    (2025-05-21 11:33:25)
ALICE:2019/05/02-水單匯入USD21462.5-(匯出手續費USD10+匯入手續費USD10.73)=USD21441.77*30.84=NT661264</t>
        </r>
      </text>
    </comment>
    <comment ref="AL4673" authorId="0" shapeId="0" xr:uid="{DA907AA3-9F14-9943-9358-C7FB2C85F10B}">
      <text>
        <r>
          <rPr>
            <sz val="10"/>
            <color rgb="FF000000"/>
            <rFont val="Aptos Narrow"/>
            <scheme val="minor"/>
          </rPr>
          <t>======
ID#AAABjx7qSG8
    (2025-05-21 11:33:26)
ALICE:2019/05/02-水單匯入USD21462.5-(匯出手續費USD10+匯入手續費USD10.73)=USD21441.77*30.84=NT661264</t>
        </r>
      </text>
    </comment>
    <comment ref="H4674" authorId="0" shapeId="0" xr:uid="{70400090-CE0A-6C4A-A48B-6EA6F9ED13D8}">
      <text>
        <r>
          <rPr>
            <sz val="10"/>
            <color rgb="FF000000"/>
            <rFont val="Aptos Narrow"/>
            <scheme val="minor"/>
          </rPr>
          <t>======
ID#AAABj82dpEE
    (2025-05-21 11:33:23)
ALICE:2019/05/02-水單匯入USD21462.5</t>
        </r>
      </text>
    </comment>
    <comment ref="AK4674" authorId="0" shapeId="0" xr:uid="{3A93DE81-9DF2-3541-B6B7-85F3548A0AB4}">
      <text>
        <r>
          <rPr>
            <sz val="10"/>
            <color rgb="FF000000"/>
            <rFont val="Aptos Narrow"/>
            <scheme val="minor"/>
          </rPr>
          <t>======
ID#AAABjx7qRys
    (2025-05-21 11:33:25)
ALICE:2019/05/02-水單匯入USD21462.5-(匯出手續費USD10+匯入手續費USD10.73)=USD21441.77*30.84=NT661264</t>
        </r>
      </text>
    </comment>
    <comment ref="AL4674" authorId="0" shapeId="0" xr:uid="{E4181E83-D402-1C4D-9FFD-D4940A8215EC}">
      <text>
        <r>
          <rPr>
            <sz val="10"/>
            <color rgb="FF000000"/>
            <rFont val="Aptos Narrow"/>
            <scheme val="minor"/>
          </rPr>
          <t>======
ID#AAABjx7qV3M
    (2025-05-21 11:33:27)
ALICE:2019/05/02-水單匯入USD21462.5-(匯出手續費USD10+匯入手續費USD10.73)=USD21441.77*30.84=NT661264</t>
        </r>
      </text>
    </comment>
    <comment ref="E4675" authorId="0" shapeId="0" xr:uid="{5A181B7F-C0CC-AC42-AFFC-936FB5992A00}">
      <text>
        <r>
          <rPr>
            <sz val="10"/>
            <color rgb="FF000000"/>
            <rFont val="Aptos Narrow"/>
            <scheme val="minor"/>
          </rPr>
          <t>======
ID#AAABjx7qOcY
    (2025-05-21 11:33:24)
256GB 2.5" SSD M3M MP808 Samsung eMMC ET(-25℃~+85℃)</t>
        </r>
      </text>
    </comment>
    <comment ref="H4675" authorId="0" shapeId="0" xr:uid="{08BA4FA0-DD79-4845-AE22-672B9A338206}">
      <text>
        <r>
          <rPr>
            <sz val="10"/>
            <color rgb="FF000000"/>
            <rFont val="Aptos Narrow"/>
            <scheme val="minor"/>
          </rPr>
          <t>======
ID#AAABjx7qWO8
    (2025-05-21 11:33:27)
ALICE:2019/05/02-水單匯入USD21462.5</t>
        </r>
      </text>
    </comment>
    <comment ref="AK4675" authorId="0" shapeId="0" xr:uid="{4F43A816-42D4-E14D-8088-6781CDD4BCFC}">
      <text>
        <r>
          <rPr>
            <sz val="10"/>
            <color rgb="FF000000"/>
            <rFont val="Aptos Narrow"/>
            <scheme val="minor"/>
          </rPr>
          <t>======
ID#AAABjx7qU7o
    (2025-05-21 11:33:27)
ALICE:2019/05/02-水單匯入USD21462.5-(匯出手續費USD10+匯入手續費USD10.73)=USD21441.77*30.84=NT661264</t>
        </r>
      </text>
    </comment>
    <comment ref="AL4675" authorId="0" shapeId="0" xr:uid="{9FF837ED-208E-5F4F-8D5C-5E621C658DF9}">
      <text>
        <r>
          <rPr>
            <sz val="10"/>
            <color rgb="FF000000"/>
            <rFont val="Aptos Narrow"/>
            <scheme val="minor"/>
          </rPr>
          <t>======
ID#AAABjx7qVvI
    (2025-05-21 11:33:27)
ALICE:2019/05/02-水單匯入USD21462.5-(匯出手續費USD10+匯入手續費USD10.73)=USD21441.77*30.84=NT661264</t>
        </r>
      </text>
    </comment>
    <comment ref="H4676" authorId="0" shapeId="0" xr:uid="{75AB0E9A-5A26-9240-99BE-F6353ECB5D4F}">
      <text>
        <r>
          <rPr>
            <sz val="10"/>
            <color rgb="FF000000"/>
            <rFont val="Aptos Narrow"/>
            <scheme val="minor"/>
          </rPr>
          <t>======
ID#AAABjx7qS_8
    (2025-05-21 11:33:26)
ALICE:2019/05/02-水單匯入USD21462.5</t>
        </r>
      </text>
    </comment>
    <comment ref="AK4676" authorId="0" shapeId="0" xr:uid="{31E40401-AA04-5B47-ADBC-45148B2F8DA3}">
      <text>
        <r>
          <rPr>
            <sz val="10"/>
            <color rgb="FF000000"/>
            <rFont val="Aptos Narrow"/>
            <scheme val="minor"/>
          </rPr>
          <t>======
ID#AAABjx7qP1k
    (2025-05-21 11:33:24)
ALICE:2019/05/02-水單匯入USD21462.5-(匯出手續費USD10+匯入手續費USD10.73)=USD21441.77*30.84=NT661264</t>
        </r>
      </text>
    </comment>
    <comment ref="AL4676" authorId="0" shapeId="0" xr:uid="{46C4192B-731A-E648-9EFC-B54FAE0B2F08}">
      <text>
        <r>
          <rPr>
            <sz val="10"/>
            <color rgb="FF000000"/>
            <rFont val="Aptos Narrow"/>
            <scheme val="minor"/>
          </rPr>
          <t>======
ID#AAABjx7qWPA
    (2025-05-21 11:33:27)
ALICE:2019/05/02-水單匯入USD21462.5-(匯出手續費USD10+匯入手續費USD10.73)=USD21441.77*30.84=NT661264</t>
        </r>
      </text>
    </comment>
    <comment ref="H4677" authorId="0" shapeId="0" xr:uid="{AB109544-C182-734E-A60A-AD53B6E7FEEA}">
      <text>
        <r>
          <rPr>
            <sz val="10"/>
            <color rgb="FF000000"/>
            <rFont val="Aptos Narrow"/>
            <scheme val="minor"/>
          </rPr>
          <t>======
ID#AAABjx7qPLQ
    (2025-05-21 11:33:24)
ALICE:2019/05/02-水單匯入USD21462.5</t>
        </r>
      </text>
    </comment>
    <comment ref="AK4677" authorId="0" shapeId="0" xr:uid="{381A6320-9BA0-3945-87CF-4B565091AFA5}">
      <text>
        <r>
          <rPr>
            <sz val="10"/>
            <color rgb="FF000000"/>
            <rFont val="Aptos Narrow"/>
            <scheme val="minor"/>
          </rPr>
          <t>======
ID#AAABjx7qQsM
    (2025-05-21 11:33:25)
ALICE:2019/05/02-水單匯入USD21462.5-(匯出手續費USD10+匯入手續費USD10.73)=USD21441.77*30.84=NT661264</t>
        </r>
      </text>
    </comment>
    <comment ref="AL4677" authorId="0" shapeId="0" xr:uid="{6D261089-5117-0D45-80FC-051F383CDBB7}">
      <text>
        <r>
          <rPr>
            <sz val="10"/>
            <color rgb="FF000000"/>
            <rFont val="Aptos Narrow"/>
            <scheme val="minor"/>
          </rPr>
          <t>======
ID#AAABjx7qSAs
    (2025-05-21 11:33:25)
ALICE:2019/05/02-水單匯入USD21462.5-(匯出手續費USD10+匯入手續費USD10.73)=USD21441.77*30.84=NT661264</t>
        </r>
      </text>
    </comment>
    <comment ref="H4678" authorId="0" shapeId="0" xr:uid="{EF014C05-F509-8C4C-A946-805C4AA81ADB}">
      <text>
        <r>
          <rPr>
            <sz val="10"/>
            <color rgb="FF000000"/>
            <rFont val="Aptos Narrow"/>
            <scheme val="minor"/>
          </rPr>
          <t>======
ID#AAABjx7qTdc
    (2025-05-21 11:33:26)
ALICE:2019/05/02-水單匯入USD21462.5</t>
        </r>
      </text>
    </comment>
    <comment ref="AK4678" authorId="0" shapeId="0" xr:uid="{BC475F7C-36AA-6E49-88F2-4F10C735BF58}">
      <text>
        <r>
          <rPr>
            <sz val="10"/>
            <color rgb="FF000000"/>
            <rFont val="Aptos Narrow"/>
            <scheme val="minor"/>
          </rPr>
          <t>======
ID#AAABjx7qTGI
    (2025-05-21 11:33:26)
ALICE:2019/05/02-水單匯入USD21462.5-(匯出手續費USD10+匯入手續費USD10.73)=USD21441.77*30.84=NT661264</t>
        </r>
      </text>
    </comment>
    <comment ref="AL4678" authorId="0" shapeId="0" xr:uid="{E4F62917-49A1-9C45-BA9E-13B1A323E208}">
      <text>
        <r>
          <rPr>
            <sz val="10"/>
            <color rgb="FF000000"/>
            <rFont val="Aptos Narrow"/>
            <scheme val="minor"/>
          </rPr>
          <t>======
ID#AAABjx7qQ-A
    (2025-05-21 11:33:25)
ALICE:2019/05/02-水單匯入USD21462.5-(匯出手續費USD10+匯入手續費USD10.73)=USD21441.77*30.84=NT661264</t>
        </r>
      </text>
    </comment>
    <comment ref="H4679" authorId="0" shapeId="0" xr:uid="{2DA6E695-8083-D540-9795-DF7100692289}">
      <text>
        <r>
          <rPr>
            <sz val="10"/>
            <color rgb="FF000000"/>
            <rFont val="Aptos Narrow"/>
            <scheme val="minor"/>
          </rPr>
          <t>======
ID#AAABjx7qM0E
    (2025-05-21 11:33:23)
ALICE:2019/04/12水單匯入usd7548*30.83元整</t>
        </r>
      </text>
    </comment>
    <comment ref="J4679" authorId="0" shapeId="0" xr:uid="{A6F27C2E-C341-3044-BC9A-6C19CBC9041A}">
      <text>
        <r>
          <rPr>
            <sz val="10"/>
            <color rgb="FF000000"/>
            <rFont val="Aptos Narrow"/>
            <scheme val="minor"/>
          </rPr>
          <t>======
ID#AAABjx7qUv8
    (2025-05-21 11:33:26)
在此輸入
customer will confirm again by shipment
2/20: Customer inform should be TNT A/C. already ship by previous informaiton of DHL ( 2/</t>
        </r>
      </text>
    </comment>
    <comment ref="H4680" authorId="0" shapeId="0" xr:uid="{12226AF6-F608-1141-8CEE-0909DE62B015}">
      <text>
        <r>
          <rPr>
            <sz val="10"/>
            <color rgb="FF000000"/>
            <rFont val="Aptos Narrow"/>
            <scheme val="minor"/>
          </rPr>
          <t>======
ID#AAABjx7qROk
    (2025-05-21 11:33:25)
alice:2019/04/25水單通知匯入USD1931*30.86=NT59591元整  無手續費 沖(125+1400+14+42+350)</t>
        </r>
      </text>
    </comment>
    <comment ref="Z4680" authorId="0" shapeId="0" xr:uid="{84E62E0B-F80A-A049-AA0D-894C3D60C32F}">
      <text>
        <r>
          <rPr>
            <sz val="10"/>
            <color rgb="FF000000"/>
            <rFont val="Aptos Narrow"/>
            <scheme val="minor"/>
          </rPr>
          <t>======
ID#AAABjx7qORs
    (2025-05-21 11:33:24)
0311 chloe:含PO20190124B</t>
        </r>
      </text>
    </comment>
    <comment ref="AK4680" authorId="0" shapeId="0" xr:uid="{D868F9F6-7EB5-884F-A2F8-DD148B44E215}">
      <text>
        <r>
          <rPr>
            <sz val="10"/>
            <color rgb="FF000000"/>
            <rFont val="Aptos Narrow"/>
            <scheme val="minor"/>
          </rPr>
          <t>======
ID#AAABjx7qPy8
    (2025-05-21 11:33:24)
alice:2019/04/25水單通知匯入USD1931*30.86=NT59591元整  無手續費 沖(125+1400+14+42+350)</t>
        </r>
      </text>
    </comment>
    <comment ref="AL4680" authorId="0" shapeId="0" xr:uid="{97AF736C-210F-E043-AE7A-9E6EB10C42B1}">
      <text>
        <r>
          <rPr>
            <sz val="10"/>
            <color rgb="FF000000"/>
            <rFont val="Aptos Narrow"/>
            <scheme val="minor"/>
          </rPr>
          <t>======
ID#AAABjx7qVH4
    (2025-05-21 11:33:27)
alice:2019/04/25水單通知匯入USD1931*30.86=NT59591元整  無手續費 沖(125+1400+14+42+350)</t>
        </r>
      </text>
    </comment>
    <comment ref="H4681" authorId="0" shapeId="0" xr:uid="{E2BADF7B-6B33-884B-BF12-374894947BA1}">
      <text>
        <r>
          <rPr>
            <sz val="10"/>
            <color rgb="FF000000"/>
            <rFont val="Aptos Narrow"/>
            <scheme val="minor"/>
          </rPr>
          <t>======
ID#AAABjx7qND8
    (2025-05-21 11:33:23)
0311  chloe:匯款匯入US1134-20(手續費)</t>
        </r>
      </text>
    </comment>
    <comment ref="H4682" authorId="0" shapeId="0" xr:uid="{888A1288-A247-0D49-9C35-6959DBA5FDB9}">
      <text>
        <r>
          <rPr>
            <sz val="10"/>
            <color rgb="FF000000"/>
            <rFont val="Aptos Narrow"/>
            <scheme val="minor"/>
          </rPr>
          <t>======
ID#AAABjx7qVM4
    (2025-05-21 11:33:27)
0311  chloe:匯款匯入US1134-20(手續費)</t>
        </r>
      </text>
    </comment>
    <comment ref="H4683" authorId="0" shapeId="0" xr:uid="{FBD00EC8-BC25-1C47-9E99-C3082592FEFC}">
      <text>
        <r>
          <rPr>
            <sz val="10"/>
            <color rgb="FF000000"/>
            <rFont val="Aptos Narrow"/>
            <scheme val="minor"/>
          </rPr>
          <t>======
ID#AAABjx7qOt8
    (2025-05-21 11:33:24)
0311  chloe:匯款匯入US1134-20(手續費)</t>
        </r>
      </text>
    </comment>
    <comment ref="H4684" authorId="0" shapeId="0" xr:uid="{8CF84CDD-7C2A-264D-9CA7-0749141AAD18}">
      <text>
        <r>
          <rPr>
            <sz val="10"/>
            <color rgb="FF000000"/>
            <rFont val="Aptos Narrow"/>
            <scheme val="minor"/>
          </rPr>
          <t>======
ID#AAABjx7qQIw
    (2025-05-21 11:33:25)
0201 chloe: 匯款匯入NT111130</t>
        </r>
      </text>
    </comment>
    <comment ref="H4685" authorId="0" shapeId="0" xr:uid="{05888993-CE5E-474B-80EE-46CF1F276DCE}">
      <text>
        <r>
          <rPr>
            <sz val="10"/>
            <color rgb="FF000000"/>
            <rFont val="Aptos Narrow"/>
            <scheme val="minor"/>
          </rPr>
          <t>======
ID#AAABjx7qWPk
    (2025-05-21 11:33:27)
0307 chloe:匯款匯入US39896-37(手續費)</t>
        </r>
      </text>
    </comment>
    <comment ref="H4686" authorId="0" shapeId="0" xr:uid="{C9CE90B2-8ADC-A740-A5AB-A6CD95390DE9}">
      <text>
        <r>
          <rPr>
            <sz val="10"/>
            <color rgb="FF000000"/>
            <rFont val="Aptos Narrow"/>
            <scheme val="minor"/>
          </rPr>
          <t>======
ID#AAABjx7qRkw
    (2025-05-21 11:33:25)
0307 chloe:匯款匯入US39896-37(手續費)</t>
        </r>
      </text>
    </comment>
    <comment ref="H4687" authorId="0" shapeId="0" xr:uid="{BD4C53D8-EA91-8448-BF07-EC4EA1F2F0A4}">
      <text>
        <r>
          <rPr>
            <sz val="10"/>
            <color rgb="FF000000"/>
            <rFont val="Aptos Narrow"/>
            <scheme val="minor"/>
          </rPr>
          <t>======
ID#AAABjx7qTCI
    (2025-05-21 11:33:26)
0307 chloe:匯款匯入US39896-37(手續費)</t>
        </r>
      </text>
    </comment>
    <comment ref="H4688" authorId="0" shapeId="0" xr:uid="{4CD5CF62-B533-424F-BE0F-2C3BFC010A93}">
      <text>
        <r>
          <rPr>
            <sz val="10"/>
            <color rgb="FF000000"/>
            <rFont val="Aptos Narrow"/>
            <scheme val="minor"/>
          </rPr>
          <t>======
ID#AAABjx7qNYk
    (2025-05-21 11:33:23)
0327 chloe:匯款匯入42,592-10(手續費)
0408 Alice:匯款匯入USD3,950(手續費USD12)</t>
        </r>
      </text>
    </comment>
    <comment ref="K4688" authorId="0" shapeId="0" xr:uid="{76756D70-401A-6446-A8B6-65BFB77EE138}">
      <text>
        <r>
          <rPr>
            <sz val="10"/>
            <color rgb="FF000000"/>
            <rFont val="Aptos Narrow"/>
            <scheme val="minor"/>
          </rPr>
          <t>======
ID#AAABjx7qPgI
    (2025-05-21 11:33:24)
0212 Cathy: 原出貨日為2/14，已mail告知san變更出貨日</t>
        </r>
      </text>
    </comment>
    <comment ref="H4689" authorId="0" shapeId="0" xr:uid="{8B72FBA3-8164-7048-92B3-B275810C3D91}">
      <text>
        <r>
          <rPr>
            <sz val="10"/>
            <color rgb="FF000000"/>
            <rFont val="Aptos Narrow"/>
            <scheme val="minor"/>
          </rPr>
          <t>======
ID#AAABjx7qR0c
    (2025-05-21 11:33:25)
0307 chloe:匯款匯入US39896-37(手續費)</t>
        </r>
      </text>
    </comment>
    <comment ref="K4689" authorId="0" shapeId="0" xr:uid="{052BDBA3-D9F1-D348-9CF0-253009928289}">
      <text>
        <r>
          <rPr>
            <sz val="10"/>
            <color rgb="FF000000"/>
            <rFont val="Aptos Narrow"/>
            <scheme val="minor"/>
          </rPr>
          <t>======
ID#AAABjx7qSA4
    (2025-05-21 11:33:25)
0212 Cathy: 原出貨日為2/14，已mail告知san變更出貨日</t>
        </r>
      </text>
    </comment>
    <comment ref="H4690" authorId="0" shapeId="0" xr:uid="{B0CD63E4-16FF-F74D-8AB0-0D3B4A3558B1}">
      <text>
        <r>
          <rPr>
            <sz val="10"/>
            <color rgb="FF000000"/>
            <rFont val="Aptos Narrow"/>
            <scheme val="minor"/>
          </rPr>
          <t>======
ID#AAABjx7qPwQ
    (2025-05-21 11:33:24)
0307 chloe:匯款匯入US39896-37(手續費)</t>
        </r>
      </text>
    </comment>
    <comment ref="K4690" authorId="0" shapeId="0" xr:uid="{9432B19A-A441-D343-9C4E-F53557E828FD}">
      <text>
        <r>
          <rPr>
            <sz val="10"/>
            <color rgb="FF000000"/>
            <rFont val="Aptos Narrow"/>
            <scheme val="minor"/>
          </rPr>
          <t>======
ID#AAABjx7qTLI
    (2025-05-21 11:33:26)
0212 Cathy: 原出貨日為2/14，已mail告知san變更出貨日</t>
        </r>
      </text>
    </comment>
    <comment ref="D4691" authorId="0" shapeId="0" xr:uid="{732C8530-21BB-8F40-B32A-F7E5348A941C}">
      <text>
        <r>
          <rPr>
            <sz val="10"/>
            <color rgb="FF000000"/>
            <rFont val="Aptos Narrow"/>
            <scheme val="minor"/>
          </rPr>
          <t>======
ID#AAABjx7qR8c
    (2025-05-21 11:33:25)
0127 San: 銷退貨用, 故單價先計算為0, 但給廠商的PO 仍然為US255 / 1 pcs</t>
        </r>
      </text>
    </comment>
    <comment ref="G4691" authorId="0" shapeId="0" xr:uid="{FD6023B6-41DA-5F4F-A2D5-06A3637CA870}">
      <text>
        <r>
          <rPr>
            <sz val="10"/>
            <color rgb="FF000000"/>
            <rFont val="Aptos Narrow"/>
            <scheme val="minor"/>
          </rPr>
          <t>======
ID#AAABjx7qS_I
    (2025-05-21 11:33:26)
0127 San: 銷退貨用, 故單價先計算為0, 但給廠商的PO 仍然為US255 / 1 pcs</t>
        </r>
      </text>
    </comment>
    <comment ref="K4691" authorId="0" shapeId="0" xr:uid="{ACD6AD76-ABC7-D342-BABC-3111EDC9CE9A}">
      <text>
        <r>
          <rPr>
            <sz val="10"/>
            <color rgb="FF000000"/>
            <rFont val="Aptos Narrow"/>
            <scheme val="minor"/>
          </rPr>
          <t>======
ID#AAABjx7qO0U
    (2025-05-21 11:33:24)
0131 Cathy:走簡易報關
0130 chloe:
1)用樣品出去，單價US$5
2)待客戶寄回時再看如何跟廣積消退</t>
        </r>
      </text>
    </comment>
    <comment ref="H4692" authorId="0" shapeId="0" xr:uid="{0B32569E-96C7-8A41-805B-8B56A19A37F1}">
      <text>
        <r>
          <rPr>
            <sz val="10"/>
            <color rgb="FF000000"/>
            <rFont val="Aptos Narrow"/>
            <scheme val="minor"/>
          </rPr>
          <t>======
ID#AAABjx7qTVk
    (2025-05-21 11:33:26)
0215 chloe:匯款匯入NT11592-30(手續費)</t>
        </r>
      </text>
    </comment>
    <comment ref="H4693" authorId="0" shapeId="0" xr:uid="{43ABBE3E-20DD-1E48-80FF-77EFD2141F92}">
      <text>
        <r>
          <rPr>
            <sz val="10"/>
            <color rgb="FF000000"/>
            <rFont val="Aptos Narrow"/>
            <scheme val="minor"/>
          </rPr>
          <t>======
ID#AAABjx7qO_o
    (2025-05-21 11:33:24)
0327 chloe:匯款匯入US$4165-20(手續費)</t>
        </r>
      </text>
    </comment>
    <comment ref="H4694" authorId="0" shapeId="0" xr:uid="{97D9DCC5-F873-1842-A692-BDEA697BD24E}">
      <text>
        <r>
          <rPr>
            <sz val="10"/>
            <color rgb="FF000000"/>
            <rFont val="Aptos Narrow"/>
            <scheme val="minor"/>
          </rPr>
          <t>======
ID#AAABjx7qOHs
    (2025-05-21 11:33:24)
0327 chloe:匯款匯入US$4165-20(手續費)</t>
        </r>
      </text>
    </comment>
    <comment ref="D4695" authorId="0" shapeId="0" xr:uid="{3C0DDA66-C672-FA4D-9F7D-1CB1EA1D8962}">
      <text>
        <r>
          <rPr>
            <sz val="10"/>
            <color rgb="FF000000"/>
            <rFont val="Aptos Narrow"/>
            <scheme val="minor"/>
          </rPr>
          <t>======
ID#AAABjx7qRCw
    (2025-05-21 11:33:25)
San: 只附3M 膠給客戶就好. 因為膠帶是要貼在LCD上. 非Touch</t>
        </r>
      </text>
    </comment>
    <comment ref="H4695" authorId="0" shapeId="0" xr:uid="{199BF784-B5A3-734C-924F-850F8365CAD4}">
      <text>
        <r>
          <rPr>
            <sz val="10"/>
            <color rgb="FF000000"/>
            <rFont val="Aptos Narrow"/>
            <scheme val="minor"/>
          </rPr>
          <t>======
ID#AAABjx7qQzg
    (2025-05-21 11:33:25)
0304 chloe:匯款匯入US 154</t>
        </r>
      </text>
    </comment>
    <comment ref="H4696" authorId="0" shapeId="0" xr:uid="{BCC37219-9AD4-A540-B74E-016A22C6A32B}">
      <text>
        <r>
          <rPr>
            <sz val="10"/>
            <color rgb="FF000000"/>
            <rFont val="Aptos Narrow"/>
            <scheme val="minor"/>
          </rPr>
          <t>======
ID#AAABjx7qQh4
    (2025-05-21 11:33:25)
alice:6/14-玉山匯入USD1346-手續費31.36=USD1314.64*31.47</t>
        </r>
      </text>
    </comment>
    <comment ref="H4697" authorId="0" shapeId="0" xr:uid="{A6FF6F68-6AA7-2C42-9D69-74DEBFC17640}">
      <text>
        <r>
          <rPr>
            <sz val="10"/>
            <color rgb="FF000000"/>
            <rFont val="Aptos Narrow"/>
            <scheme val="minor"/>
          </rPr>
          <t>======
ID#AAABjx7qRyY
    (2025-05-21 11:33:25)
0327 chloe:匯款匯入42,592-10(手續費)
0408 Alice:匯款匯入USD3,950(手續費USD12)</t>
        </r>
      </text>
    </comment>
    <comment ref="K4697" authorId="0" shapeId="0" xr:uid="{50993141-9BE6-7744-90F8-96ED4F34D9A7}">
      <text>
        <r>
          <rPr>
            <sz val="10"/>
            <color rgb="FF000000"/>
            <rFont val="Aptos Narrow"/>
            <scheme val="minor"/>
          </rPr>
          <t>======
ID#AAABjx7qO2g
0312 chloe 代寫    (2025-05-21 11:33:24)
先出，已向客戶要求付款</t>
        </r>
      </text>
    </comment>
    <comment ref="H4698" authorId="0" shapeId="0" xr:uid="{738BCC8E-E989-2240-8A9E-D6B949DEDF32}">
      <text>
        <r>
          <rPr>
            <sz val="10"/>
            <color rgb="FF000000"/>
            <rFont val="Aptos Narrow"/>
            <scheme val="minor"/>
          </rPr>
          <t>======
ID#AAABjx7qSmY
    (2025-05-21 11:33:26)
0307 chloe:匯款匯入US39896-37(手續費)</t>
        </r>
      </text>
    </comment>
    <comment ref="H4699" authorId="0" shapeId="0" xr:uid="{89978925-AC24-C54E-976C-BA973F9DE08A}">
      <text>
        <r>
          <rPr>
            <sz val="10"/>
            <color rgb="FF000000"/>
            <rFont val="Aptos Narrow"/>
            <scheme val="minor"/>
          </rPr>
          <t>======
ID#AAABjx7qWGk
    (2025-05-21 11:33:27)
0307 chloe:匯款匯入US39896-37(手續費)</t>
        </r>
      </text>
    </comment>
    <comment ref="H4700" authorId="0" shapeId="0" xr:uid="{EC2B70D3-180C-0F41-A32F-799E0C649B41}">
      <text>
        <r>
          <rPr>
            <sz val="10"/>
            <color rgb="FF000000"/>
            <rFont val="Aptos Narrow"/>
            <scheme val="minor"/>
          </rPr>
          <t>======
ID#AAABjx7qOBU
    (2025-05-21 11:33:24)
0307 chloe:匯款匯入US39896-37(手續費)</t>
        </r>
      </text>
    </comment>
    <comment ref="H4701" authorId="0" shapeId="0" xr:uid="{CE2B684A-B213-2A4A-B61E-05CE7987099B}">
      <text>
        <r>
          <rPr>
            <sz val="10"/>
            <color rgb="FF000000"/>
            <rFont val="Aptos Narrow"/>
            <scheme val="minor"/>
          </rPr>
          <t>======
ID#AAABjx7qRLo
    (2025-05-21 11:33:25)
0307 chloe:匯款匯入US39896-37(手續費)</t>
        </r>
      </text>
    </comment>
    <comment ref="G4702" authorId="0" shapeId="0" xr:uid="{A036E74B-380C-4E4B-A07D-D5DE4F1E95A7}">
      <text>
        <r>
          <rPr>
            <sz val="10"/>
            <color rgb="FF000000"/>
            <rFont val="Aptos Narrow"/>
            <scheme val="minor"/>
          </rPr>
          <t>======
ID#AAABjx7qS_E
    (2025-05-21 11:33:26)
190215 w/5% vat</t>
        </r>
      </text>
    </comment>
    <comment ref="H4702" authorId="0" shapeId="0" xr:uid="{D6E2FF4B-6026-814D-8509-A54C24C3D9EB}">
      <text>
        <r>
          <rPr>
            <sz val="10"/>
            <color rgb="FF000000"/>
            <rFont val="Aptos Narrow"/>
            <scheme val="minor"/>
          </rPr>
          <t>======
ID#AAABjx7qTZU
    (2025-05-21 11:33:26)
0227 chloe:匯款匯入NT48,676-30(手續費)</t>
        </r>
      </text>
    </comment>
    <comment ref="G4703" authorId="0" shapeId="0" xr:uid="{33634625-FF04-E843-BE3E-15D529D676AB}">
      <text>
        <r>
          <rPr>
            <sz val="10"/>
            <color rgb="FF000000"/>
            <rFont val="Aptos Narrow"/>
            <scheme val="minor"/>
          </rPr>
          <t>======
ID#AAABj82dpL4
    (2025-05-21 11:33:23)
190215 w/5% vat</t>
        </r>
      </text>
    </comment>
    <comment ref="H4703" authorId="0" shapeId="0" xr:uid="{0620EB88-EA6E-794E-BBE2-4B221E58FEFB}">
      <text>
        <r>
          <rPr>
            <sz val="10"/>
            <color rgb="FF000000"/>
            <rFont val="Aptos Narrow"/>
            <scheme val="minor"/>
          </rPr>
          <t>======
ID#AAABjx7qPnw
    (2025-05-21 11:33:24)
0227 chloe:匯款匯入NT48,676-30(手續費)</t>
        </r>
      </text>
    </comment>
    <comment ref="H4704" authorId="0" shapeId="0" xr:uid="{8851381B-FB4E-374D-8346-E61E7A96423C}">
      <text>
        <r>
          <rPr>
            <sz val="10"/>
            <color rgb="FF000000"/>
            <rFont val="Aptos Narrow"/>
            <scheme val="minor"/>
          </rPr>
          <t>======
ID#AAABjx7qSTU
    (2025-05-21 11:33:26)
ALICE:5/3收到USD12965.5(沖PI-20190121B.PI20190217A.PI-20190131C.PI-20190313A.PI-20190306A)</t>
        </r>
      </text>
    </comment>
    <comment ref="H4705" authorId="0" shapeId="0" xr:uid="{A46E14F4-5FA9-2C44-A25F-B02D284D4711}">
      <text>
        <r>
          <rPr>
            <sz val="10"/>
            <color rgb="FF000000"/>
            <rFont val="Aptos Narrow"/>
            <scheme val="minor"/>
          </rPr>
          <t>======
ID#AAABjx7qN4c
    (2025-05-21 11:33:23)
0307 chloe:匯款匯入US39896-37(手續費)</t>
        </r>
      </text>
    </comment>
    <comment ref="H4706" authorId="0" shapeId="0" xr:uid="{99642EAA-2FD1-C04C-B5C4-9F774AFDDEAE}">
      <text>
        <r>
          <rPr>
            <sz val="10"/>
            <color rgb="FF000000"/>
            <rFont val="Aptos Narrow"/>
            <scheme val="minor"/>
          </rPr>
          <t>======
ID#AAABjx7qPmI
    (2025-05-21 11:33:24)
0327 chloe:匯款匯入US$4165-20(手續費)</t>
        </r>
      </text>
    </comment>
    <comment ref="H4707" authorId="0" shapeId="0" xr:uid="{F78242FE-EF22-7B44-885B-3E927FBF9C37}">
      <text>
        <r>
          <rPr>
            <sz val="10"/>
            <color rgb="FF000000"/>
            <rFont val="Aptos Narrow"/>
            <scheme val="minor"/>
          </rPr>
          <t>======
ID#AAABjx7qTrY
    (2025-05-21 11:33:26)
0327 chloe:匯款匯入US$4165-20(手續費)</t>
        </r>
      </text>
    </comment>
    <comment ref="H4708" authorId="0" shapeId="0" xr:uid="{86322BBA-0686-5A4F-B078-C0007C50AA25}">
      <text>
        <r>
          <rPr>
            <sz val="10"/>
            <color rgb="FF000000"/>
            <rFont val="Aptos Narrow"/>
            <scheme val="minor"/>
          </rPr>
          <t>======
ID#AAABjx7qVsk
    (2025-05-21 11:33:27)
0327 chloe:匯款匯入US$4165-20(手續費)</t>
        </r>
      </text>
    </comment>
    <comment ref="H4709" authorId="0" shapeId="0" xr:uid="{225CD751-D21C-2940-A277-327ED195F51C}">
      <text>
        <r>
          <rPr>
            <sz val="10"/>
            <color rgb="FF000000"/>
            <rFont val="Aptos Narrow"/>
            <scheme val="minor"/>
          </rPr>
          <t>======
ID#AAABjx7qP1o
    (2025-05-21 11:33:24)
0322 chloe:匯入US8750</t>
        </r>
      </text>
    </comment>
    <comment ref="H4710" authorId="0" shapeId="0" xr:uid="{91E067D3-3DCA-8443-AE9E-C5D00B5901E4}">
      <text>
        <r>
          <rPr>
            <sz val="10"/>
            <color rgb="FF000000"/>
            <rFont val="Aptos Narrow"/>
            <scheme val="minor"/>
          </rPr>
          <t>======
ID#AAABjx7qWHo
    (2025-05-21 11:33:27)
0322 chloe:匯入US8750</t>
        </r>
      </text>
    </comment>
    <comment ref="H4711" authorId="0" shapeId="0" xr:uid="{FBC645F4-CFA8-9043-B4DB-6191523E16E8}">
      <text>
        <r>
          <rPr>
            <sz val="10"/>
            <color rgb="FF000000"/>
            <rFont val="Aptos Narrow"/>
            <scheme val="minor"/>
          </rPr>
          <t>======
ID#AAABjx7qSJg
    (2025-05-21 11:33:26)
0322 chloe:匯入US8750</t>
        </r>
      </text>
    </comment>
    <comment ref="D4712" authorId="0" shapeId="0" xr:uid="{3F501804-54F0-8747-910C-E83F275BF0CC}">
      <text>
        <r>
          <rPr>
            <sz val="10"/>
            <color rgb="FF000000"/>
            <rFont val="Aptos Narrow"/>
            <scheme val="minor"/>
          </rPr>
          <t>======
ID#AAABjx7qV0I
    (2025-05-21 11:33:27)
190109 Tammy: 抽驗即可, 謝謝</t>
        </r>
      </text>
    </comment>
    <comment ref="H4712" authorId="0" shapeId="0" xr:uid="{250DC9FF-57D9-9541-99F5-8DCD0D27E985}">
      <text>
        <r>
          <rPr>
            <sz val="10"/>
            <color rgb="FF000000"/>
            <rFont val="Aptos Narrow"/>
            <scheme val="minor"/>
          </rPr>
          <t>======
ID#AAABjx7qUxg
    (2025-05-21 11:33:26)
0322 chloe:匯入US8750</t>
        </r>
      </text>
    </comment>
    <comment ref="G4713" authorId="0" shapeId="0" xr:uid="{F621264D-0992-AF4B-9FA2-77AAE5800968}">
      <text>
        <r>
          <rPr>
            <sz val="10"/>
            <color rgb="FF000000"/>
            <rFont val="Aptos Narrow"/>
            <scheme val="minor"/>
          </rPr>
          <t>======
ID#AAABjx7qVJE
    (2025-05-21 11:33:27)
180828 w/ vat 5%</t>
        </r>
      </text>
    </comment>
    <comment ref="H4713" authorId="0" shapeId="0" xr:uid="{D5644D42-79EB-F440-8D1C-113BBDF73AB9}">
      <text>
        <r>
          <rPr>
            <sz val="10"/>
            <color rgb="FF000000"/>
            <rFont val="Aptos Narrow"/>
            <scheme val="minor"/>
          </rPr>
          <t>======
ID#AAABjx7qQ5Y
    (2025-05-21 11:33:25)
0312 chloe
扣除 PO20190211001 貨款
43384 -10071(此單金額)=33313(戎克尚欠)</t>
        </r>
      </text>
    </comment>
    <comment ref="H4714" authorId="0" shapeId="0" xr:uid="{5F716763-52A7-7C4D-8347-DAFC0CFDCEF1}">
      <text>
        <r>
          <rPr>
            <sz val="10"/>
            <color rgb="FF000000"/>
            <rFont val="Aptos Narrow"/>
            <scheme val="minor"/>
          </rPr>
          <t>======
ID#AAABjx7qWNE
    (2025-05-21 11:33:27)
0327 chloe:匯款匯入US$4165-20(手續費)</t>
        </r>
      </text>
    </comment>
    <comment ref="H4715" authorId="0" shapeId="0" xr:uid="{63B22346-7073-0540-9B6C-1CEA92E55268}">
      <text>
        <r>
          <rPr>
            <sz val="10"/>
            <color rgb="FF000000"/>
            <rFont val="Aptos Narrow"/>
            <scheme val="minor"/>
          </rPr>
          <t>======
ID#AAABjx7qQR0
    (2025-05-21 11:33:25)
0419 chloe: 20190415 收到162,635-30(手續費)</t>
        </r>
      </text>
    </comment>
    <comment ref="H4716" authorId="0" shapeId="0" xr:uid="{50D7E652-65C6-9F45-938E-CEC02F80E448}">
      <text>
        <r>
          <rPr>
            <sz val="10"/>
            <color rgb="FF000000"/>
            <rFont val="Aptos Narrow"/>
            <scheme val="minor"/>
          </rPr>
          <t>======
ID#AAABjx7qPpc
    (2025-05-21 11:33:24)
0419 chloe: 20190415 收到162,635-30(手續費)</t>
        </r>
      </text>
    </comment>
    <comment ref="D4717" authorId="0" shapeId="0" xr:uid="{626C60C2-074C-854E-8C77-23EECFE69E57}">
      <text>
        <r>
          <rPr>
            <sz val="10"/>
            <color rgb="FF000000"/>
            <rFont val="Aptos Narrow"/>
            <scheme val="minor"/>
          </rPr>
          <t>======
ID#AAABjx7qSio
    (2025-05-21 11:33:26)
0212 San: 毛利太低, 不用再換標籤</t>
        </r>
      </text>
    </comment>
    <comment ref="H4717" authorId="0" shapeId="0" xr:uid="{CB9C7056-0BF6-1F49-AD91-45BEE8DECA36}">
      <text>
        <r>
          <rPr>
            <sz val="10"/>
            <color rgb="FF000000"/>
            <rFont val="Aptos Narrow"/>
            <scheme val="minor"/>
          </rPr>
          <t>======
ID#AAABjx7qP4M
    (2025-05-21 11:33:24)
0328 chloe:收到支票 NT133576
待4/1解款
0403 chloe 解款</t>
        </r>
      </text>
    </comment>
    <comment ref="H4718" authorId="0" shapeId="0" xr:uid="{D5083EB5-81B8-FA43-9DE2-EEFDAD6D83CF}">
      <text>
        <r>
          <rPr>
            <sz val="10"/>
            <color rgb="FF000000"/>
            <rFont val="Aptos Narrow"/>
            <scheme val="minor"/>
          </rPr>
          <t>======
ID#AAABjx7qNOw
    (2025-05-21 11:33:23)
0327 chloe:匯款匯入US4578-6.51(手續費)</t>
        </r>
      </text>
    </comment>
    <comment ref="K4718" authorId="0" shapeId="0" xr:uid="{7339D9E1-F24D-DC43-9ED8-FA7178BA02F7}">
      <text>
        <r>
          <rPr>
            <sz val="10"/>
            <color rgb="FF000000"/>
            <rFont val="Aptos Narrow"/>
            <scheme val="minor"/>
          </rPr>
          <t>======
ID#AAABjx7qVyQ
    (2025-05-21 11:33:27)
0212 San: 用DHL箱子把2個貨箱放成一個箱子</t>
        </r>
      </text>
    </comment>
    <comment ref="H4719" authorId="0" shapeId="0" xr:uid="{0761E715-85A5-3E4D-AB3B-8A7EC404255E}">
      <text>
        <r>
          <rPr>
            <sz val="10"/>
            <color rgb="FF000000"/>
            <rFont val="Aptos Narrow"/>
            <scheme val="minor"/>
          </rPr>
          <t>======
ID#AAABjx7qOV8
    (2025-05-21 11:33:24)
0327 chloe:匯款匯入US4578-6.51(手續費)</t>
        </r>
      </text>
    </comment>
    <comment ref="K4719" authorId="0" shapeId="0" xr:uid="{96B85869-8B8B-E54E-95F9-FC23F10EFAEF}">
      <text>
        <r>
          <rPr>
            <sz val="10"/>
            <color rgb="FF000000"/>
            <rFont val="Aptos Narrow"/>
            <scheme val="minor"/>
          </rPr>
          <t>======
ID#AAABjx7qMww
    (2025-05-21 11:33:23)
0212 San: 用DHL箱子把2個貨箱放成一個箱子</t>
        </r>
      </text>
    </comment>
    <comment ref="H4720" authorId="0" shapeId="0" xr:uid="{1FBEB3C3-76C7-3F46-A671-9E2836189E44}">
      <text>
        <r>
          <rPr>
            <sz val="10"/>
            <color rgb="FF000000"/>
            <rFont val="Aptos Narrow"/>
            <scheme val="minor"/>
          </rPr>
          <t>======
ID#AAABjx7qVRU
    (2025-05-21 11:33:27)
0327 chloe:匯款匯入US4578-6.51(手續費)</t>
        </r>
      </text>
    </comment>
    <comment ref="K4720" authorId="0" shapeId="0" xr:uid="{E790FCC7-BBE9-094D-BFA5-66C4E426A040}">
      <text>
        <r>
          <rPr>
            <sz val="10"/>
            <color rgb="FF000000"/>
            <rFont val="Aptos Narrow"/>
            <scheme val="minor"/>
          </rPr>
          <t>======
ID#AAABjx7qOIQ
    (2025-05-21 11:33:24)
0212 San: 用DHL箱子把2個貨箱放成一個箱子</t>
        </r>
      </text>
    </comment>
    <comment ref="H4721" authorId="0" shapeId="0" xr:uid="{E1320C8C-9964-C049-8C61-646027CADD95}">
      <text>
        <r>
          <rPr>
            <sz val="10"/>
            <color rgb="FF000000"/>
            <rFont val="Aptos Narrow"/>
            <scheme val="minor"/>
          </rPr>
          <t>======
ID#AAABjx7qRCM
    (2025-05-21 11:33:25)
0327 chloe:匯款匯入US4578-6.51(手續費)</t>
        </r>
      </text>
    </comment>
    <comment ref="K4721" authorId="0" shapeId="0" xr:uid="{A2AE84A2-4314-844F-8269-79ABD416D19A}">
      <text>
        <r>
          <rPr>
            <sz val="10"/>
            <color rgb="FF000000"/>
            <rFont val="Aptos Narrow"/>
            <scheme val="minor"/>
          </rPr>
          <t>======
ID#AAABjx7qPHk
    (2025-05-21 11:33:24)
0318 san: 出貨前檢查 (bank/eric/san）
0321 amy: 請注意出貨地Denmark及包裝protection ( plastic bag inside &amp; outer carton/film well packed)</t>
        </r>
      </text>
    </comment>
    <comment ref="AH4721" authorId="0" shapeId="0" xr:uid="{F0345D48-87FE-D04F-A180-C8623FFBB428}">
      <text>
        <r>
          <rPr>
            <sz val="10"/>
            <color rgb="FF000000"/>
            <rFont val="Aptos Narrow"/>
            <scheme val="minor"/>
          </rPr>
          <t>======
ID#AAABjx7qSXA
alice    (2025-05-21 11:33:26)
出口報單報關日期108/03/26-CG//08/376/2Y449報單金額USD5053*30.825=155759</t>
        </r>
      </text>
    </comment>
    <comment ref="A4722" authorId="0" shapeId="0" xr:uid="{998E10CE-DFF8-214F-B378-3C32DC02ECA6}">
      <text>
        <r>
          <rPr>
            <sz val="10"/>
            <color rgb="FF000000"/>
            <rFont val="Aptos Narrow"/>
            <scheme val="minor"/>
          </rPr>
          <t>======
ID#AAABjx7qSJE
    (2025-05-21 11:33:26)
3/22 Amy: line disappear, add it on 3/22</t>
        </r>
      </text>
    </comment>
    <comment ref="H4722" authorId="0" shapeId="0" xr:uid="{9E7092D7-4898-AA4D-B097-885E079EAF5B}">
      <text>
        <r>
          <rPr>
            <sz val="10"/>
            <color rgb="FF000000"/>
            <rFont val="Aptos Narrow"/>
            <scheme val="minor"/>
          </rPr>
          <t>======
ID#AAABjx7qU5Q
    (2025-05-21 11:33:26)
0327 chloe:匯款匯入US4578-6.51(手續費)</t>
        </r>
      </text>
    </comment>
    <comment ref="K4722" authorId="0" shapeId="0" xr:uid="{D6FC0856-21D5-F64D-970B-DD3B74865FB9}">
      <text>
        <r>
          <rPr>
            <sz val="10"/>
            <color rgb="FF000000"/>
            <rFont val="Aptos Narrow"/>
            <scheme val="minor"/>
          </rPr>
          <t>======
ID#AAABjx7qU8I
    (2025-05-21 11:33:27)
0212 San: 用DHL箱子把2個貨箱放成一個箱子</t>
        </r>
      </text>
    </comment>
    <comment ref="H4723" authorId="0" shapeId="0" xr:uid="{24EADCC4-2959-C24B-9F5D-20DB41329B7E}">
      <text>
        <r>
          <rPr>
            <sz val="10"/>
            <color rgb="FF000000"/>
            <rFont val="Aptos Narrow"/>
            <scheme val="minor"/>
          </rPr>
          <t>======
ID#AAABjx7qR3Q
    (2025-05-21 11:33:25)
alice:2019/04/25水單通知匯入USD1931*30.86=NT59591元整  無手續費 沖(125+1400+14+42+350)</t>
        </r>
      </text>
    </comment>
    <comment ref="H4728" authorId="0" shapeId="0" xr:uid="{C5375AC3-EE3C-E348-9265-934377061247}">
      <text>
        <r>
          <rPr>
            <sz val="10"/>
            <color rgb="FF000000"/>
            <rFont val="Aptos Narrow"/>
            <scheme val="minor"/>
          </rPr>
          <t>======
ID#AAABjx7qTKM
    (2025-05-21 11:33:26)
alice:2019/04/25水單通知匯入USD1931*30.86=NT59591元整  無手續費 沖(125+1400+14+42+350)</t>
        </r>
      </text>
    </comment>
    <comment ref="Z4728" authorId="0" shapeId="0" xr:uid="{C3DFAD91-2969-F348-8378-66D77CDCAD35}">
      <text>
        <r>
          <rPr>
            <sz val="10"/>
            <color rgb="FF000000"/>
            <rFont val="Aptos Narrow"/>
            <scheme val="minor"/>
          </rPr>
          <t>======
ID#AAABjx7qSmo
    (2025-05-21 11:33:26)
0311 chloe:含PO20190124B</t>
        </r>
      </text>
    </comment>
    <comment ref="H4729" authorId="0" shapeId="0" xr:uid="{38A8E0C9-25D4-E847-BE70-B5C12D5373AA}">
      <text>
        <r>
          <rPr>
            <sz val="10"/>
            <color rgb="FF000000"/>
            <rFont val="Aptos Narrow"/>
            <scheme val="minor"/>
          </rPr>
          <t>======
ID#AAABjx7qQKw
    (2025-05-21 11:33:25)
alice:2019/04/25水單通知匯入USD1931*30.86=NT59591元整  無手續費 沖(125+1400+14+42+350)</t>
        </r>
      </text>
    </comment>
    <comment ref="Z4729" authorId="0" shapeId="0" xr:uid="{608DB2DC-C976-0044-8A35-33BFD557B315}">
      <text>
        <r>
          <rPr>
            <sz val="10"/>
            <color rgb="FF000000"/>
            <rFont val="Aptos Narrow"/>
            <scheme val="minor"/>
          </rPr>
          <t>======
ID#AAABjx7qRiE
    (2025-05-21 11:33:25)
0311 chloe:含PO20190124B</t>
        </r>
      </text>
    </comment>
    <comment ref="E4730" authorId="0" shapeId="0" xr:uid="{6546D63B-EF19-E248-8524-9059AFD77499}">
      <text>
        <r>
          <rPr>
            <sz val="10"/>
            <color rgb="FF000000"/>
            <rFont val="Aptos Narrow"/>
            <scheme val="minor"/>
          </rPr>
          <t>======
ID#AAABjx7qUyk
    (2025-05-21 11:33:26)
0313 chloe: 戎克備有庫存，見半成品庫存表</t>
        </r>
      </text>
    </comment>
    <comment ref="Z4730" authorId="0" shapeId="0" xr:uid="{E93FC76B-F091-0146-9F56-F0B8E9AC0189}">
      <text>
        <r>
          <rPr>
            <sz val="10"/>
            <color rgb="FF000000"/>
            <rFont val="Aptos Narrow"/>
            <scheme val="minor"/>
          </rPr>
          <t>======
ID#AAABjx7qMqM
    (2025-05-21 11:33:23)
0311 chloe:含PO20190124B</t>
        </r>
      </text>
    </comment>
    <comment ref="H4731" authorId="0" shapeId="0" xr:uid="{C325B3B9-218C-A94C-88C6-1DE89DDCD20C}">
      <text>
        <r>
          <rPr>
            <sz val="10"/>
            <color rgb="FF000000"/>
            <rFont val="Aptos Narrow"/>
            <scheme val="minor"/>
          </rPr>
          <t>======
ID#AAABjx7qRR4
    (2025-05-21 11:33:25)
ALICE:5/3收到USD12965.5(沖PI-20190121B.PI20190217A.PI-20190131C.PI-20190313A.PI-20190306A)</t>
        </r>
      </text>
    </comment>
    <comment ref="H4732" authorId="0" shapeId="0" xr:uid="{5CEB6849-BF85-0746-8E7A-D5DBA03ED65C}">
      <text>
        <r>
          <rPr>
            <sz val="10"/>
            <color rgb="FF000000"/>
            <rFont val="Aptos Narrow"/>
            <scheme val="minor"/>
          </rPr>
          <t>======
ID#AAABj82dpNs
    (2025-05-21 11:33:23)
ALICE:5/3收到USD12965.5(沖PI-20190121B.PI20190217A.PI-20190131C.PI-20190313A.PI-20190306A)</t>
        </r>
      </text>
    </comment>
    <comment ref="H4733" authorId="0" shapeId="0" xr:uid="{E0E16B20-3C28-444B-B350-C9FD0F79380B}">
      <text>
        <r>
          <rPr>
            <sz val="10"/>
            <color rgb="FF000000"/>
            <rFont val="Aptos Narrow"/>
            <scheme val="minor"/>
          </rPr>
          <t>======
ID#AAABjx7qRfE
    (2025-05-21 11:33:25)
ALICE:5/3收到USD12965.5(沖PI-20190121B.PI20190217A.PI-20190131C.PI-20190313A.PI-20190306A)</t>
        </r>
      </text>
    </comment>
    <comment ref="E4734" authorId="0" shapeId="0" xr:uid="{70A0F4F0-0225-1742-AAF8-6D2FFD46DE62}">
      <text>
        <r>
          <rPr>
            <sz val="10"/>
            <color rgb="FF000000"/>
            <rFont val="Aptos Narrow"/>
            <scheme val="minor"/>
          </rPr>
          <t>======
ID#AAABjx7qVS8
    (2025-05-21 11:33:27)
自製品SSD-TS32GSSD420K ，戎克料號:14-TS0-SDMN032-001A</t>
        </r>
      </text>
    </comment>
    <comment ref="H4734" authorId="0" shapeId="0" xr:uid="{37DD16C1-FB9C-1A43-9D49-4C2C0C400F42}">
      <text>
        <r>
          <rPr>
            <sz val="10"/>
            <color rgb="FF000000"/>
            <rFont val="Aptos Narrow"/>
            <scheme val="minor"/>
          </rPr>
          <t>======
ID#AAABjx7qQ9c
    (2025-05-21 11:33:25)
ALICE:5/16-銀行水單通知USD5169(沖PO0131D-1 4285.PI-0320-B 175.PI-4/8-A 709)共三筆</t>
        </r>
      </text>
    </comment>
    <comment ref="E4735" authorId="0" shapeId="0" xr:uid="{8F3D0855-CFD1-314A-A83D-DCDC95C98631}">
      <text>
        <r>
          <rPr>
            <sz val="10"/>
            <color rgb="FF000000"/>
            <rFont val="Aptos Narrow"/>
            <scheme val="minor"/>
          </rPr>
          <t>======
ID#AAABjx7qMqo
    (2025-05-21 11:33:23)
自製品DRAM-TS512MSK64W6H戎克料號13-TS0-D30N004-001A</t>
        </r>
      </text>
    </comment>
    <comment ref="H4735" authorId="0" shapeId="0" xr:uid="{E3417085-025E-3646-AD83-62A7DD477551}">
      <text>
        <r>
          <rPr>
            <sz val="10"/>
            <color rgb="FF000000"/>
            <rFont val="Aptos Narrow"/>
            <scheme val="minor"/>
          </rPr>
          <t>======
ID#AAABjx7qWbI
    (2025-05-21 11:33:27)
ALICE:5/16-銀行水單通知USD5169(沖PO0131D-1 4285.PI-0320-B 175.PI-4/8-A 709)共三筆</t>
        </r>
      </text>
    </comment>
    <comment ref="H4736" authorId="0" shapeId="0" xr:uid="{96209B80-1463-604C-888A-BAEC45440592}">
      <text>
        <r>
          <rPr>
            <sz val="10"/>
            <color rgb="FF000000"/>
            <rFont val="Aptos Narrow"/>
            <scheme val="minor"/>
          </rPr>
          <t>======
ID#AAABjx7qN3E
    (2025-05-21 11:33:23)
ALICE:5/16-銀行水單通知USD5169(沖PO0131D-1 4285.PI-0320-B 175.PI-4/8-A 709)共三筆</t>
        </r>
      </text>
    </comment>
    <comment ref="E4737" authorId="0" shapeId="0" xr:uid="{48F9F373-B6C5-8449-9888-DFDC5EE0489C}">
      <text>
        <r>
          <rPr>
            <sz val="10"/>
            <color rgb="FF000000"/>
            <rFont val="Aptos Narrow"/>
            <scheme val="minor"/>
          </rPr>
          <t>======
ID#AAABjx7qQFk
    (2025-05-21 11:33:25)
自製品TS32GSSD420K ，戎克料號:14-TS0-SDMN032-001A</t>
        </r>
      </text>
    </comment>
    <comment ref="H4737" authorId="0" shapeId="0" xr:uid="{D1C8DC9B-1D9A-1A45-8CBB-AB58BBED7615}">
      <text>
        <r>
          <rPr>
            <sz val="10"/>
            <color rgb="FF000000"/>
            <rFont val="Aptos Narrow"/>
            <scheme val="minor"/>
          </rPr>
          <t>======
ID#AAABjx7qP7E
    (2025-05-21 11:33:24)
ALICE:6/5水單通知USD11998沖PI-20190131D-2</t>
        </r>
      </text>
    </comment>
    <comment ref="E4738" authorId="0" shapeId="0" xr:uid="{E08C5CF1-4A57-1B42-9FD3-C71FB949C275}">
      <text>
        <r>
          <rPr>
            <sz val="10"/>
            <color rgb="FF000000"/>
            <rFont val="Aptos Narrow"/>
            <scheme val="minor"/>
          </rPr>
          <t>======
ID#AAABjx7qTMQ
    (2025-05-21 11:33:26)
自製品DRAM-TS512MSK64W6H戎克料號13-TS0-D30N004-001A</t>
        </r>
      </text>
    </comment>
    <comment ref="H4738" authorId="0" shapeId="0" xr:uid="{7CCF8DB5-D5C9-4E4C-905F-9641EE592641}">
      <text>
        <r>
          <rPr>
            <sz val="10"/>
            <color rgb="FF000000"/>
            <rFont val="Aptos Narrow"/>
            <scheme val="minor"/>
          </rPr>
          <t>======
ID#AAABjx7qQK0
    (2025-05-21 11:33:25)
ALICE:6/5水單通知USD11998沖PI-20190131D-2</t>
        </r>
      </text>
    </comment>
    <comment ref="E4739" authorId="0" shapeId="0" xr:uid="{A47A69B7-0FCF-BD44-A42E-580CAA0462E3}">
      <text>
        <r>
          <rPr>
            <sz val="10"/>
            <color rgb="FF000000"/>
            <rFont val="Aptos Narrow"/>
            <scheme val="minor"/>
          </rPr>
          <t>======
ID#AAABjx7qVtY
    (2025-05-21 11:33:27)
自製品TS32GSSD420K ，戎克料號:14-TS0-SDMN032-001A</t>
        </r>
      </text>
    </comment>
    <comment ref="H4739" authorId="0" shapeId="0" xr:uid="{1165CABF-3441-6A4D-97EA-FBEC5FF91046}">
      <text>
        <r>
          <rPr>
            <sz val="10"/>
            <color rgb="FF000000"/>
            <rFont val="Aptos Narrow"/>
            <scheme val="minor"/>
          </rPr>
          <t>======
ID#AAABjx7qRq8
    (2025-05-21 11:33:25)
alice:7/31-水單匯入USD2124沖PI-20190131D-2 857.沖PI-20190610A 565.沖PI-20190607A 444.沖PI-20190612A 258</t>
        </r>
      </text>
    </comment>
    <comment ref="E4740" authorId="0" shapeId="0" xr:uid="{38C8C98F-E5D0-784F-B5E1-225DA9421D5D}">
      <text>
        <r>
          <rPr>
            <sz val="10"/>
            <color rgb="FF000000"/>
            <rFont val="Aptos Narrow"/>
            <scheme val="minor"/>
          </rPr>
          <t>======
ID#AAABjx7qOlY
    (2025-05-21 11:33:24)
自製品DRAM-TS512MSK64W6H戎克料號13-TS0-D30N004-001A</t>
        </r>
      </text>
    </comment>
    <comment ref="H4740" authorId="0" shapeId="0" xr:uid="{05E5AF68-7989-F546-913C-7BDC9EA80CA6}">
      <text>
        <r>
          <rPr>
            <sz val="10"/>
            <color rgb="FF000000"/>
            <rFont val="Aptos Narrow"/>
            <scheme val="minor"/>
          </rPr>
          <t>======
ID#AAABjx7qSw0
    (2025-05-21 11:33:26)
alice:7/31-水單匯入USD2124沖PI-20190131D-2 857.沖PI-20190610A 565.沖PI-20190607A 444.沖PI-20190612A 258</t>
        </r>
      </text>
    </comment>
    <comment ref="H4741" authorId="0" shapeId="0" xr:uid="{CF4D3A98-F619-324A-92EE-4B13FF44F398}">
      <text>
        <r>
          <rPr>
            <sz val="10"/>
            <color rgb="FF000000"/>
            <rFont val="Aptos Narrow"/>
            <scheme val="minor"/>
          </rPr>
          <t>======
ID#AAABjx7qRhg
    (2025-05-21 11:33:25)
ALICE:6/5水單通知USD11998沖PI-20190131D-2</t>
        </r>
      </text>
    </comment>
    <comment ref="H4742" authorId="0" shapeId="0" xr:uid="{B787D32C-6592-B64D-963B-11D6D7C35D9F}">
      <text>
        <r>
          <rPr>
            <sz val="10"/>
            <color rgb="FF000000"/>
            <rFont val="Aptos Narrow"/>
            <scheme val="minor"/>
          </rPr>
          <t>======
ID#AAABjx7qRs4
    (2025-05-21 11:33:25)
alice:7/31-水單匯入USD2124沖PI-20190131D-2 857.沖PI-20190610A 565.沖PI-20190607A 444.沖PI-20190612A 258</t>
        </r>
      </text>
    </comment>
    <comment ref="E4743" authorId="0" shapeId="0" xr:uid="{4CFD4B23-69E1-1E4A-85E8-E6DD0BC6A030}">
      <text>
        <r>
          <rPr>
            <sz val="10"/>
            <color rgb="FF000000"/>
            <rFont val="Aptos Narrow"/>
            <scheme val="minor"/>
          </rPr>
          <t>======
ID#AAABjx7qRlU
    (2025-05-21 11:33:25)
自製品TS32GSSD420K ，戎克料號:14-TS0-SDMN032-001A</t>
        </r>
      </text>
    </comment>
    <comment ref="H4743" authorId="0" shapeId="0" xr:uid="{91F66A4E-9998-594F-ABB2-FC7E0B90C0F6}">
      <text>
        <r>
          <rPr>
            <sz val="10"/>
            <color rgb="FF000000"/>
            <rFont val="Aptos Narrow"/>
            <scheme val="minor"/>
          </rPr>
          <t>======
ID#AAABjx7qSGY
    (2025-05-21 11:33:26)
0327 chloe:匯款匯入US$21425-20(手續費)</t>
        </r>
      </text>
    </comment>
    <comment ref="E4744" authorId="0" shapeId="0" xr:uid="{935E84EA-D7B4-7848-A5D6-A230015517BB}">
      <text>
        <r>
          <rPr>
            <sz val="10"/>
            <color rgb="FF000000"/>
            <rFont val="Aptos Narrow"/>
            <scheme val="minor"/>
          </rPr>
          <t>======
ID#AAABjx7qOkE
    (2025-05-21 11:33:24)
自製品DRAM-TS512MSK64W6H戎克料號13-TS0-D30N004-001A</t>
        </r>
      </text>
    </comment>
    <comment ref="H4744" authorId="0" shapeId="0" xr:uid="{F19CF227-65D8-C543-9935-6DA5B3B6BE53}">
      <text>
        <r>
          <rPr>
            <sz val="10"/>
            <color rgb="FF000000"/>
            <rFont val="Aptos Narrow"/>
            <scheme val="minor"/>
          </rPr>
          <t>======
ID#AAABjx7qQ3A
    (2025-05-21 11:33:25)
0327 chloe:匯款匯入US$21425-20(手續費)</t>
        </r>
      </text>
    </comment>
    <comment ref="H4745" authorId="0" shapeId="0" xr:uid="{C4696BA3-7F43-4546-AC11-289655FED08C}">
      <text>
        <r>
          <rPr>
            <sz val="10"/>
            <color rgb="FF000000"/>
            <rFont val="Aptos Narrow"/>
            <scheme val="minor"/>
          </rPr>
          <t>======
ID#AAABjx7qMrM
    (2025-05-21 11:33:23)
0327 chloe:匯款匯入US$21425-20(手續費)</t>
        </r>
      </text>
    </comment>
    <comment ref="H4746" authorId="0" shapeId="0" xr:uid="{1CC0C8BE-620E-1E44-9DCE-3E743D5BFD15}">
      <text>
        <r>
          <rPr>
            <sz val="10"/>
            <color rgb="FF000000"/>
            <rFont val="Aptos Narrow"/>
            <scheme val="minor"/>
          </rPr>
          <t>======
ID#AAABjx7qPxY
    (2025-05-21 11:33:24)
alice:2019/04/03-收到水單匯入USD765*30.78</t>
        </r>
      </text>
    </comment>
    <comment ref="K4746" authorId="0" shapeId="0" xr:uid="{5F125577-D9F7-E544-9A87-073F0468EE16}">
      <text>
        <r>
          <rPr>
            <sz val="10"/>
            <color rgb="FF000000"/>
            <rFont val="Aptos Narrow"/>
            <scheme val="minor"/>
          </rPr>
          <t>======
ID#AAABjx7qNWk
    (2025-05-21 11:33:23)
0402 San 告知先放貨，貨款後追</t>
        </r>
      </text>
    </comment>
    <comment ref="E4747" authorId="0" shapeId="0" xr:uid="{4A542F99-7243-1F45-9BC9-969C4259E6F8}">
      <text>
        <r>
          <rPr>
            <sz val="10"/>
            <color rgb="FF000000"/>
            <rFont val="Aptos Narrow"/>
            <scheme val="minor"/>
          </rPr>
          <t>======
ID#AAABjx7qWQQ
0214 Santiago    (2025-05-21 11:33:27)
-&gt; 待客戶將 7' LCD (AA070ME01)寄來後， 寄曦立光電做貼合</t>
        </r>
      </text>
    </comment>
    <comment ref="H4747" authorId="0" shapeId="0" xr:uid="{D391165E-B261-4B4B-80BB-B1BBF34AF73F}">
      <text>
        <r>
          <rPr>
            <sz val="10"/>
            <color rgb="FF000000"/>
            <rFont val="Aptos Narrow"/>
            <scheme val="minor"/>
          </rPr>
          <t>======
ID#AAABjx7qRXs
    (2025-05-21 11:33:25)
Alice:2019/05/08水單匯入USD12400-匯款手續費(10+6.47)*30.9=NT382,651</t>
        </r>
      </text>
    </comment>
    <comment ref="AK4747" authorId="0" shapeId="0" xr:uid="{AF8B87FB-FC2A-AE40-BB02-0DFA63503061}">
      <text>
        <r>
          <rPr>
            <sz val="10"/>
            <color rgb="FF000000"/>
            <rFont val="Aptos Narrow"/>
            <scheme val="minor"/>
          </rPr>
          <t>======
ID#AAABjx7qS4U
    (2025-05-21 11:33:26)
Alice:2019/05/08水單匯入USD12400-匯款手續費(10+6.47)*30.9=NT382,651</t>
        </r>
      </text>
    </comment>
    <comment ref="AL4747" authorId="0" shapeId="0" xr:uid="{102C52A5-B28A-F04B-A49B-84B94AA7386D}">
      <text>
        <r>
          <rPr>
            <sz val="10"/>
            <color rgb="FF000000"/>
            <rFont val="Aptos Narrow"/>
            <scheme val="minor"/>
          </rPr>
          <t>======
ID#AAABjx7qTCk
    (2025-05-21 11:33:26)
Alice:2019/05/08水單匯入USD12400-匯款手續費(10+6.47)*30.9=NT382,651</t>
        </r>
      </text>
    </comment>
    <comment ref="E4748" authorId="0" shapeId="0" xr:uid="{C89DD365-A077-B746-A920-7F0A043FC317}">
      <text>
        <r>
          <rPr>
            <sz val="10"/>
            <color rgb="FF000000"/>
            <rFont val="Aptos Narrow"/>
            <scheme val="minor"/>
          </rPr>
          <t>======
ID#AAABjx7qSXY
    (2025-05-21 11:33:26)
20190214
 Santiago:
-&gt; 待客戶將 7' LCD (AA070ME01)寄來後， 寄曦立光電做貼合</t>
        </r>
      </text>
    </comment>
    <comment ref="H4748" authorId="0" shapeId="0" xr:uid="{EB4BC0C8-5944-DB46-A189-4115CDD9E79F}">
      <text>
        <r>
          <rPr>
            <sz val="10"/>
            <color rgb="FF000000"/>
            <rFont val="Aptos Narrow"/>
            <scheme val="minor"/>
          </rPr>
          <t>======
ID#AAABjx7qNnc
    (2025-05-21 11:33:23)
Alice:2019/05/08水單匯入USD12400-匯款手續費(10+6.47)*30.9=NT382,651</t>
        </r>
      </text>
    </comment>
    <comment ref="AK4748" authorId="0" shapeId="0" xr:uid="{98F3699F-CF6C-3C41-A692-CDAE614132BA}">
      <text>
        <r>
          <rPr>
            <sz val="10"/>
            <color rgb="FF000000"/>
            <rFont val="Aptos Narrow"/>
            <scheme val="minor"/>
          </rPr>
          <t>======
ID#AAABjx7qRfw
    (2025-05-21 11:33:25)
Alice:2019/05/08水單匯入USD12400-匯款手續費(10+6.47)*30.9=NT382,651</t>
        </r>
      </text>
    </comment>
    <comment ref="AL4748" authorId="0" shapeId="0" xr:uid="{9C770C9C-112F-AE43-BDBF-CFA11B883E07}">
      <text>
        <r>
          <rPr>
            <sz val="10"/>
            <color rgb="FF000000"/>
            <rFont val="Aptos Narrow"/>
            <scheme val="minor"/>
          </rPr>
          <t>======
ID#AAABjx7qU3c
    (2025-05-21 11:33:26)
Alice:2019/05/08水單匯入USD12400-匯款手續費(10+6.47)*30.9=NT382,651</t>
        </r>
      </text>
    </comment>
    <comment ref="D4749" authorId="0" shapeId="0" xr:uid="{B2C4F31F-AEDE-0348-A1BB-810E88E5B542}">
      <text>
        <r>
          <rPr>
            <sz val="10"/>
            <color rgb="FF000000"/>
            <rFont val="Aptos Narrow"/>
            <scheme val="minor"/>
          </rPr>
          <t>======
ID#AAABjx7qSDQ
    (2025-05-21 11:33:25)
0127 San: 銷退貨用, 故單價先計算為0, 但給廠商的PO 仍然為US255 / 1 pcs</t>
        </r>
      </text>
    </comment>
    <comment ref="G4749" authorId="0" shapeId="0" xr:uid="{09A323D1-991D-0141-A7AD-521FD6000686}">
      <text>
        <r>
          <rPr>
            <sz val="10"/>
            <color rgb="FF000000"/>
            <rFont val="Aptos Narrow"/>
            <scheme val="minor"/>
          </rPr>
          <t>======
ID#AAABjx7qV48
    (2025-05-21 11:33:27)
0127 San: 銷退貨用, 故單價先計算為0, 但給廠商的PO 仍然為US255 / 1 pcs</t>
        </r>
      </text>
    </comment>
    <comment ref="H4750" authorId="0" shapeId="0" xr:uid="{74E9B5CF-9C9E-DD44-B864-11FAEB565DD9}">
      <text>
        <r>
          <rPr>
            <sz val="10"/>
            <color rgb="FF000000"/>
            <rFont val="Aptos Narrow"/>
            <scheme val="minor"/>
          </rPr>
          <t>======
ID#AAABjx7qPos
    (2025-05-21 11:33:24)
ALICE:5/3收到USD12965.5(沖PI-20190121B.PI20190217A.PI-20190131C.PI-20190313A.PI-20190306A)</t>
        </r>
      </text>
    </comment>
    <comment ref="H4751" authorId="0" shapeId="0" xr:uid="{5BC37074-3638-2947-814E-B0484313A9E9}">
      <text>
        <r>
          <rPr>
            <sz val="10"/>
            <color rgb="FF000000"/>
            <rFont val="Aptos Narrow"/>
            <scheme val="minor"/>
          </rPr>
          <t>======
ID#AAABjx7qRho
    (2025-05-21 11:33:25)
ALICE:5/3收到USD12965.5(沖PI-20190121B.PI20190217A.PI-20190131C.PI-20190313A.PI-20190306A)</t>
        </r>
      </text>
    </comment>
    <comment ref="H4752" authorId="0" shapeId="0" xr:uid="{11C9B7EE-E743-AB4D-B83C-92FC09F8E6C2}">
      <text>
        <r>
          <rPr>
            <sz val="10"/>
            <color rgb="FF000000"/>
            <rFont val="Aptos Narrow"/>
            <scheme val="minor"/>
          </rPr>
          <t>======
ID#AAABjx7qU-w
    (2025-05-21 11:33:27)
ALICE:5/3收到USD12965.5(沖PI-20190121B.PI20190217A.PI-20190131C.PI-20190313A.PI-20190306A)</t>
        </r>
      </text>
    </comment>
    <comment ref="H4753" authorId="0" shapeId="0" xr:uid="{CB719C3E-69D1-3D45-9709-A58FE8543C10}">
      <text>
        <r>
          <rPr>
            <sz val="10"/>
            <color rgb="FF000000"/>
            <rFont val="Aptos Narrow"/>
            <scheme val="minor"/>
          </rPr>
          <t>======
ID#AAABjx7qS9s
    (2025-05-21 11:33:26)
ALICE:5/3-電文USD16646(沖10450+4616+1580(4850中的1580))
ALICE:05/14電文通知USD16645沖(PI20190418C 金額總計15865+PI20190218A 4850中的(780)
ALICE:5/30-銀行電文通知usd15853沖PI-20190218A 4400,PI20190218A 8975,PI-20190218A 2478(4850中的2478)餘額12元沖轉手續費</t>
        </r>
      </text>
    </comment>
    <comment ref="K4753" authorId="0" shapeId="0" xr:uid="{1FCCF975-D426-A640-806D-807CA61246A8}">
      <text>
        <r>
          <rPr>
            <sz val="10"/>
            <color rgb="FF000000"/>
            <rFont val="Aptos Narrow"/>
            <scheme val="minor"/>
          </rPr>
          <t>======
ID#AAABj82dpM4
    (2025-05-21 11:33:23)
0401 santi 告知改4/8出貨</t>
        </r>
      </text>
    </comment>
    <comment ref="H4754" authorId="0" shapeId="0" xr:uid="{2DBA9E44-E907-384B-BBE5-32404314B123}">
      <text>
        <r>
          <rPr>
            <sz val="10"/>
            <color rgb="FF000000"/>
            <rFont val="Aptos Narrow"/>
            <scheme val="minor"/>
          </rPr>
          <t>======
ID#AAABj82dpPc
    (2025-05-21 11:33:23)
5/30-銀行電文通知usd15853沖PI-20190218A 4400,PI20190218A 8975,PI-20190218A 2478(4850中的2478)</t>
        </r>
      </text>
    </comment>
    <comment ref="K4754" authorId="0" shapeId="0" xr:uid="{70C0FF27-4222-6941-BFD8-09A816181888}">
      <text>
        <r>
          <rPr>
            <sz val="10"/>
            <color rgb="FF000000"/>
            <rFont val="Aptos Narrow"/>
            <scheme val="minor"/>
          </rPr>
          <t>======
ID#AAABjx7qTow
    (2025-05-21 11:33:26)
0401 santi 告知改4/8出貨</t>
        </r>
      </text>
    </comment>
    <comment ref="H4755" authorId="0" shapeId="0" xr:uid="{F04ADF51-1800-D040-9A7D-B013B6C90263}">
      <text>
        <r>
          <rPr>
            <sz val="10"/>
            <color rgb="FF000000"/>
            <rFont val="Aptos Narrow"/>
            <scheme val="minor"/>
          </rPr>
          <t>======
ID#AAABjx7qN70
    (2025-05-21 11:33:23)
ALICE:2019/04/08-收到水單USD31764-手續費USD12=USD31752
詳4/8-客戶回覆沖帳明細mail(12540+944+2010+5770+10500=31764)</t>
        </r>
      </text>
    </comment>
    <comment ref="K4755" authorId="0" shapeId="0" xr:uid="{C82456D2-C2CB-8B42-8992-9ADD2C417549}">
      <text>
        <r>
          <rPr>
            <sz val="10"/>
            <color rgb="FF000000"/>
            <rFont val="Aptos Narrow"/>
            <scheme val="minor"/>
          </rPr>
          <t>======
ID#AAABjx7qTH0
    (2025-05-21 11:33:26)
0401 santi 告知改4/8出貨</t>
        </r>
      </text>
    </comment>
    <comment ref="H4756" authorId="0" shapeId="0" xr:uid="{A9D57AFE-8884-0E44-B1D4-09CF6B626234}">
      <text>
        <r>
          <rPr>
            <sz val="10"/>
            <color rgb="FF000000"/>
            <rFont val="Aptos Narrow"/>
            <scheme val="minor"/>
          </rPr>
          <t>======
ID#AAABjx7qN0k
    (2025-05-21 11:33:23)
ALICE:2019/04/08-水單匯入USD31764-手續費USD12元=USD31752
沖帳明細詳4/8-客戶MAIL沖帳明細(12540+944+2010+5770+10500=31764)</t>
        </r>
      </text>
    </comment>
    <comment ref="K4756" authorId="0" shapeId="0" xr:uid="{29A7D21A-94FA-324C-8E66-EBDDA339DC9C}">
      <text>
        <r>
          <rPr>
            <sz val="10"/>
            <color rgb="FF000000"/>
            <rFont val="Aptos Narrow"/>
            <scheme val="minor"/>
          </rPr>
          <t>======
ID#AAABjx7qSPk
    (2025-05-21 11:33:26)
0401 santi 告知改4/8出貨</t>
        </r>
      </text>
    </comment>
    <comment ref="H4757" authorId="0" shapeId="0" xr:uid="{F76E814A-9F1A-C148-8AD2-87E5A661282F}">
      <text>
        <r>
          <rPr>
            <sz val="10"/>
            <color rgb="FF000000"/>
            <rFont val="Aptos Narrow"/>
            <scheme val="minor"/>
          </rPr>
          <t>======
ID#AAABjx7qTHo
    (2025-05-21 11:33:26)
ALICE:2019/04/08-水單匯入USD31764-手續費USD12=USD31752
沖帳明細詳4/8-客戶MAIL沖帳明細(12540+944+2010+5770+10500=31764)</t>
        </r>
      </text>
    </comment>
    <comment ref="K4757" authorId="0" shapeId="0" xr:uid="{E2BFAE0D-0A3A-2E47-96A8-2F9B8671E2D1}">
      <text>
        <r>
          <rPr>
            <sz val="10"/>
            <color rgb="FF000000"/>
            <rFont val="Aptos Narrow"/>
            <scheme val="minor"/>
          </rPr>
          <t>======
ID#AAABjx7qQoQ
    (2025-05-21 11:33:25)
0401 santi 告知改4/8出貨</t>
        </r>
      </text>
    </comment>
    <comment ref="H4758" authorId="0" shapeId="0" xr:uid="{EBDD7652-03CA-D94E-BF3D-C2F40DF1DE04}">
      <text>
        <r>
          <rPr>
            <sz val="10"/>
            <color rgb="FF000000"/>
            <rFont val="Aptos Narrow"/>
            <scheme val="minor"/>
          </rPr>
          <t>======
ID#AAABjx7qUyI
    (2025-05-21 11:33:26)
ALICE:5/3-電文USD16646(沖10450+4616+1580(4850中的1580))</t>
        </r>
      </text>
    </comment>
    <comment ref="K4758" authorId="0" shapeId="0" xr:uid="{B9128F01-70FD-8E47-B6B2-DCA894051B58}">
      <text>
        <r>
          <rPr>
            <sz val="10"/>
            <color rgb="FF000000"/>
            <rFont val="Aptos Narrow"/>
            <scheme val="minor"/>
          </rPr>
          <t>======
ID#AAABjx7qRAc
    (2025-05-21 11:33:25)
0401 santi 告知改4/8出貨</t>
        </r>
      </text>
    </comment>
    <comment ref="AK4758" authorId="0" shapeId="0" xr:uid="{893047FD-5834-E842-8201-D7E7174954CC}">
      <text>
        <r>
          <rPr>
            <sz val="10"/>
            <color rgb="FF000000"/>
            <rFont val="Aptos Narrow"/>
            <scheme val="minor"/>
          </rPr>
          <t>======
ID#AAABjx7qPp0
    (2025-05-21 11:33:24)
ALICE:5/3-電文USD16646(沖10450+4616+1580(4850中的1580))</t>
        </r>
      </text>
    </comment>
    <comment ref="H4759" authorId="0" shapeId="0" xr:uid="{59DDA549-95AB-6743-8DF0-35169508C115}">
      <text>
        <r>
          <rPr>
            <sz val="10"/>
            <color rgb="FF000000"/>
            <rFont val="Aptos Narrow"/>
            <scheme val="minor"/>
          </rPr>
          <t>======
ID#AAABjx7qMuo
    (2025-05-21 11:33:23)
5/30-銀行電文通知usd15853沖PI-20190218A 4400,PI20190218A 8975,PI-20190218A 2478(4850中的2478)</t>
        </r>
      </text>
    </comment>
    <comment ref="K4759" authorId="0" shapeId="0" xr:uid="{05E983FC-E257-E24A-9767-0E0E7FEE65F3}">
      <text>
        <r>
          <rPr>
            <sz val="10"/>
            <color rgb="FF000000"/>
            <rFont val="Aptos Narrow"/>
            <scheme val="minor"/>
          </rPr>
          <t>======
ID#AAABjx7qSNA
    (2025-05-21 11:33:26)
0401 santi 告知改4/8出貨</t>
        </r>
      </text>
    </comment>
    <comment ref="F4760" authorId="0" shapeId="0" xr:uid="{7C30333D-52A1-F846-ADB3-4538B4249EDD}">
      <text>
        <r>
          <rPr>
            <sz val="10"/>
            <color rgb="FF000000"/>
            <rFont val="Aptos Narrow"/>
            <scheme val="minor"/>
          </rPr>
          <t>======
ID#AAABjx7qVFc
    (2025-05-21 11:33:27)
TI2 Not yet confirm Order x 2 pcs</t>
        </r>
      </text>
    </comment>
    <comment ref="H4760" authorId="0" shapeId="0" xr:uid="{074FECC1-C456-2C4D-BB02-7C8617521FC0}">
      <text>
        <r>
          <rPr>
            <sz val="10"/>
            <color rgb="FF000000"/>
            <rFont val="Aptos Narrow"/>
            <scheme val="minor"/>
          </rPr>
          <t>======
ID#AAABjx7qWFo
    (2025-05-21 11:33:27)
ALICE:201904/10水單匯入USD11416*30.78
沖(229+2394+326+34+5274+3066+103)=11426</t>
        </r>
      </text>
    </comment>
    <comment ref="F4761" authorId="0" shapeId="0" xr:uid="{8F1FA8FD-E80E-3F45-B73D-7AA106D173B9}">
      <text>
        <r>
          <rPr>
            <sz val="10"/>
            <color rgb="FF000000"/>
            <rFont val="Aptos Narrow"/>
            <scheme val="minor"/>
          </rPr>
          <t>======
ID#AAABjx7qSyg
    (2025-05-21 11:33:26)
TI2 Not yet confirm Order x 2 pcs</t>
        </r>
      </text>
    </comment>
    <comment ref="H4761" authorId="0" shapeId="0" xr:uid="{E59EA2D2-3947-C14F-AB1C-B098FF731EC2}">
      <text>
        <r>
          <rPr>
            <sz val="10"/>
            <color rgb="FF000000"/>
            <rFont val="Aptos Narrow"/>
            <scheme val="minor"/>
          </rPr>
          <t>======
ID#AAABjx7qN58
    (2025-05-21 11:33:23)
ALICE:201904/10水單匯入USD11416*30.78
沖(229+2394+326+34+5274+3066+103)=11426</t>
        </r>
      </text>
    </comment>
    <comment ref="H4762" authorId="0" shapeId="0" xr:uid="{F22154BA-8D80-734C-8A68-D7CB89A22E63}">
      <text>
        <r>
          <rPr>
            <sz val="10"/>
            <color rgb="FF000000"/>
            <rFont val="Aptos Narrow"/>
            <scheme val="minor"/>
          </rPr>
          <t>======
ID#AAABjx7qQ54
    (2025-05-21 11:33:25)
0225 chloe:匯款匯入US$495*30.76=NT15226-手續費NT200=NT15,026</t>
        </r>
      </text>
    </comment>
    <comment ref="K4762" authorId="0" shapeId="0" xr:uid="{8DDADC53-781C-C64F-9BD5-E44DF1DAD4DA}">
      <text>
        <r>
          <rPr>
            <sz val="10"/>
            <color rgb="FF000000"/>
            <rFont val="Aptos Narrow"/>
            <scheme val="minor"/>
          </rPr>
          <t>======
ID#AAABjx7qTDo
    (2025-05-21 11:33:26)
0318 san: 出貨前檢查 (bank/eric/san）</t>
        </r>
      </text>
    </comment>
    <comment ref="AH4762" authorId="0" shapeId="0" xr:uid="{20166F2E-1734-1140-B4FC-7A660EAC3101}">
      <text>
        <r>
          <rPr>
            <sz val="10"/>
            <color rgb="FF000000"/>
            <rFont val="Aptos Narrow"/>
            <scheme val="minor"/>
          </rPr>
          <t>======
ID#AAABjx7qODE
alice    (2025-05-21 11:33:24)
出口報單報關日期108/03/26-CG//08/376/2Y449報單金額USD5053*30.825=155759</t>
        </r>
      </text>
    </comment>
    <comment ref="AK4762" authorId="0" shapeId="0" xr:uid="{7B5547B1-7691-5C43-8208-0B7E2AABCB0A}">
      <text>
        <r>
          <rPr>
            <sz val="10"/>
            <color rgb="FF000000"/>
            <rFont val="Aptos Narrow"/>
            <scheme val="minor"/>
          </rPr>
          <t>======
ID#AAABjx7qUy0
    (2025-05-21 11:33:26)
ALICE:PI-20190219A訂單總額USD495，2019/02/25水單匯入USD488.5*30.76=NT15,026元整
，手續費USD6.5*30.76=NT200元整</t>
        </r>
      </text>
    </comment>
    <comment ref="AL4762" authorId="0" shapeId="0" xr:uid="{EAEEC1AA-6382-494F-94AA-8B643126646F}">
      <text>
        <r>
          <rPr>
            <sz val="10"/>
            <color rgb="FF000000"/>
            <rFont val="Aptos Narrow"/>
            <scheme val="minor"/>
          </rPr>
          <t>======
ID#AAABjx7qTUQ
    (2025-05-21 11:33:26)
ALICE:PI-20190219A訂單總額USD495，2019/02/25水單匯入USD488.5*30.76=NT15,026元整
，手續費USD6.5*30.76=NT200元整</t>
        </r>
      </text>
    </comment>
    <comment ref="H4763" authorId="0" shapeId="0" xr:uid="{2995DFC0-1001-DE4D-869F-475D149ECA86}">
      <text>
        <r>
          <rPr>
            <sz val="10"/>
            <color rgb="FF000000"/>
            <rFont val="Aptos Narrow"/>
            <scheme val="minor"/>
          </rPr>
          <t>======
ID#AAABjx7qVLw
    (2025-05-21 11:33:27)
0225 chloe:匯款匯入US$495*30.76=NT15226-手續費NT200=NT15,026</t>
        </r>
      </text>
    </comment>
    <comment ref="K4763" authorId="0" shapeId="0" xr:uid="{60DD4212-388A-0B4F-9F1C-62D6ED951C79}">
      <text>
        <r>
          <rPr>
            <sz val="10"/>
            <color rgb="FF000000"/>
            <rFont val="Aptos Narrow"/>
            <scheme val="minor"/>
          </rPr>
          <t>======
ID#AAABjx7qRXI
    (2025-05-21 11:33:25)
0318 san: 出貨前檢查 (bank/eric/san）</t>
        </r>
      </text>
    </comment>
    <comment ref="AH4763" authorId="0" shapeId="0" xr:uid="{2CE7B824-55AA-6D4A-80FF-B0E4708B3835}">
      <text>
        <r>
          <rPr>
            <sz val="10"/>
            <color rgb="FF000000"/>
            <rFont val="Aptos Narrow"/>
            <scheme val="minor"/>
          </rPr>
          <t>======
ID#AAABjx7qS94
alice    (2025-05-21 11:33:26)
出口報單報關日期108/03/26-CG//08/376/2Y449報單金額USD5053*30.825=155759</t>
        </r>
      </text>
    </comment>
    <comment ref="H4764" authorId="0" shapeId="0" xr:uid="{587D0044-A1DC-9349-97FE-71AF8B4CDF6A}">
      <text>
        <r>
          <rPr>
            <sz val="10"/>
            <color rgb="FF000000"/>
            <rFont val="Aptos Narrow"/>
            <scheme val="minor"/>
          </rPr>
          <t>======
ID#AAABjx7qVCU
    (2025-05-21 11:33:27)
ALICE:2019/05/02-水單匯入USD21462.5</t>
        </r>
      </text>
    </comment>
    <comment ref="AK4764" authorId="0" shapeId="0" xr:uid="{6ACDEFB6-FA1D-D94E-8005-E1EB292D758E}">
      <text>
        <r>
          <rPr>
            <sz val="10"/>
            <color rgb="FF000000"/>
            <rFont val="Aptos Narrow"/>
            <scheme val="minor"/>
          </rPr>
          <t>======
ID#AAABjx7qSr8
    (2025-05-21 11:33:26)
ALICE:2019/05/02-水單匯入USD21462.5-(匯出手續費USD10+匯入手續費USD10.73)=USD21441.77*30.84=NT661264</t>
        </r>
      </text>
    </comment>
    <comment ref="AL4764" authorId="0" shapeId="0" xr:uid="{98164C0A-7737-3E40-99B8-EE140DA47BB9}">
      <text>
        <r>
          <rPr>
            <sz val="10"/>
            <color rgb="FF000000"/>
            <rFont val="Aptos Narrow"/>
            <scheme val="minor"/>
          </rPr>
          <t>======
ID#AAABjx7qNCM
    (2025-05-21 11:33:23)
ALICE:2019/05/02-水單匯入USD21462.5-(匯出手續費USD10+匯入手續費USD10.73)=USD21441.77*30.84=NT661264</t>
        </r>
      </text>
    </comment>
    <comment ref="H4765" authorId="0" shapeId="0" xr:uid="{12144C2C-5D7A-C74C-8523-FE0700E498D9}">
      <text>
        <r>
          <rPr>
            <sz val="10"/>
            <color rgb="FF000000"/>
            <rFont val="Aptos Narrow"/>
            <scheme val="minor"/>
          </rPr>
          <t>======
ID#AAABjx7qNfE
    (2025-05-21 11:33:23)
0225 chloe:匯款匯入 US2630- US40(第三地銀行手續費)</t>
        </r>
      </text>
    </comment>
    <comment ref="K4765" authorId="0" shapeId="0" xr:uid="{03B33AF8-C547-BF4F-9DE8-FFC99CAA7968}">
      <text>
        <r>
          <rPr>
            <sz val="10"/>
            <color rgb="FF000000"/>
            <rFont val="Aptos Narrow"/>
            <scheme val="minor"/>
          </rPr>
          <t>======
ID#AAABjx7qVOo
    (2025-05-21 11:33:27)
2/20 waiting for production control confirm L/T</t>
        </r>
      </text>
    </comment>
    <comment ref="H4766" authorId="0" shapeId="0" xr:uid="{44578FED-8300-1F40-944F-C3228E76645E}">
      <text>
        <r>
          <rPr>
            <sz val="10"/>
            <color rgb="FF000000"/>
            <rFont val="Aptos Narrow"/>
            <scheme val="minor"/>
          </rPr>
          <t>======
ID#AAABjx7qSJ4
    (2025-05-21 11:33:26)
0225 chloe:匯款匯入 US2630- US40(第三地銀行手續費)</t>
        </r>
      </text>
    </comment>
    <comment ref="K4766" authorId="0" shapeId="0" xr:uid="{D213B6FD-1093-A844-BE71-C2469AB584B5}">
      <text>
        <r>
          <rPr>
            <sz val="10"/>
            <color rgb="FF000000"/>
            <rFont val="Aptos Narrow"/>
            <scheme val="minor"/>
          </rPr>
          <t>======
ID#AAABjx7qVpM
    (2025-05-21 11:33:27)
2/20 waiting for production control confirm L/T</t>
        </r>
      </text>
    </comment>
    <comment ref="AK4766" authorId="0" shapeId="0" xr:uid="{61B2862D-B43F-FC4D-A50E-3C512EC1A032}">
      <text>
        <r>
          <rPr>
            <sz val="10"/>
            <color rgb="FF000000"/>
            <rFont val="Aptos Narrow"/>
            <scheme val="minor"/>
          </rPr>
          <t>======
ID#AAABjx7qRo0
    (2025-05-21 11:33:25)
ALICE:2019/02/25-水單USD2590-匯入手續費USD6.5=USD2583.5*30.76=NT79468元整</t>
        </r>
      </text>
    </comment>
    <comment ref="AL4766" authorId="0" shapeId="0" xr:uid="{C57F55A3-C7A6-B347-AC10-77A4525E396F}">
      <text>
        <r>
          <rPr>
            <sz val="10"/>
            <color rgb="FF000000"/>
            <rFont val="Aptos Narrow"/>
            <scheme val="minor"/>
          </rPr>
          <t>======
ID#AAABjx7qSHA
    (2025-05-21 11:33:26)
ALICE:2019/02/25-水單USD2590-匯入手續費USD6.5=USD2583.5*30.76=NT79468元整
實際應收USD2630-2590=USD40匯出手續費*30.746=NT1230
匯出手續費NT1230+匯入手續費NT200=NT1430</t>
        </r>
      </text>
    </comment>
    <comment ref="H4767" authorId="0" shapeId="0" xr:uid="{660D3FDC-DDA9-FA47-B7C7-B24FA6C61768}">
      <text>
        <r>
          <rPr>
            <sz val="10"/>
            <color rgb="FF000000"/>
            <rFont val="Aptos Narrow"/>
            <scheme val="minor"/>
          </rPr>
          <t>======
ID#AAABjx7qQt0
    (2025-05-21 11:33:25)
0225 chloe:匯款匯入 US2630- US40(第三地銀行手續費)</t>
        </r>
      </text>
    </comment>
    <comment ref="K4767" authorId="0" shapeId="0" xr:uid="{F8DF87EE-17D5-A04D-884F-4B7CC4E82984}">
      <text>
        <r>
          <rPr>
            <sz val="10"/>
            <color rgb="FF000000"/>
            <rFont val="Aptos Narrow"/>
            <scheme val="minor"/>
          </rPr>
          <t>======
ID#AAABjx7qVnA
    (2025-05-21 11:33:27)
2/20 waiting for production control confirm L/T</t>
        </r>
      </text>
    </comment>
    <comment ref="H4768" authorId="0" shapeId="0" xr:uid="{5E545C7A-DBF2-1742-8996-1247C14615F1}">
      <text>
        <r>
          <rPr>
            <sz val="10"/>
            <color rgb="FF000000"/>
            <rFont val="Aptos Narrow"/>
            <scheme val="minor"/>
          </rPr>
          <t>======
ID#AAABjx7qRHg
    (2025-05-21 11:33:25)
ALICE:2019/04/12水單USD11670*30.81(3035+135+5420+2730+310+40)</t>
        </r>
      </text>
    </comment>
    <comment ref="H4769" authorId="0" shapeId="0" xr:uid="{6C04446E-9CAF-604F-BD39-25F2290B602E}">
      <text>
        <r>
          <rPr>
            <sz val="10"/>
            <color rgb="FF000000"/>
            <rFont val="Aptos Narrow"/>
            <scheme val="minor"/>
          </rPr>
          <t>======
ID#AAABjx7qN90
    (2025-05-21 11:33:23)
ALICE:2019/04/12水單USD11670*30.81(3035+135+5420+2730+310+40)</t>
        </r>
      </text>
    </comment>
    <comment ref="H4770" authorId="0" shapeId="0" xr:uid="{CD5BE663-4E5F-8640-907D-75B8ED2D92A1}">
      <text>
        <r>
          <rPr>
            <sz val="10"/>
            <color rgb="FF000000"/>
            <rFont val="Aptos Narrow"/>
            <scheme val="minor"/>
          </rPr>
          <t>======
ID#AAABjx7qNzo
    (2025-05-21 11:33:23)
ALICE:2019/04/12水單USD11670*30.81(3035+135+5420+2730+310+40)</t>
        </r>
      </text>
    </comment>
    <comment ref="H4771" authorId="0" shapeId="0" xr:uid="{2BBFB67C-214E-C841-A750-17BC6A3769AF}">
      <text>
        <r>
          <rPr>
            <sz val="10"/>
            <color rgb="FF000000"/>
            <rFont val="Aptos Narrow"/>
            <scheme val="minor"/>
          </rPr>
          <t>======
ID#AAABjx7qNIU
    (2025-05-21 11:33:23)
ALICE:2019/04/12水單USD11670*30.81(3035+135+5420+2730+310+40)</t>
        </r>
      </text>
    </comment>
    <comment ref="H4772" authorId="0" shapeId="0" xr:uid="{32E1F959-091C-F54D-AE69-EB7517F89009}">
      <text>
        <r>
          <rPr>
            <sz val="10"/>
            <color rgb="FF000000"/>
            <rFont val="Aptos Narrow"/>
            <scheme val="minor"/>
          </rPr>
          <t>======
ID#AAABj82dpJ8
    (2025-05-21 11:33:23)
ALICE:2019/04/12水單USD11670*30.81(3035+135+5420+2730+310+40)</t>
        </r>
      </text>
    </comment>
    <comment ref="D4773" authorId="0" shapeId="0" xr:uid="{CE79E63A-DEDB-3E43-84B3-D89CE42FA047}">
      <text>
        <r>
          <rPr>
            <sz val="10"/>
            <color rgb="FF000000"/>
            <rFont val="Aptos Narrow"/>
            <scheme val="minor"/>
          </rPr>
          <t>======
ID#AAABjx7qQEI
    (2025-05-21 11:33:25)
190109 Tammy: 抽驗即可, 謝謝</t>
        </r>
      </text>
    </comment>
    <comment ref="H4773" authorId="0" shapeId="0" xr:uid="{8CBB0F59-A4A1-0748-ADA1-4A30C1188386}">
      <text>
        <r>
          <rPr>
            <sz val="10"/>
            <color rgb="FF000000"/>
            <rFont val="Aptos Narrow"/>
            <scheme val="minor"/>
          </rPr>
          <t>======
ID#AAABjx7qPBA
    (2025-05-21 11:33:24)
ALICE:2019/04/12水單USD11670*30.81(3035+135+5420+2730+310+40)</t>
        </r>
      </text>
    </comment>
    <comment ref="D4774" authorId="0" shapeId="0" xr:uid="{A52DA87F-025A-7F48-9454-7625B826FEB2}">
      <text>
        <r>
          <rPr>
            <sz val="10"/>
            <color rgb="FF000000"/>
            <rFont val="Aptos Narrow"/>
            <scheme val="minor"/>
          </rPr>
          <t>======
ID#AAABjx7qQDc
    (2025-05-21 11:33:25)
0306 請Tammy 下單  
0305 客人有revise order</t>
        </r>
      </text>
    </comment>
    <comment ref="E4774" authorId="0" shapeId="0" xr:uid="{67BD1807-D7D6-0845-8CDD-93DEF21C498F}">
      <text>
        <r>
          <rPr>
            <sz val="10"/>
            <color rgb="FF000000"/>
            <rFont val="Aptos Narrow"/>
            <scheme val="minor"/>
          </rPr>
          <t>======
ID#AAABjx7qQyo
    (2025-05-21 11:33:25)
190225 Karen: w/EU adapter</t>
        </r>
      </text>
    </comment>
    <comment ref="H4774" authorId="0" shapeId="0" xr:uid="{FE7D2B84-C5C1-074C-BDD0-ED079246E596}">
      <text>
        <r>
          <rPr>
            <sz val="10"/>
            <color rgb="FF000000"/>
            <rFont val="Aptos Narrow"/>
            <scheme val="minor"/>
          </rPr>
          <t>======
ID#AAABjx7qTqw
    (2025-05-21 11:33:26)
0312 chloe:匯款匯入US2055-11(手續費)</t>
        </r>
      </text>
    </comment>
    <comment ref="D4775" authorId="0" shapeId="0" xr:uid="{4BA738D9-3EBD-DD43-BBCC-37D08D162998}">
      <text>
        <r>
          <rPr>
            <sz val="10"/>
            <color rgb="FF000000"/>
            <rFont val="Aptos Narrow"/>
            <scheme val="minor"/>
          </rPr>
          <t>======
ID#AAABjx7qSvA
    (2025-05-21 11:33:26)
0306 請Tammy 下單  
0305 客人有revise order</t>
        </r>
      </text>
    </comment>
    <comment ref="H4775" authorId="0" shapeId="0" xr:uid="{5DCA4A6F-FAC3-CC4A-96D2-68C5DFE1A51F}">
      <text>
        <r>
          <rPr>
            <sz val="10"/>
            <color rgb="FF000000"/>
            <rFont val="Aptos Narrow"/>
            <scheme val="minor"/>
          </rPr>
          <t>======
ID#AAABjx7qP4I
    (2025-05-21 11:33:24)
0312 chloe:匯款匯入US2055-11(手續費)</t>
        </r>
      </text>
    </comment>
    <comment ref="H4776" authorId="0" shapeId="0" xr:uid="{C0B3BF73-F8DE-6C4F-A00C-B5B0E9CE714A}">
      <text>
        <r>
          <rPr>
            <sz val="10"/>
            <color rgb="FF000000"/>
            <rFont val="Aptos Narrow"/>
            <scheme val="minor"/>
          </rPr>
          <t>======
ID#AAABjx7qNbg
    (2025-05-21 11:33:23)
0329 chloe:匯款匯入US$340.5</t>
        </r>
      </text>
    </comment>
    <comment ref="E4777" authorId="0" shapeId="0" xr:uid="{6C7B333B-70C5-1942-A345-4029572A1FBF}">
      <text>
        <r>
          <rPr>
            <sz val="10"/>
            <color rgb="FF000000"/>
            <rFont val="Aptos Narrow"/>
            <scheme val="minor"/>
          </rPr>
          <t>======
ID#AAABjx7qV8w
    (2025-05-21 11:33:27)
190226 w/o adapter</t>
        </r>
      </text>
    </comment>
    <comment ref="H4777" authorId="0" shapeId="0" xr:uid="{D1F871AE-4AE2-2540-A797-1285AA4480E0}">
      <text>
        <r>
          <rPr>
            <sz val="10"/>
            <color rgb="FF000000"/>
            <rFont val="Aptos Narrow"/>
            <scheme val="minor"/>
          </rPr>
          <t>======
ID#AAABjx7qOuE
    (2025-05-21 11:33:24)
0225 chloe:客戶水單2/25，待我司銀行通知入帳
0226 chloe:匯款匯入6471-11(匯款手續費)</t>
        </r>
      </text>
    </comment>
    <comment ref="J4777" authorId="0" shapeId="0" xr:uid="{E076FD44-73DA-C748-9A3A-B382F5FE16E4}">
      <text>
        <r>
          <rPr>
            <sz val="10"/>
            <color rgb="FF000000"/>
            <rFont val="Aptos Narrow"/>
            <scheme val="minor"/>
          </rPr>
          <t>======
ID#AAABjx7qQso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AK4777" authorId="0" shapeId="0" xr:uid="{843BFEF1-180B-E344-9C48-02E69CC86E7A}">
      <text>
        <r>
          <rPr>
            <sz val="10"/>
            <color rgb="FF000000"/>
            <rFont val="Aptos Narrow"/>
            <scheme val="minor"/>
          </rPr>
          <t>======
ID#AAABjx7qWBw
    (2025-05-21 11:33:27)
ALICE:PI-20190223訂單總計USD6471，2019/02/26水單匯入USD6453.49*30.736==NT198,354元整，匯入手續費USD6.5+匯出手續費USD11*30.736=NT538元整</t>
        </r>
      </text>
    </comment>
    <comment ref="AL4777" authorId="0" shapeId="0" xr:uid="{F04094F1-A463-7147-859A-4DEB4EC5A3B7}">
      <text>
        <r>
          <rPr>
            <sz val="10"/>
            <color rgb="FF000000"/>
            <rFont val="Aptos Narrow"/>
            <scheme val="minor"/>
          </rPr>
          <t>======
ID#AAABjx7qU_o
    (2025-05-21 11:33:27)
ALICE:PI-20190223訂單總計USD6471，2019/02/26水單匯入USD6453.49*30.736==NT198,354元整，匯入手續費USD6.5+匯出手續費USD11*30.736=NT538元整</t>
        </r>
      </text>
    </comment>
    <comment ref="E4778" authorId="0" shapeId="0" xr:uid="{1C44473A-CEE0-CB40-A23B-6F56F3A0A487}">
      <text>
        <r>
          <rPr>
            <sz val="10"/>
            <color rgb="FF000000"/>
            <rFont val="Aptos Narrow"/>
            <scheme val="minor"/>
          </rPr>
          <t>======
ID#AAABjx7qNhk
    (2025-05-21 11:33:23)
190226 w/o adapter</t>
        </r>
      </text>
    </comment>
    <comment ref="H4778" authorId="0" shapeId="0" xr:uid="{66B63158-64E1-A544-88A1-3A17FDCFEBEA}">
      <text>
        <r>
          <rPr>
            <sz val="10"/>
            <color rgb="FF000000"/>
            <rFont val="Aptos Narrow"/>
            <scheme val="minor"/>
          </rPr>
          <t>======
ID#AAABjx7qVtQ
    (2025-05-21 11:33:27)
0225 chloe:客戶水單2/25，待我司銀行通知入帳
0226 chloe:匯款匯入6471-11(匯款手續費)</t>
        </r>
      </text>
    </comment>
    <comment ref="J4778" authorId="0" shapeId="0" xr:uid="{640380B0-B80B-DF42-B729-36B1A80DB25F}">
      <text>
        <r>
          <rPr>
            <sz val="10"/>
            <color rgb="FF000000"/>
            <rFont val="Aptos Narrow"/>
            <scheme val="minor"/>
          </rPr>
          <t>======
ID#AAABjx7qRok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E4779" authorId="0" shapeId="0" xr:uid="{5A10B083-388B-CE4A-8DD4-8746A7456360}">
      <text>
        <r>
          <rPr>
            <sz val="10"/>
            <color rgb="FF000000"/>
            <rFont val="Aptos Narrow"/>
            <scheme val="minor"/>
          </rPr>
          <t>======
ID#AAABjx7qNzw
    (2025-05-21 11:33:23)
190226 w/o adapter</t>
        </r>
      </text>
    </comment>
    <comment ref="H4779" authorId="0" shapeId="0" xr:uid="{364B5F00-4A20-B442-87E1-68987E01495B}">
      <text>
        <r>
          <rPr>
            <sz val="10"/>
            <color rgb="FF000000"/>
            <rFont val="Aptos Narrow"/>
            <scheme val="minor"/>
          </rPr>
          <t>======
ID#AAABjx7qNR8
    (2025-05-21 11:33:23)
0225 chloe:客戶水單2/25，待我司銀行通知入帳
0226 chloe:匯款匯入6471-11(匯款手續費)</t>
        </r>
      </text>
    </comment>
    <comment ref="J4779" authorId="0" shapeId="0" xr:uid="{C0D43E54-84A3-7846-953F-06F18B0DACFB}">
      <text>
        <r>
          <rPr>
            <sz val="10"/>
            <color rgb="FF000000"/>
            <rFont val="Aptos Narrow"/>
            <scheme val="minor"/>
          </rPr>
          <t>======
ID#AAABjx7qTTI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H4780" authorId="0" shapeId="0" xr:uid="{B3CF9683-8ABB-8F42-8A93-46F3C7AB7D1B}">
      <text>
        <r>
          <rPr>
            <sz val="10"/>
            <color rgb="FF000000"/>
            <rFont val="Aptos Narrow"/>
            <scheme val="minor"/>
          </rPr>
          <t>======
ID#AAABjx7qO3I
    (2025-05-21 11:33:24)
ALICE:201904/10水單匯入USD11416*30.78
沖(229+2394+326+34+5274+3066+103)=11426</t>
        </r>
      </text>
    </comment>
    <comment ref="H4781" authorId="0" shapeId="0" xr:uid="{33FA6435-F965-FC46-B83B-7BDBD93A60C2}">
      <text>
        <r>
          <rPr>
            <sz val="10"/>
            <color rgb="FF000000"/>
            <rFont val="Aptos Narrow"/>
            <scheme val="minor"/>
          </rPr>
          <t>======
ID#AAABjx7qOUY
    (2025-05-21 11:33:24)
ALICE:201904/10水單匯入USD11416*30.78
沖(229+2394+326+34+5274+3066+103)=11426</t>
        </r>
      </text>
    </comment>
    <comment ref="K4781" authorId="0" shapeId="0" xr:uid="{30939D5C-CBF0-FF47-846E-4315E5363F77}">
      <text>
        <r>
          <rPr>
            <sz val="10"/>
            <color rgb="FF000000"/>
            <rFont val="Aptos Narrow"/>
            <scheme val="minor"/>
          </rPr>
          <t>======
ID#AAABjx7qR7s
    (2025-05-21 11:33:25)
0226 Cathy: 詢問alan 出雪梨
0121 Sant: 出貨前拍照</t>
        </r>
      </text>
    </comment>
    <comment ref="G4782" authorId="0" shapeId="0" xr:uid="{76D8721D-CBFB-054C-801A-18AE1304E977}">
      <text>
        <r>
          <rPr>
            <sz val="10"/>
            <color rgb="FF000000"/>
            <rFont val="Aptos Narrow"/>
            <scheme val="minor"/>
          </rPr>
          <t>======
ID#AAABjx7qNTE
    (2025-05-21 11:33:23)
170323 w/ 5%VAT</t>
        </r>
      </text>
    </comment>
    <comment ref="H4782" authorId="0" shapeId="0" xr:uid="{EC4267E3-7AF9-774B-BA76-824381E724D3}">
      <text>
        <r>
          <rPr>
            <sz val="10"/>
            <color rgb="FF000000"/>
            <rFont val="Aptos Narrow"/>
            <scheme val="minor"/>
          </rPr>
          <t>======
ID#AAABjx7qTa8
    (2025-05-21 11:33:26)
Alice:2019/04/30-銀行通知電文USD3780元整</t>
        </r>
      </text>
    </comment>
    <comment ref="AK4782" authorId="0" shapeId="0" xr:uid="{9C6824F4-80DA-504E-9490-62E2BB20F1B8}">
      <text>
        <r>
          <rPr>
            <sz val="10"/>
            <color rgb="FF000000"/>
            <rFont val="Aptos Narrow"/>
            <scheme val="minor"/>
          </rPr>
          <t>======
ID#AAABjx7qS1w
    (2025-05-21 11:33:26)
ALICE:2019/04/30-銀行通知電文USD3780元整</t>
        </r>
      </text>
    </comment>
    <comment ref="AL4782" authorId="0" shapeId="0" xr:uid="{55CC39AC-AC7B-CC40-85D8-1673642EBDD2}">
      <text>
        <r>
          <rPr>
            <sz val="10"/>
            <color rgb="FF000000"/>
            <rFont val="Aptos Narrow"/>
            <scheme val="minor"/>
          </rPr>
          <t>======
ID#AAABjx7qRkA
    (2025-05-21 11:33:25)
ALICE:2019/04/30-銀行通知電文USD3780元整</t>
        </r>
      </text>
    </comment>
    <comment ref="H4783" authorId="0" shapeId="0" xr:uid="{11B9068D-524E-A949-9923-9BDB45361969}">
      <text>
        <r>
          <rPr>
            <sz val="10"/>
            <color rgb="FF000000"/>
            <rFont val="Aptos Narrow"/>
            <scheme val="minor"/>
          </rPr>
          <t>======
ID#AAABjx7qRrQ
    (2025-05-21 11:33:25)
0403 chloe:匯款匯入247,928</t>
        </r>
      </text>
    </comment>
    <comment ref="E4784" authorId="0" shapeId="0" xr:uid="{38AE0E93-66C2-A940-A7F0-B84BBBE49491}">
      <text>
        <r>
          <rPr>
            <sz val="10"/>
            <color rgb="FF000000"/>
            <rFont val="Aptos Narrow"/>
            <scheme val="minor"/>
          </rPr>
          <t>======
ID#AAABjx7qSaE
    (2025-05-21 11:33:26)
20170104 Santiago: 和之前訂單一樣, w/o adapter</t>
        </r>
      </text>
    </comment>
    <comment ref="H4784" authorId="0" shapeId="0" xr:uid="{BAD45597-3ADC-5646-A661-1BC37F985C0B}">
      <text>
        <r>
          <rPr>
            <sz val="10"/>
            <color rgb="FF000000"/>
            <rFont val="Aptos Narrow"/>
            <scheme val="minor"/>
          </rPr>
          <t>======
ID#AAABjx7qPog
    (2025-05-21 11:33:24)
0403 chloe:匯款匯入247,928</t>
        </r>
      </text>
    </comment>
    <comment ref="H4785" authorId="0" shapeId="0" xr:uid="{5568E3D2-DD6F-F94D-B806-BBBF424B2059}">
      <text>
        <r>
          <rPr>
            <sz val="10"/>
            <color rgb="FF000000"/>
            <rFont val="Aptos Narrow"/>
            <scheme val="minor"/>
          </rPr>
          <t>======
ID#AAABjx7qWZ4
    (2025-05-21 11:33:27)
0403 chloe:匯款匯入247,928</t>
        </r>
      </text>
    </comment>
    <comment ref="H4786" authorId="0" shapeId="0" xr:uid="{AD1BB640-9D57-E24C-B859-F88AC9E4F953}">
      <text>
        <r>
          <rPr>
            <sz val="10"/>
            <color rgb="FF000000"/>
            <rFont val="Aptos Narrow"/>
            <scheme val="minor"/>
          </rPr>
          <t>======
ID#AAABjx7qPrE
    (2025-05-21 11:33:24)
ALICE:2019/05/20-收到玉山銀行電文通知USD12750元整</t>
        </r>
      </text>
    </comment>
    <comment ref="H4787" authorId="0" shapeId="0" xr:uid="{DDABA357-BCD7-DE4B-973A-F5AE96BA6CBB}">
      <text>
        <r>
          <rPr>
            <sz val="10"/>
            <color rgb="FF000000"/>
            <rFont val="Aptos Narrow"/>
            <scheme val="minor"/>
          </rPr>
          <t>======
ID#AAABjx7qSvM
    (2025-05-21 11:33:26)
ALICE:2019/05/20-收到玉山銀行電文通知USD12750元整</t>
        </r>
      </text>
    </comment>
    <comment ref="H4788" authorId="0" shapeId="0" xr:uid="{D3342267-7BBA-B547-B47B-FD027C6ACB85}">
      <text>
        <r>
          <rPr>
            <sz val="10"/>
            <color rgb="FF000000"/>
            <rFont val="Aptos Narrow"/>
            <scheme val="minor"/>
          </rPr>
          <t>======
ID#AAABjx7qTs8
    (2025-05-21 11:33:26)
ALICE:2019/05/20-收到玉山銀行電文通知USD12750元整</t>
        </r>
      </text>
    </comment>
    <comment ref="D4789" authorId="0" shapeId="0" xr:uid="{DE3A1F55-D4B4-9447-9FBA-CEE0023C0876}">
      <text>
        <r>
          <rPr>
            <sz val="10"/>
            <color rgb="FF000000"/>
            <rFont val="Aptos Narrow"/>
            <scheme val="minor"/>
          </rPr>
          <t>======
ID#AAABjx7qO7Q
    (2025-05-21 11:33:24)
190109 Tammy: 抽驗即可, 謝謝</t>
        </r>
      </text>
    </comment>
    <comment ref="H4789" authorId="0" shapeId="0" xr:uid="{19263D14-620B-264F-B9E4-40961B8DABA6}">
      <text>
        <r>
          <rPr>
            <sz val="10"/>
            <color rgb="FF000000"/>
            <rFont val="Aptos Narrow"/>
            <scheme val="minor"/>
          </rPr>
          <t>======
ID#AAABjx7qRO8
    (2025-05-21 11:33:25)
ALICE:2019/05/20-收到玉山銀行電文通知USD12750元整</t>
        </r>
      </text>
    </comment>
    <comment ref="H4790" authorId="0" shapeId="0" xr:uid="{9CE32480-BCC4-7F40-8398-4FF2376F9E3D}">
      <text>
        <r>
          <rPr>
            <sz val="10"/>
            <color rgb="FF000000"/>
            <rFont val="Aptos Narrow"/>
            <scheme val="minor"/>
          </rPr>
          <t>======
ID#AAABjx7qQ0k
    (2025-05-21 11:33:25)
ALICE:6/17水單匯入USD16108 沖PI-20190227B 8500，沖PI-20190409A 7608</t>
        </r>
      </text>
    </comment>
    <comment ref="H4791" authorId="0" shapeId="0" xr:uid="{9E58EA7C-D19C-D04D-AD13-8AED673CBBFD}">
      <text>
        <r>
          <rPr>
            <sz val="10"/>
            <color rgb="FF000000"/>
            <rFont val="Aptos Narrow"/>
            <scheme val="minor"/>
          </rPr>
          <t>======
ID#AAABjx7qNlU
    (2025-05-21 11:33:23)
ALICE:6/17水單匯入USD16108 沖PI-20190227B 8500，沖PI-20190409A 7608</t>
        </r>
      </text>
    </comment>
    <comment ref="H4792" authorId="0" shapeId="0" xr:uid="{A63A9672-75FF-7942-BA42-9F36F7C61464}">
      <text>
        <r>
          <rPr>
            <sz val="10"/>
            <color rgb="FF000000"/>
            <rFont val="Aptos Narrow"/>
            <scheme val="minor"/>
          </rPr>
          <t>======
ID#AAABjx7qOv4
    (2025-05-21 11:33:24)
ALICE:6/17水單匯入USD16108 沖PI-20190227B 8500，沖PI-20190409A 7608</t>
        </r>
      </text>
    </comment>
    <comment ref="D4793" authorId="0" shapeId="0" xr:uid="{75BB3355-E0B9-6C4C-8A49-EDE0E985DDFC}">
      <text>
        <r>
          <rPr>
            <sz val="10"/>
            <color rgb="FF000000"/>
            <rFont val="Aptos Narrow"/>
            <scheme val="minor"/>
          </rPr>
          <t>======
ID#AAABjx7qN4s
    (2025-05-21 11:33:23)
190109 Tammy: 抽驗即可, 謝謝</t>
        </r>
      </text>
    </comment>
    <comment ref="H4794" authorId="0" shapeId="0" xr:uid="{AB9C2A29-6A6F-1B44-808E-D5C8438F5A5E}">
      <text>
        <r>
          <rPr>
            <sz val="10"/>
            <color rgb="FF000000"/>
            <rFont val="Aptos Narrow"/>
            <scheme val="minor"/>
          </rPr>
          <t>======
ID#AAABjx7qR5Y
    (2025-05-21 11:33:25)
alice:7/22水單匯入USD8500沖PI-20190227C</t>
        </r>
      </text>
    </comment>
    <comment ref="H4795" authorId="0" shapeId="0" xr:uid="{11EAF8BE-D0EF-7A4B-90D9-EF7926B5D0A6}">
      <text>
        <r>
          <rPr>
            <sz val="10"/>
            <color rgb="FF000000"/>
            <rFont val="Aptos Narrow"/>
            <scheme val="minor"/>
          </rPr>
          <t>======
ID#AAABjx7qOhQ
    (2025-05-21 11:33:24)
alice:7/22水單匯入USD8500沖PI-20190227C</t>
        </r>
      </text>
    </comment>
    <comment ref="H4796" authorId="0" shapeId="0" xr:uid="{7A9B0BCD-1F8F-574C-87FB-42E7D16EAE9C}">
      <text>
        <r>
          <rPr>
            <sz val="10"/>
            <color rgb="FF000000"/>
            <rFont val="Aptos Narrow"/>
            <scheme val="minor"/>
          </rPr>
          <t>======
ID#AAABjx7qTfg
    (2025-05-21 11:33:26)
alice:7/22水單匯入USD8500沖PI-20190227C</t>
        </r>
      </text>
    </comment>
    <comment ref="D4797" authorId="0" shapeId="0" xr:uid="{EC4CE537-375F-D244-BF1D-7E536A581D91}">
      <text>
        <r>
          <rPr>
            <sz val="10"/>
            <color rgb="FF000000"/>
            <rFont val="Aptos Narrow"/>
            <scheme val="minor"/>
          </rPr>
          <t>======
ID#AAABjx7qOoc
    (2025-05-21 11:33:24)
190109 Tammy: 抽驗即可, 謝謝</t>
        </r>
      </text>
    </comment>
    <comment ref="H4797" authorId="0" shapeId="0" xr:uid="{C07A4CF9-C0F6-1543-BAFD-461F7CBFF4A6}">
      <text>
        <r>
          <rPr>
            <sz val="10"/>
            <color rgb="FF000000"/>
            <rFont val="Aptos Narrow"/>
            <scheme val="minor"/>
          </rPr>
          <t>======
ID#AAABjx7qRk4
    (2025-05-21 11:33:25)
alice:7/22水單匯入USD8500沖PI-20190227C</t>
        </r>
      </text>
    </comment>
    <comment ref="H4798" authorId="0" shapeId="0" xr:uid="{D9EC78F4-E85B-0E4E-B0B7-A239A06E7610}">
      <text>
        <r>
          <rPr>
            <sz val="10"/>
            <color rgb="FF000000"/>
            <rFont val="Aptos Narrow"/>
            <scheme val="minor"/>
          </rPr>
          <t>======
ID#AAABjx7qP_M
    (2025-05-21 11:33:25)
alice:8/19-水單匯入USD8500，沖PI-20190227D</t>
        </r>
      </text>
    </comment>
    <comment ref="H4799" authorId="0" shapeId="0" xr:uid="{D1062120-F5A5-1E43-8F17-6B4E318ED150}">
      <text>
        <r>
          <rPr>
            <sz val="10"/>
            <color rgb="FF000000"/>
            <rFont val="Aptos Narrow"/>
            <scheme val="minor"/>
          </rPr>
          <t>======
ID#AAABjx7qQZg
    (2025-05-21 11:33:25)
alice:8/19-水單匯入USD8500，沖PI-20190227D</t>
        </r>
      </text>
    </comment>
    <comment ref="H4800" authorId="0" shapeId="0" xr:uid="{50731E6D-CB9B-D946-9ECD-7A419BEBBE28}">
      <text>
        <r>
          <rPr>
            <sz val="10"/>
            <color rgb="FF000000"/>
            <rFont val="Aptos Narrow"/>
            <scheme val="minor"/>
          </rPr>
          <t>======
ID#AAABjx7qOx8
    (2025-05-21 11:33:24)
alice:8/19-水單匯入USD8500，沖PI-20190227D</t>
        </r>
      </text>
    </comment>
    <comment ref="D4801" authorId="0" shapeId="0" xr:uid="{CD9144BD-A172-EA48-A1CF-A47FBED0D23E}">
      <text>
        <r>
          <rPr>
            <sz val="10"/>
            <color rgb="FF000000"/>
            <rFont val="Aptos Narrow"/>
            <scheme val="minor"/>
          </rPr>
          <t>======
ID#AAABjx7qS_o
    (2025-05-21 11:33:26)
190109 Tammy: 抽驗即可, 謝謝</t>
        </r>
      </text>
    </comment>
    <comment ref="H4801" authorId="0" shapeId="0" xr:uid="{F6383A88-4F84-5F4C-B76F-7CD91A49A562}">
      <text>
        <r>
          <rPr>
            <sz val="10"/>
            <color rgb="FF000000"/>
            <rFont val="Aptos Narrow"/>
            <scheme val="minor"/>
          </rPr>
          <t>======
ID#AAABjx7qVyI
    (2025-05-21 11:33:27)
alice:8/19-水單匯入USD8500，沖PI-20190227D</t>
        </r>
      </text>
    </comment>
    <comment ref="H4802" authorId="0" shapeId="0" xr:uid="{CAEA3EAB-9FAC-FA4A-BA85-5433F91DA8B6}">
      <text>
        <r>
          <rPr>
            <sz val="10"/>
            <color rgb="FF000000"/>
            <rFont val="Aptos Narrow"/>
            <scheme val="minor"/>
          </rPr>
          <t>======
ID#AAABjx7qQDA
    (2025-05-21 11:33:25)
9/16-玉水水單USD4250沖PI-20190227E USD4250</t>
        </r>
      </text>
    </comment>
    <comment ref="H4803" authorId="0" shapeId="0" xr:uid="{6B763517-ABF8-FD4F-9D5A-437F9D5780A9}">
      <text>
        <r>
          <rPr>
            <sz val="10"/>
            <color rgb="FF000000"/>
            <rFont val="Aptos Narrow"/>
            <scheme val="minor"/>
          </rPr>
          <t>======
ID#AAABjx7qR98
    (2025-05-21 11:33:25)
9/16-玉水水單USD4250沖PI-20190227E USD4250</t>
        </r>
      </text>
    </comment>
    <comment ref="H4804" authorId="0" shapeId="0" xr:uid="{F00FF7A4-2812-5E4A-844C-B1AA860536F1}">
      <text>
        <r>
          <rPr>
            <sz val="10"/>
            <color rgb="FF000000"/>
            <rFont val="Aptos Narrow"/>
            <scheme val="minor"/>
          </rPr>
          <t>======
ID#AAABjx7qQBM
    (2025-05-21 11:33:25)
9/16-玉水水單USD4250沖PI-20190227E USD4250</t>
        </r>
      </text>
    </comment>
    <comment ref="D4805" authorId="0" shapeId="0" xr:uid="{F2E77A81-7D49-E44B-B5B3-4CDAADCCDF0E}">
      <text>
        <r>
          <rPr>
            <sz val="10"/>
            <color rgb="FF000000"/>
            <rFont val="Aptos Narrow"/>
            <scheme val="minor"/>
          </rPr>
          <t>======
ID#AAABjx7qU5E
    (2025-05-21 11:33:26)
190109 Tammy: 抽驗即可, 謝謝</t>
        </r>
      </text>
    </comment>
    <comment ref="H4805" authorId="0" shapeId="0" xr:uid="{1176FD0A-3A94-5748-A2CD-57B8BFF74714}">
      <text>
        <r>
          <rPr>
            <sz val="10"/>
            <color rgb="FF000000"/>
            <rFont val="Aptos Narrow"/>
            <scheme val="minor"/>
          </rPr>
          <t>======
ID#AAABjx7qP44
    (2025-05-21 11:33:24)
9/16-玉水水單USD4250沖PI-20190227E USD4250</t>
        </r>
      </text>
    </comment>
    <comment ref="H4806" authorId="0" shapeId="0" xr:uid="{2F2922EF-C9B4-4D42-816D-9ACB056617B0}">
      <text>
        <r>
          <rPr>
            <sz val="10"/>
            <color rgb="FF000000"/>
            <rFont val="Aptos Narrow"/>
            <scheme val="minor"/>
          </rPr>
          <t>======
ID#AAABjx7qVnE
    (2025-05-21 11:33:27)
ALICE:10/21玉山銀行匯入USD4250沖PI-20190227F USD4250</t>
        </r>
      </text>
    </comment>
    <comment ref="H4807" authorId="0" shapeId="0" xr:uid="{A570248A-18A5-9644-8E90-04526BA2162C}">
      <text>
        <r>
          <rPr>
            <sz val="10"/>
            <color rgb="FF000000"/>
            <rFont val="Aptos Narrow"/>
            <scheme val="minor"/>
          </rPr>
          <t>======
ID#AAABjx7qOV0
    (2025-05-21 11:33:24)
ALICE:10/21玉山銀行匯入USD4250沖PI-20190227F USD4250</t>
        </r>
      </text>
    </comment>
    <comment ref="H4808" authorId="0" shapeId="0" xr:uid="{18772440-CEE3-5E4E-962A-D9712CD60199}">
      <text>
        <r>
          <rPr>
            <sz val="10"/>
            <color rgb="FF000000"/>
            <rFont val="Aptos Narrow"/>
            <scheme val="minor"/>
          </rPr>
          <t>======
ID#AAABjx7qTbA
    (2025-05-21 11:33:26)
ALICE:10/21玉山銀行匯入USD4250沖PI-20190227F USD4250</t>
        </r>
      </text>
    </comment>
    <comment ref="D4809" authorId="0" shapeId="0" xr:uid="{8BC3BD21-ACF2-644B-8CB1-50FFA822968D}">
      <text>
        <r>
          <rPr>
            <sz val="10"/>
            <color rgb="FF000000"/>
            <rFont val="Aptos Narrow"/>
            <scheme val="minor"/>
          </rPr>
          <t>======
ID#AAABjx7qTr0
    (2025-05-21 11:33:26)
190109 Tammy: 抽驗即可, 謝謝</t>
        </r>
      </text>
    </comment>
    <comment ref="H4809" authorId="0" shapeId="0" xr:uid="{73A5E965-DB0E-304D-A9B2-2C17FBC77184}">
      <text>
        <r>
          <rPr>
            <sz val="10"/>
            <color rgb="FF000000"/>
            <rFont val="Aptos Narrow"/>
            <scheme val="minor"/>
          </rPr>
          <t>======
ID#AAABjx7qQlY
    (2025-05-21 11:33:25)
ALICE:10/21玉山銀行匯入USD4250沖PI-20190227F USD4250</t>
        </r>
      </text>
    </comment>
    <comment ref="H4810" authorId="0" shapeId="0" xr:uid="{F28776BD-DF1B-5849-B913-F5F47EB3A64E}">
      <text>
        <r>
          <rPr>
            <sz val="10"/>
            <color rgb="FF000000"/>
            <rFont val="Aptos Narrow"/>
            <scheme val="minor"/>
          </rPr>
          <t>======
ID#AAABjx7qPkY
    (2025-05-21 11:33:24)
ALICE:11/22第一銀行收到匯入USD8500(內含銀行手續費USD6.57) PI-20190227G USD4250+PI-20190227H USD4250 總計USD8500</t>
        </r>
      </text>
    </comment>
    <comment ref="H4811" authorId="0" shapeId="0" xr:uid="{2EA51B99-1DEF-4549-9865-E9BF9406F15B}">
      <text>
        <r>
          <rPr>
            <sz val="10"/>
            <color rgb="FF000000"/>
            <rFont val="Aptos Narrow"/>
            <scheme val="minor"/>
          </rPr>
          <t>======
ID#AAABjx7qRjc
    (2025-05-21 11:33:25)
ALICE:11/22第一銀行收到匯入USD8500(內含銀行手續費USD6.57) PI-20190227G USD4250+PI-20190227H USD4250 總計USD8500</t>
        </r>
      </text>
    </comment>
    <comment ref="H4812" authorId="0" shapeId="0" xr:uid="{B42C3306-4967-EA47-8AF0-D755D9E1160B}">
      <text>
        <r>
          <rPr>
            <sz val="10"/>
            <color rgb="FF000000"/>
            <rFont val="Aptos Narrow"/>
            <scheme val="minor"/>
          </rPr>
          <t>======
ID#AAABjx7qUy8
    (2025-05-21 11:33:26)
ALICE:11/22第一銀行收到匯入USD8500(內含銀行手續費USD6.57) PI-20190227G USD4250+PI-20190227H USD4250 總計USD8500</t>
        </r>
      </text>
    </comment>
    <comment ref="D4813" authorId="0" shapeId="0" xr:uid="{CCEDD1AD-7187-2C44-BC15-D7140959F698}">
      <text>
        <r>
          <rPr>
            <sz val="10"/>
            <color rgb="FF000000"/>
            <rFont val="Aptos Narrow"/>
            <scheme val="minor"/>
          </rPr>
          <t>======
ID#AAABjx7qVxc
    (2025-05-21 11:33:27)
190109 Tammy: 抽驗即可, 謝謝</t>
        </r>
      </text>
    </comment>
    <comment ref="H4813" authorId="0" shapeId="0" xr:uid="{4CC339D8-A404-1643-B329-7B2FA45AC059}">
      <text>
        <r>
          <rPr>
            <sz val="10"/>
            <color rgb="FF000000"/>
            <rFont val="Aptos Narrow"/>
            <scheme val="minor"/>
          </rPr>
          <t>======
ID#AAABjx7qO8Q
    (2025-05-21 11:33:24)
ALICE:11/22第一銀行收到匯入USD8500(內含銀行手續費USD6.57) PI-20190227G USD4250+PI-20190227H USD4250 總計USD8500</t>
        </r>
      </text>
    </comment>
    <comment ref="H4814" authorId="0" shapeId="0" xr:uid="{C02EA3CA-0628-3B41-83B4-434791EAD326}">
      <text>
        <r>
          <rPr>
            <sz val="10"/>
            <color rgb="FF000000"/>
            <rFont val="Aptos Narrow"/>
            <scheme val="minor"/>
          </rPr>
          <t>======
ID#AAABjx7qQBU
    (2025-05-21 11:33:25)
ALICE:11/22第一銀行收到匯入USD8500(內含銀行手續費USD6.57) PI-20190227G USD4250+PI-20190227H USD4250 總計USD8500</t>
        </r>
      </text>
    </comment>
    <comment ref="H4815" authorId="0" shapeId="0" xr:uid="{4A27F72B-FDC4-A943-889B-F864AFBC875A}">
      <text>
        <r>
          <rPr>
            <sz val="10"/>
            <color rgb="FF000000"/>
            <rFont val="Aptos Narrow"/>
            <scheme val="minor"/>
          </rPr>
          <t>======
ID#AAABjx7qTZE
    (2025-05-21 11:33:26)
ALICE:11/22第一銀行收到匯入USD8500(內含銀行手續費USD6.57) PI-20190227G USD4250+PI-20190227H USD4250 總計USD8500</t>
        </r>
      </text>
    </comment>
    <comment ref="H4816" authorId="0" shapeId="0" xr:uid="{11E5D41C-BA67-0848-9449-DB1FAF5A661C}">
      <text>
        <r>
          <rPr>
            <sz val="10"/>
            <color rgb="FF000000"/>
            <rFont val="Aptos Narrow"/>
            <scheme val="minor"/>
          </rPr>
          <t>======
ID#AAABjx7qRPM
    (2025-05-21 11:33:25)
ALICE:11/22第一銀行收到匯入USD8500(內含銀行手續費USD6.57) PI-20190227G USD4250+PI-20190227H USD4250 總計USD8500</t>
        </r>
      </text>
    </comment>
    <comment ref="D4817" authorId="0" shapeId="0" xr:uid="{2E4ACC7A-FE81-C54E-83AB-6A7C1908D5FF}">
      <text>
        <r>
          <rPr>
            <sz val="10"/>
            <color rgb="FF000000"/>
            <rFont val="Aptos Narrow"/>
            <scheme val="minor"/>
          </rPr>
          <t>======
ID#AAABjx7qOR8
    (2025-05-21 11:33:24)
190109 Tammy: 抽驗即可, 謝謝</t>
        </r>
      </text>
    </comment>
    <comment ref="H4817" authorId="0" shapeId="0" xr:uid="{7F1F5893-33E4-9646-8D08-EF956915ECF2}">
      <text>
        <r>
          <rPr>
            <sz val="10"/>
            <color rgb="FF000000"/>
            <rFont val="Aptos Narrow"/>
            <scheme val="minor"/>
          </rPr>
          <t>======
ID#AAABjx7qOKY
    (2025-05-21 11:33:24)
ALICE:11/22第一銀行收到匯入USD8500(內含銀行手續費USD6.57) PI-20190227G USD4250+PI-20190227H USD4250 總計USD8500</t>
        </r>
      </text>
    </comment>
    <comment ref="H4818" authorId="0" shapeId="0" xr:uid="{9655C4F3-B068-FD45-A349-EBB43EA99784}">
      <text>
        <r>
          <rPr>
            <sz val="10"/>
            <color rgb="FF000000"/>
            <rFont val="Aptos Narrow"/>
            <scheme val="minor"/>
          </rPr>
          <t>======
ID#AAABjx7qSj0
    (2025-05-21 11:33:26)
3/22 chloe:匯款匯入NT2868</t>
        </r>
      </text>
    </comment>
    <comment ref="H4819" authorId="0" shapeId="0" xr:uid="{F0233B3A-75F5-0046-8594-7B3112944C4C}">
      <text>
        <r>
          <rPr>
            <sz val="10"/>
            <color rgb="FF000000"/>
            <rFont val="Aptos Narrow"/>
            <scheme val="minor"/>
          </rPr>
          <t>======
ID#AAABj82dpI8
    (2025-05-21 11:33:23)
ALICE:2019/04/08-水單匯入USD31764-手續費USD12=USD31752
詳4/8-客戶MAIL沖帳明細(12540+944+2010+5770+10500=31764)</t>
        </r>
      </text>
    </comment>
    <comment ref="K4819" authorId="0" shapeId="0" xr:uid="{F5730136-025A-3B4C-B149-0D0A4578C9DB}">
      <text>
        <r>
          <rPr>
            <sz val="10"/>
            <color rgb="FF000000"/>
            <rFont val="Aptos Narrow"/>
            <scheme val="minor"/>
          </rPr>
          <t>======
ID#AAABjx7qM28
    (2025-05-21 11:33:23)
0401 santi 告知改4/8出貨</t>
        </r>
      </text>
    </comment>
    <comment ref="H4820" authorId="0" shapeId="0" xr:uid="{A8C046D4-F6A2-4E41-B916-84A0F16627F1}">
      <text>
        <r>
          <rPr>
            <sz val="10"/>
            <color rgb="FF000000"/>
            <rFont val="Aptos Narrow"/>
            <scheme val="minor"/>
          </rPr>
          <t>======
ID#AAABjx7qV98
    (2025-05-21 11:33:27)
ALICE:2019/04/08-水單匯入USD31764-手續費USD12元=USD31752
詳4/8-客戶MAIL沖帳明細(12540+944+2010+5770+10500=31764)</t>
        </r>
      </text>
    </comment>
    <comment ref="K4820" authorId="0" shapeId="0" xr:uid="{69069E61-222A-634F-A22E-4F09267D6449}">
      <text>
        <r>
          <rPr>
            <sz val="10"/>
            <color rgb="FF000000"/>
            <rFont val="Aptos Narrow"/>
            <scheme val="minor"/>
          </rPr>
          <t>======
ID#AAABjx7qSXI
    (2025-05-21 11:33:26)
0401 santi 告知改4/8出貨</t>
        </r>
      </text>
    </comment>
    <comment ref="H4821" authorId="0" shapeId="0" xr:uid="{0F3DB94F-6CEF-D64E-A409-EED8B4312C98}">
      <text>
        <r>
          <rPr>
            <sz val="10"/>
            <color rgb="FF000000"/>
            <rFont val="Aptos Narrow"/>
            <scheme val="minor"/>
          </rPr>
          <t>======
ID#AAABjx7qRKU
    (2025-05-21 11:33:25)
ALICE:5/3-電文USD16646(沖10450+4616+1580(4850中的1580))</t>
        </r>
      </text>
    </comment>
    <comment ref="K4821" authorId="0" shapeId="0" xr:uid="{A6555FE2-8D77-8744-88D9-E7C31333AD7A}">
      <text>
        <r>
          <rPr>
            <sz val="10"/>
            <color rgb="FF000000"/>
            <rFont val="Aptos Narrow"/>
            <scheme val="minor"/>
          </rPr>
          <t>======
ID#AAABjx7qOCs
    (2025-05-21 11:33:24)
0401 santi 告知改4/8出貨</t>
        </r>
      </text>
    </comment>
    <comment ref="AK4821" authorId="0" shapeId="0" xr:uid="{D464A6DA-D1C0-354A-923B-40407985BECD}">
      <text>
        <r>
          <rPr>
            <sz val="10"/>
            <color rgb="FF000000"/>
            <rFont val="Aptos Narrow"/>
            <scheme val="minor"/>
          </rPr>
          <t>======
ID#AAABjx7qWT0
    (2025-05-21 11:33:27)
ALICE:5/3-電文USD16646(沖10450+4616+1580(4850中的1580))</t>
        </r>
      </text>
    </comment>
    <comment ref="G4822" authorId="0" shapeId="0" xr:uid="{416AA750-F974-8345-A09C-4B873C7A6FA0}">
      <text>
        <r>
          <rPr>
            <sz val="10"/>
            <color rgb="FF000000"/>
            <rFont val="Aptos Narrow"/>
            <scheme val="minor"/>
          </rPr>
          <t>======
ID#AAABjx7qSmQ
    (2025-05-21 11:33:26)
190303 w/5% VAT</t>
        </r>
      </text>
    </comment>
    <comment ref="H4822" authorId="0" shapeId="0" xr:uid="{4B79B583-A099-104E-AC53-A7F6CE1AF6A0}">
      <text>
        <r>
          <rPr>
            <sz val="10"/>
            <color rgb="FF000000"/>
            <rFont val="Aptos Narrow"/>
            <scheme val="minor"/>
          </rPr>
          <t>======
ID#AAABjx7qVy4
    (2025-05-21 11:33:27)
190303 客人應付貨款要扣掉NT$33313元 
3/22 chloe: 應付貨款145224- 33313
=111911(0322 已付)</t>
        </r>
      </text>
    </comment>
    <comment ref="G4823" authorId="0" shapeId="0" xr:uid="{EE5587EA-5093-F541-AA98-AB70124571DC}">
      <text>
        <r>
          <rPr>
            <sz val="10"/>
            <color rgb="FF000000"/>
            <rFont val="Aptos Narrow"/>
            <scheme val="minor"/>
          </rPr>
          <t>======
ID#AAABjx7qOqU
    (2025-05-21 11:33:24)
190303 w/5% VAT</t>
        </r>
      </text>
    </comment>
    <comment ref="H4823" authorId="0" shapeId="0" xr:uid="{9414A450-D09D-C541-9F6F-D767D749C624}">
      <text>
        <r>
          <rPr>
            <sz val="10"/>
            <color rgb="FF000000"/>
            <rFont val="Aptos Narrow"/>
            <scheme val="minor"/>
          </rPr>
          <t>======
ID#AAABjx7qQ_k
    (2025-05-21 11:33:25)
190303 客人應付貨款要扣掉NT$33313元 
3/22 chloe: 應付貨款145224- 33313
=111911(0322 已付)</t>
        </r>
      </text>
    </comment>
    <comment ref="G4824" authorId="0" shapeId="0" xr:uid="{521E24D7-8F63-CF40-8302-A90C057EFF13}">
      <text>
        <r>
          <rPr>
            <sz val="10"/>
            <color rgb="FF000000"/>
            <rFont val="Aptos Narrow"/>
            <scheme val="minor"/>
          </rPr>
          <t>======
ID#AAABjx7qQ1Q
    (2025-05-21 11:33:25)
190303 w/5% VAT</t>
        </r>
      </text>
    </comment>
    <comment ref="H4824" authorId="0" shapeId="0" xr:uid="{834AF832-B726-CC4F-B46A-6E18C0A40D25}">
      <text>
        <r>
          <rPr>
            <sz val="10"/>
            <color rgb="FF000000"/>
            <rFont val="Aptos Narrow"/>
            <scheme val="minor"/>
          </rPr>
          <t>======
ID#AAABjx7qPm0
    (2025-05-21 11:33:24)
190303 客人應付貨款要扣掉NT$33313元 
3/22 chloe: 應付貨款145224- 33313
=111911(0322 已付)</t>
        </r>
      </text>
    </comment>
    <comment ref="G4825" authorId="0" shapeId="0" xr:uid="{41D15A37-CD5D-AD4E-82DC-9DB2EDF970C4}">
      <text>
        <r>
          <rPr>
            <sz val="10"/>
            <color rgb="FF000000"/>
            <rFont val="Aptos Narrow"/>
            <scheme val="minor"/>
          </rPr>
          <t>======
ID#AAABjx7qN9A
    (2025-05-21 11:33:23)
190303 w/5% VAT</t>
        </r>
      </text>
    </comment>
    <comment ref="H4825" authorId="0" shapeId="0" xr:uid="{CCA08A3C-D727-1040-AFEE-E123B2B27DBF}">
      <text>
        <r>
          <rPr>
            <sz val="10"/>
            <color rgb="FF000000"/>
            <rFont val="Aptos Narrow"/>
            <scheme val="minor"/>
          </rPr>
          <t>======
ID#AAABjx7qUwc
    (2025-05-21 11:33:26)
190303 客人應付貨款要扣掉NT$33313元 
3/22 chloe: 應付貨款145224- 33313
=111911(0322 已付)</t>
        </r>
      </text>
    </comment>
    <comment ref="G4826" authorId="0" shapeId="0" xr:uid="{B02D7B77-0219-9548-9268-5549AD0F5D14}">
      <text>
        <r>
          <rPr>
            <sz val="10"/>
            <color rgb="FF000000"/>
            <rFont val="Aptos Narrow"/>
            <scheme val="minor"/>
          </rPr>
          <t>======
ID#AAABjx7qQCY
    (2025-05-21 11:33:25)
190303 w/5% VAT</t>
        </r>
      </text>
    </comment>
    <comment ref="H4826" authorId="0" shapeId="0" xr:uid="{A3BE8618-0977-7D48-BC9D-BCA1FE6A5EBF}">
      <text>
        <r>
          <rPr>
            <sz val="10"/>
            <color rgb="FF000000"/>
            <rFont val="Aptos Narrow"/>
            <scheme val="minor"/>
          </rPr>
          <t>======
ID#AAABjx7qSEY
    (2025-05-21 11:33:26)
190303 客人應付貨款要扣掉NT$33313元 
3/22 chloe: 應付貨款145224- 33313
=111911(0322 已付)</t>
        </r>
      </text>
    </comment>
    <comment ref="D4827" authorId="0" shapeId="0" xr:uid="{D8A5256B-8661-AA4E-8B7E-C043ACA96010}">
      <text>
        <r>
          <rPr>
            <sz val="10"/>
            <color rgb="FF000000"/>
            <rFont val="Aptos Narrow"/>
            <scheme val="minor"/>
          </rPr>
          <t>======
ID#AAABjx7qSm4
    (2025-05-21 11:33:26)
3026 葛:客供剩料75</t>
        </r>
      </text>
    </comment>
    <comment ref="H4827" authorId="0" shapeId="0" xr:uid="{F6FE7CF8-334A-8247-9DCD-51DF68827DF3}">
      <text>
        <r>
          <rPr>
            <sz val="10"/>
            <color rgb="FF000000"/>
            <rFont val="Aptos Narrow"/>
            <scheme val="minor"/>
          </rPr>
          <t>======
ID#AAABjx7qWYE
    (2025-05-21 11:33:27)
alice:2019/05/17水單通知USD19768沖3/4A $1995.3/4A-1$4152.3/4A-1-F $232.3/8B-F $57.12/21A-2-F $144.3/4A-1 $189.10/22C-2 $10227.12/21A-1 $2772.如上總計共USD19768</t>
        </r>
      </text>
    </comment>
    <comment ref="H4828" authorId="0" shapeId="0" xr:uid="{9C8A82DD-84E9-F54E-AF94-203A0C1D262F}">
      <text>
        <r>
          <rPr>
            <sz val="10"/>
            <color rgb="FF000000"/>
            <rFont val="Aptos Narrow"/>
            <scheme val="minor"/>
          </rPr>
          <t>======
ID#AAABjx7qP6s
    (2025-05-21 11:33:24)
alice:2019/05/17水單通知USD19768沖3/4A $1995.3/4A-1$4152.3/4A-1-F $232.3/8B-F $57.12/21A-2-F $144.3/4A-1 $189.10/22C-2 $10227.12/21A-1 $2772.如上總計共USD19768</t>
        </r>
      </text>
    </comment>
    <comment ref="K4828" authorId="0" shapeId="0" xr:uid="{453BC9EE-3CA6-DC46-823F-9787B8AF39B7}">
      <text>
        <r>
          <rPr>
            <sz val="10"/>
            <color rgb="FF000000"/>
            <rFont val="Aptos Narrow"/>
            <scheme val="minor"/>
          </rPr>
          <t>======
ID#AAABjx7qS4w
    (2025-05-21 11:33:26)
0401 Bruce告知一組LED閃爍，後無反應，請廠商來看。</t>
        </r>
      </text>
    </comment>
    <comment ref="H4829" authorId="0" shapeId="0" xr:uid="{B3F4BE9F-492E-B34E-86F3-37F50F466ED8}">
      <text>
        <r>
          <rPr>
            <sz val="10"/>
            <color rgb="FF000000"/>
            <rFont val="Aptos Narrow"/>
            <scheme val="minor"/>
          </rPr>
          <t>======
ID#AAABjx7qQ8c
    (2025-05-21 11:33:25)
alice:2019/05/17水單通知USD19768沖3/4A $1995.3/4A-1$4152.3/4A-1-F $232.3/8B-F $57.12/21A-2-F $144.3/4A-1 $189.10/22C-2 $10227.12/21A-1 $2772.如上總計共USD19768</t>
        </r>
      </text>
    </comment>
    <comment ref="K4829" authorId="0" shapeId="0" xr:uid="{D00E83EC-FD5E-0D4B-B7DF-E0259FF2F9C0}">
      <text>
        <r>
          <rPr>
            <sz val="10"/>
            <color rgb="FF000000"/>
            <rFont val="Aptos Narrow"/>
            <scheme val="minor"/>
          </rPr>
          <t>======
ID#AAABjx7qOcg
    (2025-05-21 11:33:24)
0401 Bruce告知一組LED閃爍，後無反應，請廠商來看。</t>
        </r>
      </text>
    </comment>
    <comment ref="H4830" authorId="0" shapeId="0" xr:uid="{246A34D8-B2E3-3E46-9870-AB3581300E19}">
      <text>
        <r>
          <rPr>
            <sz val="10"/>
            <color rgb="FF000000"/>
            <rFont val="Aptos Narrow"/>
            <scheme val="minor"/>
          </rPr>
          <t>======
ID#AAABjx7qNDc
    (2025-05-21 11:33:23)
alice:2019/05/17水單通知USD19768沖3/4A $1995.3/4A-1$4152.3/4A-1-F $232.3/8B-F $57.12/21A-2-F $144.3/4A-1 $189.10/22C-2 $10227.12/21A-1 $2772.如上總計共USD19768</t>
        </r>
      </text>
    </comment>
    <comment ref="K4830" authorId="0" shapeId="0" xr:uid="{4230F906-EF8C-B84C-B20F-B52786D193A7}">
      <text>
        <r>
          <rPr>
            <sz val="10"/>
            <color rgb="FF000000"/>
            <rFont val="Aptos Narrow"/>
            <scheme val="minor"/>
          </rPr>
          <t>======
ID#AAABjx7qQc8
    (2025-05-21 11:33:25)
0401 Bruce告知一組LED閃爍，後無反應，請廠商來看。</t>
        </r>
      </text>
    </comment>
    <comment ref="H4831" authorId="0" shapeId="0" xr:uid="{A8803727-694C-6145-BF81-021A4ACAED79}">
      <text>
        <r>
          <rPr>
            <sz val="10"/>
            <color rgb="FF000000"/>
            <rFont val="Aptos Narrow"/>
            <scheme val="minor"/>
          </rPr>
          <t>======
ID#AAABjx7qS_c
    (2025-05-21 11:33:26)
alice:2019/05/17水單通知USD19768沖3/4A $1995.3/4A-1$4152.3/4A-1-F $232.3/8B-F $57.12/21A-2-F $144.3/4A-1 $189.10/22C-2 $10227.12/21A-1 $2772.如上總計共USD19768</t>
        </r>
      </text>
    </comment>
    <comment ref="K4831" authorId="0" shapeId="0" xr:uid="{FDAAF93B-F95C-8343-B915-024DDD6D538C}">
      <text>
        <r>
          <rPr>
            <sz val="10"/>
            <color rgb="FF000000"/>
            <rFont val="Aptos Narrow"/>
            <scheme val="minor"/>
          </rPr>
          <t>======
ID#AAABjx7qSuc
    (2025-05-21 11:33:26)
0401 Bruce告知一組LED閃爍，後無反應，請廠商來看。</t>
        </r>
      </text>
    </comment>
    <comment ref="H4832" authorId="0" shapeId="0" xr:uid="{E9D4FF0B-8836-CB4B-AD74-C73A0111302B}">
      <text>
        <r>
          <rPr>
            <sz val="10"/>
            <color rgb="FF000000"/>
            <rFont val="Aptos Narrow"/>
            <scheme val="minor"/>
          </rPr>
          <t>======
ID#AAABjx7qP8E
    (2025-05-21 11:33:24)
alice:2019/05/17水單通知USD19768沖3/4A $1995.3/4A-1$4152.3/4A-1-F $232.3/8B-F $57.12/21A-2-F $144.3/4A-1 $189.10/22C-2 $10227.12/21A-1 $2772.如上總計共USD19768</t>
        </r>
      </text>
    </comment>
    <comment ref="K4832" authorId="0" shapeId="0" xr:uid="{6789007D-24D0-6545-9812-8D1F29A2742F}">
      <text>
        <r>
          <rPr>
            <sz val="10"/>
            <color rgb="FF000000"/>
            <rFont val="Aptos Narrow"/>
            <scheme val="minor"/>
          </rPr>
          <t>======
ID#AAABjx7qRrE
    (2025-05-21 11:33:25)
0401 Bruce告知一組LED閃爍，後無反應，請廠商來看。</t>
        </r>
      </text>
    </comment>
    <comment ref="D4833" authorId="0" shapeId="0" xr:uid="{2C028196-E116-844B-A064-5B29B92918F2}">
      <text>
        <r>
          <rPr>
            <sz val="10"/>
            <color rgb="FF000000"/>
            <rFont val="Aptos Narrow"/>
            <scheme val="minor"/>
          </rPr>
          <t>======
ID#AAABjx7qTVU
    (2025-05-21 11:33:26)
0306 請Tammy 下單  
0305 客人有revise order</t>
        </r>
      </text>
    </comment>
    <comment ref="H4833" authorId="0" shapeId="0" xr:uid="{9997FAB1-6A8E-7746-B21B-FBBA05285DD3}">
      <text>
        <r>
          <rPr>
            <sz val="10"/>
            <color rgb="FF000000"/>
            <rFont val="Aptos Narrow"/>
            <scheme val="minor"/>
          </rPr>
          <t>======
ID#AAABjx7qRXU
    (2025-05-21 11:33:25)
0312 chloe:匯款匯入US2055-11(手續費)</t>
        </r>
      </text>
    </comment>
    <comment ref="D4834" authorId="0" shapeId="0" xr:uid="{2D411557-19A8-BC4B-975A-43139E3FCB94}">
      <text>
        <r>
          <rPr>
            <sz val="10"/>
            <color rgb="FF000000"/>
            <rFont val="Aptos Narrow"/>
            <scheme val="minor"/>
          </rPr>
          <t>======
ID#AAABjx7qR6Q
    (2025-05-21 11:33:25)
0306 請Tammy 下單  
0305 客人有revise order</t>
        </r>
      </text>
    </comment>
    <comment ref="H4834" authorId="0" shapeId="0" xr:uid="{94E788F4-23FF-254E-9D7B-E7D7050824C0}">
      <text>
        <r>
          <rPr>
            <sz val="10"/>
            <color rgb="FF000000"/>
            <rFont val="Aptos Narrow"/>
            <scheme val="minor"/>
          </rPr>
          <t>======
ID#AAABj82dpOQ
    (2025-05-21 11:33:23)
0312 chloe:匯款匯入US2055-11(手續費)</t>
        </r>
      </text>
    </comment>
    <comment ref="E4835" authorId="0" shapeId="0" xr:uid="{DBFCC4DC-2C77-A747-8EF5-1F14BB6C2047}">
      <text>
        <r>
          <rPr>
            <sz val="10"/>
            <color rgb="FF000000"/>
            <rFont val="Aptos Narrow"/>
            <scheme val="minor"/>
          </rPr>
          <t>======
ID#AAABjx7qMxo
    (2025-05-21 11:33:23)
TAICB1033667		TAICB1033678		TAICB1033679		TAICB1033703	
TAICB1033715		TAICB1033727		TAICB1033739		TAICB1033751	
TAICB1033763		TAICB1033811</t>
        </r>
      </text>
    </comment>
    <comment ref="G4835" authorId="0" shapeId="0" xr:uid="{8D2E4CE7-D8E6-D54A-ABAB-BD69845DFC41}">
      <text>
        <r>
          <rPr>
            <sz val="10"/>
            <color rgb="FF000000"/>
            <rFont val="Aptos Narrow"/>
            <scheme val="minor"/>
          </rPr>
          <t>======
ID#AAABjx7qTDk
    (2025-05-21 11:33:26)
w/5%VAT</t>
        </r>
      </text>
    </comment>
    <comment ref="H4835" authorId="0" shapeId="0" xr:uid="{EF948768-7DA4-1341-84A0-09FAEEA51143}">
      <text>
        <r>
          <rPr>
            <sz val="10"/>
            <color rgb="FF000000"/>
            <rFont val="Aptos Narrow"/>
            <scheme val="minor"/>
          </rPr>
          <t>======
ID#AAABjx7qQJ0
    (2025-05-21 11:33:25)
ALICE:5/27-銀行匯入NT69487</t>
        </r>
      </text>
    </comment>
    <comment ref="E4836" authorId="0" shapeId="0" xr:uid="{08907312-6947-9B45-BE8E-CA968480BEB4}">
      <text>
        <r>
          <rPr>
            <sz val="10"/>
            <color rgb="FF000000"/>
            <rFont val="Aptos Narrow"/>
            <scheme val="minor"/>
          </rPr>
          <t>======
ID#AAABjx7qTNo
    (2025-05-21 11:33:26)
下單請用FPM2150GR3B1601E-T
出貨文件上秀:
FPM-2150G-R3BE
(FPM2150GRB1601E-T)</t>
        </r>
      </text>
    </comment>
    <comment ref="H4836" authorId="0" shapeId="0" xr:uid="{096BB93D-A03D-0E49-9DAA-419819B36C71}">
      <text>
        <r>
          <rPr>
            <sz val="10"/>
            <color rgb="FF000000"/>
            <rFont val="Aptos Narrow"/>
            <scheme val="minor"/>
          </rPr>
          <t>======
ID#AAABjx7qNz0
    (2025-05-21 11:33:23)
ALICE:5/3收到USD12965.5(沖PI-20190121B.PI20190217A.PI-20190131C.PI-20190313A.PI-20190306A)</t>
        </r>
      </text>
    </comment>
    <comment ref="H4837" authorId="0" shapeId="0" xr:uid="{2A36F459-CF29-2F4F-B3C0-AD199DD576B9}">
      <text>
        <r>
          <rPr>
            <sz val="10"/>
            <color rgb="FF000000"/>
            <rFont val="Aptos Narrow"/>
            <scheme val="minor"/>
          </rPr>
          <t>======
ID#AAABjx7qMrs
    (2025-05-21 11:33:23)
ALICE:5/3收到USD12965.5(沖PI-20190121B.PI20190217A.PI-20190131C.PI-20190313A.PI-20190306A)</t>
        </r>
      </text>
    </comment>
    <comment ref="H4838" authorId="0" shapeId="0" xr:uid="{F8B05237-D0AB-6041-8839-CC45B8C38CB3}">
      <text>
        <r>
          <rPr>
            <sz val="10"/>
            <color rgb="FF000000"/>
            <rFont val="Aptos Narrow"/>
            <scheme val="minor"/>
          </rPr>
          <t>======
ID#AAABjx7qTR0
    (2025-05-21 11:33:26)
ALICE:5/3收到USD12965.5(沖PI-20190121B.PI20190217A.PI-20190131C.PI-20190313A.PI-20190306A)</t>
        </r>
      </text>
    </comment>
    <comment ref="H4839" authorId="0" shapeId="0" xr:uid="{77613BAF-8224-654F-A1A9-269D2A2EF0E9}">
      <text>
        <r>
          <rPr>
            <sz val="10"/>
            <color rgb="FF000000"/>
            <rFont val="Aptos Narrow"/>
            <scheme val="minor"/>
          </rPr>
          <t>======
ID#AAABjx7qPVc
    (2025-05-21 11:33:24)
ALICE:5/3收到USD12965.5(沖PI-20190121B.PI20190217A.PI-20190131C.PI-20190313A.PI-20190306A)</t>
        </r>
      </text>
    </comment>
    <comment ref="H4840" authorId="0" shapeId="0" xr:uid="{258D4BBB-AB40-5240-9815-90FFD5ACFAE7}">
      <text>
        <r>
          <rPr>
            <sz val="10"/>
            <color rgb="FF000000"/>
            <rFont val="Aptos Narrow"/>
            <scheme val="minor"/>
          </rPr>
          <t>======
ID#AAABjx7qPAU
    (2025-05-21 11:33:24)
ALICE:5/3收到USD12965.5(沖PI-20190121B.PI20190217A.PI-20190131C.PI-20190313A.PI-20190306A)</t>
        </r>
      </text>
    </comment>
    <comment ref="H4841" authorId="0" shapeId="0" xr:uid="{A8C6E4A0-FDBD-864A-9231-E9311BD4D257}">
      <text>
        <r>
          <rPr>
            <sz val="10"/>
            <color rgb="FF000000"/>
            <rFont val="Aptos Narrow"/>
            <scheme val="minor"/>
          </rPr>
          <t>======
ID#AAABjx7qVO8
    (2025-05-21 11:33:27)
ALICE:201904/10水單匯入USD11416*30.78
沖(229+2394+326+34+5274+3066+103)=11426</t>
        </r>
      </text>
    </comment>
    <comment ref="H4842" authorId="0" shapeId="0" xr:uid="{18957879-435F-9649-862D-6659138CCEAC}">
      <text>
        <r>
          <rPr>
            <sz val="10"/>
            <color rgb="FF000000"/>
            <rFont val="Aptos Narrow"/>
            <scheme val="minor"/>
          </rPr>
          <t>======
ID#AAABjx7qOLQ
    (2025-05-21 11:33:24)
ALICE:2019/05/02-水單匯入USD21462.5</t>
        </r>
      </text>
    </comment>
    <comment ref="AK4842" authorId="0" shapeId="0" xr:uid="{C2D12719-AE18-3645-8008-5A59B192AD2A}">
      <text>
        <r>
          <rPr>
            <sz val="10"/>
            <color rgb="FF000000"/>
            <rFont val="Aptos Narrow"/>
            <scheme val="minor"/>
          </rPr>
          <t>======
ID#AAABjx7qPnE
    (2025-05-21 11:33:24)
ALICE:2019/05/02-水單匯入USD21462.5-(匯出手續費USD10+匯入手續費USD10.73)=USD21441.77*30.84=NT661264</t>
        </r>
      </text>
    </comment>
    <comment ref="AL4842" authorId="0" shapeId="0" xr:uid="{8B90C9CF-44E7-4643-B70E-7ED86E154EBA}">
      <text>
        <r>
          <rPr>
            <sz val="10"/>
            <color rgb="FF000000"/>
            <rFont val="Aptos Narrow"/>
            <scheme val="minor"/>
          </rPr>
          <t>======
ID#AAABjx7qWSg
    (2025-05-21 11:33:27)
ALICE:2019/05/02-水單匯入USD21462.5-(匯出手續費USD10+匯入手續費USD10.73)=USD21441.77*30.84=NT661264</t>
        </r>
      </text>
    </comment>
    <comment ref="H4843" authorId="0" shapeId="0" xr:uid="{8F819E1F-9B57-6348-A511-A595BAEB2EDA}">
      <text>
        <r>
          <rPr>
            <sz val="10"/>
            <color rgb="FF000000"/>
            <rFont val="Aptos Narrow"/>
            <scheme val="minor"/>
          </rPr>
          <t>======
ID#AAABjx7qNo0
    (2025-05-21 11:33:23)
0312 chloe:匯款匯入 US172-32(手續費)</t>
        </r>
      </text>
    </comment>
    <comment ref="K4843" authorId="0" shapeId="0" xr:uid="{7ABF6595-4BFB-8A43-9BBB-8CBE8AF9D1CE}">
      <text>
        <r>
          <rPr>
            <sz val="10"/>
            <color rgb="FF000000"/>
            <rFont val="Aptos Narrow"/>
            <scheme val="minor"/>
          </rPr>
          <t>======
ID#AAABjx7qSxA
    (2025-05-21 11:33:26)
0325 Cathy:客人無回應是否要與新訂單一併出貨，尚未收到運費</t>
        </r>
      </text>
    </comment>
    <comment ref="H4844" authorId="0" shapeId="0" xr:uid="{1BB555C7-D045-A443-A38E-338E5272E04C}">
      <text>
        <r>
          <rPr>
            <sz val="10"/>
            <color rgb="FF000000"/>
            <rFont val="Aptos Narrow"/>
            <scheme val="minor"/>
          </rPr>
          <t>======
ID#AAABjx7qRm4
    (2025-05-21 11:33:25)
0312 chloe:匯款匯入 US172-32(手續費)</t>
        </r>
      </text>
    </comment>
    <comment ref="K4844" authorId="0" shapeId="0" xr:uid="{F7754566-0E9B-754B-8A7C-95ED5DA890AE}">
      <text>
        <r>
          <rPr>
            <sz val="10"/>
            <color rgb="FF000000"/>
            <rFont val="Aptos Narrow"/>
            <scheme val="minor"/>
          </rPr>
          <t>======
ID#AAABjx7qQvc
    (2025-05-21 11:33:25)
0325 Cathy:客人無回應是否要與新訂單一併出貨，尚未收到運費</t>
        </r>
      </text>
    </comment>
    <comment ref="H4845" authorId="0" shapeId="0" xr:uid="{C25E5386-7F91-8745-8F54-BC4A51ADA38B}">
      <text>
        <r>
          <rPr>
            <sz val="10"/>
            <color rgb="FF000000"/>
            <rFont val="Aptos Narrow"/>
            <scheme val="minor"/>
          </rPr>
          <t>======
ID#AAABjx7qQ7k
    (2025-05-21 11:33:25)
0328 chloe:匯款匯入US28</t>
        </r>
      </text>
    </comment>
    <comment ref="K4845" authorId="0" shapeId="0" xr:uid="{B6173F7C-5A55-F343-9825-8BD6BB38943E}">
      <text>
        <r>
          <rPr>
            <sz val="10"/>
            <color rgb="FF000000"/>
            <rFont val="Aptos Narrow"/>
            <scheme val="minor"/>
          </rPr>
          <t>======
ID#AAABj82dpLc
    (2025-05-21 11:33:23)
0325 Cathy:客人無回應是否要與新訂單一併出貨，尚未收到運費</t>
        </r>
      </text>
    </comment>
    <comment ref="H4846" authorId="0" shapeId="0" xr:uid="{36C44069-D949-A742-96EF-F70DB1701991}">
      <text>
        <r>
          <rPr>
            <sz val="10"/>
            <color rgb="FF000000"/>
            <rFont val="Aptos Narrow"/>
            <scheme val="minor"/>
          </rPr>
          <t>======
ID#AAABjx7qO7o
    (2025-05-21 11:33:24)
ALICE:5/3收到USD12965.5(沖PI-20190121B.PI20190217A.PI-20190131C.PI-20190313A.PI-20190306A)</t>
        </r>
      </text>
    </comment>
    <comment ref="H4847" authorId="0" shapeId="0" xr:uid="{9994E19D-C6EF-F94A-B523-E8CA16DAA300}">
      <text>
        <r>
          <rPr>
            <sz val="10"/>
            <color rgb="FF000000"/>
            <rFont val="Aptos Narrow"/>
            <scheme val="minor"/>
          </rPr>
          <t>======
ID#AAABjx7qRTs
    (2025-05-21 11:33:25)
ALICE:5/3收到USD12965.5(沖PI-20190121B.PI20190217A.PI-20190131C.PI-20190313A.PI-20190306A)</t>
        </r>
      </text>
    </comment>
    <comment ref="H4848" authorId="0" shapeId="0" xr:uid="{E416C046-59A4-8F4C-9C77-6FD33BEA8ABB}">
      <text>
        <r>
          <rPr>
            <sz val="10"/>
            <color rgb="FF000000"/>
            <rFont val="Aptos Narrow"/>
            <scheme val="minor"/>
          </rPr>
          <t>======
ID#AAABjx7qQ6g
    (2025-05-21 11:33:25)
ALICE:5/3收到USD12965.5(沖PI-20190121B.PI20190217A.PI-20190131C.PI-20190313A.PI-20190306A)</t>
        </r>
      </text>
    </comment>
    <comment ref="H4849" authorId="0" shapeId="0" xr:uid="{C63D5D1B-B5C5-6349-9CB7-57151E53ACB1}">
      <text>
        <r>
          <rPr>
            <sz val="10"/>
            <color rgb="FF000000"/>
            <rFont val="Aptos Narrow"/>
            <scheme val="minor"/>
          </rPr>
          <t>======
ID#AAABjx7qU8o
    (2025-05-21 11:33:27)
ALICE:2019/05/02-水單匯入USD21462.5</t>
        </r>
      </text>
    </comment>
    <comment ref="AK4849" authorId="0" shapeId="0" xr:uid="{76B32EC3-6B91-1540-A015-48BA67BE7BA5}">
      <text>
        <r>
          <rPr>
            <sz val="10"/>
            <color rgb="FF000000"/>
            <rFont val="Aptos Narrow"/>
            <scheme val="minor"/>
          </rPr>
          <t>======
ID#AAABjx7qWMk
    (2025-05-21 11:33:27)
ALICE:2019/05/02-水單匯入USD21462.5-(匯出手續費USD10+匯入手續費USD10.73)=USD21441.77*30.84=NT661264</t>
        </r>
      </text>
    </comment>
    <comment ref="AL4849" authorId="0" shapeId="0" xr:uid="{B335CE41-D44B-294E-97D2-F67435AF6D7F}">
      <text>
        <r>
          <rPr>
            <sz val="10"/>
            <color rgb="FF000000"/>
            <rFont val="Aptos Narrow"/>
            <scheme val="minor"/>
          </rPr>
          <t>======
ID#AAABjx7qOpE
    (2025-05-21 11:33:24)
ALICE:2019/05/02-水單匯入USD21462.5-(匯出手續費USD10+匯入手續費USD10.73)=USD21441.77*30.84=NT661264</t>
        </r>
      </text>
    </comment>
    <comment ref="H4850" authorId="0" shapeId="0" xr:uid="{DA65A090-B0B2-114E-A71C-70CB73221FFB}">
      <text>
        <r>
          <rPr>
            <sz val="10"/>
            <color rgb="FF000000"/>
            <rFont val="Aptos Narrow"/>
            <scheme val="minor"/>
          </rPr>
          <t>======
ID#AAABjx7qQOE
    (2025-05-21 11:33:25)
alice:2019/04/25水單通知匯入USD1931*30.86=NT59591元整  無手續費 沖(125+1400+14+42+350)</t>
        </r>
      </text>
    </comment>
    <comment ref="H4851" authorId="0" shapeId="0" xr:uid="{8584B681-604C-E946-B1C4-BD52E6CEA25A}">
      <text>
        <r>
          <rPr>
            <sz val="10"/>
            <color rgb="FF000000"/>
            <rFont val="Aptos Narrow"/>
            <scheme val="minor"/>
          </rPr>
          <t>======
ID#AAABjx7qO3k
    (2025-05-21 11:33:24)
alice:6/20銀行水單匯入USD4462 沖PI20190107A.PI-20190318B.PI-20190508B.PI-20181022C-2-F</t>
        </r>
      </text>
    </comment>
    <comment ref="H4852" authorId="0" shapeId="0" xr:uid="{2ED47697-06E0-954D-B102-B5538E789DCC}">
      <text>
        <r>
          <rPr>
            <sz val="10"/>
            <color rgb="FF000000"/>
            <rFont val="Aptos Narrow"/>
            <scheme val="minor"/>
          </rPr>
          <t>======
ID#AAABjx7qP7M
    (2025-05-21 11:33:24)
alice:6/20銀行水單匯入USD4462 沖PI20190107A.PI-20190318B.PI-20190508B.PI-20181022C-2-F</t>
        </r>
      </text>
    </comment>
    <comment ref="H4853" authorId="0" shapeId="0" xr:uid="{95849E9B-A999-824B-A092-41ED02AB8DD0}">
      <text>
        <r>
          <rPr>
            <sz val="10"/>
            <color rgb="FF000000"/>
            <rFont val="Aptos Narrow"/>
            <scheme val="minor"/>
          </rPr>
          <t>======
ID#AAABjx7qM4g
    (2025-05-21 11:33:23)
alice:6/20銀行水單匯入USD4462 沖PI20190107A.PI-20190318B.PI-20190508B.PI-20181022C-2-F</t>
        </r>
      </text>
    </comment>
    <comment ref="H4854" authorId="0" shapeId="0" xr:uid="{783EB31D-0B26-0146-8924-BC2A34E49CE6}">
      <text>
        <r>
          <rPr>
            <sz val="10"/>
            <color rgb="FF000000"/>
            <rFont val="Aptos Narrow"/>
            <scheme val="minor"/>
          </rPr>
          <t>======
ID#AAABjx7qOPQ
    (2025-05-21 11:33:24)
3/22 chloe:匯入US394-15(手續費)</t>
        </r>
      </text>
    </comment>
    <comment ref="H4855" authorId="0" shapeId="0" xr:uid="{72398F5A-A9BD-014B-9710-211D6070CC05}">
      <text>
        <r>
          <rPr>
            <sz val="10"/>
            <color rgb="FF000000"/>
            <rFont val="Aptos Narrow"/>
            <scheme val="minor"/>
          </rPr>
          <t>======
ID#AAABjx7qR5s
    (2025-05-21 11:33:25)
3/22 chloe:匯入US394-15(手續費)</t>
        </r>
      </text>
    </comment>
    <comment ref="H4856" authorId="0" shapeId="0" xr:uid="{C38A79AA-5011-0243-923B-A8CC14E78544}">
      <text>
        <r>
          <rPr>
            <sz val="10"/>
            <color rgb="FF000000"/>
            <rFont val="Aptos Narrow"/>
            <scheme val="minor"/>
          </rPr>
          <t>======
ID#AAABjx7qPaM
    (2025-05-21 11:33:24)
alice:5/10-水單通知usd3751-匯出手續費20-匯入手續費6.46=USD3724.54*30.94=NT115,237元整
沖20190320B USD1270
沖20190322A USD2481
合計總沖USD3751元整</t>
        </r>
      </text>
    </comment>
    <comment ref="H4857" authorId="0" shapeId="0" xr:uid="{A700BEAC-9D1E-C847-8B2F-52575FB7F488}">
      <text>
        <r>
          <rPr>
            <sz val="10"/>
            <color rgb="FF000000"/>
            <rFont val="Aptos Narrow"/>
            <scheme val="minor"/>
          </rPr>
          <t>======
ID#AAABjx7qN8g
    (2025-05-21 11:33:23)
ALICE:5/16-銀行水單通知USD5169(沖PO0131D-1 4285.PI-0320-B 175.PI-4/8-A 709)共三筆</t>
        </r>
      </text>
    </comment>
    <comment ref="G4858" authorId="0" shapeId="0" xr:uid="{83D5D581-3FEB-9945-81CC-617A1F04C58B}">
      <text>
        <r>
          <rPr>
            <sz val="10"/>
            <color rgb="FF000000"/>
            <rFont val="Aptos Narrow"/>
            <scheme val="minor"/>
          </rPr>
          <t>======
ID#AAABjx7qM-I
    (2025-05-21 11:33:23)
190321 w/5% VAT</t>
        </r>
      </text>
    </comment>
    <comment ref="H4858" authorId="0" shapeId="0" xr:uid="{E6B6101D-08B7-A041-AE21-F6DBAC1E7AAD}">
      <text>
        <r>
          <rPr>
            <sz val="10"/>
            <color rgb="FF000000"/>
            <rFont val="Aptos Narrow"/>
            <scheme val="minor"/>
          </rPr>
          <t>======
ID#AAABjx7qOX8
    (2025-05-21 11:33:24)
ALICE:6/10--黃山ATM轉入18788</t>
        </r>
      </text>
    </comment>
    <comment ref="H4859" authorId="0" shapeId="0" xr:uid="{9D13C616-48F6-2C4E-A581-ADC4074B6B19}">
      <text>
        <r>
          <rPr>
            <sz val="10"/>
            <color rgb="FF000000"/>
            <rFont val="Aptos Narrow"/>
            <scheme val="minor"/>
          </rPr>
          <t>======
ID#AAABjx7qQeg
    (2025-05-21 11:33:25)
alice:5/10-水單通知usd3751-匯出手續費20-匯入手續費6.46=USD3724.54*30.94=NT115,237元整
沖20190320B USD1270
沖20190322A USD2481
合計總沖USD3751元整</t>
        </r>
      </text>
    </comment>
    <comment ref="H4860" authorId="0" shapeId="0" xr:uid="{90277ECE-A81B-EC45-93C8-176A969F30D6}">
      <text>
        <r>
          <rPr>
            <sz val="10"/>
            <color rgb="FF000000"/>
            <rFont val="Aptos Narrow"/>
            <scheme val="minor"/>
          </rPr>
          <t>======
ID#AAABjx7qRtQ
    (2025-05-21 11:33:25)
alice:5/10-水單通知usd3751-匯出手續費20-匯入手續費6.46=USD3724.54*30.94=NT115,237元整
沖20190320B USD1270
沖20190322A USD2481
合計總沖USD3751元整</t>
        </r>
      </text>
    </comment>
    <comment ref="H4861" authorId="0" shapeId="0" xr:uid="{516F530F-B1F1-4A4C-BCC2-420414432F80}">
      <text>
        <r>
          <rPr>
            <sz val="10"/>
            <color rgb="FF000000"/>
            <rFont val="Aptos Narrow"/>
            <scheme val="minor"/>
          </rPr>
          <t>======
ID#AAABjx7qQ6A
    (2025-05-21 11:33:25)
alice:5/10-水單通知usd3751-匯出手續費20-匯入手續費6.46=USD3724.54*30.94=NT115,237元整
沖20190320B USD1270
沖20190322A USD2481
合計總沖USD3751元整</t>
        </r>
      </text>
    </comment>
    <comment ref="H4862" authorId="0" shapeId="0" xr:uid="{8E936EF3-3AFE-D04F-A75A-0672131BA2BC}">
      <text>
        <r>
          <rPr>
            <sz val="10"/>
            <color rgb="FF000000"/>
            <rFont val="Aptos Narrow"/>
            <scheme val="minor"/>
          </rPr>
          <t>======
ID#AAABjx7qNDg
    (2025-05-21 11:33:23)
alice:5/10-水單通知usd3751-匯出手續費20-匯入手續費6.46=USD3724.54*30.94=NT115,237元整
沖20190320B USD1270
沖20190322A USD2481
合計總沖USD3751元整</t>
        </r>
      </text>
    </comment>
    <comment ref="H4863" authorId="0" shapeId="0" xr:uid="{DBD97184-0735-4E43-97EB-5799D3BF7E28}">
      <text>
        <r>
          <rPr>
            <sz val="10"/>
            <color rgb="FF000000"/>
            <rFont val="Aptos Narrow"/>
            <scheme val="minor"/>
          </rPr>
          <t>======
ID#AAABjx7qTLM
    (2025-05-21 11:33:26)
alice:5/10-水單通知usd3751-匯出手續費20-匯入手續費6.46=USD3724.54*30.94=NT115,237元整
沖20190320B USD1270
沖20190322A USD2481
合計總沖USD3751元整</t>
        </r>
      </text>
    </comment>
    <comment ref="H4864" authorId="0" shapeId="0" xr:uid="{496350E8-820E-4445-B388-77D4A9C7D7FC}">
      <text>
        <r>
          <rPr>
            <sz val="10"/>
            <color rgb="FF000000"/>
            <rFont val="Aptos Narrow"/>
            <scheme val="minor"/>
          </rPr>
          <t>======
ID#AAABjx7qVbU
    (2025-05-21 11:33:27)
alice:5/10-水單通知usd3751-匯出手續費20-匯入手續費6.46=USD3724.54*30.94=NT115,237元整
沖20190320B USD1270
沖20190322A USD2481
合計總沖USD3751元整</t>
        </r>
      </text>
    </comment>
    <comment ref="H4865" authorId="0" shapeId="0" xr:uid="{2529D012-3F25-D743-856E-F046F96E728C}">
      <text>
        <r>
          <rPr>
            <sz val="10"/>
            <color rgb="FF000000"/>
            <rFont val="Aptos Narrow"/>
            <scheme val="minor"/>
          </rPr>
          <t>======
ID#AAABjx7qTRU
    (2025-05-21 11:33:26)
alice:5/10-水單通知usd3751-匯出手續費20-匯入手續費6.46=USD3724.54*30.94=NT115,237元整
沖20190320B USD1270
沖20190322A USD2481
合計總沖USD3751元整</t>
        </r>
      </text>
    </comment>
    <comment ref="G4866" authorId="0" shapeId="0" xr:uid="{BBD77468-2CA0-C244-96CA-1DB29ADFCCCA}">
      <text>
        <r>
          <rPr>
            <sz val="10"/>
            <color rgb="FF000000"/>
            <rFont val="Aptos Narrow"/>
            <scheme val="minor"/>
          </rPr>
          <t>======
ID#AAABjx7qOg0
    (2025-05-21 11:33:24)
w/5%VAT</t>
        </r>
      </text>
    </comment>
    <comment ref="H4866" authorId="0" shapeId="0" xr:uid="{23366A5D-7D56-6448-9273-5314CAB8EDD0}">
      <text>
        <r>
          <rPr>
            <sz val="10"/>
            <color rgb="FF000000"/>
            <rFont val="Aptos Narrow"/>
            <scheme val="minor"/>
          </rPr>
          <t>======
ID#AAABjx7qOBo
    (2025-05-21 11:33:24)
ALICE:5/27-銀行匯入NT69487</t>
        </r>
      </text>
    </comment>
    <comment ref="H4867" authorId="0" shapeId="0" xr:uid="{3A520DE5-64EC-C448-A607-B29726985BE6}">
      <text>
        <r>
          <rPr>
            <sz val="10"/>
            <color rgb="FF000000"/>
            <rFont val="Aptos Narrow"/>
            <scheme val="minor"/>
          </rPr>
          <t>======
ID#AAABjx7qNuw
    (2025-05-21 11:33:23)
0403 chloe:匯款匯入247,928</t>
        </r>
      </text>
    </comment>
    <comment ref="D4868" authorId="0" shapeId="0" xr:uid="{E3473999-34E2-894F-A451-965C8064160E}">
      <text>
        <r>
          <rPr>
            <sz val="10"/>
            <color rgb="FF000000"/>
            <rFont val="Aptos Narrow"/>
            <scheme val="minor"/>
          </rPr>
          <t>======
ID#AAABjx7qSkk
    (2025-05-21 11:33:26)
3026 葛:客供剩料75</t>
        </r>
      </text>
    </comment>
    <comment ref="H4868" authorId="0" shapeId="0" xr:uid="{D6581683-8E67-4940-9571-73250EEC09EC}">
      <text>
        <r>
          <rPr>
            <sz val="10"/>
            <color rgb="FF000000"/>
            <rFont val="Aptos Narrow"/>
            <scheme val="minor"/>
          </rPr>
          <t>======
ID#AAABjx7qTsE
    (2025-05-21 11:33:26)
alice:2019/05/17水單通知USD19768沖3/4A $1995.3/4A-1$4152.3/4A-1-F $232.3/8B-F $57.12/21A-2-F $144.3/4A-1 $189.10/22C-2 $10227.12/21A-1 $2772.如上總計共USD19768</t>
        </r>
      </text>
    </comment>
    <comment ref="D4869" authorId="0" shapeId="0" xr:uid="{EF40283F-B27B-FF4B-B394-3B3DA3B03E2C}">
      <text>
        <r>
          <rPr>
            <sz val="10"/>
            <color rgb="FF000000"/>
            <rFont val="Aptos Narrow"/>
            <scheme val="minor"/>
          </rPr>
          <t>======
ID#AAABjx7qSBE
    (2025-05-21 11:33:25)
3026 葛:客供剩料75
0425Amy, this is DHL Freight, no. should be PI-20190304A-F ( PI NO. has been changed by someone....Delete F by mistake)</t>
        </r>
      </text>
    </comment>
    <comment ref="H4869" authorId="0" shapeId="0" xr:uid="{EB39DAD3-6AFB-C941-9531-847A6C7DA914}">
      <text>
        <r>
          <rPr>
            <sz val="10"/>
            <color rgb="FF000000"/>
            <rFont val="Aptos Narrow"/>
            <scheme val="minor"/>
          </rPr>
          <t>======
ID#AAABjx7qNcg
    (2025-05-21 11:33:23)
alice:2019/05/17水單通知USD19768沖3/4A $1995.3/4A-1$4152.3/4A-1-F $232.3/8B-F $57.12/21A-2-F $144.3/4A-1 $189.10/22C-2 $10227.12/21A-1 $2772.如上總計共USD19768</t>
        </r>
      </text>
    </comment>
    <comment ref="H4870" authorId="0" shapeId="0" xr:uid="{823935E9-1234-3B44-8C0E-208D4E97837E}">
      <text>
        <r>
          <rPr>
            <sz val="10"/>
            <color rgb="FF000000"/>
            <rFont val="Aptos Narrow"/>
            <scheme val="minor"/>
          </rPr>
          <t>======
ID#AAABjx7qRuk
    (2025-05-21 11:33:25)
Chloe:2019/4/19 水單匯入USB702.10-手續費USD 0=USD702.10</t>
        </r>
      </text>
    </comment>
    <comment ref="H4871" authorId="0" shapeId="0" xr:uid="{EB15F98C-D26A-334D-9AE5-D49848151E48}">
      <text>
        <r>
          <rPr>
            <sz val="10"/>
            <color rgb="FF000000"/>
            <rFont val="Aptos Narrow"/>
            <scheme val="minor"/>
          </rPr>
          <t>======
ID#AAABjx7qQ4k
    (2025-05-21 11:33:25)
Chloe:2019/4/19 水單匯入USB702.10-手續費USD 0=USD702.10</t>
        </r>
      </text>
    </comment>
    <comment ref="H4872" authorId="0" shapeId="0" xr:uid="{78AD5A6E-3A68-3C45-A4A7-344582961D11}">
      <text>
        <r>
          <rPr>
            <sz val="10"/>
            <color rgb="FF000000"/>
            <rFont val="Aptos Narrow"/>
            <scheme val="minor"/>
          </rPr>
          <t>======
ID#AAABjx7qTX0
    (2025-05-21 11:33:26)
Chloe:2019/4/19 水單匯入USB702.10-手續費USD 0=USD702.10</t>
        </r>
      </text>
    </comment>
    <comment ref="AK4872" authorId="0" shapeId="0" xr:uid="{8DE82B9C-A1D8-BA4F-97CD-6222A57618B9}">
      <text>
        <r>
          <rPr>
            <sz val="10"/>
            <color rgb="FF000000"/>
            <rFont val="Aptos Narrow"/>
            <scheme val="minor"/>
          </rPr>
          <t>======
ID#AAABjx7qO-k
    (2025-05-21 11:33:24)
ALICE:成交總額USD702.1 ，2019/04/19水單匯入USD702.1-手續費USD6.5=USD695.6*30.78=NT21411元整</t>
        </r>
      </text>
    </comment>
    <comment ref="AL4872" authorId="0" shapeId="0" xr:uid="{5DEC688A-60B6-8148-AE4D-7C668748C541}">
      <text>
        <r>
          <rPr>
            <sz val="10"/>
            <color rgb="FF000000"/>
            <rFont val="Aptos Narrow"/>
            <scheme val="minor"/>
          </rPr>
          <t>======
ID#AAABjx7qU5g
    (2025-05-21 11:33:27)
ALICE:成交總額USD702.1 ，2019/04/18水單匯入USD702.1-手續費USD6.5=USD695.6*30.78=NT21411元整</t>
        </r>
      </text>
    </comment>
    <comment ref="E4873" authorId="0" shapeId="0" xr:uid="{118296D5-66DB-CA4C-9FFC-AD38AD748943}">
      <text>
        <r>
          <rPr>
            <sz val="10"/>
            <color rgb="FF000000"/>
            <rFont val="Aptos Narrow"/>
            <scheme val="minor"/>
          </rPr>
          <t>======
ID#AAABjx7qPY4
    (2025-05-21 11:33:24)
7/23Amy: Santiago agree to reduce 50% price if the goods not approved by end customer ( issue credit note: 20190627)</t>
        </r>
      </text>
    </comment>
    <comment ref="H4873" authorId="0" shapeId="0" xr:uid="{BE25B7B3-0D9E-C444-9B04-385BE5005261}">
      <text>
        <r>
          <rPr>
            <sz val="10"/>
            <color rgb="FF000000"/>
            <rFont val="Aptos Narrow"/>
            <scheme val="minor"/>
          </rPr>
          <t>======
ID#AAABjx7qTRQ
    (2025-05-21 11:33:26)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4874" authorId="0" shapeId="0" xr:uid="{F7D877FA-5B90-E549-9C9A-54DD5AE5D9DD}">
      <text>
        <r>
          <rPr>
            <sz val="10"/>
            <color rgb="FF000000"/>
            <rFont val="Aptos Narrow"/>
            <scheme val="minor"/>
          </rPr>
          <t>======
ID#AAABjx7qNYo
    (2025-05-21 11:33:23)
Chloe:2019/4/19 水單匯入USB702.10-手續費USD 0=USD702.10</t>
        </r>
      </text>
    </comment>
    <comment ref="E4875" authorId="0" shapeId="0" xr:uid="{BD17B6C6-E8FC-BF4F-85CA-50D5379C1219}">
      <text>
        <r>
          <rPr>
            <sz val="10"/>
            <color rgb="FF000000"/>
            <rFont val="Aptos Narrow"/>
            <scheme val="minor"/>
          </rPr>
          <t>======
ID#AAABjx7qMyI
    (2025-05-21 11:33:23)
0401待amy 確認spec</t>
        </r>
      </text>
    </comment>
    <comment ref="H4875" authorId="0" shapeId="0" xr:uid="{9F7A6006-73DF-D94F-9BF2-CF842951E268}">
      <text>
        <r>
          <rPr>
            <sz val="10"/>
            <color rgb="FF000000"/>
            <rFont val="Aptos Narrow"/>
            <scheme val="minor"/>
          </rPr>
          <t>======
ID#AAABjx7qSnU
    (2025-05-21 11:33:26)
Chloe:2019/4/19 水單匯入USB702.10-手續費USD 0=USD702.10</t>
        </r>
      </text>
    </comment>
    <comment ref="H4876" authorId="0" shapeId="0" xr:uid="{1BD05489-BFA4-3F4A-8370-888D28A430F9}">
      <text>
        <r>
          <rPr>
            <sz val="10"/>
            <color rgb="FF000000"/>
            <rFont val="Aptos Narrow"/>
            <scheme val="minor"/>
          </rPr>
          <t>======
ID#AAABjx7qQ6M
    (2025-05-21 11:33:25)
ALICE:2019/04/08-水單匯入USB1543-手續費USD11=USD1532</t>
        </r>
      </text>
    </comment>
    <comment ref="H4877" authorId="0" shapeId="0" xr:uid="{80639212-0213-FF48-A0F1-3BFCF241F983}">
      <text>
        <r>
          <rPr>
            <sz val="10"/>
            <color rgb="FF000000"/>
            <rFont val="Aptos Narrow"/>
            <scheme val="minor"/>
          </rPr>
          <t>======
ID#AAABjx7qPW4
    (2025-05-21 11:33:24)
ALICE:2019/04/08-水單匯入USB1543-手續費USD11=USD1532</t>
        </r>
      </text>
    </comment>
    <comment ref="H4878" authorId="0" shapeId="0" xr:uid="{64EE0B42-CEBE-FD41-A00F-9E0D1BC65A8B}">
      <text>
        <r>
          <rPr>
            <sz val="10"/>
            <color rgb="FF000000"/>
            <rFont val="Aptos Narrow"/>
            <scheme val="minor"/>
          </rPr>
          <t>======
ID#AAABjx7qTWc
    (2025-05-21 11:33:26)
ALICE:2019/04/08-水單匯入USB1543-手續費USD11=USD1532</t>
        </r>
      </text>
    </comment>
    <comment ref="H4879" authorId="0" shapeId="0" xr:uid="{8587B6BC-EA8F-D740-947D-35633D2710B3}">
      <text>
        <r>
          <rPr>
            <sz val="10"/>
            <color rgb="FF000000"/>
            <rFont val="Aptos Narrow"/>
            <scheme val="minor"/>
          </rPr>
          <t>======
ID#AAABjx7qOe8
    (2025-05-21 11:33:24)
ALICE:2019/04/08-水單匯入USB1543-手續費USD11=USD1532</t>
        </r>
      </text>
    </comment>
    <comment ref="H4880" authorId="0" shapeId="0" xr:uid="{F283C23A-F77F-F349-A7AC-C8E0859E49CA}">
      <text>
        <r>
          <rPr>
            <sz val="10"/>
            <color rgb="FF000000"/>
            <rFont val="Aptos Narrow"/>
            <scheme val="minor"/>
          </rPr>
          <t>======
ID#AAABjx7qNSA
    (2025-05-21 11:33:23)
ALICE:2019/04/08-水單匯入USB1543-手續費USD11=USD1532</t>
        </r>
      </text>
    </comment>
    <comment ref="H4881" authorId="0" shapeId="0" xr:uid="{829269A0-1D4B-5A4D-9831-8334ABCCFF69}">
      <text>
        <r>
          <rPr>
            <sz val="10"/>
            <color rgb="FF000000"/>
            <rFont val="Aptos Narrow"/>
            <scheme val="minor"/>
          </rPr>
          <t>======
ID#AAABjx7qQf8
    (2025-05-21 11:33:25)
ALICE:2019/04/08-水單匯入USB1543-手續費USD11=USD1532</t>
        </r>
      </text>
    </comment>
    <comment ref="D4882" authorId="0" shapeId="0" xr:uid="{C2968981-DCC7-714A-B19A-230A611A9E48}">
      <text>
        <r>
          <rPr>
            <sz val="10"/>
            <color rgb="FF000000"/>
            <rFont val="Aptos Narrow"/>
            <scheme val="minor"/>
          </rPr>
          <t>======
ID#AAABjx7qQvY
    (2025-05-21 11:33:25)
4/3 Amy: 請依照PI開立台幣發票. Thanks.</t>
        </r>
      </text>
    </comment>
    <comment ref="H4882" authorId="0" shapeId="0" xr:uid="{8A3C966A-0585-FF4F-804C-B680DAE3C6A7}">
      <text>
        <r>
          <rPr>
            <sz val="10"/>
            <color rgb="FF000000"/>
            <rFont val="Aptos Narrow"/>
            <scheme val="minor"/>
          </rPr>
          <t>======
ID#AAABjx7qV4E
    (2025-05-21 11:33:27)
ALICE:5/13-CHLOE5通知5/10 戎克台幣匯款匯入</t>
        </r>
      </text>
    </comment>
    <comment ref="E4883" authorId="0" shapeId="0" xr:uid="{7C5D9BDF-9B7C-7B49-9D3B-FA351747264B}">
      <text>
        <r>
          <rPr>
            <sz val="10"/>
            <color rgb="FF000000"/>
            <rFont val="Aptos Narrow"/>
            <scheme val="minor"/>
          </rPr>
          <t>======
ID#AAABjx7qN7I
    (2025-05-21 11:33:23)
1224 chloe:樣品庫存</t>
        </r>
      </text>
    </comment>
    <comment ref="H4883" authorId="0" shapeId="0" xr:uid="{31E2E538-947D-E44B-AF20-305892298937}">
      <text>
        <r>
          <rPr>
            <sz val="10"/>
            <color rgb="FF000000"/>
            <rFont val="Aptos Narrow"/>
            <scheme val="minor"/>
          </rPr>
          <t>======
ID#AAABj82dpJw
    (2025-05-21 11:33:23)
alice:2019/05/17水單通知USD19768沖3/4A $1995.3/4A-1$4152.3/4A-1-F $232.3/8B-F $57.12/21A-2-F $144.3/4A-1 $189.10/22C-2 $10227.12/21A-1 $2772.如上總計共USD19768</t>
        </r>
      </text>
    </comment>
    <comment ref="H4884" authorId="0" shapeId="0" xr:uid="{92A4B5D0-92E5-2240-BE4A-FC9E095EDBA9}">
      <text>
        <r>
          <rPr>
            <sz val="10"/>
            <color rgb="FF000000"/>
            <rFont val="Aptos Narrow"/>
            <scheme val="minor"/>
          </rPr>
          <t>======
ID#AAABjx7qOZM
    (2025-05-21 11:33:24)
ALICE:5/16-銀行水單通知USD5169(沖PO0131D-1 4285.PI-0320-B 175.PI-4/8-A 709)共三筆</t>
        </r>
      </text>
    </comment>
    <comment ref="H4885" authorId="0" shapeId="0" xr:uid="{AE76FC9C-2BB0-C64D-BB34-9C03C01CB302}">
      <text>
        <r>
          <rPr>
            <sz val="10"/>
            <color rgb="FF000000"/>
            <rFont val="Aptos Narrow"/>
            <scheme val="minor"/>
          </rPr>
          <t>======
ID#AAABjx7qSLU
    (2025-05-21 11:33:26)
ALICE:6/17水單匯入USD16108 沖PI-20190227B 8500，沖PI-20190409A 7608</t>
        </r>
      </text>
    </comment>
    <comment ref="H4886" authorId="0" shapeId="0" xr:uid="{83A0F449-5BBF-2140-A7D0-5D9E9C1AB454}">
      <text>
        <r>
          <rPr>
            <sz val="10"/>
            <color rgb="FF000000"/>
            <rFont val="Aptos Narrow"/>
            <scheme val="minor"/>
          </rPr>
          <t>======
ID#AAABjx7qU0Q
    (2025-05-21 11:33:26)
ALICE:6/17水單匯入USD16108 沖PI-20190227B 8500，沖PI-20190409A 7608</t>
        </r>
      </text>
    </comment>
    <comment ref="H4887" authorId="0" shapeId="0" xr:uid="{264E3A96-D466-C94E-BB20-A82B287C168D}">
      <text>
        <r>
          <rPr>
            <sz val="10"/>
            <color rgb="FF000000"/>
            <rFont val="Aptos Narrow"/>
            <scheme val="minor"/>
          </rPr>
          <t>======
ID#AAABjx7qTKE
    (2025-05-21 11:33:26)
Alice:6/17-水單匯入USD10046沖PI-201904096B.PI-20190418A.PI-20190422A.PI-20190307A</t>
        </r>
      </text>
    </comment>
    <comment ref="H4888" authorId="0" shapeId="0" xr:uid="{10B0AD99-9D62-B048-9D2F-D519BC640573}">
      <text>
        <r>
          <rPr>
            <sz val="10"/>
            <color rgb="FF000000"/>
            <rFont val="Aptos Narrow"/>
            <scheme val="minor"/>
          </rPr>
          <t>======
ID#AAABjx7qUtQ
    (2025-05-21 11:33:26)
Alice:6/17-水單匯入USD10046沖PI-201904096B.PI-20190418A.PI-20190422A.PI-20190307A</t>
        </r>
      </text>
    </comment>
    <comment ref="H4889" authorId="0" shapeId="0" xr:uid="{5343FE07-11A9-2E41-BACF-B6A831536416}">
      <text>
        <r>
          <rPr>
            <sz val="10"/>
            <color rgb="FF000000"/>
            <rFont val="Aptos Narrow"/>
            <scheme val="minor"/>
          </rPr>
          <t>======
ID#AAABjx7qVts
    (2025-05-21 11:33:27)
Alice:6/17-水單匯入USD10046沖PI-201904096B.PI-20190418A.PI-20190422A.PI-20190307A</t>
        </r>
      </text>
    </comment>
    <comment ref="H4890" authorId="0" shapeId="0" xr:uid="{8AA104C7-B9CB-3B46-B8C2-1569DB70B369}">
      <text>
        <r>
          <rPr>
            <sz val="10"/>
            <color rgb="FF000000"/>
            <rFont val="Aptos Narrow"/>
            <scheme val="minor"/>
          </rPr>
          <t>======
ID#AAABjx7qPrU
    (2025-05-21 11:33:24)
Alice:6/17-水單匯入USD10046沖PI-201904096B.PI-20190418A.PI-20190422A.PI-20190307A</t>
        </r>
      </text>
    </comment>
    <comment ref="H4891" authorId="0" shapeId="0" xr:uid="{57140039-B6EB-F548-907F-223A26917ACF}">
      <text>
        <r>
          <rPr>
            <sz val="10"/>
            <color rgb="FF000000"/>
            <rFont val="Aptos Narrow"/>
            <scheme val="minor"/>
          </rPr>
          <t>======
ID#AAABjx7qTm4
    (2025-05-21 11:33:26)
Alice:6/17-水單匯入USD10046沖PI-201904096B.PI-20190418A.PI-20190422A.PI-20190307A</t>
        </r>
      </text>
    </comment>
    <comment ref="H4892" authorId="0" shapeId="0" xr:uid="{7F205C1A-3B4B-A24D-A738-DEFA4973554E}">
      <text>
        <r>
          <rPr>
            <sz val="10"/>
            <color rgb="FF000000"/>
            <rFont val="Aptos Narrow"/>
            <scheme val="minor"/>
          </rPr>
          <t>======
ID#AAABjx7qSVI
    (2025-05-21 11:33:26)
Alice:6/17-水單匯入USD10046沖PI-201904096B.PI-20190418A.PI-20190422A.PI-20190307A</t>
        </r>
      </text>
    </comment>
    <comment ref="H4893" authorId="0" shapeId="0" xr:uid="{81F50573-0196-904E-AFFB-0B349AC3F30A}">
      <text>
        <r>
          <rPr>
            <sz val="10"/>
            <color rgb="FF000000"/>
            <rFont val="Aptos Narrow"/>
            <scheme val="minor"/>
          </rPr>
          <t>======
ID#AAABjx7qQTc
    (2025-05-21 11:33:25)
Alice:6/17-水單匯入USD10046沖PI-201904096B.PI-20190418A.PI-20190422A.PI-20190307A</t>
        </r>
      </text>
    </comment>
    <comment ref="E4894" authorId="0" shapeId="0" xr:uid="{FF16FA1B-2936-E746-A4B1-E907B170C7A2}">
      <text>
        <r>
          <rPr>
            <sz val="10"/>
            <color rgb="FF000000"/>
            <rFont val="Aptos Narrow"/>
            <scheme val="minor"/>
          </rPr>
          <t>======
ID#AAABjx7qVBs
    (2025-05-21 11:33:27)
0313 chloe: 戎克備有庫存，見半成品庫存表</t>
        </r>
      </text>
    </comment>
    <comment ref="H4894" authorId="0" shapeId="0" xr:uid="{178A9DF5-CD29-5E44-B9AB-2E4599BA998F}">
      <text>
        <r>
          <rPr>
            <sz val="10"/>
            <color rgb="FF000000"/>
            <rFont val="Aptos Narrow"/>
            <scheme val="minor"/>
          </rPr>
          <t>======
ID#AAABjx7qSFs
    (2025-05-21 11:33:26)
Alice:6/17-水單匯入USD10046沖PI-201904096B.PI-20190418A.PI-20190422A.PI-20190307A</t>
        </r>
      </text>
    </comment>
    <comment ref="H4895" authorId="0" shapeId="0" xr:uid="{0A88F4AC-5D33-374F-ADE5-2133B902CAC7}">
      <text>
        <r>
          <rPr>
            <sz val="10"/>
            <color rgb="FF000000"/>
            <rFont val="Aptos Narrow"/>
            <scheme val="minor"/>
          </rPr>
          <t>======
ID#AAABjx7qTa4
    (2025-05-21 11:33:26)
alice:6/20銀行水單匯入USD4462 沖PI20190107A.PI-20190318B.PI-20190508B.PI-20181022C-2-F</t>
        </r>
      </text>
    </comment>
    <comment ref="G4896" authorId="0" shapeId="0" xr:uid="{10FD172B-0AF8-DD42-9960-76EAF23B314F}">
      <text>
        <r>
          <rPr>
            <sz val="10"/>
            <color rgb="FF000000"/>
            <rFont val="Aptos Narrow"/>
            <scheme val="minor"/>
          </rPr>
          <t>======
ID#AAABjx7qNw0
    (2025-05-21 11:33:23)
w/5%VAT</t>
        </r>
      </text>
    </comment>
    <comment ref="H4896" authorId="0" shapeId="0" xr:uid="{F1EC79E8-461D-2B46-B88C-CBD4F2A16188}">
      <text>
        <r>
          <rPr>
            <sz val="10"/>
            <color rgb="FF000000"/>
            <rFont val="Aptos Narrow"/>
            <scheme val="minor"/>
          </rPr>
          <t>======
ID#AAABjx7qO8c
    (2025-05-21 11:33:24)
ALICE:6/25-新漢匯入46434(合庫)</t>
        </r>
      </text>
    </comment>
    <comment ref="H4897" authorId="0" shapeId="0" xr:uid="{5D05C399-A6E2-0045-ACFF-8AC50EEC7875}">
      <text>
        <r>
          <rPr>
            <sz val="10"/>
            <color rgb="FF000000"/>
            <rFont val="Aptos Narrow"/>
            <scheme val="minor"/>
          </rPr>
          <t>======
ID#AAABjx7qPF0
    (2025-05-21 11:33:24)
ALICE:20190425收到銀行水單匯入通知USD1556*30.81=NT47940(無手續費)</t>
        </r>
      </text>
    </comment>
    <comment ref="AK4897" authorId="0" shapeId="0" xr:uid="{B58BA58E-A849-F64A-80F2-128A673A2F16}">
      <text>
        <r>
          <rPr>
            <sz val="10"/>
            <color rgb="FF000000"/>
            <rFont val="Aptos Narrow"/>
            <scheme val="minor"/>
          </rPr>
          <t>======
ID#AAABjx7qOH4
    (2025-05-21 11:33:24)
ALICE:20190425收到銀行水單匯入通知USD1556*30.81=NT47940(無手續費)</t>
        </r>
      </text>
    </comment>
    <comment ref="H4898" authorId="0" shapeId="0" xr:uid="{513B5C5E-B374-354B-A286-F308EC27EFA0}">
      <text>
        <r>
          <rPr>
            <sz val="10"/>
            <color rgb="FF000000"/>
            <rFont val="Aptos Narrow"/>
            <scheme val="minor"/>
          </rPr>
          <t>======
ID#AAABj82dpOU
    (2025-05-21 11:33:23)
ALICE:20190425收到銀行水單匯入通知USD1556*30.81=NT47940(無手續費)</t>
        </r>
      </text>
    </comment>
    <comment ref="AK4898" authorId="0" shapeId="0" xr:uid="{9F80782C-B55F-9444-A2E9-21DD5B31516E}">
      <text>
        <r>
          <rPr>
            <sz val="10"/>
            <color rgb="FF000000"/>
            <rFont val="Aptos Narrow"/>
            <scheme val="minor"/>
          </rPr>
          <t>======
ID#AAABjx7qR1E
    (2025-05-21 11:33:25)
ALICE:20190425收到銀行水單匯入通知USD1556*30.81=NT47940(無手續費)</t>
        </r>
      </text>
    </comment>
    <comment ref="H4899" authorId="0" shapeId="0" xr:uid="{E6C8BCCE-9B24-9641-A30A-B95BAB54FBC8}">
      <text>
        <r>
          <rPr>
            <sz val="10"/>
            <color rgb="FF000000"/>
            <rFont val="Aptos Narrow"/>
            <scheme val="minor"/>
          </rPr>
          <t>======
ID#AAABjx7qM0M
    (2025-05-21 11:33:23)
Alice:2019/05/21-銀行水單通知USD960-匯款手續費USD6.35=USD953.65*31.51=NT30050元整</t>
        </r>
      </text>
    </comment>
    <comment ref="J4899" authorId="0" shapeId="0" xr:uid="{440ADFF2-96AF-754B-B629-17E606BFE6CC}">
      <text>
        <r>
          <rPr>
            <sz val="10"/>
            <color rgb="FF000000"/>
            <rFont val="Aptos Narrow"/>
            <scheme val="minor"/>
          </rPr>
          <t>======
ID#AAABjx7qNR0
    (2025-05-21 11:33:23)
190411 但未知FEDEX服務，出貨前再確認
190506 Fedex Intl. Economy</t>
        </r>
      </text>
    </comment>
    <comment ref="H4900" authorId="0" shapeId="0" xr:uid="{25ECDA1F-946F-384E-ADDF-369D190732D1}">
      <text>
        <r>
          <rPr>
            <sz val="10"/>
            <color rgb="FF000000"/>
            <rFont val="Aptos Narrow"/>
            <scheme val="minor"/>
          </rPr>
          <t>======
ID#AAABjx7qNUA
    (2025-05-21 11:33:23)
Alice:2019/05/21-銀行水單通知USD960-匯款手續費USD6.35=USD953.65*31.51=NT30050元整</t>
        </r>
      </text>
    </comment>
    <comment ref="J4900" authorId="0" shapeId="0" xr:uid="{0E8CF810-316E-6941-BF15-01A477C31A52}">
      <text>
        <r>
          <rPr>
            <sz val="10"/>
            <color rgb="FF000000"/>
            <rFont val="Aptos Narrow"/>
            <scheme val="minor"/>
          </rPr>
          <t>======
ID#AAABjx7qVkE
    (2025-05-21 11:33:27)
190411 但未知FEDEX服務，出貨前再確認
190506 Fedex Intl. Economy</t>
        </r>
      </text>
    </comment>
    <comment ref="H4901" authorId="0" shapeId="0" xr:uid="{29EF7415-EF3D-9443-B4D1-6C48D817682A}">
      <text>
        <r>
          <rPr>
            <sz val="10"/>
            <color rgb="FF000000"/>
            <rFont val="Aptos Narrow"/>
            <scheme val="minor"/>
          </rPr>
          <t>======
ID#AAABjx7qPNM
    (2025-05-21 11:33:24)
Alice:2019/05/21-銀行水單通知USD960-匯款手續費USD6.35=USD953.65*31.51=NT30050元整</t>
        </r>
      </text>
    </comment>
    <comment ref="J4901" authorId="0" shapeId="0" xr:uid="{5CDC9502-480B-804B-9263-D64B55F9CFC8}">
      <text>
        <r>
          <rPr>
            <sz val="10"/>
            <color rgb="FF000000"/>
            <rFont val="Aptos Narrow"/>
            <scheme val="minor"/>
          </rPr>
          <t>======
ID#AAABjx7qM98
    (2025-05-21 11:33:23)
190411 但未知FEDEX服務，出貨前再確認
190506 Fedex Intl. Economy</t>
        </r>
      </text>
    </comment>
    <comment ref="AK4901" authorId="0" shapeId="0" xr:uid="{33F13886-4BEB-304F-831B-DAF12B47DCB4}">
      <text>
        <r>
          <rPr>
            <sz val="10"/>
            <color rgb="FF000000"/>
            <rFont val="Aptos Narrow"/>
            <scheme val="minor"/>
          </rPr>
          <t>======
ID#AAABjx7qNwI
    (2025-05-21 11:33:23)
Alice:2019/05/21-銀行水單通知USD960-匯款手續費USD6.35=USD953.65*31.51=NT30050元整</t>
        </r>
      </text>
    </comment>
    <comment ref="AL4901" authorId="0" shapeId="0" xr:uid="{565ABB2D-0B56-2844-9BA6-B68A86B76D37}">
      <text>
        <r>
          <rPr>
            <sz val="10"/>
            <color rgb="FF000000"/>
            <rFont val="Aptos Narrow"/>
            <scheme val="minor"/>
          </rPr>
          <t>======
ID#AAABjx7qNJU
    (2025-05-21 11:33:23)
Alice:2019/05/21-銀行水單通知USD960-匯款手續費USD6.35=USD953.65*31.51=NT30050元整</t>
        </r>
      </text>
    </comment>
    <comment ref="B4903" authorId="0" shapeId="0" xr:uid="{66A8115F-D472-8948-A3AA-4A4C12DDF945}">
      <text>
        <r>
          <rPr>
            <sz val="10"/>
            <color rgb="FF000000"/>
            <rFont val="Aptos Narrow"/>
            <scheme val="minor"/>
          </rPr>
          <t>======
ID#AAABjx7qPCA
    (2025-05-21 11:33:24)
9/10 轉寄Captec Canada ( freight pay by Accuview )</t>
        </r>
      </text>
    </comment>
    <comment ref="D4903" authorId="0" shapeId="0" xr:uid="{AB4898AE-8586-5A4A-B61F-240E1B6ACB43}">
      <text>
        <r>
          <rPr>
            <sz val="10"/>
            <color rgb="FF000000"/>
            <rFont val="Aptos Narrow"/>
            <scheme val="minor"/>
          </rPr>
          <t>======
ID#AAABjx7qUsU
    (2025-05-21 11:33:26)
transfer to Captec Evaluation PI-20190910A</t>
        </r>
      </text>
    </comment>
    <comment ref="J4903" authorId="0" shapeId="0" xr:uid="{A9E6F47F-6811-3641-8E70-456CE725EEBE}">
      <text>
        <r>
          <rPr>
            <sz val="10"/>
            <color rgb="FF000000"/>
            <rFont val="Aptos Narrow"/>
            <scheme val="minor"/>
          </rPr>
          <t>======
ID#AAABjx7qQBs
    (2025-05-21 11:33:25)
CUSTOMER ACCOUNT 
G504 ㄧ年內可退回進口做核銷</t>
        </r>
      </text>
    </comment>
    <comment ref="D4904" authorId="0" shapeId="0" xr:uid="{8C2C4219-D41B-F84C-B8A3-138F186966FE}">
      <text>
        <r>
          <rPr>
            <sz val="10"/>
            <color rgb="FF000000"/>
            <rFont val="Aptos Narrow"/>
            <scheme val="minor"/>
          </rPr>
          <t>======
ID#AAABjx7qOaM
    (2025-05-21 11:33:24)
0417 通知tammy 協助下單,並告知客人有否其他訂單一併下單</t>
        </r>
      </text>
    </comment>
    <comment ref="H4904" authorId="0" shapeId="0" xr:uid="{5D28EC5C-5A26-5D40-AD01-E995B85074DE}">
      <text>
        <r>
          <rPr>
            <sz val="10"/>
            <color rgb="FF000000"/>
            <rFont val="Aptos Narrow"/>
            <scheme val="minor"/>
          </rPr>
          <t>======
ID#AAABjx7qQ2A
    (2025-05-21 11:33:25)
ALICE:5/17收到銀行電文通知USD1668-11匯款手續費=USD1657</t>
        </r>
      </text>
    </comment>
    <comment ref="H4906" authorId="0" shapeId="0" xr:uid="{9FDB6F71-8459-EE4D-B6F3-D59703CCEB57}">
      <text>
        <r>
          <rPr>
            <sz val="10"/>
            <color rgb="FF000000"/>
            <rFont val="Aptos Narrow"/>
            <scheme val="minor"/>
          </rPr>
          <t>======
ID#AAABjx7qVIQ
    (2025-05-21 11:33:27)
Alice:6/17-水單匯入USD10046沖PI-201904096B.PI-20190418A.PI-20190422A.PI-20190307A</t>
        </r>
      </text>
    </comment>
    <comment ref="G4907" authorId="0" shapeId="0" xr:uid="{D9418585-909A-D444-9A13-AA634504962B}">
      <text>
        <r>
          <rPr>
            <sz val="10"/>
            <color rgb="FF000000"/>
            <rFont val="Aptos Narrow"/>
            <scheme val="minor"/>
          </rPr>
          <t>======
ID#AAABjx7qV_k
    (2025-05-21 11:33:27)
180221 Tammy: project price for over 50pcs/lot</t>
        </r>
      </text>
    </comment>
    <comment ref="H4907" authorId="0" shapeId="0" xr:uid="{5AD3FC3E-760A-5B48-998E-AB98D2C75D9C}">
      <text>
        <r>
          <rPr>
            <sz val="10"/>
            <color rgb="FF000000"/>
            <rFont val="Aptos Narrow"/>
            <scheme val="minor"/>
          </rPr>
          <t>======
ID#AAABjx7qRVY
    (2025-05-21 11:33:25)
Alice:6/17-水單匯入USD10046沖PI-201904096B.PI-20190418A.PI-20190422A.PI-20190307A</t>
        </r>
      </text>
    </comment>
    <comment ref="H4908" authorId="0" shapeId="0" xr:uid="{308F0832-49F4-544C-9BF1-7C9E4528D12B}">
      <text>
        <r>
          <rPr>
            <sz val="10"/>
            <color rgb="FF000000"/>
            <rFont val="Aptos Narrow"/>
            <scheme val="minor"/>
          </rPr>
          <t>======
ID#AAABjx7qVoo
    (2025-05-21 11:33:27)
ALICE:5/17收到銀行電文通知USD1668-11匯款手續費=USD1657</t>
        </r>
      </text>
    </comment>
    <comment ref="H4909" authorId="0" shapeId="0" xr:uid="{B9FC60F5-3D41-5F47-BBF9-6DDF975D4799}">
      <text>
        <r>
          <rPr>
            <sz val="10"/>
            <color rgb="FF000000"/>
            <rFont val="Aptos Narrow"/>
            <scheme val="minor"/>
          </rPr>
          <t>======
ID#AAABjx7qNH0
    (2025-05-21 11:33:23)
alice:2019/05/14電文通知USD16645沖(PI20190418C 金額總計15865+PI20190218A 4850中的(780)</t>
        </r>
      </text>
    </comment>
    <comment ref="H4910" authorId="0" shapeId="0" xr:uid="{D01F6326-C5F5-ED48-9876-BCCD98D2B8CB}">
      <text>
        <r>
          <rPr>
            <sz val="10"/>
            <color rgb="FF000000"/>
            <rFont val="Aptos Narrow"/>
            <scheme val="minor"/>
          </rPr>
          <t>======
ID#AAABjx7qPFc
    (2025-05-21 11:33:24)
alice:2019/05/14電文通知USD16645沖(PI20190418C 金額總計15865+PI20190218A 4850中的(780)</t>
        </r>
      </text>
    </comment>
    <comment ref="H4911" authorId="0" shapeId="0" xr:uid="{0A1B5B10-BB31-2E4C-BA22-8039C1A621BB}">
      <text>
        <r>
          <rPr>
            <sz val="10"/>
            <color rgb="FF000000"/>
            <rFont val="Aptos Narrow"/>
            <scheme val="minor"/>
          </rPr>
          <t>======
ID#AAABjx7qVKo
    (2025-05-21 11:33:27)
alice:2019/05/14電文通知USD16645沖(PI20190418C 金額總計15865+PI20190218A 4850中的(780)</t>
        </r>
      </text>
    </comment>
    <comment ref="H4912" authorId="0" shapeId="0" xr:uid="{72E1E725-9747-E446-9FBC-740873E49702}">
      <text>
        <r>
          <rPr>
            <sz val="10"/>
            <color rgb="FF000000"/>
            <rFont val="Aptos Narrow"/>
            <scheme val="minor"/>
          </rPr>
          <t>======
ID#AAABjx7qS98
    (2025-05-21 11:33:26)
Alice:2019/04/30-銀行通知水單匯入USD1577-匯出手續費USD40=USD1537*30.85=NT47416</t>
        </r>
      </text>
    </comment>
    <comment ref="AK4912" authorId="0" shapeId="0" xr:uid="{DC7DC6A6-EFC7-7946-8FE5-26FE2E66B402}">
      <text>
        <r>
          <rPr>
            <sz val="10"/>
            <color rgb="FF000000"/>
            <rFont val="Aptos Narrow"/>
            <scheme val="minor"/>
          </rPr>
          <t>======
ID#AAABjx7qPXY
    (2025-05-21 11:33:24)
Alice:2019/04/30-銀行通知水單匯入USD1577-匯出手續費USD40=USD1537*30.85=NT47416</t>
        </r>
      </text>
    </comment>
    <comment ref="AL4912" authorId="0" shapeId="0" xr:uid="{9D1AD510-2768-BB47-B93E-94983FDDEDF7}">
      <text>
        <r>
          <rPr>
            <sz val="10"/>
            <color rgb="FF000000"/>
            <rFont val="Aptos Narrow"/>
            <scheme val="minor"/>
          </rPr>
          <t>======
ID#AAABjx7qMxs
    (2025-05-21 11:33:23)
Alice:2019/04/30-銀行通知水單匯入USD1577-匯出手續費USD40=USD1537*30.85=NT47416</t>
        </r>
      </text>
    </comment>
    <comment ref="E4913" authorId="0" shapeId="0" xr:uid="{906CCE56-DCC5-1D41-90E4-3D3ACFFA57D3}">
      <text>
        <r>
          <rPr>
            <sz val="10"/>
            <color rgb="FF000000"/>
            <rFont val="Aptos Narrow"/>
            <scheme val="minor"/>
          </rPr>
          <t>======
ID#AAABjx7qPJE
    (2025-05-21 11:33:24)
4/19 w/Optical Bonding, High Bridhtness 1000 nits, 9-36V PB-409,
Additional 2 USB port, SSD Key</t>
        </r>
      </text>
    </comment>
    <comment ref="H4913" authorId="0" shapeId="0" xr:uid="{86E8E397-86EE-F24B-ABB2-8A1AA0595FA2}">
      <text>
        <r>
          <rPr>
            <sz val="10"/>
            <color rgb="FF000000"/>
            <rFont val="Aptos Narrow"/>
            <scheme val="minor"/>
          </rPr>
          <t>======
ID#AAABjx7qQ08
    (2025-05-21 11:33:25)
Alice:2019/04/30-銀行通知水單匯入USD1577-匯出手續費USD40=USD1537*30.85=NT47416</t>
        </r>
      </text>
    </comment>
    <comment ref="AK4913" authorId="0" shapeId="0" xr:uid="{9BF64470-086A-2742-AB7F-920BD281AE7B}">
      <text>
        <r>
          <rPr>
            <sz val="10"/>
            <color rgb="FF000000"/>
            <rFont val="Aptos Narrow"/>
            <scheme val="minor"/>
          </rPr>
          <t>======
ID#AAABjx7qMvE
    (2025-05-21 11:33:23)
Alice:2019/04/30-銀行通知水單匯入USD1577-匯出手續費USD40=USD1537*30.85=NT47416</t>
        </r>
      </text>
    </comment>
    <comment ref="AL4913" authorId="0" shapeId="0" xr:uid="{FC2C8DF1-9D55-A046-8E9B-3697840A8A1B}">
      <text>
        <r>
          <rPr>
            <sz val="10"/>
            <color rgb="FF000000"/>
            <rFont val="Aptos Narrow"/>
            <scheme val="minor"/>
          </rPr>
          <t>======
ID#AAABjx7qPhE
    (2025-05-21 11:33:24)
Alice:2019/04/30-銀行通知水單匯入USD1577-匯出手續費USD40=USD1537*30.85=NT47416</t>
        </r>
      </text>
    </comment>
    <comment ref="H4914" authorId="0" shapeId="0" xr:uid="{CEE63B56-FA38-EB4E-B053-B06CFD2E9953}">
      <text>
        <r>
          <rPr>
            <sz val="10"/>
            <color rgb="FF000000"/>
            <rFont val="Aptos Narrow"/>
            <scheme val="minor"/>
          </rPr>
          <t>======
ID#AAABjx7qNuI
    (2025-05-21 11:33:23)
ALICE:5/17收到銀行電文通知USD1668-11匯款手續費=USD1657</t>
        </r>
      </text>
    </comment>
    <comment ref="H4915" authorId="0" shapeId="0" xr:uid="{2AABD4A6-D54F-5C4D-AE68-8CDE5C225FD9}">
      <text>
        <r>
          <rPr>
            <sz val="10"/>
            <color rgb="FF000000"/>
            <rFont val="Aptos Narrow"/>
            <scheme val="minor"/>
          </rPr>
          <t>======
ID#AAABjx7qRps
    (2025-05-21 11:33:25)
ALICE:5/17收到銀行電文通知USD1668-11匯款手續費=USD1657</t>
        </r>
      </text>
    </comment>
    <comment ref="H4916" authorId="0" shapeId="0" xr:uid="{FD813894-2092-3347-A640-790816E45A76}">
      <text>
        <r>
          <rPr>
            <sz val="10"/>
            <color rgb="FF000000"/>
            <rFont val="Aptos Narrow"/>
            <scheme val="minor"/>
          </rPr>
          <t>======
ID#AAABjx7qV0k
    (2025-05-21 11:33:27)
Alice:6/17-水單匯入USD10046沖PI-201904096B.PI-20190418A.PI-20190422A.PI-20190307A</t>
        </r>
      </text>
    </comment>
    <comment ref="G4917" authorId="0" shapeId="0" xr:uid="{C74AF3AC-DE4D-4D4D-A824-501F51C353CE}">
      <text>
        <r>
          <rPr>
            <sz val="10"/>
            <color rgb="FF000000"/>
            <rFont val="Aptos Narrow"/>
            <scheme val="minor"/>
          </rPr>
          <t>======
ID#AAABjx7qN_s
    (2025-05-21 11:33:24)
180221 Tammy: project price for over 50pcs/lot</t>
        </r>
      </text>
    </comment>
    <comment ref="H4917" authorId="0" shapeId="0" xr:uid="{50718385-64D7-8148-AE22-EDCAE17B2539}">
      <text>
        <r>
          <rPr>
            <sz val="10"/>
            <color rgb="FF000000"/>
            <rFont val="Aptos Narrow"/>
            <scheme val="minor"/>
          </rPr>
          <t>======
ID#AAABjx7qNMs
    (2025-05-21 11:33:23)
Alice:6/17-水單匯入USD10046沖PI-201904096B.PI-20190418A.PI-20190422A.PI-20190307A</t>
        </r>
      </text>
    </comment>
    <comment ref="H4918" authorId="0" shapeId="0" xr:uid="{717A2A2E-B27B-2741-8523-1B080A4C334F}">
      <text>
        <r>
          <rPr>
            <sz val="10"/>
            <color rgb="FF000000"/>
            <rFont val="Aptos Narrow"/>
            <scheme val="minor"/>
          </rPr>
          <t>======
ID#AAABjx7qTHI
    (2025-05-21 11:33:26)
alice:7/4-水單匯入USD4316.9沖PI-20190422B.沖PI-20190507B.沖PI-20190513A</t>
        </r>
      </text>
    </comment>
    <comment ref="H4919" authorId="0" shapeId="0" xr:uid="{CEF60016-9592-9E4E-96D6-2A285A258F7F}">
      <text>
        <r>
          <rPr>
            <sz val="10"/>
            <color rgb="FF000000"/>
            <rFont val="Aptos Narrow"/>
            <scheme val="minor"/>
          </rPr>
          <t>======
ID#AAABjx7qPh8
    (2025-05-21 11:33:24)
alice:7/4-水單匯入USD4316.9沖PI-20190422B.沖PI-20190507B.沖PI-20190513A</t>
        </r>
      </text>
    </comment>
    <comment ref="H4920" authorId="0" shapeId="0" xr:uid="{D4B92C04-3B49-B344-B978-8C2346007769}">
      <text>
        <r>
          <rPr>
            <sz val="10"/>
            <color rgb="FF000000"/>
            <rFont val="Aptos Narrow"/>
            <scheme val="minor"/>
          </rPr>
          <t>======
ID#AAABjx7qRe0
    (2025-05-21 11:33:25)
alice:7/4-水單匯入USD4316.9沖PI-20190422B.沖PI-20190507B.沖PI-20190513A</t>
        </r>
      </text>
    </comment>
    <comment ref="H4921" authorId="0" shapeId="0" xr:uid="{FF1CC014-C56F-7143-8329-AEE6F326DE13}">
      <text>
        <r>
          <rPr>
            <sz val="10"/>
            <color rgb="FF000000"/>
            <rFont val="Aptos Narrow"/>
            <scheme val="minor"/>
          </rPr>
          <t>======
ID#AAABjx7qTXM
    (2025-05-21 11:33:26)
alice:7/4-水單匯入USD4316.9沖PI-20190422B.沖PI-20190507B.沖PI-20190513A</t>
        </r>
      </text>
    </comment>
    <comment ref="H4922" authorId="0" shapeId="0" xr:uid="{ADDEC7AB-E925-3244-ADA4-6FD3AB499734}">
      <text>
        <r>
          <rPr>
            <sz val="10"/>
            <color rgb="FF000000"/>
            <rFont val="Aptos Narrow"/>
            <scheme val="minor"/>
          </rPr>
          <t>======
ID#AAABjx7qNYQ
    (2025-05-21 11:33:23)
ALICE:5/6-銀行電文通知USD12495.8(沖PI-20190422C.PI-20190424A)</t>
        </r>
      </text>
    </comment>
    <comment ref="H4923" authorId="0" shapeId="0" xr:uid="{588F45E1-00DC-E142-9136-E311350FE2DF}">
      <text>
        <r>
          <rPr>
            <sz val="10"/>
            <color rgb="FF000000"/>
            <rFont val="Aptos Narrow"/>
            <scheme val="minor"/>
          </rPr>
          <t>======
ID#AAABjx7qQzY
    (2025-05-21 11:33:25)
ALICE:5/6-銀行電文通知USD12495.8(沖PI-20190422C.PI-20190424A)</t>
        </r>
      </text>
    </comment>
    <comment ref="H4924" authorId="0" shapeId="0" xr:uid="{D12265CA-4AFF-F647-8343-D41A6C56451F}">
      <text>
        <r>
          <rPr>
            <sz val="10"/>
            <color rgb="FF000000"/>
            <rFont val="Aptos Narrow"/>
            <scheme val="minor"/>
          </rPr>
          <t>======
ID#AAABjx7qQog
    (2025-05-21 11:33:25)
ALICE:6/19-合庫匯入NT188769元整</t>
        </r>
      </text>
    </comment>
    <comment ref="H4925" authorId="0" shapeId="0" xr:uid="{A7A62AE3-DADA-A74F-80A2-AF32884F2CE2}">
      <text>
        <r>
          <rPr>
            <sz val="10"/>
            <color rgb="FF000000"/>
            <rFont val="Aptos Narrow"/>
            <scheme val="minor"/>
          </rPr>
          <t>======
ID#AAABj82dpIo
    (2025-05-21 11:33:23)
ALICE:5/6-銀行電文通知USD12495.8(沖PI-20190422C.PI-20190424A)</t>
        </r>
      </text>
    </comment>
    <comment ref="H4926" authorId="0" shapeId="0" xr:uid="{0B138299-A819-AD4B-A402-38AF2A13EBA5}">
      <text>
        <r>
          <rPr>
            <sz val="10"/>
            <color rgb="FF000000"/>
            <rFont val="Aptos Narrow"/>
            <scheme val="minor"/>
          </rPr>
          <t>======
ID#AAABjx7qN2k
    (2025-05-21 11:33:23)
ALICE:5/6-銀行電文通知USD12495.8(沖PI-20190422C.PI-20190424A)</t>
        </r>
      </text>
    </comment>
    <comment ref="H4927" authorId="0" shapeId="0" xr:uid="{595E1113-5E3C-9B43-8D7C-0253634FE205}">
      <text>
        <r>
          <rPr>
            <sz val="10"/>
            <color rgb="FF000000"/>
            <rFont val="Aptos Narrow"/>
            <scheme val="minor"/>
          </rPr>
          <t>======
ID#AAABjx7qQwc
    (2025-05-21 11:33:25)
alice:2019/05/17水單通知USD19768沖3/4A $1995.3/4A-1$4152.3/4A-1-F $232.3/8B-F $57.12/21A-2-F $144.3/4A-1 $189.10/22C-2 $10227.12/21A-1 $2772.如上總計共USD19768</t>
        </r>
      </text>
    </comment>
    <comment ref="D4928" authorId="0" shapeId="0" xr:uid="{3AAFB1B5-F8EE-D341-BCF4-55CBE663F0F6}">
      <text>
        <r>
          <rPr>
            <sz val="10"/>
            <color rgb="FF000000"/>
            <rFont val="Aptos Narrow"/>
            <scheme val="minor"/>
          </rPr>
          <t>======
ID#AAABjx7qQro
    (2025-05-21 11:33:25)
0426 Cathy 通知Tammy 下單</t>
        </r>
      </text>
    </comment>
    <comment ref="H4928" authorId="0" shapeId="0" xr:uid="{D096A80A-FF3A-D548-9BCD-1ECA0C32722C}">
      <text>
        <r>
          <rPr>
            <sz val="10"/>
            <color rgb="FF000000"/>
            <rFont val="Aptos Narrow"/>
            <scheme val="minor"/>
          </rPr>
          <t>======
ID#AAABjx7qQi0
    (2025-05-21 11:33:25)
5/28-收到芳慎支票 5/30-AK4244782台銀松江  金額3541元整</t>
        </r>
      </text>
    </comment>
    <comment ref="D4929" authorId="0" shapeId="0" xr:uid="{EA6887BC-AAB0-7E4D-BF3E-6EB352A05425}">
      <text>
        <r>
          <rPr>
            <sz val="10"/>
            <color rgb="FF000000"/>
            <rFont val="Aptos Narrow"/>
            <scheme val="minor"/>
          </rPr>
          <t>======
ID#AAABjx7qN7M
    (2025-05-21 11:33:23)
0426 已mail倉管提供物料</t>
        </r>
      </text>
    </comment>
    <comment ref="H4929" authorId="0" shapeId="0" xr:uid="{89C8799B-BC3D-E849-B3B4-9DE50BD223DE}">
      <text>
        <r>
          <rPr>
            <sz val="10"/>
            <color rgb="FF000000"/>
            <rFont val="Aptos Narrow"/>
            <scheme val="minor"/>
          </rPr>
          <t>======
ID#AAABjx7qWNs
    (2025-05-21 11:33:27)
5/28-收到芳慎支票 5/30-AK4244782台銀松江  金額3541元整</t>
        </r>
      </text>
    </comment>
    <comment ref="D4930" authorId="0" shapeId="0" xr:uid="{EEEEBA54-FAD2-D447-B0AB-407E9010BBD4}">
      <text>
        <r>
          <rPr>
            <sz val="10"/>
            <color rgb="FF000000"/>
            <rFont val="Aptos Narrow"/>
            <scheme val="minor"/>
          </rPr>
          <t>======
ID#AAABjx7qTNk
    (2025-05-21 11:33:26)
190429 給TPOLE的PI號RMA-20190307A</t>
        </r>
      </text>
    </comment>
    <comment ref="H4930" authorId="0" shapeId="0" xr:uid="{D289B646-A02E-2546-A66D-AC5E42484628}">
      <text>
        <r>
          <rPr>
            <sz val="10"/>
            <color rgb="FF000000"/>
            <rFont val="Aptos Narrow"/>
            <scheme val="minor"/>
          </rPr>
          <t>======
ID#AAABjx7qPlU
    (2025-05-21 11:33:24)
Alice:6/17-水單匯入USD10046沖PI-201904096B.PI-20190418A.PI-20190422A.PI-20190307A</t>
        </r>
      </text>
    </comment>
    <comment ref="H4931" authorId="0" shapeId="0" xr:uid="{32191B6E-1ABD-AB4C-8DD5-908D79FD64F1}">
      <text>
        <r>
          <rPr>
            <sz val="10"/>
            <color rgb="FF000000"/>
            <rFont val="Aptos Narrow"/>
            <scheme val="minor"/>
          </rPr>
          <t>======
ID#AAABjx7qVco
    (2025-05-21 11:33:27)
ALICE:5/27-水單匯入USD4578*31.43</t>
        </r>
      </text>
    </comment>
    <comment ref="H4932" authorId="0" shapeId="0" xr:uid="{F9166AF3-ED10-8F4F-90A6-2859B798AC74}">
      <text>
        <r>
          <rPr>
            <sz val="10"/>
            <color rgb="FF000000"/>
            <rFont val="Aptos Narrow"/>
            <scheme val="minor"/>
          </rPr>
          <t>======
ID#AAABjx7qVuQ
    (2025-05-21 11:33:27)
ALICE:5/27-水單匯入USD4578*31.43</t>
        </r>
      </text>
    </comment>
    <comment ref="H4933" authorId="0" shapeId="0" xr:uid="{45B3F5E5-1803-D847-9D01-4FACC47D275F}">
      <text>
        <r>
          <rPr>
            <sz val="10"/>
            <color rgb="FF000000"/>
            <rFont val="Aptos Narrow"/>
            <scheme val="minor"/>
          </rPr>
          <t>======
ID#AAABjx7qNgc
    (2025-05-21 11:33:23)
ALICE:5/27-水單匯入USD4578*31.43</t>
        </r>
      </text>
    </comment>
    <comment ref="E4934" authorId="0" shapeId="0" xr:uid="{33D3518D-B910-D64E-9329-B81087410C23}">
      <text>
        <r>
          <rPr>
            <sz val="10"/>
            <color rgb="FF000000"/>
            <rFont val="Aptos Narrow"/>
            <scheme val="minor"/>
          </rPr>
          <t>======
ID#AAABjx7qQbU
    (2025-05-21 11:33:25)
24"Panel PC &amp; VESA 裝入同一外箱</t>
        </r>
      </text>
    </comment>
    <comment ref="H4934" authorId="0" shapeId="0" xr:uid="{DCEC5950-D695-974E-AA58-4F7D0964A072}">
      <text>
        <r>
          <rPr>
            <sz val="10"/>
            <color rgb="FF000000"/>
            <rFont val="Aptos Narrow"/>
            <scheme val="minor"/>
          </rPr>
          <t>======
ID#AAABjx7qS0w
    (2025-05-21 11:33:26)
ALICE:5/27-水單匯入USD4578*31.43</t>
        </r>
      </text>
    </comment>
    <comment ref="H4935" authorId="0" shapeId="0" xr:uid="{894F39E7-6D60-7E4A-B037-2C2913D360B0}">
      <text>
        <r>
          <rPr>
            <sz val="10"/>
            <color rgb="FF000000"/>
            <rFont val="Aptos Narrow"/>
            <scheme val="minor"/>
          </rPr>
          <t>======
ID#AAABjx7qS-o
    (2025-05-21 11:33:26)
ALICE:5/27-水單匯入USD4578*31.43</t>
        </r>
      </text>
    </comment>
    <comment ref="D4938" authorId="0" shapeId="0" xr:uid="{5E413325-626F-D84C-ADAF-7751283D8AC3}">
      <text>
        <r>
          <rPr>
            <sz val="10"/>
            <color rgb="FF000000"/>
            <rFont val="Aptos Narrow"/>
            <scheme val="minor"/>
          </rPr>
          <t>======
ID#AAABjx7qPWc
    (2025-05-21 11:33:24)
0502 mail請Tammy 下單</t>
        </r>
      </text>
    </comment>
    <comment ref="H4938" authorId="0" shapeId="0" xr:uid="{29D18B2D-14A7-DA44-BA2E-70AB590A51F7}">
      <text>
        <r>
          <rPr>
            <sz val="10"/>
            <color rgb="FF000000"/>
            <rFont val="Aptos Narrow"/>
            <scheme val="minor"/>
          </rPr>
          <t>======
ID#AAABjx7qWXo
    (2025-05-21 11:33:27)
Alice:2019/05/16-收到銀行合庫匯入通知NT194,325元整(沖PI-20190502C.PI-20190507A)手續費0</t>
        </r>
      </text>
    </comment>
    <comment ref="K4938" authorId="0" shapeId="0" xr:uid="{60BFB6B2-AA18-364E-BC2E-7115E339014F}">
      <text>
        <r>
          <rPr>
            <sz val="10"/>
            <color rgb="FF000000"/>
            <rFont val="Aptos Narrow"/>
            <scheme val="minor"/>
          </rPr>
          <t>======
ID#AAABjx7qVbg
    (2025-05-21 11:33:27)
貨交台灣
新北市汐止市合順街18巷23弄11號5摟</t>
        </r>
      </text>
    </comment>
    <comment ref="AK4938" authorId="0" shapeId="0" xr:uid="{1279E486-6520-2D49-9D70-FAF41D50B672}">
      <text>
        <r>
          <rPr>
            <sz val="10"/>
            <color rgb="FF000000"/>
            <rFont val="Aptos Narrow"/>
            <scheme val="minor"/>
          </rPr>
          <t>======
ID#AAABjx7qQTg
    (2025-05-21 11:33:25)
Alice:2019/05/16-收到銀行合庫匯入通知NT194,325元整(沖PI-20190502C.PI-20190507A)手續費0</t>
        </r>
      </text>
    </comment>
    <comment ref="D4939" authorId="0" shapeId="0" xr:uid="{C098605B-23C5-734D-9205-088FD370DB91}">
      <text>
        <r>
          <rPr>
            <sz val="10"/>
            <color rgb="FF000000"/>
            <rFont val="Aptos Narrow"/>
            <scheme val="minor"/>
          </rPr>
          <t>======
ID#AAABjx7qVXQ
    (2025-05-21 11:33:27)
0502 mail請Tammy 下單</t>
        </r>
      </text>
    </comment>
    <comment ref="H4939" authorId="0" shapeId="0" xr:uid="{22EFF491-6175-284C-8244-FAD6F758EC26}">
      <text>
        <r>
          <rPr>
            <sz val="10"/>
            <color rgb="FF000000"/>
            <rFont val="Aptos Narrow"/>
            <scheme val="minor"/>
          </rPr>
          <t>======
ID#AAABjx7qMr4
    (2025-05-21 11:33:23)
Alice:2019/05/16-收到銀行合庫匯入通知NT194,325元整(沖PI-20190502C.PI-20190507A)手續費0</t>
        </r>
      </text>
    </comment>
    <comment ref="K4939" authorId="0" shapeId="0" xr:uid="{099657AC-92D9-CC46-87AB-40F6E90A28F1}">
      <text>
        <r>
          <rPr>
            <sz val="10"/>
            <color rgb="FF000000"/>
            <rFont val="Aptos Narrow"/>
            <scheme val="minor"/>
          </rPr>
          <t>======
ID#AAABjx7qPtU
    (2025-05-21 11:33:24)
貨交台灣
新北市汐止市合順街18巷23弄11號5摟</t>
        </r>
      </text>
    </comment>
    <comment ref="AK4939" authorId="0" shapeId="0" xr:uid="{56F9984B-08CF-724C-9184-47DF80A225A2}">
      <text>
        <r>
          <rPr>
            <sz val="10"/>
            <color rgb="FF000000"/>
            <rFont val="Aptos Narrow"/>
            <scheme val="minor"/>
          </rPr>
          <t>======
ID#AAABjx7qNJk
    (2025-05-21 11:33:23)
Alice:2019/05/16-收到銀行合庫匯入通知NT194,325元整(沖PI-20190502C.PI-20190507A)手續費0</t>
        </r>
      </text>
    </comment>
    <comment ref="F4941" authorId="0" shapeId="0" xr:uid="{7079FA58-F9B3-B34A-9530-8FB4DB994826}">
      <text>
        <r>
          <rPr>
            <sz val="10"/>
            <color rgb="FF000000"/>
            <rFont val="Aptos Narrow"/>
            <scheme val="minor"/>
          </rPr>
          <t>======
ID#AAABjx7qNhU
    (2025-05-21 11:33:23)
在此輸入
7/15 30 pcs ADVANTECH INFORM EOL CANCEL ORDER</t>
        </r>
      </text>
    </comment>
    <comment ref="K4941" authorId="0" shapeId="0" xr:uid="{DA4A4262-79F9-0447-9F05-ACA5C9AD5A9E}">
      <text>
        <r>
          <rPr>
            <sz val="10"/>
            <color rgb="FF000000"/>
            <rFont val="Aptos Narrow"/>
            <scheme val="minor"/>
          </rPr>
          <t>======
ID#AAABjx7qU7w
    (2025-05-21 11:33:27)
EOL Confirmed</t>
        </r>
      </text>
    </comment>
    <comment ref="H4942" authorId="0" shapeId="0" xr:uid="{C04C6A98-0A73-7944-849D-36414DABCCF9}">
      <text>
        <r>
          <rPr>
            <sz val="10"/>
            <color rgb="FF000000"/>
            <rFont val="Aptos Narrow"/>
            <scheme val="minor"/>
          </rPr>
          <t>======
ID#AAABjx7qVaE
    (2025-05-21 11:33:27)
Alice:2019/05/16-收到銀行合庫匯入通知NT194,325元整(沖PI-20190502C.PI-20190507A)手續費0</t>
        </r>
      </text>
    </comment>
    <comment ref="K4942" authorId="0" shapeId="0" xr:uid="{5F839D3D-6D09-7647-B730-5F8474C693D5}">
      <text>
        <r>
          <rPr>
            <sz val="10"/>
            <color rgb="FF000000"/>
            <rFont val="Aptos Narrow"/>
            <scheme val="minor"/>
          </rPr>
          <t>======
ID#AAABjx7qOd0
    (2025-05-21 11:33:24)
貨交台灣
新北市汐止市合順街18巷23弄11號5摟</t>
        </r>
      </text>
    </comment>
    <comment ref="AK4942" authorId="0" shapeId="0" xr:uid="{F4DF38C4-5894-554B-BC2D-9EDE549EF777}">
      <text>
        <r>
          <rPr>
            <sz val="10"/>
            <color rgb="FF000000"/>
            <rFont val="Aptos Narrow"/>
            <scheme val="minor"/>
          </rPr>
          <t>======
ID#AAABjx7qWUU
    (2025-05-21 11:33:27)
Alice:2019/05/16-收到銀行合庫匯入通知NT194,325元整(沖PI-20190502C.PI-20190507A)手續費0</t>
        </r>
      </text>
    </comment>
    <comment ref="H4943" authorId="0" shapeId="0" xr:uid="{E62B29D5-44D9-DF4C-92AB-A542A290D9F1}">
      <text>
        <r>
          <rPr>
            <sz val="10"/>
            <color rgb="FF000000"/>
            <rFont val="Aptos Narrow"/>
            <scheme val="minor"/>
          </rPr>
          <t>======
ID#AAABjx7qU2A
    (2025-05-21 11:33:26)
alice:7/4-水單匯入USD4316.9沖PI-20190422B.沖PI-20190507B.沖PI-20190513A</t>
        </r>
      </text>
    </comment>
    <comment ref="H4944" authorId="0" shapeId="0" xr:uid="{D01AFAB8-79D1-A74E-9F63-CD431A56D522}">
      <text>
        <r>
          <rPr>
            <sz val="10"/>
            <color rgb="FF000000"/>
            <rFont val="Aptos Narrow"/>
            <scheme val="minor"/>
          </rPr>
          <t>======
ID#AAABjx7qRm8
    (2025-05-21 11:33:25)
alice:7/4-水單匯入USD4316.9沖PI-20190422B.沖PI-20190507B.沖PI-20190513A</t>
        </r>
      </text>
    </comment>
    <comment ref="E4945" authorId="0" shapeId="0" xr:uid="{DC89970A-EA94-3C40-AA81-68A0A67A532E}">
      <text>
        <r>
          <rPr>
            <sz val="10"/>
            <color rgb="FF000000"/>
            <rFont val="Aptos Narrow"/>
            <scheme val="minor"/>
          </rPr>
          <t>======
ID#AAABjx7qOxo
    (2025-05-21 11:33:24)
下單請用FPM2150GR3B1601E-T
出貨文件上秀:
FPM-2150G-R3BE
(FPM2150GRB1601E-T)</t>
        </r>
      </text>
    </comment>
    <comment ref="H4945" authorId="0" shapeId="0" xr:uid="{3611833B-40BE-9F42-9DB1-9F04A24A3DC3}">
      <text>
        <r>
          <rPr>
            <sz val="10"/>
            <color rgb="FF000000"/>
            <rFont val="Aptos Narrow"/>
            <scheme val="minor"/>
          </rPr>
          <t>======
ID#AAABjx7qS1s
    (2025-05-21 11:33:26)
alice:7/4-水單匯入USD4316.9沖PI-20190422B.沖PI-20190507B.沖PI-20190513A</t>
        </r>
      </text>
    </comment>
    <comment ref="H4946" authorId="0" shapeId="0" xr:uid="{BA3DF625-B93B-154C-A898-4893A3C71397}">
      <text>
        <r>
          <rPr>
            <sz val="10"/>
            <color rgb="FF000000"/>
            <rFont val="Aptos Narrow"/>
            <scheme val="minor"/>
          </rPr>
          <t>======
ID#AAABjx7qVDE
    (2025-05-21 11:33:27)
alice:7/4-水單匯入USD4316.9沖PI-20190422B.沖PI-20190507B.沖PI-20190513A</t>
        </r>
      </text>
    </comment>
    <comment ref="F4947" authorId="0" shapeId="0" xr:uid="{15A7DB24-0042-714E-9799-779271D11793}">
      <text>
        <r>
          <rPr>
            <sz val="10"/>
            <color rgb="FF000000"/>
            <rFont val="Aptos Narrow"/>
            <scheme val="minor"/>
          </rPr>
          <t>======
ID#AAABjx7qRM8
    (2025-05-21 11:33:25)
0513 santi 告知修改數量</t>
        </r>
      </text>
    </comment>
    <comment ref="H4947" authorId="0" shapeId="0" xr:uid="{7658C55F-D9FA-0843-9158-5FF51877CAEE}">
      <text>
        <r>
          <rPr>
            <sz val="10"/>
            <color rgb="FF000000"/>
            <rFont val="Aptos Narrow"/>
            <scheme val="minor"/>
          </rPr>
          <t>======
ID#AAABjx7qPYY
    (2025-05-21 11:33:24)
ALICE:6/17-玉山匯入17810沖PI-20190508A.沖PI-20190604C</t>
        </r>
      </text>
    </comment>
    <comment ref="AK4947" authorId="0" shapeId="0" xr:uid="{93828DCA-B96E-7347-8AE6-A838CDE9B069}">
      <text>
        <r>
          <rPr>
            <sz val="10"/>
            <color rgb="FF000000"/>
            <rFont val="Aptos Narrow"/>
            <scheme val="minor"/>
          </rPr>
          <t>======
ID#AAABjx7qPew
    (2025-05-21 11:33:24)
ALICE:6/17-玉山匯入17810沖PI-20190508A.沖PI-20190604C</t>
        </r>
      </text>
    </comment>
    <comment ref="H4948" authorId="0" shapeId="0" xr:uid="{564169BD-7E2F-AA4D-9E96-D27607B8B773}">
      <text>
        <r>
          <rPr>
            <sz val="10"/>
            <color rgb="FF000000"/>
            <rFont val="Aptos Narrow"/>
            <scheme val="minor"/>
          </rPr>
          <t>======
ID#AAABjx7qTj8
    (2025-05-21 11:33:26)
alice:6/20銀行水單匯入USD4462 沖PI20190107A.PI-20190318B.PI-20190508B.PI-20181022C-2-F</t>
        </r>
      </text>
    </comment>
    <comment ref="H4949" authorId="0" shapeId="0" xr:uid="{3F65ECD2-4A55-2C41-97E4-2298E644714E}">
      <text>
        <r>
          <rPr>
            <sz val="10"/>
            <color rgb="FF000000"/>
            <rFont val="Aptos Narrow"/>
            <scheme val="minor"/>
          </rPr>
          <t>======
ID#AAABjx7qTl4
    (2025-05-21 11:33:26)
alice:6/20銀行水單匯入USD4462 沖PI20190107A.PI-20190318B.PI-20190508B.PI-20181022C-2-F</t>
        </r>
      </text>
    </comment>
    <comment ref="H4950" authorId="0" shapeId="0" xr:uid="{309435C7-12A2-A64B-B05B-7D05FF089412}">
      <text>
        <r>
          <rPr>
            <sz val="10"/>
            <color rgb="FF000000"/>
            <rFont val="Aptos Narrow"/>
            <scheme val="minor"/>
          </rPr>
          <t>======
ID#AAABjx7qOXg
    (2025-05-21 11:33:24)
alice:6/20銀行水單匯入USD4462 沖PI20190107A.PI-20190318B.PI-20190508B.PI-20181022C-2-F</t>
        </r>
      </text>
    </comment>
    <comment ref="H4951" authorId="0" shapeId="0" xr:uid="{DB4619CB-2F79-6040-8DFF-CDAE7D9AAEF6}">
      <text>
        <r>
          <rPr>
            <sz val="10"/>
            <color rgb="FF000000"/>
            <rFont val="Aptos Narrow"/>
            <scheme val="minor"/>
          </rPr>
          <t>======
ID#AAABjx7qQPg
    (2025-05-21 11:33:25)
alice:6/20銀行水單匯入USD4462 沖PI20190107A.PI-20190318B.PI-20190508B.PI-20181022C-2-F</t>
        </r>
      </text>
    </comment>
    <comment ref="H4952" authorId="0" shapeId="0" xr:uid="{C477C891-B88E-B84B-A34B-65A67EA6501A}">
      <text>
        <r>
          <rPr>
            <sz val="10"/>
            <color rgb="FF000000"/>
            <rFont val="Aptos Narrow"/>
            <scheme val="minor"/>
          </rPr>
          <t>======
ID#AAABjx7qTnM
    (2025-05-21 11:33:26)
alice:6/20銀行水單匯入USD4462 沖PI20190107A.PI-20190318B.PI-20190508B.PI-20181022C-2-F</t>
        </r>
      </text>
    </comment>
    <comment ref="H4953" authorId="0" shapeId="0" xr:uid="{1B13EB68-74DA-F74F-B02A-8ECD9F1FDA64}">
      <text>
        <r>
          <rPr>
            <sz val="10"/>
            <color rgb="FF000000"/>
            <rFont val="Aptos Narrow"/>
            <scheme val="minor"/>
          </rPr>
          <t>======
ID#AAABjx7qQMg
    (2025-05-21 11:33:25)
alice:6/20銀行水單匯入USD4462 沖PI20190107A.PI-20190318B.PI-20190508B.PI-20181022C-2-F</t>
        </r>
      </text>
    </comment>
    <comment ref="H4954" authorId="0" shapeId="0" xr:uid="{7709C087-91D7-7542-B346-E0E8861668B5}">
      <text>
        <r>
          <rPr>
            <sz val="10"/>
            <color rgb="FF000000"/>
            <rFont val="Aptos Narrow"/>
            <scheme val="minor"/>
          </rPr>
          <t>======
ID#AAABjx7qNfM
    (2025-05-21 11:33:23)
ALICE:7/17水單匯入USD9362沖PI-20190508B-F 92元.PI-20190508B-1 130元. PI-20190509C 9140元整</t>
        </r>
      </text>
    </comment>
    <comment ref="F4955" authorId="0" shapeId="0" xr:uid="{F36AF5F8-468A-1B42-8DB6-19F7AAF59569}">
      <text>
        <r>
          <rPr>
            <sz val="10"/>
            <color rgb="FF000000"/>
            <rFont val="Aptos Narrow"/>
            <scheme val="minor"/>
          </rPr>
          <t>======
ID#AAABjx7qQL0
    (2025-05-21 11:33:25)
5/21 Amy: change to 16G Dram instead of 8 G Dram</t>
        </r>
      </text>
    </comment>
    <comment ref="G4955" authorId="0" shapeId="0" xr:uid="{EED768E7-AB1A-7849-92E2-A63D76488F9A}">
      <text>
        <r>
          <rPr>
            <sz val="10"/>
            <color rgb="FF000000"/>
            <rFont val="Aptos Narrow"/>
            <scheme val="minor"/>
          </rPr>
          <t>======
ID#AAABjx7qSMg
    (2025-05-21 11:33:26)
6/4 Amy: Aantiago agree to offer Special price following local low price.  請尋低價能用即可</t>
        </r>
      </text>
    </comment>
    <comment ref="H4955" authorId="0" shapeId="0" xr:uid="{C40DF104-8B55-AB4C-AC4C-0673A9CD42A0}">
      <text>
        <r>
          <rPr>
            <sz val="10"/>
            <color rgb="FF000000"/>
            <rFont val="Aptos Narrow"/>
            <scheme val="minor"/>
          </rPr>
          <t>======
ID#AAABjx7qN0w
    (2025-05-21 11:33:23)
ALICE:6/27水單匯入USD8652.87沖PI20190515C 1394.5.PI-20190625C 46.37.PI-20190508C 6408.PI-20190619B 804共四張PI合計8652.87</t>
        </r>
      </text>
    </comment>
    <comment ref="K4955" authorId="0" shapeId="0" xr:uid="{F7C3D144-8302-1A42-B380-0EE6F758C205}">
      <text>
        <r>
          <rPr>
            <sz val="10"/>
            <color rgb="FF000000"/>
            <rFont val="Aptos Narrow"/>
            <scheme val="minor"/>
          </rPr>
          <t>======
ID#AAABjx7qU_A
    (2025-05-21 11:33:27)
Customer request shipment asap.  Please help what we can do.  Thanks.</t>
        </r>
      </text>
    </comment>
    <comment ref="G4956" authorId="0" shapeId="0" xr:uid="{BB771B32-E910-8A4D-9FDD-764BC20A0158}">
      <text>
        <r>
          <rPr>
            <sz val="10"/>
            <color rgb="FF000000"/>
            <rFont val="Aptos Narrow"/>
            <scheme val="minor"/>
          </rPr>
          <t>======
ID#AAABjx7qNfI
    (2025-05-21 11:33:23)
6/4 Amy: Aantiago agree to offer Special price following local low price.  請尋低價能用即可</t>
        </r>
      </text>
    </comment>
    <comment ref="H4956" authorId="0" shapeId="0" xr:uid="{3596566D-914F-3E4A-B0BB-EC6A97D38666}">
      <text>
        <r>
          <rPr>
            <sz val="10"/>
            <color rgb="FF000000"/>
            <rFont val="Aptos Narrow"/>
            <scheme val="minor"/>
          </rPr>
          <t>======
ID#AAABjx7qTaU
    (2025-05-21 11:33:26)
ALICE:6/27水單匯入USD8652.87沖PI20190515C 1394.5.PI-20190625C 46.37.PI-20190508C 6408.PI-20190619B 804共四張PI合計8652.87</t>
        </r>
      </text>
    </comment>
    <comment ref="K4956" authorId="0" shapeId="0" xr:uid="{2D536282-58EF-7946-9164-BF12A4F95A2C}">
      <text>
        <r>
          <rPr>
            <sz val="10"/>
            <color rgb="FF000000"/>
            <rFont val="Aptos Narrow"/>
            <scheme val="minor"/>
          </rPr>
          <t>======
ID#AAABjx7qOEM
    (2025-05-21 11:33:24)
Customer request shipment asap.  Please help what we can do.  Thanks.</t>
        </r>
      </text>
    </comment>
    <comment ref="B4957" authorId="0" shapeId="0" xr:uid="{E7A557A2-9686-2546-B179-64E8148776D0}">
      <text>
        <r>
          <rPr>
            <sz val="10"/>
            <color rgb="FF000000"/>
            <rFont val="Aptos Narrow"/>
            <scheme val="minor"/>
          </rPr>
          <t>======
ID#AAABjx7qVag
    (2025-05-21 11:33:27)
5/21 Amy: change quantity to 6 ( previous is 3)</t>
        </r>
      </text>
    </comment>
    <comment ref="H4957" authorId="0" shapeId="0" xr:uid="{5044C108-5978-AA4F-A514-47D0B75AEFEB}">
      <text>
        <r>
          <rPr>
            <sz val="10"/>
            <color rgb="FF000000"/>
            <rFont val="Aptos Narrow"/>
            <scheme val="minor"/>
          </rPr>
          <t>======
ID#AAABjx7qM-o
    (2025-05-21 11:33:23)
ALICE:6/27水單匯入USD8652.87沖PI20190515C 1394.5.PI-20190625C 46.37.PI-20190508C 6408.PI-20190619B 804共四張PI合計8652.87</t>
        </r>
      </text>
    </comment>
    <comment ref="K4957" authorId="0" shapeId="0" xr:uid="{AC6BFB7F-6253-5C45-94F7-CB6277ACA274}">
      <text>
        <r>
          <rPr>
            <sz val="10"/>
            <color rgb="FF000000"/>
            <rFont val="Aptos Narrow"/>
            <scheme val="minor"/>
          </rPr>
          <t>======
ID#AAABjx7qNAY
    (2025-05-21 11:33:23)
Customer request shipment asap.  Please help what we can do.  Thanks.</t>
        </r>
      </text>
    </comment>
    <comment ref="B4958" authorId="0" shapeId="0" xr:uid="{6328B2D8-FA24-2E46-A0B1-C9088997016C}">
      <text>
        <r>
          <rPr>
            <sz val="10"/>
            <color rgb="FF000000"/>
            <rFont val="Aptos Narrow"/>
            <scheme val="minor"/>
          </rPr>
          <t>======
ID#AAABjx7qQR4
    (2025-05-21 11:33:25)
5/21 Amy: change quantity to 6 ( previous is 3)</t>
        </r>
      </text>
    </comment>
    <comment ref="E4958" authorId="0" shapeId="0" xr:uid="{B8F158CA-B325-B947-B8B4-DF9EFDBEC94B}">
      <text>
        <r>
          <rPr>
            <sz val="10"/>
            <color rgb="FF000000"/>
            <rFont val="Aptos Narrow"/>
            <scheme val="minor"/>
          </rPr>
          <t>======
ID#AAABjx7qQ-Q
    (2025-05-21 11:33:25)
7/23 Amy: M12 using PLASTIC  type instead of Metal type, cost difference $257/pc ( Credit note: 20190723)</t>
        </r>
      </text>
    </comment>
    <comment ref="H4958" authorId="0" shapeId="0" xr:uid="{DDE58A58-F68E-DF4B-85AB-C6CB92310D70}">
      <text>
        <r>
          <rPr>
            <sz val="10"/>
            <color rgb="FF000000"/>
            <rFont val="Aptos Narrow"/>
            <scheme val="minor"/>
          </rPr>
          <t>======
ID#AAABj82dpMg
    (2025-05-21 11:33:23)
ALICE:6/27水單匯入USD8652.87沖PI20190515C 1394.5.PI-20190625C 46.37.PI-20190508C 6408.PI-20190619B 804共四張PI合計8652.87   發現不是金屬接頭故折讓usd771(於6/27已收，轉預收貨款)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4959" authorId="0" shapeId="0" xr:uid="{F8E46689-7769-D447-94E0-05549BE6E870}">
      <text>
        <r>
          <rPr>
            <sz val="10"/>
            <color rgb="FF000000"/>
            <rFont val="Aptos Narrow"/>
            <scheme val="minor"/>
          </rPr>
          <t>======
ID#AAABjx7qRyE
    (2025-05-21 11:33:25)
0508請TAMMY 下單</t>
        </r>
      </text>
    </comment>
    <comment ref="H4959" authorId="0" shapeId="0" xr:uid="{11787F0D-F981-DA4E-9EC2-B4FB9465914F}">
      <text>
        <r>
          <rPr>
            <sz val="10"/>
            <color rgb="FF000000"/>
            <rFont val="Aptos Narrow"/>
            <scheme val="minor"/>
          </rPr>
          <t>======
ID#AAABjx7qWFA
    (2025-05-21 11:33:27)
ALICE:7/3收到支票 6/30即期票，票號CP0072748 金額30489元整，沖PI-20190508D 16425元，沖PI-20190520A 14092元。(原PI-20190520A退貨，故應收2114手續費) 多收部份轉預收11978元整</t>
        </r>
      </text>
    </comment>
    <comment ref="K4959" authorId="0" shapeId="0" xr:uid="{BA920178-A2A3-104E-ACDA-1B304C8820C6}">
      <text>
        <r>
          <rPr>
            <sz val="10"/>
            <color rgb="FF000000"/>
            <rFont val="Aptos Narrow"/>
            <scheme val="minor"/>
          </rPr>
          <t>======
ID#AAABjx7qP-U
    (2025-05-21 11:33:25)
需5/21到客戶</t>
        </r>
      </text>
    </comment>
    <comment ref="D4960" authorId="0" shapeId="0" xr:uid="{741962E6-BE1D-7148-A919-2EEAED3BC812}">
      <text>
        <r>
          <rPr>
            <sz val="10"/>
            <color rgb="FF000000"/>
            <rFont val="Aptos Narrow"/>
            <scheme val="minor"/>
          </rPr>
          <t>======
ID#AAABjx7qWSs
    (2025-05-21 11:33:27)
在此輸入
0508 Vilas promise will give another 50pcs end of this year.
1001 告知改為Aditech 付款</t>
        </r>
      </text>
    </comment>
    <comment ref="H4962" authorId="0" shapeId="0" xr:uid="{99766ED6-8835-AC43-B204-778C6011ADDB}">
      <text>
        <r>
          <rPr>
            <sz val="10"/>
            <color rgb="FF000000"/>
            <rFont val="Aptos Narrow"/>
            <scheme val="minor"/>
          </rPr>
          <t>======
ID#AAABjx7qUyY
    (2025-05-21 11:33:26)
ALICE:5/27-水單匯入USD4578*31.43</t>
        </r>
      </text>
    </comment>
    <comment ref="H4963" authorId="0" shapeId="0" xr:uid="{C99F2B75-C2E0-0443-A073-6A5A158B161A}">
      <text>
        <r>
          <rPr>
            <sz val="10"/>
            <color rgb="FF000000"/>
            <rFont val="Aptos Narrow"/>
            <scheme val="minor"/>
          </rPr>
          <t>======
ID#AAABjx7qSH0
    (2025-05-21 11:33:26)
ALICE:5/27-水單匯入USD4578*31.43</t>
        </r>
      </text>
    </comment>
    <comment ref="E4964" authorId="0" shapeId="0" xr:uid="{475EE6DD-EC8F-5147-B6FC-EE8B9E077C07}">
      <text>
        <r>
          <rPr>
            <sz val="10"/>
            <color rgb="FF000000"/>
            <rFont val="Aptos Narrow"/>
            <scheme val="minor"/>
          </rPr>
          <t>======
ID#AAABjx7qN4M
    (2025-05-21 11:33:23)
24"Panel PC &amp; VESA 裝入同一外箱</t>
        </r>
      </text>
    </comment>
    <comment ref="H4964" authorId="0" shapeId="0" xr:uid="{DF3E894F-1190-354B-ABB9-EDC00A168E83}">
      <text>
        <r>
          <rPr>
            <sz val="10"/>
            <color rgb="FF000000"/>
            <rFont val="Aptos Narrow"/>
            <scheme val="minor"/>
          </rPr>
          <t>======
ID#AAABjx7qVyg
    (2025-05-21 11:33:27)
ALICE:5/27-水單匯入USD4578*31.43</t>
        </r>
      </text>
    </comment>
    <comment ref="H4965" authorId="0" shapeId="0" xr:uid="{17EFF8FE-DA00-7244-8CAE-17DEE600C296}">
      <text>
        <r>
          <rPr>
            <sz val="10"/>
            <color rgb="FF000000"/>
            <rFont val="Aptos Narrow"/>
            <scheme val="minor"/>
          </rPr>
          <t>======
ID#AAABjx7qVJw
    (2025-05-21 11:33:27)
ALICE:5/27-水單匯入USD4578*31.43</t>
        </r>
      </text>
    </comment>
    <comment ref="H4966" authorId="0" shapeId="0" xr:uid="{CADFC92E-0D94-E145-BB3F-3FEAEA5284BE}">
      <text>
        <r>
          <rPr>
            <sz val="10"/>
            <color rgb="FF000000"/>
            <rFont val="Aptos Narrow"/>
            <scheme val="minor"/>
          </rPr>
          <t>======
ID#AAABjx7qQ7I
    (2025-05-21 11:33:25)
ALICE:7/17水單匯入USD9362沖PI-20190508B-F 92元.PI-20190508B-1 130元. PI-20190509C 9140元整</t>
        </r>
      </text>
    </comment>
    <comment ref="H4967" authorId="0" shapeId="0" xr:uid="{05C93564-4C5F-EF47-B60B-D19BBC8ADD7E}">
      <text>
        <r>
          <rPr>
            <sz val="10"/>
            <color rgb="FF000000"/>
            <rFont val="Aptos Narrow"/>
            <scheme val="minor"/>
          </rPr>
          <t>======
ID#AAABjx7qSYM
    (2025-05-21 11:33:26)
ALICE:7/17水單匯入USD9362沖PI-20190508B-F 92元.PI-20190508B-1 130元. PI-20190509C 9140元整</t>
        </r>
      </text>
    </comment>
    <comment ref="H4968" authorId="0" shapeId="0" xr:uid="{91DF7A3B-0A66-D944-898F-CEF1C3931A61}">
      <text>
        <r>
          <rPr>
            <sz val="10"/>
            <color rgb="FF000000"/>
            <rFont val="Aptos Narrow"/>
            <scheme val="minor"/>
          </rPr>
          <t>======
ID#AAABjx7qSMI
    (2025-05-21 11:33:26)
ALICE:7/17水單匯入USD9362沖PI-20190508B-F 92元.PI-20190508B-1 130元. PI-20190509C 9140元整</t>
        </r>
      </text>
    </comment>
    <comment ref="H4969" authorId="0" shapeId="0" xr:uid="{BEA2A8CE-6FE2-4946-B7A1-E8BCDD5A086C}">
      <text>
        <r>
          <rPr>
            <sz val="10"/>
            <color rgb="FF000000"/>
            <rFont val="Aptos Narrow"/>
            <scheme val="minor"/>
          </rPr>
          <t>======
ID#AAABjx7qUu0
    (2025-05-21 11:33:26)
ALICE:7/17水單匯入USD9362沖PI-20190508B-F 92元.PI-20190508B-1 130元. PI-20190509C 9140元整</t>
        </r>
      </text>
    </comment>
    <comment ref="K4969" authorId="0" shapeId="0" xr:uid="{108CE8C9-B3F9-9546-B450-D3D8C8E4FA98}">
      <text>
        <r>
          <rPr>
            <sz val="10"/>
            <color rgb="FF000000"/>
            <rFont val="Aptos Narrow"/>
            <scheme val="minor"/>
          </rPr>
          <t>======
ID#AAABjx7qVDQ
    (2025-05-21 11:33:27)
5/23 Amy: please inform sales for pick up from Vecow, need shipment on 6/6</t>
        </r>
      </text>
    </comment>
    <comment ref="H4970" authorId="0" shapeId="0" xr:uid="{E5B84153-F5CD-D447-AFF6-944D31353342}">
      <text>
        <r>
          <rPr>
            <sz val="10"/>
            <color rgb="FF000000"/>
            <rFont val="Aptos Narrow"/>
            <scheme val="minor"/>
          </rPr>
          <t>======
ID#AAABjx7qVEg
    (2025-05-21 11:33:27)
ALICE:7/17水單匯入USD9362沖PI-20190508B-F 92元.PI-20190508B-1 130元. PI-20190509C 9140元整</t>
        </r>
      </text>
    </comment>
    <comment ref="K4970" authorId="0" shapeId="0" xr:uid="{D589901F-2B95-C947-B8EF-48497459E891}">
      <text>
        <r>
          <rPr>
            <sz val="10"/>
            <color rgb="FF000000"/>
            <rFont val="Aptos Narrow"/>
            <scheme val="minor"/>
          </rPr>
          <t>======
ID#AAABjx7qTIo
    (2025-05-21 11:33:26)
5/23 Amy: please inform sales for pick up from Vecow, need shipment on 6/6</t>
        </r>
      </text>
    </comment>
    <comment ref="H4971" authorId="0" shapeId="0" xr:uid="{E5786236-5D13-3242-B653-78034B4F2492}">
      <text>
        <r>
          <rPr>
            <sz val="10"/>
            <color rgb="FF000000"/>
            <rFont val="Aptos Narrow"/>
            <scheme val="minor"/>
          </rPr>
          <t>======
ID#AAABjx7qPRA
    (2025-05-21 11:33:24)
ALICE:7/17水單匯入USD9362沖PI-20190508B-F 92元.PI-20190508B-1 130元. PI-20190509C 9140元整</t>
        </r>
      </text>
    </comment>
    <comment ref="H4972" authorId="0" shapeId="0" xr:uid="{83A1F0E0-95D0-4043-BE40-BC9C8A0D9141}">
      <text>
        <r>
          <rPr>
            <sz val="10"/>
            <color rgb="FF000000"/>
            <rFont val="Aptos Narrow"/>
            <scheme val="minor"/>
          </rPr>
          <t>======
ID#AAABjx7qOyg
    (2025-05-21 11:33:24)
alice:7/4-水單匯入USD4316.9沖PI-20190422B.沖PI-20190507B.沖PI-20190513A</t>
        </r>
      </text>
    </comment>
    <comment ref="H4973" authorId="0" shapeId="0" xr:uid="{F451509A-CC9C-ED4F-9BE7-6F26B88B85FC}">
      <text>
        <r>
          <rPr>
            <sz val="10"/>
            <color rgb="FF000000"/>
            <rFont val="Aptos Narrow"/>
            <scheme val="minor"/>
          </rPr>
          <t>======
ID#AAABjx7qNhw
    (2025-05-21 11:33:23)
alice:7/4-水單匯入USD4316.9沖PI-20190422B.沖PI-20190507B.沖PI-20190513A</t>
        </r>
      </text>
    </comment>
    <comment ref="Z4973" authorId="0" shapeId="0" xr:uid="{D8B5D187-E82D-8C43-9ACD-777D52615C60}">
      <text>
        <r>
          <rPr>
            <sz val="10"/>
            <color rgb="FF000000"/>
            <rFont val="Aptos Narrow"/>
            <scheme val="minor"/>
          </rPr>
          <t>======
ID#AAABjx7qRgQ
    (2025-05-21 11:33:25)
0514 Cathy 下單</t>
        </r>
      </text>
    </comment>
    <comment ref="H4974" authorId="0" shapeId="0" xr:uid="{FA63176D-8AD8-6545-A2C3-1A40668B6D9C}">
      <text>
        <r>
          <rPr>
            <sz val="10"/>
            <color rgb="FF000000"/>
            <rFont val="Aptos Narrow"/>
            <scheme val="minor"/>
          </rPr>
          <t>======
ID#AAABjx7qPIA
    (2025-05-21 11:33:24)
alice:7/4-水單匯入USD4316.9沖PI-20190422B.沖PI-20190507B.沖PI-20190513A</t>
        </r>
      </text>
    </comment>
    <comment ref="Z4974" authorId="0" shapeId="0" xr:uid="{C842F127-96D3-8847-A0E7-09002E690E69}">
      <text>
        <r>
          <rPr>
            <sz val="10"/>
            <color rgb="FF000000"/>
            <rFont val="Aptos Narrow"/>
            <scheme val="minor"/>
          </rPr>
          <t>======
ID#AAABjx7qVXM
    (2025-05-21 11:33:27)
0514 Cathy 下單</t>
        </r>
      </text>
    </comment>
    <comment ref="H4975" authorId="0" shapeId="0" xr:uid="{E73FC021-0446-754A-807D-2063921A4BCB}">
      <text>
        <r>
          <rPr>
            <sz val="10"/>
            <color rgb="FF000000"/>
            <rFont val="Aptos Narrow"/>
            <scheme val="minor"/>
          </rPr>
          <t>======
ID#AAABjx7qNNU
    (2025-05-21 11:33:23)
alice:7/4-水單匯入USD4316.9沖PI-20190422B.沖PI-20190507B.沖PI-20190513A</t>
        </r>
      </text>
    </comment>
    <comment ref="Z4975" authorId="0" shapeId="0" xr:uid="{EB4AFF0A-2C62-6C47-A7D7-814337BCF90E}">
      <text>
        <r>
          <rPr>
            <sz val="10"/>
            <color rgb="FF000000"/>
            <rFont val="Aptos Narrow"/>
            <scheme val="minor"/>
          </rPr>
          <t>======
ID#AAABjx7qV_s
    (2025-05-21 11:33:27)
0514 Cathy 下單</t>
        </r>
      </text>
    </comment>
    <comment ref="G4976" authorId="0" shapeId="0" xr:uid="{CE02BF10-706D-3042-8512-584B6933B49C}">
      <text>
        <r>
          <rPr>
            <sz val="10"/>
            <color rgb="FF000000"/>
            <rFont val="Aptos Narrow"/>
            <scheme val="minor"/>
          </rPr>
          <t>======
ID#AAABjx7qN-M
    (2025-05-21 11:33:23)
190513 w/ 5%VAT</t>
        </r>
      </text>
    </comment>
    <comment ref="H4976" authorId="0" shapeId="0" xr:uid="{EB70C68A-DF63-F54B-ADC9-206FD1FB2BB5}">
      <text>
        <r>
          <rPr>
            <sz val="10"/>
            <color rgb="FF000000"/>
            <rFont val="Aptos Narrow"/>
            <scheme val="minor"/>
          </rPr>
          <t>======
ID#AAABjx7qWYM
    (2025-05-21 11:33:27)
ALICE:7/1電文通知匯入USD3717</t>
        </r>
      </text>
    </comment>
    <comment ref="G4977" authorId="0" shapeId="0" xr:uid="{F67BDD57-874C-5D44-BEC8-BF71BA9B3A89}">
      <text>
        <r>
          <rPr>
            <sz val="10"/>
            <color rgb="FF000000"/>
            <rFont val="Aptos Narrow"/>
            <scheme val="minor"/>
          </rPr>
          <t>======
ID#AAABjx7qOWk
    (2025-05-21 11:33:24)
190513 w/ 5%VAT</t>
        </r>
      </text>
    </comment>
    <comment ref="H4977" authorId="0" shapeId="0" xr:uid="{1525EBA1-301B-4F43-A42D-A53E50451FE3}">
      <text>
        <r>
          <rPr>
            <sz val="10"/>
            <color rgb="FF000000"/>
            <rFont val="Aptos Narrow"/>
            <scheme val="minor"/>
          </rPr>
          <t>======
ID#AAABjx7qRVg
    (2025-05-21 11:33:25)
ALICE:8/23-水單匯入USD3717沖PI-20190513C USD3717</t>
        </r>
      </text>
    </comment>
    <comment ref="H4978" authorId="0" shapeId="0" xr:uid="{68459236-22B3-514F-BF7C-36081DF80146}">
      <text>
        <r>
          <rPr>
            <sz val="10"/>
            <color rgb="FF000000"/>
            <rFont val="Aptos Narrow"/>
            <scheme val="minor"/>
          </rPr>
          <t>======
ID#AAABjx7qVE4
    (2025-05-21 11:33:27)
ALICE:7/11水單匯入USD14058沖PI-20190515A</t>
        </r>
      </text>
    </comment>
    <comment ref="H4979" authorId="0" shapeId="0" xr:uid="{36A31C80-62A0-5449-B381-97F8B29548D8}">
      <text>
        <r>
          <rPr>
            <sz val="10"/>
            <color rgb="FF000000"/>
            <rFont val="Aptos Narrow"/>
            <scheme val="minor"/>
          </rPr>
          <t>======
ID#AAABjx7qNds
    (2025-05-21 11:33:23)
alice:5/30-銀行水單USD3750</t>
        </r>
      </text>
    </comment>
    <comment ref="K4979" authorId="0" shapeId="0" xr:uid="{787CBA01-1D82-0F47-AAD7-11C43D2E0F26}">
      <text>
        <r>
          <rPr>
            <sz val="10"/>
            <color rgb="FF000000"/>
            <rFont val="Aptos Narrow"/>
            <scheme val="minor"/>
          </rPr>
          <t>======
ID#AAABjx7qOtQ
    (2025-05-21 11:33:24)
0530 San: 客戶已匯款. 下週三款項會到, 可先出</t>
        </r>
      </text>
    </comment>
    <comment ref="AK4979" authorId="0" shapeId="0" xr:uid="{347CF924-0C4B-A149-956F-7A09EF9FFF88}">
      <text>
        <r>
          <rPr>
            <sz val="10"/>
            <color rgb="FF000000"/>
            <rFont val="Aptos Narrow"/>
            <scheme val="minor"/>
          </rPr>
          <t>======
ID#AAABjx7qN8c
    (2025-05-21 11:33:23)
ALICE:5/30水單匯入USD3743.66*31.57 (手續費USD6.34*31.57)</t>
        </r>
      </text>
    </comment>
    <comment ref="AL4979" authorId="0" shapeId="0" xr:uid="{B4C7A9CA-FAE6-D44B-A8D4-9A5465F9308A}">
      <text>
        <r>
          <rPr>
            <sz val="10"/>
            <color rgb="FF000000"/>
            <rFont val="Aptos Narrow"/>
            <scheme val="minor"/>
          </rPr>
          <t>======
ID#AAABjx7qVvU
    (2025-05-21 11:33:27)
ALICE:5/30水單匯入USD3743.66*31.57 (手續費USD6.34*31.57)</t>
        </r>
      </text>
    </comment>
    <comment ref="E4980" authorId="0" shapeId="0" xr:uid="{CAD2A0E0-7C3C-F943-A312-7DD1CB38CE58}">
      <text>
        <r>
          <rPr>
            <sz val="10"/>
            <color rgb="FF000000"/>
            <rFont val="Aptos Narrow"/>
            <scheme val="minor"/>
          </rPr>
          <t>======
ID#AAABjx7qN04
    (2025-05-21 11:33:23)
190517 Karen: w/EU adapter</t>
        </r>
      </text>
    </comment>
    <comment ref="H4980" authorId="0" shapeId="0" xr:uid="{3F2EB8BA-63CB-AA4D-8F31-2EA8D8E9A0B8}">
      <text>
        <r>
          <rPr>
            <sz val="10"/>
            <color rgb="FF000000"/>
            <rFont val="Aptos Narrow"/>
            <scheme val="minor"/>
          </rPr>
          <t>======
ID#AAABjx7qVe4
    (2025-05-21 11:33:27)
ALICE:6/27水單匯入USD8652.87沖PI20190515C 1394.5.PI-20190625C 46.37.PI-20190508C 6408.PI-20190619B 804共四張PI合計8652.87</t>
        </r>
      </text>
    </comment>
    <comment ref="F4981" authorId="0" shapeId="0" xr:uid="{6610BCBF-F3D0-C54D-B344-F8309096E6A3}">
      <text>
        <r>
          <rPr>
            <sz val="10"/>
            <color rgb="FF000000"/>
            <rFont val="Aptos Narrow"/>
            <scheme val="minor"/>
          </rPr>
          <t>======
ID#AAABjx7qTZA
    (2025-05-21 11:33:26)
在此輸入</t>
        </r>
      </text>
    </comment>
    <comment ref="H4981" authorId="0" shapeId="0" xr:uid="{4D343BFC-C3B0-4045-AD83-2D82C103B3DD}">
      <text>
        <r>
          <rPr>
            <sz val="10"/>
            <color rgb="FF000000"/>
            <rFont val="Aptos Narrow"/>
            <scheme val="minor"/>
          </rPr>
          <t>======
ID#AAABjx7qTfk
    (2025-05-21 11:33:26)
ALICE:6/27水單匯入USD8652.87沖PI20190515C 1394.5.PI-20190625C 46.37.PI-20190508C 6408.PI-20190619B 804共四張PI合計8652.87</t>
        </r>
      </text>
    </comment>
    <comment ref="E4982" authorId="0" shapeId="0" xr:uid="{E47B5155-EDF0-2A44-B888-846E7D491BB5}">
      <text>
        <r>
          <rPr>
            <sz val="10"/>
            <color rgb="FF000000"/>
            <rFont val="Aptos Narrow"/>
            <scheme val="minor"/>
          </rPr>
          <t>======
ID#AAABjx7qMvI
    (2025-05-21 11:33:23)
190517 Karen: w/o adapter</t>
        </r>
      </text>
    </comment>
    <comment ref="H4982" authorId="0" shapeId="0" xr:uid="{8C636E71-E7EF-204C-B84D-6FF8483B9586}">
      <text>
        <r>
          <rPr>
            <sz val="10"/>
            <color rgb="FF000000"/>
            <rFont val="Aptos Narrow"/>
            <scheme val="minor"/>
          </rPr>
          <t>======
ID#AAABjx7qRSc
    (2025-05-21 11:33:25)
ALICE:6/27水單匯入USD8652.87沖PI20190515C 1394.5.PI-20190625C 46.37.PI-20190508C 6408.PI-20190619B 804共四張PI合計8652.87</t>
        </r>
      </text>
    </comment>
    <comment ref="H4983" authorId="0" shapeId="0" xr:uid="{E492B4AF-3D79-0C49-8804-95296C2A72EE}">
      <text>
        <r>
          <rPr>
            <sz val="10"/>
            <color rgb="FF000000"/>
            <rFont val="Aptos Narrow"/>
            <scheme val="minor"/>
          </rPr>
          <t>======
ID#AAABjx7qM3w
    (2025-05-21 11:33:23)
ALICE:6/27水單匯入USD8652.87沖PI20190515C 1394.5.PI-20190625C 46.37.PI-20190508C 6408.PI-20190619B 804共四張PI合計8652.87</t>
        </r>
      </text>
    </comment>
    <comment ref="H4984" authorId="0" shapeId="0" xr:uid="{822CD042-89FF-FC4F-BD66-D70C6E24DF4F}">
      <text>
        <r>
          <rPr>
            <sz val="10"/>
            <color rgb="FF000000"/>
            <rFont val="Aptos Narrow"/>
            <scheme val="minor"/>
          </rPr>
          <t>======
ID#AAABjx7qN9g
    (2025-05-21 11:33:23)
ALICE:6/27水單匯入USD8652.87沖PI20190515C 1394.5.PI-20190625C 46.37.PI-20190508C 6408.PI-20190619B 804共四張PI合計8652.87</t>
        </r>
      </text>
    </comment>
    <comment ref="H4985" authorId="0" shapeId="0" xr:uid="{023B05ED-3C9F-E84F-8753-3EF4A756FBB3}">
      <text>
        <r>
          <rPr>
            <sz val="10"/>
            <color rgb="FF000000"/>
            <rFont val="Aptos Narrow"/>
            <scheme val="minor"/>
          </rPr>
          <t>======
ID#AAABjx7qOGE
    (2025-05-21 11:33:24)
alice:5/30-銀行水單USD3750</t>
        </r>
      </text>
    </comment>
    <comment ref="K4985" authorId="0" shapeId="0" xr:uid="{34316EE8-BDB7-6E4A-A75B-D26FD1789417}">
      <text>
        <r>
          <rPr>
            <sz val="10"/>
            <color rgb="FF000000"/>
            <rFont val="Aptos Narrow"/>
            <scheme val="minor"/>
          </rPr>
          <t>======
ID#AAABjx7qPcc
    (2025-05-21 11:33:24)
0530 San: 客戶已匯款. 下週三款項會到, 可先出</t>
        </r>
      </text>
    </comment>
    <comment ref="AK4985" authorId="0" shapeId="0" xr:uid="{5211C27A-10EF-FB46-BD8F-BAB928CEA410}">
      <text>
        <r>
          <rPr>
            <sz val="10"/>
            <color rgb="FF000000"/>
            <rFont val="Aptos Narrow"/>
            <scheme val="minor"/>
          </rPr>
          <t>======
ID#AAABjx7qNNc
    (2025-05-21 11:33:23)
ALICE:5/30水單匯入USD3743.66*31.57 (手續費USD6.34*31.57)</t>
        </r>
      </text>
    </comment>
    <comment ref="AL4985" authorId="0" shapeId="0" xr:uid="{6ACDF53F-E346-5D4B-ABE4-7FCF1C511ADA}">
      <text>
        <r>
          <rPr>
            <sz val="10"/>
            <color rgb="FF000000"/>
            <rFont val="Aptos Narrow"/>
            <scheme val="minor"/>
          </rPr>
          <t>======
ID#AAABjx7qOWc
    (2025-05-21 11:33:24)
ALICE:5/30水單匯入USD3743.66*31.57 (手續費USD6.34*31.57)</t>
        </r>
      </text>
    </comment>
    <comment ref="B4986" authorId="0" shapeId="0" xr:uid="{7F9FB521-D7DB-1B47-B72E-5BC86A5F1D03}">
      <text>
        <r>
          <rPr>
            <sz val="10"/>
            <color rgb="FF000000"/>
            <rFont val="Aptos Narrow"/>
            <scheme val="minor"/>
          </rPr>
          <t>======
ID#AAABjx7qM9c
    (2025-05-21 11:33:23)
月結30天</t>
        </r>
      </text>
    </comment>
    <comment ref="H4986" authorId="0" shapeId="0" xr:uid="{4B90ADBE-51D2-6C45-94C0-C85F40A23AE3}">
      <text>
        <r>
          <rPr>
            <sz val="10"/>
            <color rgb="FF000000"/>
            <rFont val="Aptos Narrow"/>
            <scheme val="minor"/>
          </rPr>
          <t>======
ID#AAABjx7qQnU
    (2025-05-21 11:33:25)
ALICE:5月應付77875-應收4900對沖=故應付予閎亮72975</t>
        </r>
      </text>
    </comment>
    <comment ref="AK4986" authorId="0" shapeId="0" xr:uid="{9CE1135A-2000-F241-AC6B-5FE5804C249D}">
      <text>
        <r>
          <rPr>
            <sz val="10"/>
            <color rgb="FF000000"/>
            <rFont val="Aptos Narrow"/>
            <scheme val="minor"/>
          </rPr>
          <t>======
ID#AAABjx7qPbQ
    (2025-05-21 11:33:24)
ALICE:5月應付77875-應收4900對沖=故應付予閎亮72975</t>
        </r>
      </text>
    </comment>
    <comment ref="D4987" authorId="0" shapeId="0" xr:uid="{E5064F49-3AAF-0F4D-8FFB-2A091D87C3F8}">
      <text>
        <r>
          <rPr>
            <sz val="10"/>
            <color rgb="FF000000"/>
            <rFont val="Aptos Narrow"/>
            <scheme val="minor"/>
          </rPr>
          <t>======
ID#AAABjx7qOVY
    (2025-05-21 11:33:24)
0612 通知要核銷
0521 通知Tammy 下單
0520 亞郁已給PO單
0614  物料寄回Elgens  
0617 請Yvonne 寄回moxa nicky(貨&amp; 折讓單)</t>
        </r>
      </text>
    </comment>
    <comment ref="E4987" authorId="0" shapeId="0" xr:uid="{7B2A74FD-F61D-E741-A040-6026D167BEAA}">
      <text>
        <r>
          <rPr>
            <sz val="10"/>
            <color rgb="FF000000"/>
            <rFont val="Aptos Narrow"/>
            <scheme val="minor"/>
          </rPr>
          <t>======
ID#AAABjx7qVmo
    (2025-05-21 11:33:27)
客戶告知美規
0618  (客戶下單錯誤，核銷。酌收退貨手續費15%)  NTD2114</t>
        </r>
      </text>
    </comment>
    <comment ref="H4987" authorId="0" shapeId="0" xr:uid="{C4839FE9-D2D4-FE40-8CDE-5C4A74522624}">
      <text>
        <r>
          <rPr>
            <sz val="10"/>
            <color rgb="FF000000"/>
            <rFont val="Aptos Narrow"/>
            <scheme val="minor"/>
          </rPr>
          <t>======
ID#AAABjx7qSFQ
    (2025-05-21 11:33:26)
NTD 2114 (以下旬匯率31.52換算美金) 
ALICE:7/3收到支票 6/30即期票，票號CP0072748 金額30489元整，沖PI-20190508D 16425元，沖PI-20190520A 14092元。(原PI-20190520A退貨，故應收2114手續費) 多收部份轉預收11978元整</t>
        </r>
      </text>
    </comment>
    <comment ref="Z4987" authorId="0" shapeId="0" xr:uid="{6C1BE95D-BEAB-9D49-B1F6-012CA691AC71}">
      <text>
        <r>
          <rPr>
            <sz val="10"/>
            <color rgb="FF000000"/>
            <rFont val="Aptos Narrow"/>
            <scheme val="minor"/>
          </rPr>
          <t>======
ID#AAABjx7qNM4
    (2025-05-21 11:33:23)
ALICE:原成本5/23-QS18393167 $12617(含稅)
因客戶退換貨，故此筆與客戶取消
6/18-與MOXA辦理整筆退貨，再開立15%退貨手續費6/18-QS18394028 金額1909含稅</t>
        </r>
      </text>
    </comment>
    <comment ref="H4988" authorId="0" shapeId="0" xr:uid="{4BFB0C0B-B3E1-E148-BF0D-006A5714D685}">
      <text>
        <r>
          <rPr>
            <sz val="10"/>
            <color rgb="FF000000"/>
            <rFont val="Aptos Narrow"/>
            <scheme val="minor"/>
          </rPr>
          <t>======
ID#AAABjx7qVkI
    (2025-05-21 11:33:27)
ALICE:7/17水單匯入USD9362沖PI-20190508B-F 92元.PI-20190508B-1 130元. PI-20190509C 9140元整</t>
        </r>
      </text>
    </comment>
    <comment ref="H4989" authorId="0" shapeId="0" xr:uid="{1D74E800-CAB7-BD42-83AF-A33C6B68E3E6}">
      <text>
        <r>
          <rPr>
            <sz val="10"/>
            <color rgb="FF000000"/>
            <rFont val="Aptos Narrow"/>
            <scheme val="minor"/>
          </rPr>
          <t>======
ID#AAABjx7qQLQ
    (2025-05-21 11:33:25)
Alice:7/3-水單匯入USD135</t>
        </r>
      </text>
    </comment>
    <comment ref="H4990" authorId="0" shapeId="0" xr:uid="{77A6709E-E7CB-914D-BE44-FDE41DA9EC69}">
      <text>
        <r>
          <rPr>
            <sz val="10"/>
            <color rgb="FF000000"/>
            <rFont val="Aptos Narrow"/>
            <scheme val="minor"/>
          </rPr>
          <t>======
ID#AAABjx7qS9Y
    (2025-05-21 11:33:26)
13,800.00</t>
        </r>
      </text>
    </comment>
    <comment ref="H4991" authorId="0" shapeId="0" xr:uid="{DB3AC8B4-21D5-E44B-A3C0-D0FE490694CB}">
      <text>
        <r>
          <rPr>
            <sz val="10"/>
            <color rgb="FF000000"/>
            <rFont val="Aptos Narrow"/>
            <scheme val="minor"/>
          </rPr>
          <t>======
ID#AAABjx7qMwE
    (2025-05-21 11:33:23)
Alice:7/8匯入NT170334 
Alice:8/6匯入NT186707
Alice:8/6匯入NT32231
總計389272+匯款手續費30=389302沖PI-20190523A 202565.沖PI20190702A 186737元整</t>
        </r>
      </text>
    </comment>
    <comment ref="E4992" authorId="0" shapeId="0" xr:uid="{78AE1BAF-9DA0-B242-81C0-768F85FE5CCF}">
      <text>
        <r>
          <rPr>
            <sz val="10"/>
            <color rgb="FF000000"/>
            <rFont val="Aptos Narrow"/>
            <scheme val="minor"/>
          </rPr>
          <t>======
ID#AAABjx7qP8w
    (2025-05-21 11:33:24)
20170104 Santiago: 和之前訂單一樣, w/o adapter</t>
        </r>
      </text>
    </comment>
    <comment ref="H4992" authorId="0" shapeId="0" xr:uid="{AD7615B4-FEF4-F049-9E03-88AC33A7AB49}">
      <text>
        <r>
          <rPr>
            <sz val="10"/>
            <color rgb="FF000000"/>
            <rFont val="Aptos Narrow"/>
            <scheme val="minor"/>
          </rPr>
          <t>======
ID#AAABjx7qSM4
    (2025-05-21 11:33:26)
Alice:7/8匯入NT170334 
Alice:8/6匯入NT186707
Alice:8/6匯入NT32231
總計389272+匯款手續費30=389302沖PI-20190523A 202565.沖PI20190702A 186737元整</t>
        </r>
      </text>
    </comment>
    <comment ref="H4993" authorId="0" shapeId="0" xr:uid="{C2A5FB1F-3593-034F-AF5A-8C0FCECE245A}">
      <text>
        <r>
          <rPr>
            <sz val="10"/>
            <color rgb="FF000000"/>
            <rFont val="Aptos Narrow"/>
            <scheme val="minor"/>
          </rPr>
          <t>======
ID#AAABjx7qR1U
    (2025-05-21 11:33:25)
alice:6/14-玉山匯入USD1346-手續費31.36=USD1314.64*31.47</t>
        </r>
      </text>
    </comment>
    <comment ref="H4994" authorId="0" shapeId="0" xr:uid="{B0FE5138-B214-A748-BB8D-CD205B3607D8}">
      <text>
        <r>
          <rPr>
            <sz val="10"/>
            <color rgb="FF000000"/>
            <rFont val="Aptos Narrow"/>
            <scheme val="minor"/>
          </rPr>
          <t>======
ID#AAABjx7qRvw
    (2025-05-21 11:33:25)
alice:6/14-玉山匯入USD1346-手續費31.36=USD1314.64*31.47</t>
        </r>
      </text>
    </comment>
    <comment ref="H4995" authorId="0" shapeId="0" xr:uid="{9A9E2EEB-4F2C-ED49-800C-14E5AB2A1518}">
      <text>
        <r>
          <rPr>
            <sz val="10"/>
            <color rgb="FF000000"/>
            <rFont val="Aptos Narrow"/>
            <scheme val="minor"/>
          </rPr>
          <t>======
ID#AAABjx7qOkg
    (2025-05-21 11:33:24)
alice:6/14-玉山匯入USD1346-手續費31.36=USD1314.64*31.47</t>
        </r>
      </text>
    </comment>
    <comment ref="H4996" authorId="0" shapeId="0" xr:uid="{27FC2275-F35F-D24D-9926-9232D93EEC3B}">
      <text>
        <r>
          <rPr>
            <sz val="10"/>
            <color rgb="FF000000"/>
            <rFont val="Aptos Narrow"/>
            <scheme val="minor"/>
          </rPr>
          <t>======
ID#AAABjx7qVnM
    (2025-05-21 11:33:27)
alice:6/14-玉山匯入USD1346-手續費31.36=USD1314.64*31.47</t>
        </r>
      </text>
    </comment>
    <comment ref="H4997" authorId="0" shapeId="0" xr:uid="{AE3A19B8-F8B7-2240-AA71-421DE9D7C33A}">
      <text>
        <r>
          <rPr>
            <sz val="10"/>
            <color rgb="FF000000"/>
            <rFont val="Aptos Narrow"/>
            <scheme val="minor"/>
          </rPr>
          <t>======
ID#AAABjx7qOjk
    (2025-05-21 11:33:24)
alice:6/14-玉山匯入USD1346-手續費31.36=USD1314.64*31.47</t>
        </r>
      </text>
    </comment>
    <comment ref="H4998" authorId="0" shapeId="0" xr:uid="{FC936087-A534-EF40-A2AF-791FF73DB9C4}">
      <text>
        <r>
          <rPr>
            <sz val="10"/>
            <color rgb="FF000000"/>
            <rFont val="Aptos Narrow"/>
            <scheme val="minor"/>
          </rPr>
          <t>======
ID#AAABjx7qNJw
    (2025-05-21 11:33:23)
ALICE:5/28-銀行電文通知匯入USD916</t>
        </r>
      </text>
    </comment>
    <comment ref="J4998" authorId="0" shapeId="0" xr:uid="{FBAB3E3F-66BD-FF44-B732-3C91ED3BD0CB}">
      <text>
        <r>
          <rPr>
            <sz val="10"/>
            <color rgb="FF000000"/>
            <rFont val="Aptos Narrow"/>
            <scheme val="minor"/>
          </rPr>
          <t>======
ID#AAABj82dpEw
    (2025-05-21 11:33:23)
客人自行安排取貨 
0527待客人確認</t>
        </r>
      </text>
    </comment>
    <comment ref="H4999" authorId="0" shapeId="0" xr:uid="{50429371-6AEF-3B41-9086-865E0AC867C2}">
      <text>
        <r>
          <rPr>
            <sz val="10"/>
            <color rgb="FF000000"/>
            <rFont val="Aptos Narrow"/>
            <scheme val="minor"/>
          </rPr>
          <t>======
ID#AAABjx7qP9M
    (2025-05-21 11:33:25)
ALICE:5/28-銀行電文通知匯入USD916</t>
        </r>
      </text>
    </comment>
    <comment ref="J4999" authorId="0" shapeId="0" xr:uid="{92B25AB4-FFD0-7E44-A341-F19442EA1E09}">
      <text>
        <r>
          <rPr>
            <sz val="10"/>
            <color rgb="FF000000"/>
            <rFont val="Aptos Narrow"/>
            <scheme val="minor"/>
          </rPr>
          <t>======
ID#AAABjx7qVRs
    (2025-05-21 11:33:27)
客人自行安排取貨 
0527待客人確認</t>
        </r>
      </text>
    </comment>
    <comment ref="H5000" authorId="0" shapeId="0" xr:uid="{187925ED-B343-2547-8EFC-3AF1D4309362}">
      <text>
        <r>
          <rPr>
            <sz val="10"/>
            <color rgb="FF000000"/>
            <rFont val="Aptos Narrow"/>
            <scheme val="minor"/>
          </rPr>
          <t>======
ID#AAABjx7qS1Q
    (2025-05-21 11:33:26)
ALICE:5/28-銀行電文通知匯入USD916</t>
        </r>
      </text>
    </comment>
    <comment ref="J5000" authorId="0" shapeId="0" xr:uid="{B0ECD5BC-A2D6-5A49-8777-BF82B8AE7AC1}">
      <text>
        <r>
          <rPr>
            <sz val="10"/>
            <color rgb="FF000000"/>
            <rFont val="Aptos Narrow"/>
            <scheme val="minor"/>
          </rPr>
          <t>======
ID#AAABjx7qTeM
    (2025-05-21 11:33:26)
客人自行安排取貨 
0527待客人確認</t>
        </r>
      </text>
    </comment>
    <comment ref="H5001" authorId="0" shapeId="0" xr:uid="{DCFC40AC-01E4-A04D-9B10-D415B36A9E9F}">
      <text>
        <r>
          <rPr>
            <sz val="10"/>
            <color rgb="FF000000"/>
            <rFont val="Aptos Narrow"/>
            <scheme val="minor"/>
          </rPr>
          <t>======
ID#AAABjx7qOw0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5002" authorId="0" shapeId="0" xr:uid="{6E72BE5F-F7DD-164F-B9A8-40CC744428A7}">
      <text>
        <r>
          <rPr>
            <sz val="10"/>
            <color rgb="FF000000"/>
            <rFont val="Aptos Narrow"/>
            <scheme val="minor"/>
          </rPr>
          <t>======
ID#AAABjx7qSs4
    (2025-05-21 11:33:26)
供應商NRE費用
NRE to develop AR coating fixture + Customized 1 black color cover lens</t>
        </r>
      </text>
    </comment>
    <comment ref="H5002" authorId="0" shapeId="0" xr:uid="{49EA62CC-B214-F64E-B434-00EC82FA7E20}">
      <text>
        <r>
          <rPr>
            <sz val="10"/>
            <color rgb="FF000000"/>
            <rFont val="Aptos Narrow"/>
            <scheme val="minor"/>
          </rPr>
          <t>======
ID#AAABjx7qOFQ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E5003" authorId="0" shapeId="0" xr:uid="{6F268B9D-4396-3742-A67A-7E86AEDDFB89}">
      <text>
        <r>
          <rPr>
            <sz val="10"/>
            <color rgb="FF000000"/>
            <rFont val="Aptos Narrow"/>
            <scheme val="minor"/>
          </rPr>
          <t>======
ID#AAABjx7qP48
    (2025-05-21 11:33:24)
在此輸入
20190603 San: RTPC150-H0006U (標準品)+AR coating,→供應商料號:
RTPC150-H0006U
20190828 Cathy: notice client LCD*2PCS defect -&gt; accept</t>
        </r>
      </text>
    </comment>
    <comment ref="H5003" authorId="0" shapeId="0" xr:uid="{C30C39B9-8DEF-384C-9A46-A2F6DD9A5B2D}">
      <text>
        <r>
          <rPr>
            <sz val="10"/>
            <color rgb="FF000000"/>
            <rFont val="Aptos Narrow"/>
            <scheme val="minor"/>
          </rPr>
          <t>======
ID#AAABjx7qWMw
    (2025-05-21 11:33:27)
ALICE:7/26玉山銀行水單通知匯入USD9754沖PI-20190524B(2000+350).沖PI20190524B-1(3010).沖PI-20190703A(60+70).沖PI20190719B-1 228+1600 PI-20190719B-2 304  PI-20190719B-5 532. PI-20190719B-3 1600</t>
        </r>
      </text>
    </comment>
    <comment ref="K5005" authorId="0" shapeId="0" xr:uid="{71E70B93-C1E4-D643-8E20-8649CAC7CAF2}">
      <text>
        <r>
          <rPr>
            <sz val="10"/>
            <color rgb="FF000000"/>
            <rFont val="Aptos Narrow"/>
            <scheme val="minor"/>
          </rPr>
          <t>======
ID#AAABjx7qSFM
    (2025-05-21 11:33:26)
0819YVONNE:大榮15595542162</t>
        </r>
      </text>
    </comment>
    <comment ref="E5006" authorId="0" shapeId="0" xr:uid="{E0F9FC96-AE7E-A94D-AF18-C79E60ABCAF7}">
      <text>
        <r>
          <rPr>
            <sz val="10"/>
            <color rgb="FF000000"/>
            <rFont val="Aptos Narrow"/>
            <scheme val="minor"/>
          </rPr>
          <t>======
ID#AAABjx7qRUQ
    (2025-05-21 11:33:25)
在此輸入
20190603 San: RTPC150-H0006U (標準品)+AR coating,→供應商料號:
RTPC150-H0006U
20190828 Cathy: notice client LCD*2PCS defect -&gt; accept</t>
        </r>
      </text>
    </comment>
    <comment ref="H5006" authorId="0" shapeId="0" xr:uid="{F0FFB94E-21CE-924F-A4EC-ACB1C86F5C36}">
      <text>
        <r>
          <rPr>
            <sz val="10"/>
            <color rgb="FF000000"/>
            <rFont val="Aptos Narrow"/>
            <scheme val="minor"/>
          </rPr>
          <t>======
ID#AAABjx7qOkU
    (2025-05-21 11:33:24)
ALICE:8/30-玉山銀行水單通知USD3464沖PI20190524B-2 USD3010.沖PI-20190524B-F USD454合計共USD3464元整</t>
        </r>
      </text>
    </comment>
    <comment ref="H5008" authorId="0" shapeId="0" xr:uid="{B3F60633-249B-1E46-BB76-28B6C0CF2555}">
      <text>
        <r>
          <rPr>
            <sz val="10"/>
            <color rgb="FF000000"/>
            <rFont val="Aptos Narrow"/>
            <scheme val="minor"/>
          </rPr>
          <t>======
ID#AAABjx7qSAo
    (2025-05-21 11:33:25)
ALICE:8/30-玉山銀行水單通知USD3464沖PI20190524B-2 USD3010.沖PI-20190524B-F USD454合計共USD3464元整</t>
        </r>
      </text>
    </comment>
    <comment ref="D5009" authorId="0" shapeId="0" xr:uid="{757312C4-24E5-C14F-82E0-1A8D23B56ED6}">
      <text>
        <r>
          <rPr>
            <sz val="10"/>
            <color rgb="FF000000"/>
            <rFont val="Aptos Narrow"/>
            <scheme val="minor"/>
          </rPr>
          <t>======
ID#AAABjx7qNCU
    (2025-05-21 11:33:23)
在此輸入
0530 已請Tammy 下單 ，客戶告知預計 5/31 匯款</t>
        </r>
      </text>
    </comment>
    <comment ref="H5009" authorId="0" shapeId="0" xr:uid="{65A1E772-5F38-9E44-9AEC-11C3F0E6BAEC}">
      <text>
        <r>
          <rPr>
            <sz val="10"/>
            <color rgb="FF000000"/>
            <rFont val="Aptos Narrow"/>
            <scheme val="minor"/>
          </rPr>
          <t>======
ID#AAABjx7qWLs
    (2025-05-21 11:33:27)
ALICE:5/31銀行電文通知匯入款USD531+匯出手續費USD11=USD542</t>
        </r>
      </text>
    </comment>
    <comment ref="J5009" authorId="0" shapeId="0" xr:uid="{CE29EE5B-7597-674F-B64A-1EF03255775A}">
      <text>
        <r>
          <rPr>
            <sz val="10"/>
            <color rgb="FF000000"/>
            <rFont val="Aptos Narrow"/>
            <scheme val="minor"/>
          </rPr>
          <t>======
ID#AAABjx7qTH4
    (2025-05-21 11:33:26)
DHL Account Number : 956287207 for Freight ( AVIHS Technologies )</t>
        </r>
      </text>
    </comment>
    <comment ref="H5010" authorId="0" shapeId="0" xr:uid="{ADAA0F7B-C4A8-5845-BE8C-E7996E7424DE}">
      <text>
        <r>
          <rPr>
            <sz val="10"/>
            <color rgb="FF000000"/>
            <rFont val="Aptos Narrow"/>
            <scheme val="minor"/>
          </rPr>
          <t>======
ID#AAABjx7qSqY
    (2025-05-21 11:33:26)
ALICE:5/31銀行電文通知匯入款USD531+匯出手續費USD11=USD542</t>
        </r>
      </text>
    </comment>
    <comment ref="J5010" authorId="0" shapeId="0" xr:uid="{F0A203F3-1285-8E49-AF4A-EACD3473B69F}">
      <text>
        <r>
          <rPr>
            <sz val="10"/>
            <color rgb="FF000000"/>
            <rFont val="Aptos Narrow"/>
            <scheme val="minor"/>
          </rPr>
          <t>======
ID#AAABjx7qPlo
    (2025-05-21 11:33:24)
DHL Account Number : 956287207 for Freight ( AVIHS Technologies )</t>
        </r>
      </text>
    </comment>
    <comment ref="E5011" authorId="0" shapeId="0" xr:uid="{67C2E75A-0978-EC4A-B2FB-1D506E6C0263}">
      <text>
        <r>
          <rPr>
            <sz val="10"/>
            <color rgb="FF000000"/>
            <rFont val="Aptos Narrow"/>
            <scheme val="minor"/>
          </rPr>
          <t>======
ID#AAABjx7qQI0
    (2025-05-21 11:33:25)
客戶下單: 719_MT8070iE  
廠商實際進貨:  719_MT8071iE (客人接受此料,不換料)</t>
        </r>
      </text>
    </comment>
    <comment ref="H5011" authorId="0" shapeId="0" xr:uid="{FAB9512E-15A2-694C-8EDA-23F5CDD84590}">
      <text>
        <r>
          <rPr>
            <sz val="10"/>
            <color rgb="FF000000"/>
            <rFont val="Aptos Narrow"/>
            <scheme val="minor"/>
          </rPr>
          <t>======
ID#AAABjx7qNhE
    (2025-05-21 11:33:23)
alice:6/3銀行電文通知匯入USD795待水單結匯</t>
        </r>
      </text>
    </comment>
    <comment ref="J5011" authorId="0" shapeId="0" xr:uid="{B3848C1E-2086-1743-96D8-DCEC3892F056}">
      <text>
        <r>
          <rPr>
            <sz val="10"/>
            <color rgb="FF000000"/>
            <rFont val="Aptos Narrow"/>
            <scheme val="minor"/>
          </rPr>
          <t>======
ID#AAABjx7qQ9w
    (2025-05-21 11:33:25)
客人自行安排取貨 
0527待客人確認</t>
        </r>
      </text>
    </comment>
    <comment ref="D5012" authorId="0" shapeId="0" xr:uid="{F078BDC9-7380-394A-BD93-E725A5030E00}">
      <text>
        <r>
          <rPr>
            <sz val="10"/>
            <color rgb="FF000000"/>
            <rFont val="Aptos Narrow"/>
            <scheme val="minor"/>
          </rPr>
          <t>======
ID#AAABjx7qOKI
    (2025-05-21 11:33:24)
0531 請TAMMY下單</t>
        </r>
      </text>
    </comment>
    <comment ref="H5012" authorId="0" shapeId="0" xr:uid="{7E9D07A8-59EB-D147-A172-5C2AE2343646}">
      <text>
        <r>
          <rPr>
            <sz val="10"/>
            <color rgb="FF000000"/>
            <rFont val="Aptos Narrow"/>
            <scheme val="minor"/>
          </rPr>
          <t>======
ID#AAABjx7qQmE
    (2025-05-21 11:33:25)
ALICE:8/5收到應收票據:到期日108/07/31票號CP0073500 金額26066元整+ 7/3預收11978元整=38044
沖PI-20190531B 25268+沖PI-20190613A 12804=38072 差額28元為寄支票郵資</t>
        </r>
      </text>
    </comment>
    <comment ref="D5013" authorId="0" shapeId="0" xr:uid="{D8BB5C93-5C44-0744-AF38-EEE939C57047}">
      <text>
        <r>
          <rPr>
            <sz val="10"/>
            <color rgb="FF000000"/>
            <rFont val="Aptos Narrow"/>
            <scheme val="minor"/>
          </rPr>
          <t>======
ID#AAABjx7qPN8
    (2025-05-21 11:33:24)
0603 通知Tammy下單</t>
        </r>
      </text>
    </comment>
    <comment ref="H5013" authorId="0" shapeId="0" xr:uid="{EF6FB387-9AD2-F740-8A71-09FA4A4402FC}">
      <text>
        <r>
          <rPr>
            <sz val="10"/>
            <color rgb="FF000000"/>
            <rFont val="Aptos Narrow"/>
            <scheme val="minor"/>
          </rPr>
          <t>======
ID#AAABjx7qS8Q
    (2025-05-21 11:33:26)
ALICE:7/19-電文匯入USD16000元整，沖PI-20190603A USD10450+236+2308+3006(4850中的)
alice:8/19匯入USD16000沖PI-20190730A 10500，沖PI20190603A 1844(4850)，沖PI20190603A 3656(7040)</t>
        </r>
      </text>
    </comment>
    <comment ref="K5013" authorId="0" shapeId="0" xr:uid="{A4D2AD2C-AD0A-3D4C-8AE6-5BDAB8B237F4}">
      <text>
        <r>
          <rPr>
            <sz val="10"/>
            <color rgb="FF000000"/>
            <rFont val="Aptos Narrow"/>
            <scheme val="minor"/>
          </rPr>
          <t>======
ID#AAABjx7qPaI
    (2025-05-21 11:33:24)
0722 Santiago同意先出貨。</t>
        </r>
      </text>
    </comment>
    <comment ref="D5014" authorId="0" shapeId="0" xr:uid="{B1294D1E-1F4B-EF4F-B464-AE421F9C4180}">
      <text>
        <r>
          <rPr>
            <sz val="10"/>
            <color rgb="FF000000"/>
            <rFont val="Aptos Narrow"/>
            <scheme val="minor"/>
          </rPr>
          <t>======
ID#AAABjx7qOaI
    (2025-05-21 11:33:24)
0603 通知Tammy下單</t>
        </r>
      </text>
    </comment>
    <comment ref="H5014" authorId="0" shapeId="0" xr:uid="{F321BD79-FD3B-A042-B3C2-196303CF8933}">
      <text>
        <r>
          <rPr>
            <sz val="10"/>
            <color rgb="FF000000"/>
            <rFont val="Aptos Narrow"/>
            <scheme val="minor"/>
          </rPr>
          <t>======
ID#AAABjx7qQwo
    (2025-05-21 11:33:25)
alice:8/19匯入USD16000沖PI-20190730A 10500，沖PI20190603A 1844(4850)，沖PI20190603A 3656(7040)
ALICE:9/16玉山水單匯入USD14454沖PI-20190603A USD14454</t>
        </r>
      </text>
    </comment>
    <comment ref="K5014" authorId="0" shapeId="0" xr:uid="{5D6CB898-B1F2-2249-9810-0EFCC74C36DC}">
      <text>
        <r>
          <rPr>
            <sz val="10"/>
            <color rgb="FF000000"/>
            <rFont val="Aptos Narrow"/>
            <scheme val="minor"/>
          </rPr>
          <t>======
ID#AAABjx7qNkE
    (2025-05-21 11:33:23)
0722 Santiago同意先出貨。
0701 詢問預計7/11匯款&amp; 運輸方式</t>
        </r>
      </text>
    </comment>
    <comment ref="D5015" authorId="0" shapeId="0" xr:uid="{6EE168F9-6E4D-8544-A9BF-05B868B04961}">
      <text>
        <r>
          <rPr>
            <sz val="10"/>
            <color rgb="FF000000"/>
            <rFont val="Aptos Narrow"/>
            <scheme val="minor"/>
          </rPr>
          <t>======
ID#AAABjx7qPpM
    (2025-05-21 11:33:24)
0603 通知Tammy下單</t>
        </r>
      </text>
    </comment>
    <comment ref="H5015" authorId="0" shapeId="0" xr:uid="{B9683D7A-9820-324D-BB1A-77DB311BE44C}">
      <text>
        <r>
          <rPr>
            <sz val="10"/>
            <color rgb="FF000000"/>
            <rFont val="Aptos Narrow"/>
            <scheme val="minor"/>
          </rPr>
          <t>======
ID#AAABjx7qPas
    (2025-05-21 11:33:24)
ALICE:7/19-電文匯入USD16000元整，沖PI-20190603A USD10450+236+2308+3006(4850中的)</t>
        </r>
      </text>
    </comment>
    <comment ref="K5015" authorId="0" shapeId="0" xr:uid="{E210438A-1F36-114D-8C26-A5D725EB7B0C}">
      <text>
        <r>
          <rPr>
            <sz val="10"/>
            <color rgb="FF000000"/>
            <rFont val="Aptos Narrow"/>
            <scheme val="minor"/>
          </rPr>
          <t>======
ID#AAABjx7qTVM
    (2025-05-21 11:33:26)
0722 Santiago同意先出貨。
0701 詢問預計7/11匯款&amp; 運輸方式</t>
        </r>
      </text>
    </comment>
    <comment ref="D5016" authorId="0" shapeId="0" xr:uid="{09A545CB-8BB3-3246-905A-9F1BB8BE4D19}">
      <text>
        <r>
          <rPr>
            <sz val="10"/>
            <color rgb="FF000000"/>
            <rFont val="Aptos Narrow"/>
            <scheme val="minor"/>
          </rPr>
          <t>======
ID#AAABjx7qOWM
    (2025-05-21 11:33:24)
0603 通知Tammy下單</t>
        </r>
      </text>
    </comment>
    <comment ref="H5016" authorId="0" shapeId="0" xr:uid="{66C3C5AA-3960-294E-9CDD-5642BFBB0FD4}">
      <text>
        <r>
          <rPr>
            <sz val="10"/>
            <color rgb="FF000000"/>
            <rFont val="Aptos Narrow"/>
            <scheme val="minor"/>
          </rPr>
          <t>======
ID#AAABjx7qV5c
    (2025-05-21 11:33:27)
ALICE:7/19-電文匯入USD16000元整，沖PI-20190603A USD10450+236+2308+3006(4850中的)</t>
        </r>
      </text>
    </comment>
    <comment ref="K5016" authorId="0" shapeId="0" xr:uid="{9F7BBF85-BB2A-414B-8FFF-264C1755B05B}">
      <text>
        <r>
          <rPr>
            <sz val="10"/>
            <color rgb="FF000000"/>
            <rFont val="Aptos Narrow"/>
            <scheme val="minor"/>
          </rPr>
          <t>======
ID#AAABjx7qPhs
    (2025-05-21 11:33:24)
0722 Santiago同意先出貨。
0701 詢問預計7/11匯款&amp; 運輸方式</t>
        </r>
      </text>
    </comment>
    <comment ref="D5017" authorId="0" shapeId="0" xr:uid="{569A22D5-1BA6-744C-8307-20339F851E23}">
      <text>
        <r>
          <rPr>
            <sz val="10"/>
            <color rgb="FF000000"/>
            <rFont val="Aptos Narrow"/>
            <scheme val="minor"/>
          </rPr>
          <t>======
ID#AAABjx7qSjk
    (2025-05-21 11:33:26)
0603 通知Tammy下單</t>
        </r>
      </text>
    </comment>
    <comment ref="H5017" authorId="0" shapeId="0" xr:uid="{6000D46A-F4B8-BD4B-B55E-618616FC6A2E}">
      <text>
        <r>
          <rPr>
            <sz val="10"/>
            <color rgb="FF000000"/>
            <rFont val="Aptos Narrow"/>
            <scheme val="minor"/>
          </rPr>
          <t>======
ID#AAABjx7qMtY
    (2025-05-21 11:33:23)
ALICE:7/19-電文匯入USD16000元整，沖PI-20190603A USD10450+236+2308+3006(4850中的)</t>
        </r>
      </text>
    </comment>
    <comment ref="K5017" authorId="0" shapeId="0" xr:uid="{BF21738C-49B8-1546-B152-2A1E7A4BE798}">
      <text>
        <r>
          <rPr>
            <sz val="10"/>
            <color rgb="FF000000"/>
            <rFont val="Aptos Narrow"/>
            <scheme val="minor"/>
          </rPr>
          <t>======
ID#AAABjx7qMvM
    (2025-05-21 11:33:23)
0722 Santiago同意先出貨。
0701 詢問預計7/11匯款&amp; 運輸方式</t>
        </r>
      </text>
    </comment>
    <comment ref="D5018" authorId="0" shapeId="0" xr:uid="{E3BE1951-3AEF-B34F-8551-39787052A9BA}">
      <text>
        <r>
          <rPr>
            <sz val="10"/>
            <color rgb="FF000000"/>
            <rFont val="Aptos Narrow"/>
            <scheme val="minor"/>
          </rPr>
          <t>======
ID#AAABjx7qOp4
    (2025-05-21 11:33:24)
0603 通知Tammy下單</t>
        </r>
      </text>
    </comment>
    <comment ref="H5018" authorId="0" shapeId="0" xr:uid="{4518E268-5F7F-ED42-A7FA-BA3D76677D97}">
      <text>
        <r>
          <rPr>
            <sz val="10"/>
            <color rgb="FF000000"/>
            <rFont val="Aptos Narrow"/>
            <scheme val="minor"/>
          </rPr>
          <t>======
ID#AAABjx7qTC4
    (2025-05-21 11:33:26)
ALICE:9/16玉山水單匯入USD14454沖PI-20190603A USD14454</t>
        </r>
      </text>
    </comment>
    <comment ref="K5018" authorId="0" shapeId="0" xr:uid="{70003A60-3B94-9E43-80BB-0AB0B4A956B6}">
      <text>
        <r>
          <rPr>
            <sz val="10"/>
            <color rgb="FF000000"/>
            <rFont val="Aptos Narrow"/>
            <scheme val="minor"/>
          </rPr>
          <t>======
ID#AAABjx7qQSk
    (2025-05-21 11:33:25)
0722 Santiago同意先出貨。
0701 詢問預計7/11匯款&amp; 運輸方式</t>
        </r>
      </text>
    </comment>
    <comment ref="H5019" authorId="0" shapeId="0" xr:uid="{7CF653E5-AA0C-D643-A5CC-EDCAAC592793}">
      <text>
        <r>
          <rPr>
            <sz val="10"/>
            <color rgb="FF000000"/>
            <rFont val="Aptos Narrow"/>
            <scheme val="minor"/>
          </rPr>
          <t>======
ID#AAABjx7qRMo
    (2025-05-21 11:33:25)
ALICE:8/27玉山銀行匯入USD9443沖PI-20190604A.PI-20190628A.PI-20190604A-F合計共USD9443元整</t>
        </r>
      </text>
    </comment>
    <comment ref="J5019" authorId="0" shapeId="0" xr:uid="{1A4B3F80-830E-2D45-9AB1-EFBD4DCD517F}">
      <text>
        <r>
          <rPr>
            <sz val="10"/>
            <color rgb="FF000000"/>
            <rFont val="Aptos Narrow"/>
            <scheme val="minor"/>
          </rPr>
          <t>======
ID#AAABjx7qPFs
SHIPPING  AS BELOW    (2025-05-21 11:33:24)
103A Mary Street, Richmond, VIC, 3121, Australia
Contact: Jim MacDouall
Phone: +61 417 714 528</t>
        </r>
      </text>
    </comment>
    <comment ref="H5020" authorId="0" shapeId="0" xr:uid="{D11B055A-0AB2-FD49-9FCC-4A14C0D5E758}">
      <text>
        <r>
          <rPr>
            <sz val="10"/>
            <color rgb="FF000000"/>
            <rFont val="Aptos Narrow"/>
            <scheme val="minor"/>
          </rPr>
          <t>======
ID#AAABjx7qQoI
    (2025-05-21 11:33:25)
ALICE:8/27玉山銀行匯入USD9443沖PI-20190604A.PI-20190628A.PI-20190604A-F合計共USD9443元整</t>
        </r>
      </text>
    </comment>
    <comment ref="J5020" authorId="0" shapeId="0" xr:uid="{279DA614-C019-264D-9DFC-8CEE111B8659}">
      <text>
        <r>
          <rPr>
            <sz val="10"/>
            <color rgb="FF000000"/>
            <rFont val="Aptos Narrow"/>
            <scheme val="minor"/>
          </rPr>
          <t>======
ID#AAABjx7qNes
SHIPPING  AS BELOW    (2025-05-21 11:33:23)
103A Mary Street, Richmond, VIC, 3121, Australia
Contact: Jim MacDouall
Phone: +61 417 714 528</t>
        </r>
      </text>
    </comment>
    <comment ref="E5021" authorId="0" shapeId="0" xr:uid="{4D8A0504-ABD7-0349-8817-14AB6AF59DEE}">
      <text>
        <r>
          <rPr>
            <sz val="10"/>
            <color rgb="FF000000"/>
            <rFont val="Aptos Narrow"/>
            <scheme val="minor"/>
          </rPr>
          <t>======
ID#AAABjx7qSqE
    (2025-05-21 11:33:26)
6/10 Amy: MI3EM5125602EN (原舊訂單料號)或 MI3MB1125604SN (目前敏博報價單料號)
256G SSD Normal Temp.</t>
        </r>
      </text>
    </comment>
    <comment ref="H5021" authorId="0" shapeId="0" xr:uid="{303DCBE9-FBDB-464C-BECF-2273AB910DDC}">
      <text>
        <r>
          <rPr>
            <sz val="10"/>
            <color rgb="FF000000"/>
            <rFont val="Aptos Narrow"/>
            <scheme val="minor"/>
          </rPr>
          <t>======
ID#AAABjx7qNl0
    (2025-05-21 11:33:23)
ALICE:8/27玉山銀行匯入USD9443沖PI-20190604A.PI-20190628A.PI-20190604A-F合計共USD9443元整</t>
        </r>
      </text>
    </comment>
    <comment ref="J5021" authorId="0" shapeId="0" xr:uid="{544FF2E1-3EDB-1245-B5D0-A00074016A54}">
      <text>
        <r>
          <rPr>
            <sz val="10"/>
            <color rgb="FF000000"/>
            <rFont val="Aptos Narrow"/>
            <scheme val="minor"/>
          </rPr>
          <t>======
ID#AAABjx7qRlc
SHIPPING  AS BELOW    (2025-05-21 11:33:25)
103A Mary Street, Richmond, VIC, 3121, Australia
Contact: Jim MacDouall
Phone: +61 417 714 528</t>
        </r>
      </text>
    </comment>
    <comment ref="H5022" authorId="0" shapeId="0" xr:uid="{B0F54587-F282-8F43-AD49-594FD3B6E696}">
      <text>
        <r>
          <rPr>
            <sz val="10"/>
            <color rgb="FF000000"/>
            <rFont val="Aptos Narrow"/>
            <scheme val="minor"/>
          </rPr>
          <t>======
ID#AAABjx7qVes
    (2025-05-21 11:33:27)
ALICE:8/27玉山銀行匯入USD9443沖PI-20190604A.PI-20190628A.PI-20190604A-F合計共USD9443元整</t>
        </r>
      </text>
    </comment>
    <comment ref="J5022" authorId="0" shapeId="0" xr:uid="{3CC9FC8C-BF42-244F-AB95-127153BAE078}">
      <text>
        <r>
          <rPr>
            <sz val="10"/>
            <color rgb="FF000000"/>
            <rFont val="Aptos Narrow"/>
            <scheme val="minor"/>
          </rPr>
          <t>======
ID#AAABjx7qQLo
SHIPPING  AS BELOW    (2025-05-21 11:33:25)
103A Mary Street, Richmond, VIC, 3121, Australia
Contact: Jim MacDouall
Phone: +61 417 714 528</t>
        </r>
      </text>
    </comment>
    <comment ref="H5023" authorId="0" shapeId="0" xr:uid="{5E4DF1A6-C003-814D-9790-C131EAC3271E}">
      <text>
        <r>
          <rPr>
            <sz val="10"/>
            <color rgb="FF000000"/>
            <rFont val="Aptos Narrow"/>
            <scheme val="minor"/>
          </rPr>
          <t>======
ID#AAABjx7qWN0
    (2025-05-21 11:33:27)
ALICE:8/27玉山銀行匯入USD9443沖PI-20190604A.PI-20190628A.PI-20190604A-F合計共USD9443元整</t>
        </r>
      </text>
    </comment>
    <comment ref="J5023" authorId="0" shapeId="0" xr:uid="{2296AA9D-4907-4D44-89D9-E91AEB510CCE}">
      <text>
        <r>
          <rPr>
            <sz val="10"/>
            <color rgb="FF000000"/>
            <rFont val="Aptos Narrow"/>
            <scheme val="minor"/>
          </rPr>
          <t>======
ID#AAABjx7qQB8
SHIPPING  AS BELOW    (2025-05-21 11:33:25)
103A Mary Street, Richmond, VIC, 3121, Australia
Contact: Jim MacDouall
Phone: +61 417 714 528</t>
        </r>
      </text>
    </comment>
    <comment ref="H5024" authorId="0" shapeId="0" xr:uid="{F23652AF-E11F-AE4B-9792-43FA35382D61}">
      <text>
        <r>
          <rPr>
            <sz val="10"/>
            <color rgb="FF000000"/>
            <rFont val="Aptos Narrow"/>
            <scheme val="minor"/>
          </rPr>
          <t>======
ID#AAABjx7qQS0
    (2025-05-21 11:33:25)
ALICE:8/27玉山銀行匯入USD9443沖PI-20190604A.PI-20190628A.PI-20190604A-F合計共USD9443元整</t>
        </r>
      </text>
    </comment>
    <comment ref="J5024" authorId="0" shapeId="0" xr:uid="{83C23447-A9A6-4145-A220-7353EC3A18BF}">
      <text>
        <r>
          <rPr>
            <sz val="10"/>
            <color rgb="FF000000"/>
            <rFont val="Aptos Narrow"/>
            <scheme val="minor"/>
          </rPr>
          <t>======
ID#AAABjx7qWNc
SHIPPING  AS BELOW    (2025-05-21 11:33:27)
103A Mary Street, Richmond, VIC, 3121, Australia
Contact: Jim MacDouall
Phone: +61 417 714 528</t>
        </r>
      </text>
    </comment>
    <comment ref="H5025" authorId="0" shapeId="0" xr:uid="{E9D9102B-37AC-1348-B397-3694E05F6D0F}">
      <text>
        <r>
          <rPr>
            <sz val="10"/>
            <color rgb="FF000000"/>
            <rFont val="Aptos Narrow"/>
            <scheme val="minor"/>
          </rPr>
          <t>======
ID#AAABjx7qPLw
    (2025-05-21 11:33:24)
0823 chloe 查詢  7/5 已沖銷
應收應付對沖</t>
        </r>
      </text>
    </comment>
    <comment ref="H5026" authorId="0" shapeId="0" xr:uid="{AF0F3AE0-27DC-3F43-9DC8-A4B6C05C2FEA}">
      <text>
        <r>
          <rPr>
            <sz val="10"/>
            <color rgb="FF000000"/>
            <rFont val="Aptos Narrow"/>
            <scheme val="minor"/>
          </rPr>
          <t>======
ID#AAABjx7qNiM
    (2025-05-21 11:33:23)
ALICE:6/17-玉山匯入17810沖PI-20190508A.沖PI-20190604C</t>
        </r>
      </text>
    </comment>
    <comment ref="AK5026" authorId="0" shapeId="0" xr:uid="{4A00BC76-733F-CD47-B2F7-045523E65ABE}">
      <text>
        <r>
          <rPr>
            <sz val="10"/>
            <color rgb="FF000000"/>
            <rFont val="Aptos Narrow"/>
            <scheme val="minor"/>
          </rPr>
          <t>======
ID#AAABjx7qPAw
    (2025-05-21 11:33:24)
ALICE:6/17-玉山匯入17810沖PI-20190508A.沖PI-20190604C</t>
        </r>
      </text>
    </comment>
    <comment ref="D5027" authorId="0" shapeId="0" xr:uid="{CF51E86E-F4EF-1643-A401-6537BE8BBEE4}">
      <text>
        <r>
          <rPr>
            <sz val="10"/>
            <color rgb="FF000000"/>
            <rFont val="Aptos Narrow"/>
            <scheme val="minor"/>
          </rPr>
          <t>======
ID#AAABjx7qU80
    (2025-05-21 11:33:27)
0605 請TAMMY 下單</t>
        </r>
      </text>
    </comment>
    <comment ref="H5027" authorId="0" shapeId="0" xr:uid="{8FD74336-5D00-514D-81EF-4586FA4B35B0}">
      <text>
        <r>
          <rPr>
            <sz val="10"/>
            <color rgb="FF000000"/>
            <rFont val="Aptos Narrow"/>
            <scheme val="minor"/>
          </rPr>
          <t>======
ID#AAABjx7qQUw
    (2025-05-21 11:33:25)
ALICE:7/8-電文通知USD2300沖PI-20190604D.PI-20190611A</t>
        </r>
      </text>
    </comment>
    <comment ref="D5028" authorId="0" shapeId="0" xr:uid="{9FA1128E-4D71-CD4A-99C7-DBBA62149C8F}">
      <text>
        <r>
          <rPr>
            <sz val="10"/>
            <color rgb="FF000000"/>
            <rFont val="Aptos Narrow"/>
            <scheme val="minor"/>
          </rPr>
          <t>======
ID#AAABjx7qTM0
    (2025-05-21 11:33:26)
0605 請TAMMY 下單</t>
        </r>
      </text>
    </comment>
    <comment ref="H5028" authorId="0" shapeId="0" xr:uid="{928F4661-E882-9644-AE8C-95A53AEC3742}">
      <text>
        <r>
          <rPr>
            <sz val="10"/>
            <color rgb="FF000000"/>
            <rFont val="Aptos Narrow"/>
            <scheme val="minor"/>
          </rPr>
          <t>======
ID#AAABjx7qVHQ
    (2025-05-21 11:33:27)
ALICE:7/8-電文通知USD2300沖PI-20190604D.PI-20190611A</t>
        </r>
      </text>
    </comment>
    <comment ref="D5029" authorId="0" shapeId="0" xr:uid="{BFA5374B-D084-BA43-9C59-A53E10DCD77A}">
      <text>
        <r>
          <rPr>
            <sz val="10"/>
            <color rgb="FF000000"/>
            <rFont val="Aptos Narrow"/>
            <scheme val="minor"/>
          </rPr>
          <t>======
ID#AAABjx7qSoc
    (2025-05-21 11:33:26)
0605 請TAMMY 下單</t>
        </r>
      </text>
    </comment>
    <comment ref="H5029" authorId="0" shapeId="0" xr:uid="{6EE58E5D-8D9B-1D4B-9C8B-41589F844D85}">
      <text>
        <r>
          <rPr>
            <sz val="10"/>
            <color rgb="FF000000"/>
            <rFont val="Aptos Narrow"/>
            <scheme val="minor"/>
          </rPr>
          <t>======
ID#AAABjx7qRUU
    (2025-05-21 11:33:25)
ALICE:7/8-電文通知USD2300沖PI-20190604D.PI-20190611A</t>
        </r>
      </text>
    </comment>
    <comment ref="D5030" authorId="0" shapeId="0" xr:uid="{FBDA281F-9031-744B-AE4E-6D00D76E2E45}">
      <text>
        <r>
          <rPr>
            <sz val="10"/>
            <color rgb="FF000000"/>
            <rFont val="Aptos Narrow"/>
            <scheme val="minor"/>
          </rPr>
          <t>======
ID#AAABjx7qPSc
    (2025-05-21 11:33:24)
0605 請TAMMY 下單</t>
        </r>
      </text>
    </comment>
    <comment ref="H5030" authorId="0" shapeId="0" xr:uid="{646E4316-2D56-7B41-A206-BCBF84F04F74}">
      <text>
        <r>
          <rPr>
            <sz val="10"/>
            <color rgb="FF000000"/>
            <rFont val="Aptos Narrow"/>
            <scheme val="minor"/>
          </rPr>
          <t>======
ID#AAABjx7qOUo
    (2025-05-21 11:33:24)
ALICE:7/8-電文通知USD2300沖PI-20190604D.PI-20190611A</t>
        </r>
      </text>
    </comment>
    <comment ref="H5031" authorId="0" shapeId="0" xr:uid="{E678DA05-3B29-6F40-B14C-EE18987C912C}">
      <text>
        <r>
          <rPr>
            <sz val="10"/>
            <color rgb="FF000000"/>
            <rFont val="Aptos Narrow"/>
            <scheme val="minor"/>
          </rPr>
          <t>======
ID#AAABjx7qWI0
    (2025-05-21 11:33:27)
alice:6/10-銀行匯入USD754-手續費USD17.37=USD736.63*31.373</t>
        </r>
      </text>
    </comment>
    <comment ref="J5031" authorId="0" shapeId="0" xr:uid="{18639751-9E76-4343-9CF4-80866942E1A6}">
      <text>
        <r>
          <rPr>
            <sz val="10"/>
            <color rgb="FF000000"/>
            <rFont val="Aptos Narrow"/>
            <scheme val="minor"/>
          </rPr>
          <t>======
ID#AAABjx7qTVI
    (2025-05-21 11:33:26)
客人自行安排取貨 
0527待客人確認</t>
        </r>
      </text>
    </comment>
    <comment ref="W5031" authorId="0" shapeId="0" xr:uid="{F94D3D85-7E37-9E46-8BAD-382ADEA3D2A1}">
      <text>
        <r>
          <rPr>
            <sz val="10"/>
            <color rgb="FF000000"/>
            <rFont val="Aptos Narrow"/>
            <scheme val="minor"/>
          </rPr>
          <t>======
ID#AAABjx7qTKo
    (2025-05-21 11:33:26)
0606 chloe:備註</t>
        </r>
      </text>
    </comment>
    <comment ref="H5032" authorId="0" shapeId="0" xr:uid="{E61146BD-5416-F04D-B9A1-98C25EB645F7}">
      <text>
        <r>
          <rPr>
            <sz val="10"/>
            <color rgb="FF000000"/>
            <rFont val="Aptos Narrow"/>
            <scheme val="minor"/>
          </rPr>
          <t>======
ID#AAABjx7qNY4
    (2025-05-21 11:33:23)
alice:6/10-銀行匯入USD754-手續費USD17.37=USD736.63*31.373</t>
        </r>
      </text>
    </comment>
    <comment ref="J5032" authorId="0" shapeId="0" xr:uid="{C9A010E2-B69C-584A-A141-77DC8F1C8A3C}">
      <text>
        <r>
          <rPr>
            <sz val="10"/>
            <color rgb="FF000000"/>
            <rFont val="Aptos Narrow"/>
            <scheme val="minor"/>
          </rPr>
          <t>======
ID#AAABjx7qOqM
    (2025-05-21 11:33:24)
客人自行安排取貨 
0527待客人確認</t>
        </r>
      </text>
    </comment>
    <comment ref="H5033" authorId="0" shapeId="0" xr:uid="{3A0FF689-6939-6B40-BB70-2FBB2EFF6765}">
      <text>
        <r>
          <rPr>
            <sz val="10"/>
            <color rgb="FF000000"/>
            <rFont val="Aptos Narrow"/>
            <scheme val="minor"/>
          </rPr>
          <t>======
ID#AAABjx7qRuQ
    (2025-05-21 11:33:25)
alice:6/10-銀行匯入USD754-手續費USD17.37=USD736.63*31.373</t>
        </r>
      </text>
    </comment>
    <comment ref="J5033" authorId="0" shapeId="0" xr:uid="{105B0CAC-E03A-1941-B2E2-2CA62881ED99}">
      <text>
        <r>
          <rPr>
            <sz val="10"/>
            <color rgb="FF000000"/>
            <rFont val="Aptos Narrow"/>
            <scheme val="minor"/>
          </rPr>
          <t>======
ID#AAABjx7qPTg
    (2025-05-21 11:33:24)
客人自行安排取貨 
0527待客人確認</t>
        </r>
      </text>
    </comment>
    <comment ref="H5034" authorId="0" shapeId="0" xr:uid="{185ACEB5-DD22-CB43-B6B9-5AA79A0E9985}">
      <text>
        <r>
          <rPr>
            <sz val="10"/>
            <color rgb="FF000000"/>
            <rFont val="Aptos Narrow"/>
            <scheme val="minor"/>
          </rPr>
          <t>======
ID#AAABjx7qOwM
    (2025-05-21 11:33:24)
ALICE:7/18-收到應收票據 票號AK4244790 到期日108/7/30 支票總額54452元整</t>
        </r>
      </text>
    </comment>
    <comment ref="D5035" authorId="0" shapeId="0" xr:uid="{CBDD12D1-51E6-244D-9D87-575F67DE57A8}">
      <text>
        <r>
          <rPr>
            <sz val="10"/>
            <color rgb="FF000000"/>
            <rFont val="Aptos Narrow"/>
            <scheme val="minor"/>
          </rPr>
          <t>======
ID#AAABjx7qWHY
    (2025-05-21 11:33:27)
在此輸入
在此輸入
0606 客人說要再確認
0610 通知Tammy 下單,客人有急需
0709 客人無法提供水單，取消寄回MOXA</t>
        </r>
      </text>
    </comment>
    <comment ref="F5035" authorId="0" shapeId="0" xr:uid="{4A63DE60-C1F5-6D4F-8AF1-C557AF722026}">
      <text>
        <r>
          <rPr>
            <sz val="10"/>
            <color rgb="FF000000"/>
            <rFont val="Aptos Narrow"/>
            <scheme val="minor"/>
          </rPr>
          <t>======
ID#AAABjx7qVCg
    (2025-05-21 11:33:27)
6pcs</t>
        </r>
      </text>
    </comment>
    <comment ref="H5035" authorId="0" shapeId="0" xr:uid="{89D64F1B-9E1E-5F48-864C-A0984EED91CE}">
      <text>
        <r>
          <rPr>
            <sz val="10"/>
            <color rgb="FF000000"/>
            <rFont val="Aptos Narrow"/>
            <scheme val="minor"/>
          </rPr>
          <t>======
ID#AAABjx7qSEw
    (2025-05-21 11:33:26)
ALICE:7/10-水單匯入USD646沖PI-20190606B</t>
        </r>
      </text>
    </comment>
    <comment ref="K5035" authorId="0" shapeId="0" xr:uid="{2B3FEC42-4A2C-3141-8960-A281914D181A}">
      <text>
        <r>
          <rPr>
            <sz val="10"/>
            <color rgb="FF000000"/>
            <rFont val="Aptos Narrow"/>
            <scheme val="minor"/>
          </rPr>
          <t>======
ID#AAABjx7qOn8
    (2025-05-21 11:33:24)
0701 確認客人有需要此貨，待這兩天匯款&amp;Shipping info.</t>
        </r>
      </text>
    </comment>
    <comment ref="D5036" authorId="0" shapeId="0" xr:uid="{68B3A22B-9BC4-F34D-B984-23372E5DF194}">
      <text>
        <r>
          <rPr>
            <sz val="10"/>
            <color rgb="FF000000"/>
            <rFont val="Aptos Narrow"/>
            <scheme val="minor"/>
          </rPr>
          <t>======
ID#AAABjx7qP5o
    (2025-05-21 11:33:24)
在此輸入
0606 客人說要再確認
0610 通知Tammy 下單,客人有急需</t>
        </r>
      </text>
    </comment>
    <comment ref="F5036" authorId="0" shapeId="0" xr:uid="{8D8A4AA0-51E9-F54A-8C54-CF0B34A3E3AE}">
      <text>
        <r>
          <rPr>
            <sz val="10"/>
            <color rgb="FF000000"/>
            <rFont val="Aptos Narrow"/>
            <scheme val="minor"/>
          </rPr>
          <t>======
ID#AAABjx7qTJc
    (2025-05-21 11:33:26)
1 pcs</t>
        </r>
      </text>
    </comment>
    <comment ref="H5036" authorId="0" shapeId="0" xr:uid="{BF37D082-56B6-FE4A-916F-D02B2D7F9E89}">
      <text>
        <r>
          <rPr>
            <sz val="10"/>
            <color rgb="FF000000"/>
            <rFont val="Aptos Narrow"/>
            <scheme val="minor"/>
          </rPr>
          <t>======
ID#AAABjx7qQmQ
    (2025-05-21 11:33:25)
ALICE:7/10-水單匯入USD646沖PI-20190606B</t>
        </r>
      </text>
    </comment>
    <comment ref="K5036" authorId="0" shapeId="0" xr:uid="{70C326FE-9956-4A43-9332-38599C8C53F9}">
      <text>
        <r>
          <rPr>
            <sz val="10"/>
            <color rgb="FF000000"/>
            <rFont val="Aptos Narrow"/>
            <scheme val="minor"/>
          </rPr>
          <t>======
ID#AAABjx7qSQ0
    (2025-05-21 11:33:26)
0701 確認客人有需要此貨，待這兩天匯款&amp;Shipping info.</t>
        </r>
      </text>
    </comment>
    <comment ref="D5037" authorId="0" shapeId="0" xr:uid="{511BC733-B80B-1045-B3BB-01B64B2AB96A}">
      <text>
        <r>
          <rPr>
            <sz val="10"/>
            <color rgb="FF000000"/>
            <rFont val="Aptos Narrow"/>
            <scheme val="minor"/>
          </rPr>
          <t>======
ID#AAABjx7qTOU
    (2025-05-21 11:33:26)
0606請Tammy 下單</t>
        </r>
      </text>
    </comment>
    <comment ref="H5037" authorId="0" shapeId="0" xr:uid="{8CB0890C-0B24-0841-B7FB-C0D862C026F7}">
      <text>
        <r>
          <rPr>
            <sz val="10"/>
            <color rgb="FF000000"/>
            <rFont val="Aptos Narrow"/>
            <scheme val="minor"/>
          </rPr>
          <t>======
ID#AAABjx7qN44
    (2025-05-21 11:33:23)
0829 chloe: 貨款尚未收到，因應ERP 先計算獎金
alice:11/1玉山銀行收入SA匯入款10500沖PI-20190606C 10500</t>
        </r>
      </text>
    </comment>
    <comment ref="K5037" authorId="0" shapeId="0" xr:uid="{56DE53D6-B5A0-A64A-84C1-9BE30B37CD18}">
      <text>
        <r>
          <rPr>
            <sz val="10"/>
            <color rgb="FF000000"/>
            <rFont val="Aptos Narrow"/>
            <scheme val="minor"/>
          </rPr>
          <t>======
ID#AAABjx7qPtY
    (2025-05-21 11:33:24)
0722 Santiago同意先出貨。
0701 詢問預計7/11匯款&amp; 運輸方式</t>
        </r>
      </text>
    </comment>
    <comment ref="H5038" authorId="0" shapeId="0" xr:uid="{9D1CB04C-074D-D94C-9363-29AE7E4EDEE7}">
      <text>
        <r>
          <rPr>
            <sz val="10"/>
            <color rgb="FF000000"/>
            <rFont val="Aptos Narrow"/>
            <scheme val="minor"/>
          </rPr>
          <t>======
ID#AAABjx7qToQ
    (2025-05-21 11:33:26)
ALICE:8/2-水單匯入USD541元整，沖PI-20190606D USD416+沖PI-20190617A USD125</t>
        </r>
      </text>
    </comment>
    <comment ref="H5039" authorId="0" shapeId="0" xr:uid="{7E9C0F9A-D700-3142-883C-88A734C1C95F}">
      <text>
        <r>
          <rPr>
            <sz val="10"/>
            <color rgb="FF000000"/>
            <rFont val="Aptos Narrow"/>
            <scheme val="minor"/>
          </rPr>
          <t>======
ID#AAABjx7qRWE
    (2025-05-21 11:33:25)
ALICE:8/2-水單匯入USD541元整，沖PI-20190606D USD416+沖PI-20190617A USD125</t>
        </r>
      </text>
    </comment>
    <comment ref="H5040" authorId="0" shapeId="0" xr:uid="{9766E038-8A93-8F4C-8086-5246F8B067DD}">
      <text>
        <r>
          <rPr>
            <sz val="10"/>
            <color rgb="FF000000"/>
            <rFont val="Aptos Narrow"/>
            <scheme val="minor"/>
          </rPr>
          <t>======
ID#AAABjx7qTY4
    (2025-05-21 11:33:26)
ALICE:8/2-水單匯入USD541元整，沖PI-20190606D USD416+沖PI-20190617A USD125</t>
        </r>
      </text>
    </comment>
    <comment ref="H5041" authorId="0" shapeId="0" xr:uid="{3E4B3B69-15D7-8D4C-95DC-067029CF842E}">
      <text>
        <r>
          <rPr>
            <sz val="10"/>
            <color rgb="FF000000"/>
            <rFont val="Aptos Narrow"/>
            <scheme val="minor"/>
          </rPr>
          <t>======
ID#AAABjx7qNqk
    (2025-05-21 11:33:23)
ALICE:8/2-水單匯入USD541元整，沖PI-20190606D USD416+沖PI-20190617A USD125</t>
        </r>
      </text>
    </comment>
    <comment ref="H5042" authorId="0" shapeId="0" xr:uid="{3C3D1CB5-6B7C-0046-AF91-815AD68CA675}">
      <text>
        <r>
          <rPr>
            <sz val="10"/>
            <color rgb="FF000000"/>
            <rFont val="Aptos Narrow"/>
            <scheme val="minor"/>
          </rPr>
          <t>======
ID#AAABjx7qSaw
    (2025-05-21 11:33:26)
ALICE:8/2-水單匯入USD541元整，沖PI-20190606D USD416+沖PI-20190617A USD125</t>
        </r>
      </text>
    </comment>
    <comment ref="H5043" authorId="0" shapeId="0" xr:uid="{B688CF31-65D4-B940-BAEF-C6AC79669916}">
      <text>
        <r>
          <rPr>
            <sz val="10"/>
            <color rgb="FF000000"/>
            <rFont val="Aptos Narrow"/>
            <scheme val="minor"/>
          </rPr>
          <t>======
ID#AAABjx7qOUE
    (2025-05-21 11:33:24)
ALICE:8/2-水單匯入USD541元整，沖PI-20190606D USD416+沖PI-20190617A USD125</t>
        </r>
      </text>
    </comment>
    <comment ref="H5044" authorId="0" shapeId="0" xr:uid="{690CFC79-74C3-724B-B3B3-1A01F02506D3}">
      <text>
        <r>
          <rPr>
            <sz val="10"/>
            <color rgb="FF000000"/>
            <rFont val="Aptos Narrow"/>
            <scheme val="minor"/>
          </rPr>
          <t>======
ID#AAABjx7qPfo
    (2025-05-21 11:33:24)
ALICE:8/2-水單匯入USD541元整，沖PI-20190606D USD416+沖PI-20190617A USD125</t>
        </r>
      </text>
    </comment>
    <comment ref="E5045" authorId="0" shapeId="0" xr:uid="{2702DBD6-C2A7-5B47-BDCE-1CB8CFC010C3}">
      <text>
        <r>
          <rPr>
            <sz val="10"/>
            <color rgb="FF000000"/>
            <rFont val="Aptos Narrow"/>
            <scheme val="minor"/>
          </rPr>
          <t>======
ID#AAABjx7qOZo
    (2025-05-21 11:33:24)
0313 chloe: 戎克備有庫存，見半成品庫存表</t>
        </r>
      </text>
    </comment>
    <comment ref="H5045" authorId="0" shapeId="0" xr:uid="{6700EFA4-39A1-B946-97F0-E7ECDDCE05D8}">
      <text>
        <r>
          <rPr>
            <sz val="10"/>
            <color rgb="FF000000"/>
            <rFont val="Aptos Narrow"/>
            <scheme val="minor"/>
          </rPr>
          <t>======
ID#AAABjx7qU2s
    (2025-05-21 11:33:26)
ALICE:8/2-水單匯入USD541元整，沖PI-20190606D USD416+沖PI-20190617A USD125</t>
        </r>
      </text>
    </comment>
    <comment ref="H5046" authorId="0" shapeId="0" xr:uid="{7C2F98F8-F9B7-4D42-A8D4-0F1FBE88F136}">
      <text>
        <r>
          <rPr>
            <sz val="10"/>
            <color rgb="FF000000"/>
            <rFont val="Aptos Narrow"/>
            <scheme val="minor"/>
          </rPr>
          <t>======
ID#AAABjx7qN8M
    (2025-05-21 11:33:23)
alice:7/31-水單匯入USD2124沖PI-20190131D-2 857.沖PI-20190610A 565.沖PI-20190607A 444.沖PI-20190612A 258</t>
        </r>
      </text>
    </comment>
    <comment ref="E5047" authorId="0" shapeId="0" xr:uid="{5BF02E8F-E603-544B-8C58-C3D88620FFBC}">
      <text>
        <r>
          <rPr>
            <sz val="10"/>
            <color rgb="FF000000"/>
            <rFont val="Aptos Narrow"/>
            <scheme val="minor"/>
          </rPr>
          <t>======
ID#AAABjx7qSSE
    (2025-05-21 11:33:26)
下單請用FPM2150GR3B1601E-T
出貨文件上秀:
FPM-2150G-R3BE
(FPM2150GRB1601E-T)</t>
        </r>
      </text>
    </comment>
    <comment ref="H5047" authorId="0" shapeId="0" xr:uid="{5CCE714C-52E4-6E44-A3E9-FF2EFDEC5C38}">
      <text>
        <r>
          <rPr>
            <sz val="10"/>
            <color rgb="FF000000"/>
            <rFont val="Aptos Narrow"/>
            <scheme val="minor"/>
          </rPr>
          <t>======
ID#AAABjx7qSS8
    (2025-05-21 11:33:26)
alice:7/31-水單匯入USD2124沖PI-20190131D-2 857.沖PI-20190610A 565.沖PI-20190607A 444.沖PI-20190612A 258</t>
        </r>
      </text>
    </comment>
    <comment ref="H5048" authorId="0" shapeId="0" xr:uid="{FE3BFACC-A4BC-6B40-A023-21A9CF9FB91A}">
      <text>
        <r>
          <rPr>
            <sz val="10"/>
            <color rgb="FF000000"/>
            <rFont val="Aptos Narrow"/>
            <scheme val="minor"/>
          </rPr>
          <t>======
ID#AAABjx7qTI8
    (2025-05-21 11:33:26)
ALICE:6/13-玉山匯入USD4942-應付3539=1403轉預收貨款   銀行淨收4895.64*31.47</t>
        </r>
      </text>
    </comment>
    <comment ref="H5049" authorId="0" shapeId="0" xr:uid="{E4C64008-C0A2-ED48-8F61-A8B1228B861E}">
      <text>
        <r>
          <rPr>
            <sz val="10"/>
            <color rgb="FF000000"/>
            <rFont val="Aptos Narrow"/>
            <scheme val="minor"/>
          </rPr>
          <t>======
ID#AAABjx7qQwE
    (2025-05-21 11:33:25)
ALICE:6/13-玉山匯入USD4942-應付3539=1403轉預收貨款   銀行淨收4895.64*31.47</t>
        </r>
      </text>
    </comment>
    <comment ref="H5050" authorId="0" shapeId="0" xr:uid="{C6C7DD63-C2D4-9048-A7DC-6F8CFF44ADE7}">
      <text>
        <r>
          <rPr>
            <sz val="10"/>
            <color rgb="FF000000"/>
            <rFont val="Aptos Narrow"/>
            <scheme val="minor"/>
          </rPr>
          <t>======
ID#AAABjx7qVjg
    (2025-05-21 11:33:27)
ALICE:6/13-玉山匯入USD4942-應付3539=1403轉預收貨款   銀行淨收4895.64*31.47</t>
        </r>
      </text>
    </comment>
    <comment ref="H5051" authorId="0" shapeId="0" xr:uid="{7B8D638B-9D72-0B4A-BC81-74A466C41770}">
      <text>
        <r>
          <rPr>
            <sz val="10"/>
            <color rgb="FF000000"/>
            <rFont val="Aptos Narrow"/>
            <scheme val="minor"/>
          </rPr>
          <t>======
ID#AAABjx7qNp0
    (2025-05-21 11:33:23)
ALICE:6/13-玉山匯入USD4942-應付3539=1403轉預收貨款   銀行淨收4895.64*31.47</t>
        </r>
      </text>
    </comment>
    <comment ref="AK5051" authorId="0" shapeId="0" xr:uid="{22D58281-A052-A14C-9627-C353218EF931}">
      <text>
        <r>
          <rPr>
            <sz val="10"/>
            <color rgb="FF000000"/>
            <rFont val="Aptos Narrow"/>
            <scheme val="minor"/>
          </rPr>
          <t>======
ID#AAABjx7qPgQ
    (2025-05-21 11:33:24)
6/13-玉山匯入USD4942-應付3539=1403轉預收貨款   銀行淨收4895.64*31.47</t>
        </r>
      </text>
    </comment>
    <comment ref="H5052" authorId="0" shapeId="0" xr:uid="{E1C84304-C8EE-004A-9A79-12C9D26EF35E}">
      <text>
        <r>
          <rPr>
            <sz val="10"/>
            <color rgb="FF000000"/>
            <rFont val="Aptos Narrow"/>
            <scheme val="minor"/>
          </rPr>
          <t>======
ID#AAABjx7qV80
    (2025-05-21 11:33:27)
ALICE:7/8-電文通知USD2300沖PI-20190604D.PI-20190611A</t>
        </r>
      </text>
    </comment>
    <comment ref="H5053" authorId="0" shapeId="0" xr:uid="{322EBBA4-1CCF-E049-A309-DB9B59D5DBC2}">
      <text>
        <r>
          <rPr>
            <sz val="10"/>
            <color rgb="FF000000"/>
            <rFont val="Aptos Narrow"/>
            <scheme val="minor"/>
          </rPr>
          <t>======
ID#AAABjx7qS2U
    (2025-05-21 11:33:26)
ALICE:6/20銀行匯入USD328</t>
        </r>
      </text>
    </comment>
    <comment ref="H5054" authorId="0" shapeId="0" xr:uid="{D4CFEE69-AAAE-A44D-AE97-B1785AFC638F}">
      <text>
        <r>
          <rPr>
            <sz val="10"/>
            <color rgb="FF000000"/>
            <rFont val="Aptos Narrow"/>
            <scheme val="minor"/>
          </rPr>
          <t>======
ID#AAABjx7qS34
    (2025-05-21 11:33:26)
alice:7/31-水單匯入USD2124沖PI-20190131D-2 857.沖PI-20190610A 565.沖PI-20190607A 444.沖PI-20190612A 258</t>
        </r>
      </text>
    </comment>
    <comment ref="H5055" authorId="0" shapeId="0" xr:uid="{0C9570CB-54EE-8E45-89DE-F57BB2FF531A}">
      <text>
        <r>
          <rPr>
            <sz val="10"/>
            <color rgb="FF000000"/>
            <rFont val="Aptos Narrow"/>
            <scheme val="minor"/>
          </rPr>
          <t>======
ID#AAABjx7qRoc
    (2025-05-21 11:33:25)
ALICE:6/20銀行匯入USD328</t>
        </r>
      </text>
    </comment>
    <comment ref="D5056" authorId="0" shapeId="0" xr:uid="{C80443E1-668D-F349-B646-3F81814DF5F6}">
      <text>
        <r>
          <rPr>
            <sz val="10"/>
            <color rgb="FF000000"/>
            <rFont val="Aptos Narrow"/>
            <scheme val="minor"/>
          </rPr>
          <t>======
ID#AAABjx7qTK8
    (2025-05-21 11:33:26)
0613 請TAMMY 下單</t>
        </r>
      </text>
    </comment>
    <comment ref="H5056" authorId="0" shapeId="0" xr:uid="{432F211B-9D3D-7249-9020-A2E9C9482B29}">
      <text>
        <r>
          <rPr>
            <sz val="10"/>
            <color rgb="FF000000"/>
            <rFont val="Aptos Narrow"/>
            <scheme val="minor"/>
          </rPr>
          <t>======
ID#AAABjx7qR6I
    (2025-05-21 11:33:25)
ALICE:8/5收到應收票據:到期日108/07/31票號CP0073500 金額26066元整+ 7/3預收11978元整=38044
沖PI-20190531B 25268+沖PI-20190613A 12804=38072 差額28元為寄支票郵資</t>
        </r>
      </text>
    </comment>
    <comment ref="H5057" authorId="0" shapeId="0" xr:uid="{C2F3501F-12CC-E648-B020-3D65875F2262}">
      <text>
        <r>
          <rPr>
            <sz val="10"/>
            <color rgb="FF000000"/>
            <rFont val="Aptos Narrow"/>
            <scheme val="minor"/>
          </rPr>
          <t>======
ID#AAABjx7qQok
    (2025-05-21 11:33:25)
ALICE:8/2-水單匯入USD541元整，沖PI-20190606D USD416+沖PI-20190617A USD125</t>
        </r>
      </text>
    </comment>
    <comment ref="E5058" authorId="0" shapeId="0" xr:uid="{294E8353-E84F-AC45-A0C1-79E443DC938A}">
      <text>
        <r>
          <rPr>
            <sz val="10"/>
            <color rgb="FF000000"/>
            <rFont val="Aptos Narrow"/>
            <scheme val="minor"/>
          </rPr>
          <t>======
ID#AAABjx7qR6M
    (2025-05-21 11:33:25)
190620 Karen: EU ADAPTER</t>
        </r>
      </text>
    </comment>
    <comment ref="H5058" authorId="0" shapeId="0" xr:uid="{C14C7310-3C68-E04E-ADC7-03C6D5BDC230}">
      <text>
        <r>
          <rPr>
            <sz val="10"/>
            <color rgb="FF000000"/>
            <rFont val="Aptos Narrow"/>
            <scheme val="minor"/>
          </rPr>
          <t>======
ID#AAABjx7qOsI
    (2025-05-21 11:33:24)
ALICE:6/27水單匯入USD8652.87沖PI20190515C 1394.5.PI-20190625C 46.37.PI-20190508C 6408.PI-20190619B 804共四張PI合計8652.87</t>
        </r>
      </text>
    </comment>
    <comment ref="E5059" authorId="0" shapeId="0" xr:uid="{3594BC4C-0168-BE4D-A4E8-A874952EC525}">
      <text>
        <r>
          <rPr>
            <sz val="10"/>
            <color rgb="FF000000"/>
            <rFont val="Aptos Narrow"/>
            <scheme val="minor"/>
          </rPr>
          <t>======
ID#AAABj82dpPw
0620 Santiago    (2025-05-21 11:33:23)
-&gt; 待客戶將 7' LCD (AA070ME01)寄來後， 寄曦立光電做貼合</t>
        </r>
      </text>
    </comment>
    <comment ref="H5059" authorId="0" shapeId="0" xr:uid="{F9BB0759-5500-FB4E-A64E-F2602894A153}">
      <text>
        <r>
          <rPr>
            <sz val="10"/>
            <color rgb="FF000000"/>
            <rFont val="Aptos Narrow"/>
            <scheme val="minor"/>
          </rPr>
          <t>======
ID#AAABjx7qODQ
    (2025-05-21 11:33:24)
ALICE:9/3玉山銀行水單通知USD5580沖PI-20190620A-1</t>
        </r>
      </text>
    </comment>
    <comment ref="K5059" authorId="0" shapeId="0" xr:uid="{3424A42A-6F6B-D545-B57B-34086FB83540}">
      <text>
        <r>
          <rPr>
            <sz val="10"/>
            <color rgb="FF000000"/>
            <rFont val="Aptos Narrow"/>
            <scheme val="minor"/>
          </rPr>
          <t>======
ID#AAABjx7qRk8
    (2025-05-21 11:33:25)
O/A超支，已通知業務。</t>
        </r>
      </text>
    </comment>
    <comment ref="E5060" authorId="0" shapeId="0" xr:uid="{CE1030F2-5033-E749-914E-9BC612A7A9F0}">
      <text>
        <r>
          <rPr>
            <sz val="10"/>
            <color rgb="FF000000"/>
            <rFont val="Aptos Narrow"/>
            <scheme val="minor"/>
          </rPr>
          <t>======
ID#AAABjx7qVu8
    (2025-05-21 11:33:27)
20190620
 Santiago:
-&gt; 待客戶將 7' LCD (AA070ME01)寄來後， 寄曦立光電做貼合</t>
        </r>
      </text>
    </comment>
    <comment ref="K5060" authorId="0" shapeId="0" xr:uid="{4E9FCE47-35CF-0D47-96DF-D562508122DA}">
      <text>
        <r>
          <rPr>
            <sz val="10"/>
            <color rgb="FF000000"/>
            <rFont val="Aptos Narrow"/>
            <scheme val="minor"/>
          </rPr>
          <t>======
ID#AAABjx7qQs0
    (2025-05-21 11:33:25)
O/A超支，已通知業務。</t>
        </r>
      </text>
    </comment>
    <comment ref="E5061" authorId="0" shapeId="0" xr:uid="{051F2367-6DB8-334D-9485-EB717E81E2B3}">
      <text>
        <r>
          <rPr>
            <sz val="10"/>
            <color rgb="FF000000"/>
            <rFont val="Aptos Narrow"/>
            <scheme val="minor"/>
          </rPr>
          <t>======
ID#AAABjx7qORw
0620 Santiago    (2025-05-21 11:33:24)
-&gt; 待客戶將 7' LCD (AA070ME01)寄來後， 寄曦立光電做貼合</t>
        </r>
      </text>
    </comment>
    <comment ref="F5061" authorId="0" shapeId="0" xr:uid="{D06DBFC9-FB46-244B-B940-D4753FED9447}">
      <text>
        <r>
          <rPr>
            <sz val="10"/>
            <color rgb="FF000000"/>
            <rFont val="Aptos Narrow"/>
            <scheme val="minor"/>
          </rPr>
          <t>======
ID#AAABjx7qPWM
    (2025-05-21 11:33:24)
0820 cathy: 客人revise 提供數量</t>
        </r>
      </text>
    </comment>
    <comment ref="H5061" authorId="0" shapeId="0" xr:uid="{9E17BE5E-BE70-2348-968E-9219B2776BF3}">
      <text>
        <r>
          <rPr>
            <sz val="10"/>
            <color rgb="FF000000"/>
            <rFont val="Aptos Narrow"/>
            <scheme val="minor"/>
          </rPr>
          <t>======
ID#AAABjx7qVck
    (2025-05-21 11:33:27)
ALICE:11/6-玉山銀行收到Hectronic匯入款USD19840沖PI-20190620A-3 USD7440.PI-20190620A-2 USD12400</t>
        </r>
      </text>
    </comment>
    <comment ref="I5061" authorId="0" shapeId="0" xr:uid="{8AC7F8E0-3B97-7641-A034-B339F4E74A53}">
      <text>
        <r>
          <rPr>
            <sz val="10"/>
            <color rgb="FF000000"/>
            <rFont val="Aptos Narrow"/>
            <scheme val="minor"/>
          </rPr>
          <t>======
ID#AAABjx7qQSg
    (2025-05-21 11:33:25)
Cathy/Santiago</t>
        </r>
      </text>
    </comment>
    <comment ref="E5062" authorId="0" shapeId="0" xr:uid="{3044A56A-E9A9-B445-83E0-5545BF236E6A}">
      <text>
        <r>
          <rPr>
            <sz val="10"/>
            <color rgb="FF000000"/>
            <rFont val="Aptos Narrow"/>
            <scheme val="minor"/>
          </rPr>
          <t>======
ID#AAABjx7qPUc
    (2025-05-21 11:33:24)
20190620
 Santiago:
-&gt; 待客戶將 7' LCD (AA070ME01)寄來後， 寄曦立光電做貼合</t>
        </r>
      </text>
    </comment>
    <comment ref="F5062" authorId="0" shapeId="0" xr:uid="{65521AC4-6BD8-CC4A-9095-5104A29D7C59}">
      <text>
        <r>
          <rPr>
            <sz val="10"/>
            <color rgb="FF000000"/>
            <rFont val="Aptos Narrow"/>
            <scheme val="minor"/>
          </rPr>
          <t>======
ID#AAABjx7qRdU
    (2025-05-21 11:33:25)
0820 cathy: 客人revise 提供數量</t>
        </r>
      </text>
    </comment>
    <comment ref="I5062" authorId="0" shapeId="0" xr:uid="{280194AC-BAAE-7444-B323-A4C1D57CA6FB}">
      <text>
        <r>
          <rPr>
            <sz val="10"/>
            <color rgb="FF000000"/>
            <rFont val="Aptos Narrow"/>
            <scheme val="minor"/>
          </rPr>
          <t>======
ID#AAABjx7qPok
    (2025-05-21 11:33:24)
Cathy/Santiago</t>
        </r>
      </text>
    </comment>
    <comment ref="E5063" authorId="0" shapeId="0" xr:uid="{A4EBBC13-267F-4A4B-9421-A1DB48017175}">
      <text>
        <r>
          <rPr>
            <sz val="10"/>
            <color rgb="FF000000"/>
            <rFont val="Aptos Narrow"/>
            <scheme val="minor"/>
          </rPr>
          <t>======
ID#AAABjx7qOEU
    (2025-05-21 11:33:24)
20190620
 Santiago:
-&gt; 待客戶將 7' LCD (AA070ME01)寄來後， 寄曦立光電做貼合</t>
        </r>
      </text>
    </comment>
    <comment ref="F5063" authorId="0" shapeId="0" xr:uid="{C9DC7A71-67E3-ED42-8B54-E54D753CC427}">
      <text>
        <r>
          <rPr>
            <sz val="10"/>
            <color rgb="FF000000"/>
            <rFont val="Aptos Narrow"/>
            <scheme val="minor"/>
          </rPr>
          <t>======
ID#AAABjx7qM7s
    (2025-05-21 11:33:23)
8/20 cathy: 客人revise 客供數量</t>
        </r>
      </text>
    </comment>
    <comment ref="I5063" authorId="0" shapeId="0" xr:uid="{76B2B03C-94E7-CA43-82DD-B216949E4B72}">
      <text>
        <r>
          <rPr>
            <sz val="10"/>
            <color rgb="FF000000"/>
            <rFont val="Aptos Narrow"/>
            <scheme val="minor"/>
          </rPr>
          <t>======
ID#AAABjx7qSGA
    (2025-05-21 11:33:26)
Cathy/Santiago</t>
        </r>
      </text>
    </comment>
    <comment ref="E5064" authorId="0" shapeId="0" xr:uid="{6ED4B6AF-8942-BE43-B450-54E71453396B}">
      <text>
        <r>
          <rPr>
            <sz val="10"/>
            <color rgb="FF000000"/>
            <rFont val="Aptos Narrow"/>
            <scheme val="minor"/>
          </rPr>
          <t>======
ID#AAABjx7qS9E
0620 Santiago    (2025-05-21 11:33:26)
-&gt; 待客戶將 7' LCD (AA070ME01)寄來後， 寄曦立光電做貼合</t>
        </r>
      </text>
    </comment>
    <comment ref="F5064" authorId="0" shapeId="0" xr:uid="{5A915140-F9E8-A847-8C51-42EF81E1AF5C}">
      <text>
        <r>
          <rPr>
            <sz val="10"/>
            <color rgb="FF000000"/>
            <rFont val="Aptos Narrow"/>
            <scheme val="minor"/>
          </rPr>
          <t>======
ID#AAABjx7qM2c
    (2025-05-21 11:33:23)
8/20 cathy: 客人revise 客供數量</t>
        </r>
      </text>
    </comment>
    <comment ref="H5064" authorId="0" shapeId="0" xr:uid="{78B3EA79-A4D7-0D4E-8691-D8B4CBDA6521}">
      <text>
        <r>
          <rPr>
            <sz val="10"/>
            <color rgb="FF000000"/>
            <rFont val="Aptos Narrow"/>
            <scheme val="minor"/>
          </rPr>
          <t>======
ID#AAABjx7qO68
    (2025-05-21 11:33:24)
ALICE:11/6-玉山銀行收到Hectronic匯入款USD19840沖PI-20190620A-3 USD7440.PI-20190620A-2 USD12400</t>
        </r>
      </text>
    </comment>
    <comment ref="I5064" authorId="0" shapeId="0" xr:uid="{2FF9B7B3-AE0A-2E44-93D4-9E3C0838A2C8}">
      <text>
        <r>
          <rPr>
            <sz val="10"/>
            <color rgb="FF000000"/>
            <rFont val="Aptos Narrow"/>
            <scheme val="minor"/>
          </rPr>
          <t>======
ID#AAABjx7qVP0
    (2025-05-21 11:33:27)
Cathy/Santiago</t>
        </r>
      </text>
    </comment>
    <comment ref="H5065" authorId="0" shapeId="0" xr:uid="{DACD89CF-40AD-EA48-B7AC-017EA9819A78}">
      <text>
        <r>
          <rPr>
            <sz val="10"/>
            <color rgb="FF000000"/>
            <rFont val="Aptos Narrow"/>
            <scheme val="minor"/>
          </rPr>
          <t>======
ID#AAABjx7qQ8g
    (2025-05-21 11:33:25)
ALICE:10/1玉山水單匯入USD12075沖PI20190625A USD12075</t>
        </r>
      </text>
    </comment>
    <comment ref="G5066" authorId="0" shapeId="0" xr:uid="{FEC198B2-75F6-1C4D-9D1E-24B1FD646779}">
      <text>
        <r>
          <rPr>
            <sz val="10"/>
            <color rgb="FF000000"/>
            <rFont val="Aptos Narrow"/>
            <scheme val="minor"/>
          </rPr>
          <t>======
ID#AAABjx7qPVU
    (2025-05-21 11:33:24)
180221 Tammy: project price for over 50pcs/lot</t>
        </r>
      </text>
    </comment>
    <comment ref="H5066" authorId="0" shapeId="0" xr:uid="{2EB58BD6-0A59-9A4F-AAD0-9DB50C8854A2}">
      <text>
        <r>
          <rPr>
            <sz val="10"/>
            <color rgb="FF000000"/>
            <rFont val="Aptos Narrow"/>
            <scheme val="minor"/>
          </rPr>
          <t>======
ID#AAABjx7qQj8
    (2025-05-21 11:33:25)
ALICE:10/1玉山水單匯入USD12075沖PI20190625A USD12075</t>
        </r>
      </text>
    </comment>
    <comment ref="H5067" authorId="0" shapeId="0" xr:uid="{1FEA250C-9DB8-324D-8AA1-CB0C6FD84223}">
      <text>
        <r>
          <rPr>
            <sz val="10"/>
            <color rgb="FF000000"/>
            <rFont val="Aptos Narrow"/>
            <scheme val="minor"/>
          </rPr>
          <t>======
ID#AAABjx7qM0I
    (2025-05-21 11:33:23)
6/14-預收USD1403
6/28-銀行匯入USD6257 與6/14合計共7660，PI為7670故尚餘USD10元未收與chloe確認轉手續費處理</t>
        </r>
      </text>
    </comment>
    <comment ref="E5068" authorId="0" shapeId="0" xr:uid="{BC6D6B65-AA56-DC4E-9277-9F0C7A3E2832}">
      <text>
        <r>
          <rPr>
            <sz val="10"/>
            <color rgb="FF000000"/>
            <rFont val="Aptos Narrow"/>
            <scheme val="minor"/>
          </rPr>
          <t>======
ID#AAABjx7qRFc
    (2025-05-21 11:33:25)
4/19 w/Optical Bonding, High Bridhtness 1000 nits, 9-36V PB-409,
Additional 2 USB port, SSD Key</t>
        </r>
      </text>
    </comment>
    <comment ref="H5068" authorId="0" shapeId="0" xr:uid="{4BA20AC3-974B-F646-B07B-9CE088AEC7BA}">
      <text>
        <r>
          <rPr>
            <sz val="10"/>
            <color rgb="FF000000"/>
            <rFont val="Aptos Narrow"/>
            <scheme val="minor"/>
          </rPr>
          <t>======
ID#AAABjx7qSmg
    (2025-05-21 11:33:26)
6/14-預收USD1403
6/28-銀行匯入USD6257 與6/14合計共7660，PI為7670故尚餘USD10元未收與chloe確認轉手續費處理</t>
        </r>
      </text>
    </comment>
    <comment ref="H5069" authorId="0" shapeId="0" xr:uid="{A2CDEF9D-4ECA-6B43-B399-78FC36075DE2}">
      <text>
        <r>
          <rPr>
            <sz val="10"/>
            <color rgb="FF000000"/>
            <rFont val="Aptos Narrow"/>
            <scheme val="minor"/>
          </rPr>
          <t>======
ID#AAABjx7qTWY
    (2025-05-21 11:33:26)
6/14-預收USD1403
6/28-銀行匯入USD6257 與6/14合計共7660，PI為7670故尚餘USD10元未收與chloe確認轉手續費處理</t>
        </r>
      </text>
    </comment>
    <comment ref="E5070" authorId="0" shapeId="0" xr:uid="{7A76238E-272F-7843-B748-DBC89EDD553E}">
      <text>
        <r>
          <rPr>
            <sz val="10"/>
            <color rgb="FF000000"/>
            <rFont val="Aptos Narrow"/>
            <scheme val="minor"/>
          </rPr>
          <t>======
ID#AAABjx7qPXI
    (2025-05-21 11:33:24)
4/19 w/Optical Bonding, High Bridhtness 1000 nits, 9-36V PB-409,
Additional 2 USB port, SSD Key</t>
        </r>
      </text>
    </comment>
    <comment ref="H5070" authorId="0" shapeId="0" xr:uid="{4A4BBFB5-C00A-0345-BA0C-F3634869E7F7}">
      <text>
        <r>
          <rPr>
            <sz val="10"/>
            <color rgb="FF000000"/>
            <rFont val="Aptos Narrow"/>
            <scheme val="minor"/>
          </rPr>
          <t>======
ID#AAABjx7qNtM
    (2025-05-21 11:33:23)
6/14-預收USD1403
6/28-銀行匯入USD6257 與6/14合計共7660，PI為7670故尚餘USD10元未收與chloe確認轉手續費處理</t>
        </r>
      </text>
    </comment>
    <comment ref="H5071" authorId="0" shapeId="0" xr:uid="{C8BAAD8B-899A-CB4A-8D99-768950BC805E}">
      <text>
        <r>
          <rPr>
            <sz val="10"/>
            <color rgb="FF000000"/>
            <rFont val="Aptos Narrow"/>
            <scheme val="minor"/>
          </rPr>
          <t>======
ID#AAABjx7qN7Q
    (2025-05-21 11:33:23)
ALICE:6/27水單匯入USD8652.87沖PI20190515C 1394.5.PI-20190625C 46.37.PI-20190508C 6408.PI-20190619B 804共四張PI合計8652.87</t>
        </r>
      </text>
    </comment>
    <comment ref="H5072" authorId="0" shapeId="0" xr:uid="{8B4BD7DD-6BCB-9542-938C-0F25ECF5AC4E}">
      <text>
        <r>
          <rPr>
            <sz val="10"/>
            <color rgb="FF000000"/>
            <rFont val="Aptos Narrow"/>
            <scheme val="minor"/>
          </rPr>
          <t>======
ID#AAABjx7qOJ0
    (2025-05-21 11:33:24)
ALICE:9/23玉山銀行水單通知匯入USD14587沖PI-20190626A 334.5 沖PI-20190703B 8550.沖PI20190719C 5212.5.沖PI-20190722A 210.沖PI-20190801C 280 合計總沖USD14587元整</t>
        </r>
      </text>
    </comment>
    <comment ref="H5073" authorId="0" shapeId="0" xr:uid="{7947C00C-4301-3B42-B94D-8F7363B0C365}">
      <text>
        <r>
          <rPr>
            <sz val="10"/>
            <color rgb="FF000000"/>
            <rFont val="Aptos Narrow"/>
            <scheme val="minor"/>
          </rPr>
          <t>======
ID#AAABjx7qTdQ
    (2025-05-21 11:33:26)
ALICE:9/23玉山銀行水單通知匯入USD14587沖PI-20190626A 334.5 沖PI-20190703B 8550.沖PI20190719C 5212.5.沖PI-20190722A 210.沖PI-20190801C 280 合計總沖USD14587元整</t>
        </r>
      </text>
    </comment>
    <comment ref="D5074" authorId="0" shapeId="0" xr:uid="{6590519B-CB72-1C40-83F4-2CB9086C2842}">
      <text>
        <r>
          <rPr>
            <sz val="10"/>
            <color rgb="FF000000"/>
            <rFont val="Aptos Narrow"/>
            <scheme val="minor"/>
          </rPr>
          <t>======
ID#AAABjx7qO5M
    (2025-05-21 11:33:24)
0626 通知Tammy 下單</t>
        </r>
      </text>
    </comment>
    <comment ref="H5074" authorId="0" shapeId="0" xr:uid="{604FA32B-DD32-E648-A96A-4351482F1B4A}">
      <text>
        <r>
          <rPr>
            <sz val="10"/>
            <color rgb="FF000000"/>
            <rFont val="Aptos Narrow"/>
            <scheme val="minor"/>
          </rPr>
          <t>======
ID#AAABjx7qNsg
    (2025-05-21 11:33:23)
ALICE:8/6-玉山匯入55253元整，沖PI-20190626B 17487.沖PI-20190701A 32692.沖PI-20190716A 5089</t>
        </r>
      </text>
    </comment>
    <comment ref="H5075" authorId="0" shapeId="0" xr:uid="{0C41E58C-7034-3648-A2FF-1DA178701C39}">
      <text>
        <r>
          <rPr>
            <sz val="10"/>
            <color rgb="FF000000"/>
            <rFont val="Aptos Narrow"/>
            <scheme val="minor"/>
          </rPr>
          <t>======
ID#AAABjx7qQa4
    (2025-05-21 11:33:25)
ALICE:8/27玉山銀行匯入USD9443沖PI-20190604A.PI-20190628A.PI-20190604A-F合計共USD9443元整</t>
        </r>
      </text>
    </comment>
    <comment ref="F5076" authorId="0" shapeId="0" xr:uid="{3B49596F-9A53-DB4B-AC6A-50F7C0F4BF0E}">
      <text>
        <r>
          <rPr>
            <sz val="10"/>
            <color rgb="FF000000"/>
            <rFont val="Aptos Narrow"/>
            <scheme val="minor"/>
          </rPr>
          <t>======
ID#AAABjx7qPXk
    (2025-05-21 11:33:24)
7/29 AMY: Order 28 pcs but ADVANTECH CANCELLED ORDER DUE TO EOL</t>
        </r>
      </text>
    </comment>
    <comment ref="H5076" authorId="0" shapeId="0" xr:uid="{02944BB4-2D4F-3E46-9643-7B2AB4FEDD82}">
      <text>
        <r>
          <rPr>
            <sz val="10"/>
            <color rgb="FF000000"/>
            <rFont val="Aptos Narrow"/>
            <scheme val="minor"/>
          </rPr>
          <t>======
ID#AAABjx7qO2k
    (2025-05-21 11:33:24)
ALICE:8/8水單匯入USD2240沖PI-20190628B</t>
        </r>
      </text>
    </comment>
    <comment ref="K5076" authorId="0" shapeId="0" xr:uid="{621512E9-6994-0C46-82CB-86C341F78B42}">
      <text>
        <r>
          <rPr>
            <sz val="10"/>
            <color rgb="FF000000"/>
            <rFont val="Aptos Narrow"/>
            <scheme val="minor"/>
          </rPr>
          <t>======
ID#AAABjx7qPfg
    (2025-05-21 11:33:24)
Yvonne:原訂7/4出口116950876，收走後退回更換文件，改新提單出口。</t>
        </r>
      </text>
    </comment>
    <comment ref="D5077" authorId="0" shapeId="0" xr:uid="{BE2EE4AD-EEBF-A243-B9E1-A5A9F229092E}">
      <text>
        <r>
          <rPr>
            <sz val="10"/>
            <color rgb="FF000000"/>
            <rFont val="Aptos Narrow"/>
            <scheme val="minor"/>
          </rPr>
          <t>======
ID#AAABjx7qOW4
    (2025-05-21 11:33:24)
0701 通知Chloe 協助下單</t>
        </r>
      </text>
    </comment>
    <comment ref="H5078" authorId="0" shapeId="0" xr:uid="{08C59712-27B1-764A-B2BF-CB211C26BBC6}">
      <text>
        <r>
          <rPr>
            <sz val="10"/>
            <color rgb="FF000000"/>
            <rFont val="Aptos Narrow"/>
            <scheme val="minor"/>
          </rPr>
          <t>======
ID#AAABjx7qVRI
    (2025-05-21 11:33:27)
ALICE:7/15-匯入28508沖17968元整，客戶多付10540(CATHY回覆沖之後的帳款)</t>
        </r>
      </text>
    </comment>
    <comment ref="H5079" authorId="0" shapeId="0" xr:uid="{95E38DB6-BA53-A84F-9F97-AB8203F44010}">
      <text>
        <r>
          <rPr>
            <sz val="10"/>
            <color rgb="FF000000"/>
            <rFont val="Aptos Narrow"/>
            <scheme val="minor"/>
          </rPr>
          <t>======
ID#AAABjx7qPuo
    (2025-05-21 11:33:24)
Alice:7/8匯入NT170334 
Alice:8/6匯入NT186707
Alice:8/6匯入NT32231
總計389272+匯款手續費30=389302沖PI-20190523A 202565.沖PI20190702A 186737元整</t>
        </r>
      </text>
    </comment>
    <comment ref="E5080" authorId="0" shapeId="0" xr:uid="{81880309-548D-A34E-8118-D65E23B64FDF}">
      <text>
        <r>
          <rPr>
            <sz val="10"/>
            <color rgb="FF000000"/>
            <rFont val="Aptos Narrow"/>
            <scheme val="minor"/>
          </rPr>
          <t>======
ID#AAABjx7qO3Y
    (2025-05-21 11:33:24)
20170104 Santiago: 和之前訂單一樣, w/o adapter</t>
        </r>
      </text>
    </comment>
    <comment ref="H5080" authorId="0" shapeId="0" xr:uid="{464CE2AE-0420-DB4A-92BE-9A2761DDE6EE}">
      <text>
        <r>
          <rPr>
            <sz val="10"/>
            <color rgb="FF000000"/>
            <rFont val="Aptos Narrow"/>
            <scheme val="minor"/>
          </rPr>
          <t>======
ID#AAABjx7qVtA
    (2025-05-21 11:33:27)
Alice:7/8匯入NT170334 
Alice:8/6匯入NT186707
Alice:8/6匯入NT32231
總計389272+匯款手續費30=389302沖PI-20190523A 202565.沖PI20190702A 186737元整</t>
        </r>
      </text>
    </comment>
    <comment ref="H5081" authorId="0" shapeId="0" xr:uid="{BB5477E0-9FDD-0840-803A-49AC0B125636}">
      <text>
        <r>
          <rPr>
            <sz val="10"/>
            <color rgb="FF000000"/>
            <rFont val="Aptos Narrow"/>
            <scheme val="minor"/>
          </rPr>
          <t>======
ID#AAABjx7qNO4
    (2025-05-21 11:33:23)
Alice:7/8匯入NT170334 
Alice:8/6匯入NT186707
Alice:8/6匯入NT32231
總計389272+匯款手續費30=389302沖PI-20190523A 202565.沖PI20190702A 186737元整</t>
        </r>
      </text>
    </comment>
    <comment ref="E5082" authorId="0" shapeId="0" xr:uid="{86627A61-A35B-EE4B-AC6F-FE4204C51998}">
      <text>
        <r>
          <rPr>
            <sz val="10"/>
            <color rgb="FF000000"/>
            <rFont val="Aptos Narrow"/>
            <scheme val="minor"/>
          </rPr>
          <t>======
ID#AAABjx7qPVs
    (2025-05-21 11:33:24)
AB-6810404112111210850</t>
        </r>
      </text>
    </comment>
    <comment ref="H5082" authorId="0" shapeId="0" xr:uid="{452E5356-7724-1145-834A-8A11DDF2E914}">
      <text>
        <r>
          <rPr>
            <sz val="10"/>
            <color rgb="FF000000"/>
            <rFont val="Aptos Narrow"/>
            <scheme val="minor"/>
          </rPr>
          <t>======
ID#AAABjx7qThg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E5083" authorId="0" shapeId="0" xr:uid="{365CC685-81CF-7C4F-A55C-CE03E50BB11E}">
      <text>
        <r>
          <rPr>
            <sz val="10"/>
            <color rgb="FF000000"/>
            <rFont val="Aptos Narrow"/>
            <scheme val="minor"/>
          </rPr>
          <t>======
ID#AAABjx7qNek
    (2025-05-21 11:33:23)
AB-3815004012111210850</t>
        </r>
      </text>
    </comment>
    <comment ref="H5083" authorId="0" shapeId="0" xr:uid="{CECE5CCA-4024-7842-A820-288C30BE5C70}">
      <text>
        <r>
          <rPr>
            <sz val="10"/>
            <color rgb="FF000000"/>
            <rFont val="Aptos Narrow"/>
            <scheme val="minor"/>
          </rPr>
          <t>======
ID#AAABjx7qOeo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H5084" authorId="0" shapeId="0" xr:uid="{68A89151-CBE0-9F47-842D-5DA4B3F90BDE}">
      <text>
        <r>
          <rPr>
            <sz val="10"/>
            <color rgb="FF000000"/>
            <rFont val="Aptos Narrow"/>
            <scheme val="minor"/>
          </rPr>
          <t>======
ID#AAABjx7qRuc
    (2025-05-21 11:33:25)
ALICE:9/23玉山銀行水單通知匯入USD14587沖PI-20190626A 334.5 沖PI-20190703B 8550.沖PI20190719C 5212.5.沖PI-20190722A 210.沖PI-20190801C 280 合計總沖USD14587元整</t>
        </r>
      </text>
    </comment>
    <comment ref="D5085" authorId="0" shapeId="0" xr:uid="{7BC28FC0-7F6E-DA46-9523-CE2E052B7858}">
      <text>
        <r>
          <rPr>
            <sz val="10"/>
            <color rgb="FF000000"/>
            <rFont val="Aptos Narrow"/>
            <scheme val="minor"/>
          </rPr>
          <t>======
ID#AAABjx7qQhc
    (2025-05-21 11:33:25)
9/2 補填 (不知誰誤刪)</t>
        </r>
      </text>
    </comment>
    <comment ref="H5085" authorId="0" shapeId="0" xr:uid="{1D19FB90-70F6-DD47-A2EE-567347517599}">
      <text>
        <r>
          <rPr>
            <sz val="10"/>
            <color rgb="FF000000"/>
            <rFont val="Aptos Narrow"/>
            <scheme val="minor"/>
          </rPr>
          <t>======
ID#AAABjx7qTYU
    (2025-05-21 11:33:26)
ALICE:9/26玉山水單匯入USD16657沖PI-20190704A USD655.沖PI-20190704A-F USD96.沖PI20190717E USD11479.沖PI-20190726B USD4245.沖PI-20190726B-F 182總沖16657</t>
        </r>
      </text>
    </comment>
    <comment ref="H5086" authorId="0" shapeId="0" xr:uid="{A58DDE64-A3F7-0F4C-A598-F0D098F7E456}">
      <text>
        <r>
          <rPr>
            <sz val="10"/>
            <color rgb="FF000000"/>
            <rFont val="Aptos Narrow"/>
            <scheme val="minor"/>
          </rPr>
          <t>======
ID#AAABjx7qN_o
    (2025-05-21 11:33:24)
alice:7/23水單匯入USD1020</t>
        </r>
      </text>
    </comment>
    <comment ref="J5086" authorId="0" shapeId="0" xr:uid="{75F9AE41-AD6E-4547-A2E9-986D6CB4C29E}">
      <text>
        <r>
          <rPr>
            <sz val="10"/>
            <color rgb="FF000000"/>
            <rFont val="Aptos Narrow"/>
            <scheme val="minor"/>
          </rPr>
          <t>======
ID#AAABjx7qSGU
    (2025-05-21 11:33:26)
AMY:EORI-Number DE7019688, on Shipping Mark</t>
        </r>
      </text>
    </comment>
    <comment ref="H5087" authorId="0" shapeId="0" xr:uid="{9A6CC43C-8C77-7644-8647-4EA34D4881B9}">
      <text>
        <r>
          <rPr>
            <sz val="10"/>
            <color rgb="FF000000"/>
            <rFont val="Aptos Narrow"/>
            <scheme val="minor"/>
          </rPr>
          <t>======
ID#AAABjx7qQFU
    (2025-05-21 11:33:25)
ALICE:8/27玉山銀行匯入USD9443沖PI-20190604A.PI-20190628A.PI-20190604A-F合計共USD9443元整</t>
        </r>
      </text>
    </comment>
    <comment ref="J5087" authorId="0" shapeId="0" xr:uid="{7121C8A4-1AE1-D84E-8228-56F8D7EE0A07}">
      <text>
        <r>
          <rPr>
            <sz val="10"/>
            <color rgb="FF000000"/>
            <rFont val="Aptos Narrow"/>
            <scheme val="minor"/>
          </rPr>
          <t>======
ID#AAABjx7qQbA
SHIPPING  AS BELOW    (2025-05-21 11:33:25)
103A Mary Street, Richmond, VIC, 3121, Australia
Contact: Jim MacDouall
Phone: +61 417 714 528</t>
        </r>
      </text>
    </comment>
    <comment ref="D5088" authorId="0" shapeId="0" xr:uid="{FBDF0229-7193-374D-9512-4E7B0576555C}">
      <text>
        <r>
          <rPr>
            <sz val="10"/>
            <color rgb="FF000000"/>
            <rFont val="Aptos Narrow"/>
            <scheme val="minor"/>
          </rPr>
          <t>======
ID#AAABjx7qM3U
    (2025-05-21 11:33:23)
7/8請 chloe 協助下單</t>
        </r>
      </text>
    </comment>
    <comment ref="H5088" authorId="0" shapeId="0" xr:uid="{0BAD697B-0B77-224F-825A-665EA6D75F95}">
      <text>
        <r>
          <rPr>
            <sz val="10"/>
            <color rgb="FF000000"/>
            <rFont val="Aptos Narrow"/>
            <scheme val="minor"/>
          </rPr>
          <t>======
ID#AAABjx7qWQc
    (2025-05-21 11:33:27)
Alice:8/8-水單匯入USD4555元整，沖PI-20190708A 2540.PI-20190711A 1355.PI-20190712A 660</t>
        </r>
      </text>
    </comment>
    <comment ref="K5088" authorId="0" shapeId="0" xr:uid="{4B1405FD-32B0-3F46-8E7C-280B80E60657}">
      <text>
        <r>
          <rPr>
            <sz val="10"/>
            <color rgb="FF000000"/>
            <rFont val="Aptos Narrow"/>
            <scheme val="minor"/>
          </rPr>
          <t>======
ID#AAABjx7qVMY
    (2025-05-21 11:33:27)
0722 Santiago同意先出貨。</t>
        </r>
      </text>
    </comment>
    <comment ref="D5089" authorId="0" shapeId="0" xr:uid="{98567A32-5BD4-F941-8F75-58A576393B71}">
      <text>
        <r>
          <rPr>
            <sz val="10"/>
            <color rgb="FF000000"/>
            <rFont val="Aptos Narrow"/>
            <scheme val="minor"/>
          </rPr>
          <t>======
ID#AAABjx7qPuI
    (2025-05-21 11:33:24)
7/8請 chloe 協助下單</t>
        </r>
      </text>
    </comment>
    <comment ref="H5089" authorId="0" shapeId="0" xr:uid="{2A963A8E-8C91-A74D-914C-41969743D120}">
      <text>
        <r>
          <rPr>
            <sz val="10"/>
            <color rgb="FF000000"/>
            <rFont val="Aptos Narrow"/>
            <scheme val="minor"/>
          </rPr>
          <t>======
ID#AAABjx7qQ24
    (2025-05-21 11:33:25)
Alice:8/8-水單匯入USD4555元整，沖PI-20190708A 2540.PI-20190711A 1355.PI-20190712A 660</t>
        </r>
      </text>
    </comment>
    <comment ref="K5089" authorId="0" shapeId="0" xr:uid="{71F18C23-E8F7-F147-9EEA-2AB6E62AE58A}">
      <text>
        <r>
          <rPr>
            <sz val="10"/>
            <color rgb="FF000000"/>
            <rFont val="Aptos Narrow"/>
            <scheme val="minor"/>
          </rPr>
          <t>======
ID#AAABjx7qRy4
    (2025-05-21 11:33:25)
0722 Santiago同意先出貨。</t>
        </r>
      </text>
    </comment>
    <comment ref="D5090" authorId="0" shapeId="0" xr:uid="{BF537FF9-88DD-8B4E-BDBB-2B5F58A786B7}">
      <text>
        <r>
          <rPr>
            <sz val="10"/>
            <color rgb="FF000000"/>
            <rFont val="Aptos Narrow"/>
            <scheme val="minor"/>
          </rPr>
          <t>======
ID#AAABjx7qVio
    (2025-05-21 11:33:27)
7/8請 chloe 協助下單</t>
        </r>
      </text>
    </comment>
    <comment ref="H5090" authorId="0" shapeId="0" xr:uid="{09963DFF-DD0A-E84D-8CD6-E8F2F88AB2AF}">
      <text>
        <r>
          <rPr>
            <sz val="10"/>
            <color rgb="FF000000"/>
            <rFont val="Aptos Narrow"/>
            <scheme val="minor"/>
          </rPr>
          <t>======
ID#AAABjx7qTkU
    (2025-05-21 11:33:26)
Alice:8/8-水單匯入USD4555元整，沖PI-20190708A 2540.PI-20190711A 1355.PI-20190712A 660</t>
        </r>
      </text>
    </comment>
    <comment ref="K5090" authorId="0" shapeId="0" xr:uid="{56F903CB-E756-D34D-B65D-39627D60F808}">
      <text>
        <r>
          <rPr>
            <sz val="10"/>
            <color rgb="FF000000"/>
            <rFont val="Aptos Narrow"/>
            <scheme val="minor"/>
          </rPr>
          <t>======
ID#AAABjx7qU9Q
    (2025-05-21 11:33:27)
0722 Santiago同意先出貨。</t>
        </r>
      </text>
    </comment>
    <comment ref="H5091" authorId="0" shapeId="0" xr:uid="{FEA329A2-9E7F-E343-8F4F-B0655C6E0B2F}">
      <text>
        <r>
          <rPr>
            <sz val="10"/>
            <color rgb="FF000000"/>
            <rFont val="Aptos Narrow"/>
            <scheme val="minor"/>
          </rPr>
          <t>======
ID#AAABjx7qWOg
    (2025-05-21 11:33:27)
ALICE:7/9玉山銀行通知水單匯入USD40</t>
        </r>
      </text>
    </comment>
    <comment ref="H5092" authorId="0" shapeId="0" xr:uid="{B35151FB-4F5D-C44E-858A-F9C59CA0C873}">
      <text>
        <r>
          <rPr>
            <sz val="10"/>
            <color rgb="FF000000"/>
            <rFont val="Aptos Narrow"/>
            <scheme val="minor"/>
          </rPr>
          <t>======
ID#AAABjx7qQ5o
    (2025-05-21 11:33:25)
alice:7/12-水單匯入USD831沖PI-20190710B</t>
        </r>
      </text>
    </comment>
    <comment ref="D5093" authorId="0" shapeId="0" xr:uid="{F2B01B5E-3671-9642-9CE3-59B82685FF36}">
      <text>
        <r>
          <rPr>
            <sz val="10"/>
            <color rgb="FF000000"/>
            <rFont val="Aptos Narrow"/>
            <scheme val="minor"/>
          </rPr>
          <t>======
ID#AAABj82dpG0
    (2025-05-21 11:33:23)
0711 請Chloe協助下單</t>
        </r>
      </text>
    </comment>
    <comment ref="H5093" authorId="0" shapeId="0" xr:uid="{8B675056-0F65-9445-A6D4-A25065A503FB}">
      <text>
        <r>
          <rPr>
            <sz val="10"/>
            <color rgb="FF000000"/>
            <rFont val="Aptos Narrow"/>
            <scheme val="minor"/>
          </rPr>
          <t>======
ID#AAABjx7qQfs
    (2025-05-21 11:33:25)
Alice:8/8-水單匯入USD4555元整，沖PI-20190708A 2540.PI-20190711A 1355.PI-20190712A 660</t>
        </r>
      </text>
    </comment>
    <comment ref="K5093" authorId="0" shapeId="0" xr:uid="{9E7414DE-8BFF-9E4B-A795-7135B3A25C6F}">
      <text>
        <r>
          <rPr>
            <sz val="10"/>
            <color rgb="FF000000"/>
            <rFont val="Aptos Narrow"/>
            <scheme val="minor"/>
          </rPr>
          <t>======
ID#AAABjx7qP3s
    (2025-05-21 11:33:24)
0722 Santiago同意先出貨。</t>
        </r>
      </text>
    </comment>
    <comment ref="D5094" authorId="0" shapeId="0" xr:uid="{0428826F-6815-644A-A876-BD8D6FF3257F}">
      <text>
        <r>
          <rPr>
            <sz val="10"/>
            <color rgb="FF000000"/>
            <rFont val="Aptos Narrow"/>
            <scheme val="minor"/>
          </rPr>
          <t>======
ID#AAABjx7qU3k
    (2025-05-21 11:33:26)
0711 請Chloe協助下單</t>
        </r>
      </text>
    </comment>
    <comment ref="H5094" authorId="0" shapeId="0" xr:uid="{1E2B713A-8640-EF45-B614-7EE82B70ABA9}">
      <text>
        <r>
          <rPr>
            <sz val="10"/>
            <color rgb="FF000000"/>
            <rFont val="Aptos Narrow"/>
            <scheme val="minor"/>
          </rPr>
          <t>======
ID#AAABjx7qVQs
    (2025-05-21 11:33:27)
Alice:8/8-水單匯入USD4555元整，沖PI-20190708A 2540.PI-20190711A 1355.PI-20190712A 660</t>
        </r>
      </text>
    </comment>
    <comment ref="K5094" authorId="0" shapeId="0" xr:uid="{24131EA4-9F75-0144-8083-F31D6375A633}">
      <text>
        <r>
          <rPr>
            <sz val="10"/>
            <color rgb="FF000000"/>
            <rFont val="Aptos Narrow"/>
            <scheme val="minor"/>
          </rPr>
          <t>======
ID#AAABjx7qSho
    (2025-05-21 11:33:26)
0722 Santiago同意先出貨。</t>
        </r>
      </text>
    </comment>
    <comment ref="D5095" authorId="0" shapeId="0" xr:uid="{225FA954-729A-444D-8836-13E0B7CF9275}">
      <text>
        <r>
          <rPr>
            <sz val="10"/>
            <color rgb="FF000000"/>
            <rFont val="Aptos Narrow"/>
            <scheme val="minor"/>
          </rPr>
          <t>======
ID#AAABjx7qMrk
    (2025-05-21 11:33:23)
0711 請Chloe協助下單</t>
        </r>
      </text>
    </comment>
    <comment ref="H5095" authorId="0" shapeId="0" xr:uid="{1DE1CB4D-BB63-2446-A12A-34EC0D1C6350}">
      <text>
        <r>
          <rPr>
            <sz val="10"/>
            <color rgb="FF000000"/>
            <rFont val="Aptos Narrow"/>
            <scheme val="minor"/>
          </rPr>
          <t>======
ID#AAABjx7qNwM
    (2025-05-21 11:33:23)
Alice:8/8-水單匯入USD4555元整，沖PI-20190708A 2540.PI-20190711A 1355.PI-20190712A 660</t>
        </r>
      </text>
    </comment>
    <comment ref="K5095" authorId="0" shapeId="0" xr:uid="{84E3A733-024B-F843-8EE0-9A954F0C8D40}">
      <text>
        <r>
          <rPr>
            <sz val="10"/>
            <color rgb="FF000000"/>
            <rFont val="Aptos Narrow"/>
            <scheme val="minor"/>
          </rPr>
          <t>======
ID#AAABjx7qVIA
    (2025-05-21 11:33:27)
0722 Santiago同意先出貨。</t>
        </r>
      </text>
    </comment>
    <comment ref="H5096" authorId="0" shapeId="0" xr:uid="{17E63567-6A0A-A445-A1FC-A77A15978DD4}">
      <text>
        <r>
          <rPr>
            <sz val="10"/>
            <color rgb="FF000000"/>
            <rFont val="Aptos Narrow"/>
            <scheme val="minor"/>
          </rPr>
          <t>======
ID#AAABjx7qM68
    (2025-05-21 11:33:23)
ALICE:2019/08/14匯入USD60</t>
        </r>
      </text>
    </comment>
    <comment ref="D5097" authorId="0" shapeId="0" xr:uid="{B90204F7-8959-9E45-9443-C384B5E1750C}">
      <text>
        <r>
          <rPr>
            <sz val="10"/>
            <color rgb="FF000000"/>
            <rFont val="Aptos Narrow"/>
            <scheme val="minor"/>
          </rPr>
          <t>======
ID#AAABjx7qOZs
    (2025-05-21 11:33:24)
0712 請chloe協助下單</t>
        </r>
      </text>
    </comment>
    <comment ref="H5097" authorId="0" shapeId="0" xr:uid="{9273C112-BC7E-A34D-91B7-190FCF42D9B1}">
      <text>
        <r>
          <rPr>
            <sz val="10"/>
            <color rgb="FF000000"/>
            <rFont val="Aptos Narrow"/>
            <scheme val="minor"/>
          </rPr>
          <t>======
ID#AAABjx7qV-4
    (2025-05-21 11:33:27)
Alice:8/8-水單匯入USD4555元整，沖PI-20190708A 2540.PI-20190711A 1355.PI-20190712A 660</t>
        </r>
      </text>
    </comment>
    <comment ref="K5097" authorId="0" shapeId="0" xr:uid="{E91D5DAD-83B0-9249-9D9B-70CC016DBC12}">
      <text>
        <r>
          <rPr>
            <sz val="10"/>
            <color rgb="FF000000"/>
            <rFont val="Aptos Narrow"/>
            <scheme val="minor"/>
          </rPr>
          <t>======
ID#AAABjx7qNLk
    (2025-05-21 11:33:23)
0722 Santiago同意先出貨。</t>
        </r>
      </text>
    </comment>
    <comment ref="H5098" authorId="0" shapeId="0" xr:uid="{C5AF3085-490B-0041-9472-E87F7B389607}">
      <text>
        <r>
          <rPr>
            <sz val="10"/>
            <color rgb="FF000000"/>
            <rFont val="Aptos Narrow"/>
            <scheme val="minor"/>
          </rPr>
          <t>======
ID#AAABjx7qVds
    (2025-05-21 11:33:27)
ALICE:8/30玉山銀行水單匯入USD603元整，沖PI-20190715A USD135+沖PI-20190722D USD468=合計總沖USD603元整</t>
        </r>
      </text>
    </comment>
    <comment ref="E5099" authorId="0" shapeId="0" xr:uid="{3978E8C6-E71B-3E4A-94B6-5CFAB621CFCD}">
      <text>
        <r>
          <rPr>
            <sz val="10"/>
            <color rgb="FF000000"/>
            <rFont val="Aptos Narrow"/>
            <scheme val="minor"/>
          </rPr>
          <t>======
ID#AAABjx7qOS8
    (2025-05-21 11:33:24)
下單請用FPM2150GR3B1601E-T
出貨文件上秀:
FPM-2150G-R3BE
(FPM2150GRB1601E-T)</t>
        </r>
      </text>
    </comment>
    <comment ref="H5099" authorId="0" shapeId="0" xr:uid="{CF39B2E2-E211-BD4E-9A94-9563486532FE}">
      <text>
        <r>
          <rPr>
            <sz val="10"/>
            <color rgb="FF000000"/>
            <rFont val="Aptos Narrow"/>
            <scheme val="minor"/>
          </rPr>
          <t>======
ID#AAABjx7qPRs
    (2025-05-21 11:33:24)
ALICE:9/25玉山水單USD652沖PI-20190805A USD652元整</t>
        </r>
      </text>
    </comment>
    <comment ref="H5100" authorId="0" shapeId="0" xr:uid="{CE883716-C75C-AC45-AFFB-FCF514AC2D6B}">
      <text>
        <r>
          <rPr>
            <sz val="10"/>
            <color rgb="FF000000"/>
            <rFont val="Aptos Narrow"/>
            <scheme val="minor"/>
          </rPr>
          <t>======
ID#AAABjx7qTOs
    (2025-05-21 11:33:26)
ALICE:9/25玉山水單USD652沖PI-20190805A USD652元整</t>
        </r>
      </text>
    </comment>
    <comment ref="H5102" authorId="0" shapeId="0" xr:uid="{A771D69A-B972-D041-98F4-B1C6EE74AE8A}">
      <text>
        <r>
          <rPr>
            <sz val="10"/>
            <color rgb="FF000000"/>
            <rFont val="Aptos Narrow"/>
            <scheme val="minor"/>
          </rPr>
          <t>======
ID#AAABjx7qNvw
    (2025-05-21 11:33:23)
alice:11/19-一銀Hatteland電文通知匯入USD58800 沖PI-20190717A USD58800</t>
        </r>
      </text>
    </comment>
    <comment ref="J5102" authorId="0" shapeId="0" xr:uid="{D5C3D1FF-CF55-B64D-8D39-5E0CE8FCBAB4}">
      <text>
        <r>
          <rPr>
            <sz val="10"/>
            <color rgb="FF000000"/>
            <rFont val="Aptos Narrow"/>
            <scheme val="minor"/>
          </rPr>
          <t>======
ID#AAABjx7qVSk
    (2025-05-21 11:33:27)
190717 Tammy: 收到貨款後, 才出貨</t>
        </r>
      </text>
    </comment>
    <comment ref="H5103" authorId="0" shapeId="0" xr:uid="{2DB05261-ADBD-E44E-B647-9E8B8E71B939}">
      <text>
        <r>
          <rPr>
            <sz val="10"/>
            <color rgb="FF000000"/>
            <rFont val="Aptos Narrow"/>
            <scheme val="minor"/>
          </rPr>
          <t>======
ID#AAABjx7qROo
    (2025-05-21 11:33:25)
alice:11/19-一銀Hatteland電文通知匯入USD58800 沖PI-20190717A USD58800</t>
        </r>
      </text>
    </comment>
    <comment ref="J5103" authorId="0" shapeId="0" xr:uid="{F2A72506-8D61-594D-891D-46B562A2DB7B}">
      <text>
        <r>
          <rPr>
            <sz val="10"/>
            <color rgb="FF000000"/>
            <rFont val="Aptos Narrow"/>
            <scheme val="minor"/>
          </rPr>
          <t>======
ID#AAABjx7qU-Q
    (2025-05-21 11:33:27)
190717 Tammy: 收到貨款後, 才出貨</t>
        </r>
      </text>
    </comment>
    <comment ref="H5104" authorId="0" shapeId="0" xr:uid="{C0B29DD4-505F-7F43-9282-ACA6495C3B00}">
      <text>
        <r>
          <rPr>
            <sz val="10"/>
            <color rgb="FF000000"/>
            <rFont val="Aptos Narrow"/>
            <scheme val="minor"/>
          </rPr>
          <t>======
ID#AAABjx7qSco
    (2025-05-21 11:33:26)
alice:11/19-一銀Hatteland電文通知匯入USD58800 沖PI-20190717A USD58800</t>
        </r>
      </text>
    </comment>
    <comment ref="J5104" authorId="0" shapeId="0" xr:uid="{0CF557FA-331F-FA41-96BD-4B502D468B12}">
      <text>
        <r>
          <rPr>
            <sz val="10"/>
            <color rgb="FF000000"/>
            <rFont val="Aptos Narrow"/>
            <scheme val="minor"/>
          </rPr>
          <t>======
ID#AAABjx7qVFQ
    (2025-05-21 11:33:27)
190717 Tammy: 收到貨款後, 才出貨</t>
        </r>
      </text>
    </comment>
    <comment ref="D5105" authorId="0" shapeId="0" xr:uid="{4274C7EB-32E6-4949-84A8-2EBC6C934FDB}">
      <text>
        <r>
          <rPr>
            <sz val="10"/>
            <color rgb="FF000000"/>
            <rFont val="Aptos Narrow"/>
            <scheme val="minor"/>
          </rPr>
          <t>======
ID#AAABjx7qOvY
    (2025-05-21 11:33:24)
190109 Tammy: 抽驗即可, 謝謝</t>
        </r>
      </text>
    </comment>
    <comment ref="H5105" authorId="0" shapeId="0" xr:uid="{3FB982B4-33E7-7240-8E06-32044D65C7D8}">
      <text>
        <r>
          <rPr>
            <sz val="10"/>
            <color rgb="FF000000"/>
            <rFont val="Aptos Narrow"/>
            <scheme val="minor"/>
          </rPr>
          <t>======
ID#AAABjx7qOUc
    (2025-05-21 11:33:24)
alice:11/19-一銀Hatteland電文通知匯入USD58800 沖PI-20190717A USD58800</t>
        </r>
      </text>
    </comment>
    <comment ref="J5105" authorId="0" shapeId="0" xr:uid="{DE2C5297-2298-A543-9C29-AECE9EFD33BB}">
      <text>
        <r>
          <rPr>
            <sz val="10"/>
            <color rgb="FF000000"/>
            <rFont val="Aptos Narrow"/>
            <scheme val="minor"/>
          </rPr>
          <t>======
ID#AAABjx7qRTU
    (2025-05-21 11:33:25)
190717 Tammy: 收到貨款後, 才出貨</t>
        </r>
      </text>
    </comment>
    <comment ref="G5106" authorId="0" shapeId="0" xr:uid="{8C7BCE8C-DD4F-D544-8E0F-37C65CDF5487}">
      <text>
        <r>
          <rPr>
            <sz val="10"/>
            <color rgb="FF000000"/>
            <rFont val="Aptos Narrow"/>
            <scheme val="minor"/>
          </rPr>
          <t>======
ID#AAABjx7qQoE
    (2025-05-21 11:33:25)
190718 Tammy: w/5%</t>
        </r>
      </text>
    </comment>
    <comment ref="H5106" authorId="0" shapeId="0" xr:uid="{17B20F54-79A7-DC4C-80D4-BF786A77CE16}">
      <text>
        <r>
          <rPr>
            <sz val="10"/>
            <color rgb="FF000000"/>
            <rFont val="Aptos Narrow"/>
            <scheme val="minor"/>
          </rPr>
          <t>======
ID#AAABjx7qN_c
    (2025-05-21 11:33:24)
ALICE:8/22玉山銀行匯入NT1,596,000+NT1,978=NT1,597,978元整，沖PI-20190717C NT1,586,124 ，沖PI-20190813C NT11,854</t>
        </r>
      </text>
    </comment>
    <comment ref="K5106" authorId="0" shapeId="0" xr:uid="{A5551FF3-94A5-E148-954F-127C6DCC6AF2}">
      <text>
        <r>
          <rPr>
            <sz val="10"/>
            <color rgb="FF000000"/>
            <rFont val="Aptos Narrow"/>
            <scheme val="minor"/>
          </rPr>
          <t>======
ID#AAABjx7qRIY
    (2025-05-21 11:33:25)
190718 Tammy: 發票寄出前，請先提供確認，謝謝。</t>
        </r>
      </text>
    </comment>
    <comment ref="G5107" authorId="0" shapeId="0" xr:uid="{AB345DD8-C15E-B042-8712-D09F55715A02}">
      <text>
        <r>
          <rPr>
            <sz val="10"/>
            <color rgb="FF000000"/>
            <rFont val="Aptos Narrow"/>
            <scheme val="minor"/>
          </rPr>
          <t>======
ID#AAABjx7qMxw
    (2025-05-21 11:33:23)
190718 Tammy: w/5%</t>
        </r>
      </text>
    </comment>
    <comment ref="H5107" authorId="0" shapeId="0" xr:uid="{860BA68C-C82F-D64E-9E59-4187CD0B5559}">
      <text>
        <r>
          <rPr>
            <sz val="10"/>
            <color rgb="FF000000"/>
            <rFont val="Aptos Narrow"/>
            <scheme val="minor"/>
          </rPr>
          <t>======
ID#AAABjx7qQ8k
    (2025-05-21 11:33:25)
ALICE:8/22玉山銀行匯入NT1,596,000+NT1,978=NT1,597,978元整，沖PI-20190717C NT1,586,124 ，沖PI-20190813C NT11,854</t>
        </r>
      </text>
    </comment>
    <comment ref="K5107" authorId="0" shapeId="0" xr:uid="{F9CB58BD-7526-A248-A819-797E2A153F29}">
      <text>
        <r>
          <rPr>
            <sz val="10"/>
            <color rgb="FF000000"/>
            <rFont val="Aptos Narrow"/>
            <scheme val="minor"/>
          </rPr>
          <t>======
ID#AAABjx7qOpw
    (2025-05-21 11:33:24)
190718 Tammy: 發票寄出前，請先提供確認，謝謝。</t>
        </r>
      </text>
    </comment>
    <comment ref="G5108" authorId="0" shapeId="0" xr:uid="{D3098BF7-CED6-2A40-A012-4346CD76EE20}">
      <text>
        <r>
          <rPr>
            <sz val="10"/>
            <color rgb="FF000000"/>
            <rFont val="Aptos Narrow"/>
            <scheme val="minor"/>
          </rPr>
          <t>======
ID#AAABjx7qNI4
    (2025-05-21 11:33:23)
190718 Tammy: w/5%</t>
        </r>
      </text>
    </comment>
    <comment ref="H5108" authorId="0" shapeId="0" xr:uid="{75CEFB39-5EB7-F845-9C03-EC24AF4185FA}">
      <text>
        <r>
          <rPr>
            <sz val="10"/>
            <color rgb="FF000000"/>
            <rFont val="Aptos Narrow"/>
            <scheme val="minor"/>
          </rPr>
          <t>======
ID#AAABjx7qNm0
    (2025-05-21 11:33:23)
ALICE:8/22玉山銀行匯入NT1,596,000+NT1,978=NT1,597,978元整，沖PI-20190717C NT1,586,124 ，沖PI-20190813C NT11,854</t>
        </r>
      </text>
    </comment>
    <comment ref="K5108" authorId="0" shapeId="0" xr:uid="{BA0679D3-48A5-2746-98D5-438980246BA7}">
      <text>
        <r>
          <rPr>
            <sz val="10"/>
            <color rgb="FF000000"/>
            <rFont val="Aptos Narrow"/>
            <scheme val="minor"/>
          </rPr>
          <t>======
ID#AAABjx7qRQE
    (2025-05-21 11:33:25)
190718 Tammy: 發票寄出前，請先提供確認，謝謝。</t>
        </r>
      </text>
    </comment>
    <comment ref="G5109" authorId="0" shapeId="0" xr:uid="{BE72BBD5-0C1E-D848-B2E3-865D18A4A97F}">
      <text>
        <r>
          <rPr>
            <sz val="10"/>
            <color rgb="FF000000"/>
            <rFont val="Aptos Narrow"/>
            <scheme val="minor"/>
          </rPr>
          <t>======
ID#AAABjx7qNQY
    (2025-05-21 11:33:23)
190718 Tammy: w/5%</t>
        </r>
      </text>
    </comment>
    <comment ref="H5109" authorId="0" shapeId="0" xr:uid="{6A509D22-3D13-5549-A937-799F6229C47E}">
      <text>
        <r>
          <rPr>
            <sz val="10"/>
            <color rgb="FF000000"/>
            <rFont val="Aptos Narrow"/>
            <scheme val="minor"/>
          </rPr>
          <t>======
ID#AAABjx7qP9c
    (2025-05-21 11:33:25)
ALICE:8/22玉山銀行匯入NT1,596,000+NT1,978=NT1,597,978元整，沖PI-20190717C NT1,586,124 ，沖PI-20190813C NT11,854</t>
        </r>
      </text>
    </comment>
    <comment ref="K5109" authorId="0" shapeId="0" xr:uid="{38B9855F-CD82-0949-8F49-135160AD6A46}">
      <text>
        <r>
          <rPr>
            <sz val="10"/>
            <color rgb="FF000000"/>
            <rFont val="Aptos Narrow"/>
            <scheme val="minor"/>
          </rPr>
          <t>======
ID#AAABjx7qTsc
    (2025-05-21 11:33:26)
190718 Tammy: 發票寄出前，請先提供確認，謝謝。</t>
        </r>
      </text>
    </comment>
    <comment ref="G5110" authorId="0" shapeId="0" xr:uid="{A6E9CF3C-0E31-884B-BDDC-EF1A314FB19B}">
      <text>
        <r>
          <rPr>
            <sz val="10"/>
            <color rgb="FF000000"/>
            <rFont val="Aptos Narrow"/>
            <scheme val="minor"/>
          </rPr>
          <t>======
ID#AAABjx7qPNc
    (2025-05-21 11:33:24)
190718 Tammy: w/5%</t>
        </r>
      </text>
    </comment>
    <comment ref="H5110" authorId="0" shapeId="0" xr:uid="{CAF8F053-2431-894C-B66C-9DBDB52F4E40}">
      <text>
        <r>
          <rPr>
            <sz val="10"/>
            <color rgb="FF000000"/>
            <rFont val="Aptos Narrow"/>
            <scheme val="minor"/>
          </rPr>
          <t>======
ID#AAABjx7qUvs
    (2025-05-21 11:33:26)
ALICE:8/22玉山銀行匯入NT1,596,000+NT1,978=NT1,597,978元整，沖PI-20190717C NT1,586,124 ，沖PI-20190813C NT11,854</t>
        </r>
      </text>
    </comment>
    <comment ref="K5110" authorId="0" shapeId="0" xr:uid="{7C2BEF4C-76C8-D64C-B0F6-5CC579D5C882}">
      <text>
        <r>
          <rPr>
            <sz val="10"/>
            <color rgb="FF000000"/>
            <rFont val="Aptos Narrow"/>
            <scheme val="minor"/>
          </rPr>
          <t>======
ID#AAABjx7qSFg
    (2025-05-21 11:33:26)
190718 Tammy: 發票寄出前，請先提供確認，謝謝。</t>
        </r>
      </text>
    </comment>
    <comment ref="G5111" authorId="0" shapeId="0" xr:uid="{ED343E05-92F0-6E4B-9482-5FE89D9CE82B}">
      <text>
        <r>
          <rPr>
            <sz val="10"/>
            <color rgb="FF000000"/>
            <rFont val="Aptos Narrow"/>
            <scheme val="minor"/>
          </rPr>
          <t>======
ID#AAABjx7qSIo
    (2025-05-21 11:33:26)
190718 Tammy: w/5%</t>
        </r>
      </text>
    </comment>
    <comment ref="H5111" authorId="0" shapeId="0" xr:uid="{521EB6A6-EB0C-C44A-A818-F8907EA8CB23}">
      <text>
        <r>
          <rPr>
            <sz val="10"/>
            <color rgb="FF000000"/>
            <rFont val="Aptos Narrow"/>
            <scheme val="minor"/>
          </rPr>
          <t>======
ID#AAABjx7qVsM
    (2025-05-21 11:33:27)
ALICE:8/22玉山銀行匯入NT1,596,000+NT1,978=NT1,597,978元整，沖PI-20190717C NT1,586,124 ，沖PI-20190813C NT11,854</t>
        </r>
      </text>
    </comment>
    <comment ref="K5111" authorId="0" shapeId="0" xr:uid="{E30C5F63-C6A1-0847-AD0C-F31521315AF9}">
      <text>
        <r>
          <rPr>
            <sz val="10"/>
            <color rgb="FF000000"/>
            <rFont val="Aptos Narrow"/>
            <scheme val="minor"/>
          </rPr>
          <t>======
ID#AAABjx7qOew
    (2025-05-21 11:33:24)
190718 Tammy: 發票寄出前，請先提供確認，謝謝。</t>
        </r>
      </text>
    </comment>
    <comment ref="G5112" authorId="0" shapeId="0" xr:uid="{2EADD66B-B611-EE40-A25E-F9315EF5195B}">
      <text>
        <r>
          <rPr>
            <sz val="10"/>
            <color rgb="FF000000"/>
            <rFont val="Aptos Narrow"/>
            <scheme val="minor"/>
          </rPr>
          <t>======
ID#AAABjx7qNEI
    (2025-05-21 11:33:23)
190718 Tammy: w/5%</t>
        </r>
      </text>
    </comment>
    <comment ref="H5112" authorId="0" shapeId="0" xr:uid="{9199904C-0BB9-414B-8EB5-BE529F2388C9}">
      <text>
        <r>
          <rPr>
            <sz val="10"/>
            <color rgb="FF000000"/>
            <rFont val="Aptos Narrow"/>
            <scheme val="minor"/>
          </rPr>
          <t>======
ID#AAABjx7qSh8
    (2025-05-21 11:33:26)
ALICE:8/22玉山銀行匯入NT1,596,000+NT1,978=NT1,597,978元整，沖PI-20190717C NT1,586,124 ，沖PI-20190813C NT11,854</t>
        </r>
      </text>
    </comment>
    <comment ref="K5112" authorId="0" shapeId="0" xr:uid="{916A2BAE-0BE9-AA43-83B5-BDE396EF8208}">
      <text>
        <r>
          <rPr>
            <sz val="10"/>
            <color rgb="FF000000"/>
            <rFont val="Aptos Narrow"/>
            <scheme val="minor"/>
          </rPr>
          <t>======
ID#AAABjx7qVNY
    (2025-05-21 11:33:27)
190718 Tammy: 發票寄出前，請先提供確認，謝謝。</t>
        </r>
      </text>
    </comment>
    <comment ref="G5113" authorId="0" shapeId="0" xr:uid="{5F23BBD4-5F80-DC46-928D-9279C3A10533}">
      <text>
        <r>
          <rPr>
            <sz val="10"/>
            <color rgb="FF000000"/>
            <rFont val="Aptos Narrow"/>
            <scheme val="minor"/>
          </rPr>
          <t>======
ID#AAABjx7qMwc
    (2025-05-21 11:33:23)
190718 Tammy: w/5%</t>
        </r>
      </text>
    </comment>
    <comment ref="H5113" authorId="0" shapeId="0" xr:uid="{67FB8C5F-4406-EF48-A282-183C26C8DB74}">
      <text>
        <r>
          <rPr>
            <sz val="10"/>
            <color rgb="FF000000"/>
            <rFont val="Aptos Narrow"/>
            <scheme val="minor"/>
          </rPr>
          <t>======
ID#AAABjx7qQVg
    (2025-05-21 11:33:25)
ALICE:8/22玉山銀行匯入NT1,596,000+NT1,978=NT1,597,978元整，沖PI-20190717C NT1,586,124 ，沖PI-20190813C NT11,854</t>
        </r>
      </text>
    </comment>
    <comment ref="K5113" authorId="0" shapeId="0" xr:uid="{2782868B-4F57-EE42-B672-1045CDD00D57}">
      <text>
        <r>
          <rPr>
            <sz val="10"/>
            <color rgb="FF000000"/>
            <rFont val="Aptos Narrow"/>
            <scheme val="minor"/>
          </rPr>
          <t>======
ID#AAABjx7qWYA
    (2025-05-21 11:33:27)
190718 Tammy: 發票寄出前，請先提供確認，謝謝。</t>
        </r>
      </text>
    </comment>
    <comment ref="G5114" authorId="0" shapeId="0" xr:uid="{2100E98D-8209-4F4A-8062-A130F2B5C5EE}">
      <text>
        <r>
          <rPr>
            <sz val="10"/>
            <color rgb="FF000000"/>
            <rFont val="Aptos Narrow"/>
            <scheme val="minor"/>
          </rPr>
          <t>======
ID#AAABjx7qVxI
    (2025-05-21 11:33:27)
190718 Tammy: w/5%</t>
        </r>
      </text>
    </comment>
    <comment ref="H5114" authorId="0" shapeId="0" xr:uid="{96D86D93-2C11-994F-BA3B-B3660D3D90FD}">
      <text>
        <r>
          <rPr>
            <sz val="10"/>
            <color rgb="FF000000"/>
            <rFont val="Aptos Narrow"/>
            <scheme val="minor"/>
          </rPr>
          <t>======
ID#AAABjx7qVqA
    (2025-05-21 11:33:27)
ALICE:8/22玉山銀行匯入NT1,596,000+NT1,978=NT1,597,978元整，沖PI-20190717C NT1,586,124 ，沖PI-20190813C NT11,854</t>
        </r>
      </text>
    </comment>
    <comment ref="K5114" authorId="0" shapeId="0" xr:uid="{83C7BDD6-42BC-6346-92ED-E5E699F9BFFC}">
      <text>
        <r>
          <rPr>
            <sz val="10"/>
            <color rgb="FF000000"/>
            <rFont val="Aptos Narrow"/>
            <scheme val="minor"/>
          </rPr>
          <t>======
ID#AAABjx7qVwA
    (2025-05-21 11:33:27)
190718 Tammy: 發票寄出前，請先提供確認，謝謝。</t>
        </r>
      </text>
    </comment>
    <comment ref="G5115" authorId="0" shapeId="0" xr:uid="{5EE0E3E2-62CC-1749-A80B-51180D9FF766}">
      <text>
        <r>
          <rPr>
            <sz val="10"/>
            <color rgb="FF000000"/>
            <rFont val="Aptos Narrow"/>
            <scheme val="minor"/>
          </rPr>
          <t>======
ID#AAABjx7qNQw
    (2025-05-21 11:33:23)
190718 Tammy: w/5%</t>
        </r>
      </text>
    </comment>
    <comment ref="H5115" authorId="0" shapeId="0" xr:uid="{B58DEA5E-E474-0B41-8765-1BAF204249AB}">
      <text>
        <r>
          <rPr>
            <sz val="10"/>
            <color rgb="FF000000"/>
            <rFont val="Aptos Narrow"/>
            <scheme val="minor"/>
          </rPr>
          <t>======
ID#AAABjx7qOIw
    (2025-05-21 11:33:24)
ALICE:8/22玉山銀行匯入NT1,596,000+NT1,978=NT1,597,978元整，沖PI-20190717C NT1,586,124 ，沖PI-20190813C NT11,854</t>
        </r>
      </text>
    </comment>
    <comment ref="K5115" authorId="0" shapeId="0" xr:uid="{4078D402-3DB9-9F4F-8514-CDD494322BAB}">
      <text>
        <r>
          <rPr>
            <sz val="10"/>
            <color rgb="FF000000"/>
            <rFont val="Aptos Narrow"/>
            <scheme val="minor"/>
          </rPr>
          <t>======
ID#AAABjx7qRQ4
    (2025-05-21 11:33:25)
190718 Tammy: 發票寄出前，請先提供確認，謝謝。</t>
        </r>
      </text>
    </comment>
    <comment ref="G5116" authorId="0" shapeId="0" xr:uid="{69430C91-311D-0448-AF27-825C16718AA0}">
      <text>
        <r>
          <rPr>
            <sz val="10"/>
            <color rgb="FF000000"/>
            <rFont val="Aptos Narrow"/>
            <scheme val="minor"/>
          </rPr>
          <t>======
ID#AAABjx7qWT4
    (2025-05-21 11:33:27)
190718 Tammy: w/5%</t>
        </r>
      </text>
    </comment>
    <comment ref="H5116" authorId="0" shapeId="0" xr:uid="{7457DAA8-4013-FE4C-BF57-9B35FEC14306}">
      <text>
        <r>
          <rPr>
            <sz val="10"/>
            <color rgb="FF000000"/>
            <rFont val="Aptos Narrow"/>
            <scheme val="minor"/>
          </rPr>
          <t>======
ID#AAABjx7qSUA
    (2025-05-21 11:33:26)
ALICE:8/22玉山銀行匯入NT1,596,000+NT1,978=NT1,597,978元整，沖PI-20190717C NT1,586,124 ，沖PI-20190813C NT11,854</t>
        </r>
      </text>
    </comment>
    <comment ref="K5116" authorId="0" shapeId="0" xr:uid="{6F5AB5ED-A1DB-D441-B1BD-DBDD2942BEA8}">
      <text>
        <r>
          <rPr>
            <sz val="10"/>
            <color rgb="FF000000"/>
            <rFont val="Aptos Narrow"/>
            <scheme val="minor"/>
          </rPr>
          <t>======
ID#AAABj82dpQc
    (2025-05-21 11:33:23)
190718 Tammy: 發票寄出前，請先提供確認，謝謝。</t>
        </r>
      </text>
    </comment>
    <comment ref="G5117" authorId="0" shapeId="0" xr:uid="{2C517B3B-59E5-5345-A2D3-CB2097D33CB2}">
      <text>
        <r>
          <rPr>
            <sz val="10"/>
            <color rgb="FF000000"/>
            <rFont val="Aptos Narrow"/>
            <scheme val="minor"/>
          </rPr>
          <t>======
ID#AAABjx7qOyU
    (2025-05-21 11:33:24)
190718 Tammy: w/5%</t>
        </r>
      </text>
    </comment>
    <comment ref="H5117" authorId="0" shapeId="0" xr:uid="{BCBB41AF-BDAD-E34B-8D02-DEE655972A24}">
      <text>
        <r>
          <rPr>
            <sz val="10"/>
            <color rgb="FF000000"/>
            <rFont val="Aptos Narrow"/>
            <scheme val="minor"/>
          </rPr>
          <t>======
ID#AAABj82dpPk
    (2025-05-21 11:33:23)
ALICE:8/22玉山銀行匯入NT1,596,000+NT1,978=NT1,597,978元整，沖PI-20190717C NT1,586,124 ，沖PI-20190813C NT11,854</t>
        </r>
      </text>
    </comment>
    <comment ref="K5117" authorId="0" shapeId="0" xr:uid="{CFBCE056-9DF5-A844-BC25-57927733821A}">
      <text>
        <r>
          <rPr>
            <sz val="10"/>
            <color rgb="FF000000"/>
            <rFont val="Aptos Narrow"/>
            <scheme val="minor"/>
          </rPr>
          <t>======
ID#AAABjx7qRQY
    (2025-05-21 11:33:25)
190718 Tammy: 發票寄出前，請先提供確認，謝謝。</t>
        </r>
      </text>
    </comment>
    <comment ref="H5119" authorId="0" shapeId="0" xr:uid="{11FDDCAA-B28F-554B-B856-249BC8E7DF54}">
      <text>
        <r>
          <rPr>
            <sz val="10"/>
            <color rgb="FF000000"/>
            <rFont val="Aptos Narrow"/>
            <scheme val="minor"/>
          </rPr>
          <t>======
ID#AAABjx7qPbM
    (2025-05-21 11:33:24)
ALICE:9/26玉山水單匯入USD16657沖PI-20190704A USD655.沖PI-20190704A-F USD96.沖PI20190717E USD11479.沖PI-20190726B USD4245.沖PI-20190726B-F 182總沖16657</t>
        </r>
      </text>
    </comment>
    <comment ref="H5120" authorId="0" shapeId="0" xr:uid="{3B6B1233-F94D-8B42-A4E7-9D166B2AC664}">
      <text>
        <r>
          <rPr>
            <sz val="10"/>
            <color rgb="FF000000"/>
            <rFont val="Aptos Narrow"/>
            <scheme val="minor"/>
          </rPr>
          <t>======
ID#AAABjx7qRBc
    (2025-05-21 11:33:25)
ALICE:9/26玉山水單匯入USD16657沖PI-20190704A USD655.沖PI-20190704A-F USD96.沖PI20190717E USD11479.沖PI-20190726B USD4245.沖PI-20190726B-F 182總沖16657</t>
        </r>
      </text>
    </comment>
    <comment ref="H5121" authorId="0" shapeId="0" xr:uid="{991C8AB2-2F31-DE46-A23D-115A96FC3372}">
      <text>
        <r>
          <rPr>
            <sz val="10"/>
            <color rgb="FF000000"/>
            <rFont val="Aptos Narrow"/>
            <scheme val="minor"/>
          </rPr>
          <t>======
ID#AAABjx7qTFU
    (2025-05-21 11:33:26)
ALICE:9/26玉山水單匯入USD16657沖PI-20190704A USD655.沖PI-20190704A-F USD96.沖PI20190717E USD11479.沖PI-20190726B USD4245.沖PI-20190726B-F 182總沖16657</t>
        </r>
      </text>
    </comment>
    <comment ref="H5122" authorId="0" shapeId="0" xr:uid="{628D1C13-3CAC-EE49-9909-40CCDC599022}">
      <text>
        <r>
          <rPr>
            <sz val="10"/>
            <color rgb="FF000000"/>
            <rFont val="Aptos Narrow"/>
            <scheme val="minor"/>
          </rPr>
          <t>======
ID#AAABjx7qNx4
    (2025-05-21 11:33:23)
ALICE:8/27玉山銀行匯入USD9443沖PI-20190604A.PI-20190628A.PI-20190604A-F合計共USD9443元整</t>
        </r>
      </text>
    </comment>
    <comment ref="D5123" authorId="0" shapeId="0" xr:uid="{1386BD12-197B-5A44-8007-3D53348E1D24}">
      <text>
        <r>
          <rPr>
            <sz val="10"/>
            <color rgb="FF000000"/>
            <rFont val="Aptos Narrow"/>
            <scheme val="minor"/>
          </rPr>
          <t>======
ID#AAABjx7qRoE
    (2025-05-21 11:33:25)
0719 請chloe 協助下單</t>
        </r>
      </text>
    </comment>
    <comment ref="H5123" authorId="0" shapeId="0" xr:uid="{524F65D5-65D4-EB49-A660-C59B5C61EC73}">
      <text>
        <r>
          <rPr>
            <sz val="10"/>
            <color rgb="FF000000"/>
            <rFont val="Aptos Narrow"/>
            <scheme val="minor"/>
          </rPr>
          <t>======
ID#AAABjx7qV1M
    (2025-05-21 11:33:27)
ALICE:9/10玉山匯入NT108650沖PI20190719A.PI-20190722B.PI-20190725A.PI20190813B</t>
        </r>
      </text>
    </comment>
    <comment ref="D5124" authorId="0" shapeId="0" xr:uid="{770B262A-9BBC-1C45-9857-D8B77E7FB914}">
      <text>
        <r>
          <rPr>
            <sz val="10"/>
            <color rgb="FF000000"/>
            <rFont val="Aptos Narrow"/>
            <scheme val="minor"/>
          </rPr>
          <t>======
ID#AAABjx7qSms
    (2025-05-21 11:33:26)
0719 請chloe 協助下單</t>
        </r>
      </text>
    </comment>
    <comment ref="H5124" authorId="0" shapeId="0" xr:uid="{5CBF16D6-B38D-3140-A233-E6637FCD30D7}">
      <text>
        <r>
          <rPr>
            <sz val="10"/>
            <color rgb="FF000000"/>
            <rFont val="Aptos Narrow"/>
            <scheme val="minor"/>
          </rPr>
          <t>======
ID#AAABjx7qM_0
    (2025-05-21 11:33:23)
ALICE:9/10玉山匯入NT108650沖PI20190719A.PI-20190722B.PI-20190725A.PI20190813B</t>
        </r>
      </text>
    </comment>
    <comment ref="D5125" authorId="0" shapeId="0" xr:uid="{D0E23189-1DE7-154F-BE72-CC2264EAF2F8}">
      <text>
        <r>
          <rPr>
            <sz val="10"/>
            <color rgb="FF000000"/>
            <rFont val="Aptos Narrow"/>
            <scheme val="minor"/>
          </rPr>
          <t>======
ID#AAABjx7qOdQ
    (2025-05-21 11:33:24)
20190604 Robin accept W/O AG、AR treatment this time</t>
        </r>
      </text>
    </comment>
    <comment ref="I5125" authorId="0" shapeId="0" xr:uid="{887C23B7-A846-214F-BC16-12CD1B93FC23}">
      <text>
        <r>
          <rPr>
            <sz val="10"/>
            <color rgb="FF000000"/>
            <rFont val="Aptos Narrow"/>
            <scheme val="minor"/>
          </rPr>
          <t>======
ID#AAABjx7qRko
    (2025-05-21 11:33:25)
Cathy/Santiago</t>
        </r>
      </text>
    </comment>
    <comment ref="D5126" authorId="0" shapeId="0" xr:uid="{3055FB0D-B665-0C46-85B2-B02C78038BBA}">
      <text>
        <r>
          <rPr>
            <sz val="10"/>
            <color rgb="FF000000"/>
            <rFont val="Aptos Narrow"/>
            <scheme val="minor"/>
          </rPr>
          <t>======
ID#AAABjx7qVq4
    (2025-05-21 11:33:27)
20190604 Robin accept W/O AG、AR treatment this time</t>
        </r>
      </text>
    </comment>
    <comment ref="H5126" authorId="0" shapeId="0" xr:uid="{6F626784-BF04-D040-9A31-3517DBD5104E}">
      <text>
        <r>
          <rPr>
            <sz val="10"/>
            <color rgb="FF000000"/>
            <rFont val="Aptos Narrow"/>
            <scheme val="minor"/>
          </rPr>
          <t>======
ID#AAABjx7qP7I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5126" authorId="0" shapeId="0" xr:uid="{35926F7A-88A2-8F4F-8FAD-94F1188EA3CB}">
      <text>
        <r>
          <rPr>
            <sz val="10"/>
            <color rgb="FF000000"/>
            <rFont val="Aptos Narrow"/>
            <scheme val="minor"/>
          </rPr>
          <t>======
ID#AAABjx7qNS8
    (2025-05-21 11:33:23)
Cathy/Santiago</t>
        </r>
      </text>
    </comment>
    <comment ref="D5127" authorId="0" shapeId="0" xr:uid="{50441A8A-38F5-5240-A8EA-9361C2234D0E}">
      <text>
        <r>
          <rPr>
            <sz val="10"/>
            <color rgb="FF000000"/>
            <rFont val="Aptos Narrow"/>
            <scheme val="minor"/>
          </rPr>
          <t>======
ID#AAABjx7qSlY
    (2025-05-21 11:33:26)
20190604 Robin accept W/O AG、AR treatment this time</t>
        </r>
      </text>
    </comment>
    <comment ref="H5127" authorId="0" shapeId="0" xr:uid="{658F78AB-ED80-9A49-89C8-DA009746705C}">
      <text>
        <r>
          <rPr>
            <sz val="10"/>
            <color rgb="FF000000"/>
            <rFont val="Aptos Narrow"/>
            <scheme val="minor"/>
          </rPr>
          <t>======
ID#AAABjx7qNM8
    (2025-05-21 11:33:23)
ALICE:1/7第一銀行USD3228 沖PI-20191007006 1501+PI-20191007007 USD1727+PI-20191128002 USD20總沖USD3248</t>
        </r>
      </text>
    </comment>
    <comment ref="I5127" authorId="0" shapeId="0" xr:uid="{C67045A4-1DF2-984E-BAEB-5F8851EC73B6}">
      <text>
        <r>
          <rPr>
            <sz val="10"/>
            <color rgb="FF000000"/>
            <rFont val="Aptos Narrow"/>
            <scheme val="minor"/>
          </rPr>
          <t>======
ID#AAABjx7qQOM
    (2025-05-21 11:33:25)
Cathy/Santiago</t>
        </r>
      </text>
    </comment>
    <comment ref="H5128" authorId="0" shapeId="0" xr:uid="{B404100C-1AAE-B54D-AFC1-70737A2F89AD}">
      <text>
        <r>
          <rPr>
            <sz val="10"/>
            <color rgb="FF000000"/>
            <rFont val="Aptos Narrow"/>
            <scheme val="minor"/>
          </rPr>
          <t>======
ID#AAABjx7qSP4
    (2025-05-21 11:33:26)
ALICE:1/7第一銀行USD3228 沖PI-20191007006 1501+PI-20191007007 USD1727+PI-20191128002 USD20總沖USD3248</t>
        </r>
      </text>
    </comment>
    <comment ref="I5128" authorId="0" shapeId="0" xr:uid="{92D7065B-D7CA-1248-B894-48EB8F798315}">
      <text>
        <r>
          <rPr>
            <sz val="10"/>
            <color rgb="FF000000"/>
            <rFont val="Aptos Narrow"/>
            <scheme val="minor"/>
          </rPr>
          <t>======
ID#AAABjx7qPgg
    (2025-05-21 11:33:24)
Cathy/Santiago</t>
        </r>
      </text>
    </comment>
    <comment ref="D5129" authorId="0" shapeId="0" xr:uid="{671B5D66-464C-844C-9233-30635E41FE86}">
      <text>
        <r>
          <rPr>
            <sz val="10"/>
            <color rgb="FF000000"/>
            <rFont val="Aptos Narrow"/>
            <scheme val="minor"/>
          </rPr>
          <t>======
ID#AAABjx7qTdE
    (2025-05-21 11:33:26)
20190604 Robin accept W/O AG、AR treatment this time</t>
        </r>
      </text>
    </comment>
    <comment ref="H5129" authorId="0" shapeId="0" xr:uid="{373F8B9A-F57D-9040-89E1-FDC8F5949014}">
      <text>
        <r>
          <rPr>
            <sz val="10"/>
            <color rgb="FF000000"/>
            <rFont val="Aptos Narrow"/>
            <scheme val="minor"/>
          </rPr>
          <t>======
ID#AAABjx7qU0I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5129" authorId="0" shapeId="0" xr:uid="{D39F7806-BE6F-524C-8480-D3332573FAEE}">
      <text>
        <r>
          <rPr>
            <sz val="10"/>
            <color rgb="FF000000"/>
            <rFont val="Aptos Narrow"/>
            <scheme val="minor"/>
          </rPr>
          <t>======
ID#AAABjx7qRlw
    (2025-05-21 11:33:25)
Cathy/Santiago</t>
        </r>
      </text>
    </comment>
    <comment ref="D5130" authorId="0" shapeId="0" xr:uid="{6DE850C5-3A97-8A4A-B086-3291767A74BE}">
      <text>
        <r>
          <rPr>
            <sz val="10"/>
            <color rgb="FF000000"/>
            <rFont val="Aptos Narrow"/>
            <scheme val="minor"/>
          </rPr>
          <t>======
ID#AAABjx7qOu8
    (2025-05-21 11:33:24)
20190604 Robin accept W/O AG、AR treatment this time</t>
        </r>
      </text>
    </comment>
    <comment ref="H5130" authorId="0" shapeId="0" xr:uid="{ED91AA8C-2E79-604D-A874-A149A6C3CD97}">
      <text>
        <r>
          <rPr>
            <sz val="10"/>
            <color rgb="FF000000"/>
            <rFont val="Aptos Narrow"/>
            <scheme val="minor"/>
          </rPr>
          <t>======
ID#AAABjx7qQn4
    (2025-05-21 11:33:25)
ALICE:11/8玉山銀行收款USD2137沖PI-20190719B-3 USD1737+沖PI-20190719B-2 USD400=USD2137元整</t>
        </r>
      </text>
    </comment>
    <comment ref="I5130" authorId="0" shapeId="0" xr:uid="{1900D5ED-F96C-DF4F-AB3F-A5B6CCD5E405}">
      <text>
        <r>
          <rPr>
            <sz val="10"/>
            <color rgb="FF000000"/>
            <rFont val="Aptos Narrow"/>
            <scheme val="minor"/>
          </rPr>
          <t>======
ID#AAABjx7qQ-Y
    (2025-05-21 11:33:25)
Cathy/Santiago</t>
        </r>
      </text>
    </comment>
    <comment ref="K5130" authorId="0" shapeId="0" xr:uid="{515445FC-F49D-7049-8C4B-547F888D525B}">
      <text>
        <r>
          <rPr>
            <sz val="10"/>
            <color rgb="FF000000"/>
            <rFont val="Aptos Narrow"/>
            <scheme val="minor"/>
          </rPr>
          <t>======
ID#AAABjx7qSJY
    (2025-05-21 11:33:26)
cathy: 10/15已回覆客人交期</t>
        </r>
      </text>
    </comment>
    <comment ref="D5131" authorId="0" shapeId="0" xr:uid="{C31ED566-023A-2243-88FB-1FA9D7991388}">
      <text>
        <r>
          <rPr>
            <sz val="10"/>
            <color rgb="FF000000"/>
            <rFont val="Aptos Narrow"/>
            <scheme val="minor"/>
          </rPr>
          <t>======
ID#AAABjx7qR_o
    (2025-05-21 11:33:25)
20190604 Robin accept W/O AG、AR treatment this time</t>
        </r>
      </text>
    </comment>
    <comment ref="I5131" authorId="0" shapeId="0" xr:uid="{F6C8C869-8599-F943-9C04-76A0A01BFDE1}">
      <text>
        <r>
          <rPr>
            <sz val="10"/>
            <color rgb="FF000000"/>
            <rFont val="Aptos Narrow"/>
            <scheme val="minor"/>
          </rPr>
          <t>======
ID#AAABjx7qRQ8
    (2025-05-21 11:33:25)
Cathy/Santiago</t>
        </r>
      </text>
    </comment>
    <comment ref="K5131" authorId="0" shapeId="0" xr:uid="{FECBF577-4E55-EF46-8A16-1AC233E79326}">
      <text>
        <r>
          <rPr>
            <sz val="10"/>
            <color rgb="FF000000"/>
            <rFont val="Aptos Narrow"/>
            <scheme val="minor"/>
          </rPr>
          <t>======
ID#AAABjx7qSKg
    (2025-05-21 11:33:26)
cathy: 10/15已回覆客人交期</t>
        </r>
      </text>
    </comment>
    <comment ref="D5132" authorId="0" shapeId="0" xr:uid="{50172D72-183F-8148-B74A-849C4D110F2A}">
      <text>
        <r>
          <rPr>
            <sz val="10"/>
            <color rgb="FF000000"/>
            <rFont val="Aptos Narrow"/>
            <scheme val="minor"/>
          </rPr>
          <t>======
ID#AAABjx7qNcQ
    (2025-05-21 11:33:23)
20190604 Robin accept W/O AG、AR treatment this time</t>
        </r>
      </text>
    </comment>
    <comment ref="H5132" authorId="0" shapeId="0" xr:uid="{7F875CD3-0120-9446-8F12-85B3A4EEBE44}">
      <text>
        <r>
          <rPr>
            <sz val="10"/>
            <color rgb="FF000000"/>
            <rFont val="Aptos Narrow"/>
            <scheme val="minor"/>
          </rPr>
          <t>======
ID#AAABjx7qOmk
    (2025-05-21 11:33:24)
ALICE:7/26玉山銀行水單通知匯入USD9754沖PI-20190524B(2000+350).沖PI20190524B-1(3010).沖PI-20190703A(60+70).沖PI20190719B-1 228+1600 PI-20190719B-2 304  PI-20190719B-5 532. PI-20190719B-3 1600</t>
        </r>
      </text>
    </comment>
    <comment ref="I5132" authorId="0" shapeId="0" xr:uid="{33DAB0F5-E8CF-9641-9305-AC23AC080EE6}">
      <text>
        <r>
          <rPr>
            <sz val="10"/>
            <color rgb="FF000000"/>
            <rFont val="Aptos Narrow"/>
            <scheme val="minor"/>
          </rPr>
          <t>======
ID#AAABjx7qOgI
    (2025-05-21 11:33:24)
Cathy/Santiago</t>
        </r>
      </text>
    </comment>
    <comment ref="K5132" authorId="0" shapeId="0" xr:uid="{025048FA-8F56-DA4A-B851-817DCDAB8A59}">
      <text>
        <r>
          <rPr>
            <sz val="10"/>
            <color rgb="FF000000"/>
            <rFont val="Aptos Narrow"/>
            <scheme val="minor"/>
          </rPr>
          <t>======
ID#AAABjx7qWWI
    (2025-05-21 11:33:27)
cathy: 10/15已回覆客人交期</t>
        </r>
      </text>
    </comment>
    <comment ref="H5133" authorId="0" shapeId="0" xr:uid="{12BB23A9-9B9E-854A-990C-449295F38E4E}">
      <text>
        <r>
          <rPr>
            <sz val="10"/>
            <color rgb="FF000000"/>
            <rFont val="Aptos Narrow"/>
            <scheme val="minor"/>
          </rPr>
          <t>======
ID#AAABjx7qSNM
    (2025-05-21 11:33:26)
ALICE:7/26玉山銀行水單通知匯入USD9754沖PI-20190524B(2000+350).沖PI20190524B-1(3010).沖PI-20190703A(60+70).沖PI20190719B-1 228+1600 PI-20190719B-2 304  PI-20190719B-5 532. PI-20190719B-3 1600</t>
        </r>
      </text>
    </comment>
    <comment ref="I5133" authorId="0" shapeId="0" xr:uid="{6E17E42F-FD1A-2B40-9ECB-E87393440873}">
      <text>
        <r>
          <rPr>
            <sz val="10"/>
            <color rgb="FF000000"/>
            <rFont val="Aptos Narrow"/>
            <scheme val="minor"/>
          </rPr>
          <t>======
ID#AAABjx7qNhs
    (2025-05-21 11:33:23)
Cathy/Santiago</t>
        </r>
      </text>
    </comment>
    <comment ref="K5133" authorId="0" shapeId="0" xr:uid="{C0823395-4828-9A4E-A9C2-EC0B5832D219}">
      <text>
        <r>
          <rPr>
            <sz val="10"/>
            <color rgb="FF000000"/>
            <rFont val="Aptos Narrow"/>
            <scheme val="minor"/>
          </rPr>
          <t>======
ID#AAABjx7qOaQ
    (2025-05-21 11:33:24)
1004跟客人確認交期 
10/14客人希望星期四收到</t>
        </r>
      </text>
    </comment>
    <comment ref="D5134" authorId="0" shapeId="0" xr:uid="{02286C64-065D-D048-A37C-730D656CE234}">
      <text>
        <r>
          <rPr>
            <sz val="10"/>
            <color rgb="FF000000"/>
            <rFont val="Aptos Narrow"/>
            <scheme val="minor"/>
          </rPr>
          <t>======
ID#AAABjx7qQ1g
    (2025-05-21 11:33:25)
20190604 Robin accept W/O AG、AR treatment this time</t>
        </r>
      </text>
    </comment>
    <comment ref="H5134" authorId="0" shapeId="0" xr:uid="{8B761F74-45C7-E448-9B3F-B7108A324810}">
      <text>
        <r>
          <rPr>
            <sz val="10"/>
            <color rgb="FF000000"/>
            <rFont val="Aptos Narrow"/>
            <scheme val="minor"/>
          </rPr>
          <t>======
ID#AAABjx7qQhI
    (2025-05-21 11:33:25)
ALICE:11/8玉山銀行收款USD2137沖PI-20190719B-3 USD1737+沖PI-20190719B-2 USD400=USD2137元整</t>
        </r>
      </text>
    </comment>
    <comment ref="I5134" authorId="0" shapeId="0" xr:uid="{AEF21B38-2AD7-F54C-97D7-C86243FC3E76}">
      <text>
        <r>
          <rPr>
            <sz val="10"/>
            <color rgb="FF000000"/>
            <rFont val="Aptos Narrow"/>
            <scheme val="minor"/>
          </rPr>
          <t>======
ID#AAABjx7qSKM
    (2025-05-21 11:33:26)
Cathy/Santiago</t>
        </r>
      </text>
    </comment>
    <comment ref="K5134" authorId="0" shapeId="0" xr:uid="{258B31A6-E726-874E-832E-D38C4433C88D}">
      <text>
        <r>
          <rPr>
            <sz val="10"/>
            <color rgb="FF000000"/>
            <rFont val="Aptos Narrow"/>
            <scheme val="minor"/>
          </rPr>
          <t>======
ID#AAABjx7qOHw
    (2025-05-21 11:33:24)
1004跟客人確認交期 
10/14客人希望星期四收到</t>
        </r>
      </text>
    </comment>
    <comment ref="D5135" authorId="0" shapeId="0" xr:uid="{56966852-F651-5A4F-9375-96E8B418A742}">
      <text>
        <r>
          <rPr>
            <sz val="10"/>
            <color rgb="FF000000"/>
            <rFont val="Aptos Narrow"/>
            <scheme val="minor"/>
          </rPr>
          <t>======
ID#AAABjx7qSLA
    (2025-05-21 11:33:26)
20190604 Robin accept W/O AG、AR treatment this time</t>
        </r>
      </text>
    </comment>
    <comment ref="I5135" authorId="0" shapeId="0" xr:uid="{8843501B-497F-1641-8F30-6BFFAA5C75B0}">
      <text>
        <r>
          <rPr>
            <sz val="10"/>
            <color rgb="FF000000"/>
            <rFont val="Aptos Narrow"/>
            <scheme val="minor"/>
          </rPr>
          <t>======
ID#AAABjx7qOzA
    (2025-05-21 11:33:24)
Cathy/Santiago</t>
        </r>
      </text>
    </comment>
    <comment ref="K5135" authorId="0" shapeId="0" xr:uid="{D9A6DEC8-72DB-794F-9CA1-CDB240C4521F}">
      <text>
        <r>
          <rPr>
            <sz val="10"/>
            <color rgb="FF000000"/>
            <rFont val="Aptos Narrow"/>
            <scheme val="minor"/>
          </rPr>
          <t>======
ID#AAABjx7qPBU
    (2025-05-21 11:33:24)
1004跟客人確認交期 
10/14客人希望星期四收到</t>
        </r>
      </text>
    </comment>
    <comment ref="D5136" authorId="0" shapeId="0" xr:uid="{AE8574B2-DB13-FC44-BCD8-798B5D92178A}">
      <text>
        <r>
          <rPr>
            <sz val="10"/>
            <color rgb="FF000000"/>
            <rFont val="Aptos Narrow"/>
            <scheme val="minor"/>
          </rPr>
          <t>======
ID#AAABjx7qRHM
    (2025-05-21 11:33:25)
20190604 Robin accept W/O AG、AR treatment this time</t>
        </r>
      </text>
    </comment>
    <comment ref="H5136" authorId="0" shapeId="0" xr:uid="{F18265E8-796F-B64B-A7FF-43739E63F72C}">
      <text>
        <r>
          <rPr>
            <sz val="10"/>
            <color rgb="FF000000"/>
            <rFont val="Aptos Narrow"/>
            <scheme val="minor"/>
          </rPr>
          <t>======
ID#AAABjx7qQFI
    (2025-05-21 11:33:25)
ALICE:11/8玉山銀行收款USD2137沖PI-20190719B-3 USD1737+沖PI-20190719B-2 USD400=USD2137元整 (註:PI-20190719B-3尚餘117未收)
ALICE:11/14-Hectronic匯入USD254(內含手續費USD16.57)沖PI-20190910B USD137 + 沖PI-20190719B-3 USD117</t>
        </r>
      </text>
    </comment>
    <comment ref="I5136" authorId="0" shapeId="0" xr:uid="{A8E85DD4-3265-6B49-84C8-1BF36178D7EC}">
      <text>
        <r>
          <rPr>
            <sz val="10"/>
            <color rgb="FF000000"/>
            <rFont val="Aptos Narrow"/>
            <scheme val="minor"/>
          </rPr>
          <t>======
ID#AAABjx7qRKk
    (2025-05-21 11:33:25)
Cathy/Santiago</t>
        </r>
      </text>
    </comment>
    <comment ref="K5136" authorId="0" shapeId="0" xr:uid="{64F58FA1-66F6-A848-94A4-8EEA41FDABBB}">
      <text>
        <r>
          <rPr>
            <sz val="10"/>
            <color rgb="FF000000"/>
            <rFont val="Aptos Narrow"/>
            <scheme val="minor"/>
          </rPr>
          <t>======
ID#AAABjx7qORk
    (2025-05-21 11:33:24)
1004跟客人確認交期 
10/14客人希望星期四收到</t>
        </r>
      </text>
    </comment>
    <comment ref="D5137" authorId="0" shapeId="0" xr:uid="{125ADBAF-0D1D-994D-BD29-3BA0FAB5D57F}">
      <text>
        <r>
          <rPr>
            <sz val="10"/>
            <color rgb="FF000000"/>
            <rFont val="Aptos Narrow"/>
            <scheme val="minor"/>
          </rPr>
          <t>======
ID#AAABjx7qQWA
    (2025-05-21 11:33:25)
20190604 Robin accept W/O AG、AR treatment this time</t>
        </r>
      </text>
    </comment>
    <comment ref="I5137" authorId="0" shapeId="0" xr:uid="{52D61021-BAFE-434D-B016-172FC0129119}">
      <text>
        <r>
          <rPr>
            <sz val="10"/>
            <color rgb="FF000000"/>
            <rFont val="Aptos Narrow"/>
            <scheme val="minor"/>
          </rPr>
          <t>======
ID#AAABjx7qTGw
    (2025-05-21 11:33:26)
Cathy/Santiago</t>
        </r>
      </text>
    </comment>
    <comment ref="D5138" authorId="0" shapeId="0" xr:uid="{DA31EE5C-3D21-8143-9300-74589EA1FC40}">
      <text>
        <r>
          <rPr>
            <sz val="10"/>
            <color rgb="FF000000"/>
            <rFont val="Aptos Narrow"/>
            <scheme val="minor"/>
          </rPr>
          <t>======
ID#AAABjx7qOes
    (2025-05-21 11:33:24)
20190604 Robin accept W/O AG、AR treatment this time</t>
        </r>
      </text>
    </comment>
    <comment ref="H5138" authorId="0" shapeId="0" xr:uid="{21EB31BD-3496-C946-83A9-A757237FF912}">
      <text>
        <r>
          <rPr>
            <sz val="10"/>
            <color rgb="FF000000"/>
            <rFont val="Aptos Narrow"/>
            <scheme val="minor"/>
          </rPr>
          <t>======
ID#AAABjx7qNu4
    (2025-05-21 11:33:23)
ALICE:1/7第一銀行USD3228 沖PI-20191007006 1501+PI-20191007007 USD1727+PI-20191128002 USD20總沖USD3248</t>
        </r>
      </text>
    </comment>
    <comment ref="I5138" authorId="0" shapeId="0" xr:uid="{7A632EF7-0735-8F45-8187-ACF5ED9800B8}">
      <text>
        <r>
          <rPr>
            <sz val="10"/>
            <color rgb="FF000000"/>
            <rFont val="Aptos Narrow"/>
            <scheme val="minor"/>
          </rPr>
          <t>======
ID#AAABjx7qVZk
    (2025-05-21 11:33:27)
Cathy/Santiago</t>
        </r>
      </text>
    </comment>
    <comment ref="D5139" authorId="0" shapeId="0" xr:uid="{68589C49-AC2D-7D47-8A28-0166EF24797D}">
      <text>
        <r>
          <rPr>
            <sz val="10"/>
            <color rgb="FF000000"/>
            <rFont val="Aptos Narrow"/>
            <scheme val="minor"/>
          </rPr>
          <t>======
ID#AAABjx7qSLs
    (2025-05-21 11:33:26)
20190604 Robin accept W/O AG、AR treatment this time</t>
        </r>
      </text>
    </comment>
    <comment ref="H5139" authorId="0" shapeId="0" xr:uid="{FADDB2BE-ED52-0F41-9460-8E6F7FCC7555}">
      <text>
        <r>
          <rPr>
            <sz val="10"/>
            <color rgb="FF000000"/>
            <rFont val="Aptos Narrow"/>
            <scheme val="minor"/>
          </rPr>
          <t>======
ID#AAABjx7qOdc
    (2025-05-21 11:33:24)
ALICE:1/7第一銀行USD3228 沖PI-20191007006 1501+PI-20191007007 USD1727+PI-20191128002 USD20總沖USD3248</t>
        </r>
      </text>
    </comment>
    <comment ref="I5139" authorId="0" shapeId="0" xr:uid="{EBB61D55-9CDE-CE4F-9511-E117796CA422}">
      <text>
        <r>
          <rPr>
            <sz val="10"/>
            <color rgb="FF000000"/>
            <rFont val="Aptos Narrow"/>
            <scheme val="minor"/>
          </rPr>
          <t>======
ID#AAABjx7qQrE
    (2025-05-21 11:33:25)
Cathy/Santiago</t>
        </r>
      </text>
    </comment>
    <comment ref="G5140" authorId="0" shapeId="0" xr:uid="{BFA6CC77-2BAD-8C42-8AF1-03D249932B55}">
      <text>
        <r>
          <rPr>
            <sz val="10"/>
            <color rgb="FF000000"/>
            <rFont val="Aptos Narrow"/>
            <scheme val="minor"/>
          </rPr>
          <t>======
ID#AAABjx7qU7A
    (2025-05-21 11:33:27)
180221 Tammy: project price for over 50pcs/lot</t>
        </r>
      </text>
    </comment>
    <comment ref="H5140" authorId="0" shapeId="0" xr:uid="{81DF853C-50B1-B740-BB5F-A56F3A25597A}">
      <text>
        <r>
          <rPr>
            <sz val="10"/>
            <color rgb="FF000000"/>
            <rFont val="Aptos Narrow"/>
            <scheme val="minor"/>
          </rPr>
          <t>======
ID#AAABjx7qSS0
    (2025-05-21 11:33:26)
ALICE:9/23玉山銀行水單通知匯入USD14587沖PI-20190626A 334.5 沖PI-20190703B 8550.沖PI20190719C 5212.5.沖PI-20190722A 210.沖PI-20190801C 280 合計總沖USD14587元整</t>
        </r>
      </text>
    </comment>
    <comment ref="H5141" authorId="0" shapeId="0" xr:uid="{6AD68A36-456C-4E4B-BE39-D660770C4468}">
      <text>
        <r>
          <rPr>
            <sz val="10"/>
            <color rgb="FF000000"/>
            <rFont val="Aptos Narrow"/>
            <scheme val="minor"/>
          </rPr>
          <t>======
ID#AAABjx7qONQ
    (2025-05-21 11:33:24)
ALICE:9/23玉山銀行水單通知匯入USD14587沖PI-20190626A 334.5 沖PI-20190703B 8550.沖PI20190719C 5212.5.沖PI-20190722A 210.沖PI-20190801C 280 合計總沖USD14587元整</t>
        </r>
      </text>
    </comment>
    <comment ref="G5142" authorId="0" shapeId="0" xr:uid="{855F89FC-63F6-1749-96A1-2344956478EE}">
      <text>
        <r>
          <rPr>
            <sz val="10"/>
            <color rgb="FF000000"/>
            <rFont val="Aptos Narrow"/>
            <scheme val="minor"/>
          </rPr>
          <t>======
ID#AAABjx7qR6k
    (2025-05-21 11:33:25)
10/18 san告知本次不會收molding fee,但會加收labor fee(usd 20)+AG film (usd 26)</t>
        </r>
      </text>
    </comment>
    <comment ref="H5142" authorId="0" shapeId="0" xr:uid="{CA2254C5-9DD2-6644-BF28-BC271523444B}">
      <text>
        <r>
          <rPr>
            <sz val="10"/>
            <color rgb="FF000000"/>
            <rFont val="Aptos Narrow"/>
            <scheme val="minor"/>
          </rPr>
          <t>======
ID#AAABjx7qVcY
    (2025-05-21 11:33:27)
ALICE:1/7第一銀行USD3228 沖PI-20191007006 1501+PI-20191007007 USD1727+PI-20191128002 USD20總沖USD3248</t>
        </r>
      </text>
    </comment>
    <comment ref="I5142" authorId="0" shapeId="0" xr:uid="{A6C0419B-FE17-AD42-8A77-678C16B88D58}">
      <text>
        <r>
          <rPr>
            <sz val="10"/>
            <color rgb="FF000000"/>
            <rFont val="Aptos Narrow"/>
            <scheme val="minor"/>
          </rPr>
          <t>======
ID#AAABjx7qSQo
    (2025-05-21 11:33:26)
Cathy/Santiago</t>
        </r>
      </text>
    </comment>
    <comment ref="H5143" authorId="0" shapeId="0" xr:uid="{997F48FB-D469-C940-A08D-0D8B78625D1A}">
      <text>
        <r>
          <rPr>
            <sz val="10"/>
            <color rgb="FF000000"/>
            <rFont val="Aptos Narrow"/>
            <scheme val="minor"/>
          </rPr>
          <t>======
ID#AAABjx7qRqQ
    (2025-05-21 11:33:25)
ALICE:1/7第一銀行USD3228 沖PI-20191007006 1501+PI-20191007007 USD1727+PI-20191128002 USD20總沖USD3248</t>
        </r>
      </text>
    </comment>
    <comment ref="I5143" authorId="0" shapeId="0" xr:uid="{1DB71CA8-D4E4-6647-ABFD-17720401AC31}">
      <text>
        <r>
          <rPr>
            <sz val="10"/>
            <color rgb="FF000000"/>
            <rFont val="Aptos Narrow"/>
            <scheme val="minor"/>
          </rPr>
          <t>======
ID#AAABjx7qTEc
    (2025-05-21 11:33:26)
Cathy/Santiago</t>
        </r>
      </text>
    </comment>
    <comment ref="H5144" authorId="0" shapeId="0" xr:uid="{35E1F07B-814C-1C47-B7B2-5AC76A8EBF08}">
      <text>
        <r>
          <rPr>
            <sz val="10"/>
            <color rgb="FF000000"/>
            <rFont val="Aptos Narrow"/>
            <scheme val="minor"/>
          </rPr>
          <t>======
ID#AAABjx7qS4k
    (2025-05-21 11:33:26)
ALICE:9/23玉山銀行水單通知匯入USD14587沖PI-20190626A 334.5 沖PI-20190703B 8550.沖PI20190719C 5212.5.沖PI-20190722A 210.沖PI-20190801C 280 合計總沖USD14587元整</t>
        </r>
      </text>
    </comment>
    <comment ref="H5145" authorId="0" shapeId="0" xr:uid="{FCC112CE-9AE6-644C-B684-4C5FDEA3A9F7}">
      <text>
        <r>
          <rPr>
            <sz val="10"/>
            <color rgb="FF000000"/>
            <rFont val="Aptos Narrow"/>
            <scheme val="minor"/>
          </rPr>
          <t>======
ID#AAABjx7qU-k
    (2025-05-21 11:33:27)
ALICE:9/23玉山銀行水單通知匯入USD14587沖PI-20190626A 334.5 沖PI-20190703B 8550.沖PI20190719C 5212.5.沖PI-20190722A 210.沖PI-20190801C 280 合計總沖USD14587元整</t>
        </r>
      </text>
    </comment>
    <comment ref="H5146" authorId="0" shapeId="0" xr:uid="{8B4E7599-9ECC-EB4B-9839-A95372642DED}">
      <text>
        <r>
          <rPr>
            <sz val="10"/>
            <color rgb="FF000000"/>
            <rFont val="Aptos Narrow"/>
            <scheme val="minor"/>
          </rPr>
          <t>======
ID#AAABjx7qOJ8
    (2025-05-21 11:33:24)
ALICE:9/23玉山銀行水單通知匯入USD14587沖PI-20190626A 334.5 沖PI-20190703B 8550.沖PI20190719C 5212.5.沖PI-20190722A 210.沖PI-20190801C 280 合計總沖USD14587元整</t>
        </r>
      </text>
    </comment>
    <comment ref="D5147" authorId="0" shapeId="0" xr:uid="{1C4578BF-EFB5-4E47-9079-655947C06382}">
      <text>
        <r>
          <rPr>
            <sz val="10"/>
            <color rgb="FF000000"/>
            <rFont val="Aptos Narrow"/>
            <scheme val="minor"/>
          </rPr>
          <t>======
ID#AAABj82dpFY
    (2025-05-21 11:33:23)
0722 請chloe下單</t>
        </r>
      </text>
    </comment>
    <comment ref="H5147" authorId="0" shapeId="0" xr:uid="{33837A34-AB0A-004B-85B6-32E2BA14E7FF}">
      <text>
        <r>
          <rPr>
            <sz val="10"/>
            <color rgb="FF000000"/>
            <rFont val="Aptos Narrow"/>
            <scheme val="minor"/>
          </rPr>
          <t>======
ID#AAABjx7qQbI
    (2025-05-21 11:33:25)
ALICE:9/10玉山匯入NT108650沖PI20190719A.PI-20190722B.PI-20190725A.PI20190813B</t>
        </r>
      </text>
    </comment>
    <comment ref="D5148" authorId="0" shapeId="0" xr:uid="{DF7E36BC-5F5E-BC4F-A7B9-E005AF9E9B3F}">
      <text>
        <r>
          <rPr>
            <sz val="10"/>
            <color rgb="FF000000"/>
            <rFont val="Aptos Narrow"/>
            <scheme val="minor"/>
          </rPr>
          <t>======
ID#AAABjx7qQrM
    (2025-05-21 11:33:25)
0722 請chloe下單</t>
        </r>
      </text>
    </comment>
    <comment ref="H5148" authorId="0" shapeId="0" xr:uid="{37913D80-3377-1248-B113-6F4823BA0FF2}">
      <text>
        <r>
          <rPr>
            <sz val="10"/>
            <color rgb="FF000000"/>
            <rFont val="Aptos Narrow"/>
            <scheme val="minor"/>
          </rPr>
          <t>======
ID#AAABjx7qOjo
    (2025-05-21 11:33:24)
ALICE:8/27-玉山匯入USD1544元整，沖PI-20190722C USD1544</t>
        </r>
      </text>
    </comment>
    <comment ref="K5148" authorId="0" shapeId="0" xr:uid="{35796A6D-F06B-ED4A-B55A-7032FE8E3DC5}">
      <text>
        <r>
          <rPr>
            <sz val="10"/>
            <color rgb="FF000000"/>
            <rFont val="Aptos Narrow"/>
            <scheme val="minor"/>
          </rPr>
          <t>======
ID#AAABjx7qNCs
    (2025-05-21 11:33:23)
0722 客人告知急，但也同時告知款項要先來</t>
        </r>
      </text>
    </comment>
    <comment ref="D5149" authorId="0" shapeId="0" xr:uid="{9CC1CF35-FF4D-D74A-AB28-8D77E55852DD}">
      <text>
        <r>
          <rPr>
            <sz val="10"/>
            <color rgb="FF000000"/>
            <rFont val="Aptos Narrow"/>
            <scheme val="minor"/>
          </rPr>
          <t>======
ID#AAABjx7qVDI
    (2025-05-21 11:33:27)
0723 請chloe下單</t>
        </r>
      </text>
    </comment>
    <comment ref="H5149" authorId="0" shapeId="0" xr:uid="{85515773-9909-3C46-B11C-0750EDBC0881}">
      <text>
        <r>
          <rPr>
            <sz val="10"/>
            <color rgb="FF000000"/>
            <rFont val="Aptos Narrow"/>
            <scheme val="minor"/>
          </rPr>
          <t>======
ID#AAABjx7qNYU
    (2025-05-21 11:33:23)
ALICE:8/27-玉山匯入USD1544元整，沖PI-20190722C USD1544</t>
        </r>
      </text>
    </comment>
    <comment ref="K5149" authorId="0" shapeId="0" xr:uid="{4A326813-9F9B-F94C-9B4B-D57CEDD59A27}">
      <text>
        <r>
          <rPr>
            <sz val="10"/>
            <color rgb="FF000000"/>
            <rFont val="Aptos Narrow"/>
            <scheme val="minor"/>
          </rPr>
          <t>======
ID#AAABjx7qPNQ
    (2025-05-21 11:33:24)
0722 客人告知急，但也同時告知款項要先來</t>
        </r>
      </text>
    </comment>
    <comment ref="D5150" authorId="0" shapeId="0" xr:uid="{6854D4F5-4A7C-9847-8F90-85B738216D1D}">
      <text>
        <r>
          <rPr>
            <sz val="10"/>
            <color rgb="FF000000"/>
            <rFont val="Aptos Narrow"/>
            <scheme val="minor"/>
          </rPr>
          <t>======
ID#AAABjx7qSeI
    (2025-05-21 11:33:26)
0723 請chloe下單</t>
        </r>
      </text>
    </comment>
    <comment ref="H5150" authorId="0" shapeId="0" xr:uid="{A43E5FAA-F6B3-D548-921D-1EAD02478947}">
      <text>
        <r>
          <rPr>
            <sz val="10"/>
            <color rgb="FF000000"/>
            <rFont val="Aptos Narrow"/>
            <scheme val="minor"/>
          </rPr>
          <t>======
ID#AAABjx7qQmw
    (2025-05-21 11:33:25)
ALICE:8/27-玉山匯入USD1544元整，沖PI-20190722C USD1544</t>
        </r>
      </text>
    </comment>
    <comment ref="K5150" authorId="0" shapeId="0" xr:uid="{14A16E04-5AB1-B64E-BC17-3B5A1ACA73CB}">
      <text>
        <r>
          <rPr>
            <sz val="10"/>
            <color rgb="FF000000"/>
            <rFont val="Aptos Narrow"/>
            <scheme val="minor"/>
          </rPr>
          <t>======
ID#AAABjx7qPVE
    (2025-05-21 11:33:24)
0722 客人告知急，但也同時告知款項要先來</t>
        </r>
      </text>
    </comment>
    <comment ref="H5151" authorId="0" shapeId="0" xr:uid="{9FF0B825-ED8C-5E43-B96B-3062AC101FCB}">
      <text>
        <r>
          <rPr>
            <sz val="10"/>
            <color rgb="FF000000"/>
            <rFont val="Aptos Narrow"/>
            <scheme val="minor"/>
          </rPr>
          <t>======
ID#AAABjx7qTAc
    (2025-05-21 11:33:26)
ALICE:8/30玉山銀行水單匯入USD603元整，沖PI-20190715A USD135+沖PI-20190722D USD468=合計總沖USD603元整</t>
        </r>
      </text>
    </comment>
    <comment ref="D5152" authorId="0" shapeId="0" xr:uid="{C8714DCB-F124-8040-A4EF-2134BD90B5E9}">
      <text>
        <r>
          <rPr>
            <sz val="10"/>
            <color rgb="FF000000"/>
            <rFont val="Aptos Narrow"/>
            <scheme val="minor"/>
          </rPr>
          <t>======
ID#AAABjx7qNKc
    (2025-05-21 11:33:23)
7/23 Amy: COC requested together with shipment/ PO Number indicated on each shipping documents / Invoice &amp; Packing list together with shipment</t>
        </r>
      </text>
    </comment>
    <comment ref="E5152" authorId="0" shapeId="0" xr:uid="{328861E2-858C-B140-ACA9-559A25159B43}">
      <text>
        <r>
          <rPr>
            <sz val="10"/>
            <color rgb="FF000000"/>
            <rFont val="Aptos Narrow"/>
            <scheme val="minor"/>
          </rPr>
          <t>======
ID#AAABjx7qNTM
    (2025-05-21 11:33:23)
0724  chloe: w/o adapter</t>
        </r>
      </text>
    </comment>
    <comment ref="H5152" authorId="0" shapeId="0" xr:uid="{B0C2ECEB-3693-FF4A-9451-966B97781B37}">
      <text>
        <r>
          <rPr>
            <sz val="10"/>
            <color rgb="FF000000"/>
            <rFont val="Aptos Narrow"/>
            <scheme val="minor"/>
          </rPr>
          <t>======
ID#AAABjx7qRdE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3" authorId="0" shapeId="0" xr:uid="{AEE9DD95-37C1-F74F-9645-90CDFF154FA7}">
      <text>
        <r>
          <rPr>
            <sz val="10"/>
            <color rgb="FF000000"/>
            <rFont val="Aptos Narrow"/>
            <scheme val="minor"/>
          </rPr>
          <t>======
ID#AAABjx7qSus
    (2025-05-21 11:33:26)
7/23 Amy: COC requested together with shipment/ PO Number indicated on each shipping documents / Invoice &amp; Packing list together with shipment</t>
        </r>
      </text>
    </comment>
    <comment ref="E5153" authorId="0" shapeId="0" xr:uid="{CCE5A348-7D5D-ED42-9561-5F1DF1C9F8F8}">
      <text>
        <r>
          <rPr>
            <sz val="10"/>
            <color rgb="FF000000"/>
            <rFont val="Aptos Narrow"/>
            <scheme val="minor"/>
          </rPr>
          <t>======
ID#AAABjx7qOM8
    (2025-05-21 11:33:24)
0724 chloe:EU ADAPTER</t>
        </r>
      </text>
    </comment>
    <comment ref="H5153" authorId="0" shapeId="0" xr:uid="{6F832858-2B19-1F43-A7FB-00FFF4EF0CD1}">
      <text>
        <r>
          <rPr>
            <sz val="10"/>
            <color rgb="FF000000"/>
            <rFont val="Aptos Narrow"/>
            <scheme val="minor"/>
          </rPr>
          <t>======
ID#AAABjx7qR0U
    (2025-05-21 11:33:25)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4" authorId="0" shapeId="0" xr:uid="{E8C6A313-DCC6-B848-A51B-EA07E61B8983}">
      <text>
        <r>
          <rPr>
            <sz val="10"/>
            <color rgb="FF000000"/>
            <rFont val="Aptos Narrow"/>
            <scheme val="minor"/>
          </rPr>
          <t>======
ID#AAABjx7qWWg
    (2025-05-21 11:33:27)
7/23 Amy: COC requested together with shipment/ PO Number indicated on each shipping documents / Invoice &amp; Packing list together with shipment</t>
        </r>
      </text>
    </comment>
    <comment ref="H5154" authorId="0" shapeId="0" xr:uid="{949B63F4-2686-B04E-AF15-9EF69DEA8E5D}">
      <text>
        <r>
          <rPr>
            <sz val="10"/>
            <color rgb="FF000000"/>
            <rFont val="Aptos Narrow"/>
            <scheme val="minor"/>
          </rPr>
          <t>======
ID#AAABjx7qVCQ
    (2025-05-21 11:33:27)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D5155" authorId="0" shapeId="0" xr:uid="{31F13979-67C9-7148-B957-BB675B043207}">
      <text>
        <r>
          <rPr>
            <sz val="10"/>
            <color rgb="FF000000"/>
            <rFont val="Aptos Narrow"/>
            <scheme val="minor"/>
          </rPr>
          <t>======
ID#AAABjx7qRuY
    (2025-05-21 11:33:25)
7/23 Amy: COC requested together with shipment/ PO Number indicated on each shipping documents / Invoice &amp; Packing list together with shipment</t>
        </r>
      </text>
    </comment>
    <comment ref="H5155" authorId="0" shapeId="0" xr:uid="{627B28FF-B76F-964B-A5BA-5D1C47D78AA8}">
      <text>
        <r>
          <rPr>
            <sz val="10"/>
            <color rgb="FF000000"/>
            <rFont val="Aptos Narrow"/>
            <scheme val="minor"/>
          </rPr>
          <t>======
ID#AAABjx7qNsA
    (2025-05-21 11:33:23)
7/30水單匯入USD1121沖PI-20190121A(63+93+93+63).沖PI-20190328A(-350).沖PI-20190508C(-771).沖PI-20190723C(920+804+20+89.2).總計應收USD1024.2客戶實匯USD1121故多收USD96.8轉預收貨款沖往後帳款</t>
        </r>
      </text>
    </comment>
    <comment ref="H5156" authorId="0" shapeId="0" xr:uid="{D3FDD6E0-A50C-534B-BC5A-7CFDF0C3EE30}">
      <text>
        <r>
          <rPr>
            <sz val="10"/>
            <color rgb="FF000000"/>
            <rFont val="Aptos Narrow"/>
            <scheme val="minor"/>
          </rPr>
          <t>======
ID#AAABjx7qQaQ
    (2025-05-21 11:33:25)
ALICE:7/29玉山銀行水單匯入USD17325</t>
        </r>
      </text>
    </comment>
    <comment ref="D5157" authorId="0" shapeId="0" xr:uid="{13971CC9-4B7B-ED46-9816-99DC509A749C}">
      <text>
        <r>
          <rPr>
            <sz val="10"/>
            <color rgb="FF000000"/>
            <rFont val="Aptos Narrow"/>
            <scheme val="minor"/>
          </rPr>
          <t>======
ID#AAABjx7qTic
    (2025-05-21 11:33:26)
0725 請chole協助下單</t>
        </r>
      </text>
    </comment>
    <comment ref="H5157" authorId="0" shapeId="0" xr:uid="{9A4B2FDC-62D1-1D40-92D7-D19997D33FD7}">
      <text>
        <r>
          <rPr>
            <sz val="10"/>
            <color rgb="FF000000"/>
            <rFont val="Aptos Narrow"/>
            <scheme val="minor"/>
          </rPr>
          <t>======
ID#AAABjx7qQsw
    (2025-05-21 11:33:25)
ALICE:9/10玉山匯入NT108650沖PI20190719A.PI-20190722B.PI-20190725A.PI20190813B</t>
        </r>
      </text>
    </comment>
    <comment ref="D5158" authorId="0" shapeId="0" xr:uid="{A41FF34E-BFCF-CC4E-9717-CC6C704BA4B4}">
      <text>
        <r>
          <rPr>
            <sz val="10"/>
            <color rgb="FF000000"/>
            <rFont val="Aptos Narrow"/>
            <scheme val="minor"/>
          </rPr>
          <t>======
ID#AAABjx7qP8c
    (2025-05-21 11:33:24)
1. 用溢收款項扣除
2. 7/26 信件通知超恩先Booking , 待請Yvonne 下單</t>
        </r>
      </text>
    </comment>
    <comment ref="H5158" authorId="0" shapeId="0" xr:uid="{6D48ACB3-8B90-A842-BDE4-0027F1D8B431}">
      <text>
        <r>
          <rPr>
            <sz val="10"/>
            <color rgb="FF000000"/>
            <rFont val="Aptos Narrow"/>
            <scheme val="minor"/>
          </rPr>
          <t>======
ID#AAABjx7qOPE
    (2025-05-21 11:33:24)
ALICE:7/15-客戶多付NT10540元沖PI-20190726A金額NT2995(故結餘預收貨款NT7545元整)</t>
        </r>
      </text>
    </comment>
    <comment ref="H5159" authorId="0" shapeId="0" xr:uid="{2BFCEBCE-B3FC-9A41-8572-9938B99CC68F}">
      <text>
        <r>
          <rPr>
            <sz val="10"/>
            <color rgb="FF000000"/>
            <rFont val="Aptos Narrow"/>
            <scheme val="minor"/>
          </rPr>
          <t>======
ID#AAABjx7qVZE
    (2025-05-21 11:33:27)
ALICE:9/26玉山水單匯入USD16657沖PI-20190704A USD655.沖PI-20190704A-F USD96.沖PI20190717E USD11479.沖PI-20190726B USD4245.沖PI-20190726B-F 182總沖16657</t>
        </r>
      </text>
    </comment>
    <comment ref="H5160" authorId="0" shapeId="0" xr:uid="{858FAA04-67FE-BA40-B38B-FDC059485FA9}">
      <text>
        <r>
          <rPr>
            <sz val="10"/>
            <color rgb="FF000000"/>
            <rFont val="Aptos Narrow"/>
            <scheme val="minor"/>
          </rPr>
          <t>======
ID#AAABjx7qOC8
    (2025-05-21 11:33:24)
ALICE:9/26玉山水單匯入USD16657沖PI-20190704A USD655.沖PI-20190704A-F USD96.沖PI20190717E USD11479.沖PI-20190726B USD4245.沖PI-20190726B-F 182總沖16657</t>
        </r>
      </text>
    </comment>
    <comment ref="H5161" authorId="0" shapeId="0" xr:uid="{8AD17E9F-BBF9-694B-ACD5-C009C944E756}">
      <text>
        <r>
          <rPr>
            <sz val="10"/>
            <color rgb="FF000000"/>
            <rFont val="Aptos Narrow"/>
            <scheme val="minor"/>
          </rPr>
          <t>======
ID#AAABjx7qQDM
    (2025-05-21 11:33:25)
ALICE:9/26玉山水單匯入USD16657沖PI-20190704A USD655.沖PI-20190704A-F USD96.沖PI20190717E USD11479.沖PI-20190726B USD4245.沖PI-20190726B-F 182總沖16657</t>
        </r>
      </text>
    </comment>
    <comment ref="D5162" authorId="0" shapeId="0" xr:uid="{D4D0CA19-075B-D74F-86F8-D615E8D4561F}">
      <text>
        <r>
          <rPr>
            <sz val="10"/>
            <color rgb="FF000000"/>
            <rFont val="Aptos Narrow"/>
            <scheme val="minor"/>
          </rPr>
          <t>======
ID#AAABjx7qNgs
    (2025-05-21 11:33:23)
0730 CATHY 通知客人待款項來才會幫下單</t>
        </r>
      </text>
    </comment>
    <comment ref="H5162" authorId="0" shapeId="0" xr:uid="{182AFFDA-7C8C-F446-A6F1-5195CC9081C3}">
      <text>
        <r>
          <rPr>
            <sz val="10"/>
            <color rgb="FF000000"/>
            <rFont val="Aptos Narrow"/>
            <scheme val="minor"/>
          </rPr>
          <t>======
ID#AAABj82dpGU
    (2025-05-21 11:33:23)
alice:8/19匯入USD16000沖PI-20190730A 10500，沖PI20190603A 1844(4850)，沖PI20190603A 3656(7040)</t>
        </r>
      </text>
    </comment>
    <comment ref="K5162" authorId="0" shapeId="0" xr:uid="{6975D0F9-2F6B-8641-B7FC-306F4183EE75}">
      <text>
        <r>
          <rPr>
            <sz val="10"/>
            <color rgb="FF000000"/>
            <rFont val="Aptos Narrow"/>
            <scheme val="minor"/>
          </rPr>
          <t>======
ID#AAABjx7qQ7Q
    (2025-05-21 11:33:25)
0830 Cathy: Tejinder 告知9/2那週會匯款
0903 Cathy: Chloe告知目前先將進貨日改為9/20，待收到款項在pull in MOXA 
0924:CHLOE同意出200PCS</t>
        </r>
      </text>
    </comment>
    <comment ref="H5163" authorId="0" shapeId="0" xr:uid="{F09C5B5F-5BE4-304B-B349-66C831A3414B}">
      <text>
        <r>
          <rPr>
            <sz val="10"/>
            <color rgb="FF000000"/>
            <rFont val="Aptos Narrow"/>
            <scheme val="minor"/>
          </rPr>
          <t>======
ID#AAABjx7qQ3w
    (2025-05-21 11:33:25)
ALICE:9/26玉山水單匯入USD16657沖PI-20190704A USD655.沖PI-20190704A-F USD96.沖PI20190717E USD11479.沖PI-20190726B USD4245.沖PI-20190726B-F 182總沖16657</t>
        </r>
      </text>
    </comment>
    <comment ref="H5164" authorId="0" shapeId="0" xr:uid="{5C892762-1E68-5949-BDB9-0A2C548FE362}">
      <text>
        <r>
          <rPr>
            <sz val="10"/>
            <color rgb="FF000000"/>
            <rFont val="Aptos Narrow"/>
            <scheme val="minor"/>
          </rPr>
          <t>======
ID#AAABjx7qNOk
    (2025-05-21 11:33:23)
ALICE:8/1銀行水單通知匯入USD8538.6沖PI-20190731A</t>
        </r>
      </text>
    </comment>
    <comment ref="H5165" authorId="0" shapeId="0" xr:uid="{91833499-3F33-EE49-BDB2-4A34B074547C}">
      <text>
        <r>
          <rPr>
            <sz val="10"/>
            <color rgb="FF000000"/>
            <rFont val="Aptos Narrow"/>
            <scheme val="minor"/>
          </rPr>
          <t>======
ID#AAABjx7qP1I
    (2025-05-21 11:33:24)
ALICE:8/1銀行水單通知匯入USD8538.6沖PI-20190731A</t>
        </r>
      </text>
    </comment>
    <comment ref="H5166" authorId="0" shapeId="0" xr:uid="{2210A431-5B2B-0249-AB2F-5C3029674850}">
      <text>
        <r>
          <rPr>
            <sz val="10"/>
            <color rgb="FF000000"/>
            <rFont val="Aptos Narrow"/>
            <scheme val="minor"/>
          </rPr>
          <t>======
ID#AAABjx7qV7U
    (2025-05-21 11:33:27)
ALICE:8/1銀行水單通知匯入USD8538.6沖PI-20190731A</t>
        </r>
      </text>
    </comment>
    <comment ref="H5167" authorId="0" shapeId="0" xr:uid="{2C593B37-BCD4-B14A-A593-53E313016ACF}">
      <text>
        <r>
          <rPr>
            <sz val="10"/>
            <color rgb="FF000000"/>
            <rFont val="Aptos Narrow"/>
            <scheme val="minor"/>
          </rPr>
          <t>======
ID#AAABjx7qUyo
    (2025-05-21 11:33:26)
ALICE:8/1銀行水單通知匯入USD8538.6沖PI-20190731A</t>
        </r>
      </text>
    </comment>
    <comment ref="G5168" authorId="0" shapeId="0" xr:uid="{74BFAC4E-E94B-CF4C-949D-BB327E311C89}">
      <text>
        <r>
          <rPr>
            <sz val="10"/>
            <color rgb="FF000000"/>
            <rFont val="Aptos Narrow"/>
            <scheme val="minor"/>
          </rPr>
          <t>======
ID#AAABjx7qWGs
    (2025-05-21 11:33:27)
w/5%VAT</t>
        </r>
      </text>
    </comment>
    <comment ref="H5168" authorId="0" shapeId="0" xr:uid="{86F313CC-2D0B-3B4E-99AF-575D2B9ADC0C}">
      <text>
        <r>
          <rPr>
            <sz val="10"/>
            <color rgb="FF000000"/>
            <rFont val="Aptos Narrow"/>
            <scheme val="minor"/>
          </rPr>
          <t>======
ID#AAABjx7qQ3Y
    (2025-05-21 11:33:25)
ALICE:9/25合庫匯入USD47081沖PI-20190731B 47096</t>
        </r>
      </text>
    </comment>
    <comment ref="D5169" authorId="0" shapeId="0" xr:uid="{9780990C-9696-AF42-96E8-8CCCFBD5C3AD}">
      <text>
        <r>
          <rPr>
            <sz val="10"/>
            <color rgb="FF000000"/>
            <rFont val="Aptos Narrow"/>
            <scheme val="minor"/>
          </rPr>
          <t>======
ID#AAABjx7qVdI
    (2025-05-21 11:33:27)
0806 詢問客人
0820 請Chole 協助下單</t>
        </r>
      </text>
    </comment>
    <comment ref="H5169" authorId="0" shapeId="0" xr:uid="{AAC9BAF0-150D-B14B-8B1F-A52DB835846A}">
      <text>
        <r>
          <rPr>
            <sz val="10"/>
            <color rgb="FF000000"/>
            <rFont val="Aptos Narrow"/>
            <scheme val="minor"/>
          </rPr>
          <t>======
ID#AAABjx7qRmw
    (2025-05-21 11:33:25)
ALICE:8/21-銀行匯入USD374沖PI-20190801A USD334.沖PI-20190801A-1 USD40</t>
        </r>
      </text>
    </comment>
    <comment ref="K5169" authorId="0" shapeId="0" xr:uid="{23671F1C-9E11-6F41-AE24-5BA1BEFD1BDB}">
      <text>
        <r>
          <rPr>
            <sz val="10"/>
            <color rgb="FF000000"/>
            <rFont val="Aptos Narrow"/>
            <scheme val="minor"/>
          </rPr>
          <t>======
ID#AAABjx7qSbY
    (2025-05-21 11:33:26)
8/22 Cathy: mail 請Yvonne 出貨時依照客人需要invoice</t>
        </r>
      </text>
    </comment>
    <comment ref="D5170" authorId="0" shapeId="0" xr:uid="{BC1DE439-4ECF-0A48-ACFD-032F101614BB}">
      <text>
        <r>
          <rPr>
            <sz val="10"/>
            <color rgb="FF000000"/>
            <rFont val="Aptos Narrow"/>
            <scheme val="minor"/>
          </rPr>
          <t>======
ID#AAABjx7qRgM
    (2025-05-21 11:33:25)
0806 詢問客人
0820 請Chole 協助下單</t>
        </r>
      </text>
    </comment>
    <comment ref="H5170" authorId="0" shapeId="0" xr:uid="{3C14C2BF-CEAD-E248-A8F5-12E0499DBEEA}">
      <text>
        <r>
          <rPr>
            <sz val="10"/>
            <color rgb="FF000000"/>
            <rFont val="Aptos Narrow"/>
            <scheme val="minor"/>
          </rPr>
          <t>======
ID#AAABjx7qWRI
    (2025-05-21 11:33:27)
ALICE:8/21-銀行匯入USD374沖PI-20190801A USD334.沖PI-20190801A-1 USD40</t>
        </r>
      </text>
    </comment>
    <comment ref="D5171" authorId="0" shapeId="0" xr:uid="{272D1BB9-2AEB-7B4D-B28F-67A0B0B5894B}">
      <text>
        <r>
          <rPr>
            <sz val="10"/>
            <color rgb="FF000000"/>
            <rFont val="Aptos Narrow"/>
            <scheme val="minor"/>
          </rPr>
          <t>======
ID#AAABjx7qPx8
    (2025-05-21 11:33:24)
0806 詢問客人</t>
        </r>
      </text>
    </comment>
    <comment ref="H5171" authorId="0" shapeId="0" xr:uid="{E5375465-5BBA-CB4C-996A-15C1E41ED377}">
      <text>
        <r>
          <rPr>
            <sz val="10"/>
            <color rgb="FF000000"/>
            <rFont val="Aptos Narrow"/>
            <scheme val="minor"/>
          </rPr>
          <t>======
ID#AAABjx7qV7c
    (2025-05-21 11:33:27)
ALICE:8/21-銀行匯入USD374沖PI-20190801A USD334.沖PI-20190801A-1 USD40</t>
        </r>
      </text>
    </comment>
    <comment ref="H5172" authorId="0" shapeId="0" xr:uid="{ED866FD4-E5BD-EB41-836D-47C2F35F0568}">
      <text>
        <r>
          <rPr>
            <sz val="10"/>
            <color rgb="FF000000"/>
            <rFont val="Aptos Narrow"/>
            <scheme val="minor"/>
          </rPr>
          <t>======
ID#AAABjx7qOaY
    (2025-05-21 11:33:24)
ALICE:8/2-水單匯入USD1529.4沖PI-20190801B USD1529.4</t>
        </r>
      </text>
    </comment>
    <comment ref="E5173" authorId="0" shapeId="0" xr:uid="{6B3F8827-7391-F74C-B78A-672AF6A3F4B8}">
      <text>
        <r>
          <rPr>
            <sz val="10"/>
            <color rgb="FF000000"/>
            <rFont val="Aptos Narrow"/>
            <scheme val="minor"/>
          </rPr>
          <t>======
ID#AAABjx7qSYo
    (2025-05-21 11:33:26)
0802 chloe: EU Adaper</t>
        </r>
      </text>
    </comment>
    <comment ref="H5173" authorId="0" shapeId="0" xr:uid="{96E878F5-D666-944C-B5CF-8B4E5CF87A54}">
      <text>
        <r>
          <rPr>
            <sz val="10"/>
            <color rgb="FF000000"/>
            <rFont val="Aptos Narrow"/>
            <scheme val="minor"/>
          </rPr>
          <t>======
ID#AAABjx7qS08
    (2025-05-21 11:33:26)
ALICE:8/2-水單匯入USD1529.4沖PI-20190801B USD1529.4</t>
        </r>
      </text>
    </comment>
    <comment ref="H5174" authorId="0" shapeId="0" xr:uid="{7B678428-635A-4749-9E6D-405CF35C16F0}">
      <text>
        <r>
          <rPr>
            <sz val="10"/>
            <color rgb="FF000000"/>
            <rFont val="Aptos Narrow"/>
            <scheme val="minor"/>
          </rPr>
          <t>======
ID#AAABjx7qWM0
    (2025-05-21 11:33:27)
ALICE:8/2-水單匯入USD1529.4沖PI-20190801B USD1529.4</t>
        </r>
      </text>
    </comment>
    <comment ref="H5175" authorId="0" shapeId="0" xr:uid="{49DA08CE-EB58-3444-9922-99C891D12C62}">
      <text>
        <r>
          <rPr>
            <sz val="10"/>
            <color rgb="FF000000"/>
            <rFont val="Aptos Narrow"/>
            <scheme val="minor"/>
          </rPr>
          <t>======
ID#AAABj82dpPA
    (2025-05-21 11:33:23)
ALICE:9/23玉山銀行水單通知匯入USD14587沖PI-20190626A 334.5 沖PI-20190703B 8550.沖PI20190719C 5212.5.沖PI-20190722A 210.沖PI-20190801C 280 合計總沖USD14587元整</t>
        </r>
      </text>
    </comment>
    <comment ref="D5176" authorId="0" shapeId="0" xr:uid="{5744E4D0-431F-A549-87F7-1BA4AB2556B3}">
      <text>
        <r>
          <rPr>
            <sz val="10"/>
            <color rgb="FF000000"/>
            <rFont val="Aptos Narrow"/>
            <scheme val="minor"/>
          </rPr>
          <t>======
ID#AAABjx7qM3I
    (2025-05-21 11:33:23)
0730 CATHY 通知客人待款項來才會幫下單</t>
        </r>
      </text>
    </comment>
    <comment ref="H5176" authorId="0" shapeId="0" xr:uid="{DEFFC83B-87F2-3E48-B71A-D0306B40EDF1}">
      <text>
        <r>
          <rPr>
            <sz val="10"/>
            <color rgb="FF000000"/>
            <rFont val="Aptos Narrow"/>
            <scheme val="minor"/>
          </rPr>
          <t>======
ID#AAABjx7qQeA
    (2025-05-21 11:33:25)
alice:9/18玉山銀行水單匯入USD11500沖PI-20190801D USD11500</t>
        </r>
      </text>
    </comment>
    <comment ref="K5176" authorId="0" shapeId="0" xr:uid="{E5CF0FCC-DC99-8A43-BEC8-1C5A4D4D815A}">
      <text>
        <r>
          <rPr>
            <sz val="10"/>
            <color rgb="FF000000"/>
            <rFont val="Aptos Narrow"/>
            <scheme val="minor"/>
          </rPr>
          <t>======
ID#AAABjx7qTfQ
    (2025-05-21 11:33:26)
0830 Cathy: Tejinder 告知9/2那週會匯款
0903 Cathy: Chloe告知目前先將進貨日改為9/20，待收到款項在pull in MOXA 
0924:CHLOE同意出200PCS</t>
        </r>
      </text>
    </comment>
    <comment ref="D5177" authorId="0" shapeId="0" xr:uid="{FE26C22D-1FC4-AA47-8CD3-8D52EAC0714C}">
      <text>
        <r>
          <rPr>
            <sz val="10"/>
            <color rgb="FF000000"/>
            <rFont val="Aptos Narrow"/>
            <scheme val="minor"/>
          </rPr>
          <t>======
ID#AAABjx7qPhM
    (2025-05-21 11:33:24)
8/1請chole 提供庫存給yvonne寄出</t>
        </r>
      </text>
    </comment>
    <comment ref="H5177" authorId="0" shapeId="0" xr:uid="{3DA2EEA4-DA4B-8443-A240-D13785A09370}">
      <text>
        <r>
          <rPr>
            <sz val="10"/>
            <color rgb="FF000000"/>
            <rFont val="Aptos Narrow"/>
            <scheme val="minor"/>
          </rPr>
          <t>======
ID#AAABjx7qOME
    (2025-05-21 11:33:24)
ALICE:10/1玉山收到閎亮匯入款NT14645(手續費15)沖PI-20190801E.沖PI-20190820B 合計共NT14660元整</t>
        </r>
      </text>
    </comment>
    <comment ref="K5177" authorId="0" shapeId="0" xr:uid="{E1E96C4D-FF3E-C34A-920E-4C4A875D45FD}">
      <text>
        <r>
          <rPr>
            <sz val="10"/>
            <color rgb="FF000000"/>
            <rFont val="Aptos Narrow"/>
            <scheme val="minor"/>
          </rPr>
          <t>======
ID#AAABjx7qQSo
    (2025-05-21 11:33:25)
沛勁:895256寄出</t>
        </r>
      </text>
    </comment>
    <comment ref="G5179" authorId="0" shapeId="0" xr:uid="{BEAE0BFC-11BF-CD47-BB09-E5F7F8E15706}">
      <text>
        <r>
          <rPr>
            <sz val="10"/>
            <color rgb="FF000000"/>
            <rFont val="Aptos Narrow"/>
            <scheme val="minor"/>
          </rPr>
          <t>======
ID#AAABjx7qTGM
    (2025-05-21 11:33:26)
8/6 Amy EXCHAGE REATE: 31.57</t>
        </r>
      </text>
    </comment>
    <comment ref="H5179" authorId="0" shapeId="0" xr:uid="{FFA7B494-030D-D743-BB4C-7DC6886C4EB8}">
      <text>
        <r>
          <rPr>
            <sz val="10"/>
            <color rgb="FF000000"/>
            <rFont val="Aptos Narrow"/>
            <scheme val="minor"/>
          </rPr>
          <t>======
ID#AAABjx7qO-o
    (2025-05-21 11:33:24)
8/6 Amy EXCHAGE REATE: 31.57
8/28玉山銀行已收到台灣脈動匯入款NT59,621(含手續費10)</t>
        </r>
      </text>
    </comment>
    <comment ref="E5180" authorId="0" shapeId="0" xr:uid="{56766600-EE15-EE47-80AE-2219C7018887}">
      <text>
        <r>
          <rPr>
            <sz val="10"/>
            <color rgb="FF000000"/>
            <rFont val="Aptos Narrow"/>
            <scheme val="minor"/>
          </rPr>
          <t>======
ID#AAABjx7qQW8
    (2025-05-21 11:33:25)
0814 chloe :w/o Cable</t>
        </r>
      </text>
    </comment>
    <comment ref="H5180" authorId="0" shapeId="0" xr:uid="{18A34A31-28AA-A34C-B7A8-D3A67F14DD72}">
      <text>
        <r>
          <rPr>
            <sz val="10"/>
            <color rgb="FF000000"/>
            <rFont val="Aptos Narrow"/>
            <scheme val="minor"/>
          </rPr>
          <t>======
ID#AAABjx7qVe8
    (2025-05-21 11:33:27)
ALICE:9/9電文通知ALCOM PI-20190808A匯入USD1180</t>
        </r>
      </text>
    </comment>
    <comment ref="H5181" authorId="0" shapeId="0" xr:uid="{0DBF2E8C-5EC8-6A4C-AADC-732DC1BCE23E}">
      <text>
        <r>
          <rPr>
            <sz val="10"/>
            <color rgb="FF000000"/>
            <rFont val="Aptos Narrow"/>
            <scheme val="minor"/>
          </rPr>
          <t>======
ID#AAABjx7qSdY
    (2025-05-21 11:33:26)
ALICE:9/9電文通知ALCOM PI-20190808A匯入USD1180</t>
        </r>
      </text>
    </comment>
    <comment ref="E5182" authorId="0" shapeId="0" xr:uid="{CF2B8EB0-8ECB-B54F-AA59-18BE6073A5D6}">
      <text>
        <r>
          <rPr>
            <sz val="10"/>
            <color rgb="FF000000"/>
            <rFont val="Aptos Narrow"/>
            <scheme val="minor"/>
          </rPr>
          <t>======
ID#AAABjx7qNxQ
    (2025-05-21 11:33:23)
0802 chloe: EU Adaper</t>
        </r>
      </text>
    </comment>
    <comment ref="H5182" authorId="0" shapeId="0" xr:uid="{17EF09E2-7FBB-5548-AD07-B05C0423BEED}">
      <text>
        <r>
          <rPr>
            <sz val="10"/>
            <color rgb="FF000000"/>
            <rFont val="Aptos Narrow"/>
            <scheme val="minor"/>
          </rPr>
          <t>======
ID#AAABjx7qWUc
    (2025-05-21 11:33:27)
Alice:2019/08/13水單匯入USD2968沖PI-20190812A</t>
        </r>
      </text>
    </comment>
    <comment ref="D5183" authorId="0" shapeId="0" xr:uid="{3E343E34-16F2-8044-85FD-53A634A26163}">
      <text>
        <r>
          <rPr>
            <sz val="10"/>
            <color rgb="FF000000"/>
            <rFont val="Aptos Narrow"/>
            <scheme val="minor"/>
          </rPr>
          <t>======
ID#AAABjx7qO_E
    (2025-05-21 11:33:24)
在此輸入
需要分兩次出貨
8/21請yvonne 協助下單
9/3 告知會再這兩日匯款</t>
        </r>
      </text>
    </comment>
    <comment ref="H5183" authorId="0" shapeId="0" xr:uid="{4D5E2195-6A60-644C-A009-4022C4748587}">
      <text>
        <r>
          <rPr>
            <sz val="10"/>
            <color rgb="FF000000"/>
            <rFont val="Aptos Narrow"/>
            <scheme val="minor"/>
          </rPr>
          <t>======
ID#AAABjx7qRxA
    (2025-05-21 11:33:25)
ALICE:9/10玉山水單匯入USD5607元，沖PI-20190813A USD5147.沖PI-20190813A-1 460，合計總沖USD5607元整</t>
        </r>
      </text>
    </comment>
    <comment ref="K5183" authorId="0" shapeId="0" xr:uid="{CB9D04F9-FC47-4441-AC2E-EF1239F72600}">
      <text>
        <r>
          <rPr>
            <sz val="10"/>
            <color rgb="FF000000"/>
            <rFont val="Aptos Narrow"/>
            <scheme val="minor"/>
          </rPr>
          <t>======
ID#AAABjx7qVVk
    (2025-05-21 11:33:27)
在此輸入
0821 CATHY : 客人希望2W交貨(不然可能canel order)，待交期確認後，就請客人先匯款
0826 Cathy : 客人告知預計9/2匯款，請如期出貨 
0902YVONNE:待客戶匯款後出貨</t>
        </r>
      </text>
    </comment>
    <comment ref="D5184" authorId="0" shapeId="0" xr:uid="{194B3CA4-7DFE-1549-ACB9-1FE968D64DE9}">
      <text>
        <r>
          <rPr>
            <sz val="10"/>
            <color rgb="FF000000"/>
            <rFont val="Aptos Narrow"/>
            <scheme val="minor"/>
          </rPr>
          <t>======
ID#AAABjx7qN4A
    (2025-05-21 11:33:23)
在此輸入
需要分兩次出貨
8/21請yvonne 協助下單
9/3 告知會再這兩日匯款</t>
        </r>
      </text>
    </comment>
    <comment ref="E5184" authorId="0" shapeId="0" xr:uid="{64DCDE79-4C11-AF4A-87B2-24085D6AD61D}">
      <text>
        <r>
          <rPr>
            <sz val="10"/>
            <color rgb="FF000000"/>
            <rFont val="Aptos Narrow"/>
            <scheme val="minor"/>
          </rPr>
          <t>======
ID#AAABj82dpI0
    (2025-05-21 11:33:23)
下單Nport W2150A-EU BAND w/EU adaptor</t>
        </r>
      </text>
    </comment>
    <comment ref="H5184" authorId="0" shapeId="0" xr:uid="{6ABD5797-BDF0-AF4A-86FC-1919329E9C5D}">
      <text>
        <r>
          <rPr>
            <sz val="10"/>
            <color rgb="FF000000"/>
            <rFont val="Aptos Narrow"/>
            <scheme val="minor"/>
          </rPr>
          <t>======
ID#AAABjx7qVaI
    (2025-05-21 11:33:27)
ALICE:9/10玉山水單匯入USD5607元，沖PI-20190813A USD5147.沖PI-20190813A-1 460，合計總沖USD5607元整</t>
        </r>
      </text>
    </comment>
    <comment ref="K5184" authorId="0" shapeId="0" xr:uid="{5E549E5F-858F-3440-A88C-70DCDD175985}">
      <text>
        <r>
          <rPr>
            <sz val="10"/>
            <color rgb="FF000000"/>
            <rFont val="Aptos Narrow"/>
            <scheme val="minor"/>
          </rPr>
          <t>======
ID#AAABjx7qRNA
    (2025-05-21 11:33:25)
0821 CATHY : 客人希望2W交貨(不然可能canel order)，待交期確認後，就請客人先匯款
0826 Cathy : 客人告知預計9/2匯款，請如期出貨</t>
        </r>
      </text>
    </comment>
    <comment ref="D5185" authorId="0" shapeId="0" xr:uid="{CD7ADDF8-023C-4940-A54C-BF6A4F725925}">
      <text>
        <r>
          <rPr>
            <sz val="10"/>
            <color rgb="FF000000"/>
            <rFont val="Aptos Narrow"/>
            <scheme val="minor"/>
          </rPr>
          <t>======
ID#AAABjx7qPaE
    (2025-05-21 11:33:24)
在此輸入
需要分兩次出貨
8/21請yvonne 協助下單
9/3 告知會再這兩日匯款</t>
        </r>
      </text>
    </comment>
    <comment ref="H5185" authorId="0" shapeId="0" xr:uid="{725B29CF-D74C-9446-BC36-A1909C681B1E}">
      <text>
        <r>
          <rPr>
            <sz val="10"/>
            <color rgb="FF000000"/>
            <rFont val="Aptos Narrow"/>
            <scheme val="minor"/>
          </rPr>
          <t>======
ID#AAABjx7qSso
    (2025-05-21 11:33:26)
ALICE:9/10玉山水單匯入USD5607元，沖PI-20190813A USD5147.沖PI-20190813A-1 460，合計總沖USD5607元整</t>
        </r>
      </text>
    </comment>
    <comment ref="K5185" authorId="0" shapeId="0" xr:uid="{D294DAD9-D856-0247-9BC5-55D7B5855BF9}">
      <text>
        <r>
          <rPr>
            <sz val="10"/>
            <color rgb="FF000000"/>
            <rFont val="Aptos Narrow"/>
            <scheme val="minor"/>
          </rPr>
          <t>======
ID#AAABjx7qVMg
    (2025-05-21 11:33:27)
0821 CATHY : 客人希望2W交貨(不然可能canel order)，待交期確認後，就請客人先匯款
0826 Cathy : 客人告知預計9/2匯款，請如期出貨 
0909 YVONNE:待客戶付款安排
出貨</t>
        </r>
      </text>
    </comment>
    <comment ref="D5186" authorId="0" shapeId="0" xr:uid="{314AFCE5-E617-B540-AA60-6A044642526C}">
      <text>
        <r>
          <rPr>
            <sz val="10"/>
            <color rgb="FF000000"/>
            <rFont val="Aptos Narrow"/>
            <scheme val="minor"/>
          </rPr>
          <t>======
ID#AAABjx7qVSc
    (2025-05-21 11:33:27)
0813 請chloe 協助下單</t>
        </r>
      </text>
    </comment>
    <comment ref="H5186" authorId="0" shapeId="0" xr:uid="{934B8D4B-1A6B-B142-A00D-6976B6AA0040}">
      <text>
        <r>
          <rPr>
            <sz val="10"/>
            <color rgb="FF000000"/>
            <rFont val="Aptos Narrow"/>
            <scheme val="minor"/>
          </rPr>
          <t>======
ID#AAABjx7qS6g
    (2025-05-21 11:33:26)
ALICE:9/10玉山匯入NT108650沖PI20190719A.PI-20190722B.PI-20190725A.PI20190813B</t>
        </r>
      </text>
    </comment>
    <comment ref="D5187" authorId="0" shapeId="0" xr:uid="{8E44DB8D-79DC-1140-974C-9145E261757F}">
      <text>
        <r>
          <rPr>
            <sz val="10"/>
            <color rgb="FF000000"/>
            <rFont val="Aptos Narrow"/>
            <scheme val="minor"/>
          </rPr>
          <t>======
ID#AAABjx7qVUA
    (2025-05-21 11:33:27)
0813 請chloe 協助下單</t>
        </r>
      </text>
    </comment>
    <comment ref="E5187" authorId="0" shapeId="0" xr:uid="{68F6F070-F0E4-284F-A1D7-E825B885C0F6}">
      <text>
        <r>
          <rPr>
            <sz val="10"/>
            <color rgb="FF000000"/>
            <rFont val="Aptos Narrow"/>
            <scheme val="minor"/>
          </rPr>
          <t>======
ID#AAABjx7qWOM
    (2025-05-21 11:33:27)
US Adaptor</t>
        </r>
      </text>
    </comment>
    <comment ref="H5187" authorId="0" shapeId="0" xr:uid="{B7F850B1-4C48-BA4B-8DCF-333F1340BF1D}">
      <text>
        <r>
          <rPr>
            <sz val="10"/>
            <color rgb="FF000000"/>
            <rFont val="Aptos Narrow"/>
            <scheme val="minor"/>
          </rPr>
          <t>======
ID#AAABjx7qOxM
    (2025-05-21 11:33:24)
ALICE:9/10玉山匯入NT108650沖PI20190719A.PI-20190722B.PI-20190725A.PI20190813B</t>
        </r>
      </text>
    </comment>
    <comment ref="G5188" authorId="0" shapeId="0" xr:uid="{67CCE369-5AE9-0F45-AF0A-2D07463336CF}">
      <text>
        <r>
          <rPr>
            <sz val="10"/>
            <color rgb="FF000000"/>
            <rFont val="Aptos Narrow"/>
            <scheme val="minor"/>
          </rPr>
          <t>======
ID#AAABjx7qSys
    (2025-05-21 11:33:26)
190718 Tammy: w/5%</t>
        </r>
      </text>
    </comment>
    <comment ref="H5188" authorId="0" shapeId="0" xr:uid="{39EA9CFE-4682-9545-8028-D00BCDF3257C}">
      <text>
        <r>
          <rPr>
            <sz val="10"/>
            <color rgb="FF000000"/>
            <rFont val="Aptos Narrow"/>
            <scheme val="minor"/>
          </rPr>
          <t>======
ID#AAABjx7qPts
    (2025-05-21 11:33:24)
ALICE:8/22玉山銀行匯入NT1,596,000+NT1,978=NT1,597,978元整，沖PI-20190717C NT1,586,124 ，沖PI-20190813C NT11,854</t>
        </r>
      </text>
    </comment>
    <comment ref="H5189" authorId="0" shapeId="0" xr:uid="{80A3BCF5-2A08-EC4A-A0C2-D8F851A6E598}">
      <text>
        <r>
          <rPr>
            <sz val="10"/>
            <color rgb="FF000000"/>
            <rFont val="Aptos Narrow"/>
            <scheme val="minor"/>
          </rPr>
          <t>======
ID#AAABjx7qQ-w
    (2025-05-21 11:33:25)
alice:10/3合庫匯入NT303467(手續費30)沖PI-20190814A 303497元整</t>
        </r>
      </text>
    </comment>
    <comment ref="H5190" authorId="0" shapeId="0" xr:uid="{FEF7FEDA-3E0F-5343-B1C5-7EA64CF7A5D4}">
      <text>
        <r>
          <rPr>
            <sz val="10"/>
            <color rgb="FF000000"/>
            <rFont val="Aptos Narrow"/>
            <scheme val="minor"/>
          </rPr>
          <t>======
ID#AAABjx7qNtk
    (2025-05-21 11:33:23)
ALICE:9/26玉山銀行匯入USD1212元整，沖PI-20190819A USD1092，沖PI-20190814C USD120</t>
        </r>
      </text>
    </comment>
    <comment ref="H5191" authorId="0" shapeId="0" xr:uid="{370EBF02-7B54-3044-8EE3-9DEF0A50EC08}">
      <text>
        <r>
          <rPr>
            <sz val="10"/>
            <color rgb="FF000000"/>
            <rFont val="Aptos Narrow"/>
            <scheme val="minor"/>
          </rPr>
          <t>======
ID#AAABjx7qVbM
    (2025-05-21 11:33:27)
ALICE:9/26玉山水單匯入USD16657沖PI-20190704A USD655.沖PI-20190704A-F USD96.沖PI20190717E USD11479.沖PI-20190726B USD4245.沖PI-20190726B-F 182總沖16657</t>
        </r>
      </text>
    </comment>
    <comment ref="H5192" authorId="0" shapeId="0" xr:uid="{D993D6FF-42B5-E547-B8DA-CF6649A8F275}">
      <text>
        <r>
          <rPr>
            <sz val="10"/>
            <color rgb="FF000000"/>
            <rFont val="Aptos Narrow"/>
            <scheme val="minor"/>
          </rPr>
          <t>======
ID#AAABjx7qNws
    (2025-05-21 11:33:23)
ALICE:8/22玉山匯入USD4512.6沖PI-20190815A USD4512.6</t>
        </r>
      </text>
    </comment>
    <comment ref="H5193" authorId="0" shapeId="0" xr:uid="{D0AA01DF-5CC2-1C41-BAA0-851FA96A938B}">
      <text>
        <r>
          <rPr>
            <sz val="10"/>
            <color rgb="FF000000"/>
            <rFont val="Aptos Narrow"/>
            <scheme val="minor"/>
          </rPr>
          <t>======
ID#AAABjx7qVkA
    (2025-05-21 11:33:27)
ALICE:8/22玉山匯入USD4512.6沖PI-20190815A USD4512.6</t>
        </r>
      </text>
    </comment>
    <comment ref="E5194" authorId="0" shapeId="0" xr:uid="{F4A6830E-821F-7645-B44A-3CF80919958D}">
      <text>
        <r>
          <rPr>
            <sz val="10"/>
            <color rgb="FF000000"/>
            <rFont val="Aptos Narrow"/>
            <scheme val="minor"/>
          </rPr>
          <t>======
ID#AAABjx7qOTc
    (2025-05-21 11:33:24)
1003Kishore: 告知需要加Gasket</t>
        </r>
      </text>
    </comment>
    <comment ref="H5194" authorId="0" shapeId="0" xr:uid="{0B0445BF-636A-CC40-AD53-B719B695F202}">
      <text>
        <r>
          <rPr>
            <sz val="10"/>
            <color rgb="FF000000"/>
            <rFont val="Aptos Narrow"/>
            <scheme val="minor"/>
          </rPr>
          <t>======
ID#AAABjx7qQJo
    (2025-05-21 11:33:25)
ALICE:8/23玉山銀行匯入USD1245沖PI-20190815B USD1245元整</t>
        </r>
      </text>
    </comment>
    <comment ref="K5194" authorId="0" shapeId="0" xr:uid="{4604DD8E-F4DE-B247-9DF8-611995070D2F}">
      <text>
        <r>
          <rPr>
            <sz val="10"/>
            <color rgb="FF000000"/>
            <rFont val="Aptos Narrow"/>
            <scheme val="minor"/>
          </rPr>
          <t>======
ID#AAABjx7qQRQ
    (2025-05-21 11:33:25)
0910 cathy:與san確認可否於10/9 or 10/11 出貨 -&gt;  chloe approve 可於10/9出貨 
1001 :出貨前請Santiago拍照</t>
        </r>
      </text>
    </comment>
    <comment ref="D5195" authorId="0" shapeId="0" xr:uid="{BCD80227-6195-EC4A-BC44-837F085F768C}">
      <text>
        <r>
          <rPr>
            <sz val="10"/>
            <color rgb="FF000000"/>
            <rFont val="Aptos Narrow"/>
            <scheme val="minor"/>
          </rPr>
          <t>======
ID#AAABjx7qPjc
    (2025-05-21 11:33:24)
0827:BANK通知此票進貨檢驗由曦立代驗</t>
        </r>
      </text>
    </comment>
    <comment ref="E5195" authorId="0" shapeId="0" xr:uid="{E08C9F1F-382C-6B40-BF83-F72C6604F254}">
      <text>
        <r>
          <rPr>
            <sz val="10"/>
            <color rgb="FF000000"/>
            <rFont val="Aptos Narrow"/>
            <scheme val="minor"/>
          </rPr>
          <t>======
ID#AAABjx7qNJ4
    (2025-05-21 11:33:23)
0815 進料時有含三條線
0827 發現來料異常 進AA150XT01</t>
        </r>
      </text>
    </comment>
    <comment ref="H5195" authorId="0" shapeId="0" xr:uid="{5179338A-AC3B-FE48-896E-D3F8C84ACEC1}">
      <text>
        <r>
          <rPr>
            <sz val="10"/>
            <color rgb="FF000000"/>
            <rFont val="Aptos Narrow"/>
            <scheme val="minor"/>
          </rPr>
          <t>======
ID#AAABjx7qQ9U
    (2025-05-21 11:33:25)
ALICE:8/23玉山銀行匯入USD1245沖PI-20190815B USD1245元整</t>
        </r>
      </text>
    </comment>
    <comment ref="K5195" authorId="0" shapeId="0" xr:uid="{048C0900-F108-FF49-B46E-243570EAC09F}">
      <text>
        <r>
          <rPr>
            <sz val="10"/>
            <color rgb="FF000000"/>
            <rFont val="Aptos Narrow"/>
            <scheme val="minor"/>
          </rPr>
          <t>======
ID#AAABjx7qVqc
    (2025-05-21 11:33:27)
0910 cathy:與san確認可否於10/9 or 10/11 出貨 -&gt;  chloe approve 可於10/9出貨 
1001 :出貨前請Santiago拍照</t>
        </r>
      </text>
    </comment>
    <comment ref="H5196" authorId="0" shapeId="0" xr:uid="{8C7C1C81-D4AA-2D43-BE8A-07F16CB815BC}">
      <text>
        <r>
          <rPr>
            <sz val="10"/>
            <color rgb="FF000000"/>
            <rFont val="Aptos Narrow"/>
            <scheme val="minor"/>
          </rPr>
          <t>======
ID#AAABjx7qPls
    (2025-05-21 11:33:24)
ALICE:8/30-玉山銀行水單通知USD3464沖PI20190524B-2 USD3010.沖PI-20190524B-F USD454合計共USD3464元整</t>
        </r>
      </text>
    </comment>
    <comment ref="I5196" authorId="0" shapeId="0" xr:uid="{E39F3640-A956-9247-912E-B8795D1D9679}">
      <text>
        <r>
          <rPr>
            <sz val="10"/>
            <color rgb="FF000000"/>
            <rFont val="Aptos Narrow"/>
            <scheme val="minor"/>
          </rPr>
          <t>======
ID#AAABjx7qQQg
    (2025-05-21 11:33:25)
Cathy/Santiago</t>
        </r>
      </text>
    </comment>
    <comment ref="H5197" authorId="0" shapeId="0" xr:uid="{D6180290-A1FB-844F-B5C4-43EEBDB35FA3}">
      <text>
        <r>
          <rPr>
            <sz val="10"/>
            <color rgb="FF000000"/>
            <rFont val="Aptos Narrow"/>
            <scheme val="minor"/>
          </rPr>
          <t>======
ID#AAABjx7qO80
    (2025-05-21 11:33:24)
ALICE:9/26玉山銀行匯入USD1212元整，沖PI-20190819A USD1092，沖PI-20190814C USD120</t>
        </r>
      </text>
    </comment>
    <comment ref="H5198" authorId="0" shapeId="0" xr:uid="{BC840662-1D86-B54E-9F56-ED9B9B4823C9}">
      <text>
        <r>
          <rPr>
            <sz val="10"/>
            <color rgb="FF000000"/>
            <rFont val="Aptos Narrow"/>
            <scheme val="minor"/>
          </rPr>
          <t>======
ID#AAABjx7qN1U
    (2025-05-21 11:33:23)
ALICE:9/26玉山銀行匯入USD1212元整，沖PI-20190819A USD1092，沖PI-20190814C USD120</t>
        </r>
      </text>
    </comment>
    <comment ref="H5199" authorId="0" shapeId="0" xr:uid="{A78901AA-6ECE-1E4E-86C8-2878FA6403AC}">
      <text>
        <r>
          <rPr>
            <sz val="10"/>
            <color rgb="FF000000"/>
            <rFont val="Aptos Narrow"/>
            <scheme val="minor"/>
          </rPr>
          <t>======
ID#AAABjx7qVso
    (2025-05-21 11:33:27)
ALICE:9/26玉山銀行匯入USD1212元整，沖PI-20190819A USD1092，沖PI-20190814C USD120</t>
        </r>
      </text>
    </comment>
    <comment ref="H5200" authorId="0" shapeId="0" xr:uid="{59B44E41-FB2C-D04C-9013-B67895BE2B1D}">
      <text>
        <r>
          <rPr>
            <sz val="10"/>
            <color rgb="FF000000"/>
            <rFont val="Aptos Narrow"/>
            <scheme val="minor"/>
          </rPr>
          <t>======
ID#AAABjx7qMs8
    (2025-05-21 11:33:23)
ALICE:10/17玉山匯入款usd1332沖PI-20190819A USD1332</t>
        </r>
      </text>
    </comment>
    <comment ref="H5201" authorId="0" shapeId="0" xr:uid="{8F892323-84C5-974D-AEF4-385BA557F988}">
      <text>
        <r>
          <rPr>
            <sz val="10"/>
            <color rgb="FF000000"/>
            <rFont val="Aptos Narrow"/>
            <scheme val="minor"/>
          </rPr>
          <t>======
ID#AAABj82dpM0
    (2025-05-21 11:33:23)
ALICE:10/1玉山收到閎亮匯入款NT14645(手續費15)沖PI-20190801E.沖PI-20190820B 合計共NT14660元整</t>
        </r>
      </text>
    </comment>
    <comment ref="D5202" authorId="0" shapeId="0" xr:uid="{852C7551-85C4-434F-8067-CBA3BBFE33E9}">
      <text>
        <r>
          <rPr>
            <sz val="10"/>
            <color rgb="FF000000"/>
            <rFont val="Aptos Narrow"/>
            <scheme val="minor"/>
          </rPr>
          <t>======
ID#AAABjx7qVuU
    (2025-05-21 11:33:27)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2" authorId="0" shapeId="0" xr:uid="{EC7F8D08-A68D-C048-8047-05E8ACBA7C9F}">
      <text>
        <r>
          <rPr>
            <sz val="10"/>
            <color rgb="FF000000"/>
            <rFont val="Aptos Narrow"/>
            <scheme val="minor"/>
          </rPr>
          <t>======
ID#AAABjx7qTk4
    (2025-05-21 11:33:26)
ALICE:9/27玉山銀行匯入USD3962元整，沖PI-2190820A 應收USD3962實收3922差額USD40元(手續費)</t>
        </r>
      </text>
    </comment>
    <comment ref="J5202" authorId="0" shapeId="0" xr:uid="{4688298A-E90C-D543-9D0B-338957BE9419}">
      <text>
        <r>
          <rPr>
            <sz val="10"/>
            <color rgb="FF000000"/>
            <rFont val="Aptos Narrow"/>
            <scheme val="minor"/>
          </rPr>
          <t>======
ID#AAABjx7qQe8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2" authorId="0" shapeId="0" xr:uid="{B47BB4A1-FEC7-C949-9048-7748D4149745}">
      <text>
        <r>
          <rPr>
            <sz val="10"/>
            <color rgb="FF000000"/>
            <rFont val="Aptos Narrow"/>
            <scheme val="minor"/>
          </rPr>
          <t>======
ID#AAABjx7qO8A
    (2025-05-21 11:33:24)
1028 cathy 告知客人交期要延到12月底 
0920 請客人確認moxa交期可否接受</t>
        </r>
      </text>
    </comment>
    <comment ref="D5203" authorId="0" shapeId="0" xr:uid="{9413EEB1-A518-7346-9D36-BF241F349F5E}">
      <text>
        <r>
          <rPr>
            <sz val="10"/>
            <color rgb="FF000000"/>
            <rFont val="Aptos Narrow"/>
            <scheme val="minor"/>
          </rPr>
          <t>======
ID#AAABjx7qSGQ
    (2025-05-21 11:33:26)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3" authorId="0" shapeId="0" xr:uid="{B8A5341C-7408-0B4D-9DB0-A93AFE6F79C9}">
      <text>
        <r>
          <rPr>
            <sz val="10"/>
            <color rgb="FF000000"/>
            <rFont val="Aptos Narrow"/>
            <scheme val="minor"/>
          </rPr>
          <t>======
ID#AAABjx7qQpU
    (2025-05-21 11:33:25)
ALICE:9/27玉山銀行匯入USD3962元整，沖PI-2190820A 應收USD3962實收3922差額USD40元(手續費)</t>
        </r>
      </text>
    </comment>
    <comment ref="J5203" authorId="0" shapeId="0" xr:uid="{DBD8E8E9-3680-634F-8C18-A5ADD5A42924}">
      <text>
        <r>
          <rPr>
            <sz val="10"/>
            <color rgb="FF000000"/>
            <rFont val="Aptos Narrow"/>
            <scheme val="minor"/>
          </rPr>
          <t>======
ID#AAABjx7qR8U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3" authorId="0" shapeId="0" xr:uid="{1F2A8F54-36E6-4548-8F85-C60A2D0E1F46}">
      <text>
        <r>
          <rPr>
            <sz val="10"/>
            <color rgb="FF000000"/>
            <rFont val="Aptos Narrow"/>
            <scheme val="minor"/>
          </rPr>
          <t>======
ID#AAABjx7qR-8
    (2025-05-21 11:33:25)
1028 cathy 告知客人交期要延到12月底 
0920 請客人確認moxa交期可否接受</t>
        </r>
      </text>
    </comment>
    <comment ref="D5204" authorId="0" shapeId="0" xr:uid="{BCE596D4-4E37-434D-9B1A-52F584320C38}">
      <text>
        <r>
          <rPr>
            <sz val="10"/>
            <color rgb="FF000000"/>
            <rFont val="Aptos Narrow"/>
            <scheme val="minor"/>
          </rPr>
          <t>======
ID#AAABjx7qRJg
    (2025-05-21 11:33:25)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4" authorId="0" shapeId="0" xr:uid="{735D70B1-9033-E245-B6CB-7FCE624A7F1C}">
      <text>
        <r>
          <rPr>
            <sz val="10"/>
            <color rgb="FF000000"/>
            <rFont val="Aptos Narrow"/>
            <scheme val="minor"/>
          </rPr>
          <t>======
ID#AAABjx7qNLg
    (2025-05-21 11:33:23)
ALICE:9/27玉山銀行匯入USD3962元整，沖PI-2190820A 應收USD3962實收3922差額USD40元(手續費)</t>
        </r>
      </text>
    </comment>
    <comment ref="J5204" authorId="0" shapeId="0" xr:uid="{74CBA0A4-5596-F04A-89DC-94B3401AF28E}">
      <text>
        <r>
          <rPr>
            <sz val="10"/>
            <color rgb="FF000000"/>
            <rFont val="Aptos Narrow"/>
            <scheme val="minor"/>
          </rPr>
          <t>======
ID#AAABjx7qStc
    (2025-05-21 11:33:26)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4" authorId="0" shapeId="0" xr:uid="{CAE5D6DB-DFD0-9742-B223-EB288311390F}">
      <text>
        <r>
          <rPr>
            <sz val="10"/>
            <color rgb="FF000000"/>
            <rFont val="Aptos Narrow"/>
            <scheme val="minor"/>
          </rPr>
          <t>======
ID#AAABjx7qONw
    (2025-05-21 11:33:24)
1028 cathy 告知客人交期要延到12月底 
0920 請客人確認moxa交期可否接受</t>
        </r>
      </text>
    </comment>
    <comment ref="D5205" authorId="0" shapeId="0" xr:uid="{1CC93815-EBDB-974C-A82D-32AFDB3EE9B0}">
      <text>
        <r>
          <rPr>
            <sz val="10"/>
            <color rgb="FF000000"/>
            <rFont val="Aptos Narrow"/>
            <scheme val="minor"/>
          </rPr>
          <t>======
ID#AAABjx7qPzk
    (2025-05-21 11:33:24)
0820 Cathy: santi mail 告知提供PI給客人，待客戶簽回
0902 Cathy: double confirm with client if they will place an order 
0910 請chloe 下單
0920  Cathy : 詢問客人交期有否辦法接受(物料無法cancel)</t>
        </r>
      </text>
    </comment>
    <comment ref="H5205" authorId="0" shapeId="0" xr:uid="{66164FB2-BF8D-9144-9038-A6EE3BDAF3B4}">
      <text>
        <r>
          <rPr>
            <sz val="10"/>
            <color rgb="FF000000"/>
            <rFont val="Aptos Narrow"/>
            <scheme val="minor"/>
          </rPr>
          <t>======
ID#AAABjx7qNEQ
    (2025-05-21 11:33:23)
ALICE:9/27玉山銀行匯入USD3962元整，沖PI-2190820A 應收USD3962實收3922差額USD40元(手續費)</t>
        </r>
      </text>
    </comment>
    <comment ref="J5205" authorId="0" shapeId="0" xr:uid="{D1DD93C7-111E-4D49-8067-2D00B3501001}">
      <text>
        <r>
          <rPr>
            <sz val="10"/>
            <color rgb="FF000000"/>
            <rFont val="Aptos Narrow"/>
            <scheme val="minor"/>
          </rPr>
          <t>======
ID#AAABjx7qQ8U
    (2025-05-21 11:33:25)
0909 Yap 告知待提供
0912 CATHY: 請Yvonne 確認account 可否堪用，只能由客人booking
1002確認出貨ACCOUNT
1003 客人告知待提供出貨invoice&amp; PL 才會給正確運輸account 
1209 yvonne:已通知客戶PK,但客戶尚未回付出貨方式。
1212YVONNE:客戶端BOOKING TNT</t>
        </r>
      </text>
    </comment>
    <comment ref="K5205" authorId="0" shapeId="0" xr:uid="{62E4D19E-37CE-B546-9660-6C6B6B83A0D9}">
      <text>
        <r>
          <rPr>
            <sz val="10"/>
            <color rgb="FF000000"/>
            <rFont val="Aptos Narrow"/>
            <scheme val="minor"/>
          </rPr>
          <t>======
ID#AAABjx7qVpU
    (2025-05-21 11:33:27)
1028 cathy 告知客人交期要延到12月底 
0920 請客人確認moxa交期可否接受</t>
        </r>
      </text>
    </comment>
    <comment ref="H5206" authorId="0" shapeId="0" xr:uid="{437BD9D8-109A-4B4F-A91E-BE79B1650FC0}">
      <text>
        <r>
          <rPr>
            <sz val="10"/>
            <color rgb="FF000000"/>
            <rFont val="Aptos Narrow"/>
            <scheme val="minor"/>
          </rPr>
          <t>======
ID#AAABjx7qV4I
    (2025-05-21 11:33:27)
ALICE:10/9-玉山匯入USD700-手續費USD24.49=USD673.51沖PI-20190821A USD700元整</t>
        </r>
      </text>
    </comment>
    <comment ref="H5207" authorId="0" shapeId="0" xr:uid="{F6973D79-AF65-BD4C-B2E0-05A434837195}">
      <text>
        <r>
          <rPr>
            <sz val="10"/>
            <color rgb="FF000000"/>
            <rFont val="Aptos Narrow"/>
            <scheme val="minor"/>
          </rPr>
          <t>======
ID#AAABjx7qRRw
    (2025-05-21 11:33:25)
ALICE:10/9-玉山匯入USD700-手續費USD24.49=USD673.51沖PI-20190821A USD700元整</t>
        </r>
      </text>
    </comment>
    <comment ref="G5208" authorId="0" shapeId="0" xr:uid="{6FCB3259-DC8D-8C42-BB21-B0E9B50FEBE3}">
      <text>
        <r>
          <rPr>
            <sz val="10"/>
            <color rgb="FF000000"/>
            <rFont val="Aptos Narrow"/>
            <scheme val="minor"/>
          </rPr>
          <t>======
ID#AAABjx7qVCA
    (2025-05-21 11:33:27)
w/5%VAT</t>
        </r>
      </text>
    </comment>
    <comment ref="H5208" authorId="0" shapeId="0" xr:uid="{C07546C7-4234-B64E-B7AE-86719E91E922}">
      <text>
        <r>
          <rPr>
            <sz val="10"/>
            <color rgb="FF000000"/>
            <rFont val="Aptos Narrow"/>
            <scheme val="minor"/>
          </rPr>
          <t>======
ID#AAABjx7qNnA
    (2025-05-21 11:33:23)
ALICE:10/25-新漢匯入合庫NT46584手續費15</t>
        </r>
      </text>
    </comment>
    <comment ref="D5209" authorId="0" shapeId="0" xr:uid="{773A919C-CBAB-C64E-A664-C1A10B2C29F2}">
      <text>
        <r>
          <rPr>
            <sz val="10"/>
            <color rgb="FF000000"/>
            <rFont val="Aptos Narrow"/>
            <scheme val="minor"/>
          </rPr>
          <t>======
ID#AAABjx7qVUQ
    (2025-05-21 11:33:27)
8/21 請chloe協助下單</t>
        </r>
      </text>
    </comment>
    <comment ref="H5209" authorId="0" shapeId="0" xr:uid="{B8B39664-FB04-A444-9F8D-07C4D267DD0A}">
      <text>
        <r>
          <rPr>
            <sz val="10"/>
            <color rgb="FF000000"/>
            <rFont val="Aptos Narrow"/>
            <scheme val="minor"/>
          </rPr>
          <t>======
ID#AAABjx7qQws
    (2025-05-21 11:33:25)
ALICE:10/5-玉山NT匯入59340沖PI20190821C.PI-20190829B.PI-20190906A合計共NT59355元整</t>
        </r>
      </text>
    </comment>
    <comment ref="D5210" authorId="0" shapeId="0" xr:uid="{E536760F-76D5-2149-977D-290B1CA1030D}">
      <text>
        <r>
          <rPr>
            <sz val="10"/>
            <color rgb="FF000000"/>
            <rFont val="Aptos Narrow"/>
            <scheme val="minor"/>
          </rPr>
          <t>======
ID#AAABjx7qUtw
    (2025-05-21 11:33:26)
8/21 請chloe協助下單</t>
        </r>
      </text>
    </comment>
    <comment ref="E5210" authorId="0" shapeId="0" xr:uid="{C7E892DA-54D9-704E-88E2-DFFFAD25BD1E}">
      <text>
        <r>
          <rPr>
            <sz val="10"/>
            <color rgb="FF000000"/>
            <rFont val="Aptos Narrow"/>
            <scheme val="minor"/>
          </rPr>
          <t>======
ID#AAABjx7qRhE
    (2025-05-21 11:33:25)
Chole 告知上次下單為US Adaptor</t>
        </r>
      </text>
    </comment>
    <comment ref="H5210" authorId="0" shapeId="0" xr:uid="{6BCCE468-D6EB-2643-8D56-F34E28F745C4}">
      <text>
        <r>
          <rPr>
            <sz val="10"/>
            <color rgb="FF000000"/>
            <rFont val="Aptos Narrow"/>
            <scheme val="minor"/>
          </rPr>
          <t>======
ID#AAABjx7qTDw
    (2025-05-21 11:33:26)
ALICE:10/5-玉山NT匯入59340沖PI20190821C.PI-20190829B.PI-20190906A合計共NT59355元整</t>
        </r>
      </text>
    </comment>
    <comment ref="G5211" authorId="0" shapeId="0" xr:uid="{23F0FD69-64D8-274C-BA50-41FCC203A1E1}">
      <text>
        <r>
          <rPr>
            <sz val="10"/>
            <color rgb="FF000000"/>
            <rFont val="Aptos Narrow"/>
            <scheme val="minor"/>
          </rPr>
          <t>======
ID#AAABjx7qPwU
    (2025-05-21 11:33:24)
190215 w/5% vat</t>
        </r>
      </text>
    </comment>
    <comment ref="H5211" authorId="0" shapeId="0" xr:uid="{6FA76B4B-5C2C-6242-9176-D0FBA6241DFA}">
      <text>
        <r>
          <rPr>
            <sz val="10"/>
            <color rgb="FF000000"/>
            <rFont val="Aptos Narrow"/>
            <scheme val="minor"/>
          </rPr>
          <t>======
ID#AAABjx7qQOg
    (2025-05-21 11:33:25)
ALICE:10/31-合庫匯入NT49350沖季宣49378</t>
        </r>
      </text>
    </comment>
    <comment ref="K5211" authorId="0" shapeId="0" xr:uid="{BEE28B0C-FF3C-334A-8593-D22BFA0DC569}">
      <text>
        <r>
          <rPr>
            <sz val="10"/>
            <color rgb="FF000000"/>
            <rFont val="Aptos Narrow"/>
            <scheme val="minor"/>
          </rPr>
          <t>======
ID#AAABjx7qRPQ
    (2025-05-21 11:33:25)
0903:TAMMY通知SAN同意先放貨後付款</t>
        </r>
      </text>
    </comment>
    <comment ref="G5212" authorId="0" shapeId="0" xr:uid="{4AECA967-E1E5-5941-B2C6-66BEA1F19D9A}">
      <text>
        <r>
          <rPr>
            <sz val="10"/>
            <color rgb="FF000000"/>
            <rFont val="Aptos Narrow"/>
            <scheme val="minor"/>
          </rPr>
          <t>======
ID#AAABjx7qQYE
    (2025-05-21 11:33:25)
190215 w/5% vat</t>
        </r>
      </text>
    </comment>
    <comment ref="H5212" authorId="0" shapeId="0" xr:uid="{E8514D5F-77AB-0A46-86A6-2CEC8BCCDB6A}">
      <text>
        <r>
          <rPr>
            <sz val="10"/>
            <color rgb="FF000000"/>
            <rFont val="Aptos Narrow"/>
            <scheme val="minor"/>
          </rPr>
          <t>======
ID#AAABjx7qQ7Y
    (2025-05-21 11:33:25)
ALICE:10/31-合庫匯入NT49350沖季宣49378</t>
        </r>
      </text>
    </comment>
    <comment ref="K5212" authorId="0" shapeId="0" xr:uid="{CF1BAA96-4809-FB49-923C-25706111F66F}">
      <text>
        <r>
          <rPr>
            <sz val="10"/>
            <color rgb="FF000000"/>
            <rFont val="Aptos Narrow"/>
            <scheme val="minor"/>
          </rPr>
          <t>======
ID#AAABjx7qSsE
    (2025-05-21 11:33:26)
0903:TAMMY通知SAN同意先放貨後付款</t>
        </r>
      </text>
    </comment>
    <comment ref="G5213" authorId="0" shapeId="0" xr:uid="{0FDDB402-781B-4C4E-994A-B199ACC13215}">
      <text>
        <r>
          <rPr>
            <sz val="10"/>
            <color rgb="FF000000"/>
            <rFont val="Aptos Narrow"/>
            <scheme val="minor"/>
          </rPr>
          <t>======
ID#AAABjx7qOAc
    (2025-05-21 11:33:24)
190215 w/5% vat</t>
        </r>
      </text>
    </comment>
    <comment ref="H5213" authorId="0" shapeId="0" xr:uid="{B23D6990-5EA9-C047-9DAC-E909E3F7A300}">
      <text>
        <r>
          <rPr>
            <sz val="10"/>
            <color rgb="FF000000"/>
            <rFont val="Aptos Narrow"/>
            <scheme val="minor"/>
          </rPr>
          <t>======
ID#AAABjx7qPEg
    (2025-05-21 11:33:24)
ALICE:10/31-合庫匯入NT49350沖季宣49378</t>
        </r>
      </text>
    </comment>
    <comment ref="K5214" authorId="0" shapeId="0" xr:uid="{5329C068-00C0-FE47-8F3D-4BDEBAEE6BC7}">
      <text>
        <r>
          <rPr>
            <sz val="10"/>
            <color rgb="FF000000"/>
            <rFont val="Aptos Narrow"/>
            <scheme val="minor"/>
          </rPr>
          <t>======
ID#AAABjx7qSC0
    (2025-05-21 11:33:25)
0826YVONNE:寄出，g504樣品出口，簡易報關。</t>
        </r>
      </text>
    </comment>
    <comment ref="K5215" authorId="0" shapeId="0" xr:uid="{AF9FD542-AF4E-C14D-8ED1-1FE01F09C383}">
      <text>
        <r>
          <rPr>
            <sz val="10"/>
            <color rgb="FF000000"/>
            <rFont val="Aptos Narrow"/>
            <scheme val="minor"/>
          </rPr>
          <t>======
ID#AAABjx7qShY
    (2025-05-21 11:33:26)
0826YVONNE:寄出，g504樣品出口，簡易報關。</t>
        </r>
      </text>
    </comment>
    <comment ref="I5216" authorId="0" shapeId="0" xr:uid="{D12E6746-423E-534E-8940-C86312B6D7DA}">
      <text>
        <r>
          <rPr>
            <sz val="10"/>
            <color rgb="FF000000"/>
            <rFont val="Aptos Narrow"/>
            <scheme val="minor"/>
          </rPr>
          <t>======
ID#AAABjx7qSq0
    (2025-05-21 11:33:26)
Cathy/Santiago</t>
        </r>
      </text>
    </comment>
    <comment ref="K5216" authorId="0" shapeId="0" xr:uid="{EFA9F136-9DE1-8B4B-BCAE-98551A178567}">
      <text>
        <r>
          <rPr>
            <sz val="10"/>
            <color rgb="FF000000"/>
            <rFont val="Aptos Narrow"/>
            <scheme val="minor"/>
          </rPr>
          <t>======
ID#AAABjx7qVL8
    (2025-05-21 11:33:27)
1105 Cathy: 已有通知Armi客人可以吸收</t>
        </r>
      </text>
    </comment>
    <comment ref="D5217" authorId="0" shapeId="0" xr:uid="{67BD34CD-E02E-4540-A6E7-BD6503A0408F}">
      <text>
        <r>
          <rPr>
            <sz val="10"/>
            <color rgb="FF000000"/>
            <rFont val="Aptos Narrow"/>
            <scheme val="minor"/>
          </rPr>
          <t>======
ID#AAABjx7qR9g
    (2025-05-21 11:33:25)
0828 請chloe 協助下單</t>
        </r>
      </text>
    </comment>
    <comment ref="F5217" authorId="0" shapeId="0" xr:uid="{9F9181ED-D5AC-6B44-947A-0F20752367EE}">
      <text>
        <r>
          <rPr>
            <sz val="10"/>
            <color rgb="FF000000"/>
            <rFont val="Aptos Narrow"/>
            <scheme val="minor"/>
          </rPr>
          <t>======
ID#AAABjx7qNNw
    (2025-05-21 11:33:23)
0829 Cathy: 客戶Revise 數量15-&gt; 10pcs</t>
        </r>
      </text>
    </comment>
    <comment ref="H5217" authorId="0" shapeId="0" xr:uid="{C8C75379-1759-5544-89B8-E8D79B89B3EB}">
      <text>
        <r>
          <rPr>
            <sz val="10"/>
            <color rgb="FF000000"/>
            <rFont val="Aptos Narrow"/>
            <scheme val="minor"/>
          </rPr>
          <t>======
ID#AAABj82dpIk
    (2025-05-21 11:33:23)
ALICE:10/8-玉山水單匯入USD1566沖PI-20190828A USD1566</t>
        </r>
      </text>
    </comment>
    <comment ref="D5218" authorId="0" shapeId="0" xr:uid="{3CAF2B06-A4BD-A24D-B2A8-B25146F0BAD0}">
      <text>
        <r>
          <rPr>
            <sz val="10"/>
            <color rgb="FF000000"/>
            <rFont val="Aptos Narrow"/>
            <scheme val="minor"/>
          </rPr>
          <t>======
ID#AAABjx7qO3s
    (2025-05-21 11:33:24)
0828 請chloe 協助下單</t>
        </r>
      </text>
    </comment>
    <comment ref="H5218" authorId="0" shapeId="0" xr:uid="{50A72E11-1797-4549-A7E3-B2B2BA57D72A}">
      <text>
        <r>
          <rPr>
            <sz val="10"/>
            <color rgb="FF000000"/>
            <rFont val="Aptos Narrow"/>
            <scheme val="minor"/>
          </rPr>
          <t>======
ID#AAABjx7qVOA
    (2025-05-21 11:33:27)
ALICE:10/8-玉山水單匯入USD1566沖PI-20190828A USD1566</t>
        </r>
      </text>
    </comment>
    <comment ref="D5219" authorId="0" shapeId="0" xr:uid="{30137CB6-3158-144C-A9EA-3BAC843769FB}">
      <text>
        <r>
          <rPr>
            <sz val="10"/>
            <color rgb="FF000000"/>
            <rFont val="Aptos Narrow"/>
            <scheme val="minor"/>
          </rPr>
          <t>======
ID#AAABjx7qOMk
    (2025-05-21 11:33:24)
0828 請chloe 協助下單</t>
        </r>
      </text>
    </comment>
    <comment ref="H5219" authorId="0" shapeId="0" xr:uid="{41927A9A-E09C-F04A-9DA6-6B1497A35174}">
      <text>
        <r>
          <rPr>
            <sz val="10"/>
            <color rgb="FF000000"/>
            <rFont val="Aptos Narrow"/>
            <scheme val="minor"/>
          </rPr>
          <t>======
ID#AAABjx7qVXs
    (2025-05-21 11:33:27)
ALICE:10/8-玉山水單匯入USD1566沖PI-20190828A USD1566</t>
        </r>
      </text>
    </comment>
    <comment ref="D5220" authorId="0" shapeId="0" xr:uid="{3F4B003A-800F-E84B-8C35-2C257BF70087}">
      <text>
        <r>
          <rPr>
            <sz val="10"/>
            <color rgb="FF000000"/>
            <rFont val="Aptos Narrow"/>
            <scheme val="minor"/>
          </rPr>
          <t>======
ID#AAABjx7qMxU
    (2025-05-21 11:33:23)
0828 請chloe 協助下單
0829 CATHY: 客戶新增項目</t>
        </r>
      </text>
    </comment>
    <comment ref="H5220" authorId="0" shapeId="0" xr:uid="{C80DF1F6-76A4-2449-926F-7562C67F1F60}">
      <text>
        <r>
          <rPr>
            <sz val="10"/>
            <color rgb="FF000000"/>
            <rFont val="Aptos Narrow"/>
            <scheme val="minor"/>
          </rPr>
          <t>======
ID#AAABjx7qO6I
    (2025-05-21 11:33:24)
ALICE:10/8-玉山水單匯入USD1566沖PI-20190828A USD1566</t>
        </r>
      </text>
    </comment>
    <comment ref="H5221" authorId="0" shapeId="0" xr:uid="{4712C204-94E1-9C46-9A08-EF47F771D872}">
      <text>
        <r>
          <rPr>
            <sz val="10"/>
            <color rgb="FF000000"/>
            <rFont val="Aptos Narrow"/>
            <scheme val="minor"/>
          </rPr>
          <t>======
ID#AAABjx7qQmU
    (2025-05-21 11:33:25)
ALICE:8/30-玉山銀行匯入USD2236沖PI20190829A USD2236元整</t>
        </r>
      </text>
    </comment>
    <comment ref="H5222" authorId="0" shapeId="0" xr:uid="{3485CBF9-5D64-E74C-854E-7EEA95958777}">
      <text>
        <r>
          <rPr>
            <sz val="10"/>
            <color rgb="FF000000"/>
            <rFont val="Aptos Narrow"/>
            <scheme val="minor"/>
          </rPr>
          <t>======
ID#AAABjx7qP_g
    (2025-05-21 11:33:25)
ALICE:8/30-玉山銀行匯入USD2236沖PI20190829A USD2236元整</t>
        </r>
      </text>
    </comment>
    <comment ref="D5223" authorId="0" shapeId="0" xr:uid="{79CFD9A4-638C-2B49-8794-2F3303D633AB}">
      <text>
        <r>
          <rPr>
            <sz val="10"/>
            <color rgb="FF000000"/>
            <rFont val="Aptos Narrow"/>
            <scheme val="minor"/>
          </rPr>
          <t>======
ID#AAABjx7qWOA
    (2025-05-21 11:33:27)
0829 Cathy: 請chloe協助下單</t>
        </r>
      </text>
    </comment>
    <comment ref="H5223" authorId="0" shapeId="0" xr:uid="{01EED62A-8692-D245-B364-60BF47CBF128}">
      <text>
        <r>
          <rPr>
            <sz val="10"/>
            <color rgb="FF000000"/>
            <rFont val="Aptos Narrow"/>
            <scheme val="minor"/>
          </rPr>
          <t>======
ID#AAABjx7qTJk
    (2025-05-21 11:33:26)
ALICE:10/5-玉山NT匯入59340沖PI20190821C.PI-20190829B.PI-20190906A合計共NT59355元整</t>
        </r>
      </text>
    </comment>
    <comment ref="H5224" authorId="0" shapeId="0" xr:uid="{DA4C14FF-4E12-1442-843B-4D24BE843A9B}">
      <text>
        <r>
          <rPr>
            <sz val="10"/>
            <color rgb="FF000000"/>
            <rFont val="Aptos Narrow"/>
            <scheme val="minor"/>
          </rPr>
          <t>======
ID#AAABjx7qTUI
    (2025-05-21 11:33:26)
ALICE:10/22玉山銀行匯入USD6469沖PI-20190905A USD495.PI-20190905A-F USD45.PI-20190902A 5929合計總沖USD6469</t>
        </r>
      </text>
    </comment>
    <comment ref="H5225" authorId="0" shapeId="0" xr:uid="{1A383823-CE0B-B648-AEB8-6FFA92D33BE2}">
      <text>
        <r>
          <rPr>
            <sz val="10"/>
            <color rgb="FF000000"/>
            <rFont val="Aptos Narrow"/>
            <scheme val="minor"/>
          </rPr>
          <t>======
ID#AAABjx7qMvs
    (2025-05-21 11:33:23)
ALICE:10/22玉山銀行匯入USD6469沖PI-20190905A USD495.PI-20190905A-F USD45.PI-20190902A 5929合計總沖USD6469</t>
        </r>
      </text>
    </comment>
    <comment ref="H5226" authorId="0" shapeId="0" xr:uid="{A7F4AACE-0209-EB4E-BE5C-1B0E1A358B10}">
      <text>
        <r>
          <rPr>
            <sz val="10"/>
            <color rgb="FF000000"/>
            <rFont val="Aptos Narrow"/>
            <scheme val="minor"/>
          </rPr>
          <t>======
ID#AAABjx7qVt0
    (2025-05-21 11:33:27)
ALICE:10/22玉山銀行匯入USD6469沖PI-20190905A USD495.PI-20190905A-F USD45.PI-20190902A 5929合計總沖USD6469</t>
        </r>
      </text>
    </comment>
    <comment ref="H5227" authorId="0" shapeId="0" xr:uid="{96DC9DFA-F1F4-C04E-B388-251E07DBE781}">
      <text>
        <r>
          <rPr>
            <sz val="10"/>
            <color rgb="FF000000"/>
            <rFont val="Aptos Narrow"/>
            <scheme val="minor"/>
          </rPr>
          <t>======
ID#AAABjx7qWaE
    (2025-05-21 11:33:27)
ALICE:10/22玉山銀行匯入USD6469沖PI-20190905A USD495.PI-20190905A-F USD45.PI-20190902A 5929合計總沖USD6469</t>
        </r>
      </text>
    </comment>
    <comment ref="H5228" authorId="0" shapeId="0" xr:uid="{BD45F6A5-DEB8-FF41-BCD0-096DCE121015}">
      <text>
        <r>
          <rPr>
            <sz val="10"/>
            <color rgb="FF000000"/>
            <rFont val="Aptos Narrow"/>
            <scheme val="minor"/>
          </rPr>
          <t>======
ID#AAABjx7qNGM
    (2025-05-21 11:33:23)
ALICE:10/22玉山銀行匯入USD6469沖PI-20190905A USD495.PI-20190905A-F USD45.PI-20190902A 5929合計總沖USD6469</t>
        </r>
      </text>
    </comment>
    <comment ref="H5229" authorId="0" shapeId="0" xr:uid="{941D0918-4C80-2340-A987-871EB9C923B9}">
      <text>
        <r>
          <rPr>
            <sz val="10"/>
            <color rgb="FF000000"/>
            <rFont val="Aptos Narrow"/>
            <scheme val="minor"/>
          </rPr>
          <t>======
ID#AAABjx7qQzo
    (2025-05-21 11:33:25)
ALICE:10/22玉山銀行匯入USD6469沖PI-20190905A USD495.PI-20190905A-F USD45.PI-20190902A 5929合計總沖USD6469</t>
        </r>
      </text>
    </comment>
    <comment ref="H5243" authorId="0" shapeId="0" xr:uid="{8DA71095-E574-0544-8958-A69EADB68FFE}">
      <text>
        <r>
          <rPr>
            <sz val="10"/>
            <color rgb="FF000000"/>
            <rFont val="Aptos Narrow"/>
            <scheme val="minor"/>
          </rPr>
          <t>======
ID#AAABjx7qR4M
    (2025-05-21 11:33:25)
alice:9/6玉山水單通知usd4763.4沖pi-20190904a usd4763.4</t>
        </r>
      </text>
    </comment>
    <comment ref="H5244" authorId="0" shapeId="0" xr:uid="{F1635253-EEA2-B644-8F26-E05D65A2C5CB}">
      <text>
        <r>
          <rPr>
            <sz val="10"/>
            <color rgb="FF000000"/>
            <rFont val="Aptos Narrow"/>
            <scheme val="minor"/>
          </rPr>
          <t>======
ID#AAABjx7qNV0
    (2025-05-21 11:33:23)
alice:9/6玉山水單通知usd4763.4沖pi-20190904a usd4763.4</t>
        </r>
      </text>
    </comment>
    <comment ref="E5245" authorId="0" shapeId="0" xr:uid="{F46C865C-9A4F-0A4E-A4CF-243B6CD20B63}">
      <text>
        <r>
          <rPr>
            <sz val="10"/>
            <color rgb="FF000000"/>
            <rFont val="Aptos Narrow"/>
            <scheme val="minor"/>
          </rPr>
          <t>======
ID#AAABjx7qNgI
    (2025-05-21 11:33:23)
EU電源</t>
        </r>
      </text>
    </comment>
    <comment ref="H5245" authorId="0" shapeId="0" xr:uid="{3561B383-3213-1648-AB30-44C7D38F3802}">
      <text>
        <r>
          <rPr>
            <sz val="10"/>
            <color rgb="FF000000"/>
            <rFont val="Aptos Narrow"/>
            <scheme val="minor"/>
          </rPr>
          <t>======
ID#AAABjx7qSEg
    (2025-05-21 11:33:26)
alice:9/6玉山水單通知usd4763.4沖pi-20190904a usd4763.4</t>
        </r>
      </text>
    </comment>
    <comment ref="H5246" authorId="0" shapeId="0" xr:uid="{82F5CBC9-AFFD-CC4E-A202-F93DE660D7C2}">
      <text>
        <r>
          <rPr>
            <sz val="10"/>
            <color rgb="FF000000"/>
            <rFont val="Aptos Narrow"/>
            <scheme val="minor"/>
          </rPr>
          <t>======
ID#AAABjx7qTec
    (2025-05-21 11:33:26)
ALICE:10/22玉山銀行匯入USD6469沖PI-20190905A USD495.PI-20190905A-F USD45.PI-20190902A 5929合計總沖USD6469</t>
        </r>
      </text>
    </comment>
    <comment ref="D5250" authorId="0" shapeId="0" xr:uid="{77A0B74E-5E4F-0C4B-96E2-6E9D7C999E90}">
      <text>
        <r>
          <rPr>
            <sz val="10"/>
            <color rgb="FF000000"/>
            <rFont val="Aptos Narrow"/>
            <scheme val="minor"/>
          </rPr>
          <t>======
ID#AAABjx7qPHw
    (2025-05-21 11:33:24)
0906 請Chloe 協助下單</t>
        </r>
      </text>
    </comment>
    <comment ref="H5250" authorId="0" shapeId="0" xr:uid="{9C9321F3-50B7-5148-929B-5FB49019487E}">
      <text>
        <r>
          <rPr>
            <sz val="10"/>
            <color rgb="FF000000"/>
            <rFont val="Aptos Narrow"/>
            <scheme val="minor"/>
          </rPr>
          <t>======
ID#AAABjx7qOpM
    (2025-05-21 11:33:24)
ALICE:10/5-玉山NT匯入59340沖PI20190821C.PI-20190829B.PI-20190906A合計共NT59355元整</t>
        </r>
      </text>
    </comment>
    <comment ref="D5251" authorId="0" shapeId="0" xr:uid="{44D90E03-6230-6042-BAA9-D4EBDEE1863C}">
      <text>
        <r>
          <rPr>
            <sz val="10"/>
            <color rgb="FF000000"/>
            <rFont val="Aptos Narrow"/>
            <scheme val="minor"/>
          </rPr>
          <t>======
ID#AAABjx7qV_U
    (2025-05-21 11:33:27)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E5251" authorId="0" shapeId="0" xr:uid="{ECD31B83-5EB7-7745-8A8C-FA31A99BB2BC}">
      <text>
        <r>
          <rPr>
            <sz val="10"/>
            <color rgb="FF000000"/>
            <rFont val="Aptos Narrow"/>
            <scheme val="minor"/>
          </rPr>
          <t>======
ID#AAABjx7qQOQ
    (2025-05-21 11:33:25)
20170104 Santiago: 和之前訂單一樣, w/o adapter</t>
        </r>
      </text>
    </comment>
    <comment ref="H5251" authorId="0" shapeId="0" xr:uid="{DF527E5C-53DF-274F-9575-106EA6FD4CED}">
      <text>
        <r>
          <rPr>
            <sz val="10"/>
            <color rgb="FF000000"/>
            <rFont val="Aptos Narrow"/>
            <scheme val="minor"/>
          </rPr>
          <t>======
ID#AAABjx7qM2g
    (2025-05-21 11:33:23)
ALICE:9/24玉山銀行水單匯入USD5713沖PI-20190906B USD5713</t>
        </r>
      </text>
    </comment>
    <comment ref="J5251" authorId="0" shapeId="0" xr:uid="{F7E66EA9-1E6E-C047-A2AF-896D7434D7A5}">
      <text>
        <r>
          <rPr>
            <sz val="10"/>
            <color rgb="FF000000"/>
            <rFont val="Aptos Narrow"/>
            <scheme val="minor"/>
          </rPr>
          <t>======
ID#AAABjx7qSxQ
    (2025-05-21 11:33:26)
Forwarder Details: -
FETA FREIGHT SYSTEMS (TAIWAN ) LTD. 
JUDY KAO 
 Tel: +886-3-399-2033 EXT: 135
Direct: +886-3-3992106
Fax: +886-3-3992036/2055
E-mail: judykao@ffsi.com.tw
Skype:judykao-mlattao</t>
        </r>
      </text>
    </comment>
    <comment ref="D5252" authorId="0" shapeId="0" xr:uid="{EA45A1DE-C817-074B-A47A-D5A1063FFFE5}">
      <text>
        <r>
          <rPr>
            <sz val="10"/>
            <color rgb="FF000000"/>
            <rFont val="Aptos Narrow"/>
            <scheme val="minor"/>
          </rPr>
          <t>======
ID#AAABjx7qQlA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5252" authorId="0" shapeId="0" xr:uid="{FDF1F523-9893-7A44-8047-7F7AF965E419}">
      <text>
        <r>
          <rPr>
            <sz val="10"/>
            <color rgb="FF000000"/>
            <rFont val="Aptos Narrow"/>
            <scheme val="minor"/>
          </rPr>
          <t>======
ID#AAABjx7qWTc
    (2025-05-21 11:33:27)
ALICE:9/24玉山銀行水單匯入USD5713沖PI-20190906B USD5713</t>
        </r>
      </text>
    </comment>
    <comment ref="J5252" authorId="0" shapeId="0" xr:uid="{756FD186-85A9-C44A-BAB1-31600BA8B633}">
      <text>
        <r>
          <rPr>
            <sz val="10"/>
            <color rgb="FF000000"/>
            <rFont val="Aptos Narrow"/>
            <scheme val="minor"/>
          </rPr>
          <t>======
ID#AAABj82dpLg
    (2025-05-21 11:33:23)
Forwarder Details: -
FETA FREIGHT SYSTEMS (TAIWAN ) LTD. 
JUDY KAO 
 Tel: +886-3-399-2033 EXT: 135
Direct: +886-3-3992106
Fax: +886-3-3992036/2055
E-mail: judykao@ffsi.com.tw
Skype:judykao-mlattao</t>
        </r>
      </text>
    </comment>
    <comment ref="D5253" authorId="0" shapeId="0" xr:uid="{2B48B804-3F0B-254A-8365-2BEDC0D714A1}">
      <text>
        <r>
          <rPr>
            <sz val="10"/>
            <color rgb="FF000000"/>
            <rFont val="Aptos Narrow"/>
            <scheme val="minor"/>
          </rPr>
          <t>======
ID#AAABjx7qQ7g
    (2025-05-21 11:33:25)
在此輸入
0909 (客人要拿專案價格下單...)  從新報價general price,無回應  
0917 SAN: Keep same price to get the order. ask customer sign back for purchasing 
0920 cathy:chloe 已有爭取到價格，待客人確認簽回(有問，說會進行...) 
0923 請chloe 下單(預計9/23匯款 )</t>
        </r>
      </text>
    </comment>
    <comment ref="H5253" authorId="0" shapeId="0" xr:uid="{50F1F8BC-B930-0B46-893A-759BE81CECBC}">
      <text>
        <r>
          <rPr>
            <sz val="10"/>
            <color rgb="FF000000"/>
            <rFont val="Aptos Narrow"/>
            <scheme val="minor"/>
          </rPr>
          <t>======
ID#AAABjx7qROE
    (2025-05-21 11:33:25)
ALICE:9/24玉山銀行水單匯入USD5713沖PI-20190906B USD5713</t>
        </r>
      </text>
    </comment>
    <comment ref="J5253" authorId="0" shapeId="0" xr:uid="{D91251E0-D9FE-8448-94EF-5981A9B95E79}">
      <text>
        <r>
          <rPr>
            <sz val="10"/>
            <color rgb="FF000000"/>
            <rFont val="Aptos Narrow"/>
            <scheme val="minor"/>
          </rPr>
          <t>======
ID#AAABjx7qRRI
    (2025-05-21 11:33:25)
Forwarder Details: -
FETA FREIGHT SYSTEMS (TAIWAN ) LTD. 
JUDY KAO 
 Tel: +886-3-399-2033 EXT: 135
Direct: +886-3-3992106
Fax: +886-3-3992036/2055
E-mail: judykao@ffsi.com.tw
Skype:judykao-mlattao</t>
        </r>
      </text>
    </comment>
    <comment ref="D5254" authorId="0" shapeId="0" xr:uid="{2141DE1C-6FD9-174E-9718-968BE0A7206A}">
      <text>
        <r>
          <rPr>
            <sz val="10"/>
            <color rgb="FF000000"/>
            <rFont val="Aptos Narrow"/>
            <scheme val="minor"/>
          </rPr>
          <t>======
ID#AAABjx7qWTE
    (2025-05-21 11:33:27)
在此輸入
0909 客人待O/A肯放USD 10000 才要下單
1001 告知改由Aditeh付款</t>
        </r>
      </text>
    </comment>
    <comment ref="D5255" authorId="0" shapeId="0" xr:uid="{1DCD83D0-5EA7-EC41-9CAD-C46505C580CD}">
      <text>
        <r>
          <rPr>
            <sz val="10"/>
            <color rgb="FF000000"/>
            <rFont val="Aptos Narrow"/>
            <scheme val="minor"/>
          </rPr>
          <t>======
ID#AAABjx7qSN4
    (2025-05-21 11:33:26)
在此輸入
0909 客人待O/A肯放USD 10000 才要下單
1001 告知改由Aditeh付款</t>
        </r>
      </text>
    </comment>
    <comment ref="D5256" authorId="0" shapeId="0" xr:uid="{7F32C331-B476-1546-AF73-8932192EA8D6}">
      <text>
        <r>
          <rPr>
            <sz val="10"/>
            <color rgb="FF000000"/>
            <rFont val="Aptos Narrow"/>
            <scheme val="minor"/>
          </rPr>
          <t>======
ID#AAABjx7qQtg
    (2025-05-21 11:33:25)
在此輸入
0909 客人待O/A肯放USD 10000 才要下單
1001 告知改由Aditeh付款</t>
        </r>
      </text>
    </comment>
    <comment ref="D5257" authorId="0" shapeId="0" xr:uid="{599F74A4-5B0D-6946-820C-E92BDF013FB0}">
      <text>
        <r>
          <rPr>
            <sz val="10"/>
            <color rgb="FF000000"/>
            <rFont val="Aptos Narrow"/>
            <scheme val="minor"/>
          </rPr>
          <t>======
ID#AAABjx7qM7Y
    (2025-05-21 11:33:23)
在此輸入
0909 客人待O/A肯放USD 10000 才要下單
1001 告知改由Aditeh付款</t>
        </r>
      </text>
    </comment>
    <comment ref="D5258" authorId="0" shapeId="0" xr:uid="{56CAF6EB-6BBB-7549-A818-D65A7BE5689F}">
      <text>
        <r>
          <rPr>
            <sz val="10"/>
            <color rgb="FF000000"/>
            <rFont val="Aptos Narrow"/>
            <scheme val="minor"/>
          </rPr>
          <t>======
ID#AAABjx7qM7E
    (2025-05-21 11:33:23)
在此輸入
0909 客人待O/A肯放USD 10000 才要下單
1001 告知改由Aditeh付款</t>
        </r>
      </text>
    </comment>
    <comment ref="D5259" authorId="0" shapeId="0" xr:uid="{E9D74E1C-7F91-A34B-822B-35DB504E1C2B}">
      <text>
        <r>
          <rPr>
            <sz val="10"/>
            <color rgb="FF000000"/>
            <rFont val="Aptos Narrow"/>
            <scheme val="minor"/>
          </rPr>
          <t>======
ID#AAABjx7qNHU
    (2025-05-21 11:33:23)
Transfer from PI-20190412A  Accview</t>
        </r>
      </text>
    </comment>
    <comment ref="K5259" authorId="0" shapeId="0" xr:uid="{AE62AFEF-6BF3-8E40-BC38-E26471CC65BC}">
      <text>
        <r>
          <rPr>
            <sz val="10"/>
            <color rgb="FF000000"/>
            <rFont val="Aptos Narrow"/>
            <scheme val="minor"/>
          </rPr>
          <t>======
ID#AAABjx7qR6c
    (2025-05-21 11:33:25)
ACCUVIEW  SEND TO CAPTEC</t>
        </r>
      </text>
    </comment>
    <comment ref="H5260" authorId="0" shapeId="0" xr:uid="{0F8A90F8-BABB-E544-9334-A68E4297D606}">
      <text>
        <r>
          <rPr>
            <sz val="10"/>
            <color rgb="FF000000"/>
            <rFont val="Aptos Narrow"/>
            <scheme val="minor"/>
          </rPr>
          <t>======
ID#AAABjx7qQnA
    (2025-05-21 11:33:25)
ALICE:10/22玉山銀行匯入USD6469沖PI-20190905A USD495.PI-20190905A-F USD45.PI-20190902A 5929合計總沖USD6469</t>
        </r>
      </text>
    </comment>
    <comment ref="Z5260" authorId="0" shapeId="0" xr:uid="{305A11AB-48F7-D845-9B29-D4746D20B2EB}">
      <text>
        <r>
          <rPr>
            <sz val="10"/>
            <color rgb="FF000000"/>
            <rFont val="Aptos Narrow"/>
            <scheme val="minor"/>
          </rPr>
          <t>======
ID#AAABjx7qVmA
    (2025-05-21 11:33:27)
ALICE: TI2 PI-20190905A-F 運費998
             Santiago寄目錄到NEw era運費1385
             Santiago寄目錄到captec 運費1385</t>
        </r>
      </text>
    </comment>
    <comment ref="D5261" authorId="0" shapeId="0" xr:uid="{E41E6C32-7964-EC42-B4B1-D5BA573A5831}">
      <text>
        <r>
          <rPr>
            <sz val="10"/>
            <color rgb="FF000000"/>
            <rFont val="Aptos Narrow"/>
            <scheme val="minor"/>
          </rPr>
          <t>======
ID#AAABjx7qOIg
    (2025-05-21 11:33:24)
0910 Cathy: 已請chloe &amp; Bank 協助</t>
        </r>
      </text>
    </comment>
    <comment ref="H5261" authorId="0" shapeId="0" xr:uid="{8514B57F-CC9F-7D4A-87B8-6DCB6811783A}">
      <text>
        <r>
          <rPr>
            <sz val="10"/>
            <color rgb="FF000000"/>
            <rFont val="Aptos Narrow"/>
            <scheme val="minor"/>
          </rPr>
          <t>======
ID#AAABjx7qPT0
    (2025-05-21 11:33:24)
ALICE:11/14-Hectronic匯入USD244(內含手續費USD6.57)沖PI-20190910B USD137 + 沖PI-20190719B-3 USD107</t>
        </r>
      </text>
    </comment>
    <comment ref="D5262" authorId="0" shapeId="0" xr:uid="{AFBDE8B3-2C3D-0740-BFCC-07929598662F}">
      <text>
        <r>
          <rPr>
            <sz val="10"/>
            <color rgb="FF000000"/>
            <rFont val="Aptos Narrow"/>
            <scheme val="minor"/>
          </rPr>
          <t>======
ID#AAABjx7qO7M
    (2025-05-21 11:33:24)
0910 Cathy: 已請chloe &amp; Bank 協助</t>
        </r>
      </text>
    </comment>
    <comment ref="H5262" authorId="0" shapeId="0" xr:uid="{7A1AEE2E-9C0E-0D4A-9750-869F7759804C}">
      <text>
        <r>
          <rPr>
            <sz val="10"/>
            <color rgb="FF000000"/>
            <rFont val="Aptos Narrow"/>
            <scheme val="minor"/>
          </rPr>
          <t>======
ID#AAABjx7qTGg
    (2025-05-21 11:33:26)
ALICE:11/14-Hectronic匯入USD244(內含手續費USD6.57)沖PI-20190910B USD137 + 沖PI-20190719B-3 USD107</t>
        </r>
      </text>
    </comment>
    <comment ref="D5263" authorId="0" shapeId="0" xr:uid="{73CD8FC9-F443-8649-A649-1DE48566670B}">
      <text>
        <r>
          <rPr>
            <sz val="10"/>
            <color rgb="FF000000"/>
            <rFont val="Aptos Narrow"/>
            <scheme val="minor"/>
          </rPr>
          <t>======
ID#AAABjx7qWHA
    (2025-05-21 11:33:27)
0910 Cathy: 已請chloe &amp; Bank 協助</t>
        </r>
      </text>
    </comment>
    <comment ref="H5263" authorId="0" shapeId="0" xr:uid="{515C38C4-522F-2047-B48B-C18175A939C4}">
      <text>
        <r>
          <rPr>
            <sz val="10"/>
            <color rgb="FF000000"/>
            <rFont val="Aptos Narrow"/>
            <scheme val="minor"/>
          </rPr>
          <t>======
ID#AAABj82dpOg
    (2025-05-21 11:33:23)
ALICE:11/14-Hectronic匯入USD244(內含手續費USD6.57)沖PI-20190910B USD137 + 沖PI-20190719B-3 USD107</t>
        </r>
      </text>
    </comment>
    <comment ref="B5264" authorId="0" shapeId="0" xr:uid="{3DA525D4-340C-8846-94EB-A7E6D8BE5741}">
      <text>
        <r>
          <rPr>
            <sz val="10"/>
            <color rgb="FF000000"/>
            <rFont val="Aptos Narrow"/>
            <scheme val="minor"/>
          </rPr>
          <t>======
ID#AAABjx7qVwE
    (2025-05-21 11:33:27)
新開發客戶</t>
        </r>
      </text>
    </comment>
    <comment ref="H5264" authorId="0" shapeId="0" xr:uid="{2B0796AB-16B2-C940-A4FA-E2FA6E27F8B3}">
      <text>
        <r>
          <rPr>
            <sz val="10"/>
            <color rgb="FF000000"/>
            <rFont val="Aptos Narrow"/>
            <scheme val="minor"/>
          </rPr>
          <t>======
ID#AAABjx7qVU8
    (2025-05-21 11:33:27)
ALICE:9/12玉山水單匯入USD1463沖PI-20190910C USD1463元整</t>
        </r>
      </text>
    </comment>
    <comment ref="K5264" authorId="0" shapeId="0" xr:uid="{26ED83B3-CB82-EC43-A462-BE3C88F56D3A}">
      <text>
        <r>
          <rPr>
            <sz val="10"/>
            <color rgb="FF000000"/>
            <rFont val="Aptos Narrow"/>
            <scheme val="minor"/>
          </rPr>
          <t>======
ID#AAABjx7qVY0
    (2025-05-21 11:33:27)
0916 cathy : revise 交期&amp;通知客人</t>
        </r>
      </text>
    </comment>
    <comment ref="B5265" authorId="0" shapeId="0" xr:uid="{2584E505-64A1-F646-A4B6-366C2C46DA17}">
      <text>
        <r>
          <rPr>
            <sz val="10"/>
            <color rgb="FF000000"/>
            <rFont val="Aptos Narrow"/>
            <scheme val="minor"/>
          </rPr>
          <t>======
ID#AAABjx7qVqE
    (2025-05-21 11:33:27)
新開發客戶</t>
        </r>
      </text>
    </comment>
    <comment ref="H5265" authorId="0" shapeId="0" xr:uid="{205813FB-888E-1B41-820C-BC820BF104C0}">
      <text>
        <r>
          <rPr>
            <sz val="10"/>
            <color rgb="FF000000"/>
            <rFont val="Aptos Narrow"/>
            <scheme val="minor"/>
          </rPr>
          <t>======
ID#AAABjx7qOf4
    (2025-05-21 11:33:24)
ALICE:9/12玉山水單匯入USD1463沖PI-20190910C USD1463元整</t>
        </r>
      </text>
    </comment>
    <comment ref="B5266" authorId="0" shapeId="0" xr:uid="{5B424650-873B-314A-A688-AA1384976CD9}">
      <text>
        <r>
          <rPr>
            <sz val="10"/>
            <color rgb="FF000000"/>
            <rFont val="Aptos Narrow"/>
            <scheme val="minor"/>
          </rPr>
          <t>======
ID#AAABjx7qOA0
    (2025-05-21 11:33:24)
新開發客戶</t>
        </r>
      </text>
    </comment>
    <comment ref="H5266" authorId="0" shapeId="0" xr:uid="{BA1666A4-FE88-8747-A4CF-24A546892FCE}">
      <text>
        <r>
          <rPr>
            <sz val="10"/>
            <color rgb="FF000000"/>
            <rFont val="Aptos Narrow"/>
            <scheme val="minor"/>
          </rPr>
          <t>======
ID#AAABjx7qQbo
    (2025-05-21 11:33:25)
ALICE:9/12玉山水單匯入USD1463沖PI-20190910C USD1463元整</t>
        </r>
      </text>
    </comment>
    <comment ref="B5267" authorId="0" shapeId="0" xr:uid="{937C3E13-C2E7-0E42-837B-B41BD6659578}">
      <text>
        <r>
          <rPr>
            <sz val="10"/>
            <color rgb="FF000000"/>
            <rFont val="Aptos Narrow"/>
            <scheme val="minor"/>
          </rPr>
          <t>======
ID#AAABjx7qPHc
    (2025-05-21 11:33:24)
新開發客戶</t>
        </r>
      </text>
    </comment>
    <comment ref="H5267" authorId="0" shapeId="0" xr:uid="{00783384-50E1-D746-9AF7-E347B80D2E9A}">
      <text>
        <r>
          <rPr>
            <sz val="10"/>
            <color rgb="FF000000"/>
            <rFont val="Aptos Narrow"/>
            <scheme val="minor"/>
          </rPr>
          <t>======
ID#AAABjx7qO7U
    (2025-05-21 11:33:24)
ALICE:9/12玉山水單匯入USD1463沖PI-20190910C USD1463元整</t>
        </r>
      </text>
    </comment>
    <comment ref="B5268" authorId="0" shapeId="0" xr:uid="{533C1829-5441-4942-890C-B453A2EF43B9}">
      <text>
        <r>
          <rPr>
            <sz val="10"/>
            <color rgb="FF000000"/>
            <rFont val="Aptos Narrow"/>
            <scheme val="minor"/>
          </rPr>
          <t>======
ID#AAABj82dpGk
    (2025-05-21 11:33:23)
新開發客戶</t>
        </r>
      </text>
    </comment>
    <comment ref="H5268" authorId="0" shapeId="0" xr:uid="{F19EE678-F412-5C42-AD26-D5308D52A7A6}">
      <text>
        <r>
          <rPr>
            <sz val="10"/>
            <color rgb="FF000000"/>
            <rFont val="Aptos Narrow"/>
            <scheme val="minor"/>
          </rPr>
          <t>======
ID#AAABj82dpKI
    (2025-05-21 11:33:23)
ALICE:9/12玉山水單匯入USD1463沖PI-20190910C USD1463元整</t>
        </r>
      </text>
    </comment>
    <comment ref="B5269" authorId="0" shapeId="0" xr:uid="{9D63195D-4644-B34C-A73F-3AC2C8BDD078}">
      <text>
        <r>
          <rPr>
            <sz val="10"/>
            <color rgb="FF000000"/>
            <rFont val="Aptos Narrow"/>
            <scheme val="minor"/>
          </rPr>
          <t>======
ID#AAABjx7qVJk
    (2025-05-21 11:33:27)
新開發客戶</t>
        </r>
      </text>
    </comment>
    <comment ref="H5269" authorId="0" shapeId="0" xr:uid="{78B8E3BB-C876-1F4F-9B6E-0B9DBB70330A}">
      <text>
        <r>
          <rPr>
            <sz val="10"/>
            <color rgb="FF000000"/>
            <rFont val="Aptos Narrow"/>
            <scheme val="minor"/>
          </rPr>
          <t>======
ID#AAABjx7qQcQ
    (2025-05-21 11:33:25)
ALICE:9/12玉山水單匯入USD1463沖PI-20190910C USD1463元整</t>
        </r>
      </text>
    </comment>
    <comment ref="B5270" authorId="0" shapeId="0" xr:uid="{EB2921AB-915A-944E-830A-4A4861965424}">
      <text>
        <r>
          <rPr>
            <sz val="10"/>
            <color rgb="FF000000"/>
            <rFont val="Aptos Narrow"/>
            <scheme val="minor"/>
          </rPr>
          <t>======
ID#AAABjx7qN1E
    (2025-05-21 11:33:23)
新開發客戶</t>
        </r>
      </text>
    </comment>
    <comment ref="H5270" authorId="0" shapeId="0" xr:uid="{B1A03010-050D-C34D-9795-4D1BEFD2F9F9}">
      <text>
        <r>
          <rPr>
            <sz val="10"/>
            <color rgb="FF000000"/>
            <rFont val="Aptos Narrow"/>
            <scheme val="minor"/>
          </rPr>
          <t>======
ID#AAABjx7qRQI
    (2025-05-21 11:33:25)
ALICE:9/12玉山水單匯入USD1463沖PI-20190910C USD1463元整</t>
        </r>
      </text>
    </comment>
    <comment ref="E5271" authorId="0" shapeId="0" xr:uid="{3A9F56B3-6114-1848-A1C2-633B77FBF531}">
      <text>
        <r>
          <rPr>
            <sz val="10"/>
            <color rgb="FF000000"/>
            <rFont val="Aptos Narrow"/>
            <scheme val="minor"/>
          </rPr>
          <t>======
ID#AAABjx7qOEo
    (2025-05-21 11:33:24)
有做IEC60945</t>
        </r>
      </text>
    </comment>
    <comment ref="G5271" authorId="0" shapeId="0" xr:uid="{85DA3194-7021-C34E-B06E-A8405B156EA8}">
      <text>
        <r>
          <rPr>
            <sz val="10"/>
            <color rgb="FF000000"/>
            <rFont val="Aptos Narrow"/>
            <scheme val="minor"/>
          </rPr>
          <t>======
ID#AAABj82dpI4
    (2025-05-21 11:33:23)
20191030客人告知想直接買入。</t>
        </r>
      </text>
    </comment>
    <comment ref="H5272" authorId="0" shapeId="0" xr:uid="{D1531098-058F-EE47-A0B7-91D452562473}">
      <text>
        <r>
          <rPr>
            <sz val="10"/>
            <color rgb="FF000000"/>
            <rFont val="Aptos Narrow"/>
            <scheme val="minor"/>
          </rPr>
          <t>======
ID#AAABjx7qOfY
    (2025-05-21 11:33:24)
ALICE:10/24玉山水單匯入USD478沖PI-20190913A USD478</t>
        </r>
      </text>
    </comment>
    <comment ref="H5273" authorId="0" shapeId="0" xr:uid="{185F7931-5BDD-2041-9BF5-43A3316FF96C}">
      <text>
        <r>
          <rPr>
            <sz val="10"/>
            <color rgb="FF000000"/>
            <rFont val="Aptos Narrow"/>
            <scheme val="minor"/>
          </rPr>
          <t>======
ID#AAABjx7qREU
    (2025-05-21 11:33:25)
ALICE:10/24玉山水單匯入USD478沖PI-20190913A USD478</t>
        </r>
      </text>
    </comment>
    <comment ref="H5274" authorId="0" shapeId="0" xr:uid="{F597E65F-4E8C-CB4D-9543-72C474A67690}">
      <text>
        <r>
          <rPr>
            <sz val="10"/>
            <color rgb="FF000000"/>
            <rFont val="Aptos Narrow"/>
            <scheme val="minor"/>
          </rPr>
          <t>======
ID#AAABjx7qPXM
    (2025-05-21 11:33:24)
ALICE:10/24玉山水單匯入USD478沖PI-20190913A USD478</t>
        </r>
      </text>
    </comment>
    <comment ref="H5275" authorId="0" shapeId="0" xr:uid="{5777E0E2-F7B9-AB4F-BEAA-5FC47749E7F1}">
      <text>
        <r>
          <rPr>
            <sz val="10"/>
            <color rgb="FF000000"/>
            <rFont val="Aptos Narrow"/>
            <scheme val="minor"/>
          </rPr>
          <t>======
ID#AAABjx7qTSQ
    (2025-05-21 11:33:26)
ALICE:10/22玉山匯入USD1405沖PI-20190913B USD1405</t>
        </r>
      </text>
    </comment>
    <comment ref="J5275" authorId="0" shapeId="0" xr:uid="{8F0237EA-0243-4A4D-BB29-7576E35F2E78}">
      <text>
        <r>
          <rPr>
            <sz val="10"/>
            <color rgb="FF000000"/>
            <rFont val="Aptos Narrow"/>
            <scheme val="minor"/>
          </rPr>
          <t>======
ID#AAABj82dpO4
    (2025-05-21 11:33:23)
190919 但未知FEDEX服務，出貨前再確認
191008 Economy service</t>
        </r>
      </text>
    </comment>
    <comment ref="H5276" authorId="0" shapeId="0" xr:uid="{A72EC520-64FD-F04A-A1D3-E529A6F79F47}">
      <text>
        <r>
          <rPr>
            <sz val="10"/>
            <color rgb="FF000000"/>
            <rFont val="Aptos Narrow"/>
            <scheme val="minor"/>
          </rPr>
          <t>======
ID#AAABjx7qNow
    (2025-05-21 11:33:23)
ALICE:10/22玉山匯入USD1405沖PI-20190913B USD1405</t>
        </r>
      </text>
    </comment>
    <comment ref="J5276" authorId="0" shapeId="0" xr:uid="{4F3E2F48-E83F-6D45-9D88-38490A994536}">
      <text>
        <r>
          <rPr>
            <sz val="10"/>
            <color rgb="FF000000"/>
            <rFont val="Aptos Narrow"/>
            <scheme val="minor"/>
          </rPr>
          <t>======
ID#AAABjx7qPEc
    (2025-05-21 11:33:24)
190919 但未知FEDEX服務，出貨前再確認
191008 Economy service</t>
        </r>
      </text>
    </comment>
    <comment ref="E5277" authorId="0" shapeId="0" xr:uid="{D228B5C5-747C-D540-9D2F-E196BFA42612}">
      <text>
        <r>
          <rPr>
            <sz val="10"/>
            <color rgb="FF000000"/>
            <rFont val="Aptos Narrow"/>
            <scheme val="minor"/>
          </rPr>
          <t>======
ID#AAABj82dpGM
    (2025-05-21 11:33:23)
DG141005</t>
        </r>
      </text>
    </comment>
    <comment ref="H5277" authorId="0" shapeId="0" xr:uid="{91E45934-6A5F-F04C-80CE-C29283FAB536}">
      <text>
        <r>
          <rPr>
            <sz val="10"/>
            <color rgb="FF000000"/>
            <rFont val="Aptos Narrow"/>
            <scheme val="minor"/>
          </rPr>
          <t>======
ID#AAABjx7qPho
    (2025-05-21 11:33:24)
20190918 SAN同意讓客人於下次下單給款</t>
        </r>
      </text>
    </comment>
    <comment ref="E5278" authorId="0" shapeId="0" xr:uid="{8ED756EA-E9C7-DB42-B1A9-E917CCFBA877}">
      <text>
        <r>
          <rPr>
            <sz val="10"/>
            <color rgb="FF000000"/>
            <rFont val="Aptos Narrow"/>
            <scheme val="minor"/>
          </rPr>
          <t>======
ID#AAABjx7qPjQ
    (2025-05-21 11:33:24)
9/18 CHLOE告知市面上已無庫存</t>
        </r>
      </text>
    </comment>
    <comment ref="H5280" authorId="0" shapeId="0" xr:uid="{17798611-F628-5C42-9FD8-2C2576F2AFDC}">
      <text>
        <r>
          <rPr>
            <sz val="10"/>
            <color rgb="FF000000"/>
            <rFont val="Aptos Narrow"/>
            <scheme val="minor"/>
          </rPr>
          <t>======
ID#AAABjx7qO44
    (2025-05-21 11:33:24)
20190918 SAN同意讓客人於下次下單給款</t>
        </r>
      </text>
    </comment>
    <comment ref="H5281" authorId="0" shapeId="0" xr:uid="{B31962E6-30E9-B944-A17C-79C003E58C49}">
      <text>
        <r>
          <rPr>
            <sz val="10"/>
            <color rgb="FF000000"/>
            <rFont val="Aptos Narrow"/>
            <scheme val="minor"/>
          </rPr>
          <t>======
ID#AAABjx7qU3U
    (2025-05-21 11:33:26)
ALICE:11/8-玉山銀行收款USD5775沖PI-20190917A 5775元整</t>
        </r>
      </text>
    </comment>
    <comment ref="K5281" authorId="0" shapeId="0" xr:uid="{8A956786-84B7-B741-A9EB-EC69F653E155}">
      <text>
        <r>
          <rPr>
            <sz val="10"/>
            <color rgb="FF000000"/>
            <rFont val="Aptos Narrow"/>
            <scheme val="minor"/>
          </rPr>
          <t>======
ID#AAABjx7qNCI
    (2025-05-21 11:33:23)
1003:PGS告知客戶走周末班機，因此安排10/4收貨。</t>
        </r>
      </text>
    </comment>
    <comment ref="H5282" authorId="0" shapeId="0" xr:uid="{BCE74FA0-A4F9-DD4D-8124-0AD060C1F811}">
      <text>
        <r>
          <rPr>
            <sz val="10"/>
            <color rgb="FF000000"/>
            <rFont val="Aptos Narrow"/>
            <scheme val="minor"/>
          </rPr>
          <t>======
ID#AAABjx7qVMo
    (2025-05-21 11:33:27)
ALICE:11/8-玉山銀行收款USD5775沖PI-20190917A 5775元整</t>
        </r>
      </text>
    </comment>
    <comment ref="K5282" authorId="0" shapeId="0" xr:uid="{293AA982-8724-4341-A9A6-F43D1CCA56A3}">
      <text>
        <r>
          <rPr>
            <sz val="10"/>
            <color rgb="FF000000"/>
            <rFont val="Aptos Narrow"/>
            <scheme val="minor"/>
          </rPr>
          <t>======
ID#AAABjx7qSU4
    (2025-05-21 11:33:26)
1003:PGS告知客戶走周末班機，因此安排10/4收貨。</t>
        </r>
      </text>
    </comment>
    <comment ref="D5283" authorId="0" shapeId="0" xr:uid="{110719A2-7180-8645-B9BA-8544B66D5765}">
      <text>
        <r>
          <rPr>
            <sz val="10"/>
            <color rgb="FF000000"/>
            <rFont val="Aptos Narrow"/>
            <scheme val="minor"/>
          </rPr>
          <t>======
ID#AAABjx7qOgc
    (2025-05-21 11:33:24)
0820 確認客人，還在合併其他物料下單
0917 要求revise PI No.待PI 簽回
0920 cathy:客人突然告知已匯款，chloe下單，待需告知客人何時可以取貨</t>
        </r>
      </text>
    </comment>
    <comment ref="H5283" authorId="0" shapeId="0" xr:uid="{4560D6E2-6D6B-4144-A9CB-51EAC24F5C44}">
      <text>
        <r>
          <rPr>
            <sz val="10"/>
            <color rgb="FF000000"/>
            <rFont val="Aptos Narrow"/>
            <scheme val="minor"/>
          </rPr>
          <t>======
ID#AAABjx7qVqs
    (2025-05-21 11:33:27)
ALICE:9/19玉山水單匯入USD440沖PI-20190917B 440</t>
        </r>
      </text>
    </comment>
    <comment ref="K5283" authorId="0" shapeId="0" xr:uid="{1C0D19E3-508F-3A49-9EFB-F81F8577BA11}">
      <text>
        <r>
          <rPr>
            <sz val="10"/>
            <color rgb="FF000000"/>
            <rFont val="Aptos Narrow"/>
            <scheme val="minor"/>
          </rPr>
          <t>======
ID#AAABjx7qN14
    (2025-05-21 11:33:23)
0926yvonne:0925收走</t>
        </r>
      </text>
    </comment>
    <comment ref="D5284" authorId="0" shapeId="0" xr:uid="{60590262-0980-3745-BCDE-DEC14126B5ED}">
      <text>
        <r>
          <rPr>
            <sz val="10"/>
            <color rgb="FF000000"/>
            <rFont val="Aptos Narrow"/>
            <scheme val="minor"/>
          </rPr>
          <t>======
ID#AAABjx7qV-Y
    (2025-05-21 11:33:27)
0820 確認客人，還在合併其他物料下單
0917 要求revise PI No.待PI 簽回
0920 cathy:客人突然告知已匯款，chloe下單，待需告知客人何時可以取貨</t>
        </r>
      </text>
    </comment>
    <comment ref="H5284" authorId="0" shapeId="0" xr:uid="{8DA3E7A2-EB0C-C244-B532-541F3971961B}">
      <text>
        <r>
          <rPr>
            <sz val="10"/>
            <color rgb="FF000000"/>
            <rFont val="Aptos Narrow"/>
            <scheme val="minor"/>
          </rPr>
          <t>======
ID#AAABjx7qWSU
    (2025-05-21 11:33:27)
ALICE:9/19玉山水單匯入USD440沖PI-20190917B 440</t>
        </r>
      </text>
    </comment>
    <comment ref="K5284" authorId="0" shapeId="0" xr:uid="{9C7EC957-2E40-F546-82C8-0002BEAEF268}">
      <text>
        <r>
          <rPr>
            <sz val="10"/>
            <color rgb="FF000000"/>
            <rFont val="Aptos Narrow"/>
            <scheme val="minor"/>
          </rPr>
          <t>======
ID#AAABjx7qN-w
    (2025-05-21 11:33:24)
0926yvonne:0925收走</t>
        </r>
      </text>
    </comment>
    <comment ref="D5285" authorId="0" shapeId="0" xr:uid="{2F2E22BA-A668-D143-96F5-6D9433B9F2B8}">
      <text>
        <r>
          <rPr>
            <sz val="10"/>
            <color rgb="FF000000"/>
            <rFont val="Aptos Narrow"/>
            <scheme val="minor"/>
          </rPr>
          <t>======
ID#AAABjx7qTX4
    (2025-05-21 11:33:26)
0820 確認客人，還在合併其他物料下單
0917 要求revise PI No.待PI 簽回
0920 cathy:客人突然告知已匯款，chloe下單，待需告知客人何時可以取貨</t>
        </r>
      </text>
    </comment>
    <comment ref="H5285" authorId="0" shapeId="0" xr:uid="{228825F8-0B7D-8B42-B1B6-BA13BBD8849C}">
      <text>
        <r>
          <rPr>
            <sz val="10"/>
            <color rgb="FF000000"/>
            <rFont val="Aptos Narrow"/>
            <scheme val="minor"/>
          </rPr>
          <t>======
ID#AAABjx7qSk0
    (2025-05-21 11:33:26)
ALICE:9/19玉山水單匯入USD440沖PI-20190917B 440</t>
        </r>
      </text>
    </comment>
    <comment ref="I5285" authorId="0" shapeId="0" xr:uid="{15E40269-C21C-9849-A965-0751B8F0D07A}">
      <text>
        <r>
          <rPr>
            <sz val="10"/>
            <color rgb="FF000000"/>
            <rFont val="Aptos Narrow"/>
            <scheme val="minor"/>
          </rPr>
          <t>======
ID#AAABjx7qVJs
    (2025-05-21 11:33:27)
原cathy</t>
        </r>
      </text>
    </comment>
    <comment ref="G5286" authorId="0" shapeId="0" xr:uid="{F834198B-CC28-9C4E-AA08-959845A82926}">
      <text>
        <r>
          <rPr>
            <sz val="10"/>
            <color rgb="FF000000"/>
            <rFont val="Aptos Narrow"/>
            <scheme val="minor"/>
          </rPr>
          <t>======
ID#AAABjx7qP5I
    (2025-05-21 11:33:24)
190718 Tammy: w/5%</t>
        </r>
      </text>
    </comment>
    <comment ref="H5286" authorId="0" shapeId="0" xr:uid="{F9CB8556-4B06-FC48-BEC2-EFCAD1A897E3}">
      <text>
        <r>
          <rPr>
            <sz val="10"/>
            <color rgb="FF000000"/>
            <rFont val="Aptos Narrow"/>
            <scheme val="minor"/>
          </rPr>
          <t>======
ID#AAABjx7qRnc
    (2025-05-21 11:33:25)
ALICE:10/5玉山NT 思碩匯入NT66001元整，沖PI-20190917C 共NT66001元整</t>
        </r>
      </text>
    </comment>
    <comment ref="G5287" authorId="0" shapeId="0" xr:uid="{4C9B05A6-A3CE-DC4C-9178-4C16BC48D7E6}">
      <text>
        <r>
          <rPr>
            <sz val="10"/>
            <color rgb="FF000000"/>
            <rFont val="Aptos Narrow"/>
            <scheme val="minor"/>
          </rPr>
          <t>======
ID#AAABjx7qO3w
    (2025-05-21 11:33:24)
190718 Tammy: w/5%</t>
        </r>
      </text>
    </comment>
    <comment ref="H5287" authorId="0" shapeId="0" xr:uid="{AAE40438-741B-2C43-AE19-7F2FA8BCB53A}">
      <text>
        <r>
          <rPr>
            <sz val="10"/>
            <color rgb="FF000000"/>
            <rFont val="Aptos Narrow"/>
            <scheme val="minor"/>
          </rPr>
          <t>======
ID#AAABjx7qQlI
    (2025-05-21 11:33:25)
ALICE:10/5玉山NT 思碩匯入NT66001元整，沖PI-20190917C 共NT66001元整</t>
        </r>
      </text>
    </comment>
    <comment ref="H5288" authorId="0" shapeId="0" xr:uid="{2A41911C-4FC1-F149-88B2-2D95507DF918}">
      <text>
        <r>
          <rPr>
            <sz val="10"/>
            <color rgb="FF000000"/>
            <rFont val="Aptos Narrow"/>
            <scheme val="minor"/>
          </rPr>
          <t>======
ID#AAABjx7qS58
    (2025-05-21 11:33:26)
ALICE:11/4玉山銀行收到匯入款USD407沖PI-20190919A USD407元整</t>
        </r>
      </text>
    </comment>
    <comment ref="H5289" authorId="0" shapeId="0" xr:uid="{8D2A4401-42FA-9447-93A6-382E32D9328C}">
      <text>
        <r>
          <rPr>
            <sz val="10"/>
            <color rgb="FF000000"/>
            <rFont val="Aptos Narrow"/>
            <scheme val="minor"/>
          </rPr>
          <t>======
ID#AAABjx7qVhs
    (2025-05-21 11:33:27)
ALICE:11/4玉山銀行收到匯入款USD407沖PI-20190919A USD407元整</t>
        </r>
      </text>
    </comment>
    <comment ref="H5290" authorId="0" shapeId="0" xr:uid="{155B3312-EA4D-284D-B63D-4A7977B64903}">
      <text>
        <r>
          <rPr>
            <sz val="10"/>
            <color rgb="FF000000"/>
            <rFont val="Aptos Narrow"/>
            <scheme val="minor"/>
          </rPr>
          <t>======
ID#AAABjx7qPAA
    (2025-05-21 11:33:24)
ALICE:11/4玉山銀行收到匯入款USD407沖PI-20190919A USD407元整</t>
        </r>
      </text>
    </comment>
    <comment ref="H5291" authorId="0" shapeId="0" xr:uid="{08E4EE7C-F335-AD4C-A812-7CBDFD843BEE}">
      <text>
        <r>
          <rPr>
            <sz val="10"/>
            <color rgb="FF000000"/>
            <rFont val="Aptos Narrow"/>
            <scheme val="minor"/>
          </rPr>
          <t>======
ID#AAABjx7qRV4
    (2025-05-21 11:33:25)
ALICE:11/4玉山銀行收到匯入款USD407沖PI-20190919A USD407元整</t>
        </r>
      </text>
    </comment>
    <comment ref="H5293" authorId="0" shapeId="0" xr:uid="{BD971086-7143-8B4C-9E81-1E71715BB1A6}">
      <text>
        <r>
          <rPr>
            <sz val="10"/>
            <color rgb="FF000000"/>
            <rFont val="Aptos Narrow"/>
            <scheme val="minor"/>
          </rPr>
          <t>======
ID#AAABjx7qUrs
    (2025-05-21 11:33:26)
ALICE:9/24玉山水單通知USD1407.5沖PI-20190923A USD1407.5元整</t>
        </r>
      </text>
    </comment>
    <comment ref="E5294" authorId="0" shapeId="0" xr:uid="{CFDF7DDF-7DBE-D745-9B3C-816BF910DFA7}">
      <text>
        <r>
          <rPr>
            <sz val="10"/>
            <color rgb="FF000000"/>
            <rFont val="Aptos Narrow"/>
            <scheme val="minor"/>
          </rPr>
          <t>======
ID#AAABjx7qNUk
    (2025-05-21 11:33:23)
EU Adaper</t>
        </r>
      </text>
    </comment>
    <comment ref="H5294" authorId="0" shapeId="0" xr:uid="{A84D2E73-F6A8-1745-A47D-B49531BC7E5B}">
      <text>
        <r>
          <rPr>
            <sz val="10"/>
            <color rgb="FF000000"/>
            <rFont val="Aptos Narrow"/>
            <scheme val="minor"/>
          </rPr>
          <t>======
ID#AAABjx7qTQs
    (2025-05-21 11:33:26)
ALICE:9/24玉山水單通知USD1407.5沖PI-20190923A USD1407.5元整</t>
        </r>
      </text>
    </comment>
    <comment ref="H5295" authorId="0" shapeId="0" xr:uid="{D20DDC4E-52FE-2A4C-99D3-C4782CEF8410}">
      <text>
        <r>
          <rPr>
            <sz val="10"/>
            <color rgb="FF000000"/>
            <rFont val="Aptos Narrow"/>
            <scheme val="minor"/>
          </rPr>
          <t>======
ID#AAABjx7qQec
    (2025-05-21 11:33:25)
ALICE:9/24玉山水單通知USD1407.5沖PI-20190923A USD1407.5元整</t>
        </r>
      </text>
    </comment>
    <comment ref="H5296" authorId="0" shapeId="0" xr:uid="{91943AD9-7426-2A47-959D-E00BE8E8D5D5}">
      <text>
        <r>
          <rPr>
            <sz val="10"/>
            <color rgb="FF000000"/>
            <rFont val="Aptos Narrow"/>
            <scheme val="minor"/>
          </rPr>
          <t>======
ID#AAABjx7qOOo
    (2025-05-21 11:33:24)
ALICE:9/24玉山水單通知USD1407.5沖PI-20190923A USD1407.5元整</t>
        </r>
      </text>
    </comment>
    <comment ref="H5297" authorId="0" shapeId="0" xr:uid="{7816EC96-19D3-5147-AA06-CDEA7E8DB4EC}">
      <text>
        <r>
          <rPr>
            <sz val="10"/>
            <color rgb="FF000000"/>
            <rFont val="Aptos Narrow"/>
            <scheme val="minor"/>
          </rPr>
          <t>======
ID#AAABjx7qScs
    (2025-05-21 11:33:26)
ALICE:12/4-TPOLE匯入一銀USD2242(全額到付)沖PI-20190923B 125+PI-20190930B USD1872+PI-20191014006 USD150+PI-20191026001 USD95合計總沖USD2242元整</t>
        </r>
      </text>
    </comment>
    <comment ref="D5298" authorId="0" shapeId="0" xr:uid="{05A17C71-0379-DC48-8A01-27B890918478}">
      <text>
        <r>
          <rPr>
            <sz val="10"/>
            <color rgb="FF000000"/>
            <rFont val="Aptos Narrow"/>
            <scheme val="minor"/>
          </rPr>
          <t>======
ID#AAABjx7qPak
    (2025-05-21 11:33:24)
0926 與vivian確認庫存or Yvonne 下單</t>
        </r>
      </text>
    </comment>
    <comment ref="H5298" authorId="0" shapeId="0" xr:uid="{E018DBE4-00A1-8C44-A197-A66B10824FBE}">
      <text>
        <r>
          <rPr>
            <sz val="10"/>
            <color rgb="FF000000"/>
            <rFont val="Aptos Narrow"/>
            <scheme val="minor"/>
          </rPr>
          <t>======
ID#AAABjx7qVNg
    (2025-05-21 11:33:27)
alice:11/11收到芳慎支票 到期日108/11/30-an0560111 金額80622元整</t>
        </r>
      </text>
    </comment>
    <comment ref="F5301" authorId="0" shapeId="0" xr:uid="{9E76E4CB-A695-9F42-8335-6E0AA1D9FF7E}">
      <text>
        <r>
          <rPr>
            <sz val="10"/>
            <color rgb="FF000000"/>
            <rFont val="Aptos Narrow"/>
            <scheme val="minor"/>
          </rPr>
          <t>======
ID#AAABjx7qS5Q
    (2025-05-21 11:33:26)
20191028 客人告知6pcs寄回
20191008 曦立有QC 有6PCS spot</t>
        </r>
      </text>
    </comment>
    <comment ref="D5302" authorId="0" shapeId="0" xr:uid="{F5446125-304D-0245-B49A-1CC72AB15CE1}">
      <text>
        <r>
          <rPr>
            <sz val="10"/>
            <color rgb="FF000000"/>
            <rFont val="Aptos Narrow"/>
            <scheme val="minor"/>
          </rPr>
          <t>======
ID#AAABjx7qSZg
    (2025-05-21 11:33:26)
0927 Cathy 客人增加物料，想與PI-20190909A一起走 ,請chloe 協助下單
1001 告知改由Aditech付款</t>
        </r>
      </text>
    </comment>
    <comment ref="H5303" authorId="0" shapeId="0" xr:uid="{80559A2E-AEFD-BE4D-9702-574CAE3D94DD}">
      <text>
        <r>
          <rPr>
            <sz val="10"/>
            <color rgb="FF000000"/>
            <rFont val="Aptos Narrow"/>
            <scheme val="minor"/>
          </rPr>
          <t>======
ID#AAABjx7qWOs
    (2025-05-21 11:33:27)
ALICE:11/20一銀匯入USD5837沖PI-20190930A USD3945+PI-20191003A USD137+PI-20191005A USD1755</t>
        </r>
      </text>
    </comment>
    <comment ref="K5303" authorId="0" shapeId="0" xr:uid="{85D73798-4B43-5A46-A1FB-4B0FE8902BCC}">
      <text>
        <r>
          <rPr>
            <sz val="10"/>
            <color rgb="FF000000"/>
            <rFont val="Aptos Narrow"/>
            <scheme val="minor"/>
          </rPr>
          <t>======
ID#AAABjx7qWAw
    (2025-05-21 11:33:27)
1015YVONNE:隨貨寄目錄,並通知san</t>
        </r>
      </text>
    </comment>
    <comment ref="H5304" authorId="0" shapeId="0" xr:uid="{6F807C72-18F4-8641-A74F-A1D2229221DF}">
      <text>
        <r>
          <rPr>
            <sz val="10"/>
            <color rgb="FF000000"/>
            <rFont val="Aptos Narrow"/>
            <scheme val="minor"/>
          </rPr>
          <t>======
ID#AAABjx7qO_U
    (2025-05-21 11:33:24)
ALICE:11/20一銀匯入USD5837沖PI-20190930A USD3945+PI-20191003A USD137+PI-20191005A USD1755</t>
        </r>
      </text>
    </comment>
    <comment ref="K5304" authorId="0" shapeId="0" xr:uid="{240AA573-3258-0B4E-9B63-10DF5D63CF44}">
      <text>
        <r>
          <rPr>
            <sz val="10"/>
            <color rgb="FF000000"/>
            <rFont val="Aptos Narrow"/>
            <scheme val="minor"/>
          </rPr>
          <t>======
ID#AAABjx7qPEM
    (2025-05-21 11:33:24)
1015YVONNE:隨貨寄目錄,並通知san</t>
        </r>
      </text>
    </comment>
    <comment ref="H5305" authorId="0" shapeId="0" xr:uid="{411504CF-781B-1940-BF54-33E22BFDC386}">
      <text>
        <r>
          <rPr>
            <sz val="10"/>
            <color rgb="FF000000"/>
            <rFont val="Aptos Narrow"/>
            <scheme val="minor"/>
          </rPr>
          <t>======
ID#AAABjx7qO2c
    (2025-05-21 11:33:24)
ALICE:11/20一銀匯入USD5837沖PI-20190930A USD3945+PI-20191003A USD137+PI-20191005A USD1755</t>
        </r>
      </text>
    </comment>
    <comment ref="K5305" authorId="0" shapeId="0" xr:uid="{82F836FB-59E5-164A-901B-87C65C59C09F}">
      <text>
        <r>
          <rPr>
            <sz val="10"/>
            <color rgb="FF000000"/>
            <rFont val="Aptos Narrow"/>
            <scheme val="minor"/>
          </rPr>
          <t>======
ID#AAABjx7qOls
    (2025-05-21 11:33:24)
1015YVONNE:隨貨寄目錄,並通知san</t>
        </r>
      </text>
    </comment>
    <comment ref="H5306" authorId="0" shapeId="0" xr:uid="{8EE1BF6B-924C-A445-83C2-492B196F89C3}">
      <text>
        <r>
          <rPr>
            <sz val="10"/>
            <color rgb="FF000000"/>
            <rFont val="Aptos Narrow"/>
            <scheme val="minor"/>
          </rPr>
          <t>======
ID#AAABjx7qNKY
    (2025-05-21 11:33:23)
ALICE:11/20一銀匯入USD5837沖PI-20190930A USD3945+PI-20191003A USD137+PI-20191005A USD1755</t>
        </r>
      </text>
    </comment>
    <comment ref="K5306" authorId="0" shapeId="0" xr:uid="{D2D4EE65-9875-8946-9322-9B3355548C7A}">
      <text>
        <r>
          <rPr>
            <sz val="10"/>
            <color rgb="FF000000"/>
            <rFont val="Aptos Narrow"/>
            <scheme val="minor"/>
          </rPr>
          <t>======
ID#AAABjx7qTak
    (2025-05-21 11:33:26)
1015YVONNE:隨貨寄目錄,並通知san</t>
        </r>
      </text>
    </comment>
    <comment ref="H5307" authorId="0" shapeId="0" xr:uid="{11916777-491D-6D4B-8FCB-9D2AE9DAEA69}">
      <text>
        <r>
          <rPr>
            <sz val="10"/>
            <color rgb="FF000000"/>
            <rFont val="Aptos Narrow"/>
            <scheme val="minor"/>
          </rPr>
          <t>======
ID#AAABjx7qVb0
    (2025-05-21 11:33:27)
ALICE:11/20一銀匯入USD5837沖PI-20190930A USD3945+PI-20191003A USD137+PI-20191005A USD1755</t>
        </r>
      </text>
    </comment>
    <comment ref="K5307" authorId="0" shapeId="0" xr:uid="{D7BD06FE-CE6C-F748-B2BB-9727EA7CC2F4}">
      <text>
        <r>
          <rPr>
            <sz val="10"/>
            <color rgb="FF000000"/>
            <rFont val="Aptos Narrow"/>
            <scheme val="minor"/>
          </rPr>
          <t>======
ID#AAABjx7qVHI
    (2025-05-21 11:33:27)
1015YVONNE:隨貨寄目錄,並通知san</t>
        </r>
      </text>
    </comment>
    <comment ref="H5308" authorId="0" shapeId="0" xr:uid="{7BE2662B-7C61-FA4B-9931-A52D3E1D15FC}">
      <text>
        <r>
          <rPr>
            <sz val="10"/>
            <color rgb="FF000000"/>
            <rFont val="Aptos Narrow"/>
            <scheme val="minor"/>
          </rPr>
          <t>======
ID#AAABjx7qSUY
    (2025-05-21 11:33:26)
ALICE:11/20一銀匯入USD5837沖PI-20190930A USD3945+PI-20191003A USD137+PI-20191005A USD1755</t>
        </r>
      </text>
    </comment>
    <comment ref="K5308" authorId="0" shapeId="0" xr:uid="{140CB7F5-79F2-7148-ABCE-2E1732B51D7F}">
      <text>
        <r>
          <rPr>
            <sz val="10"/>
            <color rgb="FF000000"/>
            <rFont val="Aptos Narrow"/>
            <scheme val="minor"/>
          </rPr>
          <t>======
ID#AAABjx7qQOY
    (2025-05-21 11:33:25)
1015YVONNE:隨貨寄目錄,並通知san</t>
        </r>
      </text>
    </comment>
    <comment ref="H5309" authorId="0" shapeId="0" xr:uid="{326D41AE-C7C5-DE48-80BB-591399DAC22E}">
      <text>
        <r>
          <rPr>
            <sz val="10"/>
            <color rgb="FF000000"/>
            <rFont val="Aptos Narrow"/>
            <scheme val="minor"/>
          </rPr>
          <t>======
ID#AAABjx7qSOs
    (2025-05-21 11:33:26)
ALICE:11/20一銀匯入USD5837沖PI-20190930A USD3945+PI-20191003A USD137+PI-20191005A USD1755</t>
        </r>
      </text>
    </comment>
    <comment ref="K5309" authorId="0" shapeId="0" xr:uid="{E3B71811-F753-ED43-A9C9-304A872A85A0}">
      <text>
        <r>
          <rPr>
            <sz val="10"/>
            <color rgb="FF000000"/>
            <rFont val="Aptos Narrow"/>
            <scheme val="minor"/>
          </rPr>
          <t>======
ID#AAABjx7qNkI
    (2025-05-21 11:33:23)
1015YVONNE:隨貨寄目錄,並通知san</t>
        </r>
      </text>
    </comment>
    <comment ref="H5310" authorId="0" shapeId="0" xr:uid="{A9BFA373-6C80-934A-BC87-E6EBBA06111A}">
      <text>
        <r>
          <rPr>
            <sz val="10"/>
            <color rgb="FF000000"/>
            <rFont val="Aptos Narrow"/>
            <scheme val="minor"/>
          </rPr>
          <t>======
ID#AAABjx7qMyc
    (2025-05-21 11:33:23)
ALICE:11/20一銀匯入USD5837沖PI-20190930A USD3945+PI-20191003A USD137+PI-20191005A USD1755</t>
        </r>
      </text>
    </comment>
    <comment ref="K5310" authorId="0" shapeId="0" xr:uid="{AF3A5C11-2F3C-FB43-9D1A-9C8153E45711}">
      <text>
        <r>
          <rPr>
            <sz val="10"/>
            <color rgb="FF000000"/>
            <rFont val="Aptos Narrow"/>
            <scheme val="minor"/>
          </rPr>
          <t>======
ID#AAABjx7qSzU
    (2025-05-21 11:33:26)
1015YVONNE:隨貨寄目錄,並通知san</t>
        </r>
      </text>
    </comment>
    <comment ref="H5311" authorId="0" shapeId="0" xr:uid="{B8D2E950-F224-0C4B-80A8-CD11AE20EF80}">
      <text>
        <r>
          <rPr>
            <sz val="10"/>
            <color rgb="FF000000"/>
            <rFont val="Aptos Narrow"/>
            <scheme val="minor"/>
          </rPr>
          <t>======
ID#AAABjx7qPA0
    (2025-05-21 11:33:24)
ALICE:11/20一銀匯入USD5837沖PI-20190930A USD3945+PI-20191003A USD137+PI-20191005A USD1755</t>
        </r>
      </text>
    </comment>
    <comment ref="K5311" authorId="0" shapeId="0" xr:uid="{893F23DA-9985-7F44-A693-8B28AEB16369}">
      <text>
        <r>
          <rPr>
            <sz val="10"/>
            <color rgb="FF000000"/>
            <rFont val="Aptos Narrow"/>
            <scheme val="minor"/>
          </rPr>
          <t>======
ID#AAABjx7qNIM
    (2025-05-21 11:33:23)
1015YVONNE:隨貨寄目錄,並通知san</t>
        </r>
      </text>
    </comment>
    <comment ref="H5312" authorId="0" shapeId="0" xr:uid="{4DAE7735-0ACC-604F-B417-B9AA9E6F2B3F}">
      <text>
        <r>
          <rPr>
            <sz val="10"/>
            <color rgb="FF000000"/>
            <rFont val="Aptos Narrow"/>
            <scheme val="minor"/>
          </rPr>
          <t>======
ID#AAABjx7qSw4
    (2025-05-21 11:33:26)
A
ALICE:12/4-TPOLE匯入一銀USD2242(全額到付)沖PI-20190923B 125+PI-20190930B USD1872+PI-20191014006 USD150+PI-20191026001 USD95合計總沖USD2242元整</t>
        </r>
      </text>
    </comment>
    <comment ref="E5317" authorId="0" shapeId="0" xr:uid="{0DA5ACAB-F146-4444-B0BC-D0BE2E9C7D69}">
      <text>
        <r>
          <rPr>
            <sz val="10"/>
            <color rgb="FF000000"/>
            <rFont val="Aptos Narrow"/>
            <scheme val="minor"/>
          </rPr>
          <t>======
ID#AAABjx7qQUg
    (2025-05-21 11:33:25)
0313 chloe: 戎克備有庫存，見半成品庫存表</t>
        </r>
      </text>
    </comment>
    <comment ref="H5318" authorId="0" shapeId="0" xr:uid="{CF084A8C-C597-284F-BFE1-AEEEDB3E29C7}">
      <text>
        <r>
          <rPr>
            <sz val="10"/>
            <color rgb="FF000000"/>
            <rFont val="Aptos Narrow"/>
            <scheme val="minor"/>
          </rPr>
          <t>======
ID#AAABjx7qNC8
    (2025-05-21 11:33:23)
ALICE:12/4-TPOLE匯入一銀USD2242(全額到付)沖PI-20190923B 125+PI-20190930B USD1872+PI-20191014006 USD150+PI-20191026001 USD95合計總沖USD2242元整</t>
        </r>
      </text>
    </comment>
    <comment ref="H5319" authorId="0" shapeId="0" xr:uid="{289910F7-885C-3A45-B24D-8FFC0C81A266}">
      <text>
        <r>
          <rPr>
            <sz val="10"/>
            <color rgb="FF000000"/>
            <rFont val="Aptos Narrow"/>
            <scheme val="minor"/>
          </rPr>
          <t>======
ID#AAABjx7qQnE
    (2025-05-21 11:33:25)
ALICE:12/4-TPOLE匯入一銀USD2242(全額到付)沖PI-20190923B 125+PI-20190930B USD1872+PI-20191014006 USD150+PI-20191026001 USD95合計總沖USD2242元整</t>
        </r>
      </text>
    </comment>
    <comment ref="E5324" authorId="0" shapeId="0" xr:uid="{BA2E4DDB-79C6-2648-92AF-5223C9A6331B}">
      <text>
        <r>
          <rPr>
            <sz val="10"/>
            <color rgb="FF000000"/>
            <rFont val="Aptos Narrow"/>
            <scheme val="minor"/>
          </rPr>
          <t>======
ID#AAABjx7qOeI
    (2025-05-21 11:33:24)
0313 chloe: 戎克備有庫存，見半成品庫存表</t>
        </r>
      </text>
    </comment>
    <comment ref="H5325" authorId="0" shapeId="0" xr:uid="{0DDA7016-FAA2-C249-905A-FD2BBC67FE20}">
      <text>
        <r>
          <rPr>
            <sz val="10"/>
            <color rgb="FF000000"/>
            <rFont val="Aptos Narrow"/>
            <scheme val="minor"/>
          </rPr>
          <t>======
ID#AAABjx7qQjA
    (2025-05-21 11:33:25)
ALICE:12/4-TPOLE匯入一銀USD2242(全額到付)沖PI-20190923B 125+PI-20190930B USD1872+PI-20191014006 USD150+PI-20191026001 USD95合計總沖USD2242元整</t>
        </r>
      </text>
    </comment>
    <comment ref="H5326" authorId="0" shapeId="0" xr:uid="{FA0DF952-CAED-C341-B358-F1A2934E4E60}">
      <text>
        <r>
          <rPr>
            <sz val="10"/>
            <color rgb="FF000000"/>
            <rFont val="Aptos Narrow"/>
            <scheme val="minor"/>
          </rPr>
          <t>======
ID#AAABjx7qNNE
    (2025-05-21 11:33:23)
ALICE:12/4-TPOLE匯入一銀USD2242(全額到付)沖PI-20190923B 125+PI-20190930B USD1872+PI-20191014006 USD150+PI-20191026001 USD95合計總沖USD2242元整</t>
        </r>
      </text>
    </comment>
    <comment ref="H5327" authorId="0" shapeId="0" xr:uid="{BF04FB0C-FC61-8048-9125-240B08E405D5}">
      <text>
        <r>
          <rPr>
            <sz val="10"/>
            <color rgb="FF000000"/>
            <rFont val="Aptos Narrow"/>
            <scheme val="minor"/>
          </rPr>
          <t>======
ID#AAABjx7qVWc
    (2025-05-21 11:33:27)
ALICE:12/4-TPOLE匯入一銀USD2242(全額到付)沖PI-20190923B 125+PI-20190930B USD1872+PI-20191014006 USD150+PI-20191026001 USD95合計總沖USD2242元整</t>
        </r>
      </text>
    </comment>
    <comment ref="H5328" authorId="0" shapeId="0" xr:uid="{C00D416C-0020-2B46-9B83-401DF2C147EC}">
      <text>
        <r>
          <rPr>
            <sz val="10"/>
            <color rgb="FF000000"/>
            <rFont val="Aptos Narrow"/>
            <scheme val="minor"/>
          </rPr>
          <t>======
ID#AAABjx7qQOk
    (2025-05-21 11:33:25)
ALICE:12/2-合庫匯入NT328647(內含手續費NT30元整)沖PI-20191001A USD10084.2+PI-20191112006 USD714元整</t>
        </r>
      </text>
    </comment>
    <comment ref="E5329" authorId="0" shapeId="0" xr:uid="{FA62A68D-8AF2-004C-9765-D610D5C55080}">
      <text>
        <r>
          <rPr>
            <sz val="10"/>
            <color rgb="FF000000"/>
            <rFont val="Aptos Narrow"/>
            <scheme val="minor"/>
          </rPr>
          <t>======
ID#AAABjx7qOkw
    (2025-05-21 11:33:24)
20170104 Santiago: 和之前訂單一樣, w/o adapter</t>
        </r>
      </text>
    </comment>
    <comment ref="H5329" authorId="0" shapeId="0" xr:uid="{898C6505-E360-1945-8810-755A5371CF8A}">
      <text>
        <r>
          <rPr>
            <sz val="10"/>
            <color rgb="FF000000"/>
            <rFont val="Aptos Narrow"/>
            <scheme val="minor"/>
          </rPr>
          <t>======
ID#AAABjx7qVc0
    (2025-05-21 11:33:27)
ALICE:12/2-合庫匯入NT328647(內含手續費NT30元整)沖PI-20191001A USD10084.2+PI-20191112006 USD714元整</t>
        </r>
      </text>
    </comment>
    <comment ref="H5330" authorId="0" shapeId="0" xr:uid="{4D4231BA-F020-114A-BF1C-1FC7EACC19D1}">
      <text>
        <r>
          <rPr>
            <sz val="10"/>
            <color rgb="FF000000"/>
            <rFont val="Aptos Narrow"/>
            <scheme val="minor"/>
          </rPr>
          <t>======
ID#AAABjx7qQrI
    (2025-05-21 11:33:25)
ALICE:12/2-合庫匯入NT328647(內含手續費NT30元整)沖PI-20191001A USD10084.2+PI-20191112006 USD714元整</t>
        </r>
      </text>
    </comment>
    <comment ref="H5331" authorId="0" shapeId="0" xr:uid="{B8F3E721-D38F-3449-9CAE-45AB253D599B}">
      <text>
        <r>
          <rPr>
            <sz val="10"/>
            <color rgb="FF000000"/>
            <rFont val="Aptos Narrow"/>
            <scheme val="minor"/>
          </rPr>
          <t>======
ID#AAABjx7qP68
    (2025-05-21 11:33:24)
ALICE:2020/02/03合庫收款NT858362元整，沖PI-20191001A
 NT147153+PI-20191112006 NT711239元整</t>
        </r>
      </text>
    </comment>
    <comment ref="H5332" authorId="0" shapeId="0" xr:uid="{424FB18C-09F8-B74D-B546-603BAEC0D15F}">
      <text>
        <r>
          <rPr>
            <sz val="10"/>
            <color rgb="FF000000"/>
            <rFont val="Aptos Narrow"/>
            <scheme val="minor"/>
          </rPr>
          <t>======
ID#AAABjx7qTbY
    (2025-05-21 11:33:26)
ALICE:10/9-匯入USD6974沖PI-20191001B USD6974元整</t>
        </r>
      </text>
    </comment>
    <comment ref="H5333" authorId="0" shapeId="0" xr:uid="{75CD0849-2DE3-294C-A881-141807DB7B3A}">
      <text>
        <r>
          <rPr>
            <sz val="10"/>
            <color rgb="FF000000"/>
            <rFont val="Aptos Narrow"/>
            <scheme val="minor"/>
          </rPr>
          <t>======
ID#AAABjx7qNHg
    (2025-05-21 11:33:23)
ALICE:10/9-匯入USD6974沖PI-20191001B USD6974元整</t>
        </r>
      </text>
    </comment>
    <comment ref="H5334" authorId="0" shapeId="0" xr:uid="{DFF12F7F-39BA-B348-A5F8-C4104F4292F7}">
      <text>
        <r>
          <rPr>
            <sz val="10"/>
            <color rgb="FF000000"/>
            <rFont val="Aptos Narrow"/>
            <scheme val="minor"/>
          </rPr>
          <t>======
ID#AAABjx7qQpc
    (2025-05-21 11:33:25)
ALICE:1/9-一銀水單USD1590沖PI-20191001E USD1590</t>
        </r>
      </text>
    </comment>
    <comment ref="K5334" authorId="0" shapeId="0" xr:uid="{676730FA-D588-F247-A3AC-9239E9BA6382}">
      <text>
        <r>
          <rPr>
            <sz val="10"/>
            <color rgb="FF000000"/>
            <rFont val="Aptos Narrow"/>
            <scheme val="minor"/>
          </rPr>
          <t>======
ID#AAABjx7qTMY
    (2025-05-21 11:33:26)
1128yvonne:客戶通知要等ISD-1210-T*10pcs到貨一併出。</t>
        </r>
      </text>
    </comment>
    <comment ref="H5335" authorId="0" shapeId="0" xr:uid="{4F0C717A-0F50-A145-8BBB-D35D0163AF6F}">
      <text>
        <r>
          <rPr>
            <sz val="10"/>
            <color rgb="FF000000"/>
            <rFont val="Aptos Narrow"/>
            <scheme val="minor"/>
          </rPr>
          <t>======
ID#AAABjx7qSdw
    (2025-05-21 11:33:26)
ALICE:1/9-一銀水單USD1590沖PI-20191001E USD1590</t>
        </r>
      </text>
    </comment>
    <comment ref="K5335" authorId="0" shapeId="0" xr:uid="{20368A90-48D1-D64B-A82E-696A0CF5D843}">
      <text>
        <r>
          <rPr>
            <sz val="10"/>
            <color rgb="FF000000"/>
            <rFont val="Aptos Narrow"/>
            <scheme val="minor"/>
          </rPr>
          <t>======
ID#AAABjx7qOJQ
    (2025-05-21 11:33:24)
1128yvonne:客戶通知要等ISD-1210-T*10pcs到貨一併出。</t>
        </r>
      </text>
    </comment>
    <comment ref="H5336" authorId="0" shapeId="0" xr:uid="{7D475D48-E5DF-094F-9B91-28985EF7FCD8}">
      <text>
        <r>
          <rPr>
            <sz val="10"/>
            <color rgb="FF000000"/>
            <rFont val="Aptos Narrow"/>
            <scheme val="minor"/>
          </rPr>
          <t>======
ID#AAABjx7qQk0
    (2025-05-21 11:33:25)
ALICE:1/9-一銀水單USD1590沖PI-20191001E USD1590</t>
        </r>
      </text>
    </comment>
    <comment ref="K5336" authorId="0" shapeId="0" xr:uid="{0308612F-B383-0C42-8AA7-D3BD7DA0D75B}">
      <text>
        <r>
          <rPr>
            <sz val="10"/>
            <color rgb="FF000000"/>
            <rFont val="Aptos Narrow"/>
            <scheme val="minor"/>
          </rPr>
          <t>======
ID#AAABjx7qPkc
    (2025-05-21 11:33:24)
1128yvonne:客戶通知要等ISD-1210-T*10pcs到貨一併出。</t>
        </r>
      </text>
    </comment>
    <comment ref="D5337" authorId="0" shapeId="0" xr:uid="{8D26ECD1-728F-9A4A-8A1B-36D88D89CE4F}">
      <text>
        <r>
          <rPr>
            <sz val="10"/>
            <color rgb="FF000000"/>
            <rFont val="Aptos Narrow"/>
            <scheme val="minor"/>
          </rPr>
          <t>======
ID#AAABjx7qRXk
    (2025-05-21 11:33:25)
10/3 請Chloe下單</t>
        </r>
      </text>
    </comment>
    <comment ref="H5337" authorId="0" shapeId="0" xr:uid="{F7789C9E-20AB-D04F-A40B-DBC0867BCA06}">
      <text>
        <r>
          <rPr>
            <sz val="10"/>
            <color rgb="FF000000"/>
            <rFont val="Aptos Narrow"/>
            <scheme val="minor"/>
          </rPr>
          <t>======
ID#AAABjx7qTcU
    (2025-05-21 11:33:26)
ALICE:10/7-玉山銀行收到匯入款USD801-手續費USD6.48=USD794.52沖PI-20191002A USD801元整</t>
        </r>
      </text>
    </comment>
    <comment ref="J5337" authorId="0" shapeId="0" xr:uid="{E43735AF-FC65-8948-9CCF-B1DEAD7ED82C}">
      <text>
        <r>
          <rPr>
            <sz val="10"/>
            <color rgb="FF000000"/>
            <rFont val="Aptos Narrow"/>
            <scheme val="minor"/>
          </rPr>
          <t>======
ID#AAABjx7qV8A
    (2025-05-21 11:33:27)
using UPS express then</t>
        </r>
      </text>
    </comment>
    <comment ref="K5337" authorId="0" shapeId="0" xr:uid="{6261578D-6733-3647-90B3-3E824370BA1C}">
      <text>
        <r>
          <rPr>
            <sz val="10"/>
            <color rgb="FF000000"/>
            <rFont val="Aptos Narrow"/>
            <scheme val="minor"/>
          </rPr>
          <t>======
ID#AAABjx7qO3E
    (2025-05-21 11:33:24)
10/30 cathy:通知客人交期</t>
        </r>
      </text>
    </comment>
    <comment ref="D5338" authorId="0" shapeId="0" xr:uid="{839E42A7-077B-9C41-A281-EEB85621680E}">
      <text>
        <r>
          <rPr>
            <sz val="10"/>
            <color rgb="FF000000"/>
            <rFont val="Aptos Narrow"/>
            <scheme val="minor"/>
          </rPr>
          <t>======
ID#AAABjx7qSJA
    (2025-05-21 11:33:26)
10/3 請Chloe下單</t>
        </r>
      </text>
    </comment>
    <comment ref="H5338" authorId="0" shapeId="0" xr:uid="{E3B47A09-21F0-1442-8784-349A92672BA4}">
      <text>
        <r>
          <rPr>
            <sz val="10"/>
            <color rgb="FF000000"/>
            <rFont val="Aptos Narrow"/>
            <scheme val="minor"/>
          </rPr>
          <t>======
ID#AAABjx7qU_8
    (2025-05-21 11:33:27)
ALICE:10/7-玉山銀行收到匯入款USD801-手續費USD6.48=USD794.52沖PI-20191002A USD801元整</t>
        </r>
      </text>
    </comment>
    <comment ref="J5338" authorId="0" shapeId="0" xr:uid="{D3B65F86-C9F0-DC49-BF0D-184231927B2D}">
      <text>
        <r>
          <rPr>
            <sz val="10"/>
            <color rgb="FF000000"/>
            <rFont val="Aptos Narrow"/>
            <scheme val="minor"/>
          </rPr>
          <t>======
ID#AAABjx7qSn0
    (2025-05-21 11:33:26)
using UPS express then</t>
        </r>
      </text>
    </comment>
    <comment ref="K5338" authorId="0" shapeId="0" xr:uid="{274EB99E-0518-DF4B-B736-118E324E59AB}">
      <text>
        <r>
          <rPr>
            <sz val="10"/>
            <color rgb="FF000000"/>
            <rFont val="Aptos Narrow"/>
            <scheme val="minor"/>
          </rPr>
          <t>======
ID#AAABjx7qShA
    (2025-05-21 11:33:26)
10/30 cathy:通知客人交期</t>
        </r>
      </text>
    </comment>
    <comment ref="D5339" authorId="0" shapeId="0" xr:uid="{F0A8D9D3-C853-3B4D-8DDC-38D110197B38}">
      <text>
        <r>
          <rPr>
            <sz val="10"/>
            <color rgb="FF000000"/>
            <rFont val="Aptos Narrow"/>
            <scheme val="minor"/>
          </rPr>
          <t>======
ID#AAABjx7qVFg
    (2025-05-21 11:33:27)
10/3 請Chloe下單</t>
        </r>
      </text>
    </comment>
    <comment ref="H5339" authorId="0" shapeId="0" xr:uid="{30850957-1371-E243-BDFC-300347A8CA68}">
      <text>
        <r>
          <rPr>
            <sz val="10"/>
            <color rgb="FF000000"/>
            <rFont val="Aptos Narrow"/>
            <scheme val="minor"/>
          </rPr>
          <t>======
ID#AAABjx7qNpo
    (2025-05-21 11:33:23)
ALICE:10/7-玉山銀行收到匯入款USD801-手續費USD6.48=USD794.52沖PI-20191002A USD801元整</t>
        </r>
      </text>
    </comment>
    <comment ref="J5339" authorId="0" shapeId="0" xr:uid="{9B1341FF-8FD6-F142-9626-035B7AF4FFCA}">
      <text>
        <r>
          <rPr>
            <sz val="10"/>
            <color rgb="FF000000"/>
            <rFont val="Aptos Narrow"/>
            <scheme val="minor"/>
          </rPr>
          <t>======
ID#AAABjx7qVOI
    (2025-05-21 11:33:27)
using UPS express then</t>
        </r>
      </text>
    </comment>
    <comment ref="K5339" authorId="0" shapeId="0" xr:uid="{4095D5ED-4F33-C14B-BA9F-48807706D291}">
      <text>
        <r>
          <rPr>
            <sz val="10"/>
            <color rgb="FF000000"/>
            <rFont val="Aptos Narrow"/>
            <scheme val="minor"/>
          </rPr>
          <t>======
ID#AAABjx7qRxk
    (2025-05-21 11:33:25)
10/30 cathy:通知客人交期</t>
        </r>
      </text>
    </comment>
    <comment ref="D5340" authorId="0" shapeId="0" xr:uid="{A208C8F6-2016-DD49-9ABC-6FF829C61D57}">
      <text>
        <r>
          <rPr>
            <sz val="10"/>
            <color rgb="FF000000"/>
            <rFont val="Aptos Narrow"/>
            <scheme val="minor"/>
          </rPr>
          <t>======
ID#AAABjx7qVL4
    (2025-05-21 11:33:27)
10/3 請Chloe下單</t>
        </r>
      </text>
    </comment>
    <comment ref="H5340" authorId="0" shapeId="0" xr:uid="{DAABE1C5-A8F6-0F48-A5AD-39BC0DE9FBD6}">
      <text>
        <r>
          <rPr>
            <sz val="10"/>
            <color rgb="FF000000"/>
            <rFont val="Aptos Narrow"/>
            <scheme val="minor"/>
          </rPr>
          <t>======
ID#AAABjx7qM6Q
    (2025-05-21 11:33:23)
ALICE:10/7-玉山銀行收到匯入款USD801-手續費USD6.48=USD794.52沖PI-20191002A USD801元整</t>
        </r>
      </text>
    </comment>
    <comment ref="J5340" authorId="0" shapeId="0" xr:uid="{80CF7C6B-6A66-6742-91B4-78E5639A5588}">
      <text>
        <r>
          <rPr>
            <sz val="10"/>
            <color rgb="FF000000"/>
            <rFont val="Aptos Narrow"/>
            <scheme val="minor"/>
          </rPr>
          <t>======
ID#AAABjx7qVoA
    (2025-05-21 11:33:27)
using UPS express then</t>
        </r>
      </text>
    </comment>
    <comment ref="K5340" authorId="0" shapeId="0" xr:uid="{99EFD00D-BA93-014D-9BB4-FF0152D056B6}">
      <text>
        <r>
          <rPr>
            <sz val="10"/>
            <color rgb="FF000000"/>
            <rFont val="Aptos Narrow"/>
            <scheme val="minor"/>
          </rPr>
          <t>======
ID#AAABjx7qSHc
    (2025-05-21 11:33:26)
10/30 cathy:通知客人交期</t>
        </r>
      </text>
    </comment>
    <comment ref="H5341" authorId="0" shapeId="0" xr:uid="{96507C3A-4113-E340-867C-1F586FA10956}">
      <text>
        <r>
          <rPr>
            <sz val="10"/>
            <color rgb="FF000000"/>
            <rFont val="Aptos Narrow"/>
            <scheme val="minor"/>
          </rPr>
          <t>======
ID#AAABjx7qTo0
    (2025-05-21 11:33:26)
ALICE:11/20一銀匯入USD5837沖PI-20190930A USD3945+PI-20191003A USD137+PI-20191005A USD1755</t>
        </r>
      </text>
    </comment>
    <comment ref="K5341" authorId="0" shapeId="0" xr:uid="{37D61203-5024-394B-9569-8763BB9B3F6B}">
      <text>
        <r>
          <rPr>
            <sz val="10"/>
            <color rgb="FF000000"/>
            <rFont val="Aptos Narrow"/>
            <scheme val="minor"/>
          </rPr>
          <t>======
ID#AAABjx7qMq8
    (2025-05-21 11:33:23)
1015YVONNE:隨貨寄目錄,並通知san</t>
        </r>
      </text>
    </comment>
    <comment ref="H5342" authorId="0" shapeId="0" xr:uid="{188A41A0-5F1E-5F40-BEAA-20A9F48A0F3D}">
      <text>
        <r>
          <rPr>
            <sz val="10"/>
            <color rgb="FF000000"/>
            <rFont val="Aptos Narrow"/>
            <scheme val="minor"/>
          </rPr>
          <t>======
ID#AAABj82dpQQ
    (2025-05-21 11:33:23)
ALICE:11/20一銀匯入USD5837沖PI-20190930A USD3945+PI-20191003A USD137+PI-20191005A USD1755</t>
        </r>
      </text>
    </comment>
    <comment ref="K5342" authorId="0" shapeId="0" xr:uid="{B851F388-4CC6-5449-90CB-83FE3FF794B3}">
      <text>
        <r>
          <rPr>
            <sz val="10"/>
            <color rgb="FF000000"/>
            <rFont val="Aptos Narrow"/>
            <scheme val="minor"/>
          </rPr>
          <t>======
ID#AAABj82dpMk
    (2025-05-21 11:33:23)
1015YVONNE:隨貨寄目錄,並通知san</t>
        </r>
      </text>
    </comment>
    <comment ref="H5343" authorId="0" shapeId="0" xr:uid="{65F39E07-1777-A040-A876-C4F4B3870FD8}">
      <text>
        <r>
          <rPr>
            <sz val="10"/>
            <color rgb="FF000000"/>
            <rFont val="Aptos Narrow"/>
            <scheme val="minor"/>
          </rPr>
          <t>======
ID#AAABjx7qPMI
    (2025-05-21 11:33:24)
ALICE:11/20一銀匯入USD5837沖PI-20190930A USD3945+PI-20191003A USD137+PI-20191005A USD1755</t>
        </r>
      </text>
    </comment>
    <comment ref="K5343" authorId="0" shapeId="0" xr:uid="{5CAB4E16-952E-EB46-99AF-6B89B0B64B1A}">
      <text>
        <r>
          <rPr>
            <sz val="10"/>
            <color rgb="FF000000"/>
            <rFont val="Aptos Narrow"/>
            <scheme val="minor"/>
          </rPr>
          <t>======
ID#AAABjx7qRRU
    (2025-05-21 11:33:25)
1015YVONNE:隨貨寄目錄,並通知san</t>
        </r>
      </text>
    </comment>
    <comment ref="H5344" authorId="0" shapeId="0" xr:uid="{0846EEAC-B5A9-214C-A59F-B454A7B0105F}">
      <text>
        <r>
          <rPr>
            <sz val="10"/>
            <color rgb="FF000000"/>
            <rFont val="Aptos Narrow"/>
            <scheme val="minor"/>
          </rPr>
          <t>======
ID#AAABjx7qTnc
    (2025-05-21 11:33:26)
ALICE:11/20一銀匯入USD5837沖PI-20190930A USD3945+PI-20191003A USD137+PI-20191005A USD1755</t>
        </r>
      </text>
    </comment>
    <comment ref="K5344" authorId="0" shapeId="0" xr:uid="{27E10CF6-6EFA-7342-85F9-4459C407C7A0}">
      <text>
        <r>
          <rPr>
            <sz val="10"/>
            <color rgb="FF000000"/>
            <rFont val="Aptos Narrow"/>
            <scheme val="minor"/>
          </rPr>
          <t>======
ID#AAABjx7qWcM
    (2025-05-21 11:33:27)
1015YVONNE:隨貨寄目錄,並通知san</t>
        </r>
      </text>
    </comment>
    <comment ref="D5345" authorId="0" shapeId="0" xr:uid="{B61165A0-6729-5649-9CA1-C3C84504861A}">
      <text>
        <r>
          <rPr>
            <sz val="10"/>
            <color rgb="FF000000"/>
            <rFont val="Aptos Narrow"/>
            <scheme val="minor"/>
          </rPr>
          <t>======
ID#AAABjx7qTEs
    (2025-05-21 11:33:26)
10/8 cathy
：貨運公司臨時告知產生</t>
        </r>
      </text>
    </comment>
    <comment ref="H5345" authorId="0" shapeId="0" xr:uid="{7DB4D88A-408E-F240-AB09-EB82970CAFCC}">
      <text>
        <r>
          <rPr>
            <sz val="10"/>
            <color rgb="FF000000"/>
            <rFont val="Aptos Narrow"/>
            <scheme val="minor"/>
          </rPr>
          <t>======
ID#AAABjx7qVUc
    (2025-05-21 11:33:27)
alice:10/28-玉山銀行收到Hectronic匯入USD52.59沖PI-20190620A-T</t>
        </r>
      </text>
    </comment>
    <comment ref="I5345" authorId="0" shapeId="0" xr:uid="{1B2112E4-B7DA-C04B-AAFD-2B9A906E2378}">
      <text>
        <r>
          <rPr>
            <sz val="10"/>
            <color rgb="FF000000"/>
            <rFont val="Aptos Narrow"/>
            <scheme val="minor"/>
          </rPr>
          <t>======
ID#AAABjx7qNVQ
    (2025-05-21 11:33:23)
Cathy/Santiago</t>
        </r>
      </text>
    </comment>
    <comment ref="H5346" authorId="0" shapeId="0" xr:uid="{A0A749FE-EB22-B345-8B2E-72E3F3684CA5}">
      <text>
        <r>
          <rPr>
            <sz val="10"/>
            <color rgb="FF000000"/>
            <rFont val="Aptos Narrow"/>
            <scheme val="minor"/>
          </rPr>
          <t>======
ID#AAABjx7qVZs
    (2025-05-21 11:33:27)
ALICE:10/24玉山水單匯入USD13256沖PI-20191007010 USD13256</t>
        </r>
      </text>
    </comment>
    <comment ref="E5347" authorId="0" shapeId="0" xr:uid="{BEC9A537-0541-5B48-BEC9-E8A929032E4F}">
      <text>
        <r>
          <rPr>
            <sz val="10"/>
            <color rgb="FF000000"/>
            <rFont val="Aptos Narrow"/>
            <scheme val="minor"/>
          </rPr>
          <t>======
ID#AAABjx7qPjg
    (2025-05-21 11:33:24)
20191118 San: 補單</t>
        </r>
      </text>
    </comment>
    <comment ref="H5347" authorId="0" shapeId="0" xr:uid="{E6495D23-3CD6-1D40-B351-9D326F1604BE}">
      <text>
        <r>
          <rPr>
            <sz val="10"/>
            <color rgb="FF000000"/>
            <rFont val="Aptos Narrow"/>
            <scheme val="minor"/>
          </rPr>
          <t>======
ID#AAABjx7qTRM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348" authorId="0" shapeId="0" xr:uid="{CE41E3D1-8801-3341-B787-0B7EB2994B94}">
      <text>
        <r>
          <rPr>
            <sz val="10"/>
            <color rgb="FF000000"/>
            <rFont val="Aptos Narrow"/>
            <scheme val="minor"/>
          </rPr>
          <t>======
ID#AAABjx7qOKw
    (2025-05-21 11:33:24)
ALICE:10/24玉山水單匯入USD13256沖PI-20191007010 USD13256</t>
        </r>
      </text>
    </comment>
    <comment ref="H5349" authorId="0" shapeId="0" xr:uid="{7DAE750C-DE3D-B541-9FD7-DA62C3B915B1}">
      <text>
        <r>
          <rPr>
            <sz val="10"/>
            <color rgb="FF000000"/>
            <rFont val="Aptos Narrow"/>
            <scheme val="minor"/>
          </rPr>
          <t>======
ID#AAABjx7qM7M
    (2025-05-21 11:33:23)
ALICE:10/24玉山水單匯入USD13256沖PI-20191007010 USD13256</t>
        </r>
      </text>
    </comment>
    <comment ref="H5350" authorId="0" shapeId="0" xr:uid="{C51C41AB-05FE-E145-B2E6-C1E559FD9C20}">
      <text>
        <r>
          <rPr>
            <sz val="10"/>
            <color rgb="FF000000"/>
            <rFont val="Aptos Narrow"/>
            <scheme val="minor"/>
          </rPr>
          <t>======
ID#AAABjx7qPII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351" authorId="0" shapeId="0" xr:uid="{02EE5A3C-B9FB-CE4E-8B9E-29B3A62B07E2}">
      <text>
        <r>
          <rPr>
            <sz val="10"/>
            <color rgb="FF000000"/>
            <rFont val="Aptos Narrow"/>
            <scheme val="minor"/>
          </rPr>
          <t>======
ID#AAABjx7qUso
    (2025-05-21 11:33:26)
ALICE:10/24玉山水單匯入USD13256沖PI-20191007010 USD13256</t>
        </r>
      </text>
    </comment>
    <comment ref="D5352" authorId="0" shapeId="0" xr:uid="{95A5BFAB-DCBA-A74D-9DA0-F8DF88FF0A81}">
      <text>
        <r>
          <rPr>
            <sz val="10"/>
            <color rgb="FF000000"/>
            <rFont val="Aptos Narrow"/>
            <scheme val="minor"/>
          </rPr>
          <t>======
ID#AAABjx7qVzg
    (2025-05-21 11:33:27)
10/8 cathy: 通知下單</t>
        </r>
      </text>
    </comment>
    <comment ref="H5352" authorId="0" shapeId="0" xr:uid="{B9D90663-45BD-4F49-9B16-6A2057456828}">
      <text>
        <r>
          <rPr>
            <sz val="10"/>
            <color rgb="FF000000"/>
            <rFont val="Aptos Narrow"/>
            <scheme val="minor"/>
          </rPr>
          <t>======
ID#AAABjx7qTIY
    (2025-05-21 11:33:26)
ALICE:10/14匯入USD557-手續費USD17.53=USD539.47沖PI-20191008002 USD557元整</t>
        </r>
      </text>
    </comment>
    <comment ref="J5352" authorId="0" shapeId="0" xr:uid="{D1CED508-3544-7E49-9843-0A36D89A744A}">
      <text>
        <r>
          <rPr>
            <sz val="10"/>
            <color rgb="FF000000"/>
            <rFont val="Aptos Narrow"/>
            <scheme val="minor"/>
          </rPr>
          <t>======
ID#AAABjx7qNMI
    (2025-05-21 11:33:23)
客人自行安排取貨 
0527待客人確認</t>
        </r>
      </text>
    </comment>
    <comment ref="D5353" authorId="0" shapeId="0" xr:uid="{A7D79929-57BC-4E4E-9169-99730F921734}">
      <text>
        <r>
          <rPr>
            <sz val="10"/>
            <color rgb="FF000000"/>
            <rFont val="Aptos Narrow"/>
            <scheme val="minor"/>
          </rPr>
          <t>======
ID#AAABjx7qNvo
    (2025-05-21 11:33:23)
10/8 cathy: 通知下單</t>
        </r>
      </text>
    </comment>
    <comment ref="H5353" authorId="0" shapeId="0" xr:uid="{45B631B4-8B2C-2A4E-A996-88C614A6B0FF}">
      <text>
        <r>
          <rPr>
            <sz val="10"/>
            <color rgb="FF000000"/>
            <rFont val="Aptos Narrow"/>
            <scheme val="minor"/>
          </rPr>
          <t>======
ID#AAABjx7qSBs
    (2025-05-21 11:33:25)
ALICE:10/14匯入USD557-手續費USD17.53=USD539.47沖PI-20191008002 USD557元整</t>
        </r>
      </text>
    </comment>
    <comment ref="J5353" authorId="0" shapeId="0" xr:uid="{1D07703D-3363-C542-B92E-C01E184D2507}">
      <text>
        <r>
          <rPr>
            <sz val="10"/>
            <color rgb="FF000000"/>
            <rFont val="Aptos Narrow"/>
            <scheme val="minor"/>
          </rPr>
          <t>======
ID#AAABjx7qVBU
    (2025-05-21 11:33:27)
客人自行安排取貨 
0527待客人確認</t>
        </r>
      </text>
    </comment>
    <comment ref="H5354" authorId="0" shapeId="0" xr:uid="{C5CE056C-53F8-D843-9AFB-45B383ED96F9}">
      <text>
        <r>
          <rPr>
            <sz val="10"/>
            <color rgb="FF000000"/>
            <rFont val="Aptos Narrow"/>
            <scheme val="minor"/>
          </rPr>
          <t>======
ID#AAABjx7qOyk
    (2025-05-21 11:33:24)
ALICE:10/14匯入USD557-手續費USD17.53=USD539.47沖PI-20191008002 USD557元整</t>
        </r>
      </text>
    </comment>
    <comment ref="J5354" authorId="0" shapeId="0" xr:uid="{28F10C3F-42EC-4449-97E9-1B9AEBC042C2}">
      <text>
        <r>
          <rPr>
            <sz val="10"/>
            <color rgb="FF000000"/>
            <rFont val="Aptos Narrow"/>
            <scheme val="minor"/>
          </rPr>
          <t>======
ID#AAABjx7qPXw
    (2025-05-21 11:33:24)
客人自行安排取貨 
0527待客人確認</t>
        </r>
      </text>
    </comment>
    <comment ref="H5355" authorId="0" shapeId="0" xr:uid="{5F1119B3-2FCB-B849-B9D7-C61A8191D545}">
      <text>
        <r>
          <rPr>
            <sz val="10"/>
            <color rgb="FF000000"/>
            <rFont val="Aptos Narrow"/>
            <scheme val="minor"/>
          </rPr>
          <t>======
ID#AAABjx7qTiw
    (2025-05-21 11:33:26)
ALICE:10/15玉山銀行收到匯入款USD2440(手續費USD)26.53沖PI-20191007012總計USD2440元整</t>
        </r>
      </text>
    </comment>
    <comment ref="H5356" authorId="0" shapeId="0" xr:uid="{442E9666-545F-7F43-8D79-EE0031DCF0F8}">
      <text>
        <r>
          <rPr>
            <sz val="10"/>
            <color rgb="FF000000"/>
            <rFont val="Aptos Narrow"/>
            <scheme val="minor"/>
          </rPr>
          <t>======
ID#AAABjx7qOWQ
    (2025-05-21 11:33:24)
ALICE:10/15玉山銀行收到匯入款USD2440(手續費USD)26.53沖PI-20191007012總計USD2440元整</t>
        </r>
      </text>
    </comment>
    <comment ref="H5357" authorId="0" shapeId="0" xr:uid="{A9CF7AD0-6D2B-6047-9347-AE88E2A9401D}">
      <text>
        <r>
          <rPr>
            <sz val="10"/>
            <color rgb="FF000000"/>
            <rFont val="Aptos Narrow"/>
            <scheme val="minor"/>
          </rPr>
          <t>======
ID#AAABjx7qRxI
    (2025-05-21 11:33:25)
ALICE:10/15玉山銀行收到匯入款USD2440(手續費USD)26.53沖PI-20191007012總計USD2440元整</t>
        </r>
      </text>
    </comment>
    <comment ref="H5358" authorId="0" shapeId="0" xr:uid="{3455425D-B5E7-D84F-9E49-11E2D4991B93}">
      <text>
        <r>
          <rPr>
            <sz val="10"/>
            <color rgb="FF000000"/>
            <rFont val="Aptos Narrow"/>
            <scheme val="minor"/>
          </rPr>
          <t>======
ID#AAABjx7qPBI
    (2025-05-21 11:33:24)
ALICE:10/15玉山銀行收到匯入款USD2440(手續費USD)26.53沖PI-20191007012總計USD2440元整</t>
        </r>
      </text>
    </comment>
    <comment ref="D5359" authorId="0" shapeId="0" xr:uid="{EE07D267-776E-0146-AC80-10828DD2086D}">
      <text>
        <r>
          <rPr>
            <sz val="10"/>
            <color rgb="FF000000"/>
            <rFont val="Aptos Narrow"/>
            <scheme val="minor"/>
          </rPr>
          <t>======
ID#AAABjx7qTe8
    (2025-05-21 11:33:26)
10/14 cathy: 請Tammy 下單</t>
        </r>
      </text>
    </comment>
    <comment ref="H5359" authorId="0" shapeId="0" xr:uid="{6BB08BFA-B359-ED45-AE3F-0ADF33652DA1}">
      <text>
        <r>
          <rPr>
            <sz val="10"/>
            <color rgb="FF000000"/>
            <rFont val="Aptos Narrow"/>
            <scheme val="minor"/>
          </rPr>
          <t>======
ID#AAABjx7qP7w
    (2025-05-21 11:33:24)
ALICE:10/16玉山銀行匯入USD1285沖PI-20191014001 USD1285元</t>
        </r>
      </text>
    </comment>
    <comment ref="J5359" authorId="0" shapeId="0" xr:uid="{AE2A5AAE-90C9-EF42-9FC7-698C6996B8A7}">
      <text>
        <r>
          <rPr>
            <sz val="10"/>
            <color rgb="FF000000"/>
            <rFont val="Aptos Narrow"/>
            <scheme val="minor"/>
          </rPr>
          <t>======
ID#AAABjx7qWPo
    (2025-05-21 11:33:27)
using UPS express then</t>
        </r>
      </text>
    </comment>
    <comment ref="K5359" authorId="0" shapeId="0" xr:uid="{5D27BA8F-38D5-C748-8DE3-C89EE202AD28}">
      <text>
        <r>
          <rPr>
            <sz val="10"/>
            <color rgb="FF000000"/>
            <rFont val="Aptos Narrow"/>
            <scheme val="minor"/>
          </rPr>
          <t>======
ID#AAABjx7qQIo
    (2025-05-21 11:33:25)
Chloe 1106: MOXA回覆交期，有可能會延遲兩天</t>
        </r>
      </text>
    </comment>
    <comment ref="D5360" authorId="0" shapeId="0" xr:uid="{D89469F1-35C9-1947-8999-03B29680CE32}">
      <text>
        <r>
          <rPr>
            <sz val="10"/>
            <color rgb="FF000000"/>
            <rFont val="Aptos Narrow"/>
            <scheme val="minor"/>
          </rPr>
          <t>======
ID#AAABjx7qTg4
    (2025-05-21 11:33:26)
10/14 cathy: 請Tammy 下單</t>
        </r>
      </text>
    </comment>
    <comment ref="H5360" authorId="0" shapeId="0" xr:uid="{DD8BF394-A37A-D745-BDE0-2CCD84E6152B}">
      <text>
        <r>
          <rPr>
            <sz val="10"/>
            <color rgb="FF000000"/>
            <rFont val="Aptos Narrow"/>
            <scheme val="minor"/>
          </rPr>
          <t>======
ID#AAABjx7qODk
    (2025-05-21 11:33:24)
ALICE:10/16玉山銀行匯入USD1285沖PI-20191014001 USD1285元</t>
        </r>
      </text>
    </comment>
    <comment ref="J5360" authorId="0" shapeId="0" xr:uid="{5FFD7214-5065-424F-A877-57911795FB2C}">
      <text>
        <r>
          <rPr>
            <sz val="10"/>
            <color rgb="FF000000"/>
            <rFont val="Aptos Narrow"/>
            <scheme val="minor"/>
          </rPr>
          <t>======
ID#AAABjx7qMx8
    (2025-05-21 11:33:23)
using UPS express then</t>
        </r>
      </text>
    </comment>
    <comment ref="K5360" authorId="0" shapeId="0" xr:uid="{69A0BBB2-766E-F947-858C-86EB965EBC70}">
      <text>
        <r>
          <rPr>
            <sz val="10"/>
            <color rgb="FF000000"/>
            <rFont val="Aptos Narrow"/>
            <scheme val="minor"/>
          </rPr>
          <t>======
ID#AAABjx7qPnc
    (2025-05-21 11:33:24)
Chloe 1106: MOXA回覆交期，有可能會延遲兩天</t>
        </r>
      </text>
    </comment>
    <comment ref="D5361" authorId="0" shapeId="0" xr:uid="{C4A1AC06-7230-7949-A377-6B9FA08DA7B3}">
      <text>
        <r>
          <rPr>
            <sz val="10"/>
            <color rgb="FF000000"/>
            <rFont val="Aptos Narrow"/>
            <scheme val="minor"/>
          </rPr>
          <t>======
ID#AAABjx7qPlk
    (2025-05-21 11:33:24)
10/14 cathy: 請Tammy 下單</t>
        </r>
      </text>
    </comment>
    <comment ref="H5361" authorId="0" shapeId="0" xr:uid="{1E6EA2B9-4FC5-8444-B5B5-AE2E577A24FB}">
      <text>
        <r>
          <rPr>
            <sz val="10"/>
            <color rgb="FF000000"/>
            <rFont val="Aptos Narrow"/>
            <scheme val="minor"/>
          </rPr>
          <t>======
ID#AAABjx7qP_Q
    (2025-05-21 11:33:25)
ALICE:10/16玉山銀行匯入USD1285沖PI-20191014001 USD1285元</t>
        </r>
      </text>
    </comment>
    <comment ref="J5361" authorId="0" shapeId="0" xr:uid="{0CE1E5F7-F9DA-0744-B750-8C652B55DBC3}">
      <text>
        <r>
          <rPr>
            <sz val="10"/>
            <color rgb="FF000000"/>
            <rFont val="Aptos Narrow"/>
            <scheme val="minor"/>
          </rPr>
          <t>======
ID#AAABjx7qM-8
    (2025-05-21 11:33:23)
using UPS express then</t>
        </r>
      </text>
    </comment>
    <comment ref="K5361" authorId="0" shapeId="0" xr:uid="{3930934F-391A-884F-B3BC-0E0DD8C8EEE1}">
      <text>
        <r>
          <rPr>
            <sz val="10"/>
            <color rgb="FF000000"/>
            <rFont val="Aptos Narrow"/>
            <scheme val="minor"/>
          </rPr>
          <t>======
ID#AAABjx7qNm4
    (2025-05-21 11:33:23)
Chloe 1106: MOXA回覆交期，有可能會延遲兩天</t>
        </r>
      </text>
    </comment>
    <comment ref="H5362" authorId="0" shapeId="0" xr:uid="{C298D8DF-9B69-AD44-8C0E-F359ABFABE8C}">
      <text>
        <r>
          <rPr>
            <sz val="10"/>
            <color rgb="FF000000"/>
            <rFont val="Aptos Narrow"/>
            <scheme val="minor"/>
          </rPr>
          <t>======
ID#AAABjx7qQnk
    (2025-05-21 11:33:25)
ALICE:12/4-TPOLE匯入一銀USD2242(全額到付)沖PI-20190923B 125+PI-20190930B USD1872+PI-20191014006 USD150+PI-20191026001 USD95合計總沖USD2242元整</t>
        </r>
      </text>
    </comment>
    <comment ref="D5363" authorId="0" shapeId="0" xr:uid="{03255C55-FD33-D340-94F1-EC5C04E5ECC2}">
      <text>
        <r>
          <rPr>
            <sz val="10"/>
            <color rgb="FF000000"/>
            <rFont val="Aptos Narrow"/>
            <scheme val="minor"/>
          </rPr>
          <t>======
ID#AAABjx7qTdk
    (2025-05-21 11:33:26)
10/15 CATHY: 請YVONNE下單</t>
        </r>
      </text>
    </comment>
    <comment ref="H5363" authorId="0" shapeId="0" xr:uid="{0AC0E573-FAF4-3144-94D5-386D650041C4}">
      <text>
        <r>
          <rPr>
            <sz val="10"/>
            <color rgb="FF000000"/>
            <rFont val="Aptos Narrow"/>
            <scheme val="minor"/>
          </rPr>
          <t>======
ID#AAABjx7qWZM
    (2025-05-21 11:33:27)
ALICE:12/12收到應收票據，到期日108/12/30-AN0560117 NT132075(郵寄28元)沖PI-20191015001</t>
        </r>
      </text>
    </comment>
    <comment ref="K5363" authorId="0" shapeId="0" xr:uid="{EABABD0C-A4E1-2947-928C-EF2FC27964BE}">
      <text>
        <r>
          <rPr>
            <sz val="10"/>
            <color rgb="FF000000"/>
            <rFont val="Aptos Narrow"/>
            <scheme val="minor"/>
          </rPr>
          <t>======
ID#AAABjx7qSUg
    (2025-05-21 11:33:26)
11/12 芳慎需星期五中午前收到 
原交期 11/14</t>
        </r>
      </text>
    </comment>
    <comment ref="D5364" authorId="0" shapeId="0" xr:uid="{BFAD6DA6-E02C-B943-839B-2FB0D5F697AB}">
      <text>
        <r>
          <rPr>
            <sz val="10"/>
            <color rgb="FF000000"/>
            <rFont val="Aptos Narrow"/>
            <scheme val="minor"/>
          </rPr>
          <t>======
ID#AAABjx7qNXE
    (2025-05-21 11:33:23)
10/15 CATHY: 請YVONNE下單</t>
        </r>
      </text>
    </comment>
    <comment ref="H5364" authorId="0" shapeId="0" xr:uid="{BB2071C7-98BB-3E4E-8FEE-7F77B445D28A}">
      <text>
        <r>
          <rPr>
            <sz val="10"/>
            <color rgb="FF000000"/>
            <rFont val="Aptos Narrow"/>
            <scheme val="minor"/>
          </rPr>
          <t>======
ID#AAABjx7qUxU
    (2025-05-21 11:33:26)
ALICE:12/12收到應收票據，到期日108/12/30-AN0560117 NT132075(郵寄28元)沖PI-20191015001</t>
        </r>
      </text>
    </comment>
    <comment ref="K5364" authorId="0" shapeId="0" xr:uid="{DFD890A6-B182-D042-8751-E7D28BAEC713}">
      <text>
        <r>
          <rPr>
            <sz val="10"/>
            <color rgb="FF000000"/>
            <rFont val="Aptos Narrow"/>
            <scheme val="minor"/>
          </rPr>
          <t>======
ID#AAABjx7qOGk
    (2025-05-21 11:33:24)
在此輸入
在此輸入
11/12 芳慎需星期五中午前收到 
原交期 11/14</t>
        </r>
      </text>
    </comment>
    <comment ref="D5365" authorId="0" shapeId="0" xr:uid="{062AE4E1-CCEB-4F4A-98FC-6F03E7844E63}">
      <text>
        <r>
          <rPr>
            <sz val="10"/>
            <color rgb="FF000000"/>
            <rFont val="Aptos Narrow"/>
            <scheme val="minor"/>
          </rPr>
          <t>======
ID#AAABjx7qVJM
    (2025-05-21 11:33:27)
10/23 cathy: 請chloe 下單</t>
        </r>
      </text>
    </comment>
    <comment ref="H5365" authorId="0" shapeId="0" xr:uid="{6498271F-8499-4F4D-BB58-0556576177B3}">
      <text>
        <r>
          <rPr>
            <sz val="10"/>
            <color rgb="FF000000"/>
            <rFont val="Aptos Narrow"/>
            <scheme val="minor"/>
          </rPr>
          <t>======
ID#AAABjx7qQLY
    (2025-05-21 11:33:25)
ALICE:11/28一銀通知客戶匯入USD6665沖PI-20191023001 USD660+PI-20191024001 USD6005合計共USD6665元整</t>
        </r>
      </text>
    </comment>
    <comment ref="K5365" authorId="0" shapeId="0" xr:uid="{0112D837-2697-4E4E-ADF2-EAC397CF94BA}">
      <text>
        <r>
          <rPr>
            <sz val="10"/>
            <color rgb="FF000000"/>
            <rFont val="Aptos Narrow"/>
            <scheme val="minor"/>
          </rPr>
          <t>======
ID#AAABjx7qVww
    (2025-05-21 11:33:27)
10/28 cathy: 通知客人交期pending 
10/15 cathy: 10/22 需update 交期給客人</t>
        </r>
      </text>
    </comment>
    <comment ref="D5366" authorId="0" shapeId="0" xr:uid="{3E2A53D2-C273-864F-8BBA-A6B20044EC7E}">
      <text>
        <r>
          <rPr>
            <sz val="10"/>
            <color rgb="FF000000"/>
            <rFont val="Aptos Narrow"/>
            <scheme val="minor"/>
          </rPr>
          <t>======
ID#AAABjx7qNOM
    (2025-05-21 11:33:23)
10/23 cathy: 請chloe 下單</t>
        </r>
      </text>
    </comment>
    <comment ref="H5366" authorId="0" shapeId="0" xr:uid="{C75B3692-C60B-6241-809D-8EE657EA20E8}">
      <text>
        <r>
          <rPr>
            <sz val="10"/>
            <color rgb="FF000000"/>
            <rFont val="Aptos Narrow"/>
            <scheme val="minor"/>
          </rPr>
          <t>======
ID#AAABjx7qRBQ
    (2025-05-21 11:33:25)
ALICE:11/28一銀通知客戶匯入USD6665沖PI-20191023001 USD660+PI-20191024001 USD6005合計共USD6665元整</t>
        </r>
      </text>
    </comment>
    <comment ref="K5366" authorId="0" shapeId="0" xr:uid="{BAEAD553-C828-D949-9446-04EECAD10899}">
      <text>
        <r>
          <rPr>
            <sz val="10"/>
            <color rgb="FF000000"/>
            <rFont val="Aptos Narrow"/>
            <scheme val="minor"/>
          </rPr>
          <t>======
ID#AAABjx7qSbg
    (2025-05-21 11:33:26)
10/28 cathy: 通知客人交期pending 
10/15 cathy: 10/22 需update 交期給客人</t>
        </r>
      </text>
    </comment>
    <comment ref="D5367" authorId="0" shapeId="0" xr:uid="{4E964DC4-1B7E-BE4A-BB76-983D21B90A93}">
      <text>
        <r>
          <rPr>
            <sz val="10"/>
            <color rgb="FF000000"/>
            <rFont val="Aptos Narrow"/>
            <scheme val="minor"/>
          </rPr>
          <t>======
ID#AAABjx7qSR0
    (2025-05-21 11:33:26)
10/16 cathy 請tammy 協助下單</t>
        </r>
      </text>
    </comment>
    <comment ref="H5367" authorId="0" shapeId="0" xr:uid="{A8F85CDB-38B4-7847-B30D-B0F39C9F33B0}">
      <text>
        <r>
          <rPr>
            <sz val="10"/>
            <color rgb="FF000000"/>
            <rFont val="Aptos Narrow"/>
            <scheme val="minor"/>
          </rPr>
          <t>======
ID#AAABjx7qVA0
    (2025-05-21 11:33:27)
ALICE:12/10-亞郁匯入NT86152沖PI-20191016001.PI-20191017001.PI-20191030002.PI-20191112005 USD270.9</t>
        </r>
      </text>
    </comment>
    <comment ref="K5367" authorId="0" shapeId="0" xr:uid="{4C6A2693-5566-1B46-81A9-7BFE993C945B}">
      <text>
        <r>
          <rPr>
            <sz val="10"/>
            <color rgb="FF000000"/>
            <rFont val="Aptos Narrow"/>
            <scheme val="minor"/>
          </rPr>
          <t>======
ID#AAABjx7qVAE
    (2025-05-21 11:33:27)
10/30 cathy:通知客人交期11/4 or 11/5
1028 chloe: 原先告知10/30</t>
        </r>
      </text>
    </comment>
    <comment ref="F5368" authorId="0" shapeId="0" xr:uid="{B2939152-B020-ED42-9784-1DFB46149759}">
      <text>
        <r>
          <rPr>
            <sz val="10"/>
            <color rgb="FF000000"/>
            <rFont val="Aptos Narrow"/>
            <scheme val="minor"/>
          </rPr>
          <t>======
ID#AAABjx7qV3g
    (2025-05-21 11:33:27)
20191017 客人通知10/16寄出10pcs 備品(10/18到料，有請vivian QC外觀) 
20191018 客人告知良品先存於我司*4pcs 不良部分待確認處理方式
20191030 客人告知不良先寄回，良品放我司</t>
        </r>
      </text>
    </comment>
    <comment ref="D5369" authorId="0" shapeId="0" xr:uid="{3D6D73D1-216F-7847-91E3-27B2F5D799B9}">
      <text>
        <r>
          <rPr>
            <sz val="10"/>
            <color rgb="FF000000"/>
            <rFont val="Aptos Narrow"/>
            <scheme val="minor"/>
          </rPr>
          <t>======
ID#AAABjx7qNbo
    (2025-05-21 11:33:23)
10/17 CATHY:請Tammy 下單</t>
        </r>
      </text>
    </comment>
    <comment ref="H5369" authorId="0" shapeId="0" xr:uid="{82C5EDFA-F934-004A-9F8A-C4C8CC696260}">
      <text>
        <r>
          <rPr>
            <sz val="10"/>
            <color rgb="FF000000"/>
            <rFont val="Aptos Narrow"/>
            <scheme val="minor"/>
          </rPr>
          <t>======
ID#AAABjx7qOo4
    (2025-05-21 11:33:24)
ALICE:12/10-亞郁匯入NT86152沖PI-20191016001.PI-20191017001.PI-20191030002.PI-20191112005 USD270.9</t>
        </r>
      </text>
    </comment>
    <comment ref="K5369" authorId="0" shapeId="0" xr:uid="{54BE88FD-BA8E-504D-85B6-EBF3071DC4FF}">
      <text>
        <r>
          <rPr>
            <sz val="10"/>
            <color rgb="FF000000"/>
            <rFont val="Aptos Narrow"/>
            <scheme val="minor"/>
          </rPr>
          <t>======
ID#AAABjx7qQOc
    (2025-05-21 11:33:25)
chloe
1028: 原先告知10/30
1104: 尚未告知MOXA！！原倉庫(木新路)收貨至11/14止，11/15暫停收貨 ，
11/18之後送貨請送至新倉庫:新北市新店區寶橋路235巷118號2AF</t>
        </r>
      </text>
    </comment>
    <comment ref="D5370" authorId="0" shapeId="0" xr:uid="{01A4E8C9-C37B-AE45-8D10-F4745F14405B}">
      <text>
        <r>
          <rPr>
            <sz val="10"/>
            <color rgb="FF000000"/>
            <rFont val="Aptos Narrow"/>
            <scheme val="minor"/>
          </rPr>
          <t>======
ID#AAABjx7qVcc
    (2025-05-21 11:33:27)
10/17 CATHY:請Tammy 下單</t>
        </r>
      </text>
    </comment>
    <comment ref="H5370" authorId="0" shapeId="0" xr:uid="{D531485F-3215-FD4F-B1C8-10E160131E05}">
      <text>
        <r>
          <rPr>
            <sz val="10"/>
            <color rgb="FF000000"/>
            <rFont val="Aptos Narrow"/>
            <scheme val="minor"/>
          </rPr>
          <t>======
ID#AAABjx7qVF8
    (2025-05-21 11:33:27)
ALICE:12/10-亞郁匯入NT86152沖PI-20191016001.PI-20191017001.PI-20191030002.PI-20191112005 USD270.9</t>
        </r>
      </text>
    </comment>
    <comment ref="K5370" authorId="0" shapeId="0" xr:uid="{5A4C58FE-1FCB-DF46-AB1D-6FAAE76FAF4E}">
      <text>
        <r>
          <rPr>
            <sz val="10"/>
            <color rgb="FF000000"/>
            <rFont val="Aptos Narrow"/>
            <scheme val="minor"/>
          </rPr>
          <t>======
ID#AAABjx7qVUU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H5371" authorId="0" shapeId="0" xr:uid="{D755DF6F-1616-ED43-B1E1-3CB52866147B}">
      <text>
        <r>
          <rPr>
            <sz val="10"/>
            <color rgb="FF000000"/>
            <rFont val="Aptos Narrow"/>
            <scheme val="minor"/>
          </rPr>
          <t>======
ID#AAABj82dpK0
    (2025-05-21 11:33:23)
ALICE:12/13一銀USD收到KH匯入USD1562.8(內含手續費USD28.61)沖PI-20191017004 USD1347+PI-20191030001 USD215.8合計總沖USD1562.8</t>
        </r>
      </text>
    </comment>
    <comment ref="H5372" authorId="0" shapeId="0" xr:uid="{225493D1-6074-1C46-B832-F8087A9A4B6C}">
      <text>
        <r>
          <rPr>
            <sz val="10"/>
            <color rgb="FF000000"/>
            <rFont val="Aptos Narrow"/>
            <scheme val="minor"/>
          </rPr>
          <t>======
ID#AAABjx7qRkQ
    (2025-05-21 11:33:25)
ALICE:12/13一銀USD收到KH匯入USD1562.8(內含手續費USD28.61)沖PI-20191017004 USD1347+PI-20191030001 USD215.8合計總沖USD1562.8</t>
        </r>
      </text>
    </comment>
    <comment ref="H5373" authorId="0" shapeId="0" xr:uid="{55222B51-C793-2D42-89CA-78A810BDFA40}">
      <text>
        <r>
          <rPr>
            <sz val="10"/>
            <color rgb="FF000000"/>
            <rFont val="Aptos Narrow"/>
            <scheme val="minor"/>
          </rPr>
          <t>======
ID#AAABjx7qPPU
    (2025-05-21 11:33:24)
ALICE:12/13一銀USD收到KH匯入USD1562.8(內含手續費USD28.61)沖PI-20191017004 USD1347+PI-20191030001 USD215.8合計總沖USD1562.8</t>
        </r>
      </text>
    </comment>
    <comment ref="H5374" authorId="0" shapeId="0" xr:uid="{040589C3-0E56-8847-AE3B-CB09DA9405B7}">
      <text>
        <r>
          <rPr>
            <sz val="10"/>
            <color rgb="FF000000"/>
            <rFont val="Aptos Narrow"/>
            <scheme val="minor"/>
          </rPr>
          <t>======
ID#AAABjx7qRd8
    (2025-05-21 11:33:25)
ALICE:12/13一銀USD收到KH匯入USD1562.8(內含手續費USD28.61)沖PI-20191017004 USD1347+PI-20191030001 USD215.8合計總沖USD1562.8</t>
        </r>
      </text>
    </comment>
    <comment ref="H5375" authorId="0" shapeId="0" xr:uid="{C3EA0DFF-2C72-6443-AA6E-2904ECA6CE87}">
      <text>
        <r>
          <rPr>
            <sz val="10"/>
            <color rgb="FF000000"/>
            <rFont val="Aptos Narrow"/>
            <scheme val="minor"/>
          </rPr>
          <t>======
ID#AAABjx7qQQs
    (2025-05-21 11:33:25)
ALICE:12/13一銀USD收到KH匯入USD1562.8(內含手續費USD28.61)沖PI-20191017004 USD1347+PI-20191030001 USD215.8合計總沖USD1562.8</t>
        </r>
      </text>
    </comment>
    <comment ref="H5376" authorId="0" shapeId="0" xr:uid="{61E14DD0-A300-4F4D-87A2-0CDEE0334EF9}">
      <text>
        <r>
          <rPr>
            <sz val="10"/>
            <color rgb="FF000000"/>
            <rFont val="Aptos Narrow"/>
            <scheme val="minor"/>
          </rPr>
          <t>======
ID#AAABjx7qPuE
    (2025-05-21 11:33:24)
ALICE:1/7第一銀行USD3228 沖PI-20191007006 1501+PI-20191007007 USD1727+PI-20191128002 USD20總沖USD3248</t>
        </r>
      </text>
    </comment>
    <comment ref="I5377" authorId="0" shapeId="0" xr:uid="{7F644F3B-C1FF-6643-AEB8-3B2399243190}">
      <text>
        <r>
          <rPr>
            <sz val="10"/>
            <color rgb="FF000000"/>
            <rFont val="Aptos Narrow"/>
            <scheme val="minor"/>
          </rPr>
          <t>======
ID#AAABjx7qRdw
    (2025-05-21 11:33:25)
Cathy/Santiago</t>
        </r>
      </text>
    </comment>
    <comment ref="H5378" authorId="0" shapeId="0" xr:uid="{50229E17-7255-AC40-BF30-63738C81742D}">
      <text>
        <r>
          <rPr>
            <sz val="10"/>
            <color rgb="FF000000"/>
            <rFont val="Aptos Narrow"/>
            <scheme val="minor"/>
          </rPr>
          <t>======
ID#AAABjx7qRSw
    (2025-05-21 11:33:25)
ALICE:7/26玉山銀行水單通知匯入USD9754沖PI-20190524B(2000+350).沖PI20190524B-1(3010).沖PI-20190703A(60+70).沖PI20190719B-1 228+1600 PI-20190719B-2 304  PI-20190719B-5 532. PI-20190719B-3 1600</t>
        </r>
      </text>
    </comment>
    <comment ref="I5378" authorId="0" shapeId="0" xr:uid="{87F82F4F-66CD-474E-9897-AA0214AF15A6}">
      <text>
        <r>
          <rPr>
            <sz val="10"/>
            <color rgb="FF000000"/>
            <rFont val="Aptos Narrow"/>
            <scheme val="minor"/>
          </rPr>
          <t>======
ID#AAABjx7qQ6U
    (2025-05-21 11:33:25)
Cathy/Santiago</t>
        </r>
      </text>
    </comment>
    <comment ref="H5379" authorId="0" shapeId="0" xr:uid="{40F4E790-26D5-D04D-982D-706B9E45C150}">
      <text>
        <r>
          <rPr>
            <sz val="10"/>
            <color rgb="FF000000"/>
            <rFont val="Aptos Narrow"/>
            <scheme val="minor"/>
          </rPr>
          <t>======
ID#AAABjx7qPI4
    (2025-05-21 11:33:24)
ALICE:1/7第一銀行USD3228 沖PI-20191007006 1501+PI-20191007007 USD1727+PI-20191128002 USD20總沖USD3248</t>
        </r>
      </text>
    </comment>
    <comment ref="I5379" authorId="0" shapeId="0" xr:uid="{F05935AE-80DE-0441-B181-E081353D25C7}">
      <text>
        <r>
          <rPr>
            <sz val="10"/>
            <color rgb="FF000000"/>
            <rFont val="Aptos Narrow"/>
            <scheme val="minor"/>
          </rPr>
          <t>======
ID#AAABjx7qOJw
    (2025-05-21 11:33:24)
Cathy/Santiago</t>
        </r>
      </text>
    </comment>
    <comment ref="G5380" authorId="0" shapeId="0" xr:uid="{C2AF3D01-FBDD-1E4B-B0B4-6340B0941149}">
      <text>
        <r>
          <rPr>
            <sz val="10"/>
            <color rgb="FF000000"/>
            <rFont val="Aptos Narrow"/>
            <scheme val="minor"/>
          </rPr>
          <t>======
ID#AAABjx7qPjU
    (2025-05-21 11:33:24)
10/18 san告知本次不會收molding fee,但會加收labor fee(usd 20)+AG film (usd 26)</t>
        </r>
      </text>
    </comment>
    <comment ref="H5380" authorId="0" shapeId="0" xr:uid="{96F519C2-9815-DD40-BB75-A0AB32A5C647}">
      <text>
        <r>
          <rPr>
            <sz val="10"/>
            <color rgb="FF000000"/>
            <rFont val="Aptos Narrow"/>
            <scheme val="minor"/>
          </rPr>
          <t>======
ID#AAABjx7qSP8
    (2025-05-21 11:33:26)
ALICE:1/7第一銀行USD3228 沖PI-20191007006 1501+PI-20191007007 USD1727+PI-20191128002 USD20總沖USD3248</t>
        </r>
      </text>
    </comment>
    <comment ref="I5380" authorId="0" shapeId="0" xr:uid="{BE22591F-0AE9-8E40-843B-7D97F59548FA}">
      <text>
        <r>
          <rPr>
            <sz val="10"/>
            <color rgb="FF000000"/>
            <rFont val="Aptos Narrow"/>
            <scheme val="minor"/>
          </rPr>
          <t>======
ID#AAABjx7qQiA
    (2025-05-21 11:33:25)
Cathy/Santiago</t>
        </r>
      </text>
    </comment>
    <comment ref="H5381" authorId="0" shapeId="0" xr:uid="{839319DC-3F80-1E4F-B0E8-33E67B03D36C}">
      <text>
        <r>
          <rPr>
            <sz val="10"/>
            <color rgb="FF000000"/>
            <rFont val="Aptos Narrow"/>
            <scheme val="minor"/>
          </rPr>
          <t>======
ID#AAABjx7qNzk
    (2025-05-21 11:33:23)
ALICE:1/7第一銀行USD3228 沖PI-20191007006 1501+PI-20191007007 USD1727+PI-20191128002 USD20總沖USD3248</t>
        </r>
      </text>
    </comment>
    <comment ref="I5381" authorId="0" shapeId="0" xr:uid="{AB3A647C-DF23-2D4F-9569-7F01BB521A2C}">
      <text>
        <r>
          <rPr>
            <sz val="10"/>
            <color rgb="FF000000"/>
            <rFont val="Aptos Narrow"/>
            <scheme val="minor"/>
          </rPr>
          <t>======
ID#AAABjx7qTYc
    (2025-05-21 11:33:26)
Cathy/Santiago</t>
        </r>
      </text>
    </comment>
    <comment ref="I5382" authorId="0" shapeId="0" xr:uid="{33DB9866-D187-1444-92FB-583B9B3E685E}">
      <text>
        <r>
          <rPr>
            <sz val="10"/>
            <color rgb="FF000000"/>
            <rFont val="Aptos Narrow"/>
            <scheme val="minor"/>
          </rPr>
          <t>======
ID#AAABjx7qTG8
    (2025-05-21 11:33:26)
Cathy/Santiago</t>
        </r>
      </text>
    </comment>
    <comment ref="H5383" authorId="0" shapeId="0" xr:uid="{FD5696A1-3571-9247-8177-82E51A181691}">
      <text>
        <r>
          <rPr>
            <sz val="10"/>
            <color rgb="FF000000"/>
            <rFont val="Aptos Narrow"/>
            <scheme val="minor"/>
          </rPr>
          <t>======
ID#AAABjx7qTpI
    (2025-05-21 11:33:26)
ALICE:1/7第一銀行USD3228 沖PI-20191007006 1501+PI-20191007007 USD1727+PI-20191128002 USD20總沖USD3248</t>
        </r>
      </text>
    </comment>
    <comment ref="I5383" authorId="0" shapeId="0" xr:uid="{ACB37EDE-455A-0C45-8BFB-922770FE8469}">
      <text>
        <r>
          <rPr>
            <sz val="10"/>
            <color rgb="FF000000"/>
            <rFont val="Aptos Narrow"/>
            <scheme val="minor"/>
          </rPr>
          <t>======
ID#AAABjx7qNBU
    (2025-05-21 11:33:23)
Cathy/Santiago</t>
        </r>
      </text>
    </comment>
    <comment ref="H5384" authorId="0" shapeId="0" xr:uid="{8C86B0D7-1D9F-B546-AD4F-51E84AFF60CC}">
      <text>
        <r>
          <rPr>
            <sz val="10"/>
            <color rgb="FF000000"/>
            <rFont val="Aptos Narrow"/>
            <scheme val="minor"/>
          </rPr>
          <t>======
ID#AAABjx7qRd0
    (2025-05-21 11:33:25)
ALICE:1/7第一銀行USD3228 沖PI-20191007006 1501+PI-20191007007 USD1727+PI-20191128002 USD20總沖USD3248</t>
        </r>
      </text>
    </comment>
    <comment ref="I5384" authorId="0" shapeId="0" xr:uid="{A112A8DF-E296-FA4A-8041-254FBAE86979}">
      <text>
        <r>
          <rPr>
            <sz val="10"/>
            <color rgb="FF000000"/>
            <rFont val="Aptos Narrow"/>
            <scheme val="minor"/>
          </rPr>
          <t>======
ID#AAABjx7qNmg
    (2025-05-21 11:33:23)
Cathy/Santiago</t>
        </r>
      </text>
    </comment>
    <comment ref="H5385" authorId="0" shapeId="0" xr:uid="{3A277880-4785-BF48-AF99-9F575331938F}">
      <text>
        <r>
          <rPr>
            <sz val="10"/>
            <color rgb="FF000000"/>
            <rFont val="Aptos Narrow"/>
            <scheme val="minor"/>
          </rPr>
          <t>======
ID#AAABjx7qOAU
    (2025-05-21 11:33:24)
ALICE:1/7第一銀行USD3228 沖PI-20191007006 1501+PI-20191007007 USD1727+PI-20191128002 USD20總沖USD3248</t>
        </r>
      </text>
    </comment>
    <comment ref="I5385" authorId="0" shapeId="0" xr:uid="{028F8AB2-5557-A64C-8CBA-896D69C6025A}">
      <text>
        <r>
          <rPr>
            <sz val="10"/>
            <color rgb="FF000000"/>
            <rFont val="Aptos Narrow"/>
            <scheme val="minor"/>
          </rPr>
          <t>======
ID#AAABjx7qSQM
    (2025-05-21 11:33:26)
Cathy/Santiago</t>
        </r>
      </text>
    </comment>
    <comment ref="H5386" authorId="0" shapeId="0" xr:uid="{5CBE2C2E-A30E-E941-977E-B7AF187459E5}">
      <text>
        <r>
          <rPr>
            <sz val="10"/>
            <color rgb="FF000000"/>
            <rFont val="Aptos Narrow"/>
            <scheme val="minor"/>
          </rPr>
          <t>======
ID#AAABjx7qOmg
    (2025-05-21 11:33:24)
ALICE:10/29玉山水單匯入USD4240沖PI-20191018001</t>
        </r>
      </text>
    </comment>
    <comment ref="D5387" authorId="0" shapeId="0" xr:uid="{07167DC9-712A-3D40-A6C0-7D555CD16145}">
      <text>
        <r>
          <rPr>
            <sz val="10"/>
            <color rgb="FF000000"/>
            <rFont val="Aptos Narrow"/>
            <scheme val="minor"/>
          </rPr>
          <t>======
ID#AAABjx7qSNQ
    (2025-05-21 11:33:26)
10/24 請chloe 下單</t>
        </r>
      </text>
    </comment>
    <comment ref="H5387" authorId="0" shapeId="0" xr:uid="{CD2267D5-86BD-DA4E-9DD6-3C2A4BAF9A17}">
      <text>
        <r>
          <rPr>
            <sz val="10"/>
            <color rgb="FF000000"/>
            <rFont val="Aptos Narrow"/>
            <scheme val="minor"/>
          </rPr>
          <t>======
ID#AAABjx7qQWc
    (2025-05-21 11:33:25)
ALICE:11/28一銀通知客戶匯入USD6665沖PI-20191023001 USD660+PI-20191024001 USD6005合計共USD6665元整</t>
        </r>
      </text>
    </comment>
    <comment ref="K5387" authorId="0" shapeId="0" xr:uid="{3A52B4F3-EA67-E84E-B436-A0955C49511E}">
      <text>
        <r>
          <rPr>
            <sz val="10"/>
            <color rgb="FF000000"/>
            <rFont val="Aptos Narrow"/>
            <scheme val="minor"/>
          </rPr>
          <t>======
ID#AAABjx7qSDE
    (2025-05-21 11:33:25)
10/28 cathy: 通知客人交期pending 
10/15 cathy: 10/22 需update 交期給客人</t>
        </r>
      </text>
    </comment>
    <comment ref="D5388" authorId="0" shapeId="0" xr:uid="{1FA27B20-60BF-B348-A52A-CFEA9A21D31A}">
      <text>
        <r>
          <rPr>
            <sz val="10"/>
            <color rgb="FF000000"/>
            <rFont val="Aptos Narrow"/>
            <scheme val="minor"/>
          </rPr>
          <t>======
ID#AAABjx7qP8I
    (2025-05-21 11:33:24)
10/24 請chloe 下單</t>
        </r>
      </text>
    </comment>
    <comment ref="H5388" authorId="0" shapeId="0" xr:uid="{61D26FFF-D727-3044-84BD-1029C3B1D995}">
      <text>
        <r>
          <rPr>
            <sz val="10"/>
            <color rgb="FF000000"/>
            <rFont val="Aptos Narrow"/>
            <scheme val="minor"/>
          </rPr>
          <t>======
ID#AAABjx7qQs8
    (2025-05-21 11:33:25)
ALICE:11/28一銀通知客戶匯入USD6665沖PI-20191023001 USD660+PI-20191024001 USD6005合計共USD6665元整</t>
        </r>
      </text>
    </comment>
    <comment ref="K5388" authorId="0" shapeId="0" xr:uid="{853BF4B2-5FC4-0042-AEEE-BB73326C853A}">
      <text>
        <r>
          <rPr>
            <sz val="10"/>
            <color rgb="FF000000"/>
            <rFont val="Aptos Narrow"/>
            <scheme val="minor"/>
          </rPr>
          <t>======
ID#AAABjx7qVWk
    (2025-05-21 11:33:27)
10/28 cathy: 通知客人交期pending 
10/15 cathy: 10/22 需update 交期給客人</t>
        </r>
      </text>
    </comment>
    <comment ref="D5389" authorId="0" shapeId="0" xr:uid="{09F63386-6A70-6846-9F78-6A19325CADB5}">
      <text>
        <r>
          <rPr>
            <sz val="10"/>
            <color rgb="FF000000"/>
            <rFont val="Aptos Narrow"/>
            <scheme val="minor"/>
          </rPr>
          <t>======
ID#AAABjx7qV2U
    (2025-05-21 11:33:27)
10/24 cathy:請yvonne 下單</t>
        </r>
      </text>
    </comment>
    <comment ref="H5389" authorId="0" shapeId="0" xr:uid="{1479451B-B54D-3947-8F97-D3C8E59B8EEF}">
      <text>
        <r>
          <rPr>
            <sz val="10"/>
            <color rgb="FF000000"/>
            <rFont val="Aptos Narrow"/>
            <scheme val="minor"/>
          </rPr>
          <t>======
ID#AAABjx7qQIc
    (2025-05-21 11:33:25)
ALICE:10/28-合庫收款USD2852(含手續費USD17.56) 沖PI-20191024002 USD2852</t>
        </r>
      </text>
    </comment>
    <comment ref="J5389" authorId="0" shapeId="0" xr:uid="{687A8B78-621F-0A4F-9ABA-740418B5507C}">
      <text>
        <r>
          <rPr>
            <sz val="10"/>
            <color rgb="FF000000"/>
            <rFont val="Aptos Narrow"/>
            <scheme val="minor"/>
          </rPr>
          <t>======
ID#AAABjx7qS8I
    (2025-05-21 11:33:26)
客人自取</t>
        </r>
      </text>
    </comment>
    <comment ref="K5389" authorId="0" shapeId="0" xr:uid="{F56BE5FF-12DA-BC41-83BE-876658AF042B}">
      <text>
        <r>
          <rPr>
            <sz val="10"/>
            <color rgb="FF000000"/>
            <rFont val="Aptos Narrow"/>
            <scheme val="minor"/>
          </rPr>
          <t>======
ID#AAABjx7qP_0
    (2025-05-21 11:33:25)
10/28 cathy:通知客人交期</t>
        </r>
      </text>
    </comment>
    <comment ref="D5390" authorId="0" shapeId="0" xr:uid="{8F615A20-CB93-1C4C-8DD2-176730728EEF}">
      <text>
        <r>
          <rPr>
            <sz val="10"/>
            <color rgb="FF000000"/>
            <rFont val="Aptos Narrow"/>
            <scheme val="minor"/>
          </rPr>
          <t>======
ID#AAABjx7qS_A
    (2025-05-21 11:33:26)
10/24 cathy:請yvonne 下單</t>
        </r>
      </text>
    </comment>
    <comment ref="H5390" authorId="0" shapeId="0" xr:uid="{4426B9F3-73F9-9246-98CD-3C970944CAD0}">
      <text>
        <r>
          <rPr>
            <sz val="10"/>
            <color rgb="FF000000"/>
            <rFont val="Aptos Narrow"/>
            <scheme val="minor"/>
          </rPr>
          <t>======
ID#AAABjx7qN98
    (2025-05-21 11:33:23)
ALICE:10/28-合庫收款USD2852(含手續費USD17.56) 沖PI-20191024002 USD2852</t>
        </r>
      </text>
    </comment>
    <comment ref="J5390" authorId="0" shapeId="0" xr:uid="{81136B4F-6645-0943-BE28-254C0EE2E07A}">
      <text>
        <r>
          <rPr>
            <sz val="10"/>
            <color rgb="FF000000"/>
            <rFont val="Aptos Narrow"/>
            <scheme val="minor"/>
          </rPr>
          <t>======
ID#AAABjx7qVEc
    (2025-05-21 11:33:27)
客人自取</t>
        </r>
      </text>
    </comment>
    <comment ref="K5390" authorId="0" shapeId="0" xr:uid="{2B3CB831-EE0C-B848-9DA2-5AE8EC366764}">
      <text>
        <r>
          <rPr>
            <sz val="10"/>
            <color rgb="FF000000"/>
            <rFont val="Aptos Narrow"/>
            <scheme val="minor"/>
          </rPr>
          <t>======
ID#AAABjx7qN74
    (2025-05-21 11:33:23)
10/28 cathy:通知客人交期</t>
        </r>
      </text>
    </comment>
    <comment ref="D5391" authorId="0" shapeId="0" xr:uid="{47B70955-F3A1-B844-A651-950B90277450}">
      <text>
        <r>
          <rPr>
            <sz val="10"/>
            <color rgb="FF000000"/>
            <rFont val="Aptos Narrow"/>
            <scheme val="minor"/>
          </rPr>
          <t>======
ID#AAABjx7qQAY
    (2025-05-21 11:33:25)
10/24 cathy:請yvonne 下單</t>
        </r>
      </text>
    </comment>
    <comment ref="H5391" authorId="0" shapeId="0" xr:uid="{53F11692-F947-DA4A-A5A5-89D717CDC551}">
      <text>
        <r>
          <rPr>
            <sz val="10"/>
            <color rgb="FF000000"/>
            <rFont val="Aptos Narrow"/>
            <scheme val="minor"/>
          </rPr>
          <t>======
ID#AAABjx7qTM8
    (2025-05-21 11:33:26)
ALICE:10/28-合庫收款USD2852(含手續費USD17.56) 沖PI-20191024002 USD2852</t>
        </r>
      </text>
    </comment>
    <comment ref="J5391" authorId="0" shapeId="0" xr:uid="{5D4BB138-72B6-F447-BA2F-BAF3C6A228B8}">
      <text>
        <r>
          <rPr>
            <sz val="10"/>
            <color rgb="FF000000"/>
            <rFont val="Aptos Narrow"/>
            <scheme val="minor"/>
          </rPr>
          <t>======
ID#AAABjx7qTo4
    (2025-05-21 11:33:26)
客人自取</t>
        </r>
      </text>
    </comment>
    <comment ref="K5391" authorId="0" shapeId="0" xr:uid="{8B50CB57-FCAD-C349-85F0-9323DB940FA3}">
      <text>
        <r>
          <rPr>
            <sz val="10"/>
            <color rgb="FF000000"/>
            <rFont val="Aptos Narrow"/>
            <scheme val="minor"/>
          </rPr>
          <t>======
ID#AAABjx7qPeI
    (2025-05-21 11:33:24)
10/28 cathy:通知客人交期</t>
        </r>
      </text>
    </comment>
    <comment ref="D5392" authorId="0" shapeId="0" xr:uid="{3F29DEC4-C293-FA48-9F90-8C6DACDD3F91}">
      <text>
        <r>
          <rPr>
            <sz val="10"/>
            <color rgb="FF000000"/>
            <rFont val="Aptos Narrow"/>
            <scheme val="minor"/>
          </rPr>
          <t>======
ID#AAABjx7qMt0
    (2025-05-21 11:33:23)
1126yvonne:前人訂單編號KEY錯，幫忙修正20191025001</t>
        </r>
      </text>
    </comment>
    <comment ref="H5392" authorId="0" shapeId="0" xr:uid="{850493C0-6DD6-7049-B8CF-CA221EAE3070}">
      <text>
        <r>
          <rPr>
            <sz val="10"/>
            <color rgb="FF000000"/>
            <rFont val="Aptos Narrow"/>
            <scheme val="minor"/>
          </rPr>
          <t>======
ID#AAABjx7qUrU
    (2025-05-21 11:33:26)
2/15已收款</t>
        </r>
      </text>
    </comment>
    <comment ref="K5392" authorId="0" shapeId="0" xr:uid="{CCFD0E5F-6E21-C041-8023-F8739A19590D}">
      <text>
        <r>
          <rPr>
            <sz val="10"/>
            <color rgb="FF000000"/>
            <rFont val="Aptos Narrow"/>
            <scheme val="minor"/>
          </rPr>
          <t>======
ID#AAABjx7qSQk
    (2025-05-21 11:33:26)
1126 YVONNE:SAN同意先放貨</t>
        </r>
      </text>
    </comment>
    <comment ref="H5393" authorId="0" shapeId="0" xr:uid="{50972CAD-EA5D-B64F-8EF1-28513930CFD2}">
      <text>
        <r>
          <rPr>
            <sz val="10"/>
            <color rgb="FF000000"/>
            <rFont val="Aptos Narrow"/>
            <scheme val="minor"/>
          </rPr>
          <t>======
ID#AAABjx7qRE4
    (2025-05-21 11:33:25)
ALICE:12/4-TPOLE匯入一銀USD2242(全額到付)沖PI-20190923B 125+PI-20190930B USD1872+PI-20191014006 USD150+PI-20191026001 USD95合計總沖USD2242元整</t>
        </r>
      </text>
    </comment>
    <comment ref="H5394" authorId="0" shapeId="0" xr:uid="{0B88DB28-11CB-2444-AED9-B1E405F99FC8}">
      <text>
        <r>
          <rPr>
            <sz val="10"/>
            <color rgb="FF000000"/>
            <rFont val="Aptos Narrow"/>
            <scheme val="minor"/>
          </rPr>
          <t>======
ID#AAABjx7qOCE
    (2025-05-21 11:33:24)
ALICE:12/9-一銀匯入USD4215(內含手續費USD6.57)沖PI-20191027001 USD4215元整</t>
        </r>
      </text>
    </comment>
    <comment ref="J5394" authorId="0" shapeId="0" xr:uid="{A8674855-8185-F54D-8FD0-5B2EF5F54D90}">
      <text>
        <r>
          <rPr>
            <sz val="10"/>
            <color rgb="FF000000"/>
            <rFont val="Aptos Narrow"/>
            <scheme val="minor"/>
          </rPr>
          <t>======
ID#AAABjx7qO-4
    (2025-05-21 11:33:24)
191027 UPS服務要和客人確認</t>
        </r>
      </text>
    </comment>
    <comment ref="H5395" authorId="0" shapeId="0" xr:uid="{DD164EA6-2096-844D-85FA-5D0C95D23558}">
      <text>
        <r>
          <rPr>
            <sz val="10"/>
            <color rgb="FF000000"/>
            <rFont val="Aptos Narrow"/>
            <scheme val="minor"/>
          </rPr>
          <t>======
ID#AAABjx7qVLU
    (2025-05-21 11:33:27)
ALICE:12/9-一銀匯入USD4215(內含手續費USD6.57)沖PI-20191027001 USD4215元整</t>
        </r>
      </text>
    </comment>
    <comment ref="J5395" authorId="0" shapeId="0" xr:uid="{79959256-D820-DE43-A8D0-48E311ABD512}">
      <text>
        <r>
          <rPr>
            <sz val="10"/>
            <color rgb="FF000000"/>
            <rFont val="Aptos Narrow"/>
            <scheme val="minor"/>
          </rPr>
          <t>======
ID#AAABjx7qScw
    (2025-05-21 11:33:26)
191027 UPS服務要和客人確認</t>
        </r>
      </text>
    </comment>
    <comment ref="H5396" authorId="0" shapeId="0" xr:uid="{E97EBBC3-83F3-C145-8186-27192785C050}">
      <text>
        <r>
          <rPr>
            <sz val="10"/>
            <color rgb="FF000000"/>
            <rFont val="Aptos Narrow"/>
            <scheme val="minor"/>
          </rPr>
          <t>======
ID#AAABjx7qWJ4
    (2025-05-21 11:33:27)
alice:12/6-一銀通知匯入款7090(內含手續費USD28.57)沖PI-20191029001</t>
        </r>
      </text>
    </comment>
    <comment ref="H5397" authorId="0" shapeId="0" xr:uid="{3050EA3A-0B83-A34E-AA95-15E35F410029}">
      <text>
        <r>
          <rPr>
            <sz val="10"/>
            <color rgb="FF000000"/>
            <rFont val="Aptos Narrow"/>
            <scheme val="minor"/>
          </rPr>
          <t>======
ID#AAABjx7qPqc
    (2025-05-21 11:33:24)
ALICE:1/15一銀收到USD8853(內含手續費USD53.7)沖PI-20191029002 USD4275+PI-20191029003 USD2235+PI-20191029004 USD1988+PI-20191105002 USD355</t>
        </r>
      </text>
    </comment>
    <comment ref="H5398" authorId="0" shapeId="0" xr:uid="{4071DC45-74CD-0E41-9F05-CB2BC78BB6D7}">
      <text>
        <r>
          <rPr>
            <sz val="10"/>
            <color rgb="FF000000"/>
            <rFont val="Aptos Narrow"/>
            <scheme val="minor"/>
          </rPr>
          <t>======
ID#AAABjx7qOfQ
    (2025-05-21 11:33:24)
ALICE:1/15一銀收到USD8853(內含手續費USD53.7)沖PI-20191029002 USD4275+PI-20191029003 USD2235+PI-20191029004 USD1988+PI-20191105002 USD355</t>
        </r>
      </text>
    </comment>
    <comment ref="H5399" authorId="0" shapeId="0" xr:uid="{9EDC397B-0152-924E-A62D-2DC78599BFC5}">
      <text>
        <r>
          <rPr>
            <sz val="10"/>
            <color rgb="FF000000"/>
            <rFont val="Aptos Narrow"/>
            <scheme val="minor"/>
          </rPr>
          <t>======
ID#AAABjx7qTi0
    (2025-05-21 11:33:26)
ALICE:1/15一銀收到USD8853(內含手續費USD53.7)沖PI-20191029002 USD4275+PI-20191029003 USD2235+PI-20191029004 USD1988+PI-20191105002 USD355</t>
        </r>
      </text>
    </comment>
    <comment ref="H5400" authorId="0" shapeId="0" xr:uid="{6F05D2D7-9A9B-D54D-B936-C654B409F378}">
      <text>
        <r>
          <rPr>
            <sz val="10"/>
            <color rgb="FF000000"/>
            <rFont val="Aptos Narrow"/>
            <scheme val="minor"/>
          </rPr>
          <t>======
ID#AAABjx7qQJg
    (2025-05-21 11:33:25)
在此輸入ALICE:1/15一銀收到USD8853(內含手續費USD53.7)沖PI-20191029002 USD4275+PI-20191029003 USD2235+PI-20191029004 USD1988+PI-20191105002 USD355</t>
        </r>
      </text>
    </comment>
    <comment ref="H5401" authorId="0" shapeId="0" xr:uid="{4BCBA826-443B-874A-B878-B7CFE6E28429}">
      <text>
        <r>
          <rPr>
            <sz val="10"/>
            <color rgb="FF000000"/>
            <rFont val="Aptos Narrow"/>
            <scheme val="minor"/>
          </rPr>
          <t>======
ID#AAABjx7qR7c
    (2025-05-21 11:33:25)
ALICE:1/15一銀收到USD8853(內含手續費USD53.7)沖PI-20191029002 USD4275+PI-20191029003 USD2235+PI-20191029004 USD1988+PI-20191105002 USD355</t>
        </r>
      </text>
    </comment>
    <comment ref="H5402" authorId="0" shapeId="0" xr:uid="{441B4279-A6BD-8C42-8A60-297B44AA18E5}">
      <text>
        <r>
          <rPr>
            <sz val="10"/>
            <color rgb="FF000000"/>
            <rFont val="Aptos Narrow"/>
            <scheme val="minor"/>
          </rPr>
          <t>======
ID#AAABjx7qOWo
    (2025-05-21 11:33:24)
ALICE:1/15一銀收到USD8853(內含手續費USD53.7)沖PI-20191029002 USD4275+PI-20191029003 USD2235+PI-20191029004 USD1988+PI-20191105002 USD355</t>
        </r>
      </text>
    </comment>
    <comment ref="H5403" authorId="0" shapeId="0" xr:uid="{D44B8B0A-45F2-7444-9542-125CD49FC0AB}">
      <text>
        <r>
          <rPr>
            <sz val="10"/>
            <color rgb="FF000000"/>
            <rFont val="Aptos Narrow"/>
            <scheme val="minor"/>
          </rPr>
          <t>======
ID#AAABjx7qRzI
    (2025-05-21 11:33:25)
ALICE:1/15一銀收到USD8853(內含手續費USD53.7)沖PI-20191029002 USD4275+PI-20191029003 USD2235+PI-20191029004 USD1988+PI-20191105002 USD355</t>
        </r>
      </text>
    </comment>
    <comment ref="H5404" authorId="0" shapeId="0" xr:uid="{0CDBD999-C637-C443-8B3F-AE9E14CCCACD}">
      <text>
        <r>
          <rPr>
            <sz val="10"/>
            <color rgb="FF000000"/>
            <rFont val="Aptos Narrow"/>
            <scheme val="minor"/>
          </rPr>
          <t>======
ID#AAABjx7qUwQ
    (2025-05-21 11:33:26)
ALICE:12/13一銀USD收到KH匯入USD1562.8(內含手續費USD28.61)沖PI-20191017004 USD1347+PI-20191030001 USD215.8合計總沖USD1562.8</t>
        </r>
      </text>
    </comment>
    <comment ref="H5405" authorId="0" shapeId="0" xr:uid="{3A23466E-2186-F74E-8080-BA672A2D1438}">
      <text>
        <r>
          <rPr>
            <sz val="10"/>
            <color rgb="FF000000"/>
            <rFont val="Aptos Narrow"/>
            <scheme val="minor"/>
          </rPr>
          <t>======
ID#AAABjx7qPsg
    (2025-05-21 11:33:24)
ALICE:12/13一銀USD收到KH匯入USD1562.8(內含手續費USD28.61)沖PI-20191017004 USD1347+PI-20191030001 USD215.8合計總沖USD1562.8</t>
        </r>
      </text>
    </comment>
    <comment ref="D5406" authorId="0" shapeId="0" xr:uid="{71D43139-15D6-8D47-9274-6C50145DD0EA}">
      <text>
        <r>
          <rPr>
            <sz val="10"/>
            <color rgb="FF000000"/>
            <rFont val="Aptos Narrow"/>
            <scheme val="minor"/>
          </rPr>
          <t>======
ID#AAABjx7qNK4
    (2025-05-21 11:33:23)
10/30 CATHY:請CHLOE協助下單</t>
        </r>
      </text>
    </comment>
    <comment ref="H5406" authorId="0" shapeId="0" xr:uid="{9D7C27D9-1D41-4047-946B-E4DEF214CDD5}">
      <text>
        <r>
          <rPr>
            <sz val="10"/>
            <color rgb="FF000000"/>
            <rFont val="Aptos Narrow"/>
            <scheme val="minor"/>
          </rPr>
          <t>======
ID#AAABjx7qOjU
    (2025-05-21 11:33:24)
ALICE:12/10-亞郁匯入NT86152沖PI-20191016001.PI-20191017001.PI-20191030002.PI-20191112005 USD270.9</t>
        </r>
      </text>
    </comment>
    <comment ref="K5406" authorId="0" shapeId="0" xr:uid="{D408B38E-74DE-6648-AB0A-94B163FFC9CD}">
      <text>
        <r>
          <rPr>
            <sz val="10"/>
            <color rgb="FF000000"/>
            <rFont val="Aptos Narrow"/>
            <scheme val="minor"/>
          </rPr>
          <t>======
ID#AAABjx7qV8U
    (2025-05-21 11:33:27)
chloe
1028: 原先告知10/30
1104: 尚未告知MOXA！！原倉庫(木新路)收貨至11/14止，11/15暫停收貨 ，
11/18之後送貨請送至新倉庫:新北市新店區寶橋路235巷118號2AF</t>
        </r>
      </text>
    </comment>
    <comment ref="D5407" authorId="0" shapeId="0" xr:uid="{C3EDC5F7-F534-A045-9D67-B1E42763006D}">
      <text>
        <r>
          <rPr>
            <sz val="10"/>
            <color rgb="FF000000"/>
            <rFont val="Aptos Narrow"/>
            <scheme val="minor"/>
          </rPr>
          <t>======
ID#AAABjx7qPqw
    (2025-05-21 11:33:24)
10/30 CATHY:請CHLOE協助下單</t>
        </r>
      </text>
    </comment>
    <comment ref="H5407" authorId="0" shapeId="0" xr:uid="{DA0D7EE0-D8D1-8045-A224-1A9A4A6A33F1}">
      <text>
        <r>
          <rPr>
            <sz val="10"/>
            <color rgb="FF000000"/>
            <rFont val="Aptos Narrow"/>
            <scheme val="minor"/>
          </rPr>
          <t>======
ID#AAABjx7qNog
    (2025-05-21 11:33:23)
ALICE:12/10-亞郁匯入NT86152沖PI-20191016001.PI-20191017001.PI-20191030002.PI-20191112005 USD270.9</t>
        </r>
      </text>
    </comment>
    <comment ref="K5407" authorId="0" shapeId="0" xr:uid="{47AC4FB1-E13F-C645-8EE8-C53F22144C6F}">
      <text>
        <r>
          <rPr>
            <sz val="10"/>
            <color rgb="FF000000"/>
            <rFont val="Aptos Narrow"/>
            <scheme val="minor"/>
          </rPr>
          <t>======
ID#AAABjx7qN9w
    (2025-05-21 11:33:23)
chloe
1028: 原先告知10/30
1104: 尚未告知MOXA！！原倉庫(木新路)收貨至11/14止，11/15暫停收貨 ，
11/18之後送貨請送至新倉庫:新北市新店區寶橋路235巷118號2AF</t>
        </r>
      </text>
    </comment>
    <comment ref="D5408" authorId="0" shapeId="0" xr:uid="{20116543-BCD7-9E49-A2D7-43FDA28803B9}">
      <text>
        <r>
          <rPr>
            <sz val="10"/>
            <color rgb="FF000000"/>
            <rFont val="Aptos Narrow"/>
            <scheme val="minor"/>
          </rPr>
          <t>======
ID#AAABjx7qU6M
    (2025-05-21 11:33:27)
10/30 Cathy:請yvonne 協助下單</t>
        </r>
      </text>
    </comment>
    <comment ref="H5408" authorId="0" shapeId="0" xr:uid="{D8A1BB8C-5DC7-0140-817A-D8F5AA7EBCB3}">
      <text>
        <r>
          <rPr>
            <sz val="10"/>
            <color rgb="FF000000"/>
            <rFont val="Aptos Narrow"/>
            <scheme val="minor"/>
          </rPr>
          <t>======
ID#AAABjx7qOBE
    (2025-05-21 11:33:24)
ALICE:11/4玉山銀行匯入USD1523沖PI-20191030004 USD1523</t>
        </r>
      </text>
    </comment>
    <comment ref="K5408" authorId="0" shapeId="0" xr:uid="{7864CC31-1CB5-944A-905E-7895599FE3B0}">
      <text>
        <r>
          <rPr>
            <sz val="10"/>
            <color rgb="FF000000"/>
            <rFont val="Aptos Narrow"/>
            <scheme val="minor"/>
          </rPr>
          <t>======
ID#AAABjx7qOGM
    (2025-05-21 11:33:24)
10/30 cathy:通知客人交期</t>
        </r>
      </text>
    </comment>
    <comment ref="D5409" authorId="0" shapeId="0" xr:uid="{8399D0AF-401F-1840-8589-4DD328524AB5}">
      <text>
        <r>
          <rPr>
            <sz val="10"/>
            <color rgb="FF000000"/>
            <rFont val="Aptos Narrow"/>
            <scheme val="minor"/>
          </rPr>
          <t>======
ID#AAABj82dpJ0
    (2025-05-21 11:33:23)
10/30 Cathy:請yvonne 協助下單</t>
        </r>
      </text>
    </comment>
    <comment ref="H5409" authorId="0" shapeId="0" xr:uid="{B2219642-C248-A541-B191-5FBAA6EA58F7}">
      <text>
        <r>
          <rPr>
            <sz val="10"/>
            <color rgb="FF000000"/>
            <rFont val="Aptos Narrow"/>
            <scheme val="minor"/>
          </rPr>
          <t>======
ID#AAABjx7qOtU
    (2025-05-21 11:33:24)
ALICE:11/4玉山銀行匯入USD1523沖PI-20191030004 USD1523</t>
        </r>
      </text>
    </comment>
    <comment ref="K5409" authorId="0" shapeId="0" xr:uid="{9ECE2067-C7EA-5D47-8261-3FFFFA6F7B35}">
      <text>
        <r>
          <rPr>
            <sz val="10"/>
            <color rgb="FF000000"/>
            <rFont val="Aptos Narrow"/>
            <scheme val="minor"/>
          </rPr>
          <t>======
ID#AAABjx7qP8o
    (2025-05-21 11:33:24)
10/30 cathy:通知客人交期</t>
        </r>
      </text>
    </comment>
    <comment ref="D5410" authorId="0" shapeId="0" xr:uid="{A3061A76-18C3-4945-9494-A7E019620270}">
      <text>
        <r>
          <rPr>
            <sz val="10"/>
            <color rgb="FF000000"/>
            <rFont val="Aptos Narrow"/>
            <scheme val="minor"/>
          </rPr>
          <t>======
ID#AAABjx7qNmE
    (2025-05-21 11:33:23)
10/30 Cathy:請yvonne 協助下單</t>
        </r>
      </text>
    </comment>
    <comment ref="H5410" authorId="0" shapeId="0" xr:uid="{8A11859D-A78D-9645-951B-5414F5255C56}">
      <text>
        <r>
          <rPr>
            <sz val="10"/>
            <color rgb="FF000000"/>
            <rFont val="Aptos Narrow"/>
            <scheme val="minor"/>
          </rPr>
          <t>======
ID#AAABjx7qOtw
    (2025-05-21 11:33:24)
ALICE:11/4玉山銀行匯入USD1523沖PI-20191030004 USD1523</t>
        </r>
      </text>
    </comment>
    <comment ref="K5410" authorId="0" shapeId="0" xr:uid="{7A867B14-9F9D-1342-8B3C-0D993134E66D}">
      <text>
        <r>
          <rPr>
            <sz val="10"/>
            <color rgb="FF000000"/>
            <rFont val="Aptos Narrow"/>
            <scheme val="minor"/>
          </rPr>
          <t>======
ID#AAABjx7qVPI
    (2025-05-21 11:33:27)
10/30 cathy:通知客人交期</t>
        </r>
      </text>
    </comment>
    <comment ref="D5411" authorId="0" shapeId="0" xr:uid="{C5530676-49E2-144B-8937-0ADE6A1B3A3B}">
      <text>
        <r>
          <rPr>
            <sz val="10"/>
            <color rgb="FF000000"/>
            <rFont val="Aptos Narrow"/>
            <scheme val="minor"/>
          </rPr>
          <t>======
ID#AAABjx7qU8s
    (2025-05-21 11:33:27)
10/30 Cathy:請yvonne 協助下單</t>
        </r>
      </text>
    </comment>
    <comment ref="H5411" authorId="0" shapeId="0" xr:uid="{5BCCC83C-4787-A647-A68E-B0545B15F17C}">
      <text>
        <r>
          <rPr>
            <sz val="10"/>
            <color rgb="FF000000"/>
            <rFont val="Aptos Narrow"/>
            <scheme val="minor"/>
          </rPr>
          <t>======
ID#AAABjx7qWAA
    (2025-05-21 11:33:27)
ALICE:11/4玉山銀行匯入USD1523沖PI-20191030004 USD1523</t>
        </r>
      </text>
    </comment>
    <comment ref="K5411" authorId="0" shapeId="0" xr:uid="{BBA77029-17CA-6245-9D0A-83032FAB68AA}">
      <text>
        <r>
          <rPr>
            <sz val="10"/>
            <color rgb="FF000000"/>
            <rFont val="Aptos Narrow"/>
            <scheme val="minor"/>
          </rPr>
          <t>======
ID#AAABjx7qPLk
    (2025-05-21 11:33:24)
10/30 cathy:通知客人交期</t>
        </r>
      </text>
    </comment>
    <comment ref="H5412" authorId="0" shapeId="0" xr:uid="{BD582E3B-401B-714C-9C47-F48BC5CC782F}">
      <text>
        <r>
          <rPr>
            <sz val="10"/>
            <color rgb="FF000000"/>
            <rFont val="Aptos Narrow"/>
            <scheme val="minor"/>
          </rPr>
          <t>======
ID#AAABjx7qPVI
    (2025-05-21 11:33:24)
ALICE:1/3第一NT收到閎亮匯入NT14181沖PI-20191031001 USD466.2</t>
        </r>
      </text>
    </comment>
    <comment ref="I5412" authorId="0" shapeId="0" xr:uid="{5D9CF8D9-EBCB-884F-84F6-D976D9DA12E8}">
      <text>
        <r>
          <rPr>
            <sz val="10"/>
            <color rgb="FF000000"/>
            <rFont val="Aptos Narrow"/>
            <scheme val="minor"/>
          </rPr>
          <t>======
ID#AAABjx7qN3w
    (2025-05-21 11:33:23)
原cathy</t>
        </r>
      </text>
    </comment>
    <comment ref="H5413" authorId="0" shapeId="0" xr:uid="{C6FDA9E8-49DA-F247-ADF3-DA775790E3E0}">
      <text>
        <r>
          <rPr>
            <sz val="10"/>
            <color rgb="FF000000"/>
            <rFont val="Aptos Narrow"/>
            <scheme val="minor"/>
          </rPr>
          <t>======
ID#AAABjx7qUsk
    (2025-05-21 11:33:26)
ALICE:1/3第一NT收到閎亮匯入NT14181沖PI-20191031001 USD466.2</t>
        </r>
      </text>
    </comment>
    <comment ref="I5413" authorId="0" shapeId="0" xr:uid="{C4D34CDF-C929-EF4E-9647-4EBE9DBD5D93}">
      <text>
        <r>
          <rPr>
            <sz val="10"/>
            <color rgb="FF000000"/>
            <rFont val="Aptos Narrow"/>
            <scheme val="minor"/>
          </rPr>
          <t>======
ID#AAABjx7qR3A
    (2025-05-21 11:33:25)
原cathy</t>
        </r>
      </text>
    </comment>
    <comment ref="H5414" authorId="0" shapeId="0" xr:uid="{F38C1119-55D9-C34E-ACF2-B021F63EFA4B}">
      <text>
        <r>
          <rPr>
            <sz val="10"/>
            <color rgb="FF000000"/>
            <rFont val="Aptos Narrow"/>
            <scheme val="minor"/>
          </rPr>
          <t>======
ID#AAABjx7qSEk
    (2025-05-21 11:33:26)
ALICE:11/8-玉山銀行收到Dadasol匯入USD7021沖PI-20191101002 USD7021</t>
        </r>
      </text>
    </comment>
    <comment ref="J5414" authorId="0" shapeId="0" xr:uid="{FD0177E4-C031-B547-9E9F-35018FCE99FF}">
      <text>
        <r>
          <rPr>
            <sz val="10"/>
            <color rgb="FF000000"/>
            <rFont val="Aptos Narrow"/>
            <scheme val="minor"/>
          </rPr>
          <t>======
ID#AAABjx7qOoQ
    (2025-05-21 11:33:24)
FOB 
代客人提供forwarder</t>
        </r>
      </text>
    </comment>
    <comment ref="K5414" authorId="0" shapeId="0" xr:uid="{FBC498A7-D96E-0145-9294-A2A354DE56BF}">
      <text>
        <r>
          <rPr>
            <sz val="10"/>
            <color rgb="FF000000"/>
            <rFont val="Aptos Narrow"/>
            <scheme val="minor"/>
          </rPr>
          <t>======
ID#AAABjx7qRN4
    (2025-05-21 11:33:25)
1105 mail告知客人交期</t>
        </r>
      </text>
    </comment>
    <comment ref="E5415" authorId="0" shapeId="0" xr:uid="{DA92D21D-0139-E240-B667-F36EE51C99DF}">
      <text>
        <r>
          <rPr>
            <sz val="10"/>
            <color rgb="FF000000"/>
            <rFont val="Aptos Narrow"/>
            <scheme val="minor"/>
          </rPr>
          <t>======
ID#AAABjx7qPz8
    (2025-05-21 11:33:24)
10/31 san同意給客人兩年保固&amp;做FOB</t>
        </r>
      </text>
    </comment>
    <comment ref="H5415" authorId="0" shapeId="0" xr:uid="{8E31EBFD-6B2C-CC40-B8C3-41EDED500B0B}">
      <text>
        <r>
          <rPr>
            <sz val="10"/>
            <color rgb="FF000000"/>
            <rFont val="Aptos Narrow"/>
            <scheme val="minor"/>
          </rPr>
          <t>======
ID#AAABjx7qMt4
    (2025-05-21 11:33:23)
ALICE:11/8-玉山銀行收到Dadasol匯入USD7021沖PI-20191101002 USD7021</t>
        </r>
      </text>
    </comment>
    <comment ref="J5415" authorId="0" shapeId="0" xr:uid="{C1D860FB-41B9-154F-BB5F-0DF2DC46DC18}">
      <text>
        <r>
          <rPr>
            <sz val="10"/>
            <color rgb="FF000000"/>
            <rFont val="Aptos Narrow"/>
            <scheme val="minor"/>
          </rPr>
          <t>======
ID#AAABj82dpJg
    (2025-05-21 11:33:23)
FOB 
代客人提供forwarder</t>
        </r>
      </text>
    </comment>
    <comment ref="K5415" authorId="0" shapeId="0" xr:uid="{BCC1018B-3403-1F4F-A566-0A7BFF93DCFB}">
      <text>
        <r>
          <rPr>
            <sz val="10"/>
            <color rgb="FF000000"/>
            <rFont val="Aptos Narrow"/>
            <scheme val="minor"/>
          </rPr>
          <t>======
ID#AAABjx7qPF4
    (2025-05-21 11:33:24)
1105 mail告知客人交期</t>
        </r>
      </text>
    </comment>
    <comment ref="D5416" authorId="0" shapeId="0" xr:uid="{EB13D624-2752-114C-B953-E378B67E447C}">
      <text>
        <r>
          <rPr>
            <sz val="10"/>
            <color rgb="FF000000"/>
            <rFont val="Aptos Narrow"/>
            <scheme val="minor"/>
          </rPr>
          <t>======
ID#AAABjx7qO0I
    (2025-05-21 11:33:24)
11/1 Cathy: 原Evaluation
PI-20190912A</t>
        </r>
      </text>
    </comment>
    <comment ref="G5416" authorId="0" shapeId="0" xr:uid="{09852A95-B7FF-B046-BCA5-199F0E5F3D34}">
      <text>
        <r>
          <rPr>
            <sz val="10"/>
            <color rgb="FF000000"/>
            <rFont val="Aptos Narrow"/>
            <scheme val="minor"/>
          </rPr>
          <t>======
ID#AAABjx7qQ0E
    (2025-05-21 11:33:25)
20191109 san revise 價格1995-&gt;1450</t>
        </r>
      </text>
    </comment>
    <comment ref="H5416" authorId="0" shapeId="0" xr:uid="{81A0E4BA-B51D-AD4B-B8D7-41C57D399B11}">
      <text>
        <r>
          <rPr>
            <sz val="10"/>
            <color rgb="FF000000"/>
            <rFont val="Aptos Narrow"/>
            <scheme val="minor"/>
          </rPr>
          <t>======
ID#AAABjx7qU1I
    (2025-05-21 11:33:26)
ALICE:2020/01/02-第一USD匯入USD1450(內含手續費USD21.67)沖PI-20191101001 USD1450</t>
        </r>
      </text>
    </comment>
    <comment ref="H5417" authorId="0" shapeId="0" xr:uid="{E19BEBA6-969E-9C46-85DA-102E1D165060}">
      <text>
        <r>
          <rPr>
            <sz val="10"/>
            <color rgb="FF000000"/>
            <rFont val="Aptos Narrow"/>
            <scheme val="minor"/>
          </rPr>
          <t>======
ID#AAABjx7qTJs
    (2025-05-21 11:33:26)
alice:11/5-合庫收款USD960(內含手續費USD17.59)沖PI20191104002 USD960</t>
        </r>
      </text>
    </comment>
    <comment ref="J5417" authorId="0" shapeId="0" xr:uid="{D87BB51D-455A-F545-9892-439DE5D46127}">
      <text>
        <r>
          <rPr>
            <sz val="10"/>
            <color rgb="FF000000"/>
            <rFont val="Aptos Narrow"/>
            <scheme val="minor"/>
          </rPr>
          <t>======
ID#AAABjx7qVP8
    (2025-05-21 11:33:27)
客人自取</t>
        </r>
      </text>
    </comment>
    <comment ref="D5418" authorId="0" shapeId="0" xr:uid="{E091F55D-D0E3-C745-B48E-7976B4E19A56}">
      <text>
        <r>
          <rPr>
            <sz val="10"/>
            <color rgb="FF000000"/>
            <rFont val="Aptos Narrow"/>
            <scheme val="minor"/>
          </rPr>
          <t>======
ID#AAABjx7qTaw
    (2025-05-21 11:33:26)
11/5 Cathy: 客戶mail下訂單&amp; 請Yvonne 下單</t>
        </r>
      </text>
    </comment>
    <comment ref="H5418" authorId="0" shapeId="0" xr:uid="{2DD4A7B7-5244-214A-8AAF-CCE01AF24135}">
      <text>
        <r>
          <rPr>
            <sz val="10"/>
            <color rgb="FF000000"/>
            <rFont val="Aptos Narrow"/>
            <scheme val="minor"/>
          </rPr>
          <t>======
ID#AAABjx7qTnQ
    (2025-05-21 11:33:26)
ALICE:2020/01/10收到芳慎應收票據，票號AN0560121 到期日109/01/30 金額NT100398沖PI-20191105001</t>
        </r>
      </text>
    </comment>
    <comment ref="K5418" authorId="0" shapeId="0" xr:uid="{3135249A-95C1-9D42-A4EA-CE8F877D97AF}">
      <text>
        <r>
          <rPr>
            <sz val="10"/>
            <color rgb="FF000000"/>
            <rFont val="Aptos Narrow"/>
            <scheme val="minor"/>
          </rPr>
          <t>======
ID#AAABjx7qS38
    (2025-05-21 11:33:26)
11/12 芳慎需星期五中午前收到 
原交期 11/14</t>
        </r>
      </text>
    </comment>
    <comment ref="H5419" authorId="0" shapeId="0" xr:uid="{A0AD5D8B-2090-C749-9E2C-586B9A8C48EC}">
      <text>
        <r>
          <rPr>
            <sz val="10"/>
            <color rgb="FF000000"/>
            <rFont val="Aptos Narrow"/>
            <scheme val="minor"/>
          </rPr>
          <t>======
ID#AAABjx7qPqk
    (2025-05-21 11:33:24)
ALICE:1/15一銀收到USD8853(內含手續費USD53.7)沖PI-20191029002 USD4275+PI-20191029003 USD2235+PI-20191029004 USD1988+PI-20191105002 USD355</t>
        </r>
      </text>
    </comment>
    <comment ref="D5420" authorId="0" shapeId="0" xr:uid="{BCA2AE3E-0AAB-4349-849D-6B9AC997CDC6}">
      <text>
        <r>
          <rPr>
            <sz val="10"/>
            <color rgb="FF000000"/>
            <rFont val="Aptos Narrow"/>
            <scheme val="minor"/>
          </rPr>
          <t>======
ID#AAABjx7qVeo
    (2025-05-21 11:33:27)
11/8 cathy: 請Chloe 請協助下單</t>
        </r>
      </text>
    </comment>
    <comment ref="H5420" authorId="0" shapeId="0" xr:uid="{5CD462E0-4040-554D-A8E8-CCC53827580E}">
      <text>
        <r>
          <rPr>
            <sz val="10"/>
            <color rgb="FF000000"/>
            <rFont val="Aptos Narrow"/>
            <scheme val="minor"/>
          </rPr>
          <t>======
ID#AAABjx7qTbs
    (2025-05-21 11:33:26)
ALICE:2020/01/10-SA匯入USD37024-沖PI-20191108001 (5904+2010+440+20104+950+6270)+1346(12600中的1346)=USD37024</t>
        </r>
      </text>
    </comment>
    <comment ref="I5420" authorId="0" shapeId="0" xr:uid="{015A3078-C103-7E43-AE26-68155B14DEF4}">
      <text>
        <r>
          <rPr>
            <sz val="10"/>
            <color rgb="FF000000"/>
            <rFont val="Aptos Narrow"/>
            <scheme val="minor"/>
          </rPr>
          <t>======
ID#AAABjx7qPQQ
    (2025-05-21 11:33:24)
Cathy/Yvonne</t>
        </r>
      </text>
    </comment>
    <comment ref="D5421" authorId="0" shapeId="0" xr:uid="{FBBB3C48-D2D9-2645-82B3-E38F7301651A}">
      <text>
        <r>
          <rPr>
            <sz val="10"/>
            <color rgb="FF000000"/>
            <rFont val="Aptos Narrow"/>
            <scheme val="minor"/>
          </rPr>
          <t>======
ID#AAABjx7qNRs
    (2025-05-21 11:33:23)
11/8 cathy: 請Chloe 請協助下單</t>
        </r>
      </text>
    </comment>
    <comment ref="H5421" authorId="0" shapeId="0" xr:uid="{3ACFA94E-34C6-9540-9513-AF5AEA380C7F}">
      <text>
        <r>
          <rPr>
            <sz val="10"/>
            <color rgb="FF000000"/>
            <rFont val="Aptos Narrow"/>
            <scheme val="minor"/>
          </rPr>
          <t>======
ID#AAABjx7qOJE
    (2025-05-21 11:33:24)
12/18-合庫匯入USD10954(內含手續費USD18.65)沖PI-20191108001 USD10954(12600)故尚餘USD1646尚未支付
ALICE:2020/01/10-SA匯入USD37024-沖PI-20191108001 (5904+2010+440+20104+950+6270)+1346(12600中的1346)=USD37024  
結餘12600餘300未收
ALICE:2020/1/20一銀收款USD10000(沖PI-20191108001 此筆USD300)結清</t>
        </r>
      </text>
    </comment>
    <comment ref="I5421" authorId="0" shapeId="0" xr:uid="{DEE067A3-F9DA-BC4E-886F-275C38209D5B}">
      <text>
        <r>
          <rPr>
            <sz val="10"/>
            <color rgb="FF000000"/>
            <rFont val="Aptos Narrow"/>
            <scheme val="minor"/>
          </rPr>
          <t>======
ID#AAABjx7qThk
    (2025-05-21 11:33:26)
Cathy/Yvonne</t>
        </r>
      </text>
    </comment>
    <comment ref="D5422" authorId="0" shapeId="0" xr:uid="{B1E979E5-7804-8D46-95D3-099FB03B4F03}">
      <text>
        <r>
          <rPr>
            <sz val="10"/>
            <color rgb="FF000000"/>
            <rFont val="Aptos Narrow"/>
            <scheme val="minor"/>
          </rPr>
          <t>======
ID#AAABjx7qVl0
    (2025-05-21 11:33:27)
11/8 cathy: 請Chloe 請協助下單</t>
        </r>
      </text>
    </comment>
    <comment ref="H5422" authorId="0" shapeId="0" xr:uid="{F088B614-6336-424F-9D94-B9F19DBE4B47}">
      <text>
        <r>
          <rPr>
            <sz val="10"/>
            <color rgb="FF000000"/>
            <rFont val="Aptos Narrow"/>
            <scheme val="minor"/>
          </rPr>
          <t>======
ID#AAABjx7qTmY
    (2025-05-21 11:33:26)
ALICE:2020/01/10-SA匯入USD37024-沖PI-20191108001 (5904+2010+440+20104+950+6270)+1346(12600中的1346)=USD37024</t>
        </r>
      </text>
    </comment>
    <comment ref="I5422" authorId="0" shapeId="0" xr:uid="{332B4358-9C8F-EB41-80EB-52F348EA908D}">
      <text>
        <r>
          <rPr>
            <sz val="10"/>
            <color rgb="FF000000"/>
            <rFont val="Aptos Narrow"/>
            <scheme val="minor"/>
          </rPr>
          <t>======
ID#AAABjx7qQ5A
    (2025-05-21 11:33:25)
Cathy/Yvonne</t>
        </r>
      </text>
    </comment>
    <comment ref="D5423" authorId="0" shapeId="0" xr:uid="{BA8B0A46-76A7-6D4F-A968-8C74CE3B3042}">
      <text>
        <r>
          <rPr>
            <sz val="10"/>
            <color rgb="FF000000"/>
            <rFont val="Aptos Narrow"/>
            <scheme val="minor"/>
          </rPr>
          <t>======
ID#AAABjx7qQQQ
    (2025-05-21 11:33:25)
11/8 cathy: 請Chloe 請協助下單</t>
        </r>
      </text>
    </comment>
    <comment ref="H5423" authorId="0" shapeId="0" xr:uid="{688B3C0C-FED5-0541-8B55-808A88F7015D}">
      <text>
        <r>
          <rPr>
            <sz val="10"/>
            <color rgb="FF000000"/>
            <rFont val="Aptos Narrow"/>
            <scheme val="minor"/>
          </rPr>
          <t>======
ID#AAABjx7qRk0
    (2025-05-21 11:33:25)
ALICE:2020/01/10-SA匯入USD37024-沖PI-20191108001 (5904+2010+440+20104+950+6270)+1346(12600中的1346)=USD37024</t>
        </r>
      </text>
    </comment>
    <comment ref="I5423" authorId="0" shapeId="0" xr:uid="{F3DE71F7-DF1B-6145-83E2-279244C62233}">
      <text>
        <r>
          <rPr>
            <sz val="10"/>
            <color rgb="FF000000"/>
            <rFont val="Aptos Narrow"/>
            <scheme val="minor"/>
          </rPr>
          <t>======
ID#AAABjx7qPjk
    (2025-05-21 11:33:24)
Cathy/Yvonne</t>
        </r>
      </text>
    </comment>
    <comment ref="D5424" authorId="0" shapeId="0" xr:uid="{6AD8EAF9-D63C-8D4E-9823-D1FE13FC4C7E}">
      <text>
        <r>
          <rPr>
            <sz val="10"/>
            <color rgb="FF000000"/>
            <rFont val="Aptos Narrow"/>
            <scheme val="minor"/>
          </rPr>
          <t>======
ID#AAABjx7qTOQ
    (2025-05-21 11:33:26)
11/8 cathy: 請Chloe 請協助下單</t>
        </r>
      </text>
    </comment>
    <comment ref="H5424" authorId="0" shapeId="0" xr:uid="{D6B97753-FBAF-3742-BE14-F80E1EDE4509}">
      <text>
        <r>
          <rPr>
            <sz val="10"/>
            <color rgb="FF000000"/>
            <rFont val="Aptos Narrow"/>
            <scheme val="minor"/>
          </rPr>
          <t>======
ID#AAABjx7qSd4
    (2025-05-21 11:33:26)
ALICE:2020/01/10-SA匯入USD37024-沖PI-20191108001 (5904+2010+440+20104+950+6270)+1346(12600中的1346)=USD37024</t>
        </r>
      </text>
    </comment>
    <comment ref="I5424" authorId="0" shapeId="0" xr:uid="{FCF7CE65-EDEC-3842-8C48-50A06D936020}">
      <text>
        <r>
          <rPr>
            <sz val="10"/>
            <color rgb="FF000000"/>
            <rFont val="Aptos Narrow"/>
            <scheme val="minor"/>
          </rPr>
          <t>======
ID#AAABjx7qOqk
    (2025-05-21 11:33:24)
Cathy/Yvonne</t>
        </r>
      </text>
    </comment>
    <comment ref="K5424" authorId="0" shapeId="0" xr:uid="{D6A004AC-ABC1-694F-91C6-87699016CD79}">
      <text>
        <r>
          <rPr>
            <sz val="10"/>
            <color rgb="FF000000"/>
            <rFont val="Aptos Narrow"/>
            <scheme val="minor"/>
          </rPr>
          <t>======
ID#AAABjx7qS_k
    (2025-05-21 11:33:26)
11/8 cathy: 請告知可提供最快交期 
1223yvonne:Santiago同意放貨</t>
        </r>
      </text>
    </comment>
    <comment ref="D5425" authorId="0" shapeId="0" xr:uid="{58736C8E-E9D5-8249-8E6F-3F5FE34B7D8A}">
      <text>
        <r>
          <rPr>
            <sz val="10"/>
            <color rgb="FF000000"/>
            <rFont val="Aptos Narrow"/>
            <scheme val="minor"/>
          </rPr>
          <t>======
ID#AAABjx7qV6o
    (2025-05-21 11:33:27)
11/8 cathy: 請Chloe 請協助下單</t>
        </r>
      </text>
    </comment>
    <comment ref="H5425" authorId="0" shapeId="0" xr:uid="{699AF66E-1FAC-694B-8E34-B8F0E5055263}">
      <text>
        <r>
          <rPr>
            <sz val="10"/>
            <color rgb="FF000000"/>
            <rFont val="Aptos Narrow"/>
            <scheme val="minor"/>
          </rPr>
          <t>======
ID#AAABjx7qQN0
    (2025-05-21 11:33:25)
ALICE:2020/01/10-SA匯入USD37024-沖PI-20191108001 (5904+2010+440+20104+950+6270)+1346(12600中的1346)=USD37024</t>
        </r>
      </text>
    </comment>
    <comment ref="I5425" authorId="0" shapeId="0" xr:uid="{F15A975B-79FF-AD4A-98E3-6B150D51117B}">
      <text>
        <r>
          <rPr>
            <sz val="10"/>
            <color rgb="FF000000"/>
            <rFont val="Aptos Narrow"/>
            <scheme val="minor"/>
          </rPr>
          <t>======
ID#AAABjx7qSRM
    (2025-05-21 11:33:26)
Cathy/Yvonne</t>
        </r>
      </text>
    </comment>
    <comment ref="K5425" authorId="0" shapeId="0" xr:uid="{73543C0C-790F-CF42-AEBC-EFCFFB3E9C7B}">
      <text>
        <r>
          <rPr>
            <sz val="10"/>
            <color rgb="FF000000"/>
            <rFont val="Aptos Narrow"/>
            <scheme val="minor"/>
          </rPr>
          <t>======
ID#AAABjx7qQ38
    (2025-05-21 11:33:25)
11/8 cathy: 請告知可提供最快交期 
1223yvonne:Santiago同意放貨</t>
        </r>
      </text>
    </comment>
    <comment ref="D5426" authorId="0" shapeId="0" xr:uid="{73233AF4-D95C-144E-9265-E27F22F1D78F}">
      <text>
        <r>
          <rPr>
            <sz val="10"/>
            <color rgb="FF000000"/>
            <rFont val="Aptos Narrow"/>
            <scheme val="minor"/>
          </rPr>
          <t>======
ID#AAABjx7qWNw
    (2025-05-21 11:33:27)
11/8 cathy: 請Chloe 請協助下單</t>
        </r>
      </text>
    </comment>
    <comment ref="H5426" authorId="0" shapeId="0" xr:uid="{9B8D55E0-5C47-7640-97E1-68F51CB76C8C}">
      <text>
        <r>
          <rPr>
            <sz val="10"/>
            <color rgb="FF000000"/>
            <rFont val="Aptos Narrow"/>
            <scheme val="minor"/>
          </rPr>
          <t>======
ID#AAABjx7qQXc
    (2025-05-21 11:33:25)
ALICE:2020/1/20一銀收款USD10000(沖PI-20191108001 此筆USD9700)結清</t>
        </r>
      </text>
    </comment>
    <comment ref="I5426" authorId="0" shapeId="0" xr:uid="{FFBCF6F1-12F6-A540-B120-24A83CC2E2E6}">
      <text>
        <r>
          <rPr>
            <sz val="10"/>
            <color rgb="FF000000"/>
            <rFont val="Aptos Narrow"/>
            <scheme val="minor"/>
          </rPr>
          <t>======
ID#AAABjx7qNoQ
    (2025-05-21 11:33:23)
Cathy/Yvonne</t>
        </r>
      </text>
    </comment>
    <comment ref="K5426" authorId="0" shapeId="0" xr:uid="{8EA3BB11-7168-B34B-8ADA-90C3B73484F0}">
      <text>
        <r>
          <rPr>
            <sz val="10"/>
            <color rgb="FF000000"/>
            <rFont val="Aptos Narrow"/>
            <scheme val="minor"/>
          </rPr>
          <t>======
ID#AAABjx7qOgE
    (2025-05-21 11:33:24)
11/8 cathy: 請告知可提供最快交期 
1223yvonne:Santiago同意放貨</t>
        </r>
      </text>
    </comment>
    <comment ref="D5427" authorId="0" shapeId="0" xr:uid="{632A5229-308B-7646-9E07-4E141116D79C}">
      <text>
        <r>
          <rPr>
            <sz val="10"/>
            <color rgb="FF000000"/>
            <rFont val="Aptos Narrow"/>
            <scheme val="minor"/>
          </rPr>
          <t>======
ID#AAABjx7qNa4
    (2025-05-21 11:33:23)
11/8 cathy: 請Chloe 請協助下單</t>
        </r>
      </text>
    </comment>
    <comment ref="H5427" authorId="0" shapeId="0" xr:uid="{25EB46CE-E545-2648-8B74-D4D113A97C55}">
      <text>
        <r>
          <rPr>
            <sz val="10"/>
            <color rgb="FF000000"/>
            <rFont val="Aptos Narrow"/>
            <scheme val="minor"/>
          </rPr>
          <t>======
ID#AAABjx7qVzs
    (2025-05-21 11:33:27)
ALICE:2020/01/10-SA匯入USD37024-沖PI-20191108001 (5904+2010+440+20104+950+6270)+1346(12600中的1346)=USD37024</t>
        </r>
      </text>
    </comment>
    <comment ref="I5427" authorId="0" shapeId="0" xr:uid="{B023C952-E07C-1C4A-AA9F-EBCCE9D8A929}">
      <text>
        <r>
          <rPr>
            <sz val="10"/>
            <color rgb="FF000000"/>
            <rFont val="Aptos Narrow"/>
            <scheme val="minor"/>
          </rPr>
          <t>======
ID#AAABjx7qVZo
    (2025-05-21 11:33:27)
Cathy/Yvonne</t>
        </r>
      </text>
    </comment>
    <comment ref="K5427" authorId="0" shapeId="0" xr:uid="{7411D30D-BAD1-5A48-9DEE-02C0352F14F9}">
      <text>
        <r>
          <rPr>
            <sz val="10"/>
            <color rgb="FF000000"/>
            <rFont val="Aptos Narrow"/>
            <scheme val="minor"/>
          </rPr>
          <t>======
ID#AAABjx7qToI
    (2025-05-21 11:33:26)
11/8 cathy: 請告知可提供最快交期 
1223yvonne:Santiago同意放貨</t>
        </r>
      </text>
    </comment>
    <comment ref="H5428" authorId="0" shapeId="0" xr:uid="{A7C1AF25-F153-6349-8F86-2F4D97B3490E}">
      <text>
        <r>
          <rPr>
            <sz val="10"/>
            <color rgb="FF000000"/>
            <rFont val="Aptos Narrow"/>
            <scheme val="minor"/>
          </rPr>
          <t>======
ID#AAABjx7qV8I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29" authorId="0" shapeId="0" xr:uid="{1B17390A-E98F-EC4B-9B4C-1F93F378FDF4}">
      <text>
        <r>
          <rPr>
            <sz val="10"/>
            <color rgb="FF000000"/>
            <rFont val="Aptos Narrow"/>
            <scheme val="minor"/>
          </rPr>
          <t>======
ID#AAABjx7qPO4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0" authorId="0" shapeId="0" xr:uid="{C77BF46F-8120-F040-B3B5-854157435E2C}">
      <text>
        <r>
          <rPr>
            <sz val="10"/>
            <color rgb="FF000000"/>
            <rFont val="Aptos Narrow"/>
            <scheme val="minor"/>
          </rPr>
          <t>======
ID#AAABjx7qSkM
    (2025-05-21 11:33:26)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1" authorId="0" shapeId="0" xr:uid="{AA0CFD4D-D72E-A040-85E3-B614DE55A658}">
      <text>
        <r>
          <rPr>
            <sz val="10"/>
            <color rgb="FF000000"/>
            <rFont val="Aptos Narrow"/>
            <scheme val="minor"/>
          </rPr>
          <t>======
ID#AAABjx7qWH8
    (2025-05-21 11:33:27)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2" authorId="0" shapeId="0" xr:uid="{85BF1E93-5759-A541-B380-C64C5AAA4623}">
      <text>
        <r>
          <rPr>
            <sz val="10"/>
            <color rgb="FF000000"/>
            <rFont val="Aptos Narrow"/>
            <scheme val="minor"/>
          </rPr>
          <t>======
ID#AAABjx7qNaw
    (2025-05-21 11:33:23)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H5433" authorId="0" shapeId="0" xr:uid="{C3485494-B1FB-C447-BEB7-3399751920EC}">
      <text>
        <r>
          <rPr>
            <sz val="10"/>
            <color rgb="FF000000"/>
            <rFont val="Aptos Narrow"/>
            <scheme val="minor"/>
          </rPr>
          <t>======
ID#AAABjx7qOSo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</t>
        </r>
      </text>
    </comment>
    <comment ref="K5434" authorId="0" shapeId="0" xr:uid="{EB11F06D-374A-5048-A08C-DD0F5E221EEB}">
      <text>
        <r>
          <rPr>
            <sz val="10"/>
            <color rgb="FF000000"/>
            <rFont val="Aptos Narrow"/>
            <scheme val="minor"/>
          </rPr>
          <t>======
ID#AAABjx7qSbo
    (2025-05-21 11:33:26)
1115YVONNE:SANTIAGO通知延遲一周出貨。</t>
        </r>
      </text>
    </comment>
    <comment ref="K5435" authorId="0" shapeId="0" xr:uid="{D7C50AEB-F657-604E-9AA1-276B26668719}">
      <text>
        <r>
          <rPr>
            <sz val="10"/>
            <color rgb="FF000000"/>
            <rFont val="Aptos Narrow"/>
            <scheme val="minor"/>
          </rPr>
          <t>======
ID#AAABjx7qNMw
    (2025-05-21 11:33:23)
1115YVONNE:SANTIAGO通知延遲一周出貨。
1127yvonne:bank通知補寄SSD給客戶</t>
        </r>
      </text>
    </comment>
    <comment ref="H5436" authorId="0" shapeId="0" xr:uid="{D8254161-7348-0B44-B356-D2654B3B7000}">
      <text>
        <r>
          <rPr>
            <sz val="10"/>
            <color rgb="FF000000"/>
            <rFont val="Aptos Narrow"/>
            <scheme val="minor"/>
          </rPr>
          <t>======
ID#AAABjx7qNBk
    (2025-05-21 11:33:23)
ALICE:12/10-亞郁匯入NT86152沖PI-20191016001.PI-20191017001.PI-20191030002.PI-20191112005 USD270.9</t>
        </r>
      </text>
    </comment>
    <comment ref="H5437" authorId="0" shapeId="0" xr:uid="{69FBBB92-6F73-DC47-98F3-DD13026C4ACA}">
      <text>
        <r>
          <rPr>
            <sz val="10"/>
            <color rgb="FF000000"/>
            <rFont val="Aptos Narrow"/>
            <scheme val="minor"/>
          </rPr>
          <t>======
ID#AAABjx7qOWg
    (2025-05-21 11:33:24)
ALICE:2020/01/08亞郁匯入NT46486沖PI-20191112005 USD270.9+PI-20191205001 USD1169.7+PI-20191211002 USD97.65</t>
        </r>
      </text>
    </comment>
    <comment ref="K5437" authorId="0" shapeId="0" xr:uid="{2DEE276A-4CBC-8449-AD58-6E32BD0C08A9}">
      <text>
        <r>
          <rPr>
            <sz val="10"/>
            <color rgb="FF000000"/>
            <rFont val="Aptos Narrow"/>
            <scheme val="minor"/>
          </rPr>
          <t>======
ID#AAABjx7qSqs
    (2025-05-21 11:33:26)
chloe
1028: 原先告知10/30
1104: 尚未告知MOXA！！原倉庫(木新路)收貨至11/14止，11/15暫停收貨 ，
11/18之後送貨請送至新倉庫:新北市新店區寶橋路235巷118號2AF</t>
        </r>
      </text>
    </comment>
    <comment ref="E5438" authorId="0" shapeId="0" xr:uid="{FB19E239-A177-AA49-8377-7AD66E248759}">
      <text>
        <r>
          <rPr>
            <sz val="10"/>
            <color rgb="FF000000"/>
            <rFont val="Aptos Narrow"/>
            <scheme val="minor"/>
          </rPr>
          <t>======
ID#AAABjx7qSz8
    (2025-05-21 11:33:26)
20170104 Santiago: 和之前訂單一樣, w/o adapter</t>
        </r>
      </text>
    </comment>
    <comment ref="H5438" authorId="0" shapeId="0" xr:uid="{52B44577-324B-7D4A-B44A-0C1833FC0004}">
      <text>
        <r>
          <rPr>
            <sz val="10"/>
            <color rgb="FF000000"/>
            <rFont val="Aptos Narrow"/>
            <scheme val="minor"/>
          </rPr>
          <t>======
ID#AAABjx7qQn0
    (2025-05-21 11:33:25)
ALICE:12/2-合庫匯入NT328647(內含手續費NT30元整)沖PI-20191001A USD10084.2+PI-20191112006 USD714元整</t>
        </r>
      </text>
    </comment>
    <comment ref="H5439" authorId="0" shapeId="0" xr:uid="{2013E8A3-9CB4-6B48-975A-4B93BF86EFD0}">
      <text>
        <r>
          <rPr>
            <sz val="10"/>
            <color rgb="FF000000"/>
            <rFont val="Aptos Narrow"/>
            <scheme val="minor"/>
          </rPr>
          <t>======
ID#AAABjx7qTog
    (2025-05-21 11:33:26)
ALICE:12/2-合庫匯入NT328647(內含手續費NT30元整)沖PI-20191001A USD10084.2+PI-20191112006 USD714元整</t>
        </r>
      </text>
    </comment>
    <comment ref="H5440" authorId="0" shapeId="0" xr:uid="{3A566AA3-D417-2344-BBD3-D96F0EE787D6}">
      <text>
        <r>
          <rPr>
            <sz val="10"/>
            <color rgb="FF000000"/>
            <rFont val="Aptos Narrow"/>
            <scheme val="minor"/>
          </rPr>
          <t>======
ID#AAABjx7qNe4
    (2025-05-21 11:33:23)
ALICE:2020/02/03合庫收款NT858362元整，沖PI-20191001A
 NT147153+PI-20191112006 NT711239元整</t>
        </r>
      </text>
    </comment>
    <comment ref="D5444" authorId="0" shapeId="0" xr:uid="{56F80FCC-CF33-6E41-829B-5C99937B0DC4}">
      <text>
        <r>
          <rPr>
            <sz val="10"/>
            <color rgb="FF000000"/>
            <rFont val="Aptos Narrow"/>
            <scheme val="minor"/>
          </rPr>
          <t>======
ID#AAABjx7qNdc
    (2025-05-21 11:33:23)
1114 Cathy:請Yvonne 下單</t>
        </r>
      </text>
    </comment>
    <comment ref="H5444" authorId="0" shapeId="0" xr:uid="{9B4DC604-AFF3-E34A-BA44-89F9CAF17CF3}">
      <text>
        <r>
          <rPr>
            <sz val="10"/>
            <color rgb="FF000000"/>
            <rFont val="Aptos Narrow"/>
            <scheme val="minor"/>
          </rPr>
          <t>======
ID#AAABjx7qSME
    (2025-05-21 11:33:26)
Alice:11/14電文通知匯入USD1676 沖PI-20191114002 USD1676 待銀行水單沖帳</t>
        </r>
      </text>
    </comment>
    <comment ref="J5444" authorId="0" shapeId="0" xr:uid="{0A69CF24-6B99-E34C-8528-51A3DD3DD953}">
      <text>
        <r>
          <rPr>
            <sz val="10"/>
            <color rgb="FF000000"/>
            <rFont val="Aptos Narrow"/>
            <scheme val="minor"/>
          </rPr>
          <t>======
ID#AAABjx7qPVM
    (2025-05-21 11:33:24)
客人自取</t>
        </r>
      </text>
    </comment>
    <comment ref="D5445" authorId="0" shapeId="0" xr:uid="{A0A49693-90A3-0342-A5C3-8A2F689E04F3}">
      <text>
        <r>
          <rPr>
            <sz val="10"/>
            <color rgb="FF000000"/>
            <rFont val="Aptos Narrow"/>
            <scheme val="minor"/>
          </rPr>
          <t>======
ID#AAABjx7qS2M
    (2025-05-21 11:33:26)
1114 Cathy:請Yvonne 下單</t>
        </r>
      </text>
    </comment>
    <comment ref="H5445" authorId="0" shapeId="0" xr:uid="{C20B3F2A-CB5F-DE44-8576-5C6ACFCB2D38}">
      <text>
        <r>
          <rPr>
            <sz val="10"/>
            <color rgb="FF000000"/>
            <rFont val="Aptos Narrow"/>
            <scheme val="minor"/>
          </rPr>
          <t>======
ID#AAABjx7qWTA
    (2025-05-21 11:33:27)
Alice:11/14電文通知匯入USD1676 沖PI-20191114002 USD1676 待銀行水單沖帳</t>
        </r>
      </text>
    </comment>
    <comment ref="J5445" authorId="0" shapeId="0" xr:uid="{AB778BB1-09D3-784C-BB73-25BFDB7F2543}">
      <text>
        <r>
          <rPr>
            <sz val="10"/>
            <color rgb="FF000000"/>
            <rFont val="Aptos Narrow"/>
            <scheme val="minor"/>
          </rPr>
          <t>======
ID#AAABjx7qNJ8
    (2025-05-21 11:33:23)
客人自取</t>
        </r>
      </text>
    </comment>
    <comment ref="K5445" authorId="0" shapeId="0" xr:uid="{863EAA3D-200E-644F-8199-205BA0829055}">
      <text>
        <r>
          <rPr>
            <sz val="10"/>
            <color rgb="FF000000"/>
            <rFont val="Aptos Narrow"/>
            <scheme val="minor"/>
          </rPr>
          <t>======
ID#AAABjx7qVBA
    (2025-05-21 11:33:27)
1114 cathy 客人指定出貨時間</t>
        </r>
      </text>
    </comment>
    <comment ref="D5446" authorId="0" shapeId="0" xr:uid="{40825D3F-B4E5-F547-B875-354DA74FFFC0}">
      <text>
        <r>
          <rPr>
            <sz val="10"/>
            <color rgb="FF000000"/>
            <rFont val="Aptos Narrow"/>
            <scheme val="minor"/>
          </rPr>
          <t>======
ID#AAABjx7qVh4
    (2025-05-21 11:33:27)
1114 Cathy:請Yvonne 下單
1119 Cathy: 客人告知取消此項，已與研華amy 告知</t>
        </r>
      </text>
    </comment>
    <comment ref="H5446" authorId="0" shapeId="0" xr:uid="{BB3FFB11-ED00-804B-B5DC-98126194448A}">
      <text>
        <r>
          <rPr>
            <sz val="10"/>
            <color rgb="FF000000"/>
            <rFont val="Aptos Narrow"/>
            <scheme val="minor"/>
          </rPr>
          <t>======
ID#AAABjx7qQvQ
    (2025-05-21 11:33:25)
Alice:11/14電文通知匯入USD1676 沖PI-20191114002 USD1676 待銀行水單沖帳</t>
        </r>
      </text>
    </comment>
    <comment ref="J5446" authorId="0" shapeId="0" xr:uid="{D5B37C28-C45F-A64B-BF29-748D90D814DF}">
      <text>
        <r>
          <rPr>
            <sz val="10"/>
            <color rgb="FF000000"/>
            <rFont val="Aptos Narrow"/>
            <scheme val="minor"/>
          </rPr>
          <t>======
ID#AAABjx7qVKg
    (2025-05-21 11:33:27)
客人自取</t>
        </r>
      </text>
    </comment>
    <comment ref="K5446" authorId="0" shapeId="0" xr:uid="{53B70613-0A2C-8F4C-9D1C-F9EC53AA5501}">
      <text>
        <r>
          <rPr>
            <sz val="10"/>
            <color rgb="FF000000"/>
            <rFont val="Aptos Narrow"/>
            <scheme val="minor"/>
          </rPr>
          <t>======
ID#AAABjx7qRFg
    (2025-05-21 11:33:25)
1114 cathy 客人指定出貨時間</t>
        </r>
      </text>
    </comment>
    <comment ref="D5447" authorId="0" shapeId="0" xr:uid="{7ED361E0-06A9-DB4D-8C8E-5FB5BB1B146B}">
      <text>
        <r>
          <rPr>
            <sz val="10"/>
            <color rgb="FF000000"/>
            <rFont val="Aptos Narrow"/>
            <scheme val="minor"/>
          </rPr>
          <t>======
ID#AAABjx7qSaA
    (2025-05-21 11:33:26)
1114 Cathy:請Yvonne 下單</t>
        </r>
      </text>
    </comment>
    <comment ref="H5447" authorId="0" shapeId="0" xr:uid="{CF1A5906-85FC-334F-A632-0CB458D3076F}">
      <text>
        <r>
          <rPr>
            <sz val="10"/>
            <color rgb="FF000000"/>
            <rFont val="Aptos Narrow"/>
            <scheme val="minor"/>
          </rPr>
          <t>======
ID#AAABjx7qWBM
    (2025-05-21 11:33:27)
Alice:11/14電文通知匯入USD1676 沖PI-20191114002 USD1676 待銀行水單沖帳</t>
        </r>
      </text>
    </comment>
    <comment ref="J5447" authorId="0" shapeId="0" xr:uid="{CE1F8D3C-24E6-CE4C-AE33-F49B2285F3DF}">
      <text>
        <r>
          <rPr>
            <sz val="10"/>
            <color rgb="FF000000"/>
            <rFont val="Aptos Narrow"/>
            <scheme val="minor"/>
          </rPr>
          <t>======
ID#AAABjx7qR90
    (2025-05-21 11:33:25)
客人自取</t>
        </r>
      </text>
    </comment>
    <comment ref="H5448" authorId="0" shapeId="0" xr:uid="{B88DB289-F14F-FF4A-84FB-FE5F34B9C195}">
      <text>
        <r>
          <rPr>
            <sz val="10"/>
            <color rgb="FF000000"/>
            <rFont val="Aptos Narrow"/>
            <scheme val="minor"/>
          </rPr>
          <t>======
ID#AAABjx7qRNg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49" authorId="0" shapeId="0" xr:uid="{381E6B49-D404-C645-9DB1-2461431D3F1E}">
      <text>
        <r>
          <rPr>
            <sz val="10"/>
            <color rgb="FF000000"/>
            <rFont val="Aptos Narrow"/>
            <scheme val="minor"/>
          </rPr>
          <t>======
ID#AAABjx7qSu0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D5450" authorId="0" shapeId="0" xr:uid="{A2073E58-6C2D-994B-8FD1-CF4C86A99D56}">
      <text>
        <r>
          <rPr>
            <sz val="10"/>
            <color rgb="FF000000"/>
            <rFont val="Aptos Narrow"/>
            <scheme val="minor"/>
          </rPr>
          <t>======
ID#AAABjx7qU3E
    (2025-05-21 11:33:26)
CATHY: 20191119 客人新增項目 
11/19 請chloe 下單</t>
        </r>
      </text>
    </comment>
    <comment ref="H5450" authorId="0" shapeId="0" xr:uid="{3A662BED-C32B-6345-A11D-4BF283AFC1D8}">
      <text>
        <r>
          <rPr>
            <sz val="10"/>
            <color rgb="FF000000"/>
            <rFont val="Aptos Narrow"/>
            <scheme val="minor"/>
          </rPr>
          <t>======
ID#AAABjx7qSGI
    (2025-05-21 11:33:26)
Alice:11/14電文通知匯入USD1676 沖PI-20191114002 USD1676 待銀行水單沖帳</t>
        </r>
      </text>
    </comment>
    <comment ref="J5450" authorId="0" shapeId="0" xr:uid="{847E5B46-A435-854B-BC1B-D28C940AC9C8}">
      <text>
        <r>
          <rPr>
            <sz val="10"/>
            <color rgb="FF000000"/>
            <rFont val="Aptos Narrow"/>
            <scheme val="minor"/>
          </rPr>
          <t>======
ID#AAABjx7qO0A
    (2025-05-21 11:33:24)
客人自取</t>
        </r>
      </text>
    </comment>
    <comment ref="K5450" authorId="0" shapeId="0" xr:uid="{83AA4610-92B4-D740-B588-3812F2FA3D93}">
      <text>
        <r>
          <rPr>
            <sz val="10"/>
            <color rgb="FF000000"/>
            <rFont val="Aptos Narrow"/>
            <scheme val="minor"/>
          </rPr>
          <t>======
ID#AAABjx7qP_E
    (2025-05-21 11:33:25)
1114 cathy 客人指定出貨時間</t>
        </r>
      </text>
    </comment>
    <comment ref="D5451" authorId="0" shapeId="0" xr:uid="{067D61C6-F93C-8447-A889-0933D78F9380}">
      <text>
        <r>
          <rPr>
            <sz val="10"/>
            <color rgb="FF000000"/>
            <rFont val="Aptos Narrow"/>
            <scheme val="minor"/>
          </rPr>
          <t>======
ID#AAABjx7qNIw
    (2025-05-21 11:33:23)
CATHY: 20191119 客人新增項目 
11/19 請chloe 下單</t>
        </r>
      </text>
    </comment>
    <comment ref="H5451" authorId="0" shapeId="0" xr:uid="{A652FDAB-269B-4549-BF3D-5AE819249E68}">
      <text>
        <r>
          <rPr>
            <sz val="10"/>
            <color rgb="FF000000"/>
            <rFont val="Aptos Narrow"/>
            <scheme val="minor"/>
          </rPr>
          <t>======
ID#AAABjx7qRVk
    (2025-05-21 11:33:25)
Alice:11/14電文通知匯入USD1676 沖PI-20191114002 USD1676 待銀行水單沖帳</t>
        </r>
      </text>
    </comment>
    <comment ref="J5451" authorId="0" shapeId="0" xr:uid="{08CB32D1-9276-0440-BBF5-E3F040F9B238}">
      <text>
        <r>
          <rPr>
            <sz val="10"/>
            <color rgb="FF000000"/>
            <rFont val="Aptos Narrow"/>
            <scheme val="minor"/>
          </rPr>
          <t>======
ID#AAABjx7qVRc
    (2025-05-21 11:33:27)
客人自取</t>
        </r>
      </text>
    </comment>
    <comment ref="K5451" authorId="0" shapeId="0" xr:uid="{D673B215-BB11-E44A-9BF3-0A430CA9940E}">
      <text>
        <r>
          <rPr>
            <sz val="10"/>
            <color rgb="FF000000"/>
            <rFont val="Aptos Narrow"/>
            <scheme val="minor"/>
          </rPr>
          <t>======
ID#AAABjx7qQl8
    (2025-05-21 11:33:25)
1114 cathy 客人指定出貨時間</t>
        </r>
      </text>
    </comment>
    <comment ref="D5452" authorId="0" shapeId="0" xr:uid="{9269AED8-E514-4540-9D1E-07A1059B33D7}">
      <text>
        <r>
          <rPr>
            <sz val="10"/>
            <color rgb="FF000000"/>
            <rFont val="Aptos Narrow"/>
            <scheme val="minor"/>
          </rPr>
          <t>======
ID#AAABjx7qNNA
    (2025-05-21 11:33:23)
CATHY: 20191119 客人新增項目 
11/19 請chloe 下單</t>
        </r>
      </text>
    </comment>
    <comment ref="H5452" authorId="0" shapeId="0" xr:uid="{9A02025D-2326-C949-BAD3-2C77F456F697}">
      <text>
        <r>
          <rPr>
            <sz val="10"/>
            <color rgb="FF000000"/>
            <rFont val="Aptos Narrow"/>
            <scheme val="minor"/>
          </rPr>
          <t>======
ID#AAABjx7qNCg
    (2025-05-21 11:33:23)
Alice:11/14電文通知匯入USD1676 沖PI-20191114002 USD1676 待銀行水單沖帳</t>
        </r>
      </text>
    </comment>
    <comment ref="J5452" authorId="0" shapeId="0" xr:uid="{03726ADC-AABA-6A4C-B1F1-CA467EF92C01}">
      <text>
        <r>
          <rPr>
            <sz val="10"/>
            <color rgb="FF000000"/>
            <rFont val="Aptos Narrow"/>
            <scheme val="minor"/>
          </rPr>
          <t>======
ID#AAABjx7qSO0
    (2025-05-21 11:33:26)
客人自取</t>
        </r>
      </text>
    </comment>
    <comment ref="K5452" authorId="0" shapeId="0" xr:uid="{CBA14F03-698B-D64F-BEC6-B516E639786D}">
      <text>
        <r>
          <rPr>
            <sz val="10"/>
            <color rgb="FF000000"/>
            <rFont val="Aptos Narrow"/>
            <scheme val="minor"/>
          </rPr>
          <t>======
ID#AAABjx7qQlg
    (2025-05-21 11:33:25)
1114 cathy 客人指定出貨時間</t>
        </r>
      </text>
    </comment>
    <comment ref="D5453" authorId="0" shapeId="0" xr:uid="{13B9066C-151C-E146-82DD-90B8347647D2}">
      <text>
        <r>
          <rPr>
            <sz val="10"/>
            <color rgb="FF000000"/>
            <rFont val="Aptos Narrow"/>
            <scheme val="minor"/>
          </rPr>
          <t>======
ID#AAABjx7qVtw
    (2025-05-21 11:33:27)
cathy: 11/19請chloe 下單</t>
        </r>
      </text>
    </comment>
    <comment ref="E5453" authorId="0" shapeId="0" xr:uid="{9555ED64-447A-AC42-830A-66E51DF5AACB}">
      <text>
        <r>
          <rPr>
            <sz val="10"/>
            <color rgb="FF000000"/>
            <rFont val="Aptos Narrow"/>
            <scheme val="minor"/>
          </rPr>
          <t>======
ID#AAABjx7qSag
    (2025-05-21 11:33:26)
w/o adapter</t>
        </r>
      </text>
    </comment>
    <comment ref="H5453" authorId="0" shapeId="0" xr:uid="{D3744D06-DA97-8944-A963-F839BDBCC8C7}">
      <text>
        <r>
          <rPr>
            <sz val="10"/>
            <color rgb="FF000000"/>
            <rFont val="Aptos Narrow"/>
            <scheme val="minor"/>
          </rPr>
          <t>======
ID#AAABjx7qP1c
    (2025-05-21 11:33:24)
ALICE:11/21一銀匯入USD1305(含銀行手續費)沖PI-20191119001 USD1305</t>
        </r>
      </text>
    </comment>
    <comment ref="J5453" authorId="0" shapeId="0" xr:uid="{23C66BE5-9B73-C54B-A33D-304B2D62D677}">
      <text>
        <r>
          <rPr>
            <sz val="10"/>
            <color rgb="FF000000"/>
            <rFont val="Aptos Narrow"/>
            <scheme val="minor"/>
          </rPr>
          <t>======
ID#AAABjx7qOLw
    (2025-05-21 11:33:24)
DHL Account Number : 956287207 for Freight ( AVIHS Technologies )</t>
        </r>
      </text>
    </comment>
    <comment ref="D5454" authorId="0" shapeId="0" xr:uid="{09D4825A-6DB3-A54B-B507-4A30C4C3CE26}">
      <text>
        <r>
          <rPr>
            <sz val="10"/>
            <color rgb="FF000000"/>
            <rFont val="Aptos Narrow"/>
            <scheme val="minor"/>
          </rPr>
          <t>======
ID#AAABjx7qV4g
    (2025-05-21 11:33:27)
cathy: 11/19請chloe 下單</t>
        </r>
      </text>
    </comment>
    <comment ref="H5454" authorId="0" shapeId="0" xr:uid="{E2C15935-36D0-A844-8889-F6097F030A66}">
      <text>
        <r>
          <rPr>
            <sz val="10"/>
            <color rgb="FF000000"/>
            <rFont val="Aptos Narrow"/>
            <scheme val="minor"/>
          </rPr>
          <t>======
ID#AAABjx7qV1Y
    (2025-05-21 11:33:27)
ALICE:11/21一銀匯入USD1305(含銀行手續費)沖PI-20191119001 USD1305</t>
        </r>
      </text>
    </comment>
    <comment ref="J5454" authorId="0" shapeId="0" xr:uid="{80C2E29B-C889-114F-B711-15FAEF41535C}">
      <text>
        <r>
          <rPr>
            <sz val="10"/>
            <color rgb="FF000000"/>
            <rFont val="Aptos Narrow"/>
            <scheme val="minor"/>
          </rPr>
          <t>======
ID#AAABjx7qNhM
    (2025-05-21 11:33:23)
DHL Account Number : 956287207 for Freight ( AVIHS Technologies )</t>
        </r>
      </text>
    </comment>
    <comment ref="E5455" authorId="0" shapeId="0" xr:uid="{1DF34074-D5FE-404C-892F-9AEAD1829EF0}">
      <text>
        <r>
          <rPr>
            <sz val="10"/>
            <color rgb="FF000000"/>
            <rFont val="Aptos Narrow"/>
            <scheme val="minor"/>
          </rPr>
          <t>======
ID#AAABjx7qSCc
    (2025-05-21 11:33:25)
搭配歐規電源</t>
        </r>
      </text>
    </comment>
    <comment ref="H5455" authorId="0" shapeId="0" xr:uid="{A1DB53B0-E692-CF4B-A268-DE688B7EF757}">
      <text>
        <r>
          <rPr>
            <sz val="10"/>
            <color rgb="FF000000"/>
            <rFont val="Aptos Narrow"/>
            <scheme val="minor"/>
          </rPr>
          <t>======
ID#AAABjx7qOf0
    (2025-05-21 11:33:24)
ALICE:1/30一銀收到KH匯入USD2352(內含手續費USD26.62)沖PI-20191115001 USD709+PI-20191115002 USD75+PI-20191120002 USD150+PI-20191123002 USD870+PI-20191224001 USD411+PI-20191216001 USD137)</t>
        </r>
      </text>
    </comment>
    <comment ref="H5456" authorId="0" shapeId="0" xr:uid="{E2ECEBE0-E117-3640-BC1A-868BCE48DD4F}">
      <text>
        <r>
          <rPr>
            <sz val="10"/>
            <color rgb="FF000000"/>
            <rFont val="Aptos Narrow"/>
            <scheme val="minor"/>
          </rPr>
          <t>======
ID#AAABjx7qOYE
    (2025-05-21 11:33:24)
ALICE:11/28匯入USD7843沖PI-20191007010 USD78+PI-20191007011 USD546+PI-2019111202 USD4818+PI-20191112003 USD1606+PI-20191122001 USD795(1218中的795)總沖USD7843元整 與老大確認先沖這幾筆，因客戶匯款電文中未指定沖哪筆
10/24-玉山水單收到Anteor-SARL匯入款USD13256(如附件) ，沖PI-2019100701明細如下，其中發現PI-20191007010 USD735被改為PI-20191007011 USD427 結餘客戶多付的308(改掛沖PI-20191122001 USD308(1218) 故PI-20191122001 USD1218已沖795+308=1103 故尚餘USD115未收
12/12-因PI-20191112002原訂單總額USD4818後來改價為USD4686故多收的USD132拿來沖PI-20191122001 USD132 故USD61中餘尚USD44未收</t>
        </r>
      </text>
    </comment>
    <comment ref="H5457" authorId="0" shapeId="0" xr:uid="{D0402940-E055-C74C-9357-80998359845B}">
      <text>
        <r>
          <rPr>
            <sz val="10"/>
            <color rgb="FF000000"/>
            <rFont val="Aptos Narrow"/>
            <scheme val="minor"/>
          </rPr>
          <t>======
ID#AAABjx7qTUM
    (2025-05-21 11:33:26)
在此輸入
12/12-因PI-20191112002原訂單總額USD4818後來改價為USD4686故多收的USD132拿來沖PI-20191122001 USD132 故USD61中餘尚USD44未收
12/25老大mail未收usd44直接手續費作掉沖銷</t>
        </r>
      </text>
    </comment>
    <comment ref="G5458" authorId="0" shapeId="0" xr:uid="{9A86D233-2F58-8B41-A61D-D40397BD6377}">
      <text>
        <r>
          <rPr>
            <sz val="10"/>
            <color rgb="FF000000"/>
            <rFont val="Aptos Narrow"/>
            <scheme val="minor"/>
          </rPr>
          <t>======
ID#AAABjx7qN30
    (2025-05-21 11:33:23)
190718 Tammy: w/5%</t>
        </r>
      </text>
    </comment>
    <comment ref="H5458" authorId="0" shapeId="0" xr:uid="{4183AB5E-740D-7045-90EF-EED72B75155C}">
      <text>
        <r>
          <rPr>
            <sz val="10"/>
            <color rgb="FF000000"/>
            <rFont val="Aptos Narrow"/>
            <scheme val="minor"/>
          </rPr>
          <t>======
ID#AAABjx7qV84
    (2025-05-21 11:33:27)
12/30-第一銀行收款NT43191</t>
        </r>
      </text>
    </comment>
    <comment ref="H5459" authorId="0" shapeId="0" xr:uid="{CA8B698E-CA5E-6E47-A402-BC57797E09F7}">
      <text>
        <r>
          <rPr>
            <sz val="10"/>
            <color rgb="FF000000"/>
            <rFont val="Aptos Narrow"/>
            <scheme val="minor"/>
          </rPr>
          <t>======
ID#AAABjx7qQTs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60" authorId="0" shapeId="0" xr:uid="{6F446B08-6E7B-5742-92CA-43938667E5AF}">
      <text>
        <r>
          <rPr>
            <sz val="10"/>
            <color rgb="FF000000"/>
            <rFont val="Aptos Narrow"/>
            <scheme val="minor"/>
          </rPr>
          <t>======
ID#AAABjx7qQz8
    (2025-05-21 11:33:25)
ALICE:1/30一銀收到KH匯入USD2352(內含手續費USD26.62)沖PI-20191115001 USD709+PI-20191115002 USD75+PI-20191120002 USD150+PI-20191123002 USD870+PI-20191224001 USD411+PI-20191216001 USD137)</t>
        </r>
      </text>
    </comment>
    <comment ref="H5461" authorId="0" shapeId="0" xr:uid="{AA26C042-EFB0-F147-8149-186830CAF0B5}">
      <text>
        <r>
          <rPr>
            <sz val="10"/>
            <color rgb="FF000000"/>
            <rFont val="Aptos Narrow"/>
            <scheme val="minor"/>
          </rPr>
          <t>======
ID#AAABjx7qTIk
    (2025-05-21 11:33:26)
ALICE:2020/01/07合庫NT匯入NT37761沖PI-20191125001 NT16007+PI-20191001A NT21784(147153) 故PI-20191001A尚餘NT125369未收</t>
        </r>
      </text>
    </comment>
    <comment ref="E5462" authorId="0" shapeId="0" xr:uid="{F1E884D2-FB94-9B4F-9ECC-1D2CB39A8756}">
      <text>
        <r>
          <rPr>
            <sz val="10"/>
            <color rgb="FF000000"/>
            <rFont val="Aptos Narrow"/>
            <scheme val="minor"/>
          </rPr>
          <t>======
ID#AAABjx7qTYY
    (2025-05-21 11:33:26)
191128 內含的CBL-M25M9x2-50,要請Bank依客人的pin define重工</t>
        </r>
      </text>
    </comment>
    <comment ref="H5462" authorId="0" shapeId="0" xr:uid="{20A253D0-0E64-414A-9E87-FC61649296DA}">
      <text>
        <r>
          <rPr>
            <sz val="10"/>
            <color rgb="FF000000"/>
            <rFont val="Aptos Narrow"/>
            <scheme val="minor"/>
          </rPr>
          <t>======
ID#AAABjx7qPbY
    (2025-05-21 11:33:24)
ALICE:1/20-第一USD收款USD1308(手續費0)沖PI-20191203001 USD77+PI-20191126001 USD1231 總計USD1308元整</t>
        </r>
      </text>
    </comment>
    <comment ref="H5463" authorId="0" shapeId="0" xr:uid="{A3FA8257-236E-CB48-90FD-49A507B65241}">
      <text>
        <r>
          <rPr>
            <sz val="10"/>
            <color rgb="FF000000"/>
            <rFont val="Aptos Narrow"/>
            <scheme val="minor"/>
          </rPr>
          <t>======
ID#AAABjx7qVwo
    (2025-05-21 11:33:27)
ALICE:1/20-第一USD收款USD1308(手續費0)沖PI-20191203001 USD77+PI-20191126001 USD1231 總計USD1308元整</t>
        </r>
      </text>
    </comment>
    <comment ref="H5464" authorId="0" shapeId="0" xr:uid="{BF0EC7D5-B9B6-0B48-8874-44E2192CB9B0}">
      <text>
        <r>
          <rPr>
            <sz val="10"/>
            <color rgb="FF000000"/>
            <rFont val="Aptos Narrow"/>
            <scheme val="minor"/>
          </rPr>
          <t>======
ID#AAABjx7qSBg
    (2025-05-21 11:33:25)
ALICE:1/20-第一USD收款USD1308(手續費0)沖PI-20191203001 USD77+PI-20191126001 USD1231 總計USD1308元整</t>
        </r>
      </text>
    </comment>
    <comment ref="H5465" authorId="0" shapeId="0" xr:uid="{C6F4E6B6-CC0F-7241-8891-D06A7000B754}">
      <text>
        <r>
          <rPr>
            <sz val="10"/>
            <color rgb="FF000000"/>
            <rFont val="Aptos Narrow"/>
            <scheme val="minor"/>
          </rPr>
          <t>======
ID#AAABjx7qQik
    (2025-05-21 11:33:25)
ALICE:1/20-第一USD收款USD1308(手續費0)沖PI-20191203001 USD77+PI-20191126001 USD1231 總計USD1308元整</t>
        </r>
      </text>
    </comment>
    <comment ref="H5466" authorId="0" shapeId="0" xr:uid="{4C418097-3A8E-4B45-9169-A3501A3F018B}">
      <text>
        <r>
          <rPr>
            <sz val="10"/>
            <color rgb="FF000000"/>
            <rFont val="Aptos Narrow"/>
            <scheme val="minor"/>
          </rPr>
          <t>======
ID#AAABjx7qSU0
    (2025-05-21 11:33:26)
ALICE:1/20-第一USD收款USD1308(手續費0)沖PI-20191203001 USD77+PI-20191126001 USD1231 總計USD1308元整</t>
        </r>
      </text>
    </comment>
    <comment ref="H5467" authorId="0" shapeId="0" xr:uid="{73154B07-A880-D747-9844-552B69344795}">
      <text>
        <r>
          <rPr>
            <sz val="10"/>
            <color rgb="FF000000"/>
            <rFont val="Aptos Narrow"/>
            <scheme val="minor"/>
          </rPr>
          <t>======
ID#AAABjx7qUrg
    (2025-05-21 11:33:26)
ALICE:1/20-第一USD收款USD1308(手續費0)沖PI-20191203001 USD77+PI-20191126001 USD1231 總計USD1308元整</t>
        </r>
      </text>
    </comment>
    <comment ref="E5468" authorId="0" shapeId="0" xr:uid="{F83F5A31-39B4-5D44-B91A-A27651087967}">
      <text>
        <r>
          <rPr>
            <sz val="10"/>
            <color rgb="FF000000"/>
            <rFont val="Aptos Narrow"/>
            <scheme val="minor"/>
          </rPr>
          <t>======
ID#AAABjx7qWbs
    (2025-05-21 11:33:27)
0313 chloe: 戎克備有庫存，見半成品庫存表</t>
        </r>
      </text>
    </comment>
    <comment ref="H5468" authorId="0" shapeId="0" xr:uid="{12C348E1-79F1-BB40-B83B-6BEE71160DE3}">
      <text>
        <r>
          <rPr>
            <sz val="10"/>
            <color rgb="FF000000"/>
            <rFont val="Aptos Narrow"/>
            <scheme val="minor"/>
          </rPr>
          <t>======
ID#AAABjx7qRAo
    (2025-05-21 11:33:25)
ALICE:1/20-第一USD收款USD1308(手續費0)沖PI-20191203001 USD77+PI-20191126001 USD1231 總計USD1308元整</t>
        </r>
      </text>
    </comment>
    <comment ref="H5469" authorId="0" shapeId="0" xr:uid="{C1130EA3-6D44-C843-85D3-E0565E2DCDA5}">
      <text>
        <r>
          <rPr>
            <sz val="10"/>
            <color rgb="FF000000"/>
            <rFont val="Aptos Narrow"/>
            <scheme val="minor"/>
          </rPr>
          <t>======
ID#AAABjx7qM38
    (2025-05-21 11:33:23)
ALICE:1/20-第一USD收款USD1308(手續費0)沖PI-20191203001 USD77+PI-20191126001 USD1231 總計USD1308元整</t>
        </r>
      </text>
    </comment>
    <comment ref="H5470" authorId="0" shapeId="0" xr:uid="{BF2D5A79-7495-544B-B11E-2B5DEF71AD20}">
      <text>
        <r>
          <rPr>
            <sz val="10"/>
            <color rgb="FF000000"/>
            <rFont val="Aptos Narrow"/>
            <scheme val="minor"/>
          </rPr>
          <t>======
ID#AAABjx7qSRo
    (2025-05-21 11:33:26)
ALICE:1/20-第一USD收款USD1308(手續費0)沖PI-20191203001 USD77+PI-20191126001 USD1231 總計USD1308元整</t>
        </r>
      </text>
    </comment>
    <comment ref="H5471" authorId="0" shapeId="0" xr:uid="{210BE431-CBB2-C24E-91AB-99A69D91CD98}">
      <text>
        <r>
          <rPr>
            <sz val="10"/>
            <color rgb="FF000000"/>
            <rFont val="Aptos Narrow"/>
            <scheme val="minor"/>
          </rPr>
          <t>======
ID#AAABjx7qP58
    (2025-05-21 11:33:24)
ALICE:2/24一銀收到USD12104沖PI-20191127001 USD6784+PI-20191104001 USD2014+PI-20191213001 USD3306</t>
        </r>
      </text>
    </comment>
    <comment ref="H5472" authorId="0" shapeId="0" xr:uid="{03855ED5-4F2B-904D-AFE1-80EE7578AA4E}">
      <text>
        <r>
          <rPr>
            <sz val="10"/>
            <color rgb="FF000000"/>
            <rFont val="Aptos Narrow"/>
            <scheme val="minor"/>
          </rPr>
          <t>======
ID#AAABjx7qU-E
    (2025-05-21 11:33:27)
ALICE:2/24一銀收到USD12104沖PI-20191127001 USD6784+PI-20191104001 USD2014+PI-20191213001 USD3306</t>
        </r>
      </text>
    </comment>
    <comment ref="H5473" authorId="0" shapeId="0" xr:uid="{E2931826-E847-EF4D-8236-4CA789C8D302}">
      <text>
        <r>
          <rPr>
            <sz val="10"/>
            <color rgb="FF000000"/>
            <rFont val="Aptos Narrow"/>
            <scheme val="minor"/>
          </rPr>
          <t>======
ID#AAABjx7qQMM
    (2025-05-21 11:33:25)
ALICE:2/24一銀收到USD12104沖PI-20191127001 USD6784+PI-20191104001 USD2014+PI-20191213001 USD3306</t>
        </r>
      </text>
    </comment>
    <comment ref="H5474" authorId="0" shapeId="0" xr:uid="{F9EC8D8B-F875-5B42-97A5-EA1B66905648}">
      <text>
        <r>
          <rPr>
            <sz val="10"/>
            <color rgb="FF000000"/>
            <rFont val="Aptos Narrow"/>
            <scheme val="minor"/>
          </rPr>
          <t>======
ID#AAABjx7qSIM
    (2025-05-21 11:33:26)
ALICE:2/24一銀收到USD12104沖PI-20191127001 USD6784+PI-20191104001 USD2014+PI-20191213001 USD3306</t>
        </r>
      </text>
    </comment>
    <comment ref="H5475" authorId="0" shapeId="0" xr:uid="{031CFFC0-8919-2940-8008-A51FE57132DD}">
      <text>
        <r>
          <rPr>
            <sz val="10"/>
            <color rgb="FF000000"/>
            <rFont val="Aptos Narrow"/>
            <scheme val="minor"/>
          </rPr>
          <t>======
ID#AAABjx7qQdM
    (2025-05-21 11:33:25)
ALICE:2/24一銀收到USD12104沖PI-20191127001 USD6784+PI-20191104001 USD2014+PI-20191213001 USD3306</t>
        </r>
      </text>
    </comment>
    <comment ref="E5476" authorId="0" shapeId="0" xr:uid="{4003922E-C10B-E248-B1E8-9A15B18328F0}">
      <text>
        <r>
          <rPr>
            <sz val="10"/>
            <color rgb="FF000000"/>
            <rFont val="Aptos Narrow"/>
            <scheme val="minor"/>
          </rPr>
          <t>======
ID#AAABjx7qRjI
    (2025-05-21 11:33:25)
11/27 通知客人RMA品送貨地址不完整，酌收費NTD 389</t>
        </r>
      </text>
    </comment>
    <comment ref="H5476" authorId="0" shapeId="0" xr:uid="{2ED09719-76EB-6740-9CFC-0442AD4DAA8D}">
      <text>
        <r>
          <rPr>
            <sz val="10"/>
            <color rgb="FF000000"/>
            <rFont val="Aptos Narrow"/>
            <scheme val="minor"/>
          </rPr>
          <t>======
ID#AAABjx7qPB0
    (2025-05-21 11:33:24)
ALICE:1/7第一銀行USD3228 沖PI-20191007006 1501+PI-20191007007 USD1727+PI-20191128002 USD20總沖USD3248</t>
        </r>
      </text>
    </comment>
    <comment ref="D5483" authorId="0" shapeId="0" xr:uid="{94F615C5-67A9-BC46-9366-B68C49F0C56A}">
      <text>
        <r>
          <rPr>
            <sz val="10"/>
            <color rgb="FF000000"/>
            <rFont val="Aptos Narrow"/>
            <scheme val="minor"/>
          </rPr>
          <t>======
ID#AAABjx7qOqE
    (2025-05-21 11:33:24)
San: 只附3M 膠給客戶就好. 因為膠帶是要貼在LCD上. 非Touch</t>
        </r>
      </text>
    </comment>
    <comment ref="H5483" authorId="0" shapeId="0" xr:uid="{231BAC04-4D14-FA4A-9CCD-CE051FCB948E}">
      <text>
        <r>
          <rPr>
            <sz val="10"/>
            <color rgb="FF000000"/>
            <rFont val="Aptos Narrow"/>
            <scheme val="minor"/>
          </rPr>
          <t>======
ID#AAABjx7qVcw
    (2025-05-21 11:33:27)
ALICE:1/20-第一USD收款USD1308(手續費0)沖PI-20191203001 USD77+PI-20191126001 USD1231 總計USD1308元整</t>
        </r>
      </text>
    </comment>
    <comment ref="H5484" authorId="0" shapeId="0" xr:uid="{61E29240-0D59-4240-8B6B-2C06B849CF47}">
      <text>
        <r>
          <rPr>
            <sz val="10"/>
            <color rgb="FF000000"/>
            <rFont val="Aptos Narrow"/>
            <scheme val="minor"/>
          </rPr>
          <t>======
ID#AAABjx7qVuc
    (2025-05-21 11:33:27)
ALICE:2020/01/08亞郁匯入NT46486沖PI-20191112005 USD270.9+PI-20191205001 USD1169.7+PI-20191211002 USD97.65</t>
        </r>
      </text>
    </comment>
    <comment ref="H5485" authorId="0" shapeId="0" xr:uid="{01A6AA41-E91F-3F4B-AD68-595AEA558D3D}">
      <text>
        <r>
          <rPr>
            <sz val="10"/>
            <color rgb="FF000000"/>
            <rFont val="Aptos Narrow"/>
            <scheme val="minor"/>
          </rPr>
          <t>======
ID#AAABjx7qOeM
    (2025-05-21 11:33:24)
ALICE:2020/01/08亞郁匯入NT46486沖PI-20191112005 USD270.9+PI-20191205001 USD1169.7+PI-20191211002 USD97.65</t>
        </r>
      </text>
    </comment>
    <comment ref="K5485" authorId="0" shapeId="0" xr:uid="{5663FC93-E1C3-A84B-B409-6748EA3A0B2D}">
      <text>
        <r>
          <rPr>
            <sz val="10"/>
            <color rgb="FF000000"/>
            <rFont val="Aptos Narrow"/>
            <scheme val="minor"/>
          </rPr>
          <t>======
ID#AAABjx7qVYQ
    (2025-05-21 11:33:27)
1223yvonne:CHLOE通知送戎克，在寄出給亞郁。</t>
        </r>
      </text>
    </comment>
    <comment ref="E5486" authorId="0" shapeId="0" xr:uid="{CABC2A18-0EEA-964A-AAC3-7FB6B809C66D}">
      <text>
        <r>
          <rPr>
            <sz val="10"/>
            <color rgb="FF000000"/>
            <rFont val="Aptos Narrow"/>
            <scheme val="minor"/>
          </rPr>
          <t>======
ID#AAABjx7qVZ0
    (2025-05-21 11:33:27)
2019年SPS合展</t>
        </r>
      </text>
    </comment>
    <comment ref="G5486" authorId="0" shapeId="0" xr:uid="{64113E45-526F-244A-9105-FA8424952318}">
      <text>
        <r>
          <rPr>
            <sz val="10"/>
            <color rgb="FF000000"/>
            <rFont val="Aptos Narrow"/>
            <scheme val="minor"/>
          </rPr>
          <t>======
ID#AAABjx7qTO0
Amy pass 資料    (2025-05-21 11:33:26)
NTD 19,213 (美金 Rate: 31.57)+ 52 歐 -2pcs 通行證 (rate: 34) NTD 1,768,
TOTAL 向TPM收 NTD21,069</t>
        </r>
      </text>
    </comment>
    <comment ref="H5486" authorId="0" shapeId="0" xr:uid="{6DEB4882-BA56-9F46-82A1-9AD6B2474E5E}">
      <text>
        <r>
          <rPr>
            <sz val="10"/>
            <color rgb="FF000000"/>
            <rFont val="Aptos Narrow"/>
            <scheme val="minor"/>
          </rPr>
          <t>======
ID#AAABjx7qQ7o
Amy pass 資料    (2025-05-21 11:33:25)
NTD 19,213 (美金 Rate: 31.57)+ 52 歐 -2pcs 通行證 (rate: 34) NTD 1,768,TOTAL NTD21,069
ALICE:12/20-匯入一銀65019+73332沖PI-20191211001+PI-20191213002</t>
        </r>
      </text>
    </comment>
    <comment ref="E5487" authorId="0" shapeId="0" xr:uid="{C399BD59-B568-9B48-A548-90F44379D455}">
      <text>
        <r>
          <rPr>
            <sz val="10"/>
            <color rgb="FF000000"/>
            <rFont val="Aptos Narrow"/>
            <scheme val="minor"/>
          </rPr>
          <t>======
ID#AAABjx7qVvw
    (2025-05-21 11:33:27)
2019年SPS合展</t>
        </r>
      </text>
    </comment>
    <comment ref="G5487" authorId="0" shapeId="0" xr:uid="{C6665A22-5CA0-7A48-92B9-6B007CCE0AE2}">
      <text>
        <r>
          <rPr>
            <sz val="10"/>
            <color rgb="FF000000"/>
            <rFont val="Aptos Narrow"/>
            <scheme val="minor"/>
          </rPr>
          <t>======
ID#AAABjx7qNMk
    (2025-05-21 11:33:23)
TPM收NTD 43,950
出口 (USD rate 34.1)  ,NTD 22,116/34.1=USD 648.56
進口  (USD rate 34.37) , ,NTD 21,834/34.37=USD 635.26</t>
        </r>
      </text>
    </comment>
    <comment ref="H5487" authorId="0" shapeId="0" xr:uid="{EB350AA1-BDB7-3149-BDF8-4E6417DDB89A}">
      <text>
        <r>
          <rPr>
            <sz val="10"/>
            <color rgb="FF000000"/>
            <rFont val="Aptos Narrow"/>
            <scheme val="minor"/>
          </rPr>
          <t>======
ID#AAABjx7qVJc
    (2025-05-21 11:33:27)
TPM收NTD 43,950
出口 (USD rate 34.1)  ,NTD 22,116/34.1=USD 648.56
進口  (USD rate 34.37) , ,NTD 21,834/34.37=USD 635.26
ALICE:12/20-匯入一銀65019+73332沖PI-20191211001+PI-20191213002</t>
        </r>
      </text>
    </comment>
    <comment ref="H5488" authorId="0" shapeId="0" xr:uid="{DC7F902C-F520-C044-9306-B94BF79CF675}">
      <text>
        <r>
          <rPr>
            <sz val="10"/>
            <color rgb="FF000000"/>
            <rFont val="Aptos Narrow"/>
            <scheme val="minor"/>
          </rPr>
          <t>======
ID#AAABjx7qPBE
    (2025-05-21 11:33:24)
ALICE:2020/01/08亞郁匯入NT46486沖PI-20191112005 USD270.9+PI-20191205001 USD1169.7+PI-20191211002 USD97.65</t>
        </r>
      </text>
    </comment>
    <comment ref="K5488" authorId="0" shapeId="0" xr:uid="{5E4F8EF1-5426-764C-889B-785AA1DCC4E9}">
      <text>
        <r>
          <rPr>
            <sz val="10"/>
            <color rgb="FF000000"/>
            <rFont val="Aptos Narrow"/>
            <scheme val="minor"/>
          </rPr>
          <t>======
ID#AAABjx7qTsw
    (2025-05-21 11:33:26)
1213 chloe: 通知可能會到一月中出貨</t>
        </r>
      </text>
    </comment>
    <comment ref="H5489" authorId="0" shapeId="0" xr:uid="{D37FFBED-BFFB-2347-914B-448EFDDF55DC}">
      <text>
        <r>
          <rPr>
            <sz val="10"/>
            <color rgb="FF000000"/>
            <rFont val="Aptos Narrow"/>
            <scheme val="minor"/>
          </rPr>
          <t>======
ID#AAABjx7qNiw
    (2025-05-21 11:33:23)
ALICE:2/24一銀收到USD12104沖PI-20191127001 USD6784+PI-20191104001 USD2014+PI-20191213001 USD3306</t>
        </r>
      </text>
    </comment>
    <comment ref="H5490" authorId="0" shapeId="0" xr:uid="{15E39941-A9BE-5849-B74F-9A0F7FF7D0F4}">
      <text>
        <r>
          <rPr>
            <sz val="10"/>
            <color rgb="FF000000"/>
            <rFont val="Aptos Narrow"/>
            <scheme val="minor"/>
          </rPr>
          <t>======
ID#AAABjx7qNw4
    (2025-05-21 11:33:23)
ALICE:2/24一銀收到USD12104沖PI-20191127001 USD6784+PI-20191104001 USD2014+PI-20191213001 USD3306</t>
        </r>
      </text>
    </comment>
    <comment ref="H5491" authorId="0" shapeId="0" xr:uid="{B8F00590-F878-A041-AC53-850FD1D82519}">
      <text>
        <r>
          <rPr>
            <sz val="10"/>
            <color rgb="FF000000"/>
            <rFont val="Aptos Narrow"/>
            <scheme val="minor"/>
          </rPr>
          <t>======
ID#AAABjx7qRr0
    (2025-05-21 11:33:25)
ALICE:2/24一銀收到USD12104沖PI-20191127001 USD6784+PI-20191104001 USD2014+PI-20191213001 USD3306</t>
        </r>
      </text>
    </comment>
    <comment ref="E5492" authorId="0" shapeId="0" xr:uid="{29B00348-E000-EE48-939B-BBB689FF6F73}">
      <text>
        <r>
          <rPr>
            <sz val="10"/>
            <color rgb="FF000000"/>
            <rFont val="Aptos Narrow"/>
            <scheme val="minor"/>
          </rPr>
          <t>======
ID#AAABjx7qPKs
    (2025-05-21 11:33:24)
1216yvonne:跟宸曜買線請BANK做好要出貨的線。</t>
        </r>
      </text>
    </comment>
    <comment ref="H5492" authorId="0" shapeId="0" xr:uid="{B9B3492E-1AB9-B448-9231-C5DC623102AA}">
      <text>
        <r>
          <rPr>
            <sz val="10"/>
            <color rgb="FF000000"/>
            <rFont val="Aptos Narrow"/>
            <scheme val="minor"/>
          </rPr>
          <t>======
ID#AAABjx7qNkU
    (2025-05-21 11:33:23)
ALICE:2/24一銀收到USD12104沖PI-20191127001 USD6784+PI-20191104001 USD2014+PI-20191213001 USD3306</t>
        </r>
      </text>
    </comment>
    <comment ref="H5493" authorId="0" shapeId="0" xr:uid="{958DFD8D-25B9-2F44-90D8-E9E04A64F228}">
      <text>
        <r>
          <rPr>
            <sz val="10"/>
            <color rgb="FF000000"/>
            <rFont val="Aptos Narrow"/>
            <scheme val="minor"/>
          </rPr>
          <t>======
ID#AAABjx7qOb4
    (2025-05-21 11:33:24)
ALICE:2/24一銀收到USD12104沖PI-20191127001 USD6784+PI-20191104001 USD2014+PI-20191213001 USD3306</t>
        </r>
      </text>
    </comment>
    <comment ref="H5494" authorId="0" shapeId="0" xr:uid="{4BC28EAC-CF0D-4C41-9094-B30253583573}">
      <text>
        <r>
          <rPr>
            <sz val="10"/>
            <color rgb="FF000000"/>
            <rFont val="Aptos Narrow"/>
            <scheme val="minor"/>
          </rPr>
          <t>======
ID#AAABjx7qPqo
    (2025-05-21 11:33:24)
ALICE:2/24一銀收到USD12104沖PI-20191127001 USD6784+PI-20191104001 USD2014+PI-20191213001 USD3306</t>
        </r>
      </text>
    </comment>
    <comment ref="H5495" authorId="0" shapeId="0" xr:uid="{9931900D-EC0A-F249-B3BF-11D0C9B59594}">
      <text>
        <r>
          <rPr>
            <sz val="10"/>
            <color rgb="FF000000"/>
            <rFont val="Aptos Narrow"/>
            <scheme val="minor"/>
          </rPr>
          <t>======
ID#AAABjx7qNG0
    (2025-05-21 11:33:23)
ALICE:2/24一銀收到USD12104沖PI-20191127001 USD6784+PI-20191104001 USD2014+PI-20191213001 USD3306</t>
        </r>
      </text>
    </comment>
    <comment ref="E5496" authorId="0" shapeId="0" xr:uid="{4D078EDE-8592-4D4B-A6B3-F2A2EC1E626F}">
      <text>
        <r>
          <rPr>
            <sz val="10"/>
            <color rgb="FF000000"/>
            <rFont val="Aptos Narrow"/>
            <scheme val="minor"/>
          </rPr>
          <t>======
ID#AAABjx7qVhw
    (2025-05-21 11:33:27)
2020 年 Embedded 攤位費用</t>
        </r>
      </text>
    </comment>
    <comment ref="G5496" authorId="0" shapeId="0" xr:uid="{D202E60F-EA10-254B-AA64-835A11B78230}">
      <text>
        <r>
          <rPr>
            <sz val="10"/>
            <color rgb="FF000000"/>
            <rFont val="Aptos Narrow"/>
            <scheme val="minor"/>
          </rPr>
          <t>======
ID#AAABjx7qWTg
    (2025-05-21 11:33:27)
12/13
與TPM 實收NTD 73,332 (未稅2000歐元)
chloe 告知當時匯款匯率抓34.92</t>
        </r>
      </text>
    </comment>
    <comment ref="H5496" authorId="0" shapeId="0" xr:uid="{0AA22E0D-CD56-C843-8AD6-2ED9A120B1BF}">
      <text>
        <r>
          <rPr>
            <sz val="10"/>
            <color rgb="FF000000"/>
            <rFont val="Aptos Narrow"/>
            <scheme val="minor"/>
          </rPr>
          <t>======
ID#AAABjx7qSY0
    (2025-05-21 11:33:26)
12/13
與TPM 實收NTD 73,332 (未稅2000歐元)
chloe 告知當時匯款匯率抓34.92 
ALICE:12/20-匯入一銀65019+73332沖PI-20191211001+PI-20191213002</t>
        </r>
      </text>
    </comment>
    <comment ref="H5497" authorId="0" shapeId="0" xr:uid="{467B4346-334D-0B46-8220-B8BDBE5E5EF1}">
      <text>
        <r>
          <rPr>
            <sz val="10"/>
            <color rgb="FF000000"/>
            <rFont val="Aptos Narrow"/>
            <scheme val="minor"/>
          </rPr>
          <t>======
ID#AAABjx7qSSk
    (2025-05-21 11:33:26)
ALICE:1/30一銀收到KH匯入USD2352(內含手續費USD26.62)沖PI-20191115001 USD709+PI-20191115002 USD75+PI-20191120002 USD150+PI-20191123002 USD870+PI-20191224001 USD411+PI-20191216001 USD137)</t>
        </r>
      </text>
    </comment>
    <comment ref="D5498" authorId="0" shapeId="0" xr:uid="{708F63F6-A13A-6C40-AEEF-4D782077F9B7}">
      <text>
        <r>
          <rPr>
            <sz val="10"/>
            <color rgb="FF000000"/>
            <rFont val="Aptos Narrow"/>
            <scheme val="minor"/>
          </rPr>
          <t>======
ID#AAABjx7qSfE
    (2025-05-21 11:33:26)
20191218 請Yvonne 下單</t>
        </r>
      </text>
    </comment>
    <comment ref="H5498" authorId="0" shapeId="0" xr:uid="{BCCF38E1-9E4A-B84F-B427-9A03BEF1F807}">
      <text>
        <r>
          <rPr>
            <sz val="10"/>
            <color rgb="FF000000"/>
            <rFont val="Aptos Narrow"/>
            <scheme val="minor"/>
          </rPr>
          <t>======
ID#AAABjx7qR8I
    (2025-05-21 11:33:25)
ALICE:12/24電文通知匯入款USD909(已內含手續費)沖PI20191218001 USD924故尚餘USD15元未收</t>
        </r>
      </text>
    </comment>
    <comment ref="D5499" authorId="0" shapeId="0" xr:uid="{0DAE0E44-803A-9C49-873B-194F2D0137C6}">
      <text>
        <r>
          <rPr>
            <sz val="10"/>
            <color rgb="FF000000"/>
            <rFont val="Aptos Narrow"/>
            <scheme val="minor"/>
          </rPr>
          <t>======
ID#AAABjx7qTIs
    (2025-05-21 11:33:26)
20191218 請Yvonne 下單</t>
        </r>
      </text>
    </comment>
    <comment ref="H5499" authorId="0" shapeId="0" xr:uid="{5B21B386-02CE-5542-B91C-C33527B57C18}">
      <text>
        <r>
          <rPr>
            <sz val="10"/>
            <color rgb="FF000000"/>
            <rFont val="Aptos Narrow"/>
            <scheme val="minor"/>
          </rPr>
          <t>======
ID#AAABjx7qOfw
    (2025-05-21 11:33:24)
ALICE:12/24電文通知匯入款USD909(已內含手續費)沖PI20191218001 USD924故尚餘USD15元未收</t>
        </r>
      </text>
    </comment>
    <comment ref="D5500" authorId="0" shapeId="0" xr:uid="{BAC5BDBA-6B68-7345-A7D1-5ECE00837B01}">
      <text>
        <r>
          <rPr>
            <sz val="10"/>
            <color rgb="FF000000"/>
            <rFont val="Aptos Narrow"/>
            <scheme val="minor"/>
          </rPr>
          <t>======
ID#AAABjx7qWL8
    (2025-05-21 11:33:27)
20191218 請Yvonne 下單</t>
        </r>
      </text>
    </comment>
    <comment ref="H5500" authorId="0" shapeId="0" xr:uid="{A7F8A6FD-9073-8447-92B8-5FF63113F794}">
      <text>
        <r>
          <rPr>
            <sz val="10"/>
            <color rgb="FF000000"/>
            <rFont val="Aptos Narrow"/>
            <scheme val="minor"/>
          </rPr>
          <t>======
ID#AAABjx7qSOc
    (2025-05-21 11:33:26)
ALICE:12/24電文通知匯入款USD909(已內含手續費)沖PI20191218001 USD924故尚餘USD15元未收</t>
        </r>
      </text>
    </comment>
    <comment ref="H5501" authorId="0" shapeId="0" xr:uid="{C6C7E6AF-B0EA-EA4D-87F2-2E1853D8D2B6}">
      <text>
        <r>
          <rPr>
            <sz val="10"/>
            <color rgb="FF000000"/>
            <rFont val="Aptos Narrow"/>
            <scheme val="minor"/>
          </rPr>
          <t>======
ID#AAABjx7qV20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H5502" authorId="0" shapeId="0" xr:uid="{9F47D8DB-A995-024F-92C5-C37F610E25B4}">
      <text>
        <r>
          <rPr>
            <sz val="10"/>
            <color rgb="FF000000"/>
            <rFont val="Aptos Narrow"/>
            <scheme val="minor"/>
          </rPr>
          <t>======
ID#AAABjx7qWao
    (2025-05-21 11:33:27)
ALICE:1/30一銀收到KH匯入USD2352(內含手續費USD26.62)沖PI-20191115001 USD709+PI-20191115002 USD75+PI-20191120002 USD150+PI-20191123002 USD870+PI-20191224001 USD411+PI-20191216001 USD137)</t>
        </r>
      </text>
    </comment>
    <comment ref="G5550" authorId="0" shapeId="0" xr:uid="{B0495C69-D0F9-2C43-BEC1-31FFBFDD45F1}">
      <text>
        <r>
          <rPr>
            <sz val="10"/>
            <color rgb="FF000000"/>
            <rFont val="Aptos Narrow"/>
            <scheme val="minor"/>
          </rPr>
          <t>======
ID#AAABjx7qRXE
    (2025-05-21 11:33:25)
150818 Karen: w/o adapter (同前票訂單)</t>
        </r>
      </text>
    </comment>
    <comment ref="G5551" authorId="0" shapeId="0" xr:uid="{53A9F690-BA23-1A4F-84D3-1CABDDEBA99C}">
      <text>
        <r>
          <rPr>
            <sz val="10"/>
            <color rgb="FF000000"/>
            <rFont val="Aptos Narrow"/>
            <scheme val="minor"/>
          </rPr>
          <t>======
ID#AAABjx7qRPk
    (2025-05-21 11:33:25)
150917 Karen: 下單EU ADAPTER</t>
        </r>
      </text>
    </comment>
    <comment ref="G5557" authorId="0" shapeId="0" xr:uid="{F0F25BAC-4C10-D84B-87A8-AAEEA1602C51}">
      <text>
        <r>
          <rPr>
            <sz val="10"/>
            <color rgb="FF000000"/>
            <rFont val="Aptos Narrow"/>
            <scheme val="minor"/>
          </rPr>
          <t>======
ID#AAABjx7qSkU
    (2025-05-21 11:33:26)
151105 Karen: w/o adapter (同前票訂單)</t>
        </r>
      </text>
    </comment>
    <comment ref="E5633" authorId="0" shapeId="0" xr:uid="{B92CE423-AABB-CA49-B0DB-34DD73924E38}">
      <text>
        <r>
          <rPr>
            <sz val="10"/>
            <color rgb="FF000000"/>
            <rFont val="Aptos Narrow"/>
            <scheme val="minor"/>
          </rPr>
          <t>======
ID#AAABjx7qRi8
    (2025-05-21 11:33:25)
每月1日-遇假日遞延
(台銀收盤即期買進賣出/2)</t>
        </r>
      </text>
    </comment>
    <comment ref="F5633" authorId="0" shapeId="0" xr:uid="{7F48A629-FB9D-8542-AF16-CAE70A129962}">
      <text>
        <r>
          <rPr>
            <sz val="10"/>
            <color rgb="FF000000"/>
            <rFont val="Aptos Narrow"/>
            <scheme val="minor"/>
          </rPr>
          <t>======
ID#AAABjx7qRs0
    (2025-05-21 11:33:25)
每月15日-遇假日遞延
(台銀收盤即期買進賣出/2)</t>
        </r>
      </text>
    </comment>
    <comment ref="E5654" authorId="0" shapeId="0" xr:uid="{00000000-0006-0000-0000-00006C000000}">
      <text>
        <r>
          <rPr>
            <sz val="10"/>
            <color rgb="FF000000"/>
            <rFont val="Aptos Narrow"/>
            <scheme val="minor"/>
          </rPr>
          <t>======
ID#AAABjx7qOiM
    (2025-05-21 11:33:24)
每月1日-遇假日遞延
(台銀收盤即期買進賣出/2)</t>
        </r>
      </text>
    </comment>
    <comment ref="F5654" authorId="0" shapeId="0" xr:uid="{00000000-0006-0000-0000-00007F000000}">
      <text>
        <r>
          <rPr>
            <sz val="10"/>
            <color rgb="FF000000"/>
            <rFont val="Aptos Narrow"/>
            <scheme val="minor"/>
          </rPr>
          <t>======
ID#AAABjx7qN1c
    (2025-05-21 11:33:23)
每月15日-遇假日遞延
(台銀收盤即期買進賣出/2)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AQlzPq/Xg6WL0ZniLfqsZ4hnw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" authorId="0" shapeId="0" xr:uid="{00000000-0006-0000-0A00-000001000000}">
      <text>
        <r>
          <rPr>
            <sz val="10"/>
            <color rgb="FF000000"/>
            <rFont val="Aptos Narrow"/>
            <scheme val="minor"/>
          </rPr>
          <t>======
ID#AAABjx7qQKQ
0314 Santiago    (2025-05-21 11:33:25)
1. US$100,0000
2. 未必有合作機會. 故先不列入額度</t>
        </r>
      </text>
    </comment>
    <comment ref="D23" authorId="0" shapeId="0" xr:uid="{00000000-0006-0000-0A00-000002000000}">
      <text>
        <r>
          <rPr>
            <sz val="10"/>
            <color rgb="FF000000"/>
            <rFont val="Aptos Narrow"/>
            <scheme val="minor"/>
          </rPr>
          <t>======
ID#AAABjx7qPNE
    (2025-05-21 11:33:24)
1.	We will change the O/A term to US$20,000 before 2019 Oct 1st.
2.	If the purchasing amount will reach 100,000 in 2020 Q2, let's increase it to US$30,000 / 1 months in 2020 July 1st.
3.	If the purchasing amount will reach 150,000 in 2021 Q3, let's increase it to US$40,000 / 1 months in 2021 July 1st.
4.	The above amount includes the placing order amount and shipping amount.
5.	O/A 30 days.
6.	Exclude NRE charge because NRE charge (tooling fee) must be paid next 1~2 weeks upon receiving PO, which is belonged to 4th party.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ISTfgKdbQLmZWLaRa+N1g3ztypA=="/>
    </ext>
  </extLst>
</comments>
</file>

<file path=xl/sharedStrings.xml><?xml version="1.0" encoding="utf-8"?>
<sst xmlns="http://schemas.openxmlformats.org/spreadsheetml/2006/main" count="67581" uniqueCount="14266">
  <si>
    <t xml:space="preserve"> </t>
  </si>
  <si>
    <t>Client 
客戶.</t>
  </si>
  <si>
    <t>PO No.
採購單號</t>
  </si>
  <si>
    <t>PI No.
確認訂單</t>
  </si>
  <si>
    <t>Model No.
產品名</t>
  </si>
  <si>
    <t>Q'nty
數量</t>
  </si>
  <si>
    <t>單價
 (含稅)</t>
  </si>
  <si>
    <t>Sales
業務</t>
  </si>
  <si>
    <t>Shipping 
運輸方式</t>
  </si>
  <si>
    <t>Delivery 
出貨日</t>
  </si>
  <si>
    <t>抵達戎克
/客戶</t>
  </si>
  <si>
    <t>Supplier
供應商</t>
  </si>
  <si>
    <t>廠商訂單/工單
(ERP單號)</t>
  </si>
  <si>
    <t>USD成本
單價(未稅)</t>
  </si>
  <si>
    <t>USD 
成本(含稅)</t>
  </si>
  <si>
    <t>台幣NTD
單價(未稅)</t>
  </si>
  <si>
    <t>NTD  
成本(含稅)</t>
  </si>
  <si>
    <t>Vendor Ac No
供應商銀行帳號</t>
  </si>
  <si>
    <t>Ex Pay Date
應付貨款到期日</t>
  </si>
  <si>
    <t>Invoice Date
廠商發票日期</t>
  </si>
  <si>
    <t>Invoice Number
廠商發票號碼</t>
  </si>
  <si>
    <t>Invoice 
廠商發票金額
(含稅)</t>
  </si>
  <si>
    <t>Payment Date
廠商付款確認</t>
  </si>
  <si>
    <t>進出口報關單號/ 客戶發票號碼</t>
  </si>
  <si>
    <t>Tracking No.
寄出快遞單號</t>
  </si>
  <si>
    <t>國內發票匯率</t>
  </si>
  <si>
    <t>Cus Inv Amount
國內客戶發票金額</t>
  </si>
  <si>
    <t xml:space="preserve"> Cus Inv Date
國內客戶發票寄出日</t>
  </si>
  <si>
    <t>國外匯款通知書</t>
  </si>
  <si>
    <t>出口報單匯率</t>
  </si>
  <si>
    <t>應收金額(NT)</t>
  </si>
  <si>
    <t>收款日期</t>
  </si>
  <si>
    <t>實收金額(NT)</t>
  </si>
  <si>
    <t>手續費
(NT)</t>
  </si>
  <si>
    <t>應收帳款狀態</t>
  </si>
  <si>
    <t>訂單狀態</t>
  </si>
  <si>
    <t>類別</t>
  </si>
  <si>
    <t>區域</t>
  </si>
  <si>
    <t>業績獎金計算月份</t>
  </si>
  <si>
    <t>Elektronix
(HATTELAND)</t>
  </si>
  <si>
    <t>PI-20190227I
(PI-20191009005)</t>
  </si>
  <si>
    <t>719_Core™ i7-3612QM
(向捷毅國際購買,交由新漢組裝)</t>
  </si>
  <si>
    <t>Tammy</t>
  </si>
  <si>
    <t>UPS EXPEDITED 1W5651</t>
  </si>
  <si>
    <t>捷毅國際到新漢組裝</t>
  </si>
  <si>
    <t>PO-20190227I-2</t>
  </si>
  <si>
    <t>渣打銀行南崁052-0281
033-53-00017001-5</t>
  </si>
  <si>
    <t>CU0957BF0077</t>
  </si>
  <si>
    <t>1913EESZ8RN</t>
  </si>
  <si>
    <t>已清帳</t>
  </si>
  <si>
    <t>買賣</t>
  </si>
  <si>
    <t>國外</t>
  </si>
  <si>
    <t>19V, 120W AC/DC power adapter w/o power cord (P/N: 7400120019X00)</t>
  </si>
  <si>
    <t>NEXCOM
新漢</t>
  </si>
  <si>
    <t>PO-20190227I-1</t>
  </si>
  <si>
    <t>玉山銀行連城分行0808940013208</t>
  </si>
  <si>
    <t>同AH2</t>
  </si>
  <si>
    <t>同AI2</t>
  </si>
  <si>
    <t>EU power cord (P/N: 60233POW39X00)</t>
  </si>
  <si>
    <r>
      <rPr>
        <sz val="10"/>
        <color rgb="FF000000"/>
        <rFont val="arial,sans,sans-serif"/>
      </rPr>
      <t xml:space="preserve">PI-20190227I
(PI-20191009005)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</si>
  <si>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719_NISE 3600E</t>
  </si>
  <si>
    <t>PI-20190227J
(PI-20191009006)</t>
  </si>
  <si>
    <t>PO-20190227J-2</t>
  </si>
  <si>
    <t>TN57563093</t>
  </si>
  <si>
    <t>同X269</t>
  </si>
  <si>
    <t>PO-20190227J-1</t>
  </si>
  <si>
    <t>同AH6</t>
  </si>
  <si>
    <t>同AI6</t>
  </si>
  <si>
    <r>
      <rPr>
        <sz val="10"/>
        <color rgb="FF000000"/>
        <rFont val="arial,sans,sans-serif"/>
      </rPr>
      <t xml:space="preserve">PI-20190227J
(PI-20191009006)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</si>
  <si>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PI-20190717B
(PI-20191009008)</t>
  </si>
  <si>
    <t>TBC</t>
  </si>
  <si>
    <t>PO-20190717B-2</t>
  </si>
  <si>
    <t>PO-20190717B-1</t>
  </si>
  <si>
    <t>同AH10</t>
  </si>
  <si>
    <t>同AI10</t>
  </si>
  <si>
    <r>
      <rPr>
        <sz val="10"/>
        <color rgb="FF000000"/>
        <rFont val="arial,sans,sans-serif"/>
      </rPr>
      <t xml:space="preserve">PI-20190717B
(PI-20191009008)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</si>
  <si>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Tpole</t>
  </si>
  <si>
    <t>PI-20191014005</t>
  </si>
  <si>
    <t>7006990001
719_FSP120-AHAN2</t>
  </si>
  <si>
    <t>TBD</t>
  </si>
  <si>
    <t>全漢</t>
  </si>
  <si>
    <t>PO-2019103100001</t>
  </si>
  <si>
    <t xml:space="preserve">Comintel  </t>
  </si>
  <si>
    <t>PO00065</t>
  </si>
  <si>
    <t>PI-20191030003</t>
  </si>
  <si>
    <r>
      <rPr>
        <sz val="10"/>
        <color rgb="FF000000"/>
        <rFont val="Arial"/>
        <family val="2"/>
      </rPr>
      <t>719_CFastCard8GB</t>
    </r>
    <r>
      <rPr>
        <sz val="10"/>
        <color rgb="FF0000FF"/>
        <rFont val="Arial"/>
        <family val="2"/>
      </rPr>
      <t xml:space="preserve"> 
w/ Debian 7 pre-installed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(須直接裝在系統內)</t>
    </r>
  </si>
  <si>
    <t>Yvonne</t>
  </si>
  <si>
    <t xml:space="preserve"> TBC</t>
  </si>
  <si>
    <t>2020年3月底前</t>
  </si>
  <si>
    <t>MOXA</t>
  </si>
  <si>
    <t>PO-2019110600002</t>
  </si>
  <si>
    <t>同P878</t>
  </si>
  <si>
    <t>同Q878</t>
  </si>
  <si>
    <t>匯豐台北分行(美金):081-0016
23881029170405</t>
  </si>
  <si>
    <t>同AI875</t>
  </si>
  <si>
    <t>同AJ875</t>
  </si>
  <si>
    <t>719_CBL-M12(FF5P)</t>
  </si>
  <si>
    <t>719_M12XMM8PRJ45</t>
  </si>
  <si>
    <r>
      <rPr>
        <sz val="10"/>
        <color rgb="FF000000"/>
        <rFont val="Arial"/>
        <family val="2"/>
      </rPr>
      <t xml:space="preserve">PI-20191030003
</t>
    </r>
    <r>
      <rPr>
        <b/>
        <sz val="10"/>
        <color rgb="FF000000"/>
        <rFont val="Arial"/>
        <family val="2"/>
      </rPr>
      <t xml:space="preserve">(成品回廠請確認又否安裝CFast Card於內) </t>
    </r>
  </si>
  <si>
    <t>719_V2406A-C2</t>
  </si>
  <si>
    <t>Ti2 Pty Ltd</t>
  </si>
  <si>
    <t>P191101NP0</t>
  </si>
  <si>
    <t>PI-20191104001( FAE Put DRAM Label )</t>
  </si>
  <si>
    <t>RES-3000 (M12) with Intel i7-8665UE</t>
  </si>
  <si>
    <t>AMY</t>
  </si>
  <si>
    <t>Elgens DHL A/C</t>
  </si>
  <si>
    <t>超恩</t>
  </si>
  <si>
    <t>PO-2019110400002</t>
  </si>
  <si>
    <t>719_D4S-8G24H518C2</t>
  </si>
  <si>
    <t>MemxPro敏博
到超恩組裝</t>
  </si>
  <si>
    <t xml:space="preserve">PO-2019110600001 </t>
  </si>
  <si>
    <t>VH37205034</t>
  </si>
  <si>
    <t>719_FES25-010MTS5J4C1  2.5" SSD 1TB</t>
  </si>
  <si>
    <t>同X890</t>
  </si>
  <si>
    <t>719_IP67 Rated DVI Cable</t>
  </si>
  <si>
    <t>719_IP67 Rated USB Cable</t>
  </si>
  <si>
    <t>719_IP67 Rated Ethernet Cable</t>
  </si>
  <si>
    <t>719_IP67 Rated COM Cable</t>
  </si>
  <si>
    <t>SA Electroequip</t>
  </si>
  <si>
    <t>PI-20191108001</t>
  </si>
  <si>
    <t>719_EDS-208A-SS-SC-T</t>
  </si>
  <si>
    <t>PGS Express/
柏域斯</t>
  </si>
  <si>
    <t>PO-2019111100002</t>
  </si>
  <si>
    <t>MAN-1911-129</t>
  </si>
  <si>
    <t>PI-20191112001</t>
  </si>
  <si>
    <t>719_NISE2300-M AtomD2550, incl 4GB RAM, Power adapter(7400065020X00) &amp; European Power cord        
(60233POW39X00) for NISE2300-M</t>
  </si>
  <si>
    <t>新漢</t>
  </si>
  <si>
    <t xml:space="preserve">PO-2019111500004 </t>
  </si>
  <si>
    <t>719_MB-NISE2300-M</t>
  </si>
  <si>
    <t>Aditech</t>
  </si>
  <si>
    <t>PO/IMP/0118</t>
  </si>
  <si>
    <t>PI-20191119002</t>
  </si>
  <si>
    <t>719_CP-168EL-A w/o cable</t>
  </si>
  <si>
    <t>DHL A/C No 
969740245</t>
  </si>
  <si>
    <t>PO-201911200002</t>
  </si>
  <si>
    <t>CX0922300ALF</t>
  </si>
  <si>
    <t>719_CBL-M68M9x8-100</t>
  </si>
  <si>
    <t>同AH29</t>
  </si>
  <si>
    <t>同AI29</t>
  </si>
  <si>
    <t>Aironix</t>
  </si>
  <si>
    <t>PO19000421</t>
  </si>
  <si>
    <t>PI-20191121001</t>
  </si>
  <si>
    <t>719_9999 21.5" touch replacement</t>
  </si>
  <si>
    <t>Cathy</t>
  </si>
  <si>
    <t>TNT # 39443 EXPRESS</t>
  </si>
  <si>
    <t>719-9998 21.5 stainless steel chassis replacement</t>
  </si>
  <si>
    <t>同AH31</t>
  </si>
  <si>
    <t>同AI31</t>
  </si>
  <si>
    <t>PI-20191125002</t>
  </si>
  <si>
    <t>Yvonne/Santiago</t>
  </si>
  <si>
    <t>PO-20191211003</t>
  </si>
  <si>
    <t>719_IKS-6726A-2GTXSFP-24-T</t>
  </si>
  <si>
    <t>PO-20191211002</t>
  </si>
  <si>
    <t>同AH33</t>
  </si>
  <si>
    <t>同AI33</t>
  </si>
  <si>
    <t>719_IM-6700A-2SSC4TX</t>
  </si>
  <si>
    <t>719_IM-6700A-8TX</t>
  </si>
  <si>
    <t>719_NPort S8455I-MM-SC-T</t>
  </si>
  <si>
    <t>PO-20191211001</t>
  </si>
  <si>
    <t>719_NPort 5650I-8-DT</t>
  </si>
  <si>
    <t>719_NPort 5450I-T</t>
  </si>
  <si>
    <t>719_EDS-408A-SS-SC-T</t>
  </si>
  <si>
    <t>719_NPort-5210A-T</t>
  </si>
  <si>
    <t>719_TCC-82</t>
  </si>
  <si>
    <t>719_TCF-142-M-ST</t>
  </si>
  <si>
    <t>719_NPort 5650I-8-DTL-T</t>
  </si>
  <si>
    <t>Anteor</t>
  </si>
  <si>
    <t>20191127-ELG01</t>
  </si>
  <si>
    <t>PI-20191128001</t>
  </si>
  <si>
    <t>LPC-P156WHOB-25SG3</t>
  </si>
  <si>
    <t>Santiago</t>
  </si>
  <si>
    <t xml:space="preserve">DHL: 951629194
EXPRESS </t>
  </si>
  <si>
    <t>CX0922300B63</t>
  </si>
  <si>
    <t>2nd year warranty</t>
  </si>
  <si>
    <t>同AH45</t>
  </si>
  <si>
    <t>同AI45</t>
  </si>
  <si>
    <t>719_D4S-8G24H1G8W1 DDR4 8GB, wide temp</t>
  </si>
  <si>
    <t>敏博</t>
  </si>
  <si>
    <t>戎克庫存</t>
  </si>
  <si>
    <t>PI-20191128003</t>
  </si>
  <si>
    <t>PI-20191203001</t>
  </si>
  <si>
    <t>70080Z0009
BTC013-MHF4-70-500
wifi cable</t>
  </si>
  <si>
    <t>FEDEX Int'l Priority # 20483387</t>
  </si>
  <si>
    <t>亞驪</t>
  </si>
  <si>
    <t>PO-20191204002</t>
  </si>
  <si>
    <t>華南商業銀行板新分行
175-10-0021788</t>
  </si>
  <si>
    <t>PI-20191204001</t>
  </si>
  <si>
    <t>123240
NISE50</t>
  </si>
  <si>
    <t>PI-20191204002</t>
  </si>
  <si>
    <t>20191206-ELG01</t>
  </si>
  <si>
    <t>PI-20191209001</t>
  </si>
  <si>
    <t>PI-20191211003</t>
  </si>
  <si>
    <t>1004700003
719_IB897-I45</t>
  </si>
  <si>
    <t>同AH51</t>
  </si>
  <si>
    <t>同AI51</t>
  </si>
  <si>
    <t xml:space="preserve"> PO19000442</t>
  </si>
  <si>
    <t>PI-20191216002</t>
  </si>
  <si>
    <t xml:space="preserve">719_UPORT 404 </t>
  </si>
  <si>
    <t>TNT # 39443  EXPRESS</t>
  </si>
  <si>
    <t>PO-20191220003</t>
  </si>
  <si>
    <t xml:space="preserve">719_ioLogik E1214-T </t>
  </si>
  <si>
    <r>
      <rPr>
        <sz val="10"/>
        <color rgb="FF000000"/>
        <rFont val="Arial"/>
        <family val="2"/>
      </rPr>
      <t xml:space="preserve"> PO19000442
</t>
    </r>
    <r>
      <rPr>
        <sz val="10"/>
        <color rgb="FFFF0000"/>
        <rFont val="Arial"/>
        <family val="2"/>
      </rPr>
      <t xml:space="preserve">PO20000021
(20200109 客人新增1PCS) </t>
    </r>
  </si>
  <si>
    <t xml:space="preserve">719_MGate MB3180 </t>
  </si>
  <si>
    <t xml:space="preserve">2020/2/7 14 PCS
2020/3/3 17PCS
2020/3/9 1PCS
</t>
  </si>
  <si>
    <t xml:space="preserve">2020/2/4 14 PCS
2020/2/26 17PCS
2020/3/3 1PCS </t>
  </si>
  <si>
    <t>PO-20191220003
PO-20200109001</t>
  </si>
  <si>
    <t>2020/01/30.2020/02/21</t>
  </si>
  <si>
    <t>PO19000458</t>
  </si>
  <si>
    <t>PI-20191216003</t>
  </si>
  <si>
    <t>719_CP-114EL-DB9M</t>
  </si>
  <si>
    <t>719_CP-168EL-A</t>
  </si>
  <si>
    <t xml:space="preserve">719_CBL-M68M9x8-100 </t>
  </si>
  <si>
    <t>NIJKERK Computer Solutions NV</t>
  </si>
  <si>
    <t>IG-19-1300894</t>
  </si>
  <si>
    <t>PI-20191219001</t>
  </si>
  <si>
    <t>719_CP-168EL-A-w/o</t>
  </si>
  <si>
    <t>UPS Express Saver A74-215</t>
  </si>
  <si>
    <t>PO-20191220004</t>
  </si>
  <si>
    <t xml:space="preserve">719_ZZ004 </t>
  </si>
  <si>
    <t>銀行手續費</t>
  </si>
  <si>
    <t>同AH64</t>
  </si>
  <si>
    <t>同AI64</t>
  </si>
  <si>
    <t>亞郁</t>
  </si>
  <si>
    <t>PO201912190022</t>
  </si>
  <si>
    <t>PI-20191220001</t>
  </si>
  <si>
    <t>719_Nport-5130
(us adapter)</t>
  </si>
  <si>
    <t>MOXA直送</t>
  </si>
  <si>
    <t>PO-20191220002</t>
  </si>
  <si>
    <t>Techjoa
科技國</t>
  </si>
  <si>
    <t>PO-191223-1</t>
  </si>
  <si>
    <t>PI-20191224002</t>
  </si>
  <si>
    <t>719_NPort 5650-8-DT w/ European adapter</t>
  </si>
  <si>
    <t>Moxa</t>
  </si>
  <si>
    <t>PO-20191224001</t>
  </si>
  <si>
    <t>PO/IMP/0137</t>
  </si>
  <si>
    <t>PI-20191224003</t>
  </si>
  <si>
    <t xml:space="preserve">719_EDS-205 </t>
  </si>
  <si>
    <t>PO-20191226001</t>
  </si>
  <si>
    <t xml:space="preserve">719_Uport-1150(84733099) </t>
  </si>
  <si>
    <t>PO-20191224003</t>
  </si>
  <si>
    <t>719_NPORT-5150 (84715000) /EU</t>
  </si>
  <si>
    <t>719_Nport-5110 W/EU Adaptor (84715000)</t>
  </si>
  <si>
    <t>PO-20191224004</t>
  </si>
  <si>
    <t>719_UPORT-1130</t>
  </si>
  <si>
    <t xml:space="preserve">PO19000489
</t>
  </si>
  <si>
    <t>PI-20191227001</t>
  </si>
  <si>
    <t>719_NPort-5450I</t>
  </si>
  <si>
    <t xml:space="preserve">Cathy </t>
  </si>
  <si>
    <t>PO-20200107001</t>
  </si>
  <si>
    <t>Itecs (Japan)</t>
  </si>
  <si>
    <t>PO191227-1</t>
  </si>
  <si>
    <t>PI-20191227002</t>
  </si>
  <si>
    <t>719_TPM-68156040002</t>
  </si>
  <si>
    <t>DHL account #  966674875</t>
  </si>
  <si>
    <t>亞磊</t>
  </si>
  <si>
    <t>PO-20191231001</t>
  </si>
  <si>
    <t>銀行:富邦銀行-板橋分行
台幣帳號:721120308296</t>
  </si>
  <si>
    <t>PI-20191230001</t>
  </si>
  <si>
    <t>PGS</t>
  </si>
  <si>
    <t>PO-20191230002</t>
  </si>
  <si>
    <t>PI-20191231001</t>
  </si>
  <si>
    <t>719_ZZ019
DHL Freight (PI-20191127001&amp;PI-20191213001)</t>
  </si>
  <si>
    <t>DHL</t>
  </si>
  <si>
    <t>上旬</t>
  </si>
  <si>
    <t>下旬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</si>
  <si>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</si>
  <si>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1月匯率</t>
  </si>
  <si>
    <t>2月匯率</t>
  </si>
  <si>
    <t>3月匯率</t>
  </si>
  <si>
    <t>4月匯率</t>
  </si>
  <si>
    <t>5月匯率</t>
  </si>
  <si>
    <t>6月匯率</t>
  </si>
  <si>
    <t>7月匯率</t>
  </si>
  <si>
    <t>8月匯率</t>
  </si>
  <si>
    <t>9月匯率</t>
  </si>
  <si>
    <t>10月匯率</t>
  </si>
  <si>
    <t>11月匯率</t>
  </si>
  <si>
    <t>12月匯率</t>
  </si>
  <si>
    <t>日期</t>
  </si>
  <si>
    <t>PI-20180822B</t>
  </si>
  <si>
    <t>719_AU Power cord (SL-16+SL-3)</t>
  </si>
  <si>
    <t>暫放客供料倉</t>
  </si>
  <si>
    <t>GE06187919</t>
  </si>
  <si>
    <t>V</t>
  </si>
  <si>
    <t>已結案</t>
  </si>
  <si>
    <t>專案</t>
  </si>
  <si>
    <t>P180904NP1</t>
  </si>
  <si>
    <t>PI-20180906D</t>
  </si>
  <si>
    <t>719_SPC-3520-300U 
(S/N.Q18A525001~3)</t>
  </si>
  <si>
    <t>ElgensDHL</t>
  </si>
  <si>
    <t>KY38209905</t>
  </si>
  <si>
    <t>719_Din rail bracket</t>
  </si>
  <si>
    <t>719_2 years additional warranty</t>
  </si>
  <si>
    <t>PI-20181017A</t>
  </si>
  <si>
    <t>40021F0001
LPC-P10110TE</t>
  </si>
  <si>
    <t>取消</t>
  </si>
  <si>
    <t>D3SS56161XL12AB</t>
  </si>
  <si>
    <t>PI-20181017B</t>
  </si>
  <si>
    <t>Da</t>
  </si>
  <si>
    <t>P181019NP0</t>
  </si>
  <si>
    <r>
      <rPr>
        <sz val="10"/>
        <color rgb="FF000000"/>
        <rFont val="Arial"/>
        <family val="2"/>
      </rPr>
      <t>PI-20181022C-1
(IQC/DRAM</t>
    </r>
    <r>
      <rPr>
        <sz val="10"/>
        <color rgb="FF000000"/>
        <rFont val="微軟正黑體"/>
        <family val="2"/>
        <charset val="136"/>
      </rPr>
      <t>標籤</t>
    </r>
    <r>
      <rPr>
        <sz val="10"/>
        <color rgb="FF000000"/>
        <rFont val="Arial"/>
        <family val="2"/>
      </rPr>
      <t>)</t>
    </r>
  </si>
  <si>
    <t xml:space="preserve">719_D4S8GHIOFFC </t>
  </si>
  <si>
    <t>Amy</t>
  </si>
  <si>
    <t>JB37420843</t>
  </si>
  <si>
    <t>5月</t>
  </si>
  <si>
    <r>
      <rPr>
        <b/>
        <sz val="10"/>
        <color rgb="FF0000FF"/>
        <rFont val="Arial"/>
        <family val="2"/>
      </rPr>
      <t>PI-20181022C-1
(IQC/DRAM</t>
    </r>
    <r>
      <rPr>
        <b/>
        <sz val="10"/>
        <color rgb="FF0000FF"/>
        <rFont val="微軟正黑體"/>
        <family val="2"/>
        <charset val="136"/>
      </rPr>
      <t>標籤</t>
    </r>
    <r>
      <rPr>
        <b/>
        <sz val="10"/>
        <color rgb="FF0000FF"/>
        <rFont val="Arial"/>
        <family val="2"/>
      </rPr>
      <t>)</t>
    </r>
  </si>
  <si>
    <r>
      <rPr>
        <sz val="10"/>
        <color theme="1"/>
        <rFont val="Arial"/>
        <family val="2"/>
      </rPr>
      <t xml:space="preserve">719_SPC-3520-300U
</t>
    </r>
    <r>
      <rPr>
        <sz val="10"/>
        <color rgb="FF0000FF"/>
        <rFont val="Arial"/>
        <family val="2"/>
      </rPr>
      <t>(S/N:Q18A525005~14)</t>
    </r>
  </si>
  <si>
    <t>MV38071604</t>
  </si>
  <si>
    <t>PI-20181022C-1
(IQC/FAE+DRAM標籤)</t>
  </si>
  <si>
    <t>719_Din rail bracket for SPC-2000</t>
  </si>
  <si>
    <t>PI-20181022C-2
(IQC/FAE+DRAM標籤)</t>
  </si>
  <si>
    <r>
      <rPr>
        <sz val="10"/>
        <color theme="1"/>
        <rFont val="Arial"/>
        <family val="2"/>
      </rPr>
      <t xml:space="preserve">719_SPC-3520-300U
</t>
    </r>
    <r>
      <rPr>
        <sz val="10"/>
        <color rgb="FFFF0000"/>
        <rFont val="Arial"/>
        <family val="2"/>
      </rPr>
      <t>(S/N:Q19A525001~6/Q18A525017~20)</t>
    </r>
  </si>
  <si>
    <t>MV38071629</t>
  </si>
  <si>
    <t>PI-20181026B</t>
  </si>
  <si>
    <t>1001700001
IB970RF V1.1</t>
  </si>
  <si>
    <t>TNT Economy Service 182056</t>
  </si>
  <si>
    <t>MK84254031</t>
  </si>
  <si>
    <t>1001700002
IB970 (standard BIOS)</t>
  </si>
  <si>
    <t>PI-20181031A-2</t>
  </si>
  <si>
    <t>07-ED0-PA90150-RG1A
 RG58 adapter 12V 90W(客供料)</t>
  </si>
  <si>
    <t>KY34928571</t>
  </si>
  <si>
    <t>PO-1642018</t>
  </si>
  <si>
    <t>PI-20181207A-2</t>
  </si>
  <si>
    <t>LY18392924</t>
  </si>
  <si>
    <t>719_IM-6700A-4SSC2TX</t>
  </si>
  <si>
    <t>Elektronix</t>
  </si>
  <si>
    <t>PI-20181210B</t>
  </si>
  <si>
    <t>719_NISE2300-M AtomD2550, incl 4GB RAM</t>
  </si>
  <si>
    <t xml:space="preserve">台灣泛亞班拿股份有限公司 </t>
  </si>
  <si>
    <t>KY34768220</t>
  </si>
  <si>
    <r>
      <rPr>
        <sz val="10"/>
        <color theme="1"/>
        <rFont val="Arial"/>
        <family val="2"/>
      </rPr>
      <t>Power adapter</t>
    </r>
    <r>
      <rPr>
        <sz val="10"/>
        <color rgb="FFFF0000"/>
        <rFont val="Arial"/>
        <family val="2"/>
      </rPr>
      <t>(7400065020X00)</t>
    </r>
    <r>
      <rPr>
        <sz val="10"/>
        <color rgb="FF000000"/>
        <rFont val="Arial"/>
        <family val="2"/>
      </rPr>
      <t xml:space="preserve"> &amp; European Power cord        
</t>
    </r>
    <r>
      <rPr>
        <sz val="10"/>
        <color rgb="FFFF0000"/>
        <rFont val="Arial"/>
        <family val="2"/>
      </rPr>
      <t>(60233POW39X00)</t>
    </r>
    <r>
      <rPr>
        <sz val="10"/>
        <color rgb="FF000000"/>
        <rFont val="Arial"/>
        <family val="2"/>
      </rPr>
      <t xml:space="preserve"> for NISE2300-M</t>
    </r>
  </si>
  <si>
    <t>LA57562165</t>
  </si>
  <si>
    <r>
      <rPr>
        <sz val="10"/>
        <color rgb="FF000000"/>
        <rFont val="arial,sans,sans-serif"/>
      </rPr>
      <t xml:space="preserve">PI-20181210B
</t>
    </r>
    <r>
      <rPr>
        <b/>
        <sz val="10"/>
        <color rgb="FF0000FF"/>
        <rFont val="arial,sans,sans-serif"/>
      </rPr>
      <t>(IQC檢驗CPU)</t>
    </r>
  </si>
  <si>
    <t>Q181212NP0</t>
  </si>
  <si>
    <t>PI-20181212A</t>
  </si>
  <si>
    <t>D4SAGHLPGFC 16GB DDR4 DRAM ( Normal Temp. )</t>
  </si>
  <si>
    <t>JB37420927</t>
  </si>
  <si>
    <t>PWA-120W - 120W, 24V, 90V AC to 264V AC Power Adapter with 3-pin Terminal Block</t>
  </si>
  <si>
    <t>JB38633752</t>
  </si>
  <si>
    <t>Intel® Core i7-6700TE</t>
  </si>
  <si>
    <t>JD77103204</t>
  </si>
  <si>
    <t>Mini PCIe WiFI+Antenna.</t>
  </si>
  <si>
    <t>KY34868151</t>
  </si>
  <si>
    <t>PI-20181212A 
(加DRAM/CPU &amp; 貼紙)</t>
  </si>
  <si>
    <t>Neousys 5006LP - Intel® 6th-Gen Skylake Core i7/i5 Fanless bare bone system
(S/N.J0121049)</t>
  </si>
  <si>
    <t>PI-20181212A-F</t>
  </si>
  <si>
    <t>DHL Freight</t>
  </si>
  <si>
    <t>MD72019337</t>
  </si>
  <si>
    <t>Q181212NP1</t>
  </si>
  <si>
    <t>PI-20181212B
(組裝)</t>
  </si>
  <si>
    <t xml:space="preserve">719_HPCI-14S12U
 </t>
  </si>
  <si>
    <t>KR47862761</t>
  </si>
  <si>
    <t xml:space="preserve">719_APS935XA-EPS12/FSP350-60PFG(EA)
</t>
  </si>
  <si>
    <t>719_RK-610A-W</t>
  </si>
  <si>
    <t>719_Mounting plate (2.5 to 3.5)</t>
  </si>
  <si>
    <t>719_44 pin to 40 converter cable</t>
  </si>
  <si>
    <t>719_IDE cable 45 cm</t>
  </si>
  <si>
    <t>719_AU Power cord(客供料倉)</t>
  </si>
  <si>
    <t>719_Assembly</t>
  </si>
  <si>
    <t>PI-20181212C</t>
  </si>
  <si>
    <t>CRK18121001_A0
USB CABLE</t>
  </si>
  <si>
    <t>7008000004
(AS-25C-RS)</t>
  </si>
  <si>
    <t>KS01353715</t>
  </si>
  <si>
    <t>Q181212NP2</t>
  </si>
  <si>
    <t>PI-20181212D</t>
  </si>
  <si>
    <t>719-Moxa ioLogik E1212
(S/N 請見備註)</t>
  </si>
  <si>
    <t>LY18392925</t>
  </si>
  <si>
    <t>PI-20181212D
(加DRAM &amp; 貼紙)</t>
  </si>
  <si>
    <t>719_DDS8GHIMBFC (0- 85°C)
8G DDR3L SO-DIMM (0- 85°C)</t>
  </si>
  <si>
    <r>
      <rPr>
        <b/>
        <sz val="10"/>
        <color rgb="FF0000FF"/>
        <rFont val="Arial"/>
        <family val="2"/>
      </rPr>
      <t>PI-20181212D
(</t>
    </r>
    <r>
      <rPr>
        <b/>
        <sz val="10"/>
        <color rgb="FF0000FF"/>
        <rFont val="微軟正黑體"/>
        <family val="2"/>
        <charset val="136"/>
      </rPr>
      <t>加</t>
    </r>
    <r>
      <rPr>
        <b/>
        <sz val="10"/>
        <color rgb="FF0000FF"/>
        <rFont val="Arial"/>
        <family val="2"/>
      </rPr>
      <t xml:space="preserve">DRAM &amp; </t>
    </r>
    <r>
      <rPr>
        <b/>
        <sz val="10"/>
        <color rgb="FF0000FF"/>
        <rFont val="微軟正黑體"/>
        <family val="2"/>
        <charset val="136"/>
      </rPr>
      <t>貼紙</t>
    </r>
    <r>
      <rPr>
        <b/>
        <sz val="10"/>
        <color rgb="FF0000FF"/>
        <rFont val="Arial"/>
        <family val="2"/>
      </rPr>
      <t>)</t>
    </r>
  </si>
  <si>
    <t xml:space="preserve">719_POC-210  
(S/N.J0321589~1602, J0321606~1609)*18PCS
(S/N.13911653,13919738)*2PCS(戎克庫存)  </t>
  </si>
  <si>
    <t>KY34868157</t>
  </si>
  <si>
    <t>Jet One
捷毅</t>
  </si>
  <si>
    <t>PI-20181217A</t>
  </si>
  <si>
    <t>CP-132UL-DB9M</t>
  </si>
  <si>
    <t xml:space="preserve"> LY18392770</t>
  </si>
  <si>
    <t>國內</t>
  </si>
  <si>
    <t>Hectronic</t>
  </si>
  <si>
    <t>PI-20181218A</t>
  </si>
  <si>
    <t>CG-070W-AROB</t>
  </si>
  <si>
    <t>UPS /Expedited
: WF1740</t>
  </si>
  <si>
    <t>KY53482978</t>
  </si>
  <si>
    <t>7" LCD Mitsubishi(AA070ME01)</t>
  </si>
  <si>
    <t>330-18120708</t>
  </si>
  <si>
    <t>PI-20181219A</t>
  </si>
  <si>
    <t>7900000062X00 
(719_Uport 404 w/European adapter)</t>
  </si>
  <si>
    <t>LY18393022</t>
  </si>
  <si>
    <t>P181220NP2</t>
  </si>
  <si>
    <r>
      <rPr>
        <b/>
        <sz val="10"/>
        <color rgb="FF0000FF"/>
        <rFont val="Arial"/>
        <family val="2"/>
      </rPr>
      <t>PI-20181221A-1
(IQC+DRAM</t>
    </r>
    <r>
      <rPr>
        <b/>
        <sz val="10"/>
        <color rgb="FF0000FF"/>
        <rFont val="微軟正黑體"/>
        <family val="2"/>
        <charset val="136"/>
      </rPr>
      <t>標籤</t>
    </r>
    <r>
      <rPr>
        <b/>
        <sz val="10"/>
        <color rgb="FF0000FF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</si>
  <si>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719_ECX-1000-2R
</t>
    </r>
    <r>
      <rPr>
        <sz val="10"/>
        <color rgb="FFFF0000"/>
        <rFont val="Arial"/>
        <family val="2"/>
      </rPr>
      <t>S/N.K18G110039~41</t>
    </r>
  </si>
  <si>
    <t>KY38209935</t>
  </si>
  <si>
    <t>PI-20181221A-1
(IQC+DRAM標籤)</t>
  </si>
  <si>
    <t>719_Intel i5-8500T ( Vecow )</t>
  </si>
  <si>
    <t xml:space="preserve">719_D4S8GHLOFEC DDR4 8G </t>
  </si>
  <si>
    <t>PO-20180514A -3已付款</t>
  </si>
  <si>
    <t>PI-20181221A-2
(IQC+DRAM標籤)</t>
  </si>
  <si>
    <t>MV38071624</t>
  </si>
  <si>
    <t>4月</t>
  </si>
  <si>
    <r>
      <rPr>
        <sz val="10"/>
        <color rgb="FF000000"/>
        <rFont val="Arial"/>
        <family val="2"/>
      </rPr>
      <t xml:space="preserve">719_ECX-1000-2R
</t>
    </r>
    <r>
      <rPr>
        <sz val="10"/>
        <color rgb="FFFF0000"/>
        <rFont val="Arial"/>
        <family val="2"/>
      </rPr>
      <t>S/N.K18G110054~56</t>
    </r>
  </si>
  <si>
    <t>ALCOM</t>
  </si>
  <si>
    <t>PO138611-1</t>
  </si>
  <si>
    <t>PI-20181224A</t>
  </si>
  <si>
    <t>719_CP-118EL-A</t>
  </si>
  <si>
    <t>TNT account: 101009</t>
  </si>
  <si>
    <t>LY18393027</t>
  </si>
  <si>
    <t>Koning &amp; Hartman
(Nederlands)</t>
  </si>
  <si>
    <t>PI-20181224B</t>
  </si>
  <si>
    <t>719_ADAM-4520-EE</t>
  </si>
  <si>
    <t>DHL 
A/C No : 969740245</t>
  </si>
  <si>
    <t>LA40233211</t>
  </si>
  <si>
    <t>PO-1742018</t>
  </si>
  <si>
    <t>PI-20181224C</t>
  </si>
  <si>
    <t>LY18393231</t>
  </si>
  <si>
    <t xml:space="preserve">719_IM-6700A-8TX        </t>
  </si>
  <si>
    <t>719_IM-6700A-2S-SC4TX</t>
  </si>
  <si>
    <t>Datasol</t>
  </si>
  <si>
    <t>3902-CR5127
-CR5136</t>
  </si>
  <si>
    <t>PI-20181224D</t>
  </si>
  <si>
    <t>719_MB-215-94 V1</t>
  </si>
  <si>
    <t>Charles</t>
  </si>
  <si>
    <t>TBCE&amp;E Transport
 International Co., Ltd.</t>
  </si>
  <si>
    <t>T/T</t>
  </si>
  <si>
    <t>KY53552203</t>
  </si>
  <si>
    <t>719_IDK-1121WR-30FHA1E</t>
  </si>
  <si>
    <t>LA40233620</t>
  </si>
  <si>
    <t>719_CP-134EL-A-I-DB9M 
with 719_CBL-M44M9x4-50</t>
  </si>
  <si>
    <t>LY18392926</t>
  </si>
  <si>
    <t>PI-20190102A</t>
  </si>
  <si>
    <t>719_CP-132EL-I-DB9M</t>
  </si>
  <si>
    <t>NV18392761</t>
  </si>
  <si>
    <t>PI-20190104A</t>
  </si>
  <si>
    <t>KY34768275</t>
  </si>
  <si>
    <t xml:space="preserve">PI-20190104A     </t>
  </si>
  <si>
    <t>LA57562447</t>
  </si>
  <si>
    <r>
      <rPr>
        <sz val="10"/>
        <color rgb="FF000000"/>
        <rFont val="arial,sans,sans-serif"/>
      </rPr>
      <t xml:space="preserve">PI-20190104A                         
</t>
    </r>
    <r>
      <rPr>
        <b/>
        <sz val="10"/>
        <color rgb="FF0000FF"/>
        <rFont val="arial,sans,sans-serif"/>
      </rPr>
      <t xml:space="preserve">(IQC檢驗CPU)  </t>
    </r>
    <r>
      <rPr>
        <sz val="10"/>
        <color rgb="FF000000"/>
        <rFont val="arial,sans,sans-serif"/>
      </rPr>
      <t xml:space="preserve">         </t>
    </r>
  </si>
  <si>
    <t>PI-20190107A</t>
  </si>
  <si>
    <t>719_6EU-00031 (Win10 IoT Ent LTSB 2016 MultiLang OEI Entry (ESD)</t>
  </si>
  <si>
    <t>DHL Elgens account</t>
  </si>
  <si>
    <t>LA57562980</t>
  </si>
  <si>
    <t>6月</t>
  </si>
  <si>
    <r>
      <rPr>
        <sz val="10"/>
        <color rgb="FF000000"/>
        <rFont val="Arial"/>
        <family val="2"/>
      </rPr>
      <t xml:space="preserve">LPC-P121W-16VYRG
</t>
    </r>
    <r>
      <rPr>
        <sz val="10"/>
        <color rgb="FF0000FF"/>
        <rFont val="Arial"/>
        <family val="2"/>
      </rPr>
      <t>(S/N:PD20190107A0001)</t>
    </r>
  </si>
  <si>
    <t>WFK-524- WiFi Module kits with full-size miniPCIe extension bracket</t>
  </si>
  <si>
    <t>719_D4S8GHLOFEC
8GB DDR4 DRAM ( Normal Temp )</t>
  </si>
  <si>
    <t>719_MI3EM5125602EN 
 (256GB SSD -25 ~+85 ℃)</t>
  </si>
  <si>
    <t>07-AE0-W16W600-001A
 WiFi cable for extension</t>
  </si>
  <si>
    <t>PI-20190107B</t>
  </si>
  <si>
    <t>NRE Charge for LPC-P121W-16VYRG</t>
  </si>
  <si>
    <t>PI-20190107C</t>
  </si>
  <si>
    <r>
      <rPr>
        <sz val="10"/>
        <color rgb="FF000000"/>
        <rFont val="Arial"/>
        <family val="2"/>
      </rPr>
      <t xml:space="preserve">LPC-P121W-10VYRG
</t>
    </r>
    <r>
      <rPr>
        <sz val="10"/>
        <color rgb="FFFF0000"/>
        <rFont val="Arial"/>
        <family val="2"/>
      </rPr>
      <t>S/N:PD20181217A0001~2</t>
    </r>
  </si>
  <si>
    <t>719_TSIGSK64W6H
 (8GB DDR3L DRAM Normal Temp)</t>
  </si>
  <si>
    <t>PO/IMP/115</t>
  </si>
  <si>
    <t>PI-20190107D</t>
  </si>
  <si>
    <t>719_Uport-1150</t>
  </si>
  <si>
    <t>DHL Account 
No.950245025</t>
  </si>
  <si>
    <t>LY18393197</t>
  </si>
  <si>
    <t>PO-1802018</t>
  </si>
  <si>
    <t>PI-20190108A</t>
  </si>
  <si>
    <t>719_EDS-408A-3S-SC-T</t>
  </si>
  <si>
    <t>LY18393230</t>
  </si>
  <si>
    <t>PO-190108</t>
  </si>
  <si>
    <t>PI-20190108B</t>
  </si>
  <si>
    <t>NPort 5650-8-DT w/ European adapter</t>
  </si>
  <si>
    <t>LY18393158</t>
  </si>
  <si>
    <t>ACTE AS</t>
  </si>
  <si>
    <t>PI-20190111A</t>
  </si>
  <si>
    <t>719_MPC-MD-2-24-VESAMTK</t>
  </si>
  <si>
    <t>TNT economy
002016562</t>
  </si>
  <si>
    <t>LY18394003</t>
  </si>
  <si>
    <t>PI-20190111A
(FAE組裝)</t>
  </si>
  <si>
    <t>719_M3S0-8GSSDLPC
(8GB DRAM )</t>
  </si>
  <si>
    <t>LA42930071</t>
  </si>
  <si>
    <t>719_DES25-A28M41BC1DC
(128GB SSD)</t>
  </si>
  <si>
    <t>719_6EU-00034 
(Win10 IoT LTSB EPKEA)</t>
  </si>
  <si>
    <t>LA57562896</t>
  </si>
  <si>
    <t xml:space="preserve">PI-20190111A
(FAE組裝)
</t>
  </si>
  <si>
    <t>719_MPC-2247Z 24" Panel PC -Marine certified, with MPC-MD-2-24-VESAMTK</t>
  </si>
  <si>
    <t>PI-20190114A</t>
  </si>
  <si>
    <t>70080Z0006
BTC013-1-79-500 
(WiFi Cable)</t>
  </si>
  <si>
    <t>UX logistics</t>
  </si>
  <si>
    <t>PI-20190116A</t>
  </si>
  <si>
    <t>719_ADAM-6050-D</t>
  </si>
  <si>
    <t xml:space="preserve">DHL A/C No : 
 969740245 </t>
  </si>
  <si>
    <t>LA40233738</t>
  </si>
  <si>
    <t>719_ADAM-4055-BE</t>
  </si>
  <si>
    <t>719_PCI-1760U-BE</t>
  </si>
  <si>
    <t>PI-20180906D-F</t>
  </si>
  <si>
    <t>MD72024870</t>
  </si>
  <si>
    <t>P190118NP0</t>
  </si>
  <si>
    <t>PI-20190118A</t>
  </si>
  <si>
    <t>719_750-8212 PFC200 (WAGO)</t>
  </si>
  <si>
    <t>首次T/T,第二次當月結30天</t>
  </si>
  <si>
    <t>LM15593311</t>
  </si>
  <si>
    <t>719_750-375 FC PROFINET (WAGO)</t>
  </si>
  <si>
    <r>
      <rPr>
        <sz val="10"/>
        <color rgb="FF000000"/>
        <rFont val="Arial"/>
        <family val="2"/>
      </rPr>
      <t xml:space="preserve">719_750-375 FC PROFINET (WAGO)
</t>
    </r>
    <r>
      <rPr>
        <sz val="10"/>
        <color rgb="FFFF0000"/>
        <rFont val="Arial"/>
        <family val="2"/>
      </rPr>
      <t>(下單錯誤: 下成750-8101)</t>
    </r>
  </si>
  <si>
    <t>PI-20190119A-1</t>
  </si>
  <si>
    <t>LPC-P156W25-SG
(S/N:PD20190119A0001~3)</t>
  </si>
  <si>
    <t>719_D4S8GHIOFFI DDR4 8GB, wide temp</t>
  </si>
  <si>
    <t>719_PB-409</t>
  </si>
  <si>
    <t>PI-20190119A-2</t>
  </si>
  <si>
    <t>LPC-P156W25-SG
(S/N:PD20190119A0004)</t>
  </si>
  <si>
    <t>719_D4S8GHIOFFI DDR4L 8GB, wide temp</t>
  </si>
  <si>
    <t>P19000020</t>
  </si>
  <si>
    <t>PI-20190121A</t>
  </si>
  <si>
    <t>719_62IN-16E-8-4S  Power cable</t>
  </si>
  <si>
    <t>TNT Account 40083</t>
  </si>
  <si>
    <t>KY52112901</t>
  </si>
  <si>
    <t>8月</t>
  </si>
  <si>
    <t>719_62IN-16E-12-14S DVI cable</t>
  </si>
  <si>
    <t>719_62IN-16E-12-14S HDMI cable</t>
  </si>
  <si>
    <t>719_62IN-16E-8-4S USB Cable</t>
  </si>
  <si>
    <r>
      <rPr>
        <sz val="10"/>
        <color rgb="FF000000"/>
        <rFont val="Arial, sans-serif"/>
      </rPr>
      <t xml:space="preserve">PI-20190121B
</t>
    </r>
    <r>
      <rPr>
        <b/>
        <sz val="10"/>
        <color rgb="FF0000FF"/>
        <rFont val="Arial, sans-serif"/>
      </rPr>
      <t>(FAE</t>
    </r>
    <r>
      <rPr>
        <b/>
        <sz val="10"/>
        <color rgb="FF0000FF"/>
        <rFont val="微軟正黑體"/>
        <family val="2"/>
        <charset val="136"/>
      </rPr>
      <t>組裝</t>
    </r>
    <r>
      <rPr>
        <b/>
        <sz val="10"/>
        <color rgb="FF0000FF"/>
        <rFont val="Arial"/>
        <family val="2"/>
      </rPr>
      <t>)</t>
    </r>
  </si>
  <si>
    <t>TS32GSSD420K (32G SSD)</t>
  </si>
  <si>
    <t>DHL Express 
969740245</t>
  </si>
  <si>
    <r>
      <rPr>
        <sz val="10"/>
        <color rgb="FF000000"/>
        <rFont val="Arial, sans-serif"/>
      </rPr>
      <t xml:space="preserve">PI-20190121B
</t>
    </r>
    <r>
      <rPr>
        <b/>
        <sz val="10"/>
        <color rgb="FF0000FF"/>
        <rFont val="Arial, sans-serif"/>
      </rPr>
      <t>(FAE組裝)</t>
    </r>
  </si>
  <si>
    <t>TS512MSK64W6H (4GB DRAM)</t>
  </si>
  <si>
    <r>
      <rPr>
        <sz val="10"/>
        <color rgb="FF000000"/>
        <rFont val="Arial, sans-serif"/>
      </rPr>
      <t xml:space="preserve">PI-20190121B
</t>
    </r>
    <r>
      <rPr>
        <b/>
        <sz val="10"/>
        <color rgb="FF0000FF"/>
        <rFont val="Arial, sans-serif"/>
      </rPr>
      <t>(FAE測試)</t>
    </r>
  </si>
  <si>
    <r>
      <rPr>
        <sz val="10"/>
        <color rgb="FF000000"/>
        <rFont val="Arial"/>
        <family val="2"/>
      </rPr>
      <t xml:space="preserve">LPC-P185W-10KH (BAREBONE) w/ EU power cord
</t>
    </r>
    <r>
      <rPr>
        <sz val="10"/>
        <color rgb="FF0000FF"/>
        <rFont val="Arial"/>
        <family val="2"/>
      </rPr>
      <t>(S/N:MO20190121B0001~0005)</t>
    </r>
  </si>
  <si>
    <t>PI-20190123A</t>
  </si>
  <si>
    <t>719_ADAM-6066-D</t>
  </si>
  <si>
    <t>GEODIS</t>
  </si>
  <si>
    <t>LA40233978</t>
  </si>
  <si>
    <t>P190122NP0</t>
  </si>
  <si>
    <t>PI-20190123B</t>
  </si>
  <si>
    <t>719_Additional 2 years warranty for POC-212 (抓15%)</t>
  </si>
  <si>
    <t>KY34868183</t>
  </si>
  <si>
    <r>
      <rPr>
        <b/>
        <sz val="10"/>
        <color rgb="FF000000"/>
        <rFont val="arial,sans,sans-serif"/>
      </rPr>
      <t xml:space="preserve">PI-20190123B
</t>
    </r>
    <r>
      <rPr>
        <b/>
        <sz val="10"/>
        <color rgb="FF0000FF"/>
        <rFont val="arial,sans,sans-serif"/>
      </rPr>
      <t>(FAE組裝SSD 
(IQC+DRAM標籤))</t>
    </r>
  </si>
  <si>
    <r>
      <rPr>
        <sz val="10"/>
        <color rgb="FF000000"/>
        <rFont val="Arial"/>
        <family val="2"/>
      </rPr>
      <t xml:space="preserve">719_POC-212
 Intel® Atom™ E3845 ultra-compact fanless embedded computer with 2x GbE ports, 3x USB 3.0 and 2x COM ports
</t>
    </r>
    <r>
      <rPr>
        <sz val="10"/>
        <color rgb="FFFF0000"/>
        <rFont val="Arial"/>
        <family val="2"/>
      </rPr>
      <t>(S/N. J0721890~895)</t>
    </r>
  </si>
  <si>
    <r>
      <rPr>
        <b/>
        <sz val="10"/>
        <color rgb="FF000000"/>
        <rFont val="arial,sans,sans-serif"/>
      </rPr>
      <t xml:space="preserve">PI-20190123B
</t>
    </r>
    <r>
      <rPr>
        <b/>
        <sz val="10"/>
        <color rgb="FF0000FF"/>
        <rFont val="arial,sans,sans-serif"/>
      </rPr>
      <t>(FAE組裝SSD &amp; DRAM,加DRAM 貼紙)</t>
    </r>
  </si>
  <si>
    <t>719_TS512MSK64W6H-I
(Wide Temp) 4GB DDR3L wide temp</t>
  </si>
  <si>
    <t>LM56253945</t>
  </si>
  <si>
    <t>719_TS128GSSD420I
 (Wide Temp)</t>
  </si>
  <si>
    <t>PI-20190123B-F</t>
  </si>
  <si>
    <t>Elgens DHL</t>
  </si>
  <si>
    <t>MD72125916</t>
  </si>
  <si>
    <t>PO-1862018</t>
  </si>
  <si>
    <t>PI-20190123C-1</t>
  </si>
  <si>
    <t>719_TCC-82 Port Powered RS232 Isolator</t>
  </si>
  <si>
    <t>LY18393831</t>
  </si>
  <si>
    <t>V-1
V-2</t>
  </si>
  <si>
    <t>PI-20190123C-2</t>
  </si>
  <si>
    <t>NV18392844</t>
  </si>
  <si>
    <t>PI-20190124A</t>
  </si>
  <si>
    <r>
      <rPr>
        <sz val="10"/>
        <color rgb="FF000000"/>
        <rFont val="Arial"/>
        <family val="2"/>
      </rPr>
      <t xml:space="preserve">LPC-P121S-10VYRG
</t>
    </r>
    <r>
      <rPr>
        <sz val="10"/>
        <color rgb="FF0000FF"/>
        <rFont val="Arial"/>
        <family val="2"/>
      </rPr>
      <t>(S/N:MO20190124A0001~8)</t>
    </r>
  </si>
  <si>
    <t>719_DDS8GHIMBFC
 (8GB DDR3L DRAM Normal Temp)</t>
  </si>
  <si>
    <t>6EU-00031 (Win10 IoT Ent LTSB 2016 MultiLang OEI Entry (ESD)</t>
  </si>
  <si>
    <t>07-YB0-BTSA121-001A防水三角錐</t>
  </si>
  <si>
    <t>NetEon (M) Sdn Bhd</t>
  </si>
  <si>
    <t>19/0039M</t>
  </si>
  <si>
    <t>PI-20190124B</t>
  </si>
  <si>
    <t>719_ECU-4784-D55SBE</t>
  </si>
  <si>
    <t>DHL A/C No : 951842593
TNT account : 3001651 (Economy Express)</t>
  </si>
  <si>
    <t>LA40237042</t>
  </si>
  <si>
    <t>PI-20190125A</t>
  </si>
  <si>
    <t>7008000426
CRK18121001_A1
(USB CABLE)</t>
  </si>
  <si>
    <t>MX60336708</t>
  </si>
  <si>
    <t>PI-20190125B</t>
  </si>
  <si>
    <t>719_ADAM-6060-D</t>
  </si>
  <si>
    <t>LA40234027</t>
  </si>
  <si>
    <t>Shung Ju Tech
雄鉅科技(股)公司.</t>
  </si>
  <si>
    <t>PI-20190125C</t>
  </si>
  <si>
    <t>代墊參展費用</t>
  </si>
  <si>
    <t>Together with Elgens Sample</t>
  </si>
  <si>
    <t>PI-20190125D-1</t>
  </si>
  <si>
    <t>LY18393969</t>
  </si>
  <si>
    <t>719-TCF-142-M-ST</t>
  </si>
  <si>
    <t>PI-20190125D-2</t>
  </si>
  <si>
    <t>NV18392842</t>
  </si>
  <si>
    <t>2019/03/27
2019/04/08</t>
  </si>
  <si>
    <t>PI-20190125D-3</t>
  </si>
  <si>
    <t>719_NISE 105-E3826</t>
  </si>
  <si>
    <t>MV34702518</t>
  </si>
  <si>
    <t>PI-20190125D-4</t>
  </si>
  <si>
    <t>MV34702519</t>
  </si>
  <si>
    <t>PI-20181026B-Revised</t>
  </si>
  <si>
    <t>Elgens TNT account: 540458</t>
  </si>
  <si>
    <t>MK84254184</t>
  </si>
  <si>
    <t>樣品</t>
  </si>
  <si>
    <t>Yi Ho Tech
誼龢科技</t>
  </si>
  <si>
    <t>PI-20190128A</t>
  </si>
  <si>
    <t>UE-1004</t>
  </si>
  <si>
    <t>Vecow</t>
  </si>
  <si>
    <t>KY38209921</t>
  </si>
  <si>
    <t>PI-20190128B</t>
  </si>
  <si>
    <t>719_FPM-3171G-R3BE</t>
  </si>
  <si>
    <t>LA40237040</t>
  </si>
  <si>
    <t>719_96PSA-A60W12V1-1</t>
  </si>
  <si>
    <t>PI-20190130A</t>
  </si>
  <si>
    <t>70122M0001 /STR002170
touch screen for PDK-170STE (電阻式 miracletouch) with tape (白色膠條 3M 4956 VHB  0.54T  (touch screen 用))</t>
  </si>
  <si>
    <t>KY32035264</t>
  </si>
  <si>
    <t>Fieldworks</t>
  </si>
  <si>
    <t>PI-20190130B</t>
  </si>
  <si>
    <t>719_FPK-01-R10. mounting H/W</t>
  </si>
  <si>
    <t>UPS Express Saver 157604</t>
  </si>
  <si>
    <t>MM66079102</t>
  </si>
  <si>
    <t>PO-1922018</t>
  </si>
  <si>
    <t>PI-20190131A-3</t>
  </si>
  <si>
    <t>NV18393005</t>
  </si>
  <si>
    <t>PI-20190131A-4</t>
  </si>
  <si>
    <t>LY18393954</t>
  </si>
  <si>
    <t>KI-SEN 季宣</t>
  </si>
  <si>
    <t>KG201901000001</t>
  </si>
  <si>
    <t>PI-20190131B</t>
  </si>
  <si>
    <t>719_IGPS1411GTPA</t>
  </si>
  <si>
    <t>大榮</t>
  </si>
  <si>
    <t>KY08818102</t>
  </si>
  <si>
    <t>719_DR-120-48</t>
  </si>
  <si>
    <r>
      <rPr>
        <sz val="10"/>
        <color rgb="FF000000"/>
        <rFont val="Arial"/>
        <family val="2"/>
      </rPr>
      <t>PI-20190131C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(FAE測試)</t>
    </r>
  </si>
  <si>
    <r>
      <rPr>
        <sz val="10"/>
        <color rgb="FF000000"/>
        <rFont val="Arial"/>
        <family val="2"/>
      </rPr>
      <t xml:space="preserve">LPC-P185W-1NKH (BAREBONE) w/ EU power cord
</t>
    </r>
    <r>
      <rPr>
        <sz val="10"/>
        <color rgb="FF0000FF"/>
        <rFont val="Arial"/>
        <family val="2"/>
      </rPr>
      <t>(S/N:PD20190131C0001~5)</t>
    </r>
  </si>
  <si>
    <t>PI-20190201A</t>
  </si>
  <si>
    <t>719_ADAM-6052-D</t>
  </si>
  <si>
    <t>LA40237037</t>
  </si>
  <si>
    <t>PI-20190201B</t>
  </si>
  <si>
    <t>719_AIMB-786G2-00A1</t>
  </si>
  <si>
    <t>LA40237038</t>
  </si>
  <si>
    <t>719_1960052651N021</t>
  </si>
  <si>
    <t xml:space="preserve">PI-20190206A     </t>
  </si>
  <si>
    <t>LA57562965</t>
  </si>
  <si>
    <t>MV34702502</t>
  </si>
  <si>
    <r>
      <rPr>
        <sz val="10"/>
        <color rgb="FF000000"/>
        <rFont val="arial,sans,sans-serif"/>
      </rPr>
      <t xml:space="preserve">PI-20190206A                         
</t>
    </r>
    <r>
      <rPr>
        <b/>
        <sz val="10"/>
        <color rgb="FF0000FF"/>
        <rFont val="arial,sans,sans-serif"/>
      </rPr>
      <t xml:space="preserve">(IQC檢驗CPU)  </t>
    </r>
    <r>
      <rPr>
        <sz val="10"/>
        <color rgb="FF000000"/>
        <rFont val="arial,sans,sans-serif"/>
      </rPr>
      <t xml:space="preserve">         </t>
    </r>
  </si>
  <si>
    <t>3ISYS Networks
思碩網路</t>
  </si>
  <si>
    <t>PI-20190206B</t>
  </si>
  <si>
    <t>719_UC-2112-LX</t>
  </si>
  <si>
    <t>LY18393936</t>
  </si>
  <si>
    <t>3pin terminal block (male) (鳳凰接頭)</t>
  </si>
  <si>
    <t>PI-20190211A-1</t>
  </si>
  <si>
    <t>RCS-9422R-YH
(S/N:PD20190211A0003)</t>
  </si>
  <si>
    <t>ELGENS</t>
  </si>
  <si>
    <t>PI-20190211A-2</t>
  </si>
  <si>
    <t xml:space="preserve">ELS-MB990VF
(S/N: PD20190211A0001~0002) </t>
  </si>
  <si>
    <t>Pharms
芳慎企業</t>
  </si>
  <si>
    <t>20190212-AA</t>
  </si>
  <si>
    <t>PI-20190212A</t>
  </si>
  <si>
    <t>719_PCI-7432</t>
  </si>
  <si>
    <t>KY36508017</t>
  </si>
  <si>
    <t>503870-1</t>
  </si>
  <si>
    <t>PI-20190212B
(FAE組裝)</t>
  </si>
  <si>
    <t>719_ M3S0-8GSSDLPC
(8GB DRAM )</t>
  </si>
  <si>
    <t>MX42929317</t>
  </si>
  <si>
    <t>MX57562422</t>
  </si>
  <si>
    <t>719_MPC-2247Z</t>
  </si>
  <si>
    <t>NV18393119</t>
  </si>
  <si>
    <t>PI-20190212C</t>
  </si>
  <si>
    <t>70111E0002 (PDK-170STE) includes 1-6
1) LCD : G170ETN01.0</t>
  </si>
  <si>
    <t>MV51931315</t>
  </si>
  <si>
    <t>2) Touch : Resistive Touch from Miracle</t>
  </si>
  <si>
    <t>3) Air Taping</t>
  </si>
  <si>
    <t>4) ETP-MER4050UEBG-02</t>
  </si>
  <si>
    <t>5) ETP-CB-5XN00</t>
  </si>
  <si>
    <t>7008000401
(Backlight cable IMB-150D for G170ETN01.0)
戎克料號:02-BE-00060</t>
  </si>
  <si>
    <t>7009000005
(LVDS cable IMB-150D for G170ETN01.0)
戎克料號:02-BE-00061</t>
  </si>
  <si>
    <t>6)USB cable from USB controller to board
戎克料號:02-BE-00059</t>
  </si>
  <si>
    <t>PI-20190131C</t>
  </si>
  <si>
    <t>NRE-N4200</t>
  </si>
  <si>
    <r>
      <rPr>
        <sz val="10"/>
        <color rgb="FF000000"/>
        <rFont val="Arial"/>
        <family val="2"/>
      </rPr>
      <t>PI-20190131C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(FAE組裝)</t>
    </r>
  </si>
  <si>
    <r>
      <rPr>
        <sz val="10"/>
        <color rgb="FF000000"/>
        <rFont val="Arial"/>
        <family val="2"/>
      </rPr>
      <t>PI-20190131D-1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(FAE組裝)</t>
    </r>
  </si>
  <si>
    <r>
      <rPr>
        <sz val="10"/>
        <color rgb="FF000000"/>
        <rFont val="Arial"/>
        <family val="2"/>
      </rPr>
      <t xml:space="preserve">PI-20190131D-1
</t>
    </r>
    <r>
      <rPr>
        <b/>
        <sz val="10"/>
        <color rgb="FF0000FF"/>
        <rFont val="Arial"/>
        <family val="2"/>
      </rPr>
      <t>(FAE測試)</t>
    </r>
  </si>
  <si>
    <r>
      <rPr>
        <sz val="10"/>
        <color rgb="FF000000"/>
        <rFont val="Arial"/>
        <family val="2"/>
      </rPr>
      <t xml:space="preserve">LPC-P185W-1NKH (BAREBONE) w/ EU power cord
</t>
    </r>
    <r>
      <rPr>
        <sz val="10"/>
        <color rgb="FF0000FF"/>
        <rFont val="Arial"/>
        <family val="2"/>
      </rPr>
      <t>(S/N:MO20190131D0001~0005)</t>
    </r>
  </si>
  <si>
    <r>
      <rPr>
        <sz val="10"/>
        <color rgb="FF000000"/>
        <rFont val="Arial"/>
        <family val="2"/>
      </rPr>
      <t xml:space="preserve">PI-20190131D-2
</t>
    </r>
    <r>
      <rPr>
        <b/>
        <sz val="10"/>
        <color rgb="FF0000FF"/>
        <rFont val="Arial"/>
        <family val="2"/>
      </rPr>
      <t>(FAE組裝)</t>
    </r>
  </si>
  <si>
    <r>
      <rPr>
        <sz val="10"/>
        <color rgb="FF000000"/>
        <rFont val="Arial"/>
        <family val="2"/>
      </rPr>
      <t>PI-20190131D-2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(FAE組裝)</t>
    </r>
  </si>
  <si>
    <r>
      <rPr>
        <sz val="10"/>
        <color rgb="FF000000"/>
        <rFont val="Arial"/>
        <family val="2"/>
      </rPr>
      <t>PI-20190131D-2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(FAE測試)</t>
    </r>
  </si>
  <si>
    <r>
      <rPr>
        <sz val="10"/>
        <color rgb="FF000000"/>
        <rFont val="Arial"/>
        <family val="2"/>
      </rPr>
      <t xml:space="preserve">LPC-P185W-1NKH (BAREBONE) w/ EU power cord
</t>
    </r>
    <r>
      <rPr>
        <sz val="10"/>
        <color rgb="FF0000FF"/>
        <rFont val="Arial"/>
        <family val="2"/>
      </rPr>
      <t>(S/N:MO20190131D0006~0019)</t>
    </r>
  </si>
  <si>
    <r>
      <rPr>
        <sz val="10"/>
        <color rgb="FF000000"/>
        <rFont val="Arial"/>
        <family val="2"/>
      </rPr>
      <t xml:space="preserve">LPC-P185W-1NKH (BAREBONE) w/ EU power cord
</t>
    </r>
    <r>
      <rPr>
        <sz val="10"/>
        <color rgb="FF0000FF"/>
        <rFont val="Arial"/>
        <family val="2"/>
      </rPr>
      <t>(S/N:MO20190131D0020)</t>
    </r>
  </si>
  <si>
    <r>
      <rPr>
        <sz val="10"/>
        <color rgb="FF000000"/>
        <rFont val="Arial"/>
        <family val="2"/>
      </rPr>
      <t>PI-20190131D-3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(FAE組裝)</t>
    </r>
  </si>
  <si>
    <r>
      <rPr>
        <sz val="10"/>
        <color rgb="FF000000"/>
        <rFont val="Arial"/>
        <family val="2"/>
      </rPr>
      <t xml:space="preserve">PI-20190131D-3
</t>
    </r>
    <r>
      <rPr>
        <b/>
        <sz val="10"/>
        <color rgb="FF0000FF"/>
        <rFont val="Arial"/>
        <family val="2"/>
      </rPr>
      <t>(FAE測試)</t>
    </r>
  </si>
  <si>
    <r>
      <rPr>
        <sz val="10"/>
        <color rgb="FF000000"/>
        <rFont val="Arial"/>
        <family val="2"/>
      </rPr>
      <t xml:space="preserve">LPC-P185W-1NKH (BAREBONE) w/ EU power cord
</t>
    </r>
    <r>
      <rPr>
        <sz val="10"/>
        <color rgb="FF0000FF"/>
        <rFont val="Arial"/>
        <family val="2"/>
      </rPr>
      <t>(S/N:MO20190131D0021~0045)</t>
    </r>
  </si>
  <si>
    <t>Lextron</t>
  </si>
  <si>
    <t>PI-20190213A</t>
  </si>
  <si>
    <t>TDM-P173WHGB
(S/N:PD20190213A0001)</t>
  </si>
  <si>
    <t xml:space="preserve"> DHL 958791254</t>
  </si>
  <si>
    <t>PI-20190213B</t>
  </si>
  <si>
    <t>UPS /Expedited
 WF1740</t>
  </si>
  <si>
    <t>MV53294716</t>
  </si>
  <si>
    <t>PI-20181026B-Revised-2</t>
  </si>
  <si>
    <t>MK84254249</t>
  </si>
  <si>
    <t>PI-20190217A</t>
  </si>
  <si>
    <t>MX40233116</t>
  </si>
  <si>
    <t>719_ADAM-4571-CE</t>
  </si>
  <si>
    <t>719_PCIE-1610B-AE</t>
  </si>
  <si>
    <t>MX40233608</t>
  </si>
  <si>
    <t>PO-962018</t>
  </si>
  <si>
    <t>PI-20190218A</t>
  </si>
  <si>
    <t>NV18393118</t>
  </si>
  <si>
    <t>2019/05/04
2019/05/15
2019/05/30</t>
  </si>
  <si>
    <t>PI-20190205A-1</t>
  </si>
  <si>
    <r>
      <rPr>
        <sz val="10"/>
        <color rgb="FF000000"/>
        <rFont val="Arial"/>
        <family val="2"/>
      </rPr>
      <t xml:space="preserve">719_OPE1503FBDTR
</t>
    </r>
    <r>
      <rPr>
        <sz val="10"/>
        <color rgb="FF0000FF"/>
        <rFont val="Arial"/>
        <family val="2"/>
      </rPr>
      <t>S/N.WA191302A0006~9</t>
    </r>
  </si>
  <si>
    <t>KY51870517</t>
  </si>
  <si>
    <t>PI-20190205A-2</t>
  </si>
  <si>
    <r>
      <rPr>
        <sz val="10"/>
        <color rgb="FF000000"/>
        <rFont val="Arial"/>
        <family val="2"/>
      </rPr>
      <t xml:space="preserve">719_OPE1503FBDTR 
</t>
    </r>
    <r>
      <rPr>
        <sz val="10"/>
        <color rgb="FF0000FF"/>
        <rFont val="Arial"/>
        <family val="2"/>
      </rPr>
      <t>S/N:WA191303A0001&amp;2</t>
    </r>
  </si>
  <si>
    <t>MV51693054</t>
  </si>
  <si>
    <t>503925-1</t>
  </si>
  <si>
    <t>PI-20190219A</t>
  </si>
  <si>
    <t>TDM-173WGARB
(S/N:PD20190219A0001)</t>
  </si>
  <si>
    <t>Bank transmitting service charge</t>
  </si>
  <si>
    <t>PI-20190219B</t>
  </si>
  <si>
    <r>
      <rPr>
        <sz val="10"/>
        <color rgb="FF000000"/>
        <rFont val="Arial"/>
        <family val="2"/>
      </rPr>
      <t xml:space="preserve">719_ARCHMI-817
</t>
    </r>
    <r>
      <rPr>
        <sz val="10"/>
        <color rgb="FF0000FF"/>
        <rFont val="Arial"/>
        <family val="2"/>
      </rPr>
      <t>(S/N: A3190301794&amp;A3190301795)</t>
    </r>
  </si>
  <si>
    <t>amy</t>
  </si>
  <si>
    <t>MV34722414</t>
  </si>
  <si>
    <t>PI-20190220A</t>
  </si>
  <si>
    <t>見MO-20190220A-1</t>
  </si>
  <si>
    <r>
      <rPr>
        <sz val="10"/>
        <color rgb="FF000000"/>
        <rFont val="Arial"/>
        <family val="2"/>
      </rPr>
      <t xml:space="preserve">LPC-P156W-25SG
</t>
    </r>
    <r>
      <rPr>
        <sz val="10"/>
        <color rgb="FF0000FF"/>
        <rFont val="Arial"/>
        <family val="2"/>
      </rPr>
      <t>(S/N:MO20190220A0001~2)</t>
    </r>
  </si>
  <si>
    <t>PI-20190221A</t>
  </si>
  <si>
    <t>MV34702581</t>
  </si>
  <si>
    <r>
      <rPr>
        <sz val="10"/>
        <color rgb="FF000000"/>
        <rFont val="Arial"/>
        <family val="2"/>
      </rPr>
      <t>Power adapter</t>
    </r>
    <r>
      <rPr>
        <sz val="10"/>
        <color rgb="FFFF0000"/>
        <rFont val="Arial"/>
        <family val="2"/>
      </rPr>
      <t>(7400065020X00)</t>
    </r>
    <r>
      <rPr>
        <sz val="10"/>
        <color rgb="FF000000"/>
        <rFont val="Arial"/>
        <family val="2"/>
      </rPr>
      <t xml:space="preserve"> &amp; European Power cord        
</t>
    </r>
    <r>
      <rPr>
        <sz val="10"/>
        <color rgb="FFFF0000"/>
        <rFont val="Arial"/>
        <family val="2"/>
      </rPr>
      <t>(60233POW39X00)</t>
    </r>
    <r>
      <rPr>
        <sz val="10"/>
        <color rgb="FF000000"/>
        <rFont val="Arial"/>
        <family val="2"/>
      </rPr>
      <t xml:space="preserve"> for NISE2300-M</t>
    </r>
  </si>
  <si>
    <t>719_Core™  i7-3612QM
(向捷毅國際購買,交由新漢組裝)</t>
  </si>
  <si>
    <t>MX57562431</t>
  </si>
  <si>
    <r>
      <rPr>
        <sz val="10"/>
        <color rgb="FF000000"/>
        <rFont val="arial,sans,sans-serif"/>
      </rPr>
      <t>PI-20190221A</t>
    </r>
    <r>
      <rPr>
        <sz val="10"/>
        <color rgb="FFFF0000"/>
        <rFont val="arial,sans,sans-serif"/>
      </rPr>
      <t xml:space="preserve">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FF0000"/>
        <rFont val="arial,sans,sans-serif"/>
      </rPr>
      <t xml:space="preserve">  </t>
    </r>
  </si>
  <si>
    <t>PO/IMP/141</t>
  </si>
  <si>
    <t>PI-20190221B</t>
  </si>
  <si>
    <t>719_N-port5150</t>
  </si>
  <si>
    <t>NV18392800</t>
  </si>
  <si>
    <t>719_Uport-1130</t>
  </si>
  <si>
    <t>PI-20190221C</t>
  </si>
  <si>
    <t>70080Z0007
(RFA-02-3-C52M3-B70)
(WIFI antenna)</t>
  </si>
  <si>
    <t>Avihs Technologies</t>
  </si>
  <si>
    <t>PI-20190223A</t>
  </si>
  <si>
    <t>719_EDS-208A</t>
  </si>
  <si>
    <t>FETA FREIGHT SYSTEMS (TAIWAN ) LTD.</t>
  </si>
  <si>
    <t>NV18392830</t>
  </si>
  <si>
    <t>719_NPORT5450</t>
  </si>
  <si>
    <t>719_NPort 5232</t>
  </si>
  <si>
    <t>PI-20181221A-1-F</t>
  </si>
  <si>
    <t>PI-20190118A-F</t>
  </si>
  <si>
    <t>PI-20190226A</t>
  </si>
  <si>
    <t>719＿CP-132UL-DB9M</t>
  </si>
  <si>
    <t>NV18392901</t>
  </si>
  <si>
    <t>PO-190227</t>
  </si>
  <si>
    <t>PI-20190226B</t>
  </si>
  <si>
    <t>NV18392953</t>
  </si>
  <si>
    <t>719_NPort 5450</t>
  </si>
  <si>
    <t>719_PWR-12200-DT-S1
(EU power cord)</t>
  </si>
  <si>
    <t>NV18393133</t>
  </si>
  <si>
    <t>PI-20190227A</t>
  </si>
  <si>
    <t>Kuehne&amp;Nagel</t>
  </si>
  <si>
    <t>MV34702743</t>
  </si>
  <si>
    <t>MX57562990</t>
  </si>
  <si>
    <r>
      <rPr>
        <sz val="10"/>
        <color rgb="FF000000"/>
        <rFont val="arial,sans,sans-serif"/>
      </rPr>
      <t xml:space="preserve">PI-20190227A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</si>
  <si>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PI-20190227B</t>
  </si>
  <si>
    <t>PS34821834</t>
  </si>
  <si>
    <t>PU57562476</t>
  </si>
  <si>
    <r>
      <rPr>
        <sz val="10"/>
        <color rgb="FF000000"/>
        <rFont val="arial,sans,sans-serif"/>
      </rPr>
      <t xml:space="preserve">PI-20190227B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</si>
  <si>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PI-20190227C</t>
  </si>
  <si>
    <t>PS34821982</t>
  </si>
  <si>
    <t>7月</t>
  </si>
  <si>
    <t>PU57563017</t>
  </si>
  <si>
    <r>
      <rPr>
        <sz val="10"/>
        <color rgb="FF000000"/>
        <rFont val="arial,sans,sans-serif"/>
      </rPr>
      <t xml:space="preserve">PI-20190227C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</si>
  <si>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PI-20190227D</t>
  </si>
  <si>
    <t>RP34764630</t>
  </si>
  <si>
    <t>RR57562530</t>
  </si>
  <si>
    <r>
      <rPr>
        <sz val="10"/>
        <color rgb="FF000000"/>
        <rFont val="arial,sans,sans-serif"/>
      </rPr>
      <t xml:space="preserve">PI-20190227D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</si>
  <si>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PI-20190227E</t>
  </si>
  <si>
    <t>RR57563117</t>
  </si>
  <si>
    <t>TL34762390</t>
  </si>
  <si>
    <r>
      <rPr>
        <sz val="10"/>
        <color rgb="FF000000"/>
        <rFont val="arial,sans,sans-serif"/>
      </rPr>
      <t xml:space="preserve">PI-20190227E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</si>
  <si>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PI-20190227F
(PI-20191009002)</t>
  </si>
  <si>
    <t>TL34762496</t>
  </si>
  <si>
    <t>11月</t>
  </si>
  <si>
    <t>TN57562439</t>
  </si>
  <si>
    <r>
      <rPr>
        <sz val="10"/>
        <color rgb="FF000000"/>
        <rFont val="arial,sans,sans-serif"/>
      </rPr>
      <t xml:space="preserve">PI-20190227F
(PI-20191009002)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</si>
  <si>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PI-20190227G
(PI-20191009003)</t>
  </si>
  <si>
    <t>TL34762565</t>
  </si>
  <si>
    <r>
      <rPr>
        <sz val="10"/>
        <color rgb="FF000000"/>
        <rFont val="arial,sans,sans-serif"/>
      </rPr>
      <t xml:space="preserve">PI-20190227G
(PI-20191009003)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</si>
  <si>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PI-20190227H
(PI-20191009004)</t>
  </si>
  <si>
    <r>
      <rPr>
        <sz val="10"/>
        <color rgb="FF000000"/>
        <rFont val="arial,sans,sans-serif"/>
      </rPr>
      <t xml:space="preserve">PI-20190227H
(PI-20191009004)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</si>
  <si>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PI-20190228A</t>
  </si>
  <si>
    <t>719-UE-1004</t>
  </si>
  <si>
    <t>MV38071603</t>
  </si>
  <si>
    <t>PO-2012018</t>
  </si>
  <si>
    <t>PI-20190302A</t>
  </si>
  <si>
    <t>NV18393120</t>
  </si>
  <si>
    <t>NV18393826</t>
  </si>
  <si>
    <t>PI-20190303A</t>
  </si>
  <si>
    <t>719_EDS-G509</t>
  </si>
  <si>
    <t>NV18392984</t>
  </si>
  <si>
    <t>719_ABC-01</t>
  </si>
  <si>
    <t>719_SFP-1GSXLC</t>
  </si>
  <si>
    <t>719_SFP-1GTXRJ45-T</t>
  </si>
  <si>
    <t>719_RK-4U</t>
  </si>
  <si>
    <t>P190301VA0</t>
  </si>
  <si>
    <r>
      <rPr>
        <sz val="10"/>
        <color rgb="FF000000"/>
        <rFont val="Arial"/>
        <family val="2"/>
      </rPr>
      <t xml:space="preserve">PI-20190304A
</t>
    </r>
    <r>
      <rPr>
        <b/>
        <sz val="10"/>
        <color rgb="FF0000FF"/>
        <rFont val="Arial"/>
        <family val="2"/>
      </rPr>
      <t>(FAE change AU Power cord)</t>
    </r>
  </si>
  <si>
    <r>
      <rPr>
        <sz val="10"/>
        <color rgb="FF000000"/>
        <rFont val="Arial"/>
        <family val="2"/>
      </rPr>
      <t xml:space="preserve">719_OPE1503FBDTR        
"Panel mount 15"" LCD Touch monitor VGA /5wire Resistive /RS-232 /Black VGA+DVI+HDMI /12V/ Terminal block12V/24V
( </t>
    </r>
    <r>
      <rPr>
        <sz val="10"/>
        <color rgb="FF0000FF"/>
        <rFont val="Arial"/>
        <family val="2"/>
      </rPr>
      <t>change to AU power cord</t>
    </r>
    <r>
      <rPr>
        <sz val="10"/>
        <color rgb="FF000000"/>
        <rFont val="Arial"/>
        <family val="2"/>
      </rPr>
      <t xml:space="preserve"> )"</t>
    </r>
  </si>
  <si>
    <t>MV51693070</t>
  </si>
  <si>
    <t>PI-20190304A-1</t>
  </si>
  <si>
    <t>MV34770430</t>
  </si>
  <si>
    <t>07-AE0-W16W01M-001A
WiFi cable for extension 1M</t>
  </si>
  <si>
    <t>MV51931305</t>
  </si>
  <si>
    <r>
      <rPr>
        <sz val="10"/>
        <color rgb="FF000000"/>
        <rFont val="Arial"/>
        <family val="2"/>
      </rPr>
      <t xml:space="preserve">PI-20190304A-1
</t>
    </r>
    <r>
      <rPr>
        <b/>
        <sz val="10"/>
        <color rgb="FF0000FF"/>
        <rFont val="Arial"/>
        <family val="2"/>
      </rPr>
      <t xml:space="preserve"> (FAE組裝，外盒請用標籤註明DRAM)</t>
    </r>
    <r>
      <rPr>
        <sz val="10"/>
        <color rgb="FF000000"/>
        <rFont val="Arial"/>
        <family val="2"/>
      </rPr>
      <t xml:space="preserve">
 </t>
    </r>
  </si>
  <si>
    <r>
      <rPr>
        <sz val="10"/>
        <color rgb="FF000000"/>
        <rFont val="Arial"/>
        <family val="2"/>
      </rPr>
      <t xml:space="preserve">719-Nuvo-5002LP 
</t>
    </r>
    <r>
      <rPr>
        <sz val="10"/>
        <color rgb="FF0000FF"/>
        <rFont val="Arial"/>
        <family val="2"/>
      </rPr>
      <t>(S/N:J1422596~99)</t>
    </r>
  </si>
  <si>
    <t xml:space="preserve">PI-20190304A-1
 (FAE組裝，外盒請用標籤註明DRAM)
 </t>
  </si>
  <si>
    <t>Intel® Core™ i7-6700TE Processor
 (向捷毅國際購買)</t>
  </si>
  <si>
    <r>
      <rPr>
        <sz val="10"/>
        <color rgb="FF000000"/>
        <rFont val="Arial"/>
        <family val="2"/>
      </rPr>
      <t xml:space="preserve">PI-20190304A-1
</t>
    </r>
    <r>
      <rPr>
        <b/>
        <sz val="10"/>
        <color rgb="FF0000FF"/>
        <rFont val="Arial"/>
        <family val="2"/>
      </rPr>
      <t>(FAE組裝，外盒請用標籤註明DRAM)</t>
    </r>
  </si>
  <si>
    <t>D4S8GHLOFEC  DDR4 8G</t>
  </si>
  <si>
    <t>MV36926213</t>
  </si>
  <si>
    <t>719_MiiNe Port E3</t>
  </si>
  <si>
    <t>NV18392973</t>
  </si>
  <si>
    <t>719_Nport-5110 W/EU Adaptor</t>
  </si>
  <si>
    <t>330-19020812</t>
  </si>
  <si>
    <t>PI-20190305A</t>
  </si>
  <si>
    <t>NV18393285</t>
  </si>
  <si>
    <t>PI-20190306A</t>
  </si>
  <si>
    <t>719_FPM-2150G-R3BE</t>
  </si>
  <si>
    <t>MX40233607</t>
  </si>
  <si>
    <t>719_PS8-300ATX-ZBE</t>
  </si>
  <si>
    <t>MX40233610</t>
  </si>
  <si>
    <t>719_AIMB-585QG2-00A1E</t>
  </si>
  <si>
    <t>719_1960047831N001</t>
  </si>
  <si>
    <t>719_989K008734</t>
  </si>
  <si>
    <t>PI-20190205A-F</t>
  </si>
  <si>
    <t>PA72013843</t>
  </si>
  <si>
    <t>PI-20181022C-1-F</t>
  </si>
  <si>
    <t>CTR NETWORK</t>
  </si>
  <si>
    <t>PI-20190312A</t>
  </si>
  <si>
    <t>NV18393117</t>
  </si>
  <si>
    <t>PI-20190312A-F</t>
  </si>
  <si>
    <t>PA72028522</t>
  </si>
  <si>
    <t>PI-20190313A</t>
  </si>
  <si>
    <t>MX40233609</t>
  </si>
  <si>
    <t>719_PPC-3150-RE4AE</t>
  </si>
  <si>
    <t>PI-20190107A-F</t>
  </si>
  <si>
    <t>PI-20190318A</t>
  </si>
  <si>
    <t>7008000006
(AS-35A-RS)</t>
  </si>
  <si>
    <t>PJ66079044</t>
  </si>
  <si>
    <t>P190318NP0</t>
  </si>
  <si>
    <t>PI-20190318B</t>
  </si>
  <si>
    <t>719-SPC-3010-600U with i7-6600U CPU</t>
  </si>
  <si>
    <t>MV38071642</t>
  </si>
  <si>
    <r>
      <rPr>
        <sz val="10"/>
        <color rgb="FF000000"/>
        <rFont val="Arial"/>
        <family val="2"/>
      </rPr>
      <t xml:space="preserve">PI-20190318B
</t>
    </r>
    <r>
      <rPr>
        <b/>
        <sz val="10"/>
        <color rgb="FF0000FF"/>
        <rFont val="Arial"/>
        <family val="2"/>
      </rPr>
      <t>(IQC+DRAM標籤)</t>
    </r>
  </si>
  <si>
    <t>719_PWA-120W - 120W, 24V, 90V AC to 264V AC Power Adapter with 3-pin Terminal Block
(S/N:Q18A017009)</t>
  </si>
  <si>
    <t>DHL ELGENS Account</t>
  </si>
  <si>
    <t>PO-4012-1319</t>
  </si>
  <si>
    <t xml:space="preserve">PI-20190320A </t>
  </si>
  <si>
    <t>719_NPORT-5110T</t>
  </si>
  <si>
    <t>UPS 1A24W6</t>
  </si>
  <si>
    <t>NV18393132</t>
  </si>
  <si>
    <t xml:space="preserve">Banking charge </t>
  </si>
  <si>
    <t>PI-20190320B</t>
  </si>
  <si>
    <t>MX40233755</t>
  </si>
  <si>
    <t xml:space="preserve">719_PCM-9343EF-S6A1E </t>
  </si>
  <si>
    <t>MX40237091</t>
  </si>
  <si>
    <t>PI-20190321A</t>
  </si>
  <si>
    <t>719_EDS-G308-T</t>
  </si>
  <si>
    <t>NV18393268</t>
  </si>
  <si>
    <t>PI-20190322A</t>
  </si>
  <si>
    <t>719_TPC-1582H-433BE</t>
  </si>
  <si>
    <t>MK40236915</t>
  </si>
  <si>
    <t>719_ACP-4000MB-00CE</t>
  </si>
  <si>
    <t>719_AIMB-701G2-00A1E</t>
  </si>
  <si>
    <t>719_1960047669N001</t>
  </si>
  <si>
    <t>719_1701260305</t>
  </si>
  <si>
    <t>719_1700002204</t>
  </si>
  <si>
    <t>330-19030894</t>
  </si>
  <si>
    <t>PI-20190323A</t>
  </si>
  <si>
    <t>NV18393971</t>
  </si>
  <si>
    <t>PI-20190306B</t>
  </si>
  <si>
    <t>NV18392974</t>
  </si>
  <si>
    <t xml:space="preserve">PI-20190304A-1-F
</t>
  </si>
  <si>
    <t>PA72113384</t>
  </si>
  <si>
    <r>
      <rPr>
        <sz val="10"/>
        <color rgb="FF000000"/>
        <rFont val="Arial"/>
        <family val="2"/>
      </rPr>
      <t>PI-20190304A</t>
    </r>
    <r>
      <rPr>
        <sz val="10"/>
        <color rgb="FF0000FF"/>
        <rFont val="Arial"/>
        <family val="2"/>
      </rPr>
      <t>-F</t>
    </r>
  </si>
  <si>
    <t>PO19000116</t>
  </si>
  <si>
    <r>
      <rPr>
        <sz val="10"/>
        <color rgb="FF000000"/>
        <rFont val="Arial"/>
        <family val="2"/>
      </rPr>
      <t xml:space="preserve">PI-20190328A
</t>
    </r>
    <r>
      <rPr>
        <b/>
        <sz val="10"/>
        <color rgb="FF0000FF"/>
        <rFont val="Arial"/>
        <family val="2"/>
      </rPr>
      <t>1. 出貨文件備註po No.
2. 隨貨附出貨文件及產證</t>
    </r>
  </si>
  <si>
    <t xml:space="preserve">2.5" SSD 128GB 
(Memxpro  MI3MB1112802SN ) </t>
  </si>
  <si>
    <t xml:space="preserve">TNT # 39443 Economy. </t>
  </si>
  <si>
    <t>MV36926189</t>
  </si>
  <si>
    <t>DDR3L 4GB
DDS4GHIMBEC</t>
  </si>
  <si>
    <t>PS37022207</t>
  </si>
  <si>
    <t>LPC-P121S-10
S/N:MO20190328A0001</t>
  </si>
  <si>
    <r>
      <rPr>
        <sz val="10"/>
        <color rgb="FF000000"/>
        <rFont val="Arial"/>
        <family val="2"/>
      </rPr>
      <t xml:space="preserve">PI-20190328A-1
</t>
    </r>
    <r>
      <rPr>
        <b/>
        <sz val="10"/>
        <color rgb="FF0000FF"/>
        <rFont val="Arial"/>
        <family val="2"/>
      </rPr>
      <t>1. 出貨文件備註po No.
2. 隨貨附出貨文件及產證</t>
    </r>
  </si>
  <si>
    <t>GSM90A12-P1M</t>
  </si>
  <si>
    <t>PL06215552</t>
  </si>
  <si>
    <t>DC Jack cable 1M</t>
  </si>
  <si>
    <t>PO/IMP/159</t>
  </si>
  <si>
    <t>PI-20190401A</t>
  </si>
  <si>
    <t>719_Mini DB9F-to-TB Adapter</t>
  </si>
  <si>
    <t>NV18393950</t>
  </si>
  <si>
    <t xml:space="preserve">719_DK35A </t>
  </si>
  <si>
    <t>719_NPORT-5130(84715000) /EU</t>
  </si>
  <si>
    <t>719_Uport -1150I</t>
  </si>
  <si>
    <t>719_NPORT-5150(84715000) /EU</t>
  </si>
  <si>
    <t>PI-20190403A:(請依照PI開立
台幣發票 $22 334) including tax</t>
  </si>
  <si>
    <t>代墊參展運費( Embedded world 2019)</t>
  </si>
  <si>
    <t>PI-20181221A-2-F</t>
  </si>
  <si>
    <t>PI-20190408A</t>
  </si>
  <si>
    <t>MK40237211</t>
  </si>
  <si>
    <t>PI-20190409A</t>
  </si>
  <si>
    <t>MV34702822</t>
  </si>
  <si>
    <t>PI-20190409B</t>
  </si>
  <si>
    <t>PS51836265</t>
  </si>
  <si>
    <t>PT22915761</t>
  </si>
  <si>
    <t xml:space="preserve">PI-20181022C-2-F
</t>
  </si>
  <si>
    <t>PA72120399</t>
  </si>
  <si>
    <t>330-19040123</t>
  </si>
  <si>
    <t>PI-20190409C</t>
  </si>
  <si>
    <t>NV18394209</t>
  </si>
  <si>
    <t>Proxis
(LLC «DISTI-PRO»)</t>
  </si>
  <si>
    <t>PI-20190411A</t>
  </si>
  <si>
    <t>CP-138U-I MOXA 8 Port UPCI Board, RS-422/485, w/ Isolation</t>
  </si>
  <si>
    <t>TNT Pick up no.167874992</t>
  </si>
  <si>
    <t>NV18394085</t>
  </si>
  <si>
    <t>M78M9x8-100 MOXA Cable/CBL-M78M9x8-100</t>
  </si>
  <si>
    <t>MAN-1904-88</t>
  </si>
  <si>
    <t>PI-20190411B</t>
  </si>
  <si>
    <t>"719_i5-6500TE
(向捷毅國際購買,交由新漢組裝)"</t>
  </si>
  <si>
    <t>FEDEX Economy (268438726)</t>
  </si>
  <si>
    <t>MX57563112</t>
  </si>
  <si>
    <t>"Power adapter &amp; European Power cord for NISE 3800E"</t>
  </si>
  <si>
    <t>PS34821863</t>
  </si>
  <si>
    <r>
      <rPr>
        <sz val="10"/>
        <color rgb="FF000000"/>
        <rFont val="arial,sans,sans-serif"/>
      </rPr>
      <t xml:space="preserve">PI-20190411B
</t>
    </r>
    <r>
      <rPr>
        <b/>
        <sz val="10"/>
        <color rgb="FF0000FF"/>
        <rFont val="arial,sans,sans-serif"/>
      </rPr>
      <t>(IQC檢驗CPU)</t>
    </r>
  </si>
  <si>
    <t>719_NISE3800E</t>
  </si>
  <si>
    <t>Sample</t>
  </si>
  <si>
    <t>Adaptor</t>
  </si>
  <si>
    <t>Accuview</t>
  </si>
  <si>
    <t>Evaluation
PI-20190412A</t>
  </si>
  <si>
    <t>LPC-P150S-28+adaptor+展示架 
(9/10 轉寄Captec Canada PI-20190910A ( freight pay by Accuview )</t>
  </si>
  <si>
    <t>FedEx account 169895139</t>
  </si>
  <si>
    <t>PO/IMP/007</t>
  </si>
  <si>
    <t xml:space="preserve">PI-20190415A </t>
  </si>
  <si>
    <t xml:space="preserve">719_UPort 2410 </t>
  </si>
  <si>
    <t>NV18394105</t>
  </si>
  <si>
    <t>RAM</t>
  </si>
  <si>
    <t>PI-20190416A</t>
  </si>
  <si>
    <t>RAM-20190326A return</t>
  </si>
  <si>
    <t>TNT</t>
  </si>
  <si>
    <t>PI-20190418A</t>
  </si>
  <si>
    <t>UX LOGISTICS</t>
  </si>
  <si>
    <t>PG84254241</t>
  </si>
  <si>
    <t>PO/IMP/011</t>
  </si>
  <si>
    <t>PI-20190418B</t>
  </si>
  <si>
    <t>NV18394106</t>
  </si>
  <si>
    <t>PO-1032019</t>
  </si>
  <si>
    <t>PI-20190418C</t>
  </si>
  <si>
    <t>QS18392916</t>
  </si>
  <si>
    <t>20190418-EL01</t>
  </si>
  <si>
    <t>PI-20190418D</t>
  </si>
  <si>
    <t>MV36926212</t>
  </si>
  <si>
    <t>LPC-P156WHOB-25SG2
(S/N:PD20190418A0001)</t>
  </si>
  <si>
    <t xml:space="preserve">PO/IMP/014 </t>
  </si>
  <si>
    <t>PI-20190419A</t>
  </si>
  <si>
    <t>719_CP-134EL-A-I-DB9M</t>
  </si>
  <si>
    <t>NV18394107</t>
  </si>
  <si>
    <t>719_NPort 5610-8-DT</t>
  </si>
  <si>
    <t>PI-20190422A</t>
  </si>
  <si>
    <t>PG84254240</t>
  </si>
  <si>
    <t>PI-20190422B</t>
  </si>
  <si>
    <t>719_ADAM-6015-DE</t>
  </si>
  <si>
    <t>MX40237540</t>
  </si>
  <si>
    <t>719_ADAM-6520-BE</t>
  </si>
  <si>
    <t>190414-EL</t>
  </si>
  <si>
    <t>PI-20190422C</t>
  </si>
  <si>
    <t>719_MOXA Nport IA5450A</t>
  </si>
  <si>
    <t>QS18392941</t>
  </si>
  <si>
    <t>719_MINI DB9F- TO-TB</t>
  </si>
  <si>
    <t>PO_190424-1</t>
  </si>
  <si>
    <t>PI-20190423A</t>
  </si>
  <si>
    <t>QS18392823</t>
  </si>
  <si>
    <t>PI-20190424A</t>
  </si>
  <si>
    <t>719_ACL8216</t>
  </si>
  <si>
    <t>PJ15543128</t>
  </si>
  <si>
    <t>719_ACL7122</t>
  </si>
  <si>
    <t>PI-20190318B-F</t>
  </si>
  <si>
    <t>PA72131904</t>
  </si>
  <si>
    <t>20190426-BB</t>
  </si>
  <si>
    <t>PI-20190426A</t>
  </si>
  <si>
    <t>719_CP-168U</t>
  </si>
  <si>
    <t xml:space="preserve">MOXA </t>
  </si>
  <si>
    <t>QS18392862</t>
  </si>
  <si>
    <t>719_CBL-M62M9X8-100</t>
  </si>
  <si>
    <t xml:space="preserve">Elgens stock </t>
  </si>
  <si>
    <t>PI-20190307A (原RMA-20190307A )</t>
  </si>
  <si>
    <t>IB970 (序號160800457)
(inspection fee US$40)</t>
  </si>
  <si>
    <t>PG84254244</t>
  </si>
  <si>
    <t>維修</t>
  </si>
  <si>
    <t>PI-20190502A
(FAE組裝)</t>
  </si>
  <si>
    <t>PU42929785</t>
  </si>
  <si>
    <t>PU57562576</t>
  </si>
  <si>
    <t>719_MPC-2247Z 24" Panel PC -Marine certified,</t>
  </si>
  <si>
    <t>QS18393190</t>
  </si>
  <si>
    <t>138611-1</t>
  </si>
  <si>
    <t>PI-20190502B</t>
  </si>
  <si>
    <t>VPTRONICS 雙創</t>
  </si>
  <si>
    <t>PO/IMP/020</t>
  </si>
  <si>
    <t>PI-20190502C</t>
  </si>
  <si>
    <t>719_CP-102U</t>
  </si>
  <si>
    <t>QS18392942</t>
  </si>
  <si>
    <t xml:space="preserve">719_UPORT 1610-8(EU Plug) </t>
  </si>
  <si>
    <t>PI-20190502D</t>
  </si>
  <si>
    <t>Triangular cylinder Sample</t>
  </si>
  <si>
    <t>PU21487583</t>
  </si>
  <si>
    <t>Neteon</t>
  </si>
  <si>
    <t>19/0245M</t>
  </si>
  <si>
    <t>PI-20190502E</t>
  </si>
  <si>
    <t>DSPC-8661-PCXE</t>
  </si>
  <si>
    <t xml:space="preserve"> "DHL A/C No : 951842593" or TNT</t>
  </si>
  <si>
    <t xml:space="preserve">PI-20190507A  </t>
  </si>
  <si>
    <t>719_UPort 1110</t>
  </si>
  <si>
    <t>QS18392950</t>
  </si>
  <si>
    <t>PI-20190507B</t>
  </si>
  <si>
    <t>719_TPC-61T-E3AE</t>
  </si>
  <si>
    <t>PU40233703</t>
  </si>
  <si>
    <t>719_ADAM-4561-CE</t>
  </si>
  <si>
    <t>PI-20190508A</t>
  </si>
  <si>
    <t>UE-1004(sn:1916212000157,1916212000165)</t>
  </si>
  <si>
    <t>PS38201667</t>
  </si>
  <si>
    <t>P190507NP0</t>
  </si>
  <si>
    <t>PI-20190508B</t>
  </si>
  <si>
    <t>719_WAGO 750-375 WAGO</t>
  </si>
  <si>
    <t>DHL Elgens</t>
  </si>
  <si>
    <t>QF15592313</t>
  </si>
  <si>
    <t>719_ioLogik E1210 Moxa</t>
  </si>
  <si>
    <t>QS18393105</t>
  </si>
  <si>
    <t>719_PFN-2019/S CR ICPDAS</t>
  </si>
  <si>
    <t>RE94082470</t>
  </si>
  <si>
    <t>719_CA-252518D ICPDAS</t>
  </si>
  <si>
    <t>719_CD-2518D ICPDAS</t>
  </si>
  <si>
    <t>719_PFN-2060 CR ICPDAS</t>
  </si>
  <si>
    <t>PI-20190508B-1</t>
  </si>
  <si>
    <t>ti2 DHL</t>
  </si>
  <si>
    <t>QS18393304</t>
  </si>
  <si>
    <t>AIRONIX</t>
  </si>
  <si>
    <t>PO19000175</t>
  </si>
  <si>
    <t>PI-20190508C( 閎亮組裝SSD &amp; DRAM)</t>
  </si>
  <si>
    <t>D4S-AG24H1G8C1 DDR 4 16G DRAM</t>
  </si>
  <si>
    <t xml:space="preserve">Kintetsu World Express (Taiwan), Inc </t>
  </si>
  <si>
    <t>PS37022248</t>
  </si>
  <si>
    <t>SSB256GPTCB3T-S114 Phison SSD 250G</t>
  </si>
  <si>
    <t>Kintetsu World Express (Taiwan), Inc</t>
  </si>
  <si>
    <t>RF02847273</t>
  </si>
  <si>
    <t>LPC-P215W-LM8AX
(S/N:PD20190510A0001~0003)</t>
  </si>
  <si>
    <t>2019/06/27.2019/07/30</t>
  </si>
  <si>
    <t>PO201905080013</t>
  </si>
  <si>
    <t>PI-20190508D</t>
  </si>
  <si>
    <t>719_IMC-21-S-SC</t>
  </si>
  <si>
    <t>QS18393104</t>
  </si>
  <si>
    <t>PI-20190508E
(PI-20191014002)</t>
  </si>
  <si>
    <t>UL18393170</t>
  </si>
  <si>
    <t>PI-20190509A
(FAE組裝)</t>
  </si>
  <si>
    <t>QS18393191</t>
  </si>
  <si>
    <t>PI-20190509B</t>
  </si>
  <si>
    <t>Nuvo-7002LP</t>
  </si>
  <si>
    <t>Intel® Core™ i5-8500 Processor</t>
  </si>
  <si>
    <t>D4S8GHLOFEC DDR4 8GB</t>
  </si>
  <si>
    <t>P190509NP0</t>
  </si>
  <si>
    <t>PI-20190509C
(IQC+DRAM標籤)</t>
  </si>
  <si>
    <t>719_ECX-1000-2R
 S/N:(K19G110001~K19G110010)</t>
  </si>
  <si>
    <t>TI2's DHL account 968398926</t>
  </si>
  <si>
    <t>PS38201678</t>
  </si>
  <si>
    <r>
      <rPr>
        <sz val="10"/>
        <color rgb="FF000000"/>
        <rFont val="Arial"/>
        <family val="2"/>
      </rPr>
      <t xml:space="preserve">PI-20190509C
</t>
    </r>
    <r>
      <rPr>
        <b/>
        <sz val="10"/>
        <color rgb="FF0000FF"/>
        <rFont val="Arial"/>
        <family val="2"/>
      </rPr>
      <t>(IQC+DRAM標籤)</t>
    </r>
  </si>
  <si>
    <t>intel i5-8500T ( vecow )</t>
  </si>
  <si>
    <t>719_D4S8GHLOFEC 8G DDR4 SO-DIMM(0- 85°C)</t>
  </si>
  <si>
    <t>PI-20190513A</t>
  </si>
  <si>
    <t>719_AIMB-581QG2-00A1E</t>
  </si>
  <si>
    <t>PU40233592</t>
  </si>
  <si>
    <t>719_1700008461-11</t>
  </si>
  <si>
    <t>PI-20190513B</t>
  </si>
  <si>
    <t>719_CP-132UL-DB9M</t>
  </si>
  <si>
    <t>QS18393119</t>
  </si>
  <si>
    <t>PI-20190513C</t>
  </si>
  <si>
    <t>QS18393875</t>
  </si>
  <si>
    <t>PI-20190515A</t>
  </si>
  <si>
    <t xml:space="preserve">719_931890
Intel® Core™ i3-­4360 Processor (4M Cache, 3.70 GHz) </t>
  </si>
  <si>
    <t>PU57562653</t>
  </si>
  <si>
    <t>PI-20190515B</t>
  </si>
  <si>
    <t>719-i5-2400</t>
  </si>
  <si>
    <t>PS35752327</t>
  </si>
  <si>
    <t>PI-20190515C</t>
  </si>
  <si>
    <t>719_Uport -1450</t>
  </si>
  <si>
    <t>QS18393148</t>
  </si>
  <si>
    <t>719_Nport 5150EU</t>
  </si>
  <si>
    <t>719_Nport 5232</t>
  </si>
  <si>
    <t>719_CP-116E-A</t>
  </si>
  <si>
    <t>719_CBL-M68M9X8-100</t>
  </si>
  <si>
    <t>PI-20190517A</t>
  </si>
  <si>
    <t xml:space="preserve">閎亮 </t>
  </si>
  <si>
    <t>APO-1900520</t>
  </si>
  <si>
    <t xml:space="preserve">PI-20190517B </t>
  </si>
  <si>
    <t>719_MS-98I8</t>
  </si>
  <si>
    <t xml:space="preserve">Elgens </t>
  </si>
  <si>
    <t>PO201905200018</t>
  </si>
  <si>
    <t>PI-20190520A</t>
  </si>
  <si>
    <r>
      <rPr>
        <sz val="10"/>
        <color rgb="FF000000"/>
        <rFont val="Arial"/>
        <family val="2"/>
      </rPr>
      <t xml:space="preserve">719_Nport-5230A </t>
    </r>
    <r>
      <rPr>
        <sz val="10"/>
        <color rgb="FF0000FF"/>
        <rFont val="Arial"/>
        <family val="2"/>
      </rPr>
      <t xml:space="preserve">(客戶下單錯誤，核銷。酌收退貨手續費15%)  </t>
    </r>
  </si>
  <si>
    <t>QS18394028</t>
  </si>
  <si>
    <t>PI-20190508B-F</t>
  </si>
  <si>
    <t>QX72033934</t>
  </si>
  <si>
    <t>PI-20190521A</t>
  </si>
  <si>
    <t>7008000229
(719_MD-6108033)
Cavo eSATA to SATA</t>
  </si>
  <si>
    <t>TNT Express Service 182056</t>
  </si>
  <si>
    <t>PT34199124</t>
  </si>
  <si>
    <t>PU40236566</t>
  </si>
  <si>
    <t>PO-190523-1</t>
  </si>
  <si>
    <t>PI-20190523A</t>
  </si>
  <si>
    <t>QS18393937</t>
  </si>
  <si>
    <t>2019/07/08.2019/08/06</t>
  </si>
  <si>
    <t>PI-20190523B</t>
  </si>
  <si>
    <t>DM-F17A/PC-R11</t>
  </si>
  <si>
    <t>RF66079050</t>
  </si>
  <si>
    <t>63040-010060-120-RS</t>
  </si>
  <si>
    <t>FRK17-R10</t>
  </si>
  <si>
    <t>FPK-01-R10.</t>
  </si>
  <si>
    <t>Banking charge</t>
  </si>
  <si>
    <t>EKZOT LLC</t>
  </si>
  <si>
    <t>PI-20190524A</t>
  </si>
  <si>
    <t>APAX-5001-A1E</t>
  </si>
  <si>
    <t>PU40236565</t>
  </si>
  <si>
    <t>APAX-5060-A1E</t>
  </si>
  <si>
    <t>ADAM-6541-AE</t>
  </si>
  <si>
    <t>PO-8961</t>
  </si>
  <si>
    <t>PI-20190524B</t>
  </si>
  <si>
    <t>Tooling fee 15" For P-cap</t>
  </si>
  <si>
    <t>Cathy/Santiago</t>
  </si>
  <si>
    <t>UPS:WF1740
Express Saver</t>
  </si>
  <si>
    <t>RP43139864</t>
  </si>
  <si>
    <t xml:space="preserve">AR tooling fee 15" </t>
  </si>
  <si>
    <t>PI-20190524B-1</t>
  </si>
  <si>
    <r>
      <rPr>
        <sz val="10"/>
        <color theme="1"/>
        <rFont val="Arial"/>
        <family val="2"/>
      </rPr>
      <t xml:space="preserve">PDK-P150SOBAR-HC, 
including </t>
    </r>
    <r>
      <rPr>
        <sz val="10"/>
        <color rgb="FFFF0000"/>
        <rFont val="Arial"/>
        <family val="2"/>
      </rPr>
      <t>3 items</t>
    </r>
    <r>
      <rPr>
        <sz val="10"/>
        <color rgb="FF000000"/>
        <rFont val="Arial"/>
        <family val="2"/>
      </rPr>
      <t xml:space="preserve">
1) RTPC150-H30006-U with 3 mm AR glass</t>
    </r>
  </si>
  <si>
    <t>RP43139863</t>
  </si>
  <si>
    <t>2) OCR Bonding</t>
  </si>
  <si>
    <t>RP53251858</t>
  </si>
  <si>
    <t>3) 15" Mitsubishi LCD from Hectronic</t>
  </si>
  <si>
    <t>PI-20190524B-2</t>
  </si>
  <si>
    <r>
      <rPr>
        <sz val="10"/>
        <color theme="1"/>
        <rFont val="Arial"/>
        <family val="2"/>
      </rPr>
      <t xml:space="preserve">PDK-P150SOBAR-HC, 
including </t>
    </r>
    <r>
      <rPr>
        <sz val="10"/>
        <color rgb="FFFF0000"/>
        <rFont val="Arial"/>
        <family val="2"/>
      </rPr>
      <t>3 items</t>
    </r>
    <r>
      <rPr>
        <sz val="10"/>
        <color rgb="FF000000"/>
        <rFont val="Arial"/>
        <family val="2"/>
      </rPr>
      <t xml:space="preserve">
1) RTPC150-H30006-U with 3 mm AR glass
</t>
    </r>
    <r>
      <rPr>
        <b/>
        <sz val="10"/>
        <color rgb="FF0000FF"/>
        <rFont val="Arial"/>
        <family val="2"/>
      </rPr>
      <t>(外箱貼紙: S/N: PI-20190524B-2)*5pcs*2C)</t>
    </r>
  </si>
  <si>
    <t>9月</t>
  </si>
  <si>
    <r>
      <rPr>
        <sz val="10"/>
        <color theme="1"/>
        <rFont val="Arial"/>
        <family val="2"/>
      </rPr>
      <t xml:space="preserve">2) OCR Bonding
</t>
    </r>
    <r>
      <rPr>
        <b/>
        <sz val="10"/>
        <color rgb="FF0000FF"/>
        <rFont val="Arial"/>
        <family val="2"/>
      </rPr>
      <t>(進廠後請IQC抽驗2PCS-外觀&amp;排線是否為良品)</t>
    </r>
  </si>
  <si>
    <t>TL53221619</t>
  </si>
  <si>
    <t>PI-20190529A</t>
  </si>
  <si>
    <t xml:space="preserve">719_NPort 5650-8-DT-J (US) </t>
  </si>
  <si>
    <t xml:space="preserve">DHL 
Account Number : 956287207 </t>
  </si>
  <si>
    <t>QS18393844</t>
  </si>
  <si>
    <t xml:space="preserve">PI-20190531A </t>
  </si>
  <si>
    <t>719_MT8071iE</t>
  </si>
  <si>
    <t>RH61298119</t>
  </si>
  <si>
    <t>PO201905310010</t>
  </si>
  <si>
    <t>PI-20190531B</t>
  </si>
  <si>
    <t xml:space="preserve">719_NPort5650I-8-DT(US) </t>
  </si>
  <si>
    <t>QS18393843</t>
  </si>
  <si>
    <t>PO-1152019</t>
  </si>
  <si>
    <t>PI-20190603A</t>
  </si>
  <si>
    <t>719_NPORT5450I-T</t>
  </si>
  <si>
    <t>QS18394027</t>
  </si>
  <si>
    <t>2019/07/19.2019/08/19</t>
  </si>
  <si>
    <t>719_NPORT 5650I-8-DTL-T</t>
  </si>
  <si>
    <t>2019/08/19.2019/09/16</t>
  </si>
  <si>
    <t>P190604NP0</t>
  </si>
  <si>
    <t>PI-20190604A</t>
  </si>
  <si>
    <t>LPC-P121S-10VYRG2
(S/N:PD20190605A0001~0008)</t>
  </si>
  <si>
    <t>D3S-8G18S518C1 DDR3L 8G DRAM</t>
  </si>
  <si>
    <t>SSB256GPTCB3T-S114 ( Phison 256g SSD )</t>
  </si>
  <si>
    <t>WFK-524  Wifi module</t>
  </si>
  <si>
    <t>07-AE0-W16W600-001A wifi cable</t>
  </si>
  <si>
    <t>6EU-00031  win10 Iot</t>
  </si>
  <si>
    <t>APO-1900538</t>
  </si>
  <si>
    <t>PI-20190604B</t>
  </si>
  <si>
    <t xml:space="preserve">Elgens   </t>
  </si>
  <si>
    <t>PI-20190604C</t>
  </si>
  <si>
    <t>719_PE-1004
(1834215000478,1834215000464)</t>
  </si>
  <si>
    <t>PS38201687</t>
  </si>
  <si>
    <t>PO/IMP/036</t>
  </si>
  <si>
    <t>PI-20190604D</t>
  </si>
  <si>
    <t>QS18393976</t>
  </si>
  <si>
    <t>PI-20190605A</t>
  </si>
  <si>
    <t xml:space="preserve">719_H25K5A </t>
  </si>
  <si>
    <t>PS50377902</t>
  </si>
  <si>
    <t>719_APAX-5490-IP4AE </t>
  </si>
  <si>
    <t>PU40237222</t>
  </si>
  <si>
    <t>719_APAX-5017-AE</t>
  </si>
  <si>
    <t xml:space="preserve">20190606-AA </t>
  </si>
  <si>
    <t>PI-20190606A</t>
  </si>
  <si>
    <t xml:space="preserve">Elgens  </t>
  </si>
  <si>
    <t>PS36483509</t>
  </si>
  <si>
    <t>Adaptek</t>
  </si>
  <si>
    <t>PI-20190606B</t>
  </si>
  <si>
    <t xml:space="preserve">719_UPort 1150I </t>
  </si>
  <si>
    <t>客戶運送公司自取
    Unique Air Express</t>
  </si>
  <si>
    <t>SP18392812</t>
  </si>
  <si>
    <t>PO-1162019</t>
  </si>
  <si>
    <t>PI-20190606C</t>
  </si>
  <si>
    <t>QS18394026</t>
  </si>
  <si>
    <t>PI-20190606D</t>
  </si>
  <si>
    <t>PS51836328</t>
  </si>
  <si>
    <t>PI-20190607A</t>
  </si>
  <si>
    <t>PU40237223</t>
  </si>
  <si>
    <t>PI-20190610A</t>
  </si>
  <si>
    <t>PU40237413</t>
  </si>
  <si>
    <t xml:space="preserve"> 20190607-ELG01</t>
  </si>
  <si>
    <t>PI-20190610B ( FAE組裝DRAM)</t>
  </si>
  <si>
    <t>719_D4S-8G24H1G8W1, 8GB, wide temp</t>
  </si>
  <si>
    <t>RP56212821</t>
  </si>
  <si>
    <t>LPC-P185WHOB-25SG3
(S/N:PD20190610C0001)</t>
  </si>
  <si>
    <t>PI-20190610B-1 
( FAE組裝DRAM)</t>
  </si>
  <si>
    <t>LPC-P173WHOB-25SG3
(S/N:PD20190610B0001)</t>
  </si>
  <si>
    <t>PO/IMP/040</t>
  </si>
  <si>
    <t>QS18394032</t>
  </si>
  <si>
    <t>MMC</t>
  </si>
  <si>
    <t>CB19-273</t>
  </si>
  <si>
    <t>PI 20190612B</t>
  </si>
  <si>
    <t>719_PCI-1733-BE</t>
  </si>
  <si>
    <t>TNT Economy (2004901)</t>
  </si>
  <si>
    <t>PU40237433</t>
  </si>
  <si>
    <t>PI-20190612A</t>
  </si>
  <si>
    <t>PU40237507</t>
  </si>
  <si>
    <t>PI-20190612B</t>
  </si>
  <si>
    <t>QS18394067</t>
  </si>
  <si>
    <t>PO201906120003</t>
  </si>
  <si>
    <t>PI-20190613A</t>
  </si>
  <si>
    <t xml:space="preserve">719_Nport-5230 w/ US adaptor  </t>
  </si>
  <si>
    <t>QS18394015</t>
  </si>
  <si>
    <t>PI-20190617A</t>
  </si>
  <si>
    <t>7008000407
(719_94LU06W06002)
Y CABLE FOR KEYBOARD &amp; MOUSE</t>
  </si>
  <si>
    <t>PT34198858</t>
  </si>
  <si>
    <t>PO19000240</t>
  </si>
  <si>
    <t>PI-20190619B</t>
  </si>
  <si>
    <t>719_ MGate MB3180 Moxa</t>
  </si>
  <si>
    <t>QS18394107</t>
  </si>
  <si>
    <t xml:space="preserve">PI-20190620A-1
</t>
  </si>
  <si>
    <t>RP53251835</t>
  </si>
  <si>
    <t>免收</t>
  </si>
  <si>
    <r>
      <rPr>
        <sz val="10"/>
        <color rgb="FF000000"/>
        <rFont val="Arial"/>
        <family val="2"/>
      </rPr>
      <t xml:space="preserve">PI-20190620A-2
(PI-20191007003)
</t>
    </r>
    <r>
      <rPr>
        <b/>
        <sz val="10"/>
        <color rgb="FF0000FF"/>
        <rFont val="Arial"/>
        <family val="2"/>
      </rPr>
      <t>(成品進廠需IQC)</t>
    </r>
  </si>
  <si>
    <t>VH53441700</t>
  </si>
  <si>
    <r>
      <rPr>
        <sz val="10"/>
        <color rgb="FF000000"/>
        <rFont val="Arial"/>
        <family val="2"/>
      </rPr>
      <t xml:space="preserve">PI-20190620A-2
(PI-20191007003)
</t>
    </r>
    <r>
      <rPr>
        <b/>
        <sz val="10"/>
        <color rgb="FF0000FF"/>
        <rFont val="Arial"/>
        <family val="2"/>
      </rPr>
      <t>(抽驗客供品外觀)</t>
    </r>
  </si>
  <si>
    <t>PI-20190620A-3
(PI-20191007005)</t>
  </si>
  <si>
    <r>
      <rPr>
        <sz val="10"/>
        <color rgb="FF000000"/>
        <rFont val="Arial"/>
        <family val="2"/>
      </rPr>
      <t xml:space="preserve">PI-20190620A-3
(PI-20191007005)
</t>
    </r>
    <r>
      <rPr>
        <sz val="10"/>
        <color rgb="FF0000FF"/>
        <rFont val="Arial"/>
        <family val="2"/>
      </rPr>
      <t>(成品進廠需IQC</t>
    </r>
    <r>
      <rPr>
        <sz val="10"/>
        <color rgb="FF000000"/>
        <rFont val="Arial"/>
        <family val="2"/>
      </rPr>
      <t>)</t>
    </r>
  </si>
  <si>
    <t>PI-20190625A</t>
  </si>
  <si>
    <t>TA84254264</t>
  </si>
  <si>
    <t>20190626-ELG01</t>
  </si>
  <si>
    <t>PI-20190625B</t>
  </si>
  <si>
    <t>LPC-P156WHOB-25SG3
(S/N:PD20190626A0001~0004)</t>
  </si>
  <si>
    <t>PI-20190625B-1</t>
  </si>
  <si>
    <t>LPC-P156WHOB-25SG3
(S/N:PD20190626A0005)</t>
  </si>
  <si>
    <t>PI-20190625C</t>
  </si>
  <si>
    <t>UPort 1130</t>
  </si>
  <si>
    <t>QS18394191</t>
  </si>
  <si>
    <t>PI-20190626A</t>
  </si>
  <si>
    <t>7008090211
(CRK16041101-A2)</t>
  </si>
  <si>
    <t>RQ23001642</t>
  </si>
  <si>
    <t>TC66079074</t>
  </si>
  <si>
    <t>PO201906260009</t>
  </si>
  <si>
    <t>PI-20190626B</t>
  </si>
  <si>
    <t>719_ISD-1230-T</t>
  </si>
  <si>
    <t>SP18392833</t>
  </si>
  <si>
    <t>TI2 Pty Ltd</t>
  </si>
  <si>
    <t>P190628NP1</t>
  </si>
  <si>
    <t>PI-20190628A</t>
  </si>
  <si>
    <t xml:space="preserve">719_ARCHMI-817 </t>
  </si>
  <si>
    <t>RP34843172</t>
  </si>
  <si>
    <t>19/0339M</t>
  </si>
  <si>
    <t>PI-20190628B</t>
  </si>
  <si>
    <t>719_TCC-100I</t>
  </si>
  <si>
    <t>TNT A/C: 3001651</t>
  </si>
  <si>
    <t>SP18392829</t>
  </si>
  <si>
    <t>PO201907010010</t>
  </si>
  <si>
    <t xml:space="preserve">PI-20190701A </t>
  </si>
  <si>
    <t xml:space="preserve">719_NPORT 5650-8-DT(US) </t>
  </si>
  <si>
    <t>SP18392934</t>
  </si>
  <si>
    <t>PI-20190701B</t>
  </si>
  <si>
    <t>719_UE-1004</t>
  </si>
  <si>
    <t>RP38239455</t>
  </si>
  <si>
    <t>PI-20190702A</t>
  </si>
  <si>
    <t>SP18393078</t>
  </si>
  <si>
    <t>P1079</t>
  </si>
  <si>
    <t>PI-20190703A</t>
  </si>
  <si>
    <t>719_TPM-68104040003
(10.4" P-cap)</t>
  </si>
  <si>
    <t>RP34903314</t>
  </si>
  <si>
    <t>719_TPM-38150040000
(15" P-cap)</t>
  </si>
  <si>
    <t>PI-20190703B</t>
  </si>
  <si>
    <t>TA84254199</t>
  </si>
  <si>
    <t>PI-20190704A</t>
  </si>
  <si>
    <t>TDM-P190S</t>
  </si>
  <si>
    <t>APROTECH</t>
  </si>
  <si>
    <t>PI-20190704B</t>
  </si>
  <si>
    <t>719_ECS-9071(barebone)</t>
  </si>
  <si>
    <t xml:space="preserve">UPS account: 799R18/ Express Saver
</t>
  </si>
  <si>
    <t>RP38239467</t>
  </si>
  <si>
    <t>PI-20190604A-F</t>
  </si>
  <si>
    <t>SU72014911</t>
  </si>
  <si>
    <t>PO/IMP/053</t>
  </si>
  <si>
    <t xml:space="preserve">PI-20190708A </t>
  </si>
  <si>
    <t>SP18393135</t>
  </si>
  <si>
    <t>Sent to USA customer for defect replecement</t>
  </si>
  <si>
    <t>PI-20190709A</t>
  </si>
  <si>
    <t>719_ PB-409 Power Board</t>
  </si>
  <si>
    <t>UPS account 0341W3</t>
  </si>
  <si>
    <t xml:space="preserve">19/0353M </t>
  </si>
  <si>
    <t>PI-20190710B</t>
  </si>
  <si>
    <t xml:space="preserve">719_EDS-205A-S-SC-T </t>
  </si>
  <si>
    <t>TNT A/C : 3001651</t>
  </si>
  <si>
    <t>SP18393002</t>
  </si>
  <si>
    <t>PO/IMP/054</t>
  </si>
  <si>
    <t>PI-20190711A</t>
  </si>
  <si>
    <t>719_CP-168EL-A w/o Cable</t>
  </si>
  <si>
    <t>SP18393099</t>
  </si>
  <si>
    <t>R418986-ROBO</t>
  </si>
  <si>
    <t>PI-20190711B
RMA-20190616A</t>
  </si>
  <si>
    <t>719_MS-98E6-001 (N4200)
(98E6B1808000040)</t>
  </si>
  <si>
    <t>PO/IMP/056</t>
  </si>
  <si>
    <t>PI-20190712A</t>
  </si>
  <si>
    <t>SP18393098</t>
  </si>
  <si>
    <t>PI-20190715A</t>
  </si>
  <si>
    <t>719_PCIE-1760-AE</t>
  </si>
  <si>
    <t>RR40233645</t>
  </si>
  <si>
    <t>PI-20190805A</t>
  </si>
  <si>
    <t>RR40237180</t>
  </si>
  <si>
    <t>PO201907160003</t>
  </si>
  <si>
    <t xml:space="preserve">PI-20190716A </t>
  </si>
  <si>
    <t xml:space="preserve">719_NPort-5250A(US) </t>
  </si>
  <si>
    <t>SP18393082</t>
  </si>
  <si>
    <t>PI-20190717A
(PI-20191009007)</t>
  </si>
  <si>
    <t>50pcs - Kuehne&amp;Nagel / 20pcs - UPS expedited (1W5651)</t>
  </si>
  <si>
    <t>VK57562173</t>
  </si>
  <si>
    <t>VH34932018</t>
  </si>
  <si>
    <r>
      <rPr>
        <sz val="10"/>
        <color rgb="FF000000"/>
        <rFont val="arial,sans,sans-serif"/>
      </rPr>
      <t xml:space="preserve">PI-20190717A
(PI-20191009007)
</t>
    </r>
    <r>
      <rPr>
        <b/>
        <sz val="10"/>
        <color rgb="FF0000FF"/>
        <rFont val="arial,sans,sans-serif"/>
      </rPr>
      <t xml:space="preserve">(IQC檢驗CPU) </t>
    </r>
    <r>
      <rPr>
        <sz val="10"/>
        <color rgb="FF000000"/>
        <rFont val="arial,sans,sans-serif"/>
      </rPr>
      <t xml:space="preserve">  </t>
    </r>
  </si>
  <si>
    <t>PI-20190717C</t>
  </si>
  <si>
    <t>減：折讓</t>
  </si>
  <si>
    <t>Elgens</t>
  </si>
  <si>
    <r>
      <rPr>
        <sz val="10"/>
        <color rgb="FF000000"/>
        <rFont val="Arial"/>
        <family val="2"/>
      </rPr>
      <t xml:space="preserve">PI-20190717C
</t>
    </r>
    <r>
      <rPr>
        <b/>
        <sz val="10"/>
        <color rgb="FF0000FF"/>
        <rFont val="Arial"/>
        <family val="2"/>
      </rPr>
      <t>(更改序號貼紙)</t>
    </r>
  </si>
  <si>
    <t>719_IMC-21GA
(S/N:PI20190717C0010~0034)</t>
  </si>
  <si>
    <t>SP18393872</t>
  </si>
  <si>
    <t>719_LM-7000H-4GTX
(S/N:PI20190717C0004~0005)</t>
  </si>
  <si>
    <t>719_LM-7000H-4GSFP
(S/N:PI20190717C0009)</t>
  </si>
  <si>
    <t>SP18393920</t>
  </si>
  <si>
    <t>719_PT-G7728
(S/N:PI20190717C0003)</t>
  </si>
  <si>
    <t>719_IMC-21GA
(S/N:PI20190717C0035~0069)</t>
  </si>
  <si>
    <t>SP18393921</t>
  </si>
  <si>
    <t>719_LM-7000H-4GSFP
(S/N:PI20190717C0006~0008)</t>
  </si>
  <si>
    <t>719_PWR-LV-P48
(S/N:PI20190717C0001~0002)</t>
  </si>
  <si>
    <t>719_EDS-G512E-4GSFP-T
(S/N:PI20190717C0093~0106)</t>
  </si>
  <si>
    <t>SP18393994</t>
  </si>
  <si>
    <t>719_PT-G7728
(S/N:PI20190717C0070)</t>
  </si>
  <si>
    <t>719_EDS-G512E-4GSFP-T
(S/N:PI20190717C0073~0092)</t>
  </si>
  <si>
    <t>SP18393995</t>
  </si>
  <si>
    <t>719_PWR-LV-P48
(S/N:PI20190717C0071~0072)</t>
  </si>
  <si>
    <t>PI-20190717D</t>
  </si>
  <si>
    <t>TDM-173WGARB-EU
(S/N:MO20190717D0001)</t>
  </si>
  <si>
    <t>P190717NP0</t>
  </si>
  <si>
    <t>PI-20190717E(超恩組裝/FAE貼DRAM貼紙)</t>
  </si>
  <si>
    <t>719_ECX-1000-2R
(s/n:K19G110012~24)</t>
  </si>
  <si>
    <t>RP38239477</t>
  </si>
  <si>
    <t>719_D4S-8G24H1G8C1 8G DDR4 SO-DIMM(0- 85°C)</t>
  </si>
  <si>
    <t>RP56212864</t>
  </si>
  <si>
    <t>PI-20190628A-F</t>
  </si>
  <si>
    <t>elgens DHL</t>
  </si>
  <si>
    <t>SU72029848</t>
  </si>
  <si>
    <t>PO201907190007</t>
  </si>
  <si>
    <t>PI-20190719A</t>
  </si>
  <si>
    <t>719_NPort-5130A(US)</t>
  </si>
  <si>
    <t>SP18393201</t>
  </si>
  <si>
    <t>719_EDS-208</t>
  </si>
  <si>
    <t>PO-1080</t>
  </si>
  <si>
    <r>
      <rPr>
        <sz val="10"/>
        <color rgb="FF000000"/>
        <rFont val="Arial"/>
        <family val="2"/>
      </rPr>
      <t xml:space="preserve">PI-20190719B-1
(PI-20191007006)
</t>
    </r>
    <r>
      <rPr>
        <b/>
        <sz val="10"/>
        <color rgb="FF0000FF"/>
        <rFont val="Arial"/>
        <family val="2"/>
      </rPr>
      <t>(抽驗客供品外觀)</t>
    </r>
    <r>
      <rPr>
        <sz val="10"/>
        <color rgb="FF000000"/>
        <rFont val="Arial"/>
        <family val="2"/>
      </rPr>
      <t xml:space="preserve"> </t>
    </r>
  </si>
  <si>
    <t>PDK-P104SOB-EC (With AG coating) 
1). AA104XG12 ( 客供)</t>
  </si>
  <si>
    <t>12月</t>
  </si>
  <si>
    <t>PI-20190719B-1 
(PI-20191007006)</t>
  </si>
  <si>
    <t>2). HS AB-3810404012111210850 R01</t>
  </si>
  <si>
    <t>3). Optical Bonding</t>
  </si>
  <si>
    <r>
      <rPr>
        <sz val="10"/>
        <color rgb="FF000000"/>
        <rFont val="Arial"/>
        <family val="2"/>
      </rPr>
      <t>PI-20190719B-1 
(PI-20191007006)</t>
    </r>
    <r>
      <rPr>
        <b/>
        <sz val="10"/>
        <color rgb="FF0000FF"/>
        <rFont val="Arial"/>
        <family val="2"/>
      </rPr>
      <t xml:space="preserve">
(成品回廠需做IQC) </t>
    </r>
  </si>
  <si>
    <t xml:space="preserve">5) AG coating  </t>
  </si>
  <si>
    <t>PI-20190719B-2
(PI-20191007006)</t>
  </si>
  <si>
    <t>4). NRE Charge</t>
  </si>
  <si>
    <r>
      <rPr>
        <sz val="10"/>
        <color rgb="FF000000"/>
        <rFont val="Arial"/>
        <family val="2"/>
      </rPr>
      <t xml:space="preserve">PI-20190719B-2
(PI-20191007006)
</t>
    </r>
    <r>
      <rPr>
        <b/>
        <sz val="10"/>
        <color rgb="FF0000FF"/>
        <rFont val="Arial"/>
        <family val="2"/>
      </rPr>
      <t>(成品回廠需做IQC)</t>
    </r>
  </si>
  <si>
    <t>TL53221675</t>
  </si>
  <si>
    <r>
      <rPr>
        <sz val="10"/>
        <color rgb="FF000000"/>
        <rFont val="Arial"/>
        <family val="2"/>
      </rPr>
      <t xml:space="preserve">PI-20190719B-2
(PI-20191007006)
</t>
    </r>
    <r>
      <rPr>
        <b/>
        <sz val="10"/>
        <color rgb="FF0000FF"/>
        <rFont val="Arial"/>
        <family val="2"/>
      </rPr>
      <t>(抽驗客供品外觀)</t>
    </r>
    <r>
      <rPr>
        <sz val="10"/>
        <color rgb="FF000000"/>
        <rFont val="Arial"/>
        <family val="2"/>
      </rPr>
      <t xml:space="preserve"> </t>
    </r>
  </si>
  <si>
    <t>PDK-P104SOB-EC (w/o special treatment)
1). AA104XG12 ( 客供)</t>
  </si>
  <si>
    <t>PI-20190719B-2 
(PI-20191007006)</t>
  </si>
  <si>
    <t>TL53407800</t>
  </si>
  <si>
    <t>11676(8PCS)</t>
  </si>
  <si>
    <t>PI-20190719B-3
(PI-20191007002)</t>
  </si>
  <si>
    <t xml:space="preserve">UPS:WF1740
Express </t>
  </si>
  <si>
    <r>
      <rPr>
        <sz val="10"/>
        <color rgb="FF000000"/>
        <rFont val="Arial"/>
        <family val="2"/>
      </rPr>
      <t xml:space="preserve">PI-20190719B-3
(PI-20191007002)
</t>
    </r>
    <r>
      <rPr>
        <b/>
        <sz val="10"/>
        <color rgb="FF0000FF"/>
        <rFont val="Arial"/>
        <family val="2"/>
      </rPr>
      <t>(成品回廠需IQC检驗)</t>
    </r>
  </si>
  <si>
    <t>TL53221654</t>
  </si>
  <si>
    <r>
      <rPr>
        <sz val="10"/>
        <color rgb="FF000000"/>
        <rFont val="Arial"/>
        <family val="2"/>
      </rPr>
      <t xml:space="preserve">PI-20190719B-3
(PI-20191007002)
</t>
    </r>
    <r>
      <rPr>
        <b/>
        <sz val="10"/>
        <color rgb="FF0000FF"/>
        <rFont val="Arial"/>
        <family val="2"/>
      </rPr>
      <t xml:space="preserve">(抽驗客供品外觀) </t>
    </r>
  </si>
  <si>
    <t>PDK-P150SOB-EC (w/o special treatment)
1). AA150XW14 ( 客供)</t>
  </si>
  <si>
    <t xml:space="preserve">PI-20190719B-3
(PI-20191007002)  </t>
  </si>
  <si>
    <t>2). HS AB-3815004012111210850 R01</t>
  </si>
  <si>
    <t>2019/09/12
2019/09/20</t>
  </si>
  <si>
    <t>TL53407786
TL53407799</t>
  </si>
  <si>
    <t>12,516(8PCS)
4,694(3PCS)</t>
  </si>
  <si>
    <t>2019/11/08.2019/11/14</t>
  </si>
  <si>
    <r>
      <rPr>
        <sz val="10"/>
        <color rgb="FF000000"/>
        <rFont val="Arial"/>
        <family val="2"/>
      </rPr>
      <t xml:space="preserve">PI-20190719B-4
(PI-20191007007)
</t>
    </r>
    <r>
      <rPr>
        <b/>
        <sz val="10"/>
        <color rgb="FF0000FF"/>
        <rFont val="Arial"/>
        <family val="2"/>
      </rPr>
      <t>(抽驗客供品外觀) &amp;外箱需有LCD序號</t>
    </r>
  </si>
  <si>
    <t>PDK-P150SOB-EC (w/AG Film) 
1). AA150XW14 ( 客供)</t>
  </si>
  <si>
    <t>2019/12/05*2PCS 
2019/11/12*2 PCS</t>
  </si>
  <si>
    <t>PI-20190719B-4 
(PI-20191007007)</t>
  </si>
  <si>
    <t xml:space="preserve">PI-20190719B-4
(PI-20191007007)  </t>
  </si>
  <si>
    <t>VH53441716(2PCS)</t>
  </si>
  <si>
    <t>PI-20190719C</t>
  </si>
  <si>
    <t>TA84254231</t>
  </si>
  <si>
    <t xml:space="preserve">PI-20190719B-4
(PI-20191007006)  
</t>
  </si>
  <si>
    <t xml:space="preserve">4) AG film  </t>
  </si>
  <si>
    <r>
      <rPr>
        <sz val="10"/>
        <color rgb="FF000000"/>
        <rFont val="Arial"/>
        <family val="2"/>
      </rPr>
      <t xml:space="preserve">2019/12/05*2PCS 
</t>
    </r>
    <r>
      <rPr>
        <sz val="10"/>
        <color rgb="FF000000"/>
        <rFont val="Arial"/>
        <family val="2"/>
      </rPr>
      <t>2019/11/12*2 PCS</t>
    </r>
  </si>
  <si>
    <r>
      <rPr>
        <sz val="10"/>
        <color rgb="FF000000"/>
        <rFont val="Arial"/>
        <family val="2"/>
      </rPr>
      <t xml:space="preserve">PI-20190719B-4
(PI-20191007007)  
</t>
    </r>
    <r>
      <rPr>
        <b/>
        <sz val="10"/>
        <color rgb="FF0000FF"/>
        <rFont val="Arial"/>
        <family val="2"/>
      </rPr>
      <t>(成品回廠需IQC检驗)&amp;外箱需有LCD序號</t>
    </r>
  </si>
  <si>
    <t>5) 719_15-AG-film-tap</t>
  </si>
  <si>
    <t>PI-20190722A</t>
  </si>
  <si>
    <t>04-SH1-BFPF156-171A
15.6" thinner frame</t>
  </si>
  <si>
    <t>TPM-68156040001
15.6" P-cap touch with touch controller</t>
  </si>
  <si>
    <t>waterproof tapes and glues</t>
  </si>
  <si>
    <t>PO201907220006</t>
  </si>
  <si>
    <t>PI-20190722B</t>
  </si>
  <si>
    <t>SP18393200</t>
  </si>
  <si>
    <t>PO/IMP/063</t>
  </si>
  <si>
    <t>PI-20190722C</t>
  </si>
  <si>
    <t>719_CP-114UL-DB9M V1.0</t>
  </si>
  <si>
    <t>SP18393844</t>
  </si>
  <si>
    <t>SP18393873</t>
  </si>
  <si>
    <t>PI-20190722D</t>
  </si>
  <si>
    <t>RR40234028</t>
  </si>
  <si>
    <t>PI-20190723C</t>
  </si>
  <si>
    <t>SP18393183</t>
  </si>
  <si>
    <t>719_MGate MB3180</t>
  </si>
  <si>
    <t>STAUT</t>
  </si>
  <si>
    <t>2407_19</t>
  </si>
  <si>
    <t>PI-20190723D(FAE換P/N Label )</t>
  </si>
  <si>
    <t>719_CPCI-3510G/4700E/M4
(S/N:PI20190723D0001~0007)</t>
  </si>
  <si>
    <t>RP36526430</t>
  </si>
  <si>
    <t>PO201907250012</t>
  </si>
  <si>
    <t>PI-20190725A</t>
  </si>
  <si>
    <t>719_CP-134EL-A-I-DB25M</t>
  </si>
  <si>
    <t>SP18393996</t>
  </si>
  <si>
    <t xml:space="preserve">PI-20190726A </t>
  </si>
  <si>
    <t>719_UE-1004
(s/n:1922212000346)</t>
  </si>
  <si>
    <t>Vecow超恩</t>
  </si>
  <si>
    <t>RP38239478</t>
  </si>
  <si>
    <t xml:space="preserve"> P190726VA0</t>
  </si>
  <si>
    <t>PI-20190726B(FAE IQC+組裝/貼DRAM貼紙)</t>
  </si>
  <si>
    <t>719_Nuvo-7002LP
(S/N:J3202860~2864)</t>
  </si>
  <si>
    <t>RP34835105</t>
  </si>
  <si>
    <t>RP38239492</t>
  </si>
  <si>
    <t>D4S-8G24H1G8C1</t>
  </si>
  <si>
    <t>RP56212882</t>
  </si>
  <si>
    <t xml:space="preserve">PO-1322019 </t>
  </si>
  <si>
    <t xml:space="preserve">PI-20190730A </t>
  </si>
  <si>
    <t>UL18393133</t>
  </si>
  <si>
    <t>PI-20190704A-F</t>
  </si>
  <si>
    <t>ELGENS DHL</t>
  </si>
  <si>
    <t>SU72113529</t>
  </si>
  <si>
    <t>PB2019-EL</t>
  </si>
  <si>
    <t>PI-20190731A</t>
  </si>
  <si>
    <t>719_Nport IA5250A</t>
  </si>
  <si>
    <t>SP18393887</t>
  </si>
  <si>
    <t>719_Mini DB9F-to-TB</t>
  </si>
  <si>
    <t>719_Nport IA5150AI-T</t>
  </si>
  <si>
    <t>330-19071299</t>
  </si>
  <si>
    <t>PI-20190731B</t>
  </si>
  <si>
    <t>SP18394116</t>
  </si>
  <si>
    <t>PI-20190801A</t>
  </si>
  <si>
    <t>AWK-1137C-US</t>
  </si>
  <si>
    <t>SP18394172</t>
  </si>
  <si>
    <t>SU72135896</t>
  </si>
  <si>
    <t>PI-20190801A-1</t>
  </si>
  <si>
    <t>PI-20190801B</t>
  </si>
  <si>
    <t>SP18393877</t>
  </si>
  <si>
    <t>719_ IA240-LX</t>
  </si>
  <si>
    <t>719_IMC-101-M-SC</t>
  </si>
  <si>
    <t>PI-20190801C</t>
  </si>
  <si>
    <t>PO-1342019</t>
  </si>
  <si>
    <t>PI-20190801D</t>
  </si>
  <si>
    <t>APO-1900801</t>
  </si>
  <si>
    <t xml:space="preserve">PI-20190801E </t>
  </si>
  <si>
    <t>PI-20190717E-F</t>
  </si>
  <si>
    <t>SU72120826</t>
  </si>
  <si>
    <t>台灣脈動股份有限公司</t>
  </si>
  <si>
    <t>統編: 25041149</t>
  </si>
  <si>
    <t>PI-20190806B</t>
  </si>
  <si>
    <t>代墊參展費用 (25% of 2019 SPS大會展費 Euro6380 )</t>
  </si>
  <si>
    <t>Combined with Elgens shipment</t>
  </si>
  <si>
    <t>2019/08/06開立發票</t>
  </si>
  <si>
    <t>PO140601-1</t>
  </si>
  <si>
    <t>PI-20190808A
(PI-20191003002 )</t>
  </si>
  <si>
    <t>2019/10/7</t>
  </si>
  <si>
    <t>UL18393841</t>
  </si>
  <si>
    <t>PI-20190808A
(PI-20191003002)</t>
  </si>
  <si>
    <t>2019/10/07</t>
  </si>
  <si>
    <t>PI-20190812A</t>
  </si>
  <si>
    <t>719_Nport IA5250A          </t>
  </si>
  <si>
    <t>SP18394022</t>
  </si>
  <si>
    <t>AVZA</t>
  </si>
  <si>
    <t>PI-20190813A</t>
  </si>
  <si>
    <t>719_Aten to Serial Convertor 
UC232A USB to RS-232 (35CM)
(Invoice show: Personal Computer Aten USB to Serial Convertor)</t>
  </si>
  <si>
    <t xml:space="preserve">TNT #3002622  Express </t>
  </si>
  <si>
    <t>RR42911371</t>
  </si>
  <si>
    <t xml:space="preserve">719_NPort W2150A
(Invoice show: Personal Computer Nport Ethernet Converter(W2150)) </t>
  </si>
  <si>
    <t>UL18392866</t>
  </si>
  <si>
    <t>PI-20190813A-1</t>
  </si>
  <si>
    <t xml:space="preserve">719_ANT-WSB-AHRM-05-1.5m
(Invoice show: Personal Computer Wifi Module(AHRM-05-1.5m) </t>
  </si>
  <si>
    <t>PO201908130008</t>
  </si>
  <si>
    <t>PI-20190813B</t>
  </si>
  <si>
    <t xml:space="preserve">719_Mini DB9F-to-TB </t>
  </si>
  <si>
    <t>SP18394092</t>
  </si>
  <si>
    <t>PI-20190813C</t>
  </si>
  <si>
    <t>719_EDS-316</t>
  </si>
  <si>
    <t>SP18394079</t>
  </si>
  <si>
    <t>PI-20190814A</t>
  </si>
  <si>
    <t xml:space="preserve"> 719_NPort 5650-8-DT w/ European adapter</t>
  </si>
  <si>
    <t>UL18393002</t>
  </si>
  <si>
    <t xml:space="preserve">19/0404M </t>
  </si>
  <si>
    <t>PI-20190814C</t>
  </si>
  <si>
    <t>719_ADAM-4017-DE</t>
  </si>
  <si>
    <t>RR40237338</t>
  </si>
  <si>
    <t>ti2 Pty Ltd</t>
  </si>
  <si>
    <t>PI-20190726B-F</t>
  </si>
  <si>
    <t>SU72126845</t>
  </si>
  <si>
    <t>PI-20190815A</t>
  </si>
  <si>
    <t>SP18394262</t>
  </si>
  <si>
    <r>
      <rPr>
        <sz val="10"/>
        <color rgb="FF000000"/>
        <rFont val="Arial"/>
        <family val="2"/>
      </rPr>
      <t xml:space="preserve">PI-20190815B
(PI-20191007001)
</t>
    </r>
    <r>
      <rPr>
        <b/>
        <sz val="10"/>
        <color rgb="FF0000FF"/>
        <rFont val="Arial"/>
        <family val="2"/>
      </rPr>
      <t>(物料回公司後需檢驗)</t>
    </r>
  </si>
  <si>
    <t>15"bonding + EMI with AG/AR</t>
  </si>
  <si>
    <t>TL53221646</t>
  </si>
  <si>
    <r>
      <rPr>
        <sz val="10"/>
        <color rgb="FF000000"/>
        <rFont val="Arial"/>
        <family val="2"/>
      </rPr>
      <t>PI-20190815B
(PI-20191007001)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(LCD 需進料檢驗)</t>
    </r>
  </si>
  <si>
    <t>MITSUBISHI 15" LCD (AA150PD13)</t>
  </si>
  <si>
    <t>PI-20190524B-F</t>
  </si>
  <si>
    <t>UPS Freight</t>
  </si>
  <si>
    <t>代墊UPS 運費</t>
  </si>
  <si>
    <t xml:space="preserve">19/0410M </t>
  </si>
  <si>
    <t>PI-20190819A</t>
  </si>
  <si>
    <t>719_Nport5230T</t>
  </si>
  <si>
    <t>SP18394148</t>
  </si>
  <si>
    <t>719_Nport5210T</t>
  </si>
  <si>
    <t>719_CBL-RJ45SM9-150</t>
  </si>
  <si>
    <t>UL18393010</t>
  </si>
  <si>
    <t>閎亮</t>
  </si>
  <si>
    <t>APO-1900821</t>
  </si>
  <si>
    <t>PI-20190820B</t>
  </si>
  <si>
    <t>PO00043</t>
  </si>
  <si>
    <r>
      <rPr>
        <sz val="10"/>
        <color rgb="FF000000"/>
        <rFont val="Arial"/>
        <family val="2"/>
      </rPr>
      <t xml:space="preserve">PI-20190820A
(PI-20191002002)
</t>
    </r>
    <r>
      <rPr>
        <b/>
        <sz val="10"/>
        <color rgb="FF0000FF"/>
        <rFont val="Arial"/>
        <family val="2"/>
      </rPr>
      <t xml:space="preserve">(成品回廠請確認又否安裝CFast Card於內) </t>
    </r>
  </si>
  <si>
    <t>Cathy/Yvonne</t>
  </si>
  <si>
    <t xml:space="preserve">TNT </t>
  </si>
  <si>
    <t>PI-20190820A
(PI-20191002002)</t>
  </si>
  <si>
    <r>
      <rPr>
        <sz val="10"/>
        <color rgb="FF000000"/>
        <rFont val="Arial"/>
        <family val="2"/>
      </rPr>
      <t xml:space="preserve">719_CFast Card 8GB (MLC) 
</t>
    </r>
    <r>
      <rPr>
        <b/>
        <sz val="10"/>
        <color rgb="FF0000FF"/>
        <rFont val="Arial"/>
        <family val="2"/>
      </rPr>
      <t xml:space="preserve">(0911 Yap:須直接裝在系統內)
</t>
    </r>
    <r>
      <rPr>
        <sz val="10"/>
        <color rgb="FF0000FF"/>
        <rFont val="Arial"/>
        <family val="2"/>
      </rPr>
      <t>w/ Debian 7 pre-installed</t>
    </r>
  </si>
  <si>
    <t>719_CBL-M12(FF5P)/ OPEN-100 IP67</t>
  </si>
  <si>
    <t>719_CBL-M12XMM8PRJ45-BK-100-IP67</t>
  </si>
  <si>
    <t xml:space="preserve">TNT 
</t>
  </si>
  <si>
    <t>PI-20190821A</t>
  </si>
  <si>
    <t>719_ADAM-4060-DE</t>
  </si>
  <si>
    <t>RR40237468</t>
  </si>
  <si>
    <t>330-19080612</t>
  </si>
  <si>
    <t>PI-20190821B</t>
  </si>
  <si>
    <t>UL18393073</t>
  </si>
  <si>
    <t>PO201908210016</t>
  </si>
  <si>
    <t>PI-20190821C</t>
  </si>
  <si>
    <t>SP18394229</t>
  </si>
  <si>
    <t>KG201908000001</t>
  </si>
  <si>
    <t>PI-20190823A</t>
  </si>
  <si>
    <t>RP08792550</t>
  </si>
  <si>
    <t>TL08821250</t>
  </si>
  <si>
    <t>PI-20190826A</t>
  </si>
  <si>
    <t>02-BE0-R232285-001A
(98H3/98E6_422/485 +232 Y CABLE (加長版)</t>
  </si>
  <si>
    <t>ELGENS TNT FREIGHT</t>
  </si>
  <si>
    <t>TN21486830</t>
  </si>
  <si>
    <t>PO-8998</t>
  </si>
  <si>
    <t>Protective glass, 7", bonded
1906-0701-001
Not to be bonded.</t>
  </si>
  <si>
    <t>PO/IMP/077</t>
  </si>
  <si>
    <t>PI-20190828A</t>
  </si>
  <si>
    <t>719_NPORT-5130/EU
(84715000)</t>
  </si>
  <si>
    <t>UL18392915</t>
  </si>
  <si>
    <t>719_IMC-21-M-ST</t>
  </si>
  <si>
    <t>719_UPORT-1150 
(84733099)</t>
  </si>
  <si>
    <t>719_NPORT-5150/EU
(84715000)</t>
  </si>
  <si>
    <t>PI-20190829A</t>
  </si>
  <si>
    <t xml:space="preserve">TNT account: </t>
  </si>
  <si>
    <t>UL18392916</t>
  </si>
  <si>
    <t>TNT account</t>
  </si>
  <si>
    <t>PO201908290022</t>
  </si>
  <si>
    <t>PI-20190829B</t>
  </si>
  <si>
    <t>719_NPort5650I-8-DT/US</t>
  </si>
  <si>
    <t>UL18392951</t>
  </si>
  <si>
    <t>P190902NP0</t>
  </si>
  <si>
    <t>PI-20190902A</t>
  </si>
  <si>
    <t>LPC-P121S-10VYRG2
(S/N:MO20190902A0001~0007)</t>
  </si>
  <si>
    <t>719_D3S-8G18S518C1 DDR3L 8G DRAM</t>
  </si>
  <si>
    <t>719_SSB256GPTCB3T-S114 ( Phison 256g SSD )</t>
  </si>
  <si>
    <t>719_WFK-524 Wifi module</t>
  </si>
  <si>
    <t>719_07-AE0-W16W600-001A wifi cable</t>
  </si>
  <si>
    <t>719_6EU-00031 win10 Iot</t>
  </si>
  <si>
    <t>PI-20190902A-1</t>
  </si>
  <si>
    <t>LPC-P121S-10VYRG2
(S/N:MO20190902A0008)</t>
  </si>
  <si>
    <t>elgens DHL ( 抵RMA運費) cost at Elgens</t>
  </si>
  <si>
    <t>UR72134903</t>
  </si>
  <si>
    <t>P190912NP0</t>
  </si>
  <si>
    <t>PI-20190902A-2</t>
  </si>
  <si>
    <t>LPC-P121S-10VYRG2
(S/N:MO20190902A0009)</t>
  </si>
  <si>
    <t>PI-20190904A</t>
  </si>
  <si>
    <t>UL18392983</t>
  </si>
  <si>
    <t>719_Nport 5650-8-DTL</t>
  </si>
  <si>
    <t>UL18393074</t>
  </si>
  <si>
    <t>P190905NP0</t>
  </si>
  <si>
    <t>PI-20190905A</t>
  </si>
  <si>
    <t>719_PFN-2055 CR</t>
  </si>
  <si>
    <t>UY94082320</t>
  </si>
  <si>
    <t>P190905NP3</t>
  </si>
  <si>
    <t>PI-20190905B
(FAE Check CPU &amp;加DRAM貼紙)</t>
  </si>
  <si>
    <t>719_ECX-1000-2R</t>
  </si>
  <si>
    <t>TL38169021</t>
  </si>
  <si>
    <t>719_intel i5-8500T ( vecow )</t>
  </si>
  <si>
    <t>719_D4S-8G24H1G8C1</t>
  </si>
  <si>
    <t>TL37060876</t>
  </si>
  <si>
    <t>PO201909060012</t>
  </si>
  <si>
    <t>PI-20190906A</t>
  </si>
  <si>
    <t>719_NPort5610-8-DT-J/TW</t>
  </si>
  <si>
    <t>UL18393037</t>
  </si>
  <si>
    <t>G8288</t>
  </si>
  <si>
    <t>PI-20190906B</t>
  </si>
  <si>
    <t>UL18393180</t>
  </si>
  <si>
    <t>719_MGate MB3270</t>
  </si>
  <si>
    <t>PI-20190909A
(PI-20191014003)</t>
  </si>
  <si>
    <t xml:space="preserve">719_NPort 5110  (84715000) /EU </t>
  </si>
  <si>
    <t>719_NPort 5130 (84715000)/ EU</t>
  </si>
  <si>
    <r>
      <rPr>
        <sz val="10"/>
        <color rgb="FF000000"/>
        <rFont val="Arial"/>
        <family val="2"/>
      </rPr>
      <t>719_NPort 5150  (84715000)</t>
    </r>
    <r>
      <rPr>
        <sz val="10"/>
        <color rgb="FF000000"/>
        <rFont val="Arial"/>
        <family val="2"/>
      </rPr>
      <t xml:space="preserve"> / EU</t>
    </r>
  </si>
  <si>
    <t>719_UPort 1130</t>
  </si>
  <si>
    <t>719_UPort 1150 (84733099)</t>
  </si>
  <si>
    <t xml:space="preserve">captec </t>
  </si>
  <si>
    <t>Evaluation
PI-20190910A</t>
  </si>
  <si>
    <t xml:space="preserve">LPC-P150S-28+adaptor+展示架 </t>
  </si>
  <si>
    <t>transfer from Accuview(freight prepaid )</t>
  </si>
  <si>
    <t>進行中</t>
  </si>
  <si>
    <t>pi-20190905A-F</t>
  </si>
  <si>
    <t>UR72013131</t>
  </si>
  <si>
    <t>P1082</t>
  </si>
  <si>
    <r>
      <rPr>
        <sz val="10"/>
        <color rgb="FF000000"/>
        <rFont val="Arial"/>
        <family val="2"/>
      </rPr>
      <t xml:space="preserve">PI-20190910B
</t>
    </r>
    <r>
      <rPr>
        <b/>
        <sz val="10"/>
        <color rgb="FF0000FF"/>
        <rFont val="Arial"/>
        <family val="2"/>
      </rPr>
      <t>(需bank確認後出貨)</t>
    </r>
  </si>
  <si>
    <t xml:space="preserve">sample of glass + AG film (10.1")   </t>
  </si>
  <si>
    <t>TL51887568</t>
  </si>
  <si>
    <t>sample of AR glass with coating (around 10.1") SLB</t>
  </si>
  <si>
    <t xml:space="preserve">sample of AG glass with coating (17")-&gt; change to 10.1" </t>
  </si>
  <si>
    <t>IG-19-1300569</t>
  </si>
  <si>
    <t>PI-20190910C</t>
  </si>
  <si>
    <t>719_CP-118EL-A w/o cable</t>
  </si>
  <si>
    <t>UL18393093</t>
  </si>
  <si>
    <t>719_CP-104EL-A-DB9M</t>
  </si>
  <si>
    <t>719_CP-118U-I</t>
  </si>
  <si>
    <t>719_CBL-M78M9x8-100</t>
  </si>
  <si>
    <t>GID Industrial</t>
  </si>
  <si>
    <t xml:space="preserve">Evaluation
PI-20190912A </t>
  </si>
  <si>
    <t xml:space="preserve">sample of LPC-P173W-26 for testing </t>
  </si>
  <si>
    <t>F</t>
  </si>
  <si>
    <t>免付</t>
  </si>
  <si>
    <t>PI-20190913A</t>
  </si>
  <si>
    <t>719_ADAM-4015-CE</t>
  </si>
  <si>
    <t>VD40224503</t>
  </si>
  <si>
    <t>PI-20190913B
(PI-20191009001)</t>
  </si>
  <si>
    <t>8GB DRAM (D4S-8G24H1G8W1 )</t>
  </si>
  <si>
    <t>LPC-P185W-16
(S/N: PD20190918A0001)</t>
  </si>
  <si>
    <t>#7185</t>
  </si>
  <si>
    <t xml:space="preserve">PI-20190916A </t>
  </si>
  <si>
    <t>719_RJJL4A-4WH1-FP0-0R</t>
  </si>
  <si>
    <t>FedEx acct: 584168781</t>
  </si>
  <si>
    <t xml:space="preserve">ICM-MA50H-SS52-1151(LF)(SN) </t>
  </si>
  <si>
    <t xml:space="preserve">extra shipping cost from China
(for ICM-MA50H-SS52-1151(LF)(SN)*6 pcs) </t>
  </si>
  <si>
    <t>PO-1492019</t>
  </si>
  <si>
    <t>PI-20190917A
(PI-20191017003)</t>
  </si>
  <si>
    <t>UL18393755</t>
  </si>
  <si>
    <t>PI-20190917B</t>
  </si>
  <si>
    <t>晉越國際</t>
  </si>
  <si>
    <t>UL18393167</t>
  </si>
  <si>
    <t>PI-20190917C</t>
  </si>
  <si>
    <t>719_LM-7000H-4GSFP</t>
  </si>
  <si>
    <t>UL18393121</t>
  </si>
  <si>
    <t>719_LM-7000H-4GTX</t>
  </si>
  <si>
    <t>PI-20190919A
(PI-20191009010)</t>
  </si>
  <si>
    <t>719_ADAM-5000/485-AE</t>
  </si>
  <si>
    <t>VD40225255</t>
  </si>
  <si>
    <t>719_ADAM-5051S-AE</t>
  </si>
  <si>
    <t>719_ADAM-5056-AE</t>
  </si>
  <si>
    <t>719_ADAM-5069-AE</t>
  </si>
  <si>
    <t>PI-20190902A-F</t>
  </si>
  <si>
    <t>PROxis
(LLC «DISTI-PRO»)</t>
  </si>
  <si>
    <t>PI-20190923A
(PI-20191003003)</t>
  </si>
  <si>
    <t>719_ Nport IA5250A</t>
  </si>
  <si>
    <t>WH18392866</t>
  </si>
  <si>
    <t>719_IA240-LX</t>
  </si>
  <si>
    <t>719_TCF-142-M-ST-T</t>
  </si>
  <si>
    <t>719_DK35A</t>
  </si>
  <si>
    <t>PI-20190923B
(PI-20191009009)</t>
  </si>
  <si>
    <t>TM22879316</t>
  </si>
  <si>
    <t xml:space="preserve">20190926-AA </t>
  </si>
  <si>
    <t>PI-20190925A
(PI-20191014004)</t>
  </si>
  <si>
    <t>TL36496068</t>
  </si>
  <si>
    <r>
      <rPr>
        <sz val="10"/>
        <color rgb="FF000000"/>
        <rFont val="Arial"/>
        <family val="2"/>
      </rPr>
      <t xml:space="preserve">PI-20190925B
(PI-20191007008)
</t>
    </r>
    <r>
      <rPr>
        <b/>
        <sz val="10"/>
        <color rgb="FF0000FF"/>
        <rFont val="Arial"/>
        <family val="2"/>
      </rPr>
      <t>(成品進貨請IQC)</t>
    </r>
  </si>
  <si>
    <t>PDK-P150SOBAR-HC, 
including 3 items
1) RTPC150-H30006-U with 3 mm AR glass</t>
  </si>
  <si>
    <t>VH43262605</t>
  </si>
  <si>
    <t>PI-20190925B
(PI-20191007008)</t>
  </si>
  <si>
    <t xml:space="preserve">3) 15" Mitsubishi LCD from Hectronic
(AA150XT01) </t>
  </si>
  <si>
    <t>PI-20190927A
(PI-20191017002)</t>
  </si>
  <si>
    <t>UL18393789</t>
  </si>
  <si>
    <t>PI-20190930A
(PI-20191004002)</t>
  </si>
  <si>
    <t>719_ACP-4020MB-40ZE</t>
  </si>
  <si>
    <t>VD40227894</t>
  </si>
  <si>
    <t>719_AIMB-785G2-00A1E</t>
  </si>
  <si>
    <t>719_GHB-120ATXR</t>
  </si>
  <si>
    <t>TL40964119</t>
  </si>
  <si>
    <t>PI-20190930B
(PI-20191003005)</t>
  </si>
  <si>
    <t>TL51887625</t>
  </si>
  <si>
    <t>PDK-170S-TE</t>
  </si>
  <si>
    <t>PI-20191001A
(PI-20191002001)</t>
  </si>
  <si>
    <t>WH18392825</t>
  </si>
  <si>
    <t>PROXIS
(LLC «DISTI-PRO»)</t>
  </si>
  <si>
    <t>PI-20191001B
(PI-20191007009)</t>
  </si>
  <si>
    <t>719_ ACL-8216</t>
  </si>
  <si>
    <t>UZ15542851</t>
  </si>
  <si>
    <t>719_ACL-7122</t>
  </si>
  <si>
    <t>19/0467M</t>
  </si>
  <si>
    <t>PI-20191001E
(PI-20191003001)</t>
  </si>
  <si>
    <t>719_EDS-205A-S-SC-T</t>
  </si>
  <si>
    <t xml:space="preserve">AMY/ Yvonne </t>
  </si>
  <si>
    <t>719_NPort 5110A-T</t>
  </si>
  <si>
    <t>719_ISD-1210-T</t>
  </si>
  <si>
    <t>IG-19-1300653</t>
  </si>
  <si>
    <t>PI-20191002A
(PI-20191004001)</t>
  </si>
  <si>
    <t>719_CP-118U</t>
  </si>
  <si>
    <t>WH18392786</t>
  </si>
  <si>
    <t>PI-20191003A
(PI-20191003004)</t>
  </si>
  <si>
    <t>VD40228019</t>
  </si>
  <si>
    <t>PI-20191005A
(PI-20191008001)</t>
  </si>
  <si>
    <t>VD40228166</t>
  </si>
  <si>
    <t>719_FPM-2170G-R3BE</t>
  </si>
  <si>
    <t>PI-20190620A-T
(PI-20191007005)</t>
  </si>
  <si>
    <t xml:space="preserve">UPS TAX </t>
  </si>
  <si>
    <t>PI-20191007010</t>
  </si>
  <si>
    <t>LPC-P185WHOB-25SG3
(S/N:2019100900001001)</t>
  </si>
  <si>
    <t>PI-20191007011</t>
  </si>
  <si>
    <t>LPC-P185WHOB-25SG3
(S/N:2019100900002001~007)
add 2nd year warranty</t>
  </si>
  <si>
    <t>PI-20191008002</t>
  </si>
  <si>
    <t>719_cPCI-8301</t>
  </si>
  <si>
    <t>UZ15542944</t>
  </si>
  <si>
    <t>719_DGS25-16GD81BW3DC</t>
  </si>
  <si>
    <t>VB36917705</t>
  </si>
  <si>
    <t>Martinsson Elektronik</t>
  </si>
  <si>
    <t>066863-1</t>
  </si>
  <si>
    <t>PI-20191007012</t>
  </si>
  <si>
    <t>TM150TDSG71-MT-5W
1) LCD:TM150TDSG71</t>
  </si>
  <si>
    <t>TNT Economy
 2008044</t>
  </si>
  <si>
    <t>2) MiracleTouch 10150084 V01</t>
  </si>
  <si>
    <t>3) 3M Air Taping</t>
  </si>
  <si>
    <t>VH52094352</t>
  </si>
  <si>
    <t>719_ETP-MB-MER4050UEBG</t>
  </si>
  <si>
    <t>IG-19-1300698</t>
  </si>
  <si>
    <t>PI-20191014001</t>
  </si>
  <si>
    <t>WH18392879</t>
  </si>
  <si>
    <t>PI-20191014006</t>
  </si>
  <si>
    <t>70080Z0001
(BTC013-70-250-1)
(4G &amp; GPS cable)</t>
  </si>
  <si>
    <t>20191015-AA</t>
  </si>
  <si>
    <r>
      <rPr>
        <sz val="10"/>
        <color rgb="FF000000"/>
        <rFont val="Arial"/>
        <family val="2"/>
      </rPr>
      <t xml:space="preserve">PI-20191015001
</t>
    </r>
    <r>
      <rPr>
        <b/>
        <sz val="10"/>
        <color rgb="FF0000FF"/>
        <rFont val="Arial"/>
        <family val="2"/>
      </rPr>
      <t xml:space="preserve">(進廠後需更換標籤) </t>
    </r>
  </si>
  <si>
    <t>VH36631956</t>
  </si>
  <si>
    <t>票據短缺</t>
  </si>
  <si>
    <r>
      <rPr>
        <sz val="10"/>
        <color rgb="FF000000"/>
        <rFont val="Arial"/>
        <family val="2"/>
      </rPr>
      <t>PI-20191015001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 xml:space="preserve">(進廠後需更換標籤) </t>
    </r>
  </si>
  <si>
    <t>PO/IMP/096</t>
  </si>
  <si>
    <t>PI-20191023001</t>
  </si>
  <si>
    <t>WH18392882</t>
  </si>
  <si>
    <t>PO201910160006</t>
  </si>
  <si>
    <t>PI-20191016001</t>
  </si>
  <si>
    <t>719_CBL-M44M9x4-50</t>
  </si>
  <si>
    <t>UL18393944</t>
  </si>
  <si>
    <r>
      <rPr>
        <sz val="10"/>
        <color rgb="FF000000"/>
        <rFont val="Arial"/>
        <family val="2"/>
      </rPr>
      <t>PI-20191007008</t>
    </r>
    <r>
      <rPr>
        <sz val="10"/>
        <color rgb="FF4A86E8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>(進料請先QC外觀)</t>
    </r>
  </si>
  <si>
    <t>3) 15" Mitsubishi LCD from Hectronic
(AA150XT01), 補10pcs for 6pcs spot NG</t>
  </si>
  <si>
    <t xml:space="preserve">2019/12/19
</t>
  </si>
  <si>
    <t>PO201910160012</t>
  </si>
  <si>
    <t>PI-20191017001</t>
  </si>
  <si>
    <t>719_ioLogik E1210</t>
  </si>
  <si>
    <t>WH18392880</t>
  </si>
  <si>
    <t>719_ioLogik E1211</t>
  </si>
  <si>
    <t>PI-20191017004</t>
  </si>
  <si>
    <t>719_IPC-610MB-00XHE</t>
  </si>
  <si>
    <t>WY45839268</t>
  </si>
  <si>
    <t>719_1701092300</t>
  </si>
  <si>
    <t xml:space="preserve">Extra AG film (for 15"已出9pcs)-&gt; client test </t>
  </si>
  <si>
    <t xml:space="preserve">PI-20190719B-5
(PI-20191007006)
</t>
  </si>
  <si>
    <t>PDK-P104SOB-EC (w/AG film)
1). AA104XG12 ( 客供)</t>
  </si>
  <si>
    <t>VH53441716</t>
  </si>
  <si>
    <t xml:space="preserve">4) AG film </t>
  </si>
  <si>
    <r>
      <rPr>
        <sz val="10"/>
        <color rgb="FF000000"/>
        <rFont val="Arial"/>
        <family val="2"/>
      </rPr>
      <t xml:space="preserve">PI-20190719B-5
(PI-20191007006)
</t>
    </r>
    <r>
      <rPr>
        <b/>
        <sz val="10"/>
        <color rgb="FF0000FF"/>
        <rFont val="Arial"/>
        <family val="2"/>
      </rPr>
      <t>(成品回廠需IQC检驗)</t>
    </r>
  </si>
  <si>
    <t>5) 719_10.4-AG-film-tap</t>
  </si>
  <si>
    <t>PI-20190719B-6
(PI-20191007007)</t>
  </si>
  <si>
    <t>PDK-P150SOB-EC (w/AG Coating) 
1). AA150XW14 ( 客供)</t>
  </si>
  <si>
    <t>PI-20190719B-6 
(PI-20191007007)</t>
  </si>
  <si>
    <t xml:space="preserve">PI-20190719B-6 
(PI-20191007007)
</t>
  </si>
  <si>
    <t xml:space="preserve">4) AG Coating </t>
  </si>
  <si>
    <r>
      <rPr>
        <sz val="10"/>
        <color rgb="FF000000"/>
        <rFont val="Arial"/>
        <family val="2"/>
      </rPr>
      <t xml:space="preserve">PI-20190719B-6 
(PI-20191007007)
</t>
    </r>
    <r>
      <rPr>
        <b/>
        <sz val="10"/>
        <color rgb="FF0000FF"/>
        <rFont val="Arial"/>
        <family val="2"/>
      </rPr>
      <t>(成品回廠需IQC检驗)</t>
    </r>
  </si>
  <si>
    <t>Aprotech</t>
  </si>
  <si>
    <t>PI-20191018001</t>
  </si>
  <si>
    <t>9071R719_ECS-9071R
(s/n:S19C070001~S19C070004)</t>
  </si>
  <si>
    <t xml:space="preserve"> UPS account: 799R18/ Express Saver </t>
  </si>
  <si>
    <t>TL38169059</t>
  </si>
  <si>
    <t>PO/IMP/0101</t>
  </si>
  <si>
    <t>PI-20191024001</t>
  </si>
  <si>
    <t>WH18392881</t>
  </si>
  <si>
    <t>PI-20191024002</t>
  </si>
  <si>
    <t>719_UNO-2484G-6531AE</t>
  </si>
  <si>
    <t>WY45840494</t>
  </si>
  <si>
    <t>719_IDS-3121WN-25FHA1E</t>
  </si>
  <si>
    <t>719_96PSA-A60W12R1-1</t>
  </si>
  <si>
    <t>505033-1</t>
  </si>
  <si>
    <t>PI-20191025001</t>
  </si>
  <si>
    <t>TDM-173WGARB
(S/N:2019103000001001)</t>
  </si>
  <si>
    <t>TNT economy 002016562</t>
  </si>
  <si>
    <t>VH52094371</t>
  </si>
  <si>
    <t>PI-20191026001</t>
  </si>
  <si>
    <t>PI-20191027001</t>
  </si>
  <si>
    <t>LPC-P185W-16
(S/N: 2019102800001001~003)</t>
  </si>
  <si>
    <t>UPS expedited (1W5651)</t>
  </si>
  <si>
    <t>PI-20191029001</t>
  </si>
  <si>
    <t>VD40229382</t>
  </si>
  <si>
    <t>P191029NP0</t>
  </si>
  <si>
    <t>PI-20191029002( FAE install CPU /DRAM &amp; Label )</t>
  </si>
  <si>
    <t>719_7002LP
(S/N:J4504107~111)</t>
  </si>
  <si>
    <t>VH34934702</t>
  </si>
  <si>
    <t>719_ i5-8500T</t>
  </si>
  <si>
    <t>VH38341267</t>
  </si>
  <si>
    <t>719_D4S-8G24H1G8C1 DDR 4 8G</t>
  </si>
  <si>
    <t>TL37060930</t>
  </si>
  <si>
    <t>P191029NP1</t>
  </si>
  <si>
    <t>PI-20191029003( FAE DRAM &amp; Label )</t>
  </si>
  <si>
    <t>719_POC-210
(S/N:J4523888~90)</t>
  </si>
  <si>
    <t>719_POC-212
(S/N:J4524885~87)</t>
  </si>
  <si>
    <t>719_D3S-8G18S518C1  DDR 3L 8G</t>
  </si>
  <si>
    <t>VH37205007</t>
  </si>
  <si>
    <t>P191029NP2</t>
  </si>
  <si>
    <t>PI-20191029004</t>
  </si>
  <si>
    <t>719_ARCHMI-817
(S/N: A1910003064~65)</t>
  </si>
  <si>
    <t>VH34939864</t>
  </si>
  <si>
    <t>PI-20191030001</t>
  </si>
  <si>
    <t>WY45839265</t>
  </si>
  <si>
    <t>PO201910290016</t>
  </si>
  <si>
    <t>PI-20191030002</t>
  </si>
  <si>
    <t>719_MGate-MB3480</t>
  </si>
  <si>
    <t>WH18392984</t>
  </si>
  <si>
    <t>719_MINIDB9F-TO-TB</t>
  </si>
  <si>
    <t>IG-19-1300748</t>
  </si>
  <si>
    <t>PI-20191030004</t>
  </si>
  <si>
    <t>719_ACP-4000BP-30CE</t>
  </si>
  <si>
    <t>WY45839617</t>
  </si>
  <si>
    <t>719_PCE-5129G2-00A1E</t>
  </si>
  <si>
    <t>719_PCE-5B13-08A1E</t>
  </si>
  <si>
    <t>719_ZZ004 Bank charge</t>
  </si>
  <si>
    <t xml:space="preserve">APO-1901018 </t>
  </si>
  <si>
    <t>PI-20191031001</t>
  </si>
  <si>
    <t>MS-98I8-003</t>
  </si>
  <si>
    <t>YVONNE</t>
  </si>
  <si>
    <t xml:space="preserve">Datasol </t>
  </si>
  <si>
    <t>2102-CR5517</t>
  </si>
  <si>
    <t>PI-20191101002</t>
  </si>
  <si>
    <t>COC Service fee</t>
  </si>
  <si>
    <t>E&amp;E Transport Int’l Co., Ltd. (Taiwan)</t>
  </si>
  <si>
    <r>
      <rPr>
        <sz val="10"/>
        <color rgb="FF000000"/>
        <rFont val="Arial"/>
        <family val="2"/>
      </rPr>
      <t xml:space="preserve">PI-20191101002
</t>
    </r>
    <r>
      <rPr>
        <b/>
        <sz val="10"/>
        <color rgb="FF0000FF"/>
        <rFont val="Arial"/>
        <family val="2"/>
      </rPr>
      <t>(check the resolutions for VGA /DVI before you ship out)&amp; SOP文件</t>
    </r>
  </si>
  <si>
    <t>LDK-170SADT-DS</t>
  </si>
  <si>
    <t>PI-20191101001</t>
  </si>
  <si>
    <t>LPC-P173W-26</t>
  </si>
  <si>
    <t>PI-20191104002</t>
  </si>
  <si>
    <t>719_UNO-2483G-434AE</t>
  </si>
  <si>
    <t>WY45840414</t>
  </si>
  <si>
    <t>20191105-AA</t>
  </si>
  <si>
    <r>
      <rPr>
        <sz val="10"/>
        <color rgb="FF000000"/>
        <rFont val="Arial"/>
        <family val="2"/>
      </rPr>
      <t>PI-20191105001</t>
    </r>
    <r>
      <rPr>
        <sz val="10"/>
        <color rgb="FFFF0000"/>
        <rFont val="Arial"/>
        <family val="2"/>
      </rPr>
      <t xml:space="preserve">
</t>
    </r>
    <r>
      <rPr>
        <b/>
        <sz val="10"/>
        <color rgb="FF0000FF"/>
        <rFont val="Arial"/>
        <family val="2"/>
      </rPr>
      <t xml:space="preserve">(進廠後需更換標籤) </t>
    </r>
  </si>
  <si>
    <t>VH36631961</t>
  </si>
  <si>
    <t>P191105NP0</t>
  </si>
  <si>
    <t>PI-20191105002</t>
  </si>
  <si>
    <t>PB-9250J-SA Series
(S/N: J4000090)</t>
  </si>
  <si>
    <t>2019/12/18.2020/01/10.2020/01/20</t>
  </si>
  <si>
    <t>719_6700A-2SSC4TX</t>
  </si>
  <si>
    <t>719_NPort-5450I-T</t>
  </si>
  <si>
    <t>PI-20191112002</t>
  </si>
  <si>
    <t>LPC-P156WHOB-25SG3
add 2nd year warranty</t>
  </si>
  <si>
    <t>PI-20191112003</t>
  </si>
  <si>
    <t>PI-20191112004
(Sample)</t>
  </si>
  <si>
    <t>LPC-P150SC-27T2
with 8GB DRAM and Innodisk CAN-BUS module
(S/N:2019111200001001)</t>
  </si>
  <si>
    <t>2.5"SSD LITE M3B 64GB WT(MI3MB1164G01WN)</t>
  </si>
  <si>
    <t>ELGENS
DHL</t>
  </si>
  <si>
    <t>PO201911070013</t>
  </si>
  <si>
    <t>PI-20191112005</t>
  </si>
  <si>
    <t>719_Nport-5230</t>
  </si>
  <si>
    <t>WH18393079</t>
  </si>
  <si>
    <t>719_NPort 5210</t>
  </si>
  <si>
    <t>PO_191112-1</t>
  </si>
  <si>
    <t>PI-20191112006</t>
  </si>
  <si>
    <t>WH18393068</t>
  </si>
  <si>
    <t>Plug-In</t>
  </si>
  <si>
    <t>PI-20191114001</t>
  </si>
  <si>
    <t>LPC-P215W-LP6</t>
  </si>
  <si>
    <t>719_MI3MB1112802SN</t>
  </si>
  <si>
    <t>PI-20191114002</t>
  </si>
  <si>
    <t>719_UNO-2473G-J3AE</t>
  </si>
  <si>
    <t>WY45840535</t>
  </si>
  <si>
    <t>719_UNO-2000G-VMKAE</t>
  </si>
  <si>
    <t>719_UNO-2473G-E3AE</t>
  </si>
  <si>
    <t>719_ADAM-3016-AE</t>
  </si>
  <si>
    <t>PI-20191115001</t>
  </si>
  <si>
    <t>WY45840497</t>
  </si>
  <si>
    <t>PI-20191115002</t>
  </si>
  <si>
    <t>719_PCE-7B08-04A1E</t>
  </si>
  <si>
    <t xml:space="preserve">719_ADAM-4510-EE </t>
  </si>
  <si>
    <t>WY45840678</t>
  </si>
  <si>
    <t>719_ EKI-2525-BE</t>
  </si>
  <si>
    <t>PI-20191119001</t>
  </si>
  <si>
    <t>719_NPort-5450</t>
  </si>
  <si>
    <t>719_ZZ004 Banking charge</t>
  </si>
  <si>
    <t>PI-20191120002</t>
  </si>
  <si>
    <t>719_USR-W610</t>
  </si>
  <si>
    <t>待補</t>
  </si>
  <si>
    <t>PI-20191122001</t>
  </si>
  <si>
    <t>LPC-P150S18-AP3</t>
  </si>
  <si>
    <t>2019/11/12.2019/12/25</t>
  </si>
  <si>
    <t>PI-20191123001</t>
  </si>
  <si>
    <t>719_EDS-G512E-8PoE-4GSFP</t>
  </si>
  <si>
    <t>PI-20191123002</t>
  </si>
  <si>
    <t>PI-20191125001</t>
  </si>
  <si>
    <t>719_NPORT5650-8 (Rackmount)</t>
  </si>
  <si>
    <t>PI-20191126001</t>
  </si>
  <si>
    <t>DHL # 955148831</t>
  </si>
  <si>
    <t>70111E0002 (PDK-170S-TE) includes 1-8
1) LCD : G170ETN01.0</t>
  </si>
  <si>
    <t>7) 7008000401
(Backlight cable IMB-150D for G170ETN01.0)
戎克料號:02-BE-00060</t>
  </si>
  <si>
    <t>8) 7009000005
(LVDS cable IMB-150D for G170ETN01.0)
戎克料號:02-BE-00061</t>
  </si>
  <si>
    <t>P191126NP0</t>
  </si>
  <si>
    <t>PI-20191127001</t>
  </si>
  <si>
    <t>05-JM0-INGL20G-001A
Glue</t>
  </si>
  <si>
    <t>LPC-P121S-10VYRG2</t>
  </si>
  <si>
    <t>PI-20191128002</t>
  </si>
  <si>
    <t>719_ZZ013 (handling charge) for RMA</t>
  </si>
  <si>
    <t>PI-20191127002</t>
  </si>
  <si>
    <t>DHL EXPRESS CHARGE</t>
  </si>
  <si>
    <t>PI-20191202001</t>
  </si>
  <si>
    <t>LPC-P150S-10
SAMPLE</t>
  </si>
  <si>
    <t>SSD  SN:19094SB0640003</t>
  </si>
  <si>
    <t>DRAM</t>
  </si>
  <si>
    <t>power adapter 90W</t>
  </si>
  <si>
    <t>PO201912040025</t>
  </si>
  <si>
    <t>PI-20191205001</t>
  </si>
  <si>
    <t>719_TCC-80</t>
  </si>
  <si>
    <t>719_EDS-309-3M-ST</t>
  </si>
  <si>
    <t>PI-20191211001</t>
  </si>
  <si>
    <t>719_ZZ015 增租展場設備費用+2PCS 通行證</t>
  </si>
  <si>
    <t xml:space="preserve">719_ZZ016 展品運費(來回) </t>
  </si>
  <si>
    <t>PO201912100009</t>
  </si>
  <si>
    <t>PI-20191211002</t>
  </si>
  <si>
    <t>719_NPort 5150 W/ adapter
us adapter</t>
  </si>
  <si>
    <t>P191213NP0</t>
  </si>
  <si>
    <t>PI-20191213001</t>
  </si>
  <si>
    <r>
      <rPr>
        <sz val="10"/>
        <color rgb="FF000000"/>
        <rFont val="Arial"/>
        <family val="2"/>
      </rPr>
      <t xml:space="preserve">Nuvo-5002LP
</t>
    </r>
    <r>
      <rPr>
        <sz val="9"/>
        <color rgb="FF000000"/>
        <rFont val="Arial"/>
        <family val="2"/>
      </rPr>
      <t>(J5228164,J5228165,J5228167)</t>
    </r>
  </si>
  <si>
    <t>Intel® Core™ i7-6700TE Processor</t>
  </si>
  <si>
    <t>719_WFK-524 WiFi Module kits with full-size miniPCIe extension bracket</t>
  </si>
  <si>
    <t>02-DW0-PWBTMPB-001A
External power switch-1m connector for N5002
719_390-W5152100-031(向宸曜買回加工)</t>
  </si>
  <si>
    <t>07-AE0-W16W01M-001A 
1M EXTENSON WIFI CABLE</t>
  </si>
  <si>
    <t>D4SS1G081SH24A-(C)
商越</t>
  </si>
  <si>
    <t>719_PA120-W</t>
  </si>
  <si>
    <t>PI-20191213002</t>
  </si>
  <si>
    <t xml:space="preserve">719_ZZ017 攤位費用 (諮詢台*1+海報*1)  2020年Embedded </t>
  </si>
  <si>
    <t>PI-20191216001</t>
  </si>
  <si>
    <t>PI-20191218001</t>
  </si>
  <si>
    <t>719_NISE-105-E3845</t>
  </si>
  <si>
    <t>719_7400060032X00</t>
  </si>
  <si>
    <t>719_ZZ004</t>
  </si>
  <si>
    <t>PI-20191224001</t>
  </si>
  <si>
    <t>719_ADAM-6051-D</t>
  </si>
  <si>
    <t>客供料</t>
  </si>
  <si>
    <t>升林</t>
  </si>
  <si>
    <t>PO-20180822B→轉客供料倉</t>
  </si>
  <si>
    <t>第一銀行樹林分行
帳號:203-10-004715</t>
  </si>
  <si>
    <t>同W540</t>
  </si>
  <si>
    <t>PO-20180906D</t>
  </si>
  <si>
    <t>玉山銀行(板橋分行)
1171 940 013686</t>
  </si>
  <si>
    <t>CX0822301N74</t>
  </si>
  <si>
    <t>同U3</t>
  </si>
  <si>
    <t>同O3</t>
  </si>
  <si>
    <t>PI-20181022C-1
(IQC/DRAM標籤)</t>
  </si>
  <si>
    <t>MemxPro敏博</t>
  </si>
  <si>
    <t>●樣品借轉銷L170829001*6pcs
●PO-20181022C*14pcs</t>
  </si>
  <si>
    <t>聯邦田心分行803-0803
080-10-0008388</t>
  </si>
  <si>
    <t>CX082230607B</t>
  </si>
  <si>
    <t>PO-20181022C</t>
  </si>
  <si>
    <t>同AF10</t>
  </si>
  <si>
    <t>同AG10</t>
  </si>
  <si>
    <t>同U11</t>
  </si>
  <si>
    <t>同O11</t>
  </si>
  <si>
    <t>同U10</t>
  </si>
  <si>
    <t>CX0822308MWC</t>
  </si>
  <si>
    <t>同AF14</t>
  </si>
  <si>
    <t>同AG14</t>
  </si>
  <si>
    <t>同U16</t>
  </si>
  <si>
    <t>同O16</t>
  </si>
  <si>
    <t>iBase 廣積</t>
  </si>
  <si>
    <t>PO-20181026B</t>
  </si>
  <si>
    <t>華南銀行
137100-006788</t>
  </si>
  <si>
    <t>CG083761K020</t>
  </si>
  <si>
    <t>原貨退回，開立折讓單</t>
  </si>
  <si>
    <t>同U14</t>
  </si>
  <si>
    <t>同AE21</t>
  </si>
  <si>
    <t>同AF21</t>
  </si>
  <si>
    <t>翌勝
 EDAC</t>
  </si>
  <si>
    <t>PO-20181031A-2</t>
  </si>
  <si>
    <t>聯邦商業銀行中和分行
803 036-10-8000213</t>
  </si>
  <si>
    <t>PO-20181207A-2</t>
  </si>
  <si>
    <t>CH080N800079</t>
  </si>
  <si>
    <t>PGS-113255</t>
  </si>
  <si>
    <t>同U17</t>
  </si>
  <si>
    <t>PO-20181210B-1</t>
  </si>
  <si>
    <t>CW0833600493</t>
  </si>
  <si>
    <t xml:space="preserve">H:619536 </t>
  </si>
  <si>
    <t>同U21</t>
  </si>
  <si>
    <t>PO-20181210B-2</t>
  </si>
  <si>
    <t>MemxPro敏博
交Neousys組裝</t>
  </si>
  <si>
    <t>PO-20181212A-2</t>
  </si>
  <si>
    <t>CX08223011KR</t>
  </si>
  <si>
    <t>同AE33</t>
  </si>
  <si>
    <t>同AF33</t>
  </si>
  <si>
    <t>PO-20181212A-3</t>
  </si>
  <si>
    <t>捷毅
交Neousys組裝</t>
  </si>
  <si>
    <t>PO-20181212A-4</t>
  </si>
  <si>
    <t>Neousys 宸曜</t>
  </si>
  <si>
    <t>PO-20181212A-1(Revised)</t>
  </si>
  <si>
    <t xml:space="preserve">玉山銀行 佳里分行  0428-940-007592 </t>
  </si>
  <si>
    <t>同U26</t>
  </si>
  <si>
    <t>DHL洋基通運</t>
  </si>
  <si>
    <t>洋基通運匯豐(081)
10081620882011</t>
  </si>
  <si>
    <t>Adlink
凌華</t>
  </si>
  <si>
    <t>PO-20181212B(Revised)</t>
  </si>
  <si>
    <t>兆豐中和分行 
069-09-000668</t>
  </si>
  <si>
    <t>同U28</t>
  </si>
  <si>
    <t>戎克組裝</t>
  </si>
  <si>
    <t>快異點</t>
  </si>
  <si>
    <t>CG083761A556</t>
  </si>
  <si>
    <t>IEI
威強電</t>
  </si>
  <si>
    <t>PO-20181212C</t>
  </si>
  <si>
    <t>兆豐
042-09-80877-7</t>
  </si>
  <si>
    <t>PO-20181212D-3</t>
  </si>
  <si>
    <t>PO-20181212D-2</t>
  </si>
  <si>
    <t>同U22</t>
  </si>
  <si>
    <t xml:space="preserve"> Neousys 宸曜</t>
  </si>
  <si>
    <t>PO-20181212D-1</t>
  </si>
  <si>
    <t>同U42</t>
  </si>
  <si>
    <t>PO-20181217A</t>
  </si>
  <si>
    <t>KY36837801</t>
  </si>
  <si>
    <t>郵局
94712122007510330711</t>
  </si>
  <si>
    <t>@30.79</t>
  </si>
  <si>
    <t>CiVUE Optotech
曦立光電</t>
  </si>
  <si>
    <t>PO-20181218A</t>
  </si>
  <si>
    <t>上海商業銀行 土城分行
42102000030509</t>
  </si>
  <si>
    <t>CU0857BH1652</t>
  </si>
  <si>
    <t>1Z1913EE6798752486</t>
  </si>
  <si>
    <t>12/21進口報單:CU0757082147</t>
  </si>
  <si>
    <t xml:space="preserve">寄大榮至曦立光電 
1273-0045-235-1 </t>
  </si>
  <si>
    <t>同AE54</t>
  </si>
  <si>
    <t>PO-20181219A</t>
  </si>
  <si>
    <t>KY36837803</t>
  </si>
  <si>
    <t>94929622007610220705</t>
  </si>
  <si>
    <t>PO-20181221A-1</t>
  </si>
  <si>
    <t>CX0822304WA8</t>
  </si>
  <si>
    <t>同U55</t>
  </si>
  <si>
    <t>MemxPro敏博
交Vecom組裝</t>
  </si>
  <si>
    <t>PO-20181026D-1
庫存</t>
  </si>
  <si>
    <t>同U61</t>
  </si>
  <si>
    <t>CX08222308C1X</t>
  </si>
  <si>
    <t>同AF57</t>
  </si>
  <si>
    <t>同AG57</t>
  </si>
  <si>
    <t>PO-20181224A</t>
  </si>
  <si>
    <t>CG083761H481</t>
  </si>
  <si>
    <t>Advantech
研華</t>
  </si>
  <si>
    <t>PO-20181224B</t>
  </si>
  <si>
    <t>花旗：021-0018
5028523019</t>
  </si>
  <si>
    <t>CX0822300RF3</t>
  </si>
  <si>
    <t>PO-20181224C</t>
  </si>
  <si>
    <t>CH080N800185</t>
  </si>
  <si>
    <t>PGS-113342</t>
  </si>
  <si>
    <t>同U60</t>
  </si>
  <si>
    <t>Linkface 凌飛</t>
  </si>
  <si>
    <t>PO-20181224D-2</t>
  </si>
  <si>
    <t>永豐銀行新湖分行 807-1918
191-001-0001599-5</t>
  </si>
  <si>
    <t>CH0834600188</t>
  </si>
  <si>
    <t>ETI-1967752</t>
  </si>
  <si>
    <t>Advantech
研華到凌飛測試</t>
  </si>
  <si>
    <t>PO-20181224D-1(Revised)</t>
  </si>
  <si>
    <t>PO-20181224D-3</t>
  </si>
  <si>
    <t>PO-20190102A</t>
  </si>
  <si>
    <t>CG083762J688</t>
  </si>
  <si>
    <t xml:space="preserve">PO-20190104A </t>
  </si>
  <si>
    <t>同U69</t>
  </si>
  <si>
    <t>CW0833601809</t>
  </si>
  <si>
    <t>PO-20190104A-1</t>
  </si>
  <si>
    <t>PD-20190107A
PO-20190107B</t>
  </si>
  <si>
    <t>CX0822306g54</t>
  </si>
  <si>
    <t>同AH54</t>
  </si>
  <si>
    <t>同AI54</t>
  </si>
  <si>
    <t xml:space="preserve">PD-20190107A    </t>
  </si>
  <si>
    <t>PD-20190107A</t>
  </si>
  <si>
    <t>內含LPC-P121W-16VYRG</t>
  </si>
  <si>
    <t>PD-20190107A
PO-20190107A-1</t>
  </si>
  <si>
    <t>PD-20190107A
 PO-20190107A-2</t>
  </si>
  <si>
    <t>見產品開發進度表</t>
  </si>
  <si>
    <t>PD-20181217A</t>
  </si>
  <si>
    <t>同P84</t>
  </si>
  <si>
    <t>PO-20190107D</t>
  </si>
  <si>
    <t>CX0822302VFT</t>
  </si>
  <si>
    <t>PO-20190108A</t>
  </si>
  <si>
    <t>同U87</t>
  </si>
  <si>
    <t>PO-20190108B</t>
  </si>
  <si>
    <t>KY36837804</t>
  </si>
  <si>
    <t>PO-20190111A</t>
  </si>
  <si>
    <t>同U93</t>
  </si>
  <si>
    <t>CG083762S076</t>
  </si>
  <si>
    <t>同AE98</t>
  </si>
  <si>
    <t>Innodisk 宜鼎</t>
  </si>
  <si>
    <t>PO-20190111B</t>
  </si>
  <si>
    <t>彰化銀行  南港分行
9801-0100-8997-00</t>
  </si>
  <si>
    <t>同U96</t>
  </si>
  <si>
    <t>捷毅國際</t>
  </si>
  <si>
    <t>PO-20190111A-C</t>
  </si>
  <si>
    <t>亞驪企業股份有限公司
華南商業銀行板新分行
175-10-0021788</t>
  </si>
  <si>
    <t>CH0852015083</t>
  </si>
  <si>
    <t>UX-233900C</t>
  </si>
  <si>
    <t>PO-20190116A</t>
  </si>
  <si>
    <t>CX0822302C50</t>
  </si>
  <si>
    <t>同U98</t>
  </si>
  <si>
    <t xml:space="preserve">台灣旺科
WAGO </t>
  </si>
  <si>
    <t>PO-20190118A</t>
  </si>
  <si>
    <t>072德意志銀行-台北分行 電匯帳號:0025106300</t>
  </si>
  <si>
    <t>CX0822304VLT</t>
  </si>
  <si>
    <t>PO-20190118A-2</t>
  </si>
  <si>
    <t>同U104</t>
  </si>
  <si>
    <t>PD-20190119A-1</t>
  </si>
  <si>
    <t>CX0822304D78</t>
  </si>
  <si>
    <t>同P109</t>
  </si>
  <si>
    <t>PO-20190121A</t>
  </si>
  <si>
    <t>台灣銀行華江分行
087-001-01891-3</t>
  </si>
  <si>
    <t>CR083761X677</t>
  </si>
  <si>
    <t>同U176</t>
  </si>
  <si>
    <t>同AH112</t>
  </si>
  <si>
    <t>同AI112</t>
  </si>
  <si>
    <t>MO-20190121B</t>
  </si>
  <si>
    <t>CX08223058ES</t>
  </si>
  <si>
    <t>同AF117</t>
  </si>
  <si>
    <t>同AG117</t>
  </si>
  <si>
    <t>PO-20190123A</t>
  </si>
  <si>
    <t>CW0848600474</t>
  </si>
  <si>
    <t>TPEA19066001</t>
  </si>
  <si>
    <t>PO-20190123B-1</t>
  </si>
  <si>
    <t>同U122</t>
  </si>
  <si>
    <t>CX0822304DAN</t>
  </si>
  <si>
    <t>Transcend 創見</t>
  </si>
  <si>
    <t>倉庫:2 PCS
PO-20190123B-2</t>
  </si>
  <si>
    <t>合庫大安分行
0760717324727</t>
  </si>
  <si>
    <t>PO-20190123B-2</t>
  </si>
  <si>
    <t>同U123</t>
  </si>
  <si>
    <t xml:space="preserve"> CX0822304DAN</t>
  </si>
  <si>
    <t>0223開立invoice &amp;mail</t>
  </si>
  <si>
    <t>PO-20190123C-1</t>
  </si>
  <si>
    <t>CH080N800259</t>
  </si>
  <si>
    <t>PGS-113379</t>
  </si>
  <si>
    <t>同U128</t>
  </si>
  <si>
    <t>同AE132</t>
  </si>
  <si>
    <t>同AF132</t>
  </si>
  <si>
    <t>PO-20190123C-2</t>
  </si>
  <si>
    <t>CH080N800425</t>
  </si>
  <si>
    <t>PGS-113500</t>
  </si>
  <si>
    <t>同AF157</t>
  </si>
  <si>
    <t>同AG157</t>
  </si>
  <si>
    <t>MO-20190124A</t>
  </si>
  <si>
    <t>PO-20190124B-2</t>
  </si>
  <si>
    <t>CX08223042M3</t>
  </si>
  <si>
    <t>PO-20190124B</t>
  </si>
  <si>
    <t>渣打銀行環北分行
0435300-0036259</t>
  </si>
  <si>
    <t>同U201</t>
  </si>
  <si>
    <t>CG083762Y182</t>
  </si>
  <si>
    <t>PO-20190125B</t>
  </si>
  <si>
    <t>同U136</t>
  </si>
  <si>
    <t>KY36837807</t>
  </si>
  <si>
    <t>92490722001310324003</t>
  </si>
  <si>
    <t>PO-20190125D-1</t>
  </si>
  <si>
    <t>CH080N800326</t>
  </si>
  <si>
    <t>PGS-113441</t>
  </si>
  <si>
    <t>同U146</t>
  </si>
  <si>
    <t>PO-20190125D-2</t>
  </si>
  <si>
    <t xml:space="preserve">PO-20190125D-3 Revised </t>
  </si>
  <si>
    <t>玉山銀行連城分行0808940013206</t>
  </si>
  <si>
    <t>PO-20190125D-4</t>
  </si>
  <si>
    <t>PO-20181026B-Revised</t>
  </si>
  <si>
    <t>CG083761V683</t>
  </si>
  <si>
    <t>PO-20190128A</t>
  </si>
  <si>
    <t>玉山銀行(板橋分行)
1171 940 013686"</t>
  </si>
  <si>
    <t>KY36837805</t>
  </si>
  <si>
    <t>95198122007510302689</t>
  </si>
  <si>
    <t>PO-20190128B</t>
  </si>
  <si>
    <t>CX0822303RT1</t>
  </si>
  <si>
    <t>同U155</t>
  </si>
  <si>
    <t>盛仕</t>
  </si>
  <si>
    <t>PO-20190130A</t>
  </si>
  <si>
    <t>台灣企銀錦和分行
050-1220 12212023221</t>
  </si>
  <si>
    <t>CG083761U559</t>
  </si>
  <si>
    <t>PO-20190130B</t>
  </si>
  <si>
    <t>50.4+3.15=53.55</t>
  </si>
  <si>
    <t>CU0857BJ1473</t>
  </si>
  <si>
    <t>1Z1913EE0495449099</t>
  </si>
  <si>
    <t>PO-20190131A-3</t>
  </si>
  <si>
    <t>CH080N800507</t>
  </si>
  <si>
    <t>PGS-113583</t>
  </si>
  <si>
    <t>PO-20190131A-4</t>
  </si>
  <si>
    <t>同U159</t>
  </si>
  <si>
    <t>3ISYS Networks
思碩網路
(採購Tammy)</t>
  </si>
  <si>
    <t>改為扣抵貨款</t>
  </si>
  <si>
    <t>KY36837850</t>
  </si>
  <si>
    <t>大榮: 1273-004-246-2</t>
  </si>
  <si>
    <t>同U167</t>
  </si>
  <si>
    <t>同Z166</t>
  </si>
  <si>
    <t>PD-20190131C</t>
  </si>
  <si>
    <t>CW0848601087</t>
  </si>
  <si>
    <t>TPEA19067177</t>
  </si>
  <si>
    <t>PO-20190201A</t>
  </si>
  <si>
    <t>PO-20190201B</t>
  </si>
  <si>
    <t>CX0822303S15</t>
  </si>
  <si>
    <t>同U170</t>
  </si>
  <si>
    <t>PO-20190206A-2</t>
  </si>
  <si>
    <t>CW0833603159</t>
  </si>
  <si>
    <t>PO-20190206A-1</t>
  </si>
  <si>
    <t>同U189</t>
  </si>
  <si>
    <t>PO-20190206B</t>
  </si>
  <si>
    <t>KY36837852</t>
  </si>
  <si>
    <t>掛號: 95451722007510330453</t>
  </si>
  <si>
    <t xml:space="preserve">2019/02/11
已給cathy </t>
  </si>
  <si>
    <t xml:space="preserve"> 線邊倉</t>
  </si>
  <si>
    <t>0214 Cathy於產品開發進度表開立PD單(SAN告知) 
PD-20190211A-1</t>
  </si>
  <si>
    <t>MV36430163</t>
  </si>
  <si>
    <t>0401從寄發票
96121322007510302684</t>
  </si>
  <si>
    <t>20190401重開</t>
  </si>
  <si>
    <t>PD-20190211A-2
(原下PO-20190211A)</t>
  </si>
  <si>
    <t>MV36430158</t>
  </si>
  <si>
    <t>大榮:1559-554-194-2</t>
  </si>
  <si>
    <t>歐緯世</t>
  </si>
  <si>
    <t>PO-20190212A</t>
  </si>
  <si>
    <t>玉山銀行 集賢分行
帳號：0772440-001355</t>
  </si>
  <si>
    <t>KY36837853</t>
  </si>
  <si>
    <t>大榮:1273-004-235-6</t>
  </si>
  <si>
    <t>隨貨2019.02.20</t>
  </si>
  <si>
    <t>PO-20190212B-2</t>
  </si>
  <si>
    <t>CG083762Y449</t>
  </si>
  <si>
    <t>同U200</t>
  </si>
  <si>
    <t>捷毅</t>
  </si>
  <si>
    <t>PO-20190212B-3</t>
  </si>
  <si>
    <t>PO-20190212B-1</t>
  </si>
  <si>
    <t>同U198</t>
  </si>
  <si>
    <t>PO-20190212C</t>
  </si>
  <si>
    <t>同AE140</t>
  </si>
  <si>
    <t>同AF140</t>
  </si>
  <si>
    <t>同P205</t>
  </si>
  <si>
    <t>同U205</t>
  </si>
  <si>
    <t>HC-20190214B</t>
  </si>
  <si>
    <t>HC-20190214C</t>
  </si>
  <si>
    <t>HC-20190214A</t>
  </si>
  <si>
    <t>MO-20190131D-6</t>
  </si>
  <si>
    <t>CX0822308U7V</t>
  </si>
  <si>
    <t>同AF194</t>
  </si>
  <si>
    <t>同AG194</t>
  </si>
  <si>
    <t>MO-20190131D-1</t>
  </si>
  <si>
    <t>CW0848601733</t>
  </si>
  <si>
    <t>TPEA19068399</t>
  </si>
  <si>
    <t>同AH197</t>
  </si>
  <si>
    <t>同AI197</t>
  </si>
  <si>
    <t>CW 08486 02396</t>
  </si>
  <si>
    <t>TPEA19069659</t>
  </si>
  <si>
    <t>MO-20190131D-2</t>
  </si>
  <si>
    <t>PD-20190213A</t>
  </si>
  <si>
    <t>CX082230810M</t>
  </si>
  <si>
    <t>PO-20190213B</t>
  </si>
  <si>
    <t>CU0857BJ2714</t>
  </si>
  <si>
    <t xml:space="preserve"> 1Z1913EE6790759663
1Z1913EE6791758279
1Z1913EE6791895086
1Z1913EE6791854094
1Z1913EE6791399309</t>
  </si>
  <si>
    <t>進口報單:CU0857049005
提單: 736559GNDYL</t>
  </si>
  <si>
    <t>0319寄大榮
1559-554-194-3</t>
  </si>
  <si>
    <t>同AF207</t>
  </si>
  <si>
    <t>同AG207</t>
  </si>
  <si>
    <t>PO-20181026B-Revised-2</t>
  </si>
  <si>
    <t>PO-20190217A</t>
  </si>
  <si>
    <t>同U212</t>
  </si>
  <si>
    <t>PO-20190218A</t>
  </si>
  <si>
    <t>CH080N800692</t>
  </si>
  <si>
    <t>PGS-113665</t>
  </si>
  <si>
    <t>同AF377</t>
  </si>
  <si>
    <t>同AG377</t>
  </si>
  <si>
    <t>同U217</t>
  </si>
  <si>
    <t>待水單</t>
  </si>
  <si>
    <t>同AF215</t>
  </si>
  <si>
    <t>同AG215</t>
  </si>
  <si>
    <t>旺安科技
Winnertek</t>
  </si>
  <si>
    <t>PO-20190205A-1</t>
  </si>
  <si>
    <t xml:space="preserve">旺安科技有限公司
合作金庫 新生分行 (006)
0947717334831 </t>
  </si>
  <si>
    <t>CX0822305M5Q</t>
  </si>
  <si>
    <t>PD-20190219A</t>
  </si>
  <si>
    <t>同AE226</t>
  </si>
  <si>
    <t xml:space="preserve">維田 Aplex  </t>
  </si>
  <si>
    <t>PO-20190219B</t>
  </si>
  <si>
    <t>玉山銀行
0808-940-001638</t>
  </si>
  <si>
    <t>MO-20190220A-1</t>
  </si>
  <si>
    <t>CX082230693H</t>
  </si>
  <si>
    <t>同AE229</t>
  </si>
  <si>
    <t>同AF229</t>
  </si>
  <si>
    <t>MO-20190220A
(Chloe已同步更新投產計畫裡)</t>
  </si>
  <si>
    <t>PO-20190221A-1</t>
  </si>
  <si>
    <t>CW0833604455</t>
  </si>
  <si>
    <t>同U230</t>
  </si>
  <si>
    <t>PO-20190221A-2</t>
  </si>
  <si>
    <t>PO-20190221B</t>
  </si>
  <si>
    <t>CX0822306AJ7</t>
  </si>
  <si>
    <t>同U233</t>
  </si>
  <si>
    <t>PO-20190223A</t>
  </si>
  <si>
    <t>CW0847043725</t>
  </si>
  <si>
    <t>FETA-771706</t>
  </si>
  <si>
    <t>同U239</t>
  </si>
  <si>
    <t>同AE243</t>
  </si>
  <si>
    <t>同AF243</t>
  </si>
  <si>
    <t>0226開立invoice &amp;mail</t>
  </si>
  <si>
    <t>同U127</t>
  </si>
  <si>
    <t>PO-20190226A</t>
  </si>
  <si>
    <t>MV36430152</t>
  </si>
  <si>
    <t>95779322007510330711</t>
  </si>
  <si>
    <t>PO-20190226B</t>
  </si>
  <si>
    <t>MV36430154</t>
  </si>
  <si>
    <t xml:space="preserve">2019.03.13 隨貨 </t>
  </si>
  <si>
    <t>同U245</t>
  </si>
  <si>
    <t>MV36430159</t>
  </si>
  <si>
    <t>95986522007510231506</t>
  </si>
  <si>
    <t>PO-20190227A-1</t>
  </si>
  <si>
    <t>CA0806723414</t>
  </si>
  <si>
    <t>同U247</t>
  </si>
  <si>
    <t>PO-20190227A-2</t>
  </si>
  <si>
    <t>PO-20190227B-1</t>
  </si>
  <si>
    <t>CA 08067 66388</t>
  </si>
  <si>
    <t>同AH250</t>
  </si>
  <si>
    <t>同AI250</t>
  </si>
  <si>
    <t>同U251</t>
  </si>
  <si>
    <t>PO-20190227B-2</t>
  </si>
  <si>
    <t>PO-20190227C-1</t>
  </si>
  <si>
    <t>CA0806764004</t>
  </si>
  <si>
    <t>同AH253</t>
  </si>
  <si>
    <t>同AI253</t>
  </si>
  <si>
    <t>同W255</t>
  </si>
  <si>
    <t>PO-20190227C-2</t>
  </si>
  <si>
    <t>PO-20190227D-1</t>
  </si>
  <si>
    <t>CA0806770735</t>
  </si>
  <si>
    <t>同AH257</t>
  </si>
  <si>
    <t>同AI257</t>
  </si>
  <si>
    <t>同W258</t>
  </si>
  <si>
    <t>PO-20190227D-2</t>
  </si>
  <si>
    <t>PO-20190227E-2</t>
  </si>
  <si>
    <t>CA0806726751</t>
  </si>
  <si>
    <t>PO-20190227E-1</t>
  </si>
  <si>
    <t>同AH261</t>
  </si>
  <si>
    <t>同AI261</t>
  </si>
  <si>
    <t>同W263</t>
  </si>
  <si>
    <t>PO-20190227F-1</t>
  </si>
  <si>
    <t xml:space="preserve"> CA086776886</t>
  </si>
  <si>
    <t>同AI265</t>
  </si>
  <si>
    <t>同AJ265</t>
  </si>
  <si>
    <t>PO-20190227F-2</t>
  </si>
  <si>
    <t>同W266</t>
  </si>
  <si>
    <t>PO-20190227G-2</t>
  </si>
  <si>
    <t>CA0806767057</t>
  </si>
  <si>
    <t>PO-20190227G-1</t>
  </si>
  <si>
    <t>同X270</t>
  </si>
  <si>
    <t>同AI279</t>
  </si>
  <si>
    <t>同AJ279</t>
  </si>
  <si>
    <t>同S270</t>
  </si>
  <si>
    <t>PO-20190227H-2</t>
  </si>
  <si>
    <t>PO-20190227H-1</t>
  </si>
  <si>
    <t>PO-20190228A</t>
  </si>
  <si>
    <t>MV36430150</t>
  </si>
  <si>
    <t>95703022007510302686</t>
  </si>
  <si>
    <t>PO-20190302A</t>
  </si>
  <si>
    <t>同U289</t>
  </si>
  <si>
    <t>同AF218</t>
  </si>
  <si>
    <t>同AG218</t>
  </si>
  <si>
    <t>PO-20190303A</t>
  </si>
  <si>
    <t>MV36430157</t>
  </si>
  <si>
    <t>95849622007510330459</t>
  </si>
  <si>
    <t>2019.03.13</t>
  </si>
  <si>
    <t>同U292</t>
  </si>
  <si>
    <t>PO-20190304A-1</t>
  </si>
  <si>
    <t>CX0822307EDE</t>
  </si>
  <si>
    <t>PO-20190304A-2</t>
  </si>
  <si>
    <t>同U300</t>
  </si>
  <si>
    <t>CX0822307WED</t>
  </si>
  <si>
    <t>閎亮協助購入</t>
  </si>
  <si>
    <t>PD-T1080307A</t>
  </si>
  <si>
    <t>見產品開發進度表T186</t>
  </si>
  <si>
    <t>PO-20190304A-3</t>
  </si>
  <si>
    <t>敏博
(戎克樣品借入倉)</t>
  </si>
  <si>
    <t>PO-20190304A-4</t>
  </si>
  <si>
    <t>PO-20190221B-2</t>
  </si>
  <si>
    <t>同U237</t>
  </si>
  <si>
    <t>PO-20190305A</t>
  </si>
  <si>
    <t>MV36430161</t>
  </si>
  <si>
    <t>9609572200751022070</t>
  </si>
  <si>
    <t>PO-20190306A-2</t>
  </si>
  <si>
    <t>PO-20190306A</t>
  </si>
  <si>
    <t>同U304</t>
  </si>
  <si>
    <t>同U15</t>
  </si>
  <si>
    <t>PO-20190312A</t>
  </si>
  <si>
    <t>CX0822307L8H</t>
  </si>
  <si>
    <t>PO-20190313A</t>
  </si>
  <si>
    <t>同U313</t>
  </si>
  <si>
    <t>0318開立invoice &amp;mail</t>
  </si>
  <si>
    <t>PO-20190318A</t>
  </si>
  <si>
    <t>PO-20190318B</t>
  </si>
  <si>
    <t>CX082230A2P8</t>
  </si>
  <si>
    <t>同U321</t>
  </si>
  <si>
    <t>20190328沛勁880114
4328912582</t>
  </si>
  <si>
    <t>PO-20190320A</t>
  </si>
  <si>
    <t>簡易報單
 CU  0857BWP455</t>
  </si>
  <si>
    <t>1Z1913EE6794695251</t>
  </si>
  <si>
    <t>PO-20190320B</t>
  </si>
  <si>
    <t>CX08223080T8</t>
  </si>
  <si>
    <t>PO-20190321A</t>
  </si>
  <si>
    <t>MV36430160</t>
  </si>
  <si>
    <t>9193062200721033045</t>
  </si>
  <si>
    <t>2019.03.28</t>
  </si>
  <si>
    <t>PO-20190322A</t>
  </si>
  <si>
    <t>同AF326</t>
  </si>
  <si>
    <t>同U328</t>
  </si>
  <si>
    <t>PO-20190323A</t>
  </si>
  <si>
    <t>MV36430203</t>
  </si>
  <si>
    <t>PO-20190306B</t>
  </si>
  <si>
    <t>MV36430156</t>
  </si>
  <si>
    <t>MemxPro
敏博</t>
  </si>
  <si>
    <t>MO-20190328B</t>
  </si>
  <si>
    <t>CG083763J073</t>
  </si>
  <si>
    <t>同AE340</t>
  </si>
  <si>
    <t>同AF340</t>
  </si>
  <si>
    <t>MO-20190328A</t>
  </si>
  <si>
    <t>Meanwell
(贊翔)</t>
  </si>
  <si>
    <t>MO-20190328C</t>
  </si>
  <si>
    <t>銀行代號：007 
帳號：23110037813</t>
  </si>
  <si>
    <t>CG083763N480</t>
  </si>
  <si>
    <t>PO-20190401A</t>
  </si>
  <si>
    <t>同U343</t>
  </si>
  <si>
    <t>CX08223094DP</t>
  </si>
  <si>
    <t>同AF344</t>
  </si>
  <si>
    <t>同AG344</t>
  </si>
  <si>
    <t>MV36430201</t>
  </si>
  <si>
    <t>郵局: 
96233322007510324006</t>
  </si>
  <si>
    <t>4/8 開立invoice</t>
  </si>
  <si>
    <t>PO-20190408A</t>
  </si>
  <si>
    <t>PO-20190409A</t>
  </si>
  <si>
    <t>同U353</t>
  </si>
  <si>
    <t>PO-20190409B</t>
  </si>
  <si>
    <t>CG083764E560</t>
  </si>
  <si>
    <t>同AH355</t>
  </si>
  <si>
    <t>同AI355</t>
  </si>
  <si>
    <t>同P357</t>
  </si>
  <si>
    <t>同U357</t>
  </si>
  <si>
    <t>同U355</t>
  </si>
  <si>
    <t>PO-20190409B-1</t>
  </si>
  <si>
    <t>PO-20190409C</t>
  </si>
  <si>
    <t>PS36525701</t>
  </si>
  <si>
    <t>郵局:
98096822006510231004</t>
  </si>
  <si>
    <t>PO-20190411A</t>
  </si>
  <si>
    <t>CG083763S475</t>
  </si>
  <si>
    <t>同U362</t>
  </si>
  <si>
    <t>PO-20190411B-2</t>
  </si>
  <si>
    <t>CF08550GX787</t>
  </si>
  <si>
    <t>PO-20190411B-1</t>
  </si>
  <si>
    <t>同U368</t>
  </si>
  <si>
    <t>簡易CX0822305T87</t>
  </si>
  <si>
    <t>CF08550EK603</t>
  </si>
  <si>
    <t>PO-20190415A</t>
  </si>
  <si>
    <t>CX082230A3KW</t>
  </si>
  <si>
    <t>待確認</t>
  </si>
  <si>
    <t>CG083763L918</t>
  </si>
  <si>
    <t>PO-20190418A</t>
  </si>
  <si>
    <t>同T374</t>
  </si>
  <si>
    <t>CH0852015210</t>
  </si>
  <si>
    <t>UX-233981D</t>
  </si>
  <si>
    <t>PO-20190418B</t>
  </si>
  <si>
    <t>同AH372</t>
  </si>
  <si>
    <t>同AI372</t>
  </si>
  <si>
    <t>PO-20190418C</t>
  </si>
  <si>
    <t>CH080N800970</t>
  </si>
  <si>
    <t>PGS-113886</t>
  </si>
  <si>
    <t>同U377</t>
  </si>
  <si>
    <t xml:space="preserve">PD-20190418A-3 </t>
  </si>
  <si>
    <t xml:space="preserve"> CX082230F0SV</t>
  </si>
  <si>
    <t xml:space="preserve"> Elgens </t>
  </si>
  <si>
    <t>PD-20190418A</t>
  </si>
  <si>
    <t>CX082230F0SV</t>
  </si>
  <si>
    <t>同AF379</t>
  </si>
  <si>
    <t>PO-20190419A</t>
  </si>
  <si>
    <t>同U382</t>
  </si>
  <si>
    <t>PO-20190422A</t>
  </si>
  <si>
    <t>同U383</t>
  </si>
  <si>
    <t>PO-20190422B</t>
  </si>
  <si>
    <t>CX082230AXK0</t>
  </si>
  <si>
    <t>同U386</t>
  </si>
  <si>
    <t>PO-20190422C</t>
  </si>
  <si>
    <t>CR083764C680</t>
  </si>
  <si>
    <t>同U390</t>
  </si>
  <si>
    <t>同AF390</t>
  </si>
  <si>
    <t>同AG390</t>
  </si>
  <si>
    <t>PO-20190423A</t>
  </si>
  <si>
    <t>PS36525700</t>
  </si>
  <si>
    <t>郵局:
98096622006510220000</t>
  </si>
  <si>
    <t>同</t>
  </si>
  <si>
    <t>PO-20190424A</t>
  </si>
  <si>
    <t>同U392</t>
  </si>
  <si>
    <t>PO-20190426A</t>
  </si>
  <si>
    <t>PS36525703</t>
  </si>
  <si>
    <t>SAME Z395</t>
  </si>
  <si>
    <t>同AF395</t>
  </si>
  <si>
    <t>同AG395</t>
  </si>
  <si>
    <t>PO-20190502A-1</t>
  </si>
  <si>
    <t>CG083764M490</t>
  </si>
  <si>
    <t>同U398</t>
  </si>
  <si>
    <t>同AF398</t>
  </si>
  <si>
    <t>同AG398</t>
  </si>
  <si>
    <t>PO-20190502A-3</t>
  </si>
  <si>
    <t>PO-20190502A-2</t>
  </si>
  <si>
    <t>同U401</t>
  </si>
  <si>
    <t>PO-20190502C</t>
  </si>
  <si>
    <t>PS36525704</t>
  </si>
  <si>
    <t>郵局:
98424922006510221005</t>
  </si>
  <si>
    <t>同U406</t>
  </si>
  <si>
    <t>SAME Z405</t>
  </si>
  <si>
    <t>同AF405</t>
  </si>
  <si>
    <t>同AG405</t>
  </si>
  <si>
    <t>CR0837650J82</t>
  </si>
  <si>
    <t>PO-20190502E</t>
  </si>
  <si>
    <t>PO-20190507A</t>
  </si>
  <si>
    <t>PS36525710</t>
  </si>
  <si>
    <t>PO-20190507B</t>
  </si>
  <si>
    <t>CX082230CCEF</t>
  </si>
  <si>
    <t>同U414</t>
  </si>
  <si>
    <t>PO-20190508A</t>
  </si>
  <si>
    <t>PS36525706</t>
  </si>
  <si>
    <t>郵局:
98330722006510302007</t>
  </si>
  <si>
    <t>PO-20190508B-3</t>
  </si>
  <si>
    <t>CX082230CC03</t>
  </si>
  <si>
    <t>PO-20190508B-1</t>
  </si>
  <si>
    <t xml:space="preserve"> ICP DAS 泓格</t>
  </si>
  <si>
    <t>PO-20190508B-2</t>
  </si>
  <si>
    <t>兆豐銀行：017
帳號：02009016424</t>
  </si>
  <si>
    <t>同U420</t>
  </si>
  <si>
    <t>PO-20190508B-4</t>
  </si>
  <si>
    <t>CX082230DL75</t>
  </si>
  <si>
    <t>同AH420</t>
  </si>
  <si>
    <t>同AI420</t>
  </si>
  <si>
    <t>MemxPro 敏博</t>
  </si>
  <si>
    <t>PO-20190510A-2(revise-3)</t>
  </si>
  <si>
    <t>CA 0808321367</t>
  </si>
  <si>
    <t>同AH427</t>
  </si>
  <si>
    <t>同AI427</t>
  </si>
  <si>
    <t>奇普仕</t>
  </si>
  <si>
    <t>PO-20190510A-1</t>
  </si>
  <si>
    <t>匯豐台北分行0810016
001-130582-031</t>
  </si>
  <si>
    <t>PD-20190510A</t>
  </si>
  <si>
    <t xml:space="preserve">CA 0808321367
</t>
  </si>
  <si>
    <t>折讓</t>
  </si>
  <si>
    <t>PO-20190508D</t>
  </si>
  <si>
    <t>PS36525711</t>
  </si>
  <si>
    <t>郵局:
96210022006410116005</t>
  </si>
  <si>
    <t>:</t>
  </si>
  <si>
    <t>CX082230Q9A8</t>
  </si>
  <si>
    <t>PO-20190509A-1</t>
  </si>
  <si>
    <t>同AF432</t>
  </si>
  <si>
    <t>同AG432</t>
  </si>
  <si>
    <t>PO-20190509A-3</t>
  </si>
  <si>
    <t>同U400</t>
  </si>
  <si>
    <t>PO-20190509A-2</t>
  </si>
  <si>
    <t>同U435</t>
  </si>
  <si>
    <t>PO-20190509C</t>
  </si>
  <si>
    <t>同W440</t>
  </si>
  <si>
    <t>戎克倉庫</t>
  </si>
  <si>
    <t>Po-20190509C</t>
  </si>
  <si>
    <t>PO-20190513A</t>
  </si>
  <si>
    <t>同U441</t>
  </si>
  <si>
    <t>PO-20190513B</t>
  </si>
  <si>
    <t>PS36525712</t>
  </si>
  <si>
    <t>郵局:
98425022006510330000</t>
  </si>
  <si>
    <t>待水單沖匯</t>
  </si>
  <si>
    <t>PO-20190513C</t>
  </si>
  <si>
    <t>PS36525752</t>
  </si>
  <si>
    <t>郵局:
97312722007510330714</t>
  </si>
  <si>
    <t>PO-20190515A</t>
  </si>
  <si>
    <t>CX082230DKDT</t>
  </si>
  <si>
    <t>壬寅</t>
  </si>
  <si>
    <t>PO-20190515B</t>
  </si>
  <si>
    <t>國泰世華二重分行
0130707 
070-03-700964-2</t>
  </si>
  <si>
    <t>CX082230DGFN</t>
  </si>
  <si>
    <t>PO-20190515C</t>
  </si>
  <si>
    <t>CG 083764J837</t>
  </si>
  <si>
    <t>同U452</t>
  </si>
  <si>
    <t>PO-20190517A</t>
  </si>
  <si>
    <t>同AF451</t>
  </si>
  <si>
    <t>PS36525713</t>
  </si>
  <si>
    <t>PO-20190520A</t>
  </si>
  <si>
    <t>PS36525758</t>
  </si>
  <si>
    <t xml:space="preserve">郵局:
</t>
  </si>
  <si>
    <t>洋基通運匯豐(081)
 10081620882011</t>
  </si>
  <si>
    <t>亞佳</t>
  </si>
  <si>
    <t>PO-20190521A</t>
  </si>
  <si>
    <t>聯邦銀行土城分行
089100002466</t>
  </si>
  <si>
    <t>CR083764S741</t>
  </si>
  <si>
    <t>同AH444</t>
  </si>
  <si>
    <t>同AI444</t>
  </si>
  <si>
    <t>PO-20190523A</t>
  </si>
  <si>
    <t>PS36525756</t>
  </si>
  <si>
    <t>郵局:</t>
  </si>
  <si>
    <t>同W461</t>
  </si>
  <si>
    <t>同AB456</t>
  </si>
  <si>
    <t>同AH458</t>
  </si>
  <si>
    <t>PO-20190523B</t>
  </si>
  <si>
    <t xml:space="preserve">CU0857BH6401 </t>
  </si>
  <si>
    <t>1Z1913EE0495840503</t>
  </si>
  <si>
    <t>同AH156</t>
  </si>
  <si>
    <t>同AI156</t>
  </si>
  <si>
    <t>同W463</t>
  </si>
  <si>
    <t>PO-20190524A</t>
  </si>
  <si>
    <t>CX082230EF18</t>
  </si>
  <si>
    <t>同U468</t>
  </si>
  <si>
    <t>同AH468</t>
  </si>
  <si>
    <t>同AI468</t>
  </si>
  <si>
    <t>RockTouch
志賸企業</t>
  </si>
  <si>
    <t>PO-20190524B-1</t>
  </si>
  <si>
    <t>上海銀行 前金分行
NTD  30102000077801</t>
  </si>
  <si>
    <t>CU0857BJ5595</t>
  </si>
  <si>
    <t>1Z1913EE0490044767</t>
  </si>
  <si>
    <t>PO-20190524B-2(Revised-1)</t>
  </si>
  <si>
    <t>同S468</t>
  </si>
  <si>
    <t>CU08578F8786</t>
  </si>
  <si>
    <t>1Z1913EE0496034141</t>
  </si>
  <si>
    <t>PO-20190529A</t>
  </si>
  <si>
    <t>CX082230DZNY</t>
  </si>
  <si>
    <t>同AH476</t>
  </si>
  <si>
    <t>同AI476</t>
  </si>
  <si>
    <t>PO-20190531A</t>
  </si>
  <si>
    <t>PO-20190531B</t>
  </si>
  <si>
    <t>PS36525751</t>
  </si>
  <si>
    <t>郵局:
97312822007510116003</t>
  </si>
  <si>
    <t>PO-20190603A</t>
  </si>
  <si>
    <t>CH080N801398</t>
  </si>
  <si>
    <t>同AH626</t>
  </si>
  <si>
    <t>同AI626</t>
  </si>
  <si>
    <t>同W480</t>
  </si>
  <si>
    <t>PD-20190605A</t>
  </si>
  <si>
    <t>CX082230GE23</t>
  </si>
  <si>
    <t>PD-20190605A-2</t>
  </si>
  <si>
    <t>同AH486</t>
  </si>
  <si>
    <t>同AI486</t>
  </si>
  <si>
    <t>PD-20190605A-1</t>
  </si>
  <si>
    <t>PD-20190605A-4</t>
  </si>
  <si>
    <t>PS36525750</t>
  </si>
  <si>
    <t>沛勁寄出</t>
  </si>
  <si>
    <t>PO-20190604C</t>
  </si>
  <si>
    <t>PS36525754</t>
  </si>
  <si>
    <t>郵局:
98947022006510231007</t>
  </si>
  <si>
    <t>同AH418</t>
  </si>
  <si>
    <t>同AI418</t>
  </si>
  <si>
    <t>PO-20190604D</t>
  </si>
  <si>
    <t>CX082230F0U5</t>
  </si>
  <si>
    <t>同W494</t>
  </si>
  <si>
    <t>同AH493</t>
  </si>
  <si>
    <t>同AI493</t>
  </si>
  <si>
    <t>錫麟</t>
  </si>
  <si>
    <t>PO-20190605B</t>
  </si>
  <si>
    <t>台灣土地銀行 仁愛分行
057001501293</t>
  </si>
  <si>
    <t>同AH498</t>
  </si>
  <si>
    <t>同AI498</t>
  </si>
  <si>
    <t>PO-20190605A</t>
  </si>
  <si>
    <t>同W498</t>
  </si>
  <si>
    <t>PO-20190606A</t>
  </si>
  <si>
    <t>PS36525753</t>
  </si>
  <si>
    <t>大榮:
15595542201</t>
  </si>
  <si>
    <t>PO-20190606B</t>
  </si>
  <si>
    <t>CE0811527128</t>
  </si>
  <si>
    <t>同AH501</t>
  </si>
  <si>
    <t>同AI501</t>
  </si>
  <si>
    <t>PO-20190606C</t>
  </si>
  <si>
    <t>PO-20190606D</t>
  </si>
  <si>
    <t>CG083765E555</t>
  </si>
  <si>
    <t>同AH506</t>
  </si>
  <si>
    <t>同AI506</t>
  </si>
  <si>
    <t>同Q504</t>
  </si>
  <si>
    <t>PO-20190607A</t>
  </si>
  <si>
    <t>CX082230ECCJ</t>
  </si>
  <si>
    <t>PO-20190610A</t>
  </si>
  <si>
    <t xml:space="preserve"> CX082230F23F</t>
  </si>
  <si>
    <t>MemxPro敏博
戎克組裝</t>
  </si>
  <si>
    <t>PO-20190610B</t>
  </si>
  <si>
    <t>同W514</t>
  </si>
  <si>
    <t>CX082230HKCU</t>
  </si>
  <si>
    <t>同AH514</t>
  </si>
  <si>
    <t>同AJ514</t>
  </si>
  <si>
    <t>PD-20190610B-1
~PD-20190610B-6</t>
  </si>
  <si>
    <t>CX082230MLYT</t>
  </si>
  <si>
    <t>PD-20190610A-1
~PD-20190610A-6</t>
  </si>
  <si>
    <t>PO-20190611A</t>
  </si>
  <si>
    <t>PO-20190612B-2</t>
  </si>
  <si>
    <t>CG 083765E418</t>
  </si>
  <si>
    <t>同AH520</t>
  </si>
  <si>
    <t>同AI520</t>
  </si>
  <si>
    <t>PO-20190612A</t>
  </si>
  <si>
    <t>PO-20190612B-1</t>
  </si>
  <si>
    <t>PO-20190613A</t>
  </si>
  <si>
    <t>PS36525757</t>
  </si>
  <si>
    <t>郵局:
90038722006510116003</t>
  </si>
  <si>
    <t>同AH479</t>
  </si>
  <si>
    <t>同AI479</t>
  </si>
  <si>
    <t>PO-20190617A</t>
  </si>
  <si>
    <t>PO-20190619B</t>
  </si>
  <si>
    <t>PO-20190620A-1</t>
  </si>
  <si>
    <t>CU0857BJ5209</t>
  </si>
  <si>
    <t>1Z1913EE0491992133</t>
  </si>
  <si>
    <t>客供料
貨到送曦立</t>
  </si>
  <si>
    <t>PO-20190620A-1(Revised-2)
(2019102500004)</t>
  </si>
  <si>
    <t>同X528</t>
  </si>
  <si>
    <t>CU0857BGB197</t>
  </si>
  <si>
    <t>同AI528</t>
  </si>
  <si>
    <t>同AJ528</t>
  </si>
  <si>
    <t>PO-20190620A-1(Revised-2)
(2019102500005)</t>
  </si>
  <si>
    <t>PO-20190625A</t>
  </si>
  <si>
    <t>CH0852015384</t>
  </si>
  <si>
    <t>UX-234101E</t>
  </si>
  <si>
    <t>同W534</t>
  </si>
  <si>
    <t>同AH535</t>
  </si>
  <si>
    <t>PO-20190625B</t>
  </si>
  <si>
    <t>CX082230K1XW</t>
  </si>
  <si>
    <t>PD-20190626A</t>
  </si>
  <si>
    <t>CX082230LUSZ</t>
  </si>
  <si>
    <t>PO-20190625C</t>
  </si>
  <si>
    <t>PO-20190626A-1</t>
  </si>
  <si>
    <t>CH0852015367</t>
  </si>
  <si>
    <t>UX-234091D</t>
  </si>
  <si>
    <t>PO-20190626A-2</t>
  </si>
  <si>
    <t>同AH539</t>
  </si>
  <si>
    <t>同AI539</t>
  </si>
  <si>
    <t>PO-20190626B</t>
  </si>
  <si>
    <t>RP36571850</t>
  </si>
  <si>
    <t>97774322007510116004</t>
  </si>
  <si>
    <t xml:space="preserve">維田 Aplex </t>
  </si>
  <si>
    <t>PO-20190628A</t>
  </si>
  <si>
    <t>CX082230HT0P</t>
  </si>
  <si>
    <t>PO-20190628B</t>
  </si>
  <si>
    <t>CG083765J527</t>
  </si>
  <si>
    <t>PO-20190701A</t>
  </si>
  <si>
    <t>RP36571852</t>
  </si>
  <si>
    <t>97905822007510116007</t>
  </si>
  <si>
    <t>同AH542</t>
  </si>
  <si>
    <t>同AI542</t>
  </si>
  <si>
    <t>PO-20190701B</t>
  </si>
  <si>
    <t>RP36571851</t>
  </si>
  <si>
    <t>郵局:
97851922007510302003</t>
  </si>
  <si>
    <t>PO-20190702A</t>
  </si>
  <si>
    <t>RP36571853</t>
  </si>
  <si>
    <t>郵局:
98022422007510231004</t>
  </si>
  <si>
    <t>同W547</t>
  </si>
  <si>
    <t>SAME AS AB546</t>
  </si>
  <si>
    <t>PO-20190705A</t>
  </si>
  <si>
    <t>CU0857BH8375</t>
  </si>
  <si>
    <t>1Z1913EE0495023539</t>
  </si>
  <si>
    <t>同W549</t>
  </si>
  <si>
    <t>PO-20190703B</t>
  </si>
  <si>
    <t>PD-20190704A</t>
  </si>
  <si>
    <t>同AH570</t>
  </si>
  <si>
    <t>同AI570</t>
  </si>
  <si>
    <t>PO-20190704B</t>
  </si>
  <si>
    <t>CUD857BH8818</t>
  </si>
  <si>
    <t>1Z1913EE0493304328</t>
  </si>
  <si>
    <t>PO-20190708A</t>
  </si>
  <si>
    <t>CX082230HUCQ</t>
  </si>
  <si>
    <t>同W555</t>
  </si>
  <si>
    <t>同AH557</t>
  </si>
  <si>
    <t>同AI557</t>
  </si>
  <si>
    <t>CU0857BJ4691</t>
  </si>
  <si>
    <t>1Z1913EE0493974711</t>
  </si>
  <si>
    <t>PO-20190710B</t>
  </si>
  <si>
    <t>CG083765Q629</t>
  </si>
  <si>
    <t>PO-20190711A</t>
  </si>
  <si>
    <t>同W562</t>
  </si>
  <si>
    <t>RMA-20190616A</t>
  </si>
  <si>
    <t>PO-20190712A</t>
  </si>
  <si>
    <t>PO-20190715A</t>
  </si>
  <si>
    <t xml:space="preserve"> CX082230JEQV</t>
  </si>
  <si>
    <t>PO-20190805A</t>
  </si>
  <si>
    <t>"花旗：021-0018
5028523019"</t>
  </si>
  <si>
    <t>CX082230KXZV</t>
  </si>
  <si>
    <t>同W639</t>
  </si>
  <si>
    <t>同AH565</t>
  </si>
  <si>
    <t>同AI565</t>
  </si>
  <si>
    <t xml:space="preserve">PO-20190716A </t>
  </si>
  <si>
    <t>RP36571854</t>
  </si>
  <si>
    <t>郵局:
98022322007510116005</t>
  </si>
  <si>
    <t>PO-20190717A-2</t>
  </si>
  <si>
    <r>
      <rPr>
        <sz val="10"/>
        <color rgb="FF000000"/>
        <rFont val="Arial"/>
        <family val="2"/>
      </rPr>
      <t xml:space="preserve">●20PCS 票據短缺
</t>
    </r>
    <r>
      <rPr>
        <sz val="10"/>
        <color rgb="FF000000"/>
        <rFont val="Arial"/>
        <family val="2"/>
      </rPr>
      <t>●50PCS :CA0806731424</t>
    </r>
  </si>
  <si>
    <t>●20PCS for UPS:1Z1913EE6799291928
●50PCS for Kuehne&amp;Nagel :217-28749044/1030200490</t>
  </si>
  <si>
    <t>PO-20190717A-1</t>
  </si>
  <si>
    <t>同S573</t>
  </si>
  <si>
    <t>同X573</t>
  </si>
  <si>
    <t>RP36571907</t>
  </si>
  <si>
    <t>隨貨寄出</t>
  </si>
  <si>
    <t>同AB579</t>
  </si>
  <si>
    <t>同AH578</t>
  </si>
  <si>
    <t>同AI578</t>
  </si>
  <si>
    <t>PO-20190724A</t>
  </si>
  <si>
    <t>同W579</t>
  </si>
  <si>
    <t>PO-20190802AC</t>
  </si>
  <si>
    <t>同W582</t>
  </si>
  <si>
    <t>PO-20190730AC</t>
  </si>
  <si>
    <t>同W580</t>
  </si>
  <si>
    <t>PO-20190723C</t>
  </si>
  <si>
    <t>PO-20190722C-1</t>
  </si>
  <si>
    <t>MO-20190717D(revised)</t>
  </si>
  <si>
    <t>見BOM</t>
  </si>
  <si>
    <t>CG083766H317</t>
  </si>
  <si>
    <t>PO-20190717E-1</t>
  </si>
  <si>
    <t>CX082230KA5P</t>
  </si>
  <si>
    <t>同W590</t>
  </si>
  <si>
    <t>PO-20190717E-2</t>
  </si>
  <si>
    <t>PO-20190719A</t>
  </si>
  <si>
    <t>RP36571855</t>
  </si>
  <si>
    <t>同W591</t>
  </si>
  <si>
    <t>郵局:
95962922006910116000</t>
  </si>
  <si>
    <t>SAME AS AB592</t>
  </si>
  <si>
    <t>同AH593</t>
  </si>
  <si>
    <t>同AI593</t>
  </si>
  <si>
    <t>客供料
送曦立貼合</t>
  </si>
  <si>
    <t>CU0857BGB936</t>
  </si>
  <si>
    <t xml:space="preserve">大榮15995542754 </t>
  </si>
  <si>
    <t>PO-20190719B-1
(PO-201911190004)</t>
  </si>
  <si>
    <t>1Z1913EE0497220125</t>
  </si>
  <si>
    <t>PO-20190719B-2
(PO-201911190001)</t>
  </si>
  <si>
    <t>PO-201911190004</t>
  </si>
  <si>
    <t>同AI586</t>
  </si>
  <si>
    <t>同AJ586</t>
  </si>
  <si>
    <t>CU0857BG7912</t>
  </si>
  <si>
    <t>1Z1913EE0495130771</t>
  </si>
  <si>
    <t>PO-20190719B-2(Revised)
PO-2019103100002</t>
  </si>
  <si>
    <t>同AI605</t>
  </si>
  <si>
    <t>同AJ605</t>
  </si>
  <si>
    <t>PO-20190719B-1
(2019102500009)</t>
  </si>
  <si>
    <t>CU0857BGA117</t>
  </si>
  <si>
    <t>1Z1913EE6691545198</t>
  </si>
  <si>
    <t>PO-20190719B-2
(PO-201911190002)</t>
  </si>
  <si>
    <t>大榮15995542754</t>
  </si>
  <si>
    <t>PO-20190719B-1
(PO-201911190005)</t>
  </si>
  <si>
    <t>同AI605.同AI735</t>
  </si>
  <si>
    <t>同AJ605.同AJ735</t>
  </si>
  <si>
    <t>CU0857BGB197/CU0857BGB936</t>
  </si>
  <si>
    <t>2019/10/18*2PCS
2019/11/12*2PCS</t>
  </si>
  <si>
    <r>
      <rPr>
        <sz val="10"/>
        <color rgb="FF000000"/>
        <rFont val="Arial"/>
        <family val="2"/>
      </rPr>
      <t>CU0857BGB197/</t>
    </r>
    <r>
      <rPr>
        <sz val="10"/>
        <color rgb="FF000000"/>
        <rFont val="Arial"/>
        <family val="2"/>
      </rPr>
      <t>CU0857BGB936</t>
    </r>
  </si>
  <si>
    <r>
      <rPr>
        <sz val="10"/>
        <color rgb="FF000000"/>
        <rFont val="Arial"/>
        <family val="2"/>
      </rPr>
      <t>2019/11/11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(2PCS)</t>
    </r>
    <r>
      <rPr>
        <sz val="10"/>
        <color rgb="FF000000"/>
        <rFont val="Arial"/>
        <family val="2"/>
      </rPr>
      <t xml:space="preserve">
2019/12/2
(2PCS)</t>
    </r>
  </si>
  <si>
    <t>PO-20190719B-3(Revisd)
(PO-2019111100001)</t>
  </si>
  <si>
    <t>同X848</t>
  </si>
  <si>
    <t>PO-20190719C</t>
  </si>
  <si>
    <t xml:space="preserve"> 盛智</t>
  </si>
  <si>
    <t>PD-2019102900001</t>
  </si>
  <si>
    <r>
      <rPr>
        <sz val="10"/>
        <color rgb="FF000000"/>
        <rFont val="Arial"/>
        <family val="2"/>
      </rPr>
      <t xml:space="preserve">2019/11/11(2PCS)
</t>
    </r>
    <r>
      <rPr>
        <sz val="10"/>
        <color rgb="FF000000"/>
        <rFont val="Arial"/>
        <family val="2"/>
      </rPr>
      <t>2019/11/29(2PCS)</t>
    </r>
  </si>
  <si>
    <t>CiVUE Optotech
曦立光電
(提供Film 給曦立貼合)</t>
  </si>
  <si>
    <t>戎克產線</t>
  </si>
  <si>
    <t>RP36571856</t>
  </si>
  <si>
    <t>PO-20190722C</t>
  </si>
  <si>
    <t>CX082230KA7J</t>
  </si>
  <si>
    <t>同AH608</t>
  </si>
  <si>
    <t>同AI608</t>
  </si>
  <si>
    <t>同W611</t>
  </si>
  <si>
    <t>PO-20190722D</t>
  </si>
  <si>
    <t>同AH564</t>
  </si>
  <si>
    <t>同AI564</t>
  </si>
  <si>
    <t>CR083765Y018</t>
  </si>
  <si>
    <t>同W613</t>
  </si>
  <si>
    <t>PO-20190723D</t>
  </si>
  <si>
    <t>CH080C310986</t>
  </si>
  <si>
    <t>TPE-7HU4590</t>
  </si>
  <si>
    <t>PO-20190725A</t>
  </si>
  <si>
    <t>RP36571903</t>
  </si>
  <si>
    <t>郵局:
8585222007510116006</t>
  </si>
  <si>
    <t xml:space="preserve">PO-20190726A </t>
  </si>
  <si>
    <t>RP36571857</t>
  </si>
  <si>
    <t>郵局:
95994722006910302680</t>
  </si>
  <si>
    <t>以7/15預收沖帳</t>
  </si>
  <si>
    <r>
      <rPr>
        <sz val="10"/>
        <color rgb="FF000000"/>
        <rFont val="Arial"/>
        <family val="2"/>
      </rPr>
      <t xml:space="preserve">2019/10/18*2pcs(NG *2)
 -&gt;Alan 10/23 回覆11/15補回
</t>
    </r>
    <r>
      <rPr>
        <sz val="10"/>
        <color rgb="FF000000"/>
        <rFont val="Arial"/>
        <family val="2"/>
      </rPr>
      <t xml:space="preserve">→曦立11/12 到貨 2PCS
</t>
    </r>
  </si>
  <si>
    <t>PO-20190726B</t>
  </si>
  <si>
    <t>CX082230KXV1</t>
  </si>
  <si>
    <t>PO-20190726B-1</t>
  </si>
  <si>
    <t>PO-20190726B-2</t>
  </si>
  <si>
    <t>PO-20190801D</t>
  </si>
  <si>
    <t>同W638</t>
  </si>
  <si>
    <t>CH080N802028</t>
  </si>
  <si>
    <t>TPEA000223</t>
  </si>
  <si>
    <t>CX082230JJK7</t>
  </si>
  <si>
    <t>PO-20190731A</t>
  </si>
  <si>
    <t>CR083766E416</t>
  </si>
  <si>
    <t>同W625</t>
  </si>
  <si>
    <t>同AH622</t>
  </si>
  <si>
    <t>同AI622</t>
  </si>
  <si>
    <t>PO-20190731B</t>
  </si>
  <si>
    <t>RP36571906</t>
  </si>
  <si>
    <t>郵局:
8585322007510220009</t>
  </si>
  <si>
    <t>PO-20190801A</t>
  </si>
  <si>
    <t>CX082230M7KS</t>
  </si>
  <si>
    <t>同AH632</t>
  </si>
  <si>
    <t>同AI632</t>
  </si>
  <si>
    <t>PO-20190801B</t>
  </si>
  <si>
    <t>同W633</t>
  </si>
  <si>
    <t>同AH633</t>
  </si>
  <si>
    <t>同AI633</t>
  </si>
  <si>
    <t>PO-20190801C</t>
  </si>
  <si>
    <t>同W539</t>
  </si>
  <si>
    <t>RP36571900</t>
  </si>
  <si>
    <t>沛勁:895256</t>
  </si>
  <si>
    <t>RP36571902</t>
  </si>
  <si>
    <t>郵局:
91274822006210412006</t>
  </si>
  <si>
    <t>PO-20190808A(revised)
(2019100800008)</t>
  </si>
  <si>
    <t>CR083767N884</t>
  </si>
  <si>
    <t xml:space="preserve"> MOXA</t>
  </si>
  <si>
    <t xml:space="preserve"> PO-20190812A</t>
  </si>
  <si>
    <t>CR083766K315</t>
  </si>
  <si>
    <t>宏正
ATEN</t>
  </si>
  <si>
    <t>PO-20190813A-2</t>
  </si>
  <si>
    <t>國泰世華銀行-汐止分行
銀行帳號:109-03-500348-9
分行代碼:0131092</t>
  </si>
  <si>
    <t>CR083766X898</t>
  </si>
  <si>
    <t>PO-20190813A-1</t>
  </si>
  <si>
    <t>同W647</t>
  </si>
  <si>
    <t>同AH644</t>
  </si>
  <si>
    <t>同AI644</t>
  </si>
  <si>
    <t>CR083766Z193</t>
  </si>
  <si>
    <t>PO-20190813B</t>
  </si>
  <si>
    <t>RP36571905</t>
  </si>
  <si>
    <t>同W645</t>
  </si>
  <si>
    <t>同AB651</t>
  </si>
  <si>
    <t>PO-20190813C</t>
  </si>
  <si>
    <t>RP36571904</t>
  </si>
  <si>
    <t>隨PI-20190717C一起寄出</t>
  </si>
  <si>
    <t>PO-20190814A
(誤下單PO-20190702A)</t>
  </si>
  <si>
    <t>TL36541202</t>
  </si>
  <si>
    <t>待由Chloe寄出</t>
  </si>
  <si>
    <t>PO-20190814C</t>
  </si>
  <si>
    <t>CG083766P288</t>
  </si>
  <si>
    <t>PO-20190815A</t>
  </si>
  <si>
    <t>CR083766T239</t>
  </si>
  <si>
    <t>同W658</t>
  </si>
  <si>
    <t>同AH277</t>
  </si>
  <si>
    <t>同AI277</t>
  </si>
  <si>
    <t>PO-20190815B</t>
  </si>
  <si>
    <t>CH080N802173</t>
  </si>
  <si>
    <t>TPEA000278</t>
  </si>
  <si>
    <t>同AH654</t>
  </si>
  <si>
    <t>同AI654</t>
  </si>
  <si>
    <t>0827寄出至曦立光電</t>
  </si>
  <si>
    <t>PO-20190819A</t>
  </si>
  <si>
    <t>同AH655</t>
  </si>
  <si>
    <t>同w659</t>
  </si>
  <si>
    <t>CG083767B256</t>
  </si>
  <si>
    <t>RP36571908</t>
  </si>
  <si>
    <t>沛勁895259</t>
  </si>
  <si>
    <t>同AI646</t>
  </si>
  <si>
    <t>同AJ646</t>
  </si>
  <si>
    <t>PO-20190820A
2019102500001</t>
  </si>
  <si>
    <t xml:space="preserve"> CR083769D744</t>
  </si>
  <si>
    <t>同O668</t>
  </si>
  <si>
    <t>同AH668</t>
  </si>
  <si>
    <t>同AI668</t>
  </si>
  <si>
    <t>PO-20190821A</t>
  </si>
  <si>
    <t>CX082230M7AD</t>
  </si>
  <si>
    <t>同W671</t>
  </si>
  <si>
    <t>同AI675</t>
  </si>
  <si>
    <t>同AJ675</t>
  </si>
  <si>
    <t>PO-20190821B</t>
  </si>
  <si>
    <t>TL36541204</t>
  </si>
  <si>
    <t>9/18 待由CHLOE 寄出郵局</t>
  </si>
  <si>
    <t>PO-20190821C</t>
  </si>
  <si>
    <t>RP36571909</t>
  </si>
  <si>
    <t>郵局:
98686622007510116006</t>
  </si>
  <si>
    <t>同AB670</t>
  </si>
  <si>
    <t>同AI677</t>
  </si>
  <si>
    <t>同AJ677</t>
  </si>
  <si>
    <t>PO-20190823A</t>
  </si>
  <si>
    <t>台北富邦銀行
668120002393</t>
  </si>
  <si>
    <t>TL36541200</t>
  </si>
  <si>
    <t>沛勁:895261</t>
  </si>
  <si>
    <t>同W675</t>
  </si>
  <si>
    <t>同AB675</t>
  </si>
  <si>
    <t>同AI693</t>
  </si>
  <si>
    <t>同AJ693</t>
  </si>
  <si>
    <t>TL36541205</t>
  </si>
  <si>
    <t>沛勁:895267</t>
  </si>
  <si>
    <t>CR08376WAW08</t>
  </si>
  <si>
    <t>無</t>
  </si>
  <si>
    <t>供應商自行吸收，不予我司收費</t>
  </si>
  <si>
    <t>PO-20190828A(Revised)</t>
  </si>
  <si>
    <t>CX082230NHH4</t>
  </si>
  <si>
    <t>同W680</t>
  </si>
  <si>
    <t>同AH685</t>
  </si>
  <si>
    <t>同AI685</t>
  </si>
  <si>
    <t>PO-20190829A(revised)</t>
  </si>
  <si>
    <t>CR083767C248</t>
  </si>
  <si>
    <t>同W686</t>
  </si>
  <si>
    <t>MO-20190902A</t>
  </si>
  <si>
    <t>TL36541201</t>
  </si>
  <si>
    <t>郵局:
98897322007510116009</t>
  </si>
  <si>
    <t>戎克</t>
  </si>
  <si>
    <t>CX082230P3Q2</t>
  </si>
  <si>
    <t>戎克樣品庫存</t>
  </si>
  <si>
    <t>MO-20190902A-3</t>
  </si>
  <si>
    <t>同AI703</t>
  </si>
  <si>
    <t>同AK703</t>
  </si>
  <si>
    <t>無單號</t>
  </si>
  <si>
    <t>MO-20190902A-2</t>
  </si>
  <si>
    <t>CX082230PG5V</t>
  </si>
  <si>
    <t>同AI647</t>
  </si>
  <si>
    <t>同AJ647</t>
  </si>
  <si>
    <t>同W760</t>
  </si>
  <si>
    <t>MO-20190902A-4</t>
  </si>
  <si>
    <t>CX082230PR15</t>
  </si>
  <si>
    <t>MO-20190902B</t>
  </si>
  <si>
    <t>MO-20190902A-4-2</t>
  </si>
  <si>
    <t>PO-20190904A(revised)</t>
  </si>
  <si>
    <t>同W692</t>
  </si>
  <si>
    <t>同AH697</t>
  </si>
  <si>
    <t>同AI697</t>
  </si>
  <si>
    <t>泓格科技</t>
  </si>
  <si>
    <t>PO-20190905A</t>
  </si>
  <si>
    <t>兆豐銀行：017 
帳號：02009016424</t>
  </si>
  <si>
    <t>CX082230N8QZ</t>
  </si>
  <si>
    <t>PO-20190905B</t>
  </si>
  <si>
    <t>同W711</t>
  </si>
  <si>
    <t>PO-20190905B-1
(樣品借轉銷)</t>
  </si>
  <si>
    <t>PO-20190906A</t>
  </si>
  <si>
    <t>TL36541203</t>
  </si>
  <si>
    <t>郵局:
91490322006410116003</t>
  </si>
  <si>
    <t>PO-20190906B</t>
  </si>
  <si>
    <t>CW0847056686</t>
  </si>
  <si>
    <t>FETA-772415</t>
  </si>
  <si>
    <t>同W717</t>
  </si>
  <si>
    <t>同AH713</t>
  </si>
  <si>
    <t>同AI713</t>
  </si>
  <si>
    <t>PO-20190909A</t>
  </si>
  <si>
    <t>同W424</t>
  </si>
  <si>
    <t>同AJ427</t>
  </si>
  <si>
    <t>PO-20190910B</t>
  </si>
  <si>
    <t>同MO T44</t>
  </si>
  <si>
    <t xml:space="preserve"> CU0857BG9473</t>
  </si>
  <si>
    <t xml:space="preserve">1Z1913EE0495763767 </t>
  </si>
  <si>
    <t>同AI735</t>
  </si>
  <si>
    <t>同AJ735</t>
  </si>
  <si>
    <t>PO-20190910C</t>
  </si>
  <si>
    <t>CU0857BG9410</t>
  </si>
  <si>
    <t>1Z1913EE0492144182</t>
  </si>
  <si>
    <t>同W724</t>
  </si>
  <si>
    <t>同AH716</t>
  </si>
  <si>
    <t>同AI716</t>
  </si>
  <si>
    <t>PO-20190913A</t>
  </si>
  <si>
    <t>CX082230PC7L</t>
  </si>
  <si>
    <t>同W732</t>
  </si>
  <si>
    <t>同AI753</t>
  </si>
  <si>
    <t>同AJ753</t>
  </si>
  <si>
    <t>CF085500320P</t>
  </si>
  <si>
    <t>同AI756</t>
  </si>
  <si>
    <t>同AJ756</t>
  </si>
  <si>
    <t>PD-20190918A</t>
  </si>
  <si>
    <t>睿陞</t>
  </si>
  <si>
    <t>CF08550ZG818</t>
  </si>
  <si>
    <t>PO-20190917A</t>
  </si>
  <si>
    <t>CH080N802114</t>
  </si>
  <si>
    <t>TPEA000254</t>
  </si>
  <si>
    <t>同W749</t>
  </si>
  <si>
    <t>同AI752</t>
  </si>
  <si>
    <t>同AJ752</t>
  </si>
  <si>
    <t>PO-20190917B</t>
  </si>
  <si>
    <t>CE0811529577</t>
  </si>
  <si>
    <t>同W747</t>
  </si>
  <si>
    <t>同AH743</t>
  </si>
  <si>
    <t>同AI743</t>
  </si>
  <si>
    <t>PO-20190917C</t>
  </si>
  <si>
    <t>TL36541206</t>
  </si>
  <si>
    <t>同W746</t>
  </si>
  <si>
    <t>同AB751</t>
  </si>
  <si>
    <t>同AI754</t>
  </si>
  <si>
    <t>同AJ754</t>
  </si>
  <si>
    <t>PO-20190919A</t>
  </si>
  <si>
    <t>CX082230Q0MZ</t>
  </si>
  <si>
    <t>同W754</t>
  </si>
  <si>
    <t>同AI769</t>
  </si>
  <si>
    <t>同AJ769</t>
  </si>
  <si>
    <t>PO-20190923A
2019100800005</t>
  </si>
  <si>
    <t>CR083768L136</t>
  </si>
  <si>
    <t>同X762</t>
  </si>
  <si>
    <t>同AH756</t>
  </si>
  <si>
    <t>PO-20190923B
(PO-2019102800001)</t>
  </si>
  <si>
    <t>同HC單W225</t>
  </si>
  <si>
    <t>PO-20190925A</t>
  </si>
  <si>
    <t>TL36541250</t>
  </si>
  <si>
    <t>沛勁:895273</t>
  </si>
  <si>
    <t>RockTouch
志賸企業
貨到曦立光電</t>
  </si>
  <si>
    <t>PO-20190925B-1
(2019102500002)</t>
  </si>
  <si>
    <t>CU0857BHF747</t>
  </si>
  <si>
    <t>1Z1913EE0492041453</t>
  </si>
  <si>
    <t>PO-20190925B-2
(2019102500003)</t>
  </si>
  <si>
    <t>大榮寄出:
15595542755</t>
  </si>
  <si>
    <t>PO-20190927A</t>
  </si>
  <si>
    <t>同V787</t>
  </si>
  <si>
    <t>同W787</t>
  </si>
  <si>
    <t>CW0848604098</t>
  </si>
  <si>
    <t>TPEA19073153</t>
  </si>
  <si>
    <t>同AI788</t>
  </si>
  <si>
    <t>同AJ788</t>
  </si>
  <si>
    <t>欣琦</t>
  </si>
  <si>
    <t>台灣中小企業銀板橋分行
140-01-075099</t>
  </si>
  <si>
    <t>同X785</t>
  </si>
  <si>
    <t>同Q779</t>
  </si>
  <si>
    <t>HC-2019100100001</t>
  </si>
  <si>
    <t>PO-20191001A(revised)
(2019100800009)</t>
  </si>
  <si>
    <t>VH36675655</t>
  </si>
  <si>
    <t>同X796</t>
  </si>
  <si>
    <t>SAME AC799</t>
  </si>
  <si>
    <t>同AI787</t>
  </si>
  <si>
    <t>同AJ787</t>
  </si>
  <si>
    <t>VH36675710</t>
  </si>
  <si>
    <t>郵省道:760113686724</t>
  </si>
  <si>
    <t>PO-2019100800004</t>
  </si>
  <si>
    <t>CR083768B187</t>
  </si>
  <si>
    <t>同X800</t>
  </si>
  <si>
    <t>同AI791</t>
  </si>
  <si>
    <t>同AJ791</t>
  </si>
  <si>
    <t>PO-20191001E
(2019100800007)</t>
  </si>
  <si>
    <t>CG083769D776</t>
  </si>
  <si>
    <t>同AI793</t>
  </si>
  <si>
    <t>同AJ793</t>
  </si>
  <si>
    <t>PO-20191002A
(2019100800010)</t>
  </si>
  <si>
    <t>CU0857BGB142</t>
  </si>
  <si>
    <t>1Z1913EE0494469819</t>
  </si>
  <si>
    <t>同X808</t>
  </si>
  <si>
    <t>同AI804</t>
  </si>
  <si>
    <t>同AJ804</t>
  </si>
  <si>
    <t>PO- 2019100400001</t>
  </si>
  <si>
    <t>PO-2019100800003</t>
  </si>
  <si>
    <t>同x810</t>
  </si>
  <si>
    <t>UPS</t>
  </si>
  <si>
    <t>CX082230SPHT</t>
  </si>
  <si>
    <t>同AI831</t>
  </si>
  <si>
    <t>同AJ831</t>
  </si>
  <si>
    <t>MO-20191009A
(2019100900001)</t>
  </si>
  <si>
    <t>MO-20191009A-1
(2019100900002)</t>
  </si>
  <si>
    <t>CX082230VVX8</t>
  </si>
  <si>
    <t>同AI818</t>
  </si>
  <si>
    <t>同AJ818</t>
  </si>
  <si>
    <t>PO-2019100900002</t>
  </si>
  <si>
    <t>CX082230RS1Q</t>
  </si>
  <si>
    <t>PO-2019100900003</t>
  </si>
  <si>
    <t>同AI805</t>
  </si>
  <si>
    <t>同AJ805</t>
  </si>
  <si>
    <t>捷毅到閎亮</t>
  </si>
  <si>
    <t>CG083768F139</t>
  </si>
  <si>
    <t>同R815</t>
  </si>
  <si>
    <t>PO-2019101500001</t>
  </si>
  <si>
    <t>1Z1913EE0490623248</t>
  </si>
  <si>
    <t>同x826</t>
  </si>
  <si>
    <t>同AI822</t>
  </si>
  <si>
    <t>同AJ822</t>
  </si>
  <si>
    <t>PO-2019101500002</t>
  </si>
  <si>
    <t>VH36675657</t>
  </si>
  <si>
    <t>同X829</t>
  </si>
  <si>
    <t>SAME AC815</t>
  </si>
  <si>
    <t>同AI819</t>
  </si>
  <si>
    <t>同AJ819</t>
  </si>
  <si>
    <t>PO-2019102400001</t>
  </si>
  <si>
    <t>待水單沖帳</t>
  </si>
  <si>
    <t>同X831</t>
  </si>
  <si>
    <t>PO-2019101800001</t>
  </si>
  <si>
    <t>VH36675652</t>
  </si>
  <si>
    <t xml:space="preserve">2019/12/19
客戶告知 4PCS 良品放在我司
(4PCS尚未回來) -&gt; 曦立預計20191220 回Elgens </t>
  </si>
  <si>
    <t>大榮寄出:
15595542861</t>
  </si>
  <si>
    <t>PO-2019101800002</t>
  </si>
  <si>
    <t>VH36675656</t>
  </si>
  <si>
    <t>同AI823</t>
  </si>
  <si>
    <t>同AJ823</t>
  </si>
  <si>
    <t>同X840</t>
  </si>
  <si>
    <t>SAME AC840</t>
  </si>
  <si>
    <t>PO-2019101800003</t>
  </si>
  <si>
    <t>CX082230T1E8</t>
  </si>
  <si>
    <t>同AI827</t>
  </si>
  <si>
    <t>同AJ827</t>
  </si>
  <si>
    <t>費用同R626</t>
  </si>
  <si>
    <t>PD-20191021A</t>
  </si>
  <si>
    <t xml:space="preserve">PO-201911190005        </t>
  </si>
  <si>
    <t>PO-201911190003</t>
  </si>
  <si>
    <t xml:space="preserve">PO-2019102100001 </t>
  </si>
  <si>
    <t>CU0875BGA747</t>
  </si>
  <si>
    <t>1913EEVQPLP</t>
  </si>
  <si>
    <t>PO-2019102400002</t>
  </si>
  <si>
    <t>同X859</t>
  </si>
  <si>
    <t>PO-2019102500006</t>
  </si>
  <si>
    <t>CX082230ULU9</t>
  </si>
  <si>
    <t>同X858</t>
  </si>
  <si>
    <t>同AI855</t>
  </si>
  <si>
    <t>同AJ855</t>
  </si>
  <si>
    <t>CG083768T832</t>
  </si>
  <si>
    <t>CU0857BFA980</t>
  </si>
  <si>
    <t>1Z1913EE6798009299</t>
  </si>
  <si>
    <t>同AI850</t>
  </si>
  <si>
    <t>同AJ850</t>
  </si>
  <si>
    <t>PO-2019102900001</t>
  </si>
  <si>
    <t>CX082230SQA2</t>
  </si>
  <si>
    <t>宸曜</t>
  </si>
  <si>
    <t>PO-2019102900004</t>
  </si>
  <si>
    <t>CX082230UEJ3</t>
  </si>
  <si>
    <t>PO-2019103000002</t>
  </si>
  <si>
    <t>同AJ854</t>
  </si>
  <si>
    <t>敏博樣品庫存轉進貨</t>
  </si>
  <si>
    <t>PO-2019103000005</t>
  </si>
  <si>
    <t>PO-2019102900003</t>
  </si>
  <si>
    <t>同X865</t>
  </si>
  <si>
    <t>PO-2019110100001</t>
  </si>
  <si>
    <t>維田
APLEX</t>
  </si>
  <si>
    <t>PO-2019102900002</t>
  </si>
  <si>
    <t>PO-2019103000004</t>
  </si>
  <si>
    <t>同X871</t>
  </si>
  <si>
    <t>PO-2019103000006</t>
  </si>
  <si>
    <t>VH36675662</t>
  </si>
  <si>
    <t>郵省道760113686868</t>
  </si>
  <si>
    <t>同x883</t>
  </si>
  <si>
    <t>SAME AC858</t>
  </si>
  <si>
    <t>PO-2019103000003</t>
  </si>
  <si>
    <t>同X879</t>
  </si>
  <si>
    <t>同AI879</t>
  </si>
  <si>
    <t>同AJ879</t>
  </si>
  <si>
    <t>VH36675658</t>
  </si>
  <si>
    <t>VH36675660</t>
  </si>
  <si>
    <t>同AI869</t>
  </si>
  <si>
    <t>同AJ869</t>
  </si>
  <si>
    <t>產證費用</t>
  </si>
  <si>
    <t>吉祥空運收取</t>
  </si>
  <si>
    <t>CH0834602547</t>
  </si>
  <si>
    <t>ETI-1970940</t>
  </si>
  <si>
    <t>同AI884</t>
  </si>
  <si>
    <t>同AJ884</t>
  </si>
  <si>
    <t>戎克產品開發</t>
  </si>
  <si>
    <t>PD-20191105A-1~PD-20191105A-6</t>
  </si>
  <si>
    <t>已在客戶那邊</t>
  </si>
  <si>
    <t>PO-2019110400003</t>
  </si>
  <si>
    <t>PO-2019110500002</t>
  </si>
  <si>
    <t>VH36675666</t>
  </si>
  <si>
    <t>大榮:15665805624</t>
  </si>
  <si>
    <t>PO-2019110500003</t>
  </si>
  <si>
    <t>CH080N802728</t>
  </si>
  <si>
    <t>同AI877</t>
  </si>
  <si>
    <t>同AJ877</t>
  </si>
  <si>
    <t>CH080N803045</t>
  </si>
  <si>
    <t>TPEA000506</t>
  </si>
  <si>
    <t>CX082230WK8T</t>
  </si>
  <si>
    <t>戎克(借樣到Ti2)</t>
  </si>
  <si>
    <t>CX082230UF4K</t>
  </si>
  <si>
    <t>PO-2019111200003</t>
  </si>
  <si>
    <t>VH36675663</t>
  </si>
  <si>
    <t>郵省道760113686859</t>
  </si>
  <si>
    <t>VH36675702</t>
  </si>
  <si>
    <t>PO-2019111300001</t>
  </si>
  <si>
    <t>VH36675664</t>
  </si>
  <si>
    <t>同X920</t>
  </si>
  <si>
    <t>SAME AC888</t>
  </si>
  <si>
    <t>VH36675711</t>
  </si>
  <si>
    <t>同AI790</t>
  </si>
  <si>
    <t>PO-201911150000(Revised)</t>
  </si>
  <si>
    <t>待銀行水單</t>
  </si>
  <si>
    <t>同X925</t>
  </si>
  <si>
    <t>PO-2019111500001</t>
  </si>
  <si>
    <t xml:space="preserve">PO-2019111500003 </t>
  </si>
  <si>
    <t>CX082230UF1J</t>
  </si>
  <si>
    <t>PO-2019111500002</t>
  </si>
  <si>
    <t>CX082230WB6K</t>
  </si>
  <si>
    <t>同AI905</t>
  </si>
  <si>
    <t>同AJ905</t>
  </si>
  <si>
    <t>PO-201911200001</t>
  </si>
  <si>
    <t>同X931</t>
  </si>
  <si>
    <t>PO-201911200003</t>
  </si>
  <si>
    <t>CX082230VW1D</t>
  </si>
  <si>
    <t>同AI934</t>
  </si>
  <si>
    <t>同AJ934</t>
  </si>
  <si>
    <t>USR IOT</t>
  </si>
  <si>
    <t>PO-201911210002(Revised)</t>
  </si>
  <si>
    <t>待供應商提供</t>
  </si>
  <si>
    <t>庫存</t>
  </si>
  <si>
    <t>PO-201911250001</t>
  </si>
  <si>
    <t>VH36675701</t>
  </si>
  <si>
    <t>研華</t>
  </si>
  <si>
    <t>PO-20191125003</t>
  </si>
  <si>
    <t>PO-20191125002</t>
  </si>
  <si>
    <t>VH36675703</t>
  </si>
  <si>
    <t>PO-20191128003</t>
  </si>
  <si>
    <t>CX082230X06Q</t>
  </si>
  <si>
    <t>PO-20191127001</t>
  </si>
  <si>
    <t>同AI919</t>
  </si>
  <si>
    <t>同AJ919</t>
  </si>
  <si>
    <t>借入倉(借轉銷)</t>
  </si>
  <si>
    <t>CX082230Y2H1</t>
  </si>
  <si>
    <t>PO-20191204005</t>
  </si>
  <si>
    <t>晉茂</t>
  </si>
  <si>
    <t>CX082230VJLK</t>
  </si>
  <si>
    <t>PO-20191204001</t>
  </si>
  <si>
    <t>PO-20191205001</t>
  </si>
  <si>
    <t>VH36675706</t>
  </si>
  <si>
    <t>郵省道760113686760</t>
  </si>
  <si>
    <t>同AI894</t>
  </si>
  <si>
    <t>同AJ894</t>
  </si>
  <si>
    <t>Sovio</t>
  </si>
  <si>
    <t>PO-20191206001(Revesd)</t>
  </si>
  <si>
    <t>國泰世華　景美分行
131-03-500287-9</t>
  </si>
  <si>
    <t>VH36675707</t>
  </si>
  <si>
    <t xml:space="preserve">郵省道760113686751	</t>
  </si>
  <si>
    <t>無需出貨</t>
  </si>
  <si>
    <t>VH36675704</t>
  </si>
  <si>
    <t>隨展品寄回</t>
  </si>
  <si>
    <t>SAME AC944</t>
  </si>
  <si>
    <t>PO-20191211004</t>
  </si>
  <si>
    <t>VH36675709</t>
  </si>
  <si>
    <t>郵省道:760113686742</t>
  </si>
  <si>
    <t>宸耀</t>
  </si>
  <si>
    <t>PO-20191216001</t>
  </si>
  <si>
    <t>世平</t>
  </si>
  <si>
    <t>PO-20191217001</t>
  </si>
  <si>
    <t>彰化商業銀行南港分行 980103-03112700</t>
  </si>
  <si>
    <t>2019/12/25
(宸曜的線12/25到)</t>
  </si>
  <si>
    <t>內部手工材料費</t>
  </si>
  <si>
    <t>PO-20191219001</t>
  </si>
  <si>
    <t>商越</t>
  </si>
  <si>
    <t>PO-20191216002</t>
  </si>
  <si>
    <t>VH36675705</t>
  </si>
  <si>
    <t>PO-20191217002</t>
  </si>
  <si>
    <t>CX082230XXZ4</t>
  </si>
  <si>
    <t>PO-20191219003</t>
  </si>
  <si>
    <t>CR083769M179</t>
  </si>
  <si>
    <t>PO-20191225001</t>
  </si>
  <si>
    <t>Profcon AB</t>
  </si>
  <si>
    <t>20180305-AA</t>
  </si>
  <si>
    <t>PI-20171013A
(Leon測試)</t>
  </si>
  <si>
    <t>LPC-P156W-01-EU</t>
  </si>
  <si>
    <t>Benson</t>
  </si>
  <si>
    <t>DHL account no.: 953324071</t>
  </si>
  <si>
    <t>見2017工單PI-20171013A (289-291；293-295欄位)</t>
  </si>
  <si>
    <t>CX0722300LKV</t>
  </si>
  <si>
    <r>
      <rPr>
        <sz val="10"/>
        <color rgb="FF000000"/>
        <rFont val="Arial"/>
        <family val="2"/>
      </rPr>
      <t xml:space="preserve">PI-20171013A
</t>
    </r>
    <r>
      <rPr>
        <sz val="10"/>
        <color rgb="FF000000"/>
        <rFont val="Arial"/>
        <family val="2"/>
      </rPr>
      <t>(Leon測試)</t>
    </r>
  </si>
  <si>
    <t>DDS4GHIMBEC</t>
  </si>
  <si>
    <t>見2017工單PI-20171013A (292欄位)</t>
  </si>
  <si>
    <t>PI-20171122E
2018013000024</t>
  </si>
  <si>
    <t>PO-20171122E
2018013000013</t>
  </si>
  <si>
    <t>ZJ93498573</t>
  </si>
  <si>
    <t>YR36421851</t>
  </si>
  <si>
    <t>@29.465</t>
  </si>
  <si>
    <t>1/10掛號寄出</t>
  </si>
  <si>
    <t>PI-20171124A
2018013000025</t>
  </si>
  <si>
    <t>11090R0001
(Sierra Module MC7304)</t>
  </si>
  <si>
    <t>Sierra 香港商華展</t>
  </si>
  <si>
    <t>PO-20171124A</t>
  </si>
  <si>
    <t>渣打國際商業銀行營業部
 01800126082</t>
  </si>
  <si>
    <t>QS48620580</t>
  </si>
  <si>
    <t>CG073761A382</t>
  </si>
  <si>
    <t>PI-20171201A
2018013000026</t>
  </si>
  <si>
    <t>1004700003
IB897-I45
(BIOS IB897O4R_20161005)</t>
  </si>
  <si>
    <t>PO-20171201A-1</t>
  </si>
  <si>
    <t>YL25120641</t>
  </si>
  <si>
    <t>7008700005
HSIB897-BGA</t>
  </si>
  <si>
    <t>同V4</t>
  </si>
  <si>
    <t>7008700006
IB76</t>
  </si>
  <si>
    <t>7008000339
CRK16082402-T</t>
  </si>
  <si>
    <t>PO-20171201A-2</t>
  </si>
  <si>
    <t>QV03799654</t>
  </si>
  <si>
    <t>7009000004
CRK16082401-T</t>
  </si>
  <si>
    <t>同V7</t>
  </si>
  <si>
    <t>Toamec
東托貿易(上海)</t>
  </si>
  <si>
    <t>PI-20171204C
(Leon 灌新軟體+標籤)</t>
  </si>
  <si>
    <r>
      <rPr>
        <sz val="10"/>
        <color rgb="FF000000"/>
        <rFont val="Arial"/>
        <family val="2"/>
      </rPr>
      <t xml:space="preserve">Nport W2150A EU Band 
w/ SAA Adapter </t>
    </r>
    <r>
      <rPr>
        <b/>
        <sz val="10"/>
        <color rgb="FF0000FF"/>
        <rFont val="Arial"/>
        <family val="2"/>
      </rPr>
      <t>(w2x50a_1.9.62)</t>
    </r>
  </si>
  <si>
    <t xml:space="preserve">SHANGHAI BEST LOGISTICS </t>
  </si>
  <si>
    <t>Techjoa 科技國
採購為Tammy</t>
  </si>
  <si>
    <t>PO-20171204C
2018013000014</t>
  </si>
  <si>
    <t>國泰世華銀行 (美金帳戶)
002-08-035588-5</t>
  </si>
  <si>
    <t>2017/12/28
2018/1/9</t>
  </si>
  <si>
    <t>QS36017359
YR52396355</t>
  </si>
  <si>
    <t>496,539
744,311</t>
  </si>
  <si>
    <t>CA0752010041</t>
  </si>
  <si>
    <t>018-90099310</t>
  </si>
  <si>
    <t>PI-20171204E</t>
  </si>
  <si>
    <t>CP-134EL-A-I-DB9M</t>
  </si>
  <si>
    <t>DHL EXPRESS (950245025)</t>
  </si>
  <si>
    <t>PO-20171204E
2018013000021</t>
  </si>
  <si>
    <t>QU79344714</t>
  </si>
  <si>
    <t>CX0722300V9V</t>
  </si>
  <si>
    <t>PI-20171207A
(Leon 灌新軟體+標籤)</t>
  </si>
  <si>
    <t>Nport W2150A -US Band w/ US adapter</t>
  </si>
  <si>
    <t>PO-20171207A
2018013000015</t>
  </si>
  <si>
    <t>YR52396351</t>
  </si>
  <si>
    <t>PI-20171204C-1
(Leon 灌新軟體+標籤)</t>
  </si>
  <si>
    <t>PO-20171204C-1
2018013000015</t>
  </si>
  <si>
    <t>YR52396356</t>
  </si>
  <si>
    <t>CA0752010075</t>
  </si>
  <si>
    <t>018-90099321</t>
  </si>
  <si>
    <t>PI-20171206A
2018013000027</t>
  </si>
  <si>
    <t>7011420001
AUO G065VN01 V2</t>
  </si>
  <si>
    <t xml:space="preserve">SMART斯麥特 </t>
  </si>
  <si>
    <t>PO-20171206A</t>
  </si>
  <si>
    <t>上海011
52102000012627</t>
  </si>
  <si>
    <t>QS36197259</t>
  </si>
  <si>
    <t>PI-20171214A
2018013000028</t>
  </si>
  <si>
    <t>1001700001
(IB970RF V1.1)</t>
  </si>
  <si>
    <t>PO-20171214A</t>
  </si>
  <si>
    <t>YL25120640</t>
  </si>
  <si>
    <t>ZS60778441</t>
  </si>
  <si>
    <t>CG073761W760</t>
  </si>
  <si>
    <t>ICO Innovative Computer GmbH</t>
  </si>
  <si>
    <t>PI-20171215A</t>
  </si>
  <si>
    <t>PX-14S3-RS-R50 (IEI)</t>
  </si>
  <si>
    <t xml:space="preserve">Rohlig Taiwan Co., Ltd </t>
  </si>
  <si>
    <t>PO-20171215A</t>
  </si>
  <si>
    <t>YT53679361</t>
  </si>
  <si>
    <t>CW0701460045</t>
  </si>
  <si>
    <t>172-94189966</t>
  </si>
  <si>
    <t>PI-20171221A
(Leon 灌新軟體+標籤)</t>
  </si>
  <si>
    <t>PO-20171221A
2018013000016</t>
  </si>
  <si>
    <t>YR52396353</t>
  </si>
  <si>
    <t xml:space="preserve">PI-20171221B
</t>
  </si>
  <si>
    <t>70111E0002 (PDK-170STE) includes
LCD : G170ETN01.0
Touch : Resistive Touch from Miracle
Air Taping
ETP-MER4050UEBG-02
ETP-CB-5XN00
USB cable from USB controller to board</t>
  </si>
  <si>
    <t>DHL account 955148831</t>
  </si>
  <si>
    <t>RDMO-20171221B</t>
  </si>
  <si>
    <t>CX0722302XQW</t>
  </si>
  <si>
    <t>7009000005
(LVDS cable IMB-150D for G170ETN01.0)</t>
  </si>
  <si>
    <t>RDMO-20171221B-2</t>
  </si>
  <si>
    <t>7008000401
(Backlight cable IMB-150D for G170ETN01.0)</t>
  </si>
  <si>
    <t>PI-20171221B-1</t>
  </si>
  <si>
    <t>PI-20171222A
(Leon組裝)
2018013000001</t>
  </si>
  <si>
    <t>HPCI-14S12U</t>
  </si>
  <si>
    <t>AGILITY LTD</t>
  </si>
  <si>
    <t>PO-20171222A
2018013000007</t>
  </si>
  <si>
    <t>YT66016086</t>
  </si>
  <si>
    <t>CW0710010531</t>
  </si>
  <si>
    <t>297-71114945</t>
  </si>
  <si>
    <t xml:space="preserve">APS935XA-EPS12/FSP350-60PFG(EA) </t>
  </si>
  <si>
    <t>同W25</t>
  </si>
  <si>
    <t>RK-610A-W</t>
  </si>
  <si>
    <t>44 pin to 40 converter cable</t>
  </si>
  <si>
    <t>工單MPO-20170821B</t>
  </si>
  <si>
    <t xml:space="preserve">IDE cable  </t>
  </si>
  <si>
    <t>工單MPO-20170627A</t>
  </si>
  <si>
    <t>Mounting plate (2.5 to 3.5)</t>
  </si>
  <si>
    <t>Assemble</t>
  </si>
  <si>
    <t>LEON組裝無成本</t>
  </si>
  <si>
    <t>PI-20171226A
(Leon 灌新軟體+標籤)
2018013000018</t>
  </si>
  <si>
    <t xml:space="preserve">Santiago </t>
  </si>
  <si>
    <t>PO-20171226A
2018013000017</t>
  </si>
  <si>
    <t>YR52396359</t>
  </si>
  <si>
    <t>CA0792010148</t>
  </si>
  <si>
    <t>018-90104711</t>
  </si>
  <si>
    <t>PI-20171226B
2018013000002</t>
  </si>
  <si>
    <t>IDK-1121WR-30FHA1E</t>
  </si>
  <si>
    <t>JJB Life</t>
  </si>
  <si>
    <t>Advantech研華</t>
  </si>
  <si>
    <t>PO-20171226B 
2018013000001</t>
  </si>
  <si>
    <t>YT49652156</t>
  </si>
  <si>
    <t>CH070F400548</t>
  </si>
  <si>
    <t>618-52150906</t>
  </si>
  <si>
    <t>MB-215-94 V1</t>
  </si>
  <si>
    <t>PI-20171226B-2</t>
  </si>
  <si>
    <t>YR53412501</t>
  </si>
  <si>
    <t>PI-20171226C
2018013000003</t>
  </si>
  <si>
    <t>Nport S8455I-MM-SC-T</t>
  </si>
  <si>
    <t>美灣</t>
  </si>
  <si>
    <t>PO-20171226C
2018013000022</t>
  </si>
  <si>
    <t>ZJ93498966</t>
  </si>
  <si>
    <t>CH0754500307</t>
  </si>
  <si>
    <t>160-41912426</t>
  </si>
  <si>
    <t>EDS-208A-SS-SC-T</t>
  </si>
  <si>
    <t>同U35</t>
  </si>
  <si>
    <t>IKS-6726A-2GTXSFP-24-T</t>
  </si>
  <si>
    <t>IM-6700A-2S-SC-4TX</t>
  </si>
  <si>
    <t>Nport 5450I-T</t>
  </si>
  <si>
    <t>TCC-82 Port Powered RS232 Isolator</t>
  </si>
  <si>
    <t>Nport 5210A-T</t>
  </si>
  <si>
    <t>PI-20171226C</t>
  </si>
  <si>
    <t>V2406LX</t>
  </si>
  <si>
    <t>刪除</t>
  </si>
  <si>
    <t>TCF-142-M-ST</t>
  </si>
  <si>
    <t>PO-20171226C-2
2018013000022</t>
  </si>
  <si>
    <t>ZJ93498967</t>
  </si>
  <si>
    <t>PI-20171228A
2018013000029</t>
  </si>
  <si>
    <t>ADAM-4541-BE</t>
  </si>
  <si>
    <t>DHL Express 969740245</t>
  </si>
  <si>
    <t>PO-20171228A</t>
  </si>
  <si>
    <t>YT49652107</t>
  </si>
  <si>
    <t>CX0722300MBE</t>
  </si>
  <si>
    <t>PI-20171228B</t>
  </si>
  <si>
    <t>MGate MB3170</t>
  </si>
  <si>
    <t>PO-20171228B
2018013000023</t>
  </si>
  <si>
    <t>ZJ93498652</t>
  </si>
  <si>
    <t>YR36421853</t>
  </si>
  <si>
    <t>@29.5765</t>
  </si>
  <si>
    <t>1/11掛號寄出</t>
  </si>
  <si>
    <t>PI-20180102A</t>
  </si>
  <si>
    <t>PO-20180102A
2018013000024</t>
  </si>
  <si>
    <t>ZJ93498773</t>
  </si>
  <si>
    <t>YR36421854</t>
  </si>
  <si>
    <t>@29.54</t>
  </si>
  <si>
    <t>1/18掛號寄出</t>
  </si>
  <si>
    <t>PROXIS
(COMPU-TRADE LLC)</t>
  </si>
  <si>
    <t>PI-20180102B
2018013000004</t>
  </si>
  <si>
    <t>ACL-8216</t>
  </si>
  <si>
    <t xml:space="preserve">Adlink
凌華 </t>
  </si>
  <si>
    <t>PO-20180102B
2018013000003</t>
  </si>
  <si>
    <t>YT66016028</t>
  </si>
  <si>
    <t>CU0757BJ0819</t>
  </si>
  <si>
    <t>406-92317724</t>
  </si>
  <si>
    <t>ACL-7122</t>
  </si>
  <si>
    <t>同U47</t>
  </si>
  <si>
    <t>PI-20180103A
2018013000030</t>
  </si>
  <si>
    <t>TPC-61T-E3AE</t>
  </si>
  <si>
    <t>PO-20180103A</t>
  </si>
  <si>
    <t>YT49652155</t>
  </si>
  <si>
    <t>CX07223012TG</t>
  </si>
  <si>
    <t>PI-20180103B</t>
  </si>
  <si>
    <t>PO-20180103B</t>
  </si>
  <si>
    <t>YR38047664</t>
  </si>
  <si>
    <t>YR36421855</t>
  </si>
  <si>
    <t>@30</t>
  </si>
  <si>
    <t>1/22掛號寄出</t>
  </si>
  <si>
    <t>PI-20180103C</t>
  </si>
  <si>
    <t>DIN-rail mounting kit For Nuvo-5501</t>
  </si>
  <si>
    <t>EMS</t>
  </si>
  <si>
    <t>PO-20180103C</t>
  </si>
  <si>
    <t>YR34911811</t>
  </si>
  <si>
    <t>CP070J301335</t>
  </si>
  <si>
    <t>EE780115525TW</t>
  </si>
  <si>
    <t>EMS Freight</t>
  </si>
  <si>
    <t>戎克零用金</t>
  </si>
  <si>
    <t>PI-20180104A
2018013000031</t>
  </si>
  <si>
    <t>ADAM-4017+-CE</t>
  </si>
  <si>
    <t>PO-20180104A</t>
  </si>
  <si>
    <t>YT49652306</t>
  </si>
  <si>
    <t>ADAM-4060-DE</t>
  </si>
  <si>
    <t>同W52</t>
  </si>
  <si>
    <t>ADAM-4520-EE</t>
  </si>
  <si>
    <t>HighTech IoT Nordic</t>
  </si>
  <si>
    <t>PI-20180105A</t>
  </si>
  <si>
    <t>RACK-360GBATX-R22/A160A (IEI)
(Black color)</t>
  </si>
  <si>
    <t>Fedex Economy #852270004</t>
  </si>
  <si>
    <t>PO-20180105A</t>
  </si>
  <si>
    <t>YT53679410</t>
  </si>
  <si>
    <t>CF07550K5770</t>
  </si>
  <si>
    <t>IMBA-Q170-i2-R10 (IEI)</t>
  </si>
  <si>
    <t>YT53679411</t>
  </si>
  <si>
    <t>CF-115XE-R10 (IEI)</t>
  </si>
  <si>
    <t>同V56</t>
  </si>
  <si>
    <t>PCIE-1760-AE (Advantech)</t>
  </si>
  <si>
    <t>PO-20180105A-2</t>
  </si>
  <si>
    <t>YT49652305</t>
  </si>
  <si>
    <t>CP-104UL-DB9M (Moxa)</t>
  </si>
  <si>
    <t>PO-20180105A-3
2018013000025</t>
  </si>
  <si>
    <t>ZJ93498882</t>
  </si>
  <si>
    <t>MGate MB3180 (Moxa)</t>
  </si>
  <si>
    <t>同V60</t>
  </si>
  <si>
    <t>PI-20180108A</t>
  </si>
  <si>
    <t>PO-20180108A</t>
  </si>
  <si>
    <t>YR38047656</t>
  </si>
  <si>
    <t>YR36421852</t>
  </si>
  <si>
    <t>@30.5</t>
  </si>
  <si>
    <t>RB Technologies</t>
  </si>
  <si>
    <t>PI-20180111A
2018013000005</t>
  </si>
  <si>
    <t>WAFER-LX-800-R12</t>
  </si>
  <si>
    <t>TNT account : 3000760</t>
  </si>
  <si>
    <t>PO-20180111C
2018013000008</t>
  </si>
  <si>
    <t>CR073762F752</t>
  </si>
  <si>
    <t>PI-20180111B
2018013000006</t>
  </si>
  <si>
    <t>TDM-173WGARB-EU</t>
  </si>
  <si>
    <t>TNT economy
account # 002016562</t>
  </si>
  <si>
    <t>MO-20180111A</t>
  </si>
  <si>
    <t>CG073762P377</t>
  </si>
  <si>
    <t>GD320810416</t>
  </si>
  <si>
    <t>PI-20180111C
2018013000007</t>
  </si>
  <si>
    <r>
      <rPr>
        <sz val="10"/>
        <color rgb="FF000000"/>
        <rFont val="Arial"/>
        <family val="2"/>
      </rPr>
      <t xml:space="preserve">MPC-080-DB25S7 
(w/Switchcraft </t>
    </r>
    <r>
      <rPr>
        <b/>
        <sz val="10"/>
        <color rgb="FFFF0000"/>
        <rFont val="Arial"/>
        <family val="2"/>
      </rPr>
      <t xml:space="preserve">PC722A </t>
    </r>
    <r>
      <rPr>
        <sz val="10"/>
        <color rgb="FF000000"/>
        <rFont val="Arial"/>
        <family val="2"/>
      </rPr>
      <t>)</t>
    </r>
  </si>
  <si>
    <t>維田</t>
  </si>
  <si>
    <t>MO-20180111B</t>
  </si>
  <si>
    <t>見工單</t>
  </si>
  <si>
    <t>CX0722304L9C</t>
  </si>
  <si>
    <t>PI-20180112A
2018013000032</t>
  </si>
  <si>
    <t>1700008461-11</t>
  </si>
  <si>
    <t>PO-20180112A</t>
  </si>
  <si>
    <t>YT49652448</t>
  </si>
  <si>
    <t>CX0722301WU1</t>
  </si>
  <si>
    <t>989K008734</t>
  </si>
  <si>
    <t>同W67</t>
  </si>
  <si>
    <t>AIMB-581QG2-00A1E</t>
  </si>
  <si>
    <t>PS8-300ATX-ZBE</t>
  </si>
  <si>
    <t>1960047831N001</t>
  </si>
  <si>
    <t>Centurion Micro Electronics (Pty) Ltd</t>
  </si>
  <si>
    <t>PI-20180112B</t>
  </si>
  <si>
    <t>DAQe-2204 (歐緯世)</t>
  </si>
  <si>
    <t xml:space="preserve">Great China </t>
  </si>
  <si>
    <t>PO-20180112B</t>
  </si>
  <si>
    <t>YR38724560</t>
  </si>
  <si>
    <t>CH0746009021</t>
  </si>
  <si>
    <t>160-41015354</t>
  </si>
  <si>
    <t>PI-20180112C
(Leon組裝)
2018013000008</t>
  </si>
  <si>
    <t>Nuvo-2421 (Neousys)
(S/N:I0400465~467)</t>
  </si>
  <si>
    <t>DHL account: 968398926</t>
  </si>
  <si>
    <t>PO-20180112C
2018013000002</t>
  </si>
  <si>
    <t>YR34911857</t>
  </si>
  <si>
    <t>CX07223037N9</t>
  </si>
  <si>
    <t>DDS4GHIMBEC (敏博)</t>
  </si>
  <si>
    <t>工單MO-20180112C</t>
  </si>
  <si>
    <t>CB-2PH-DB9/DB25-10CM/13.6CM</t>
  </si>
  <si>
    <t>同W74</t>
  </si>
  <si>
    <t>PI-20180118A
2018013000009</t>
  </si>
  <si>
    <t>NPC-4784
(ECU-4784-D55SBE)
(S/N：KSA2765280)</t>
  </si>
  <si>
    <t>DHL A/C No : 951842593</t>
  </si>
  <si>
    <t>PO-20180118A</t>
  </si>
  <si>
    <t>AQ49652060</t>
  </si>
  <si>
    <t>CX07223066JM</t>
  </si>
  <si>
    <t>PI-20180118B
2018013000010</t>
  </si>
  <si>
    <t>Uport-1130</t>
  </si>
  <si>
    <t>PO-20180118B
2018013000026</t>
  </si>
  <si>
    <t>ZJ93498841</t>
  </si>
  <si>
    <t>PO-20180118B-1</t>
  </si>
  <si>
    <t>YR53412504</t>
  </si>
  <si>
    <t>PI-20180118C
2018013000023</t>
  </si>
  <si>
    <t>PO-20180118C
2018013000027</t>
  </si>
  <si>
    <t>ZV16655183</t>
  </si>
  <si>
    <t>YR36421901</t>
  </si>
  <si>
    <t>@29.24</t>
  </si>
  <si>
    <t>2/8掛號寄出</t>
  </si>
  <si>
    <t>NPort 5450</t>
  </si>
  <si>
    <t>同W80</t>
  </si>
  <si>
    <t>同V80</t>
  </si>
  <si>
    <t>PI-20180119A
2018013000022</t>
  </si>
  <si>
    <t>ARISTOTLE亞驪</t>
  </si>
  <si>
    <t>MO-20180119A(Revise)</t>
  </si>
  <si>
    <t>CG073762H294</t>
  </si>
  <si>
    <t>PI-20180119B
2018013000011</t>
  </si>
  <si>
    <t>NISE 3600E</t>
  </si>
  <si>
    <t>Fedex Eco. #268438726</t>
  </si>
  <si>
    <t>NEXCOM新漢</t>
  </si>
  <si>
    <t>PO-20180119B
2018013000004</t>
  </si>
  <si>
    <t>YR34590209</t>
  </si>
  <si>
    <t>CF07550N2582</t>
  </si>
  <si>
    <t>023-67707964</t>
  </si>
  <si>
    <t>同U83</t>
  </si>
  <si>
    <t>Core™ i7-3612QM
(向捷毅國際購買,交由新漢組裝)</t>
  </si>
  <si>
    <t>PO-20180119B-2
2018013000005</t>
  </si>
  <si>
    <t>YT77102809</t>
  </si>
  <si>
    <t>PI-20180119C
2018013000012</t>
  </si>
  <si>
    <t>FedEx account number 780781785</t>
  </si>
  <si>
    <t>PO-20180119C-1
2018013000028</t>
  </si>
  <si>
    <t>ZJ93498965</t>
  </si>
  <si>
    <t>EDS-408A-SS-SC-T</t>
  </si>
  <si>
    <t>Sovio
採購為Tammy</t>
  </si>
  <si>
    <t>PO-20180119C-2
2018013000018</t>
  </si>
  <si>
    <t>YR49776661</t>
  </si>
  <si>
    <t>PI-20180122A
2018013000021</t>
  </si>
  <si>
    <t>7900000062X00 
(Uport 404 w/European adapter)</t>
  </si>
  <si>
    <t>PO-20180122A
2018013000029</t>
  </si>
  <si>
    <t>ZV16655184</t>
  </si>
  <si>
    <t>YR36421902</t>
  </si>
  <si>
    <t>@29.27</t>
  </si>
  <si>
    <t>PI-20180122B
2018013000033</t>
  </si>
  <si>
    <t>ADAM-4021-DE</t>
  </si>
  <si>
    <t>PO-20180122B</t>
  </si>
  <si>
    <t>YT49652731</t>
  </si>
  <si>
    <t>CX0722302UL6</t>
  </si>
  <si>
    <t>PI-20180122C
2018013000020</t>
  </si>
  <si>
    <t>LPC-P185W (BAREBONE) w/ EU power cord</t>
  </si>
  <si>
    <t>戎克TNT Economy NT$8078</t>
  </si>
  <si>
    <t>MO-20180122C</t>
  </si>
  <si>
    <t>CG073762U640</t>
  </si>
  <si>
    <t>MO-20180122C-2</t>
  </si>
  <si>
    <r>
      <rPr>
        <sz val="10"/>
        <color rgb="FF000000"/>
        <rFont val="Arial"/>
        <family val="2"/>
      </rPr>
      <t>PI-20180122D</t>
    </r>
    <r>
      <rPr>
        <sz val="10"/>
        <color rgb="FF000000"/>
        <rFont val="Arial"/>
        <family val="2"/>
      </rPr>
      <t xml:space="preserve">
(Leon 灌新軟體+標籤)
2018013000018</t>
    </r>
  </si>
  <si>
    <r>
      <rPr>
        <sz val="10"/>
        <color rgb="FF000000"/>
        <rFont val="Arial"/>
        <family val="2"/>
      </rPr>
      <t xml:space="preserve">Nport W2150A -US Band w/ US adapter </t>
    </r>
    <r>
      <rPr>
        <b/>
        <sz val="10"/>
        <color rgb="FF0000FF"/>
        <rFont val="Arial"/>
        <family val="2"/>
      </rPr>
      <t xml:space="preserve"> (w2x50a_1.9.62)</t>
    </r>
  </si>
  <si>
    <t>PO-20180122D
2018013000019</t>
  </si>
  <si>
    <t>YR52396360</t>
  </si>
  <si>
    <t>PI-20180122E (TBC)</t>
  </si>
  <si>
    <t>PI-20180123A
2018013000019</t>
  </si>
  <si>
    <t>PO-20180123A-2
2018013000012</t>
  </si>
  <si>
    <t>渣打國際商業銀行營業部(0520959)
 01800126082</t>
  </si>
  <si>
    <t>YR48441001</t>
  </si>
  <si>
    <t>PO-20180123A-1</t>
  </si>
  <si>
    <t>YR34650014</t>
  </si>
  <si>
    <t>同W97</t>
  </si>
  <si>
    <r>
      <rPr>
        <strike/>
        <sz val="10"/>
        <color rgb="FF000000"/>
        <rFont val="Arial"/>
        <family val="2"/>
      </rPr>
      <t xml:space="preserve">PI-20180123B
(Leon 灌新軟體+標籤)
</t>
    </r>
    <r>
      <rPr>
        <strike/>
        <sz val="10"/>
        <color rgb="FF000000"/>
        <rFont val="Arial"/>
        <family val="2"/>
      </rPr>
      <t>2018013000017</t>
    </r>
  </si>
  <si>
    <r>
      <rPr>
        <strike/>
        <sz val="10"/>
        <color rgb="FF000000"/>
        <rFont val="Arial"/>
        <family val="2"/>
      </rPr>
      <t xml:space="preserve">Nport W2150A EU Band 
w/ SAA Adapter </t>
    </r>
    <r>
      <rPr>
        <b/>
        <strike/>
        <sz val="10"/>
        <color rgb="FF000000"/>
        <rFont val="Arial"/>
        <family val="2"/>
      </rPr>
      <t>(w2x50a_1.9.62)</t>
    </r>
  </si>
  <si>
    <t>PO-20180123B
2018013000020</t>
  </si>
  <si>
    <r>
      <rPr>
        <strike/>
        <sz val="10"/>
        <color rgb="FF000000"/>
        <rFont val="Arial"/>
        <family val="2"/>
      </rPr>
      <t xml:space="preserve">Nport W2150A -US Band w/ US adapter </t>
    </r>
    <r>
      <rPr>
        <b/>
        <strike/>
        <sz val="10"/>
        <color rgb="FF000000"/>
        <rFont val="Arial"/>
        <family val="2"/>
      </rPr>
      <t xml:space="preserve"> (w2x50a_1.9.62)</t>
    </r>
  </si>
  <si>
    <t>PI-20180126A
2018013000013</t>
  </si>
  <si>
    <t xml:space="preserve">HP Color LaserJet Pro M154nw </t>
  </si>
  <si>
    <t>YAHOO</t>
  </si>
  <si>
    <t>Chloe信用卡代墊</t>
  </si>
  <si>
    <t>AK90713174</t>
  </si>
  <si>
    <t>CX07223036GF</t>
  </si>
  <si>
    <t>PI-20180129A
2018013000016</t>
  </si>
  <si>
    <t>FPM-3171G-R3BE</t>
  </si>
  <si>
    <t>PO-20180129A
2018013000006</t>
  </si>
  <si>
    <t>YT49655452</t>
  </si>
  <si>
    <t>CX0722303RX2</t>
  </si>
  <si>
    <t>PI-20180131A
2018013000015</t>
  </si>
  <si>
    <t>ICO100-839
w/ DRAM (DDR3L-1866 4G 204P)
w/ MSATA (mSATA SATA3 64GB ( MLC) 0°C to +70°C)
(S/N:E182A18011110001)</t>
  </si>
  <si>
    <t>TNT account (002004901 by ECONOMY EXPRESS service)</t>
  </si>
  <si>
    <t>Axiomtek</t>
  </si>
  <si>
    <t>PO-20180131A</t>
  </si>
  <si>
    <t>5355717-703856
艾訊合庫</t>
  </si>
  <si>
    <t>AQ53648008</t>
  </si>
  <si>
    <t>CG073762U214</t>
  </si>
  <si>
    <t>PI-20180131B
(Leon組裝)
2018013100001</t>
  </si>
  <si>
    <t>EC850QS-8000-2R
(S/N:S17A840133~137)</t>
  </si>
  <si>
    <t>PO-20180131B
2018013000009</t>
  </si>
  <si>
    <t>YR38047681</t>
  </si>
  <si>
    <t>CX0722304PHK</t>
  </si>
  <si>
    <t>M3S0-8GSSDLPC</t>
  </si>
  <si>
    <t>PO-20180131B-2
2018013000010</t>
  </si>
  <si>
    <t>YT53568976</t>
  </si>
  <si>
    <t>PI-20180131C
2018013000014</t>
  </si>
  <si>
    <t>同W96</t>
  </si>
  <si>
    <t>PI-20180201A
(Leon組裝與測試)
2018020100001</t>
  </si>
  <si>
    <t>POC-210
(S/N:I0617793~798)</t>
  </si>
  <si>
    <t>PO-20180201A
2018020100001</t>
  </si>
  <si>
    <t>YR34911883</t>
  </si>
  <si>
    <t>TS512MSK64W6H</t>
  </si>
  <si>
    <t>PO-20180201A-1
2018020100002</t>
  </si>
  <si>
    <t>YT48822624</t>
  </si>
  <si>
    <t>Dinrail-POC (POC-100/POC-200)</t>
  </si>
  <si>
    <t>同W106</t>
  </si>
  <si>
    <t>PI-20180202A
2018020200001</t>
  </si>
  <si>
    <t>PS8-500ATX-ZE</t>
  </si>
  <si>
    <t>PO-20180202A
2018020200001</t>
  </si>
  <si>
    <t>YT49655655</t>
  </si>
  <si>
    <t>CX07223048S5</t>
  </si>
  <si>
    <t>EKI-1521-BE</t>
  </si>
  <si>
    <t>同W110</t>
  </si>
  <si>
    <t>Masibus Automation</t>
  </si>
  <si>
    <t>PI-20180202B
2018020200002</t>
  </si>
  <si>
    <t>MGate MB3480</t>
  </si>
  <si>
    <t>Lissa</t>
  </si>
  <si>
    <t>Cancel</t>
  </si>
  <si>
    <t>PI-20180202B</t>
  </si>
  <si>
    <t>IMC-101-M-SC</t>
  </si>
  <si>
    <t>TNT Express A/C: 58548</t>
  </si>
  <si>
    <t>ZV16655229</t>
  </si>
  <si>
    <t>CR073762D502</t>
  </si>
  <si>
    <t>NPort 5232</t>
  </si>
  <si>
    <t>PI-20180202B-2
2018020200002</t>
  </si>
  <si>
    <t>ZV16655203</t>
  </si>
  <si>
    <t>PI-20180205A
2018020500001</t>
  </si>
  <si>
    <t>NPort S8455I-MM-SC-T</t>
  </si>
  <si>
    <t>PO-20180205A
2018020500001</t>
  </si>
  <si>
    <t>ZV16655287</t>
  </si>
  <si>
    <t>CH0754500502</t>
  </si>
  <si>
    <t>160-42871500</t>
  </si>
  <si>
    <t>同W115</t>
  </si>
  <si>
    <t>NPort 5450I-T</t>
  </si>
  <si>
    <t>PI-20180205B
2018020500002</t>
  </si>
  <si>
    <t>PO-20180205B
2018020500002</t>
  </si>
  <si>
    <t>BT93498659</t>
  </si>
  <si>
    <t>同W118</t>
  </si>
  <si>
    <t>PI-20180206A
(Leon組裝)
2018020600001</t>
  </si>
  <si>
    <r>
      <rPr>
        <sz val="10"/>
        <color rgb="FF000000"/>
        <rFont val="Arial"/>
        <family val="2"/>
      </rPr>
      <t xml:space="preserve">Nuvo-5006LP
</t>
    </r>
    <r>
      <rPr>
        <sz val="10"/>
        <color rgb="FF000000"/>
        <rFont val="Arial"/>
        <family val="2"/>
      </rPr>
      <t>(S/N:I0812199)</t>
    </r>
  </si>
  <si>
    <t>PO-20180206A
2018020700001</t>
  </si>
  <si>
    <t>YR34911896</t>
  </si>
  <si>
    <t>CX072230519X</t>
  </si>
  <si>
    <t>PWA-120W (Vecow)</t>
  </si>
  <si>
    <t>PO-20180206A-2
2018020600002</t>
  </si>
  <si>
    <t>YR38047683</t>
  </si>
  <si>
    <t>D4SAGHLPGFC
(向敏博購買)</t>
  </si>
  <si>
    <t>PO-20180206A-3
2018020600003</t>
  </si>
  <si>
    <t>聯邦銀行-田心分行(803-0803)
銀行帳號: 080-10-0008388</t>
  </si>
  <si>
    <t>YR38263775</t>
  </si>
  <si>
    <t>Intel® Core™ i7-6700TE Processor
(向捷毅國際購買)</t>
  </si>
  <si>
    <t>PO-20180206A-4
2018020600004</t>
  </si>
  <si>
    <t>YT77103164</t>
  </si>
  <si>
    <t>WFK-524 WIFI KIT
(請組裝;無料號尚未進ERP)</t>
  </si>
  <si>
    <t>見工單PI-20170703B</t>
  </si>
  <si>
    <t>PI-20180206B</t>
  </si>
  <si>
    <t>i5-4590S</t>
  </si>
  <si>
    <t>取消訂單</t>
  </si>
  <si>
    <t>渣打銀行 南崁分行
銀行代號052-0281
033-53-00017001-5"</t>
  </si>
  <si>
    <t>PI-20180206B
2018020600002</t>
  </si>
  <si>
    <t>PO-20180206B-2
2018020600001</t>
  </si>
  <si>
    <t>YT49655654</t>
  </si>
  <si>
    <t>PI-20180207A
2018020700001</t>
  </si>
  <si>
    <t>PO-20180207A
2018020700002</t>
  </si>
  <si>
    <t>ZV16655244</t>
  </si>
  <si>
    <t>YR36421903</t>
  </si>
  <si>
    <t>@29.35</t>
  </si>
  <si>
    <t>2/13掛號寄出</t>
  </si>
  <si>
    <t>PI-20180208A
2018020800001</t>
  </si>
  <si>
    <t>PO-20180208A
2018020800002</t>
  </si>
  <si>
    <t>BT93498641</t>
  </si>
  <si>
    <t>AN36540102</t>
  </si>
  <si>
    <t>@29.257</t>
  </si>
  <si>
    <t>3/15掛號寄出</t>
  </si>
  <si>
    <t>PI-20180209A
2018020900001</t>
  </si>
  <si>
    <t>NISE 50</t>
  </si>
  <si>
    <t>PO-20180209A</t>
  </si>
  <si>
    <t>AN34711017</t>
  </si>
  <si>
    <t>CF07550U1797</t>
  </si>
  <si>
    <t>PI-20180210A
2018021000001</t>
  </si>
  <si>
    <t>PO-20180210A
2018021000001</t>
  </si>
  <si>
    <t>YT53679451</t>
  </si>
  <si>
    <t>PI-20180212A
2018021200002</t>
  </si>
  <si>
    <t>DHL A/C No : 
969740245</t>
  </si>
  <si>
    <t>PO-20180212A
2018021200002</t>
  </si>
  <si>
    <t>YT49655826</t>
  </si>
  <si>
    <t>CX07223051RY</t>
  </si>
  <si>
    <t xml:space="preserve">PI-20180212B
2018021200001 </t>
  </si>
  <si>
    <t>MGate 4101-MB-PBS</t>
  </si>
  <si>
    <t>PO-20180212B
2018021200003</t>
  </si>
  <si>
    <t>BT93498601</t>
  </si>
  <si>
    <t>CX0722306LNU</t>
  </si>
  <si>
    <t>PI-20180212B
2018021200001</t>
  </si>
  <si>
    <t>Nport-5150</t>
  </si>
  <si>
    <t>同W132</t>
  </si>
  <si>
    <t>Nport 5130</t>
  </si>
  <si>
    <t>Nport-5110</t>
  </si>
  <si>
    <t>PI-20180221A
2018022100002</t>
  </si>
  <si>
    <t>PO-20180221A</t>
  </si>
  <si>
    <t>CB60778378</t>
  </si>
  <si>
    <t>CH0752015130</t>
  </si>
  <si>
    <t>172-94243682</t>
  </si>
  <si>
    <t>同W137</t>
  </si>
  <si>
    <t>PI-20180221B
2018022100001</t>
  </si>
  <si>
    <t>TPC-1582H-433BE</t>
  </si>
  <si>
    <t>PO-20180221B
2018022100001</t>
  </si>
  <si>
    <t>YT49655688</t>
  </si>
  <si>
    <t>PI-20180221C
(Neousys 組裝，外盒請用標籤註明CPU)
2018022100003</t>
  </si>
  <si>
    <t>Nuvo-5002LP</t>
  </si>
  <si>
    <t xml:space="preserve">PO-20180221C </t>
  </si>
  <si>
    <t>AN35004016</t>
  </si>
  <si>
    <t>CX0722306LWW</t>
  </si>
  <si>
    <t>Intel® Core™ i7-6700TE Processor(向捷毅國際購買 Neousys 組裝)</t>
  </si>
  <si>
    <t>PO-20180221C-2</t>
  </si>
  <si>
    <t>AQ77102306</t>
  </si>
  <si>
    <t>Intel® Core™ i5-6500TE Processor
(向捷毅國際購買 Neousys 組裝)</t>
  </si>
  <si>
    <t>同W141</t>
  </si>
  <si>
    <t>PI-20180221C
(Leon 組裝)
2018022100003</t>
  </si>
  <si>
    <r>
      <rPr>
        <sz val="10"/>
        <color rgb="FF000000"/>
        <rFont val="Arial"/>
        <family val="2"/>
      </rPr>
      <t xml:space="preserve">POC-120
</t>
    </r>
    <r>
      <rPr>
        <sz val="10"/>
        <color rgb="FF000000"/>
        <rFont val="Arial"/>
        <family val="2"/>
      </rPr>
      <t>(S/N:I1002755~56)</t>
    </r>
  </si>
  <si>
    <t>PO-20180221C</t>
  </si>
  <si>
    <t>AN35004014</t>
  </si>
  <si>
    <t>工單:PI-20180221C</t>
  </si>
  <si>
    <t>PI-20180224A
2018022400001</t>
  </si>
  <si>
    <t>CP-104UL-DB9M
序號請參閱備註</t>
  </si>
  <si>
    <t>PO-20180224A
2018022400001</t>
  </si>
  <si>
    <t>BT93498479</t>
  </si>
  <si>
    <t>CF07550T3995</t>
  </si>
  <si>
    <t>PCI-1760U-BE
S/N：IAAA344643</t>
  </si>
  <si>
    <t>PO-20180224A</t>
  </si>
  <si>
    <t>AQ49652300</t>
  </si>
  <si>
    <t>PCI-1760U-BE</t>
  </si>
  <si>
    <t>AQ49655956</t>
  </si>
  <si>
    <t>CF07550GS416</t>
  </si>
  <si>
    <t>PI-20180225A
2018022500001</t>
  </si>
  <si>
    <t>Santiago 
/ Charles</t>
  </si>
  <si>
    <t>PO-20180225A
2018022500001</t>
  </si>
  <si>
    <t>BT93498766</t>
  </si>
  <si>
    <t>CH0754500625</t>
  </si>
  <si>
    <t>160-44085403</t>
  </si>
  <si>
    <t>同W148</t>
  </si>
  <si>
    <t>BT93498658</t>
  </si>
  <si>
    <t>同W150</t>
  </si>
  <si>
    <t>PI-20180227A
2018022700002</t>
  </si>
  <si>
    <t>999.999.00070-C1305421
PCI-1202LU-CR
序號請參閱備註</t>
  </si>
  <si>
    <t>DHL A/C No : 969740245</t>
  </si>
  <si>
    <t>PO-20180227A</t>
  </si>
  <si>
    <t>兆豐銀行：0170206
帳號：02009016424</t>
  </si>
  <si>
    <t>CD29317590</t>
  </si>
  <si>
    <t>CX0722305WM2</t>
  </si>
  <si>
    <t>CD29317589</t>
  </si>
  <si>
    <t>PI-20180227C
2018022700003</t>
  </si>
  <si>
    <t>USB-4711A-AE
S/N：IAAA364821</t>
  </si>
  <si>
    <t>PO-20180227C</t>
  </si>
  <si>
    <t>AQ49652061</t>
  </si>
  <si>
    <t>ADAM-4021-DE
S/N：IAAA377047</t>
  </si>
  <si>
    <t>同W154</t>
  </si>
  <si>
    <t>PI-20180227D
2018022700001</t>
  </si>
  <si>
    <t>PO-20180227D
2018022700001</t>
  </si>
  <si>
    <t>BT93498737</t>
  </si>
  <si>
    <t>AN36540104</t>
  </si>
  <si>
    <t>@29.16</t>
  </si>
  <si>
    <t>3/21隨貨寄出</t>
  </si>
  <si>
    <t>PI-20180228A
2018022800001</t>
  </si>
  <si>
    <r>
      <rPr>
        <sz val="10"/>
        <color rgb="FF000000"/>
        <rFont val="Arial"/>
        <family val="2"/>
      </rPr>
      <t>ECS-8000-2R850Q</t>
    </r>
    <r>
      <rPr>
        <sz val="10"/>
        <color rgb="FFFF0000"/>
        <rFont val="Arial"/>
        <family val="2"/>
      </rPr>
      <t>(專案價)</t>
    </r>
    <r>
      <rPr>
        <sz val="10"/>
        <color rgb="FF000000"/>
        <rFont val="Arial"/>
        <family val="2"/>
      </rPr>
      <t xml:space="preserve">
(S/N:S18A840001~2
 S/N:S17A840138~150)</t>
    </r>
  </si>
  <si>
    <t>PO-20180228A</t>
  </si>
  <si>
    <t>AN38202764</t>
  </si>
  <si>
    <t>PI-20180303A
2018030300001</t>
  </si>
  <si>
    <t>PO-20180303A</t>
  </si>
  <si>
    <t>AN38202767</t>
  </si>
  <si>
    <t>AN36540103</t>
  </si>
  <si>
    <t>@29.5</t>
  </si>
  <si>
    <t>3/19掛號寄出</t>
  </si>
  <si>
    <t>PI-20180306A
2018030600001</t>
  </si>
  <si>
    <t>EDS-210A-1GSFP-1SFP
S/N：TAHBD1012740
S/N：TAHBD1012754</t>
  </si>
  <si>
    <t>FedEx International Priority #852270004</t>
  </si>
  <si>
    <t>PO-20180306A
2018030600001</t>
  </si>
  <si>
    <t>BT93498620</t>
  </si>
  <si>
    <t>CF07550V0497</t>
  </si>
  <si>
    <t>ICF-1180I-M-ST
S/N：TAGJE1043323
S/N：TAGJE1029848</t>
  </si>
  <si>
    <t>同W159</t>
  </si>
  <si>
    <t>DM-F12A/R-R11
S/N：WA18200146</t>
  </si>
  <si>
    <t>PO-20180306A-2</t>
  </si>
  <si>
    <t>AQ53679377</t>
  </si>
  <si>
    <t>CF07550W4859</t>
  </si>
  <si>
    <t>PI-20180306B
(christine換標籤)</t>
  </si>
  <si>
    <t>PCI-7432
S/N：HC45CB1220
S/N：HC45CB1144
S/N：HC45CB1143</t>
  </si>
  <si>
    <t>PO-20170306B</t>
  </si>
  <si>
    <t>AN36475700</t>
  </si>
  <si>
    <t>AN36540101</t>
  </si>
  <si>
    <t>大榮-15347136701</t>
  </si>
  <si>
    <t>3/12 台灣銀行@29.255</t>
  </si>
  <si>
    <t>3/12 隨貨寄出</t>
  </si>
  <si>
    <t>PI-20180306C
2018030600002</t>
  </si>
  <si>
    <t>PO-20180306C</t>
  </si>
  <si>
    <t>AN34711041</t>
  </si>
  <si>
    <t>CW0733604107</t>
  </si>
  <si>
    <t>同W163</t>
  </si>
  <si>
    <t>Intel Core I5-3610ME
(向捷毅國際購買,交由新漢組裝)</t>
  </si>
  <si>
    <t>PO-20180306C-2</t>
  </si>
  <si>
    <t>AQ77102509</t>
  </si>
  <si>
    <t>PI-20180307A
2018030700001</t>
  </si>
  <si>
    <t>ADAM-5069-AE
S/N：IAAA405260 / IAAA405272</t>
  </si>
  <si>
    <t>PO-20180307A</t>
  </si>
  <si>
    <t>AQ49652439</t>
  </si>
  <si>
    <t>簡易CX0722306NSP</t>
  </si>
  <si>
    <t>ADAM-5000/485-AE
S/N：IAAA424996 / IAAA425005</t>
  </si>
  <si>
    <t>同W167</t>
  </si>
  <si>
    <t>PO-2162017</t>
  </si>
  <si>
    <t>PI-20180307B
2018030700002</t>
  </si>
  <si>
    <t>TCF-142-M-ST
719-TCF-142-M-ST</t>
  </si>
  <si>
    <t>Modern Express</t>
  </si>
  <si>
    <t>PO-20180307B
2018030700001</t>
  </si>
  <si>
    <t>BT93498767</t>
  </si>
  <si>
    <t>CH0713702457</t>
  </si>
  <si>
    <t>589-33784995</t>
  </si>
  <si>
    <t>2021853</t>
  </si>
  <si>
    <t>PI-20180308A
2018030800001</t>
  </si>
  <si>
    <t>PO-20180308A</t>
  </si>
  <si>
    <t>2018/3/29
2018/4/3</t>
  </si>
  <si>
    <t>AN34711133
AN34711203</t>
  </si>
  <si>
    <t>147,015(9 PCS)
16,323(1 PCS)</t>
  </si>
  <si>
    <t>CW0733604681</t>
  </si>
  <si>
    <t>297-71829936</t>
  </si>
  <si>
    <t>PO-20180308A-2</t>
  </si>
  <si>
    <t>AQ77102624</t>
  </si>
  <si>
    <t>同W170</t>
  </si>
  <si>
    <t>PI-20180312A
2018031200001</t>
  </si>
  <si>
    <t>ADAM-5000/485-AE</t>
  </si>
  <si>
    <t>PO-20180312A</t>
  </si>
  <si>
    <t>AQ49652701</t>
  </si>
  <si>
    <t>CX07223078ZD</t>
  </si>
  <si>
    <t>ADAM-5051S-AE</t>
  </si>
  <si>
    <t>AQ49655957</t>
  </si>
  <si>
    <t>CW0748601924</t>
  </si>
  <si>
    <t>172-94265220</t>
  </si>
  <si>
    <t>ADAM-5069-AE</t>
  </si>
  <si>
    <t>同W174</t>
  </si>
  <si>
    <t>FPM-2150G-R3BE</t>
  </si>
  <si>
    <t>AQ49652885</t>
  </si>
  <si>
    <t>CX0722308FZM</t>
  </si>
  <si>
    <t>PI-20180313A
2018031300001</t>
  </si>
  <si>
    <t>工單MO-20180313A</t>
  </si>
  <si>
    <t>PI-20180313B
2018031300002</t>
  </si>
  <si>
    <t>7006990001
01-US-26-00003
FSP120-AHAN2</t>
  </si>
  <si>
    <t>FSP全漢</t>
  </si>
  <si>
    <t>PO-20180313B</t>
  </si>
  <si>
    <t xml:space="preserve">全漢企業股份有限公司
兆豐國際商業銀行桃園分行
014-09-00217-0 </t>
  </si>
  <si>
    <t>DZ03112879</t>
  </si>
  <si>
    <t>CG073765B811</t>
  </si>
  <si>
    <t>P180315NP0</t>
  </si>
  <si>
    <t>PI-20180316A
(Leon 組裝)
2018031600001</t>
  </si>
  <si>
    <r>
      <rPr>
        <sz val="10"/>
        <color rgb="FF000000"/>
        <rFont val="Arial"/>
        <family val="2"/>
      </rPr>
      <t xml:space="preserve">POC-331
</t>
    </r>
    <r>
      <rPr>
        <sz val="10"/>
        <color rgb="FFFF0000"/>
        <rFont val="Arial"/>
        <family val="2"/>
      </rPr>
      <t>(S/N:I 1300551~553)</t>
    </r>
  </si>
  <si>
    <t>PO-20180316A</t>
  </si>
  <si>
    <t>AN35004046</t>
  </si>
  <si>
    <t>CX0722308A3D</t>
  </si>
  <si>
    <t>TS1GSK64W6H</t>
  </si>
  <si>
    <t>工單EMO-20161115A</t>
  </si>
  <si>
    <t>PI-20180319A
2018031900001</t>
  </si>
  <si>
    <t>IMC-21GA-SX-SC</t>
  </si>
  <si>
    <t>PO-20180319A
2018032000001</t>
  </si>
  <si>
    <t>BT93498890</t>
  </si>
  <si>
    <t>AN36540106</t>
  </si>
  <si>
    <t>@29.205</t>
  </si>
  <si>
    <t>3/29掛號寄出</t>
  </si>
  <si>
    <t>PO-0146</t>
  </si>
  <si>
    <t>PI-20180320A</t>
  </si>
  <si>
    <t>PO-20180320A
2018032000002</t>
  </si>
  <si>
    <t>CE45981332</t>
  </si>
  <si>
    <t>CX0722308EBL</t>
  </si>
  <si>
    <t>同W183</t>
  </si>
  <si>
    <t>PI-20180320B
2018032000001</t>
  </si>
  <si>
    <t>SE-1004</t>
  </si>
  <si>
    <t>PO-20180320B</t>
  </si>
  <si>
    <t>AN38202777</t>
  </si>
  <si>
    <t>AN36540105</t>
  </si>
  <si>
    <t>3/22掛號寄出</t>
  </si>
  <si>
    <t>PI-20180320C
2018032000002</t>
  </si>
  <si>
    <t>USB-4761-BE</t>
  </si>
  <si>
    <t>PO-20180320C</t>
  </si>
  <si>
    <t>AQ49655334</t>
  </si>
  <si>
    <t>CX0722309FUL</t>
  </si>
  <si>
    <t>PO-0147</t>
  </si>
  <si>
    <t>PI-20180321A</t>
  </si>
  <si>
    <t>Uport-1150</t>
  </si>
  <si>
    <t>PO-20180321A
2018032300001</t>
  </si>
  <si>
    <t>CE45981310</t>
  </si>
  <si>
    <t>PI-20180323A
2018032300001</t>
  </si>
  <si>
    <t>7008000370
(8MS9P1B05M1RES-5)</t>
  </si>
  <si>
    <t>PO-20180323A</t>
  </si>
  <si>
    <t>CN80424002</t>
  </si>
  <si>
    <t>CR073764P430</t>
  </si>
  <si>
    <t>PI-20180323B
2018032300002</t>
  </si>
  <si>
    <t>CP-112UL-DB9M</t>
  </si>
  <si>
    <t>PO-20180323B
2018032800001</t>
  </si>
  <si>
    <t>CE45981386</t>
  </si>
  <si>
    <t>AN36540150</t>
  </si>
  <si>
    <t>@29.1505</t>
  </si>
  <si>
    <t>4/9掛號寄出</t>
  </si>
  <si>
    <t>PI-20180326A
2018032600001</t>
  </si>
  <si>
    <t>999.999.00052
eBOX565-500-FL-6100U-DC</t>
  </si>
  <si>
    <t>PO-20180326A</t>
  </si>
  <si>
    <t>AQ53648185</t>
  </si>
  <si>
    <t>CN53648051</t>
  </si>
  <si>
    <t>CX072230BZ87</t>
  </si>
  <si>
    <t>999.999-00053
POWER ADAPTER</t>
  </si>
  <si>
    <t>同W190</t>
  </si>
  <si>
    <t>同W191</t>
  </si>
  <si>
    <t>PI-20180326B
2018032600002</t>
  </si>
  <si>
    <t>PO-20180326B</t>
  </si>
  <si>
    <t>AQ49655967</t>
  </si>
  <si>
    <t>AQ49655410</t>
  </si>
  <si>
    <t>ADAM-6066-D</t>
  </si>
  <si>
    <t>PO-20180326B-2</t>
  </si>
  <si>
    <t>AQ49655160</t>
  </si>
  <si>
    <t>PI-20180327A
2018032800003</t>
  </si>
  <si>
    <t>999.999.00079
AMS300</t>
  </si>
  <si>
    <t>PO-20180327A</t>
  </si>
  <si>
    <t>CB60778431</t>
  </si>
  <si>
    <t>CX0722308T0Z</t>
  </si>
  <si>
    <t>PI-20180327B
2018032700001</t>
  </si>
  <si>
    <t>NISE 3600E
XYZ20180403010</t>
  </si>
  <si>
    <t>PO-20180327B</t>
  </si>
  <si>
    <t>AN34711217</t>
  </si>
  <si>
    <t>CW0733605444</t>
  </si>
  <si>
    <t>157-38227571</t>
  </si>
  <si>
    <t>Core™ i7-3612QM
(向捷毅國際購買,交由新漢組裝)
XYZ20180403011</t>
  </si>
  <si>
    <t>PO-20180327B-2</t>
  </si>
  <si>
    <t>AQ77103007</t>
  </si>
  <si>
    <t>19V, 120W AC/DC power adapter w/o power cord (P/N: 7400120019X00)
XYZ20180403012</t>
  </si>
  <si>
    <t>同W198</t>
  </si>
  <si>
    <t>EU power cord (P/N: 60233POW39X00)
XYZ20180403013</t>
  </si>
  <si>
    <t>PI-20180328A
2018032800001</t>
  </si>
  <si>
    <t>TPC-1551T-E3AE</t>
  </si>
  <si>
    <t>PO-20180328A</t>
  </si>
  <si>
    <t>AQ49655166</t>
  </si>
  <si>
    <t>ADAM-4520I-AE</t>
  </si>
  <si>
    <t>同W202</t>
  </si>
  <si>
    <t>ADAM-4521-AE</t>
  </si>
  <si>
    <t>ADAM-4561-CE</t>
  </si>
  <si>
    <t>P180328NP0</t>
  </si>
  <si>
    <t>PI-20180328B
(VECOW組裝)
2018032800004</t>
  </si>
  <si>
    <r>
      <rPr>
        <sz val="10"/>
        <color rgb="FF000000"/>
        <rFont val="Arial"/>
        <family val="2"/>
      </rPr>
      <t xml:space="preserve">ECS8000-2R850Q
XYZ20180403007
</t>
    </r>
    <r>
      <rPr>
        <sz val="10"/>
        <color rgb="FFFF0000"/>
        <rFont val="Arial"/>
        <family val="2"/>
      </rPr>
      <t>(S/N:S18A840003~7)</t>
    </r>
  </si>
  <si>
    <t>PO-20180328B</t>
  </si>
  <si>
    <t>AN38202797</t>
  </si>
  <si>
    <t>CX0722309RM9</t>
  </si>
  <si>
    <t>M3S0-8GSSDLPC
XYZ20180403008</t>
  </si>
  <si>
    <t>舊工單MO-20180223A</t>
  </si>
  <si>
    <t>9362-CR7351</t>
  </si>
  <si>
    <t>PI-20180328C</t>
  </si>
  <si>
    <t>PO-20180328C
2018032900001</t>
  </si>
  <si>
    <t>CE45981438</t>
  </si>
  <si>
    <t>CU0757BH3502</t>
  </si>
  <si>
    <t>1Z1913EED998073841</t>
  </si>
  <si>
    <t>PO-0148</t>
  </si>
  <si>
    <t>PI-20180328D
2018032800002</t>
  </si>
  <si>
    <t>DK35A
(XYZ20180328001)</t>
  </si>
  <si>
    <t>PO-20180328D
2018032900002</t>
  </si>
  <si>
    <t>CE45981311</t>
  </si>
  <si>
    <t>PointGuard</t>
  </si>
  <si>
    <t>PI-20180329A</t>
  </si>
  <si>
    <t>SSF2825-ENN-A21 (V3)</t>
  </si>
  <si>
    <t>Eddie</t>
  </si>
  <si>
    <t>戎克TNT Economy</t>
  </si>
  <si>
    <t>晶達光電</t>
  </si>
  <si>
    <t>PO-20180329A</t>
  </si>
  <si>
    <t>兆豐新店分行0170468
04609010338</t>
  </si>
  <si>
    <t>EH37971365</t>
  </si>
  <si>
    <t>CG073767X427</t>
  </si>
  <si>
    <t>P180329NP2</t>
  </si>
  <si>
    <t>PI-20180329B-2
(Neousys 組裝)</t>
  </si>
  <si>
    <t>Nuvo-5006LP
XYZ20180403005
XYZ20180403006(組裝料號)
(S/N:I2015416~419)</t>
  </si>
  <si>
    <t>PO-20180329B</t>
  </si>
  <si>
    <t>CL35141236</t>
  </si>
  <si>
    <t>CX072230CSXM</t>
  </si>
  <si>
    <t>Intel® Core™ i7-6700TE Processor
(向捷毅國際購買)
XYZ20180403003</t>
  </si>
  <si>
    <t>PO-20180329B-2</t>
  </si>
  <si>
    <t>CN77102309</t>
  </si>
  <si>
    <t>D4S4GHIOFEC
(向敏博購買)
XYZ20180403004</t>
  </si>
  <si>
    <t>PO-20180329B-3</t>
  </si>
  <si>
    <t>CL37183256</t>
  </si>
  <si>
    <t>PI-20180329B-1
(Neousys 組裝)
2018032900001</t>
  </si>
  <si>
    <r>
      <rPr>
        <sz val="10"/>
        <color rgb="FF000000"/>
        <rFont val="Arial"/>
        <family val="2"/>
      </rPr>
      <t xml:space="preserve">Nuvo-5002LP
XYZ20180403002
XYZ20180403001(組裝料號)
</t>
    </r>
    <r>
      <rPr>
        <sz val="10"/>
        <color rgb="FFFF0000"/>
        <rFont val="Arial"/>
        <family val="2"/>
      </rPr>
      <t>(S/N:I1613725~13732)</t>
    </r>
  </si>
  <si>
    <t>AN35004072</t>
  </si>
  <si>
    <t>CX0722309RMP</t>
  </si>
  <si>
    <t>AQ77103040</t>
  </si>
  <si>
    <t>AN37060298</t>
  </si>
  <si>
    <t>PO-0150</t>
  </si>
  <si>
    <t>PI-20180330A</t>
  </si>
  <si>
    <t>PO-20180330A</t>
  </si>
  <si>
    <t>CE45981663</t>
  </si>
  <si>
    <t>CX072230AEDK</t>
  </si>
  <si>
    <t>同W217</t>
  </si>
  <si>
    <t>PI-20180402A
2018040200001</t>
  </si>
  <si>
    <t>999.999.00080
8816K5601A0E
eBOX560­880 DIN RAIL MOUNT KIT
(XYZ20180406001)</t>
  </si>
  <si>
    <t>PO-20180402A</t>
  </si>
  <si>
    <t>AQ53648245</t>
  </si>
  <si>
    <t>PI-20180402B
2018040200002</t>
  </si>
  <si>
    <t>NPort 5650-8-DT w/ European adapter
(XYZ20180402001)</t>
  </si>
  <si>
    <t>PO-20180402B
2018040200001</t>
  </si>
  <si>
    <t>CE45981588</t>
  </si>
  <si>
    <t>AN36540154</t>
  </si>
  <si>
    <t>@29.34</t>
  </si>
  <si>
    <t>4/23掛號寄出</t>
  </si>
  <si>
    <t>PI-20180409A
2018040800001</t>
  </si>
  <si>
    <t>ADAM-6066-D
(XYZ20180406002)</t>
  </si>
  <si>
    <t>PO-20180409A</t>
  </si>
  <si>
    <t>AQ49655438</t>
  </si>
  <si>
    <t>EKI-1521-BE
(XYZ20180408001)</t>
  </si>
  <si>
    <t>同W221</t>
  </si>
  <si>
    <t>20180409-AA</t>
  </si>
  <si>
    <r>
      <rPr>
        <sz val="10"/>
        <color rgb="FF000000"/>
        <rFont val="arial,sans,sans-serif"/>
      </rPr>
      <t xml:space="preserve">PI-20180409B
</t>
    </r>
    <r>
      <rPr>
        <sz val="10"/>
        <color rgb="FF000000"/>
        <rFont val="arial,sans,sans-serif"/>
      </rPr>
      <t>(christine換標籤)</t>
    </r>
  </si>
  <si>
    <t>PCI-7432</t>
  </si>
  <si>
    <t>PO-20180409B</t>
  </si>
  <si>
    <t>AN36475713</t>
  </si>
  <si>
    <t>AN36540152</t>
  </si>
  <si>
    <t>沛勁</t>
  </si>
  <si>
    <t>4/12 台灣銀行
@29.23</t>
  </si>
  <si>
    <t>4/12 隨貨寄出</t>
  </si>
  <si>
    <t>PI-20180410A
2018041000001</t>
  </si>
  <si>
    <t>MGate MB3170
XYZ20180410001</t>
  </si>
  <si>
    <t>PO-20180410A
2018041100001</t>
  </si>
  <si>
    <t>CE45981515</t>
  </si>
  <si>
    <t>AN36540153</t>
  </si>
  <si>
    <t>@29.18</t>
  </si>
  <si>
    <t>4/16掛號寄出</t>
  </si>
  <si>
    <t>P180410NP0</t>
  </si>
  <si>
    <t>PI-20180410B
2018041100001</t>
  </si>
  <si>
    <r>
      <rPr>
        <sz val="10"/>
        <color theme="1"/>
        <rFont val="Arial"/>
        <family val="2"/>
      </rPr>
      <t xml:space="preserve">POC-351VTC
XYZ20180411001
</t>
    </r>
    <r>
      <rPr>
        <sz val="10"/>
        <color rgb="FFFF0000"/>
        <rFont val="Arial"/>
        <family val="2"/>
      </rPr>
      <t>(S/N:I1600355~356)</t>
    </r>
  </si>
  <si>
    <t>PO-20180410B</t>
  </si>
  <si>
    <t>AN35004083</t>
  </si>
  <si>
    <t>PO-1032018</t>
  </si>
  <si>
    <t>PI-20180411A
2018041100003</t>
  </si>
  <si>
    <t>NPort 5450I-T
719-NPort-5450I-T</t>
  </si>
  <si>
    <t>PO-20180411A-1
2018041100002</t>
  </si>
  <si>
    <t>CE45981653</t>
  </si>
  <si>
    <t>EDS-408A-SS-SC-T
719-EDS-408A-SS-SC-T</t>
  </si>
  <si>
    <t>PO-20180411A-2
2018041600001</t>
  </si>
  <si>
    <t>CE45981654</t>
  </si>
  <si>
    <t>IM-6700A-2S-SC-4TX
719-IM-6700A-2S-SC4TX</t>
  </si>
  <si>
    <t>同W226</t>
  </si>
  <si>
    <t>PI-20180411B
2018041100004</t>
  </si>
  <si>
    <t>IKS-6726A-2GTXSFP-24-T
719-IKS6726A2GTXSFP2</t>
  </si>
  <si>
    <t>PO-20180411B
2018041100003</t>
  </si>
  <si>
    <t>DQ93498552</t>
  </si>
  <si>
    <t>CA0713702823</t>
  </si>
  <si>
    <t>589-44131054</t>
  </si>
  <si>
    <t>PO-IMP-06</t>
  </si>
  <si>
    <t>PI-20180411C</t>
  </si>
  <si>
    <t>Nport-5130</t>
  </si>
  <si>
    <t>PO-20180411C</t>
  </si>
  <si>
    <t>CE45981664</t>
  </si>
  <si>
    <t>同W230</t>
  </si>
  <si>
    <t>PO-20180411C-2</t>
  </si>
  <si>
    <t>CE45981665</t>
  </si>
  <si>
    <t>PI-20180412A
2018041100002</t>
  </si>
  <si>
    <t>EKI-2525-AE
(XYZ20180411002)</t>
  </si>
  <si>
    <t>PO-20180412A</t>
  </si>
  <si>
    <t>AQ49655969</t>
  </si>
  <si>
    <t>ADAM-6256-AE
(XYZ20180411003)</t>
  </si>
  <si>
    <t>同W233</t>
  </si>
  <si>
    <t>PI-20180416A</t>
  </si>
  <si>
    <t>打樣無下單</t>
  </si>
  <si>
    <t>樣品無成本</t>
  </si>
  <si>
    <t>CG073764H600</t>
  </si>
  <si>
    <t>PO-20180416A</t>
  </si>
  <si>
    <t>CL52324006</t>
  </si>
  <si>
    <t>同W237</t>
  </si>
  <si>
    <t>18/0190M</t>
  </si>
  <si>
    <t>PI-20180417A
2018041700001</t>
  </si>
  <si>
    <t>NPC-4784
(ECU-4784-D55SBE)
XYZ20180417001</t>
  </si>
  <si>
    <t>PO-20180417A</t>
  </si>
  <si>
    <t>CN49652100</t>
  </si>
  <si>
    <t>CX072230BE36</t>
  </si>
  <si>
    <r>
      <rPr>
        <sz val="10"/>
        <color rgb="FF000000"/>
        <rFont val="Arial"/>
        <family val="2"/>
      </rPr>
      <t xml:space="preserve">PI-20180418A
</t>
    </r>
    <r>
      <rPr>
        <sz val="10"/>
        <color rgb="FF000000"/>
        <rFont val="Arial"/>
        <family val="2"/>
      </rPr>
      <t>(christine換標籤)</t>
    </r>
  </si>
  <si>
    <t>PO-20180418A</t>
  </si>
  <si>
    <t>CB60778526</t>
  </si>
  <si>
    <t>PI-20180418B</t>
  </si>
  <si>
    <t>PPC-3150-RE4AE</t>
  </si>
  <si>
    <t>PO-20180418B</t>
  </si>
  <si>
    <t>AQ49656045</t>
  </si>
  <si>
    <t>P180419NP1</t>
  </si>
  <si>
    <t>PI-20180420A</t>
  </si>
  <si>
    <t>ECS-8000-2R850Q
(S/N:S18A840009~13)</t>
  </si>
  <si>
    <t>PO-20180420A</t>
  </si>
  <si>
    <t>AN38254911</t>
  </si>
  <si>
    <t>CX072230BAUC</t>
  </si>
  <si>
    <t>P180419NP2</t>
  </si>
  <si>
    <r>
      <rPr>
        <sz val="10"/>
        <color rgb="FF000000"/>
        <rFont val="Arial"/>
        <family val="2"/>
      </rPr>
      <t>PI-20180420B</t>
    </r>
    <r>
      <rPr>
        <sz val="10"/>
        <color rgb="FF000000"/>
        <rFont val="Arial"/>
        <family val="2"/>
      </rPr>
      <t xml:space="preserve">
(Miller 5/9 組裝與測試)</t>
    </r>
  </si>
  <si>
    <t>POC-210
(S/N:I1919446~451)</t>
  </si>
  <si>
    <t>PO-20180420B</t>
  </si>
  <si>
    <t>CL35141203</t>
  </si>
  <si>
    <t>CX072230BYYU</t>
  </si>
  <si>
    <t>PO-20180420B-1</t>
  </si>
  <si>
    <t>AQ48823891</t>
  </si>
  <si>
    <t>PI-20180420B</t>
  </si>
  <si>
    <t>同W247</t>
  </si>
  <si>
    <t>P180419NP3</t>
  </si>
  <si>
    <t>PI-20180420C</t>
  </si>
  <si>
    <t>OP-080S (w/ DC 24V)
(S/N:2061805001~4)</t>
  </si>
  <si>
    <t>PO-20180420C</t>
  </si>
  <si>
    <t>CL52324003</t>
  </si>
  <si>
    <t>PI-20180420D</t>
  </si>
  <si>
    <t>PO-20180420D</t>
  </si>
  <si>
    <t>DQ93498523</t>
  </si>
  <si>
    <t>CL36640604</t>
  </si>
  <si>
    <t>@29.92</t>
  </si>
  <si>
    <t>5/10掛號寄出</t>
  </si>
  <si>
    <t>同W251</t>
  </si>
  <si>
    <t>同AB251</t>
  </si>
  <si>
    <t>PI-20180423A</t>
  </si>
  <si>
    <t>PO-20180423A</t>
  </si>
  <si>
    <t>AQ49655975</t>
  </si>
  <si>
    <t>PI-20180424A</t>
  </si>
  <si>
    <t>PO-20180424A</t>
  </si>
  <si>
    <t>DY60778310</t>
  </si>
  <si>
    <t>7008000129
Cavo alimentazione optoisolatore 80cm</t>
  </si>
  <si>
    <t>PO-20180424A-1</t>
  </si>
  <si>
    <t>CN80424435</t>
  </si>
  <si>
    <t>7008000145
Cavo Seriale 60cm optoisolatore SACMI</t>
  </si>
  <si>
    <t>7009000006 (02-BE-00110)
LVDS cable SBC-331V for M121GNX2 R1</t>
  </si>
  <si>
    <t>7009000007 (02-BE-00109)
LVDS cable SBC-331V for G150XNE-L03</t>
  </si>
  <si>
    <t>7008000409 (02-BE-00111)
Backlight cable SBC-331V for M121GNX2 R1</t>
  </si>
  <si>
    <t>7008000410 (02-BE-00111)
Backlight cable SBC-331V for G150XNE-L03</t>
  </si>
  <si>
    <r>
      <rPr>
        <sz val="10"/>
        <color theme="1"/>
        <rFont val="Arial"/>
        <family val="2"/>
      </rPr>
      <t xml:space="preserve">70112D0001 (PDK-121S-IVO) includes </t>
    </r>
    <r>
      <rPr>
        <b/>
        <sz val="10"/>
        <color rgb="FFFF0000"/>
        <rFont val="Arial"/>
        <family val="2"/>
      </rPr>
      <t>1-6</t>
    </r>
    <r>
      <rPr>
        <sz val="10"/>
        <color rgb="FF000000"/>
        <rFont val="Arial"/>
        <family val="2"/>
      </rPr>
      <t xml:space="preserve">
1) LCD : M121GNX2 R1</t>
    </r>
  </si>
  <si>
    <t>頎勝科技</t>
  </si>
  <si>
    <t>PO-20180424A-2</t>
  </si>
  <si>
    <t>第一銀行 雙園分行
183-10-016464</t>
  </si>
  <si>
    <t>CL53899159</t>
  </si>
  <si>
    <t xml:space="preserve">2) Touch : Resistive Touch 10121002 V01 </t>
  </si>
  <si>
    <t>PO-20180424A-4</t>
  </si>
  <si>
    <t>台灣企銀錦和分行050-1220
12212023221</t>
  </si>
  <si>
    <t>CL52324014</t>
  </si>
  <si>
    <t>6)USB cable from USB controller to board
 (02-BE-00112)</t>
  </si>
  <si>
    <r>
      <rPr>
        <sz val="10"/>
        <color theme="1"/>
        <rFont val="Arial"/>
        <family val="2"/>
      </rPr>
      <t xml:space="preserve">70112E0001 (PDK-P150S-INN-L03) includes </t>
    </r>
    <r>
      <rPr>
        <b/>
        <sz val="10"/>
        <color rgb="FFFF0000"/>
        <rFont val="Arial"/>
        <family val="2"/>
      </rPr>
      <t>1-6</t>
    </r>
    <r>
      <rPr>
        <sz val="10"/>
        <color rgb="FF000000"/>
        <rFont val="Arial"/>
        <family val="2"/>
      </rPr>
      <t xml:space="preserve">
1) LCD : G150XNE-L03(群創)</t>
    </r>
  </si>
  <si>
    <t>台亞光電</t>
  </si>
  <si>
    <t>PO-20180424A-3</t>
  </si>
  <si>
    <t>華南商業銀行 板新分行
175-10-0019030</t>
  </si>
  <si>
    <t>CL39629877</t>
  </si>
  <si>
    <t>2) Touch : Resistive Touch 10150084 V01</t>
  </si>
  <si>
    <t>20180426-AA</t>
  </si>
  <si>
    <r>
      <rPr>
        <sz val="10"/>
        <color rgb="FF000000"/>
        <rFont val="Arial"/>
        <family val="2"/>
      </rPr>
      <t>PI-20180426A</t>
    </r>
    <r>
      <rPr>
        <sz val="10"/>
        <color rgb="FF000000"/>
        <rFont val="Arial"/>
        <family val="2"/>
      </rPr>
      <t xml:space="preserve">
(christine換標籤)</t>
    </r>
  </si>
  <si>
    <t>PO-20180426A</t>
  </si>
  <si>
    <t>AN36475726</t>
  </si>
  <si>
    <t>AN36540155</t>
  </si>
  <si>
    <t>大榮-15347136702</t>
  </si>
  <si>
    <t>4/30 台灣銀行
@29.53</t>
  </si>
  <si>
    <t>4/30 隨貨寄出</t>
  </si>
  <si>
    <t>RB Tech</t>
  </si>
  <si>
    <t>PI-20180426B Change
 to PI-20180531A</t>
  </si>
  <si>
    <t>KINO-PV-D4252-R11</t>
  </si>
  <si>
    <t>TNT account: 3000760</t>
  </si>
  <si>
    <t xml:space="preserve">PO-20180426B </t>
  </si>
  <si>
    <t>CN53679397</t>
  </si>
  <si>
    <t>CR073766S520</t>
  </si>
  <si>
    <t>PI-20180430A</t>
  </si>
  <si>
    <t>NISE2300 AtomD2550, incl 4GB RAM</t>
  </si>
  <si>
    <t>PO-20180430A</t>
  </si>
  <si>
    <t>CL34867025</t>
  </si>
  <si>
    <t>CW0733607424</t>
  </si>
  <si>
    <t>235-72020281</t>
  </si>
  <si>
    <t>Power adapter &amp; European Power cord for NISE2300</t>
  </si>
  <si>
    <t>同W275</t>
  </si>
  <si>
    <t>PO-20180430A-2</t>
  </si>
  <si>
    <t>CN77102459</t>
  </si>
  <si>
    <t>PI-20180430B</t>
  </si>
  <si>
    <t>PBPE-13A4 (瑞傳)</t>
  </si>
  <si>
    <t>PO-1132018</t>
  </si>
  <si>
    <t>PI-20180430C</t>
  </si>
  <si>
    <t>i3-6100TE</t>
  </si>
  <si>
    <t>PO-20180430C</t>
  </si>
  <si>
    <t>CN77102403</t>
  </si>
  <si>
    <t>PI-20180503A</t>
  </si>
  <si>
    <t>CP-114EL-DB9M</t>
  </si>
  <si>
    <t>PO-20180503A</t>
  </si>
  <si>
    <t>DQ93498522</t>
  </si>
  <si>
    <t>CL36640602</t>
  </si>
  <si>
    <t>5/10台灣銀行
29.905</t>
  </si>
  <si>
    <t>PI-20180503B</t>
  </si>
  <si>
    <t>PO-20180503B</t>
  </si>
  <si>
    <t>CL38322074</t>
  </si>
  <si>
    <t>CL36640610</t>
  </si>
  <si>
    <t>5/31掛號寄出</t>
  </si>
  <si>
    <t>APROtech GmbH</t>
  </si>
  <si>
    <t>PI-20180503D</t>
  </si>
  <si>
    <t>ECS-4500-2R300U</t>
  </si>
  <si>
    <t>UPS: 799R18/ Express Saver</t>
  </si>
  <si>
    <t xml:space="preserve"> PO-20180503D </t>
  </si>
  <si>
    <t>CL38322055</t>
  </si>
  <si>
    <t>CU0757BH4854</t>
  </si>
  <si>
    <t>1Z1913EE0498295259</t>
  </si>
  <si>
    <t>20180504-AA</t>
  </si>
  <si>
    <r>
      <rPr>
        <sz val="10"/>
        <color rgb="FF000000"/>
        <rFont val="Arial"/>
        <family val="2"/>
      </rPr>
      <t>PI-20180504A</t>
    </r>
    <r>
      <rPr>
        <sz val="10"/>
        <color rgb="FF000000"/>
        <rFont val="Arial"/>
        <family val="2"/>
      </rPr>
      <t xml:space="preserve">
(christine換標籤)</t>
    </r>
  </si>
  <si>
    <t>PO-20180504A</t>
  </si>
  <si>
    <t>CL39000001</t>
  </si>
  <si>
    <t>CL36640603</t>
  </si>
  <si>
    <t>大榮-15300456242</t>
  </si>
  <si>
    <t>5/10 台灣銀行
@29.905</t>
  </si>
  <si>
    <t>5/10 隨貨寄出</t>
  </si>
  <si>
    <t>PI-20180507A</t>
  </si>
  <si>
    <t>PO-20180507A</t>
  </si>
  <si>
    <t>QN49652506</t>
  </si>
  <si>
    <t>PI-20180508A</t>
  </si>
  <si>
    <t>UPS /Expedited
Account.: WF1740</t>
  </si>
  <si>
    <t>PO-20180508A</t>
  </si>
  <si>
    <t>EH53922390</t>
  </si>
  <si>
    <t>CU0757BJ4539</t>
  </si>
  <si>
    <t>1913 EEVB HGY</t>
  </si>
  <si>
    <t>PI-20180509A</t>
  </si>
  <si>
    <t xml:space="preserve">NPort 5130/EU </t>
  </si>
  <si>
    <t>PO-20180509A</t>
  </si>
  <si>
    <t>DQ93498629</t>
  </si>
  <si>
    <t>CF07550JF816</t>
  </si>
  <si>
    <t xml:space="preserve"> PO014833</t>
  </si>
  <si>
    <t>PI-20180509B</t>
  </si>
  <si>
    <t>MXC-6401D/M4G</t>
  </si>
  <si>
    <t>PO-20180509B</t>
  </si>
  <si>
    <t>EA47861785</t>
  </si>
  <si>
    <t>CH0746004375</t>
  </si>
  <si>
    <t>160-46141012</t>
  </si>
  <si>
    <t>LPCIE-7230</t>
  </si>
  <si>
    <t>同W290</t>
  </si>
  <si>
    <t>PI-20180509C</t>
  </si>
  <si>
    <t>ACP-4000MB-30CE</t>
  </si>
  <si>
    <t>PO-20180509C</t>
  </si>
  <si>
    <t>CN49652508</t>
  </si>
  <si>
    <t>CW0748602130</t>
  </si>
  <si>
    <t>172-94265776</t>
  </si>
  <si>
    <t>CB18-220</t>
  </si>
  <si>
    <t>PI-20180509D</t>
  </si>
  <si>
    <t>GS25E18-P1J</t>
  </si>
  <si>
    <t>TNT account (002004901 Express)</t>
  </si>
  <si>
    <t xml:space="preserve"> PO-20180509D </t>
  </si>
  <si>
    <t>銀行代號：007 
帳號：23110037813"</t>
  </si>
  <si>
    <t>EK69820727</t>
  </si>
  <si>
    <t>CR073766E238</t>
  </si>
  <si>
    <t>CB18-221</t>
  </si>
  <si>
    <t>PI-20180509E</t>
  </si>
  <si>
    <t>GG69821112</t>
  </si>
  <si>
    <t>CR073767W759</t>
  </si>
  <si>
    <t>P180509NP0</t>
  </si>
  <si>
    <t>PI-20180510A
(Neousys 組裝)</t>
  </si>
  <si>
    <t>Nuvo-5501-DIO
(S/N:I2000218~219)</t>
  </si>
  <si>
    <t xml:space="preserve">PO-20180510A </t>
  </si>
  <si>
    <t>CL35141235</t>
  </si>
  <si>
    <t>CX072230CS0Y</t>
  </si>
  <si>
    <t xml:space="preserve">PO-20180510A-2 </t>
  </si>
  <si>
    <t>CN77102600</t>
  </si>
  <si>
    <t>D4S8GHLOFEC</t>
  </si>
  <si>
    <t>PO-20180510A-3</t>
  </si>
  <si>
    <t>CL37183298</t>
  </si>
  <si>
    <t>330-18050470</t>
  </si>
  <si>
    <t>PI-20180510B</t>
  </si>
  <si>
    <t>PO-20180510B</t>
  </si>
  <si>
    <t>EA49816036</t>
  </si>
  <si>
    <t>CL36640652</t>
  </si>
  <si>
    <t>@29.82</t>
  </si>
  <si>
    <t>6/5掛號寄出</t>
  </si>
  <si>
    <t>18/0223M</t>
  </si>
  <si>
    <t>PI-20180510C</t>
  </si>
  <si>
    <t>NET1526
(Advantech EKI-1526-CE)</t>
  </si>
  <si>
    <t>PO-20180510C</t>
  </si>
  <si>
    <t>CN49652430</t>
  </si>
  <si>
    <t>CX072230CPM7</t>
  </si>
  <si>
    <t>P180514NP0</t>
  </si>
  <si>
    <r>
      <rPr>
        <sz val="10"/>
        <color rgb="FF000000"/>
        <rFont val="arial,sans,sans-serif"/>
      </rPr>
      <t xml:space="preserve">PI-20180514A 
</t>
    </r>
    <r>
      <rPr>
        <sz val="10"/>
        <color rgb="FF000000"/>
        <rFont val="arial,sans,sans-serif"/>
      </rPr>
      <t>(Neousys 組裝)</t>
    </r>
  </si>
  <si>
    <t>Nuvo-5006LP
(S/N:I2517340~359)</t>
  </si>
  <si>
    <t xml:space="preserve">PO-20180514A </t>
  </si>
  <si>
    <t>CL35141137</t>
  </si>
  <si>
    <t>CX072230FJYH</t>
  </si>
  <si>
    <t>PO-20180514A -2</t>
  </si>
  <si>
    <t>CN77103077</t>
  </si>
  <si>
    <t>3734528663
4840789726</t>
  </si>
  <si>
    <r>
      <rPr>
        <strike/>
        <sz val="10"/>
        <color rgb="FF000000"/>
        <rFont val="arial,sans,sans-serif"/>
      </rPr>
      <t xml:space="preserve">PI-20180514A 
</t>
    </r>
    <r>
      <rPr>
        <strike/>
        <sz val="10"/>
        <color rgb="FF000000"/>
        <rFont val="arial,sans,sans-serif"/>
      </rPr>
      <t>(Neousys 組裝)</t>
    </r>
  </si>
  <si>
    <t xml:space="preserve">PO-20180514A -3 </t>
  </si>
  <si>
    <t>CL37183338</t>
  </si>
  <si>
    <t>PI-20180514B</t>
  </si>
  <si>
    <t>NPort 5150 w/ AU adapter</t>
  </si>
  <si>
    <t>PO-20180514B</t>
  </si>
  <si>
    <t>DQ93498738</t>
  </si>
  <si>
    <t>CL36640606</t>
  </si>
  <si>
    <t>5/24台灣銀行
@29.93</t>
  </si>
  <si>
    <t>5/24掛號寄出</t>
  </si>
  <si>
    <t>PROXIS
(Compu-Trade LLC)</t>
  </si>
  <si>
    <t>PI-20180515A</t>
  </si>
  <si>
    <t>PO-20180515A</t>
  </si>
  <si>
    <t>EA47861911</t>
  </si>
  <si>
    <t>CU0757BG3226</t>
  </si>
  <si>
    <t>1Z032RX78666977383</t>
  </si>
  <si>
    <t>EA47862092</t>
  </si>
  <si>
    <t>18/0232M</t>
  </si>
  <si>
    <t>PI-20180516A</t>
  </si>
  <si>
    <t>AIMB-782QG2-00A1E
(Advantech AIMB-782QG2-00A1E)</t>
  </si>
  <si>
    <t>PO-20180516A</t>
  </si>
  <si>
    <t>CN49652537</t>
  </si>
  <si>
    <t>PI-20180517A</t>
  </si>
  <si>
    <t>PO-20180517A</t>
  </si>
  <si>
    <t>CL38322075</t>
  </si>
  <si>
    <t>CL36640650</t>
  </si>
  <si>
    <t>6/4掛號寄出</t>
  </si>
  <si>
    <t>PI-20180517B</t>
  </si>
  <si>
    <t>IS-453S-8G-R10</t>
  </si>
  <si>
    <t>PO-20180517B</t>
  </si>
  <si>
    <t>同W274</t>
  </si>
  <si>
    <t>PI-20180517C</t>
  </si>
  <si>
    <t>SPL-24-T</t>
  </si>
  <si>
    <t>PO-20180517C</t>
  </si>
  <si>
    <t>EA49816131</t>
  </si>
  <si>
    <t>PI-20180517D</t>
  </si>
  <si>
    <t>EDS-205</t>
  </si>
  <si>
    <t>UPS A/C No.:12V56V</t>
  </si>
  <si>
    <t>PO-20180517D</t>
  </si>
  <si>
    <t>DQ93498751</t>
  </si>
  <si>
    <t>CU0757BG2979</t>
  </si>
  <si>
    <t>1Z1913EE0492056885</t>
  </si>
  <si>
    <t>PI-20180517E</t>
  </si>
  <si>
    <t xml:space="preserve">PO-20180517E </t>
  </si>
  <si>
    <t>EH34995515</t>
  </si>
  <si>
    <t>CW 0733613389</t>
  </si>
  <si>
    <t>PI-20180517F</t>
  </si>
  <si>
    <t>PO-20180517F</t>
  </si>
  <si>
    <t>CN49652647</t>
  </si>
  <si>
    <t>CX072230D0FW</t>
  </si>
  <si>
    <t>UNO-1372G-E3AE</t>
  </si>
  <si>
    <t>CN49655521</t>
  </si>
  <si>
    <t>CX072230EV7F</t>
  </si>
  <si>
    <t>同W312</t>
  </si>
  <si>
    <t>PI-20180522A</t>
  </si>
  <si>
    <t>PO-20180522A</t>
  </si>
  <si>
    <t>DQ93498758</t>
  </si>
  <si>
    <t>CL36640607</t>
  </si>
  <si>
    <t>@29.93</t>
  </si>
  <si>
    <t>5/28掛號寄出</t>
  </si>
  <si>
    <t>PI-20180524A</t>
  </si>
  <si>
    <t>TS128GCFX600</t>
  </si>
  <si>
    <t>PO-20180524A-2</t>
  </si>
  <si>
    <t>EA54284258</t>
  </si>
  <si>
    <t>CX072230DNDE</t>
  </si>
  <si>
    <t>PO-20180524A</t>
  </si>
  <si>
    <t>CN49652747</t>
  </si>
  <si>
    <t>PI-20180524B</t>
  </si>
  <si>
    <t>PO-20180524B</t>
  </si>
  <si>
    <t>CL34867225</t>
  </si>
  <si>
    <t>CW0733608855</t>
  </si>
  <si>
    <t>PO-20180524B-2</t>
  </si>
  <si>
    <t>CN77102974</t>
  </si>
  <si>
    <t>同W318</t>
  </si>
  <si>
    <t>PI-20180524C</t>
  </si>
  <si>
    <t>ACP-4020MB-30ZE</t>
  </si>
  <si>
    <t>CN49655957</t>
  </si>
  <si>
    <t>CX072230G9GL</t>
  </si>
  <si>
    <t>AIMB-785G2-00A1E</t>
  </si>
  <si>
    <t>CN49655261</t>
  </si>
  <si>
    <t>1960052651N021</t>
  </si>
  <si>
    <t>CN49652780</t>
  </si>
  <si>
    <t>PI-20180524D</t>
  </si>
  <si>
    <t>PO-20180524D</t>
  </si>
  <si>
    <t>EA49816085</t>
  </si>
  <si>
    <t>CL36640655</t>
  </si>
  <si>
    <t>@29.71</t>
  </si>
  <si>
    <t>6/7掛號寄出</t>
  </si>
  <si>
    <t>同W325</t>
  </si>
  <si>
    <t>同AB325</t>
  </si>
  <si>
    <t>PI-20180524E</t>
  </si>
  <si>
    <t>UPort 1150I</t>
  </si>
  <si>
    <t>DQ93498914</t>
  </si>
  <si>
    <t>CL36640608</t>
  </si>
  <si>
    <t>5/31台灣銀行
@29.945</t>
  </si>
  <si>
    <t>同W327</t>
  </si>
  <si>
    <t>同AB327</t>
  </si>
  <si>
    <t>PI-20180524E-2</t>
  </si>
  <si>
    <t>DQ93498909</t>
  </si>
  <si>
    <t>SO20180525</t>
  </si>
  <si>
    <t>PI-20180528A</t>
  </si>
  <si>
    <t>RCS-9440</t>
  </si>
  <si>
    <t xml:space="preserve"> UPS 799R18/ Express Saver.</t>
  </si>
  <si>
    <t xml:space="preserve">PO-20180528A </t>
  </si>
  <si>
    <t>CL38322083</t>
  </si>
  <si>
    <t>CU0757BJ3446</t>
  </si>
  <si>
    <t>1Z1913EE0493113105</t>
  </si>
  <si>
    <t>PI-20180528A
(Vecow組裝)</t>
  </si>
  <si>
    <t>i5-6500TE</t>
  </si>
  <si>
    <t>捷毅國際到超恩組裝</t>
  </si>
  <si>
    <t>PO-20180528A-2</t>
  </si>
  <si>
    <t>CN77102899</t>
  </si>
  <si>
    <t>719_D4S8GHLOFEC</t>
  </si>
  <si>
    <t>MemxPro敏博
交Vecow組裝</t>
  </si>
  <si>
    <t>a</t>
  </si>
  <si>
    <t>CL37183322</t>
  </si>
  <si>
    <t>PI-20180528B</t>
  </si>
  <si>
    <t>ACP-2010MB-35CE</t>
  </si>
  <si>
    <t>PO-20180528B</t>
  </si>
  <si>
    <t>CN49654563</t>
  </si>
  <si>
    <t>AIMB-585QG2-00A1E</t>
  </si>
  <si>
    <t>EK49651961</t>
  </si>
  <si>
    <t>CX072230GYTU</t>
  </si>
  <si>
    <t>同W333</t>
  </si>
  <si>
    <t>ADAM-6050-D</t>
  </si>
  <si>
    <t>ADAM-4571-CE</t>
  </si>
  <si>
    <t>330-18051599</t>
  </si>
  <si>
    <t>PI-20180529A</t>
  </si>
  <si>
    <t>PO-20180529A</t>
  </si>
  <si>
    <t>EA49816385</t>
  </si>
  <si>
    <t>CL36640666</t>
  </si>
  <si>
    <t>6/25央行@30.403</t>
  </si>
  <si>
    <t>6/26掛號寄出</t>
  </si>
  <si>
    <t>RB tech</t>
  </si>
  <si>
    <t>PI-20180531A</t>
  </si>
  <si>
    <t>PO-20180531A</t>
  </si>
  <si>
    <t>CN53679439</t>
  </si>
  <si>
    <t>U.K. Technology
昱凱科技</t>
  </si>
  <si>
    <r>
      <rPr>
        <sz val="10"/>
        <color rgb="FF000000"/>
        <rFont val="Arial"/>
        <family val="2"/>
      </rPr>
      <t>PI-20180531B</t>
    </r>
    <r>
      <rPr>
        <sz val="10"/>
        <color rgb="FF000000"/>
        <rFont val="Arial"/>
        <family val="2"/>
      </rPr>
      <t xml:space="preserve">
(Evaluation 借貨)
7/6已還</t>
    </r>
  </si>
  <si>
    <t>LPC-P156W-10</t>
  </si>
  <si>
    <t>自取</t>
  </si>
  <si>
    <t>借貨</t>
  </si>
  <si>
    <t>20180601-AA</t>
  </si>
  <si>
    <r>
      <rPr>
        <sz val="10"/>
        <color rgb="FF000000"/>
        <rFont val="Arial"/>
        <family val="2"/>
      </rPr>
      <t>PI-20180601A</t>
    </r>
    <r>
      <rPr>
        <sz val="10"/>
        <color rgb="FF000000"/>
        <rFont val="Arial"/>
        <family val="2"/>
      </rPr>
      <t xml:space="preserve">
(chloe換標籤)</t>
    </r>
  </si>
  <si>
    <t>PO-20180601A</t>
  </si>
  <si>
    <t>CL39000018</t>
  </si>
  <si>
    <t>CL36640653</t>
  </si>
  <si>
    <t>1530-045-624-3</t>
  </si>
  <si>
    <t>台銀@29.725</t>
  </si>
  <si>
    <t>6/7隨貨寄出</t>
  </si>
  <si>
    <t>PI-20180601B
(chloe換標籤)</t>
  </si>
  <si>
    <t>同W342</t>
  </si>
  <si>
    <t>CL36640660</t>
  </si>
  <si>
    <t>大榮-15300456244</t>
  </si>
  <si>
    <t>6/13台銀@29.88</t>
  </si>
  <si>
    <t>6/14隨貨寄出</t>
  </si>
  <si>
    <t>Rusen
樂瑄</t>
  </si>
  <si>
    <t>PI-20180603A</t>
  </si>
  <si>
    <t xml:space="preserve">NPort IA5250 </t>
  </si>
  <si>
    <t>PO-20180603A</t>
  </si>
  <si>
    <t>EA49816158</t>
  </si>
  <si>
    <t>CL36640656</t>
  </si>
  <si>
    <t>沛勁796920</t>
  </si>
  <si>
    <t>與客戶敲定@29.74</t>
  </si>
  <si>
    <t>6/13 與貨併寄</t>
  </si>
  <si>
    <t>NPort IA5450A</t>
  </si>
  <si>
    <t>同W344</t>
  </si>
  <si>
    <t>同AB344</t>
  </si>
  <si>
    <t>PI-20180604A</t>
  </si>
  <si>
    <t>ECS-9210</t>
  </si>
  <si>
    <t>PO-20180604A</t>
  </si>
  <si>
    <t>CL38322087</t>
  </si>
  <si>
    <t>CU0757BF4899</t>
  </si>
  <si>
    <t>1Z1913EE0496368282</t>
  </si>
  <si>
    <t>PI-20180604B</t>
  </si>
  <si>
    <t>LPC-P185W-clips
1set = 8pcs</t>
  </si>
  <si>
    <t>PO-20180604B</t>
  </si>
  <si>
    <t>CL52324052</t>
  </si>
  <si>
    <t>PI-20180605A-1</t>
  </si>
  <si>
    <t>PO-20180605A-1(Revise)</t>
  </si>
  <si>
    <t>CN49655428</t>
  </si>
  <si>
    <t>PI-20180605A-2</t>
  </si>
  <si>
    <t>PO-20180605A-2</t>
  </si>
  <si>
    <t>GG49652025</t>
  </si>
  <si>
    <t>CX072230P6BH</t>
  </si>
  <si>
    <t>PI-20180605B</t>
  </si>
  <si>
    <t>PO-20180605B</t>
  </si>
  <si>
    <t>HS60778304</t>
  </si>
  <si>
    <t>CG073767J852</t>
  </si>
  <si>
    <t>同W350</t>
  </si>
  <si>
    <t>PI-20180607A</t>
  </si>
  <si>
    <t>工單MO-20171011A</t>
  </si>
  <si>
    <t>P180608NP0</t>
  </si>
  <si>
    <t>PI-20180609A
(Cindy印標籤)</t>
  </si>
  <si>
    <t>LPC-P121S-10
(S/N:MO20180609A0001)</t>
  </si>
  <si>
    <t>見投產計畫</t>
  </si>
  <si>
    <t>MO-20180609A</t>
  </si>
  <si>
    <t>CX072230M5EG</t>
  </si>
  <si>
    <t>V-1</t>
  </si>
  <si>
    <t>PI-20180609A</t>
  </si>
  <si>
    <t>DDS8GHIMBFC
(8GB DRAM)</t>
  </si>
  <si>
    <t>P180608NP1</t>
  </si>
  <si>
    <t>PI-20180609B</t>
  </si>
  <si>
    <t>Nuvo-5002LP
(S/N:I2216385~I2216392)</t>
  </si>
  <si>
    <t>PO-20180609B</t>
  </si>
  <si>
    <t>EH35319705</t>
  </si>
  <si>
    <t>CX072230HKY7</t>
  </si>
  <si>
    <t>PI-20180609B
(Neousys 組裝)</t>
  </si>
  <si>
    <t>PO-20180609B-2</t>
  </si>
  <si>
    <t>CN77103288</t>
  </si>
  <si>
    <t>D4S4GHIOFEC
(向敏博購買)</t>
  </si>
  <si>
    <t>PO-20180609B-3</t>
  </si>
  <si>
    <t>CL37183381</t>
  </si>
  <si>
    <t>PI-20180611A</t>
  </si>
  <si>
    <t>EDS-608</t>
  </si>
  <si>
    <t>PO-20180611A</t>
  </si>
  <si>
    <t>EA49816345</t>
  </si>
  <si>
    <t>CH0747030642</t>
  </si>
  <si>
    <t>EDS-208A</t>
  </si>
  <si>
    <t>同W359</t>
  </si>
  <si>
    <t>MGate MB3270</t>
  </si>
  <si>
    <t>NPORT5232</t>
  </si>
  <si>
    <t>Fieldworks Direct</t>
  </si>
  <si>
    <t>PO63949</t>
  </si>
  <si>
    <t>PI-20180613A</t>
  </si>
  <si>
    <t>EDS-G512E-8PoE-4GSFP</t>
  </si>
  <si>
    <t>PO-20180613A-1</t>
  </si>
  <si>
    <t>EA49816479</t>
  </si>
  <si>
    <t>CU0757BJ3994</t>
  </si>
  <si>
    <t>1Z1913EE6696808896</t>
  </si>
  <si>
    <t>PO63950</t>
  </si>
  <si>
    <t>SFP-1GSXLC-T
(LM28-C3S-TI-N-DA/ 請給翔X加工)</t>
  </si>
  <si>
    <t>APAC
前鼎光電-採購為TAMMY</t>
  </si>
  <si>
    <t>PO-20180613A-2</t>
  </si>
  <si>
    <t>華南銀行 林口分行
252-10-000661-2</t>
  </si>
  <si>
    <t>CN82388486</t>
  </si>
  <si>
    <t>前鼎 SFP-1GSXLC-T請給翔X加工改為
LM28-C3S-TI-N-DA</t>
  </si>
  <si>
    <t>翔X</t>
  </si>
  <si>
    <t>PO-20180613A-4(Revise)</t>
  </si>
  <si>
    <t>彰化銀行 立德分行
54630108060200</t>
  </si>
  <si>
    <t>EH03914001</t>
  </si>
  <si>
    <t>PO63951</t>
  </si>
  <si>
    <t>EDS-G308-2SFP</t>
  </si>
  <si>
    <t>PO-20180613A-3</t>
  </si>
  <si>
    <t>CL50745567</t>
  </si>
  <si>
    <t>PI-20180613AB</t>
  </si>
  <si>
    <t>PO-20180613B-3</t>
  </si>
  <si>
    <t>EA49816484</t>
  </si>
  <si>
    <t>EDS-208</t>
  </si>
  <si>
    <t>PO-20180613B-2</t>
  </si>
  <si>
    <t>EA49816478</t>
  </si>
  <si>
    <t>PI-20180613B</t>
  </si>
  <si>
    <t>CP-134U-DB9M</t>
  </si>
  <si>
    <t>PO-20180613B</t>
  </si>
  <si>
    <t>EA49816262</t>
  </si>
  <si>
    <t>CL36640662</t>
  </si>
  <si>
    <t>6/19台銀@30.18</t>
  </si>
  <si>
    <t>6/21掛號寄出</t>
  </si>
  <si>
    <t>3687-1146</t>
  </si>
  <si>
    <t>PI-20180614A</t>
  </si>
  <si>
    <t>IDK-1121WR-30FHA1E
(要先寄給凌飛測試)</t>
  </si>
  <si>
    <t>FF: JJB Link</t>
  </si>
  <si>
    <t>2018/8/15 to 凌飛測試</t>
  </si>
  <si>
    <t>PO-20180614A-1</t>
  </si>
  <si>
    <t>EK49655901</t>
  </si>
  <si>
    <t>CH070F404134</t>
  </si>
  <si>
    <t>JJB-183787</t>
  </si>
  <si>
    <t>PO-20180614A-2</t>
  </si>
  <si>
    <t>EH53990353</t>
  </si>
  <si>
    <t>PO/IMP/28</t>
  </si>
  <si>
    <t>PI-20180615A</t>
  </si>
  <si>
    <t>PO-20180615A</t>
  </si>
  <si>
    <t>EA49816517</t>
  </si>
  <si>
    <t>CX072230HMKD</t>
  </si>
  <si>
    <t>同W373</t>
  </si>
  <si>
    <t>MiiNe Port E3</t>
  </si>
  <si>
    <t>DK35A</t>
  </si>
  <si>
    <t>PI-20180618A</t>
  </si>
  <si>
    <t>TDM-156WHLTOB</t>
  </si>
  <si>
    <t>PD-20180622A~PD-20180622A8</t>
  </si>
  <si>
    <t>CR073767C690</t>
  </si>
  <si>
    <t>PI-20180619A</t>
  </si>
  <si>
    <t>PWR-12200-DT-S1
 (EU power cord)</t>
  </si>
  <si>
    <t>PO-20180619A</t>
  </si>
  <si>
    <t>EA49816350</t>
  </si>
  <si>
    <t>CL36640663</t>
  </si>
  <si>
    <t>@30.39</t>
  </si>
  <si>
    <t>PI-20180619B</t>
  </si>
  <si>
    <t>PO-20180619B</t>
  </si>
  <si>
    <t>EA49816351</t>
  </si>
  <si>
    <t>CL36640664</t>
  </si>
  <si>
    <t>6/22 台銀@30.3</t>
  </si>
  <si>
    <t>ANT-CQB-ASM-01</t>
  </si>
  <si>
    <t>PO-20180619B-2</t>
  </si>
  <si>
    <t>EA49816349</t>
  </si>
  <si>
    <t>同AB380</t>
  </si>
  <si>
    <t>同W381</t>
  </si>
  <si>
    <t xml:space="preserve">OnCell G2151I </t>
  </si>
  <si>
    <t>PI-20180620A</t>
  </si>
  <si>
    <t>999.999.00070-C1305421
PCI-1202LU-CR</t>
  </si>
  <si>
    <t>PO-20180620A</t>
  </si>
  <si>
    <t>EA29318478</t>
  </si>
  <si>
    <t>PI-20180621A</t>
  </si>
  <si>
    <t>PO-20180621A</t>
  </si>
  <si>
    <t>FM93498555</t>
  </si>
  <si>
    <t>EH36796302</t>
  </si>
  <si>
    <t>@30.53</t>
  </si>
  <si>
    <t>7/13掛號寄出</t>
  </si>
  <si>
    <t>P180620NP0</t>
  </si>
  <si>
    <t>PI-20180625A</t>
  </si>
  <si>
    <t>POC-212
(S/N:I2820204~20208)</t>
  </si>
  <si>
    <t>PO-20180625A-1</t>
  </si>
  <si>
    <t>EH35319706</t>
  </si>
  <si>
    <t>TS512MSK64W6H
(向創見購買. Neousys組裝)</t>
  </si>
  <si>
    <t>Transcend 創見到宸曜組裝</t>
  </si>
  <si>
    <t>PO-20180625A-2</t>
  </si>
  <si>
    <t>FX54281942</t>
  </si>
  <si>
    <t>同W387</t>
  </si>
  <si>
    <t>P180620NP1</t>
  </si>
  <si>
    <t>PI-20180625B</t>
  </si>
  <si>
    <t>ECS-8000-2R850Q(SN:S18A840014~18)</t>
  </si>
  <si>
    <t>PO-20180625B</t>
  </si>
  <si>
    <t>EH38521112</t>
  </si>
  <si>
    <t>CX072230HV72</t>
  </si>
  <si>
    <t>M3S0-8GSSDLPC
(送超恩組裝)</t>
  </si>
  <si>
    <t>L-type bracket and mounting screws set
(必須含螺絲)</t>
  </si>
  <si>
    <t>同W390</t>
  </si>
  <si>
    <t>PI-20180626A</t>
  </si>
  <si>
    <t>PO-20180626A</t>
  </si>
  <si>
    <t>EH53922448</t>
  </si>
  <si>
    <t>CU0757BJ5186</t>
  </si>
  <si>
    <t>1Z1913EE6793244516</t>
  </si>
  <si>
    <t>PI-20180626B</t>
  </si>
  <si>
    <t>ACP-1010MB-00BE</t>
  </si>
  <si>
    <t>PO-20180626B</t>
  </si>
  <si>
    <t>EK49651908</t>
  </si>
  <si>
    <t>同W394</t>
  </si>
  <si>
    <t>1960049408N001</t>
  </si>
  <si>
    <t>PI-20180626C</t>
  </si>
  <si>
    <t>PE-1004</t>
  </si>
  <si>
    <t>PO-20180626C</t>
  </si>
  <si>
    <t>EH36796303</t>
  </si>
  <si>
    <t>PI-20180627A</t>
  </si>
  <si>
    <t>PO-20180627A</t>
  </si>
  <si>
    <t>EK49651909</t>
  </si>
  <si>
    <t>EK49652625</t>
  </si>
  <si>
    <t>CW0748603071</t>
  </si>
  <si>
    <t>297-74562865</t>
  </si>
  <si>
    <t>同W398</t>
  </si>
  <si>
    <t>P180626VA1</t>
  </si>
  <si>
    <t>PI-20180627B</t>
  </si>
  <si>
    <t>LPC-P121S-10VY
(S/N:MO20180627B0001~0005)</t>
  </si>
  <si>
    <t>MO-20180627B</t>
  </si>
  <si>
    <t>DDS4GHIMBEC
(4GB DDR3L DRAM)</t>
  </si>
  <si>
    <t>MI3EM5125602EN 
(256GB SSD)</t>
  </si>
  <si>
    <t>PO/IMP/32</t>
  </si>
  <si>
    <t>PI-20180629A</t>
  </si>
  <si>
    <t>DHL Account
 No.950245025</t>
  </si>
  <si>
    <t>PO-20180629A</t>
  </si>
  <si>
    <t>FM93498505</t>
  </si>
  <si>
    <t>P160702VJ0</t>
  </si>
  <si>
    <r>
      <rPr>
        <sz val="10"/>
        <color rgb="FF000000"/>
        <rFont val="Arial"/>
        <family val="2"/>
      </rPr>
      <t xml:space="preserve">PI-20180702A
</t>
    </r>
    <r>
      <rPr>
        <sz val="10"/>
        <color rgb="FF000000"/>
        <rFont val="Arial"/>
        <family val="2"/>
      </rPr>
      <t>(Miller&amp;Bank 組裝)</t>
    </r>
  </si>
  <si>
    <t>PO-20180702A</t>
  </si>
  <si>
    <t>FX47861897</t>
  </si>
  <si>
    <t>CW0710012662</t>
  </si>
  <si>
    <t>TPE-1078799</t>
  </si>
  <si>
    <t>APS935XA-EPS12/FSP350-60PFG(EA)</t>
  </si>
  <si>
    <t>同W408</t>
  </si>
  <si>
    <t>IDE cable</t>
  </si>
  <si>
    <t>PI-20180703A</t>
  </si>
  <si>
    <t>PO-20180703A</t>
  </si>
  <si>
    <t>EH34995516</t>
  </si>
  <si>
    <t>CW0733611329</t>
  </si>
  <si>
    <t>TPE-606177</t>
  </si>
  <si>
    <t>PO-20180703A-1</t>
  </si>
  <si>
    <t>EK77102641</t>
  </si>
  <si>
    <t>同W415</t>
  </si>
  <si>
    <t>NISE2300-M AtomD2550, incl 4GB RAM</t>
  </si>
  <si>
    <t>PI-20180703B</t>
  </si>
  <si>
    <t>LPC-P156W25SG 
(S/N:PD20180808A0001)</t>
  </si>
  <si>
    <t>閎亮貼合/Elgens組裝</t>
  </si>
  <si>
    <t>PD-20180808A</t>
  </si>
  <si>
    <t>CX072230ML73</t>
  </si>
  <si>
    <t>D4S8GHIOFFI (DDR4L 8GB)</t>
  </si>
  <si>
    <t>PO-20180703B(Revised)</t>
  </si>
  <si>
    <t>EH37327171</t>
  </si>
  <si>
    <t>PI-20180704A</t>
  </si>
  <si>
    <t>PO-20180704A</t>
  </si>
  <si>
    <t>EK49652324</t>
  </si>
  <si>
    <t>EK49655900</t>
  </si>
  <si>
    <t>CX072230LU13</t>
  </si>
  <si>
    <t>ACP-4000MB-00CE</t>
  </si>
  <si>
    <t>CES Group
閎亮科技</t>
  </si>
  <si>
    <t>PI-20180705A</t>
  </si>
  <si>
    <t>719_MS-98I8-003</t>
  </si>
  <si>
    <t>RDMO-20180326L
HC-20180326L</t>
  </si>
  <si>
    <t>EH36796301</t>
  </si>
  <si>
    <t>2018/7/9掛號寄出</t>
  </si>
  <si>
    <t>PI-20180710A</t>
  </si>
  <si>
    <t>1001700002
719_IB970 (standard BIOS)</t>
  </si>
  <si>
    <t>PO-20180710A</t>
  </si>
  <si>
    <t>PI-20180710B</t>
  </si>
  <si>
    <t>PO-20180710B</t>
  </si>
  <si>
    <t>FM93498679</t>
  </si>
  <si>
    <t>EH36796305</t>
  </si>
  <si>
    <t>@30.58</t>
  </si>
  <si>
    <t>2018/7/20掛號寄出,金額錯誤,7/31重寄</t>
  </si>
  <si>
    <t>719_UPort 1150</t>
  </si>
  <si>
    <t>同W432</t>
  </si>
  <si>
    <t>同AB432</t>
  </si>
  <si>
    <t>RMA-20180323A</t>
  </si>
  <si>
    <r>
      <rPr>
        <sz val="10"/>
        <color rgb="FF000000"/>
        <rFont val="Arial"/>
        <family val="2"/>
      </rPr>
      <t xml:space="preserve">IB970RF (序號1511009524)
(inspection fee US$40 / </t>
    </r>
    <r>
      <rPr>
        <strike/>
        <sz val="10"/>
        <color rgb="FF000000"/>
        <rFont val="Arial"/>
        <family val="2"/>
      </rPr>
      <t>IC cost US$65</t>
    </r>
    <r>
      <rPr>
        <sz val="10"/>
        <color rgb="FF000000"/>
        <rFont val="Arial"/>
        <family val="2"/>
      </rPr>
      <t>)</t>
    </r>
  </si>
  <si>
    <t>Elgens TNT 簡易</t>
  </si>
  <si>
    <t>FV60778341</t>
  </si>
  <si>
    <t>CG037766G694</t>
  </si>
  <si>
    <t>TNT:600702325</t>
  </si>
  <si>
    <t>audio cable (Audio-18K) for IB990</t>
  </si>
  <si>
    <t>sample</t>
  </si>
  <si>
    <t xml:space="preserve"> P180711VA0</t>
  </si>
  <si>
    <t>PI-20180711A</t>
  </si>
  <si>
    <t>719_SPC-3520-300U
(序號:Q17A525059~60)</t>
  </si>
  <si>
    <t>PO-20180711A</t>
  </si>
  <si>
    <t>EH38521123</t>
  </si>
  <si>
    <t>719_PWA-120W adapter</t>
  </si>
  <si>
    <t>同W436</t>
  </si>
  <si>
    <t>成本計算請依循PO-20180514A -3</t>
  </si>
  <si>
    <t>同Q436</t>
  </si>
  <si>
    <t>PI-20180712A</t>
  </si>
  <si>
    <t>999.999.00052
719_eBOX565-500-FL-6100U-DC</t>
  </si>
  <si>
    <t>PO-20180712A</t>
  </si>
  <si>
    <t>EK53648101</t>
  </si>
  <si>
    <t>999.999-00053
719_POWER ADAPTER</t>
  </si>
  <si>
    <t>同W441</t>
  </si>
  <si>
    <t>20180714-AA</t>
  </si>
  <si>
    <r>
      <rPr>
        <sz val="10"/>
        <color rgb="FF000000"/>
        <rFont val="Arial"/>
        <family val="2"/>
      </rPr>
      <t xml:space="preserve">PI-20180714A-1
</t>
    </r>
    <r>
      <rPr>
        <sz val="10"/>
        <color rgb="FF000000"/>
        <rFont val="Arial"/>
        <family val="2"/>
      </rPr>
      <t>(Cindy更換標籤)</t>
    </r>
  </si>
  <si>
    <t>PO-20180714A</t>
  </si>
  <si>
    <t>EH36754706</t>
  </si>
  <si>
    <t>EH36796306</t>
  </si>
  <si>
    <t>7/23台銀@30.64</t>
  </si>
  <si>
    <t>7/31掛號寄出</t>
  </si>
  <si>
    <r>
      <rPr>
        <sz val="10"/>
        <color rgb="FF000000"/>
        <rFont val="Arial"/>
        <family val="2"/>
      </rPr>
      <t xml:space="preserve">PI-20180714A-2
</t>
    </r>
    <r>
      <rPr>
        <sz val="10"/>
        <color rgb="FF000000"/>
        <rFont val="Arial"/>
        <family val="2"/>
      </rPr>
      <t>(Cindy更換標籤)</t>
    </r>
  </si>
  <si>
    <t>EH36754720</t>
  </si>
  <si>
    <t>EH36796254</t>
  </si>
  <si>
    <t>8/22台銀@30.71</t>
  </si>
  <si>
    <t>隨貨附</t>
  </si>
  <si>
    <t>PI-20180714A-3
(Cindy更換標籤)</t>
  </si>
  <si>
    <t>GE36629657</t>
  </si>
  <si>
    <t>GE36673700</t>
  </si>
  <si>
    <t>9/5台銀@30.795</t>
  </si>
  <si>
    <t>9/6隨貨</t>
  </si>
  <si>
    <t>PI-20180714B
(3FAE灌新軟體+標籤)</t>
  </si>
  <si>
    <t>Nport W2150A EU Band 
w/ SAA Adapter (w2x50a_1.9.62)</t>
  </si>
  <si>
    <t>PO-20180714B</t>
  </si>
  <si>
    <t>EH38005103</t>
  </si>
  <si>
    <t>CA0752010920</t>
  </si>
  <si>
    <t>ACT-100745</t>
  </si>
  <si>
    <t>PO-20180714B-2</t>
  </si>
  <si>
    <t>同W446</t>
  </si>
  <si>
    <t>No-1252018</t>
  </si>
  <si>
    <t>PI-20180714C</t>
  </si>
  <si>
    <t>PO-20180714C</t>
  </si>
  <si>
    <t>HJ93498416</t>
  </si>
  <si>
    <t>CH07C0802722</t>
  </si>
  <si>
    <t>PGS-112694</t>
  </si>
  <si>
    <t>同W448</t>
  </si>
  <si>
    <t>719_Nport 5210A-T</t>
  </si>
  <si>
    <t>P180712VA0</t>
  </si>
  <si>
    <t>PI-20180714D</t>
  </si>
  <si>
    <t>719_OPE150FBR                                  (S/N:WA181308A00001~2)</t>
  </si>
  <si>
    <t>PO-20180714D(Revice)</t>
  </si>
  <si>
    <t>EH52310608</t>
  </si>
  <si>
    <t>CX072230KH8Y</t>
  </si>
  <si>
    <t>PI-20180717A</t>
  </si>
  <si>
    <t>719_96D3-4G1333NN-AP</t>
  </si>
  <si>
    <t>PO-20180717A</t>
  </si>
  <si>
    <t>EK49652594</t>
  </si>
  <si>
    <t>CX072230K8Y5</t>
  </si>
  <si>
    <t>719_ACP-4000MB-30CE</t>
  </si>
  <si>
    <t>同W456</t>
  </si>
  <si>
    <t>719_AIMB-584QG2-00A1E</t>
  </si>
  <si>
    <t>719_ADAM-4021-DE</t>
  </si>
  <si>
    <t>719_ADAM-4017+-CE</t>
  </si>
  <si>
    <t>PI-20180717B</t>
  </si>
  <si>
    <t>PO-20180717B</t>
  </si>
  <si>
    <t>PO/IMP/43</t>
  </si>
  <si>
    <t>PI-20180723A</t>
  </si>
  <si>
    <t>PO-20180723A</t>
  </si>
  <si>
    <t>FX49816113</t>
  </si>
  <si>
    <t>CX072230LJW5</t>
  </si>
  <si>
    <t>PI-20180724A</t>
  </si>
  <si>
    <t>719_UNO-1372G-E3AE</t>
  </si>
  <si>
    <t>PO-20180724A</t>
  </si>
  <si>
    <t>EK49652808</t>
  </si>
  <si>
    <t>PI-20180726A
(Miller 燒MAC)</t>
  </si>
  <si>
    <t>999.999.00079
719_AMS300</t>
  </si>
  <si>
    <t>Techjoa 科技國 
歐緯世</t>
  </si>
  <si>
    <t>PO-20180726A-1 1PC
PO-20180726A-2 1PC</t>
  </si>
  <si>
    <t>待供應商告知
待供應商告知</t>
  </si>
  <si>
    <t>國泰世華銀行 (美金帳戶)
002-08-035588-5
玉山銀行 集賢分行
帳號：0772440-001355</t>
  </si>
  <si>
    <t>Mac Address replacement and operation</t>
  </si>
  <si>
    <t>戎克燒MAC</t>
  </si>
  <si>
    <t>PI-20180726B
(Miller 燒MAC)</t>
  </si>
  <si>
    <t>P180726VA0</t>
  </si>
  <si>
    <t>PI-20180727A-1</t>
  </si>
  <si>
    <t>719_ECS-8000-2R850Q
(XV2-VECS8000-2R850Q-M8G) (S/N:S18A840020~21)</t>
  </si>
  <si>
    <t>PO-20180727A-1</t>
  </si>
  <si>
    <t>EH38521127</t>
  </si>
  <si>
    <t>719_DDS8GHIMBFC
(向敏博購買. 送超恩組裝)</t>
  </si>
  <si>
    <t>MemxPro敏博
交由Vecow超恩組裝</t>
  </si>
  <si>
    <t>EH37327115</t>
  </si>
  <si>
    <t>PI-20180727A-2</t>
  </si>
  <si>
    <t>719_ECS-8000-2R850Q
(XV2-VECS8000-2R850Q-M8G)  S/N: S18A840022~28, 31</t>
  </si>
  <si>
    <t>EH38521131</t>
  </si>
  <si>
    <t>CX072230LFSE</t>
  </si>
  <si>
    <t>同W472</t>
  </si>
  <si>
    <t>P180726VA1</t>
  </si>
  <si>
    <t>PI-20180728B-1</t>
  </si>
  <si>
    <t>719_Nuvo-5002LP
(CPU &amp; DRAM 會另寄. 請Neousys組)S/N: I3318224~237, I3318349)</t>
  </si>
  <si>
    <t>PO-20180728B-1</t>
  </si>
  <si>
    <t>EH35319747</t>
  </si>
  <si>
    <t>CA0710012998</t>
  </si>
  <si>
    <t>TPE-1084086</t>
  </si>
  <si>
    <t>719_i7-6700TE Processor
(向捷毅國際購買, 送Neousys組裝)</t>
  </si>
  <si>
    <t>PO-20180728B-2</t>
  </si>
  <si>
    <t>EK77103008</t>
  </si>
  <si>
    <t>719_D4SAGHLPGFC
(向敏博購買. 送Neousys組裝)</t>
  </si>
  <si>
    <t>PO-20180728B-3</t>
  </si>
  <si>
    <t>EH37327144</t>
  </si>
  <si>
    <t>PI-20180728B-2</t>
  </si>
  <si>
    <t>719_Nuvo-5002LP
(CPU &amp; DRAM 會另寄. 請Neousys組)S/N: I3318211~223</t>
  </si>
  <si>
    <t>同W475</t>
  </si>
  <si>
    <r>
      <rPr>
        <sz val="10"/>
        <color rgb="FF000000"/>
        <rFont val="arial, sans, sans-serif"/>
      </rPr>
      <t>719_</t>
    </r>
    <r>
      <rPr>
        <b/>
        <sz val="10"/>
        <color rgb="FF0000FF"/>
        <rFont val="arial, sans, sans-serif"/>
      </rPr>
      <t>i5-6500TE</t>
    </r>
    <r>
      <rPr>
        <sz val="10"/>
        <color rgb="FF000000"/>
        <rFont val="arial, sans, sans-serif"/>
      </rPr>
      <t xml:space="preserve"> Processor
(向捷毅國際購買,送Neousys組裝)</t>
    </r>
  </si>
  <si>
    <t>同W476</t>
  </si>
  <si>
    <t>同R477</t>
  </si>
  <si>
    <t>同W477</t>
  </si>
  <si>
    <t>NetEon</t>
  </si>
  <si>
    <t>18-0364M</t>
  </si>
  <si>
    <t>PI-20180728C</t>
  </si>
  <si>
    <t>719_NPC-4784
(Model : ECU-4784-D55SBE)</t>
  </si>
  <si>
    <t> DHL A/C No : 951842593</t>
  </si>
  <si>
    <t>PO-20180728C</t>
  </si>
  <si>
    <t>EK49655281</t>
  </si>
  <si>
    <t>CX072230L765</t>
  </si>
  <si>
    <t>18-0378M</t>
  </si>
  <si>
    <r>
      <rPr>
        <strike/>
        <sz val="10"/>
        <color rgb="FF000000"/>
        <rFont val="Arial"/>
        <family val="2"/>
      </rPr>
      <t xml:space="preserve">PI-20180728D
</t>
    </r>
    <r>
      <rPr>
        <sz val="10"/>
        <color rgb="FF000000"/>
        <rFont val="Arial"/>
        <family val="2"/>
      </rPr>
      <t>PI-20180728C</t>
    </r>
  </si>
  <si>
    <t>PO-20180728D-2</t>
  </si>
  <si>
    <t>FX49816114</t>
  </si>
  <si>
    <t xml:space="preserve">719_OPT 8A </t>
  </si>
  <si>
    <t>同W482</t>
  </si>
  <si>
    <t>PI-20180730A</t>
  </si>
  <si>
    <t>PO-20180730A</t>
  </si>
  <si>
    <t>FX49816341</t>
  </si>
  <si>
    <t>EH36796253</t>
  </si>
  <si>
    <t>8/20台銀@30.76</t>
  </si>
  <si>
    <t>同W484</t>
  </si>
  <si>
    <t>同AB484</t>
  </si>
  <si>
    <t>330-18071414</t>
  </si>
  <si>
    <t>PI-20180731A</t>
  </si>
  <si>
    <t>PO-20180731A</t>
  </si>
  <si>
    <t>FX49816189</t>
  </si>
  <si>
    <t>EH36796251</t>
  </si>
  <si>
    <t>8/10 央銀@30.7</t>
  </si>
  <si>
    <t>8/15掛號寄出</t>
  </si>
  <si>
    <t>PO/IMP/49</t>
  </si>
  <si>
    <t>PI-20180731B</t>
  </si>
  <si>
    <t>CP-134U-I-DB9M</t>
  </si>
  <si>
    <t>PO-20180731B</t>
  </si>
  <si>
    <t>FX49816177</t>
  </si>
  <si>
    <t>PI-20180731C</t>
  </si>
  <si>
    <r>
      <rPr>
        <sz val="10"/>
        <color theme="1"/>
        <rFont val="Arial"/>
        <family val="2"/>
      </rPr>
      <t xml:space="preserve">70112E0001 (PDK-150S-INN-L03) includes </t>
    </r>
    <r>
      <rPr>
        <b/>
        <sz val="10"/>
        <color rgb="FFFF0000"/>
        <rFont val="Arial"/>
        <family val="2"/>
      </rPr>
      <t>1-6</t>
    </r>
    <r>
      <rPr>
        <sz val="10"/>
        <color rgb="FF000000"/>
        <rFont val="Arial"/>
        <family val="2"/>
      </rPr>
      <t xml:space="preserve">
1) LCD : G150XNE-L03(群創)</t>
    </r>
  </si>
  <si>
    <t>UX Logistics</t>
  </si>
  <si>
    <t>斯麥特</t>
  </si>
  <si>
    <t>PO-20180731C-1</t>
  </si>
  <si>
    <t>上海商銀 樹林分行 011-052
52102000012627</t>
  </si>
  <si>
    <t>EH36492604</t>
  </si>
  <si>
    <t>CH0752015464</t>
  </si>
  <si>
    <t>UX-223722F</t>
  </si>
  <si>
    <t>PO-20180731C-2</t>
  </si>
  <si>
    <t>EH52554016</t>
  </si>
  <si>
    <t>同V493</t>
  </si>
  <si>
    <t>6)USB cable from USB controller to board</t>
  </si>
  <si>
    <t>PO-20180731C-3</t>
  </si>
  <si>
    <t>EK80424576</t>
  </si>
  <si>
    <t>PI-20180802A</t>
  </si>
  <si>
    <t>舊工單MO-20180119A  72元/PC(不含稅)</t>
  </si>
  <si>
    <t>舊工單MO-20180313A  53元/PC(不含稅)</t>
  </si>
  <si>
    <t>3753-1210</t>
  </si>
  <si>
    <t>PI-20180806A</t>
  </si>
  <si>
    <t>PO-20180806A-1</t>
  </si>
  <si>
    <t>EK49655902</t>
  </si>
  <si>
    <t>PO-20180806A-2</t>
  </si>
  <si>
    <t>同W372</t>
  </si>
  <si>
    <t>PI-20180806B</t>
  </si>
  <si>
    <t>PO-20180806B</t>
  </si>
  <si>
    <t>EK49655805</t>
  </si>
  <si>
    <t>同W501</t>
  </si>
  <si>
    <t>EK49655745</t>
  </si>
  <si>
    <t>P180809NP1</t>
  </si>
  <si>
    <t>PI-20180806C</t>
  </si>
  <si>
    <t>719_POC-212   (S/N:I3420494~513)</t>
  </si>
  <si>
    <t>PO-20180806C</t>
  </si>
  <si>
    <t>EH35319760</t>
  </si>
  <si>
    <t>CX072230N47W</t>
  </si>
  <si>
    <t>PI-20180806C
(創見購買, Neousys裝)</t>
  </si>
  <si>
    <t>719_TS512MSK64W6H-I
(Wide Temp)</t>
  </si>
  <si>
    <t>PO-20180806C-1</t>
  </si>
  <si>
    <t>FX54290941</t>
  </si>
  <si>
    <t>719_TS128GSSD420I
(Wide Temp)</t>
  </si>
  <si>
    <t>同W505</t>
  </si>
  <si>
    <t>同W504</t>
  </si>
  <si>
    <t>P180806NP1</t>
  </si>
  <si>
    <t>PI-20180806D</t>
  </si>
  <si>
    <t>LPC-P121S-10VY (S/N:MO20180806D0001~0005)</t>
  </si>
  <si>
    <t>MO-20180806D</t>
  </si>
  <si>
    <t>CX072230Q6EC</t>
  </si>
  <si>
    <t>07-AE0-W16W600-001A
WiFi cable for extension</t>
  </si>
  <si>
    <t>POG8112</t>
  </si>
  <si>
    <t>PI-20180806E</t>
  </si>
  <si>
    <t>DHL A/c. No; 956287207</t>
  </si>
  <si>
    <t>PO-20180806E</t>
  </si>
  <si>
    <t>FX49816363</t>
  </si>
  <si>
    <t>CX072230MG11</t>
  </si>
  <si>
    <t>POG8114</t>
  </si>
  <si>
    <t>PI-20180807A</t>
  </si>
  <si>
    <t>719_CP-104UL-DB9M
(Moxa)   (S/N:TAHEB1113092~5)</t>
  </si>
  <si>
    <t>PO-20180807A-2</t>
  </si>
  <si>
    <t>FX49816469</t>
  </si>
  <si>
    <t>CF07550WS674</t>
  </si>
  <si>
    <t>719_PCI-1760U-BE
(Advantech)</t>
  </si>
  <si>
    <t>PO-20180807A-Revised</t>
  </si>
  <si>
    <t>EK49656031</t>
  </si>
  <si>
    <t>PI-20180807B</t>
  </si>
  <si>
    <t>719_EDS-308-T</t>
  </si>
  <si>
    <t>PO-20180807B</t>
  </si>
  <si>
    <t>FX49816188</t>
  </si>
  <si>
    <t>EH36796256</t>
  </si>
  <si>
    <t>8/10 台銀@30.7</t>
  </si>
  <si>
    <t>8/29掛號寄出</t>
  </si>
  <si>
    <t>PI-20180807C</t>
  </si>
  <si>
    <t>PO-20180807C</t>
  </si>
  <si>
    <t>GE34915724</t>
  </si>
  <si>
    <t>PO-20180807C-1</t>
  </si>
  <si>
    <t>GG77102271</t>
  </si>
  <si>
    <t>同W518</t>
  </si>
  <si>
    <t>P180808NP0</t>
  </si>
  <si>
    <t>PI-20180812A-1</t>
  </si>
  <si>
    <t>MO-20180812A</t>
  </si>
  <si>
    <t>LPC-P121S-10VY (S/N:MO20180812A0001~0005)</t>
  </si>
  <si>
    <t>Thermal Pads (35*74 mm 5T)</t>
  </si>
  <si>
    <t>DANBIT
丹比特</t>
  </si>
  <si>
    <t>190718-53S</t>
  </si>
  <si>
    <t>PI-20180815A</t>
  </si>
  <si>
    <t>719_HDR-15-12
(MeanWell)</t>
  </si>
  <si>
    <t>PO-20180815A</t>
  </si>
  <si>
    <t>EK69822381</t>
  </si>
  <si>
    <t>EH36796255</t>
  </si>
  <si>
    <t>大榮15300456245  8/24發票掛號寄出</t>
  </si>
  <si>
    <t>8/21土銀@30.71 (客戶自訂)</t>
  </si>
  <si>
    <t>8/22 隨貨附上                     8/24匯率更改重寄</t>
  </si>
  <si>
    <t>719_DR-4512
(MeanWell)</t>
  </si>
  <si>
    <t>EK69822573</t>
  </si>
  <si>
    <t>同AB528</t>
  </si>
  <si>
    <t>PI-20180818A</t>
  </si>
  <si>
    <t>PO-20180818A</t>
  </si>
  <si>
    <t>FX49816364</t>
  </si>
  <si>
    <t>PI-20180821A</t>
  </si>
  <si>
    <t>PO-20180821A-1</t>
  </si>
  <si>
    <t>GG49652066</t>
  </si>
  <si>
    <t>PO-20180821A-2</t>
  </si>
  <si>
    <t>GG49652065</t>
  </si>
  <si>
    <t>P180821NP0</t>
  </si>
  <si>
    <t>PI-20180822A
(Miller&amp;Bank 組裝)</t>
  </si>
  <si>
    <t>719_HPCI-14S12U</t>
  </si>
  <si>
    <t>PO-20180822A</t>
  </si>
  <si>
    <t>HU47861790</t>
  </si>
  <si>
    <t>CA0710013383</t>
  </si>
  <si>
    <t>TPE-1089896</t>
  </si>
  <si>
    <t>719_APS935XA-EPS12/FSP350-60PFG(EA)</t>
  </si>
  <si>
    <t>同W533</t>
  </si>
  <si>
    <t>719_IDE cable</t>
  </si>
  <si>
    <t>719_Assemble</t>
  </si>
  <si>
    <t>PI-20180822A</t>
  </si>
  <si>
    <t>PI-20180812A-2</t>
  </si>
  <si>
    <t>CX072230R76M</t>
  </si>
  <si>
    <t>PO64046</t>
  </si>
  <si>
    <t>PI-20180823A</t>
  </si>
  <si>
    <t>719_DM-F17A/PC-R11 (IEI)</t>
  </si>
  <si>
    <t>PO-20180823A</t>
  </si>
  <si>
    <t>兆豐                             042-09-80877-7</t>
  </si>
  <si>
    <t>HV01353676</t>
  </si>
  <si>
    <t>CU0757BH9283</t>
  </si>
  <si>
    <t>1Z1913EE0497962575</t>
  </si>
  <si>
    <t>719_63040-010060-120-RS (IEI)</t>
  </si>
  <si>
    <t>同W543</t>
  </si>
  <si>
    <t>3783-1148</t>
  </si>
  <si>
    <t>PI-20180827A</t>
  </si>
  <si>
    <t>G190ETN01.2                                           (附COC)</t>
  </si>
  <si>
    <t>charles</t>
  </si>
  <si>
    <t>JJB Link</t>
  </si>
  <si>
    <t>PO-20180827A</t>
  </si>
  <si>
    <t>上海商銀樹林分行
011-052
52102000012627</t>
  </si>
  <si>
    <t>GE36378200</t>
  </si>
  <si>
    <t>CH070F404313</t>
  </si>
  <si>
    <t>JJB183944</t>
  </si>
  <si>
    <t>PI-20180827B</t>
  </si>
  <si>
    <t>AX61400TB</t>
  </si>
  <si>
    <t>PO-20180827B</t>
  </si>
  <si>
    <t>EK53648416</t>
  </si>
  <si>
    <t>CR073767F241</t>
  </si>
  <si>
    <t>SHB120VGGA</t>
  </si>
  <si>
    <t>同W545</t>
  </si>
  <si>
    <t>FAB112</t>
  </si>
  <si>
    <t>PO/IMP/60</t>
  </si>
  <si>
    <t>PI-20180827C</t>
  </si>
  <si>
    <t>Fedex Account No.922679991</t>
  </si>
  <si>
    <t>PO-20180827C</t>
  </si>
  <si>
    <t>HJ93498513</t>
  </si>
  <si>
    <t>CF07550ZS746</t>
  </si>
  <si>
    <t>PI-20180828A</t>
  </si>
  <si>
    <t>PO-20180828A-1</t>
  </si>
  <si>
    <t>HJ93498458</t>
  </si>
  <si>
    <t>GE36673702</t>
  </si>
  <si>
    <t>9/12掛號寄出</t>
  </si>
  <si>
    <t>PI-20180830A</t>
  </si>
  <si>
    <t>719_PE-1004</t>
  </si>
  <si>
    <t>PO-20180830A</t>
  </si>
  <si>
    <t>GE38385909</t>
  </si>
  <si>
    <t>GE36673701</t>
  </si>
  <si>
    <t>業務@30</t>
  </si>
  <si>
    <t>PI-20180831A</t>
  </si>
  <si>
    <t>PO-20180831A-1</t>
  </si>
  <si>
    <t>GG49652676</t>
  </si>
  <si>
    <t>CX072230QNJ9</t>
  </si>
  <si>
    <t>719_SDR-120-24</t>
  </si>
  <si>
    <t>719_SDR-240-24</t>
  </si>
  <si>
    <t>719_HDR-30-12</t>
  </si>
  <si>
    <t>PI-20180831B</t>
  </si>
  <si>
    <r>
      <rPr>
        <sz val="10"/>
        <color theme="1"/>
        <rFont val="Arial"/>
        <family val="2"/>
      </rPr>
      <t xml:space="preserve">70111E0002 (PDK-170STE) includes </t>
    </r>
    <r>
      <rPr>
        <b/>
        <sz val="10"/>
        <color rgb="FFFF0000"/>
        <rFont val="Arial"/>
        <family val="2"/>
      </rPr>
      <t>1-6</t>
    </r>
    <r>
      <rPr>
        <sz val="10"/>
        <color rgb="FF000000"/>
        <rFont val="Arial"/>
        <family val="2"/>
      </rPr>
      <t xml:space="preserve">
1) LCD : G170ETN01.0</t>
    </r>
  </si>
  <si>
    <t>PO-20180831B-1</t>
  </si>
  <si>
    <t>GE52334316</t>
  </si>
  <si>
    <t>CG073767R286</t>
  </si>
  <si>
    <t>同W556</t>
  </si>
  <si>
    <t>HC-20180905A</t>
  </si>
  <si>
    <t xml:space="preserve">7008000401
(Backlight cable IMB-150D for G170ETN01.0) </t>
  </si>
  <si>
    <t>PI-20180831C</t>
  </si>
  <si>
    <t>PO-20180831C</t>
  </si>
  <si>
    <t>HJ93498560</t>
  </si>
  <si>
    <t>GE36673704</t>
  </si>
  <si>
    <t>9/10台銀@30.81</t>
  </si>
  <si>
    <t>APO-1800826</t>
  </si>
  <si>
    <t>PI-20180903A</t>
  </si>
  <si>
    <t xml:space="preserve">719-S1702(B) </t>
  </si>
  <si>
    <t>Alvin 自取</t>
  </si>
  <si>
    <t>PD-20180612A</t>
  </si>
  <si>
    <t>GE36673703</t>
  </si>
  <si>
    <t>9/7台銀@30.765</t>
  </si>
  <si>
    <t>9/10 隨貨</t>
  </si>
  <si>
    <t>PI-20180903B</t>
  </si>
  <si>
    <t>LPC-P156W-10
(PI-20180531B)</t>
  </si>
  <si>
    <t>Hand Carried</t>
  </si>
  <si>
    <t>May 2018</t>
  </si>
  <si>
    <t>4GB DRAM</t>
  </si>
  <si>
    <t>64GB SSD</t>
  </si>
  <si>
    <t>堃邑</t>
  </si>
  <si>
    <t>無訂單號</t>
  </si>
  <si>
    <t>Santiago代墊</t>
  </si>
  <si>
    <t>GF02256682</t>
  </si>
  <si>
    <t>CX072230QCHB</t>
  </si>
  <si>
    <t>6538166692-9/25</t>
  </si>
  <si>
    <t>PI-20180905A</t>
  </si>
  <si>
    <t>PO-20180905A</t>
  </si>
  <si>
    <t>GG49652401</t>
  </si>
  <si>
    <t>PI-20180906A
(Neousys 組裝)</t>
  </si>
  <si>
    <r>
      <rPr>
        <sz val="10"/>
        <color rgb="FF000000"/>
        <rFont val="Arial"/>
        <family val="2"/>
      </rPr>
      <t xml:space="preserve">719_Nuvo-5002LP  </t>
    </r>
    <r>
      <rPr>
        <sz val="10"/>
        <color rgb="FF000000"/>
        <rFont val="Arial"/>
        <family val="2"/>
      </rPr>
      <t xml:space="preserve"> (S/N: I3719594)</t>
    </r>
  </si>
  <si>
    <t>PO-20180906A</t>
  </si>
  <si>
    <t>GE35212107</t>
  </si>
  <si>
    <t>CX072230PEK4</t>
  </si>
  <si>
    <t>P180906NP0</t>
  </si>
  <si>
    <t>719_i3-6100TE</t>
  </si>
  <si>
    <t>PO-20180906A-1</t>
  </si>
  <si>
    <t>GG77102422</t>
  </si>
  <si>
    <t>戎克庫存
到宸耀組裝</t>
  </si>
  <si>
    <t>PO-20180514A -3</t>
  </si>
  <si>
    <t>同W571</t>
  </si>
  <si>
    <t>PI-20180906B
(3FAE灌新軟體+標籤)</t>
  </si>
  <si>
    <t>PO-20180906B</t>
  </si>
  <si>
    <t>GE52787952</t>
  </si>
  <si>
    <t>CA0752011152</t>
  </si>
  <si>
    <t>ACT-100748</t>
  </si>
  <si>
    <t>P180904NP0</t>
  </si>
  <si>
    <t>PI-20180906C</t>
  </si>
  <si>
    <t xml:space="preserve">719_Vecow PWA-120W </t>
  </si>
  <si>
    <t>PO-20180906C</t>
  </si>
  <si>
    <t>GE38385921</t>
  </si>
  <si>
    <t>P180904NP2</t>
  </si>
  <si>
    <t>PI-20180906E</t>
  </si>
  <si>
    <t>OP-080S (w/ DC 24V)                                          (S/N: C2061809001~8)</t>
  </si>
  <si>
    <t>PO-20180906E(Revised)</t>
  </si>
  <si>
    <t>GE52334330</t>
  </si>
  <si>
    <t>PI-20180906F</t>
  </si>
  <si>
    <t>719_TPC-1551T-E3AE</t>
  </si>
  <si>
    <t>PO-20180906F-1</t>
  </si>
  <si>
    <t>GG49652424</t>
  </si>
  <si>
    <t>CX072230Q275</t>
  </si>
  <si>
    <t>719_TS128GCFX600</t>
  </si>
  <si>
    <t>PO-20180906F</t>
  </si>
  <si>
    <t>HU54282595</t>
  </si>
  <si>
    <t>PI-20180907A</t>
  </si>
  <si>
    <t>PO-20180907A</t>
  </si>
  <si>
    <t>GE34915748</t>
  </si>
  <si>
    <t>CW0733614447</t>
  </si>
  <si>
    <t>TPE611325</t>
  </si>
  <si>
    <t>PO-20180907A-1</t>
  </si>
  <si>
    <t>GG77102504</t>
  </si>
  <si>
    <t>同W587</t>
  </si>
  <si>
    <t>PO/IMP/70</t>
  </si>
  <si>
    <t>PI-20180910A</t>
  </si>
  <si>
    <t>PO-20180910A</t>
  </si>
  <si>
    <t>HJ93498711</t>
  </si>
  <si>
    <t>PO-1332018</t>
  </si>
  <si>
    <t>PI-20180911A</t>
  </si>
  <si>
    <t>FedEx account no.: 780781785
(FedEx intl. Priority)</t>
  </si>
  <si>
    <t>PO-20180911A</t>
  </si>
  <si>
    <t>HU49816089</t>
  </si>
  <si>
    <t>CF075500865K</t>
  </si>
  <si>
    <t>同W592</t>
  </si>
  <si>
    <t>PI-20180911B-2</t>
  </si>
  <si>
    <t>Tooling Charge 7" LCD for AR</t>
  </si>
  <si>
    <t>CU0757B0H800</t>
  </si>
  <si>
    <t>1Z1913EE0497499620</t>
  </si>
  <si>
    <t>Tooling Charge 15" LCD for AR</t>
  </si>
  <si>
    <t>澧睿科技
RockTouch</t>
  </si>
  <si>
    <t>PO-20180911B-1</t>
  </si>
  <si>
    <t>志賸企業有限公司
上海銀行前鼎分行
3010-20000-77801</t>
  </si>
  <si>
    <t>GE43326612</t>
  </si>
  <si>
    <r>
      <rPr>
        <sz val="10"/>
        <color theme="1"/>
        <rFont val="Arial"/>
        <family val="2"/>
      </rPr>
      <t>PDK-P070WOBAR-HC, including</t>
    </r>
    <r>
      <rPr>
        <sz val="10"/>
        <color rgb="FFFF0000"/>
        <rFont val="Arial"/>
        <family val="2"/>
      </rPr>
      <t xml:space="preserve"> 3 items</t>
    </r>
    <r>
      <rPr>
        <sz val="10"/>
        <color rgb="FF000000"/>
        <rFont val="Arial"/>
        <family val="2"/>
      </rPr>
      <t xml:space="preserve">
1) RTPC070W-X30010-U</t>
    </r>
  </si>
  <si>
    <t>JB43626955</t>
  </si>
  <si>
    <t>PO-20180911B-2</t>
  </si>
  <si>
    <t>JB54066461</t>
  </si>
  <si>
    <t>3) 7" Mitsubishi LCD from Hectronic</t>
  </si>
  <si>
    <r>
      <rPr>
        <sz val="10"/>
        <color theme="1"/>
        <rFont val="Arial"/>
        <family val="2"/>
      </rPr>
      <t xml:space="preserve">PDK-P150SOBAR-HC, including </t>
    </r>
    <r>
      <rPr>
        <sz val="10"/>
        <color rgb="FFFF0000"/>
        <rFont val="Arial"/>
        <family val="2"/>
      </rPr>
      <t>3 items</t>
    </r>
    <r>
      <rPr>
        <sz val="10"/>
        <color rgb="FF000000"/>
        <rFont val="Arial"/>
        <family val="2"/>
      </rPr>
      <t xml:space="preserve">
1) RTPC150-H30005-U</t>
    </r>
  </si>
  <si>
    <t>同W599</t>
  </si>
  <si>
    <t>同V600</t>
  </si>
  <si>
    <t>RTPC150-H30005-U (AR coating)</t>
  </si>
  <si>
    <t>ADBOXSU6P-2</t>
  </si>
  <si>
    <t>USB1830MEB</t>
  </si>
  <si>
    <t>PI-20180911B</t>
  </si>
  <si>
    <t>RTPC150-H30BP1-U</t>
  </si>
  <si>
    <t>UPS: WF1740
Express Saver</t>
  </si>
  <si>
    <t>同W596</t>
  </si>
  <si>
    <t>1Z1913EE0495912408</t>
  </si>
  <si>
    <t>PI-20180912A</t>
  </si>
  <si>
    <t>PO-20180912A</t>
  </si>
  <si>
    <t>玉山銀行連城分行0808940013207</t>
  </si>
  <si>
    <t>GE34915854</t>
  </si>
  <si>
    <t>同W609</t>
  </si>
  <si>
    <t>PI-20180912B</t>
  </si>
  <si>
    <t xml:space="preserve">7008000420
02-BE0-BKLC15D-TP1A
(Backlight cable IMB-150D for G190EG01V1) </t>
  </si>
  <si>
    <t>CG073768B839</t>
  </si>
  <si>
    <t>7009000008
02-BE0-LVDS15D-TP1A
(LVDS cable IMB-150D for G190EG01V1)</t>
  </si>
  <si>
    <t>70111E0003 (PDK-190S) includes 1-6
1) LCD : G190EG01V1</t>
  </si>
  <si>
    <t>PO-20180912B</t>
  </si>
  <si>
    <t>GE52334351</t>
  </si>
  <si>
    <t>6) USB cable from USB controller to board
02-BE0-USBT15D-TP1A</t>
  </si>
  <si>
    <t>P180927NP0</t>
  </si>
  <si>
    <t>PI-20180913A</t>
  </si>
  <si>
    <t>719_POC-210            (S/N:I3905582,I3909668,I3911659,I3919736,I3919470,I3919791)</t>
  </si>
  <si>
    <t>PO-20180913A</t>
  </si>
  <si>
    <t>GE35212123</t>
  </si>
  <si>
    <t>PO-20180913A-1</t>
  </si>
  <si>
    <t>HU54283165</t>
  </si>
  <si>
    <t>同W619</t>
  </si>
  <si>
    <t>PI-20180914A</t>
  </si>
  <si>
    <t xml:space="preserve">931890 - C1250293
Intel® Core™ i3­4360 Processor (4M Cache, 3.70 GHz) </t>
  </si>
  <si>
    <t>PO-20180914A-1</t>
  </si>
  <si>
    <t>GG77103031</t>
  </si>
  <si>
    <t>CX072230RQ48</t>
  </si>
  <si>
    <t>719_96PSA-A150W24T2</t>
  </si>
  <si>
    <t>PO-20180914A</t>
  </si>
  <si>
    <t>GG49655342</t>
  </si>
  <si>
    <t>CX072230QZSH</t>
  </si>
  <si>
    <t>719_TPC-1782H-433AE</t>
  </si>
  <si>
    <t>GG49652423</t>
  </si>
  <si>
    <t>066181-1</t>
  </si>
  <si>
    <t>PI-20180914B</t>
  </si>
  <si>
    <t>PO-20180914B-1</t>
  </si>
  <si>
    <t>GG77102989</t>
  </si>
  <si>
    <t>CG073768F498</t>
  </si>
  <si>
    <t>PO-20180914B-2</t>
  </si>
  <si>
    <t>GE32106455</t>
  </si>
  <si>
    <t>PO-20180914B-3</t>
  </si>
  <si>
    <t>GE52334368</t>
  </si>
  <si>
    <t>ETP-MB-MER4050UEBG</t>
  </si>
  <si>
    <t>同V626</t>
  </si>
  <si>
    <t>P180816NP0</t>
  </si>
  <si>
    <t>PI-20180917A</t>
  </si>
  <si>
    <t>LPC-P121S-10VY
(S/N:MO20180917A0001~4)</t>
  </si>
  <si>
    <t>DHL account: 
Elgens A/C</t>
  </si>
  <si>
    <t>MO-20180917A</t>
  </si>
  <si>
    <t>CX072230UJLV</t>
  </si>
  <si>
    <t>見備料計畫</t>
  </si>
  <si>
    <t>HC-20180927A</t>
  </si>
  <si>
    <t>PI-20180917A-F</t>
  </si>
  <si>
    <t>KS12942449</t>
  </si>
  <si>
    <t>PI-20180917A-1</t>
  </si>
  <si>
    <r>
      <rPr>
        <sz val="10"/>
        <color theme="1"/>
        <rFont val="Arial"/>
        <family val="2"/>
      </rPr>
      <t xml:space="preserve">LPC-P121S-10VY
</t>
    </r>
    <r>
      <rPr>
        <sz val="10"/>
        <color rgb="FFFF0000"/>
        <rFont val="Arial"/>
        <family val="2"/>
      </rPr>
      <t>(S/N:MO20180917A0005)</t>
    </r>
  </si>
  <si>
    <t>CX072230V2LL</t>
  </si>
  <si>
    <t>PI-20180917A-1-F</t>
  </si>
  <si>
    <t>KS12948429</t>
  </si>
  <si>
    <t>PO015126</t>
  </si>
  <si>
    <t>PI-20180918A</t>
  </si>
  <si>
    <t>Great China/
魯嶧</t>
  </si>
  <si>
    <t>PO-20180918A</t>
  </si>
  <si>
    <t>KR47861866</t>
  </si>
  <si>
    <t>CH0746002739</t>
  </si>
  <si>
    <t>GCT-1030988A
改DHL-1624343501</t>
  </si>
  <si>
    <t>PI-20180918A-1</t>
  </si>
  <si>
    <t>HU47862836</t>
  </si>
  <si>
    <t>CX072230VBQU</t>
  </si>
  <si>
    <t>PI-20180918B</t>
  </si>
  <si>
    <t>999.999.00080
8816K5601A0E
eBOX560-­880 DIN RAIL MOUNT KIT</t>
  </si>
  <si>
    <t>PO-20180918B</t>
  </si>
  <si>
    <t>GG53648128</t>
  </si>
  <si>
    <t>CX072230QCJL</t>
  </si>
  <si>
    <t>同V637</t>
  </si>
  <si>
    <t>PI-20180918C</t>
  </si>
  <si>
    <t>RCS-9422R-YH 
(YH=誼龢科技. 規格不變)</t>
  </si>
  <si>
    <t>PO-20180918C</t>
  </si>
  <si>
    <t>GE56519963</t>
  </si>
  <si>
    <t>JB36896653</t>
  </si>
  <si>
    <t>隨貨</t>
  </si>
  <si>
    <t>PI-20180918C
(交由Vecow 組裝)</t>
  </si>
  <si>
    <t>Intel® Core™ i5-6500</t>
  </si>
  <si>
    <t>PO-20180918C-1</t>
  </si>
  <si>
    <t>GG77103256</t>
  </si>
  <si>
    <t>同AA650</t>
  </si>
  <si>
    <t>D4S4GHIOFEC</t>
  </si>
  <si>
    <t>PO-20180918C-2</t>
  </si>
  <si>
    <t>聯邦銀行-田心分行(803-0803)
080-10-0008388</t>
  </si>
  <si>
    <t>GE37193621</t>
  </si>
  <si>
    <t>WD5000LUCT</t>
  </si>
  <si>
    <t>聯沃科技到超恩組裝</t>
  </si>
  <si>
    <t>PO-20180918C-4</t>
  </si>
  <si>
    <t>彰化商業:009
帳號:30030188889700</t>
  </si>
  <si>
    <t>GE53542332</t>
  </si>
  <si>
    <t>TS8XDVDS-K</t>
  </si>
  <si>
    <t>chloe信用卡代墊</t>
  </si>
  <si>
    <t>HE-24032372</t>
  </si>
  <si>
    <t>PWA-160W-WT</t>
  </si>
  <si>
    <t>同V643</t>
  </si>
  <si>
    <r>
      <rPr>
        <sz val="10"/>
        <color rgb="FF000000"/>
        <rFont val="Arial"/>
        <family val="2"/>
      </rPr>
      <t xml:space="preserve">PI-20180918C
</t>
    </r>
    <r>
      <rPr>
        <sz val="10"/>
        <color rgb="FFFF0000"/>
        <rFont val="Arial"/>
        <family val="2"/>
      </rPr>
      <t>(Miller/Kenny安裝)</t>
    </r>
  </si>
  <si>
    <t>42C-00039
Windows 7 Pro for Embedded Systems</t>
  </si>
  <si>
    <t>PO-20180918C-3</t>
  </si>
  <si>
    <t>GE34915924</t>
  </si>
  <si>
    <t>PO-1352018</t>
  </si>
  <si>
    <t>PI-20180919A</t>
  </si>
  <si>
    <t>PO-20180919A</t>
  </si>
  <si>
    <t>HU49816224</t>
  </si>
  <si>
    <t>CH07C0803022</t>
  </si>
  <si>
    <t>PGS-112862</t>
  </si>
  <si>
    <t>同V647</t>
  </si>
  <si>
    <t>PI-20180920A
(Vecow組裝)</t>
  </si>
  <si>
    <t>PI-20180921A</t>
  </si>
  <si>
    <t>PO-20180921A</t>
  </si>
  <si>
    <t>GG49652675</t>
  </si>
  <si>
    <t>PI-20180921B
(Miller/Kenny組裝)</t>
  </si>
  <si>
    <t>MB990VF</t>
  </si>
  <si>
    <t>PO-20180921B-7</t>
  </si>
  <si>
    <t>HS60778574</t>
  </si>
  <si>
    <t>JB36896654</t>
  </si>
  <si>
    <t>Intel® Core™ i7-6700TE</t>
  </si>
  <si>
    <t>PO-20180921B-4</t>
  </si>
  <si>
    <t>GG77103280</t>
  </si>
  <si>
    <t>同AA664</t>
  </si>
  <si>
    <t>D4U-8G21H1G8C1
Long DIM DDR4 8GB 2133MHz RAM</t>
  </si>
  <si>
    <t>PO-20180921B-3</t>
  </si>
  <si>
    <t>GE37193634</t>
  </si>
  <si>
    <t>WD10EFRX</t>
  </si>
  <si>
    <t>聯沃科技</t>
  </si>
  <si>
    <t>PO-20180921B-5</t>
  </si>
  <si>
    <t>GE53542331</t>
  </si>
  <si>
    <t>WD40EFRX</t>
  </si>
  <si>
    <t>同V658</t>
  </si>
  <si>
    <t>SOD04</t>
  </si>
  <si>
    <t>迺航科技交開偉做機構合樣</t>
  </si>
  <si>
    <t>彰化銀行(泰山分行)
54700100174600</t>
  </si>
  <si>
    <t>JB30353862</t>
  </si>
  <si>
    <t>SS-1U52ES</t>
  </si>
  <si>
    <t>添誠資訊交開偉做機構合樣</t>
  </si>
  <si>
    <t>PO-20180921B-6</t>
  </si>
  <si>
    <t xml:space="preserve">台灣中小企銀化成分行
(0500278)02712005532 </t>
  </si>
  <si>
    <t>GE04464398</t>
  </si>
  <si>
    <t>Power Cord(美規)</t>
  </si>
  <si>
    <t>倉庫</t>
  </si>
  <si>
    <r>
      <rPr>
        <sz val="10"/>
        <color rgb="FF000000"/>
        <rFont val="Arial"/>
        <family val="2"/>
      </rPr>
      <t xml:space="preserve">PI-20180921B
</t>
    </r>
    <r>
      <rPr>
        <sz val="10"/>
        <color rgb="FFFF0000"/>
        <rFont val="Arial"/>
        <family val="2"/>
      </rPr>
      <t>(Miller/Kenny組裝)</t>
    </r>
  </si>
  <si>
    <t>PO-20180921B-2</t>
  </si>
  <si>
    <t>同X649</t>
  </si>
  <si>
    <t>C552 chassis</t>
  </si>
  <si>
    <t>開偉科技</t>
  </si>
  <si>
    <t>PO-20180921B-1</t>
  </si>
  <si>
    <t>華南銀行南內湖分行008
1431-0000-2991</t>
  </si>
  <si>
    <t>JB49572674</t>
  </si>
  <si>
    <t>組裝/測試費</t>
  </si>
  <si>
    <t>PI-20180924A</t>
  </si>
  <si>
    <t>719_PS8-500ATX-ZE</t>
  </si>
  <si>
    <t>PO-20180924A</t>
  </si>
  <si>
    <t>GG49652883</t>
  </si>
  <si>
    <t>CW0748604259</t>
  </si>
  <si>
    <t>TPEA18062341</t>
  </si>
  <si>
    <t>PI-20180924B</t>
  </si>
  <si>
    <t>PO-20180924B</t>
  </si>
  <si>
    <t>GG49652884</t>
  </si>
  <si>
    <t>同W650</t>
  </si>
  <si>
    <t>PI-20180924C</t>
  </si>
  <si>
    <t>PO-20180924C</t>
  </si>
  <si>
    <t>HV01353708</t>
  </si>
  <si>
    <t>CG073768F275</t>
  </si>
  <si>
    <t>70080Z0005
RFA-EU-C55-U-B70
(4G antenna)
Antenna 4G Aristotle</t>
  </si>
  <si>
    <t>ARISTOTLE
亞驪</t>
  </si>
  <si>
    <t>HC-20180926A</t>
  </si>
  <si>
    <t>330-18090720</t>
  </si>
  <si>
    <t>PI-20180924D</t>
  </si>
  <si>
    <t>PO-20180924D</t>
  </si>
  <si>
    <t>HU49816385</t>
  </si>
  <si>
    <t>GE36673753</t>
  </si>
  <si>
    <t>10/22台銀@30.915</t>
  </si>
  <si>
    <t>11/1親送</t>
  </si>
  <si>
    <t>P180925NP1</t>
  </si>
  <si>
    <t>PI-20180926A</t>
  </si>
  <si>
    <t>719_ECS-8000-2R850Q
 (XV2-VECS8000-2R850Q-M8G)
(S/N: S18A840038~42)</t>
  </si>
  <si>
    <t>PO-20180926A</t>
  </si>
  <si>
    <t>JB38594652</t>
  </si>
  <si>
    <t>CX072230U2LL</t>
  </si>
  <si>
    <t>PI-20180926A-F</t>
  </si>
  <si>
    <t>KS12934699</t>
  </si>
  <si>
    <t>20180926-ELG01</t>
  </si>
  <si>
    <t>PI-20180927A</t>
  </si>
  <si>
    <t>LPC-P156W25SG
(S/N:MO20180927A0001~0002)</t>
  </si>
  <si>
    <t>MO-20180927A
PD-20181001C</t>
  </si>
  <si>
    <t>CX072230U2AQ</t>
  </si>
  <si>
    <t>P180908NP0</t>
  </si>
  <si>
    <t>PI-20180928A</t>
  </si>
  <si>
    <t>719_POC-212
(S/N: I4218279~80, I4218289, I4219417, I4220706, I4220734~35, I4220740</t>
  </si>
  <si>
    <t>PO-20180913A-2</t>
  </si>
  <si>
    <t>GE35212137</t>
  </si>
  <si>
    <t>CX072230RSC6</t>
  </si>
  <si>
    <t>PO-20180928A-1</t>
  </si>
  <si>
    <t>HU54290151</t>
  </si>
  <si>
    <t>同W659</t>
  </si>
  <si>
    <t>PI-20180928A-F</t>
  </si>
  <si>
    <t>Freight for PI-20180928A</t>
  </si>
  <si>
    <t>HV13045348</t>
  </si>
  <si>
    <t>PI-20181001A</t>
  </si>
  <si>
    <t>PO-20181001A</t>
  </si>
  <si>
    <t>GE38385942</t>
  </si>
  <si>
    <t>GE36673750</t>
  </si>
  <si>
    <t>10/11掛號寄出</t>
  </si>
  <si>
    <t>PI-20181002A
(FAE測試)</t>
  </si>
  <si>
    <t>LPC-P185W-10KH (BAREBONE) w/ EU power cord
(S/N:PD-20181002A0001~0010)</t>
  </si>
  <si>
    <t>PD-20181002A</t>
  </si>
  <si>
    <t>CW0748605089</t>
  </si>
  <si>
    <t>TPEA18064099</t>
  </si>
  <si>
    <t>PI-20181002A
(FAE組裝)</t>
  </si>
  <si>
    <t>PI-20181008A</t>
  </si>
  <si>
    <t>斯麥特到閎亮貼合</t>
  </si>
  <si>
    <t>PO-20181008A-1</t>
  </si>
  <si>
    <t>GE36378258</t>
  </si>
  <si>
    <t>CH0752015563</t>
  </si>
  <si>
    <t>UX-233785E</t>
  </si>
  <si>
    <t>PO-20181008A-2</t>
  </si>
  <si>
    <t>同V627</t>
  </si>
  <si>
    <t>PI-20181008B</t>
  </si>
  <si>
    <t xml:space="preserve">
Advantech
研華</t>
  </si>
  <si>
    <t>PO-20181008B</t>
  </si>
  <si>
    <t>GG49655593</t>
  </si>
  <si>
    <t>CX072230SDTG</t>
  </si>
  <si>
    <t>PI-20181008C</t>
  </si>
  <si>
    <t>同W673</t>
  </si>
  <si>
    <t>P181008NP0</t>
  </si>
  <si>
    <t>719_ECS-8000-2R850Q
 (XV2-VECS8000-2R850Q-M8G)
(S/N:S18A840043~47)</t>
  </si>
  <si>
    <t>PO-20181008C</t>
  </si>
  <si>
    <t>JB38594651</t>
  </si>
  <si>
    <t>PI-20181008C-1</t>
  </si>
  <si>
    <r>
      <rPr>
        <sz val="10"/>
        <color rgb="FF000000"/>
        <rFont val="Arial, sans-serif"/>
      </rPr>
      <t xml:space="preserve">719_ECS-8000-2R850Q
 (XV2-VECS8000-2R850Q-M8G)
</t>
    </r>
    <r>
      <rPr>
        <sz val="10"/>
        <color rgb="FFB45F06"/>
        <rFont val="Arial, sans-serif"/>
      </rPr>
      <t>(S/N:S18A840048~54)</t>
    </r>
  </si>
  <si>
    <t>JB38594664</t>
  </si>
  <si>
    <t>Evaluation PI-20181008D
(FAE測試)</t>
  </si>
  <si>
    <t>719_MS-98E6-001 (N4200)</t>
  </si>
  <si>
    <t>MSI</t>
  </si>
  <si>
    <t>PO-20181008B-1</t>
  </si>
  <si>
    <t>中國信託  (8220417)
417-11-80929-0-4</t>
  </si>
  <si>
    <t>KR304020479</t>
  </si>
  <si>
    <t>PO-1422018</t>
  </si>
  <si>
    <t>PI-20181008E</t>
  </si>
  <si>
    <t>PO-20181008E</t>
  </si>
  <si>
    <t>KF93498692</t>
  </si>
  <si>
    <t>CH070N800100</t>
  </si>
  <si>
    <t>PGS-113004</t>
  </si>
  <si>
    <t>PI-20181010A</t>
  </si>
  <si>
    <t>PO-20181010A</t>
  </si>
  <si>
    <t>GG49656194</t>
  </si>
  <si>
    <t>CX072230U3MV</t>
  </si>
  <si>
    <t>PO-153</t>
  </si>
  <si>
    <t>PI-20181011A</t>
  </si>
  <si>
    <t>719_Nport-5150</t>
  </si>
  <si>
    <t>DHL Express 
(India) Pvt. Ltd.
 (A/C. No.950245025)</t>
  </si>
  <si>
    <t>PO-20181011A</t>
  </si>
  <si>
    <t>HU49816384</t>
  </si>
  <si>
    <t>11/15出口:CX072230V46M
12/21 進口:CX07223F303N
12/24 出口:CX072230YSVS</t>
  </si>
  <si>
    <t>11/15 寄件:6070896134
12/21 寄件錯誤返回提單號碼: 4703550740
12/24 寄件: 2987008426</t>
  </si>
  <si>
    <t>719_Nport-5110</t>
  </si>
  <si>
    <t>同V697</t>
  </si>
  <si>
    <t>20181011-AA</t>
  </si>
  <si>
    <r>
      <rPr>
        <sz val="10"/>
        <color rgb="FF000000"/>
        <rFont val="Arial"/>
        <family val="2"/>
      </rPr>
      <t>PI-20181012A</t>
    </r>
    <r>
      <rPr>
        <sz val="10"/>
        <color rgb="FF000000"/>
        <rFont val="Arial"/>
        <family val="2"/>
      </rPr>
      <t xml:space="preserve">
(Cindy更換標籤)</t>
    </r>
  </si>
  <si>
    <t>PO-20181012A</t>
  </si>
  <si>
    <t>GE36629665</t>
  </si>
  <si>
    <t>GE36673751</t>
  </si>
  <si>
    <t>台銀10/22@30.915</t>
  </si>
  <si>
    <t>PO-1372018</t>
  </si>
  <si>
    <t>PI-20181012C</t>
  </si>
  <si>
    <t>719_V2406A-C2-T</t>
  </si>
  <si>
    <t>PO-20181012C</t>
  </si>
  <si>
    <t>KF93498764</t>
  </si>
  <si>
    <t>PO-1432018</t>
  </si>
  <si>
    <t>PI-20181012D-1</t>
  </si>
  <si>
    <t>PO-20181012D-1</t>
  </si>
  <si>
    <t>KF93498763</t>
  </si>
  <si>
    <t>同V715</t>
  </si>
  <si>
    <t>PI-20181012D-2</t>
  </si>
  <si>
    <t>PO-20181012D-2</t>
  </si>
  <si>
    <t>KF93498691</t>
  </si>
  <si>
    <t>CH070N800124</t>
  </si>
  <si>
    <t>PGS-113088</t>
  </si>
  <si>
    <t>PI-20181015A</t>
  </si>
  <si>
    <t>PO-20181018A</t>
  </si>
  <si>
    <t>JB35096927
JB35097016(更換)</t>
  </si>
  <si>
    <t>CW0733616404</t>
  </si>
  <si>
    <t>TPE-614486</t>
  </si>
  <si>
    <t>同V718</t>
  </si>
  <si>
    <t>PO-20181018A-1</t>
  </si>
  <si>
    <t>GG77103264</t>
  </si>
  <si>
    <t>PI-20181015B</t>
  </si>
  <si>
    <t>PO-20181015B</t>
  </si>
  <si>
    <t>HV01353731</t>
  </si>
  <si>
    <t>7008000172
SD-100B-12</t>
  </si>
  <si>
    <t>PO-20181015B-1</t>
  </si>
  <si>
    <t>GG69822428</t>
  </si>
  <si>
    <t>P181012NP0</t>
  </si>
  <si>
    <t>PI-20181015C</t>
  </si>
  <si>
    <r>
      <rPr>
        <sz val="10"/>
        <color rgb="FF000000"/>
        <rFont val="Arial"/>
        <family val="2"/>
      </rPr>
      <t xml:space="preserve">719_Nuvo-5002LP
</t>
    </r>
    <r>
      <rPr>
        <sz val="10"/>
        <color rgb="FF000000"/>
        <rFont val="Arial"/>
        <family val="2"/>
      </rPr>
      <t>(S/N:I4419634)</t>
    </r>
  </si>
  <si>
    <t>PO-20181015C</t>
  </si>
  <si>
    <t>GE35212149</t>
  </si>
  <si>
    <t>同V717</t>
  </si>
  <si>
    <t>719_Nuvo-5006LP
(S/N:I4420295)</t>
  </si>
  <si>
    <t>719_i5-6500TE Processor</t>
  </si>
  <si>
    <t>PO-20181015C-1</t>
  </si>
  <si>
    <t>GG77103206</t>
  </si>
  <si>
    <t>PO-20181015C-2</t>
  </si>
  <si>
    <t>GE37193606</t>
  </si>
  <si>
    <t>RMA-20180910A</t>
  </si>
  <si>
    <t>IB970RF (序號1505012204)
(inspection fee US$40)</t>
  </si>
  <si>
    <t>iBase廣積</t>
  </si>
  <si>
    <t>無發票</t>
  </si>
  <si>
    <t>CG073768V690</t>
  </si>
  <si>
    <t>20181018-AA</t>
  </si>
  <si>
    <t>PI-20181021A</t>
  </si>
  <si>
    <t>PO-20181021A</t>
  </si>
  <si>
    <t>KF93498453</t>
  </si>
  <si>
    <t>JB36896650</t>
  </si>
  <si>
    <t>11/2台銀@30.72</t>
  </si>
  <si>
    <t>11/9掛號寄出</t>
  </si>
  <si>
    <t>719_OPT8-M9+</t>
  </si>
  <si>
    <t>同W728</t>
  </si>
  <si>
    <t>同AA736</t>
  </si>
  <si>
    <t>PI-20181022A</t>
  </si>
  <si>
    <t>PO-20181022A</t>
  </si>
  <si>
    <t>JD49652212</t>
  </si>
  <si>
    <t>CX072230UTJ4</t>
  </si>
  <si>
    <t>719_ADAM-6017-D</t>
  </si>
  <si>
    <t>同W730</t>
  </si>
  <si>
    <t>PI-20181022B</t>
  </si>
  <si>
    <t>70122M0001 
touch screen for PDK-170STE (電阻式 miracletouch) with tape</t>
  </si>
  <si>
    <t>PO-20181022B</t>
  </si>
  <si>
    <t>GE52334380</t>
  </si>
  <si>
    <t>PI-20181022D</t>
  </si>
  <si>
    <t>PO-20181022D</t>
  </si>
  <si>
    <t>KF93498452</t>
  </si>
  <si>
    <t>CB18-450</t>
  </si>
  <si>
    <t>PI-20181023A</t>
  </si>
  <si>
    <t>GST25E18-P1J</t>
  </si>
  <si>
    <t>PO-20181023A</t>
  </si>
  <si>
    <t>LA52101711</t>
  </si>
  <si>
    <t>CG073769Z879</t>
  </si>
  <si>
    <t>330-18100937</t>
  </si>
  <si>
    <t>PI-20181023B</t>
  </si>
  <si>
    <t>PO-20181023B</t>
  </si>
  <si>
    <t>KF93498738</t>
  </si>
  <si>
    <t>JB36896652</t>
  </si>
  <si>
    <t>11/19央行收盤匯率@30.906</t>
  </si>
  <si>
    <t>11/20 Cindy親送</t>
  </si>
  <si>
    <t>PI-20181025A</t>
  </si>
  <si>
    <t>PO-20181025A</t>
  </si>
  <si>
    <t>JD49652095</t>
  </si>
  <si>
    <t>同W741</t>
  </si>
  <si>
    <t>PI-20181026A</t>
  </si>
  <si>
    <t>備料計畫</t>
  </si>
  <si>
    <t>HC-20181108A</t>
  </si>
  <si>
    <t>不需報關</t>
  </si>
  <si>
    <t>PI-20181026C</t>
  </si>
  <si>
    <t>HC-20180803B</t>
  </si>
  <si>
    <t>P181029NP0</t>
  </si>
  <si>
    <t>PI-20181026D</t>
  </si>
  <si>
    <r>
      <rPr>
        <sz val="10"/>
        <color rgb="FF000000"/>
        <rFont val="Arial, sans-serif"/>
      </rPr>
      <t xml:space="preserve">719_ECS-8000-2R850Q
 (XV2-VECS8000-2R850Q-M8G)
</t>
    </r>
    <r>
      <rPr>
        <sz val="10"/>
        <color rgb="FFB45F06"/>
        <rFont val="Arial, sans-serif"/>
      </rPr>
      <t>(S/N:S18A840055~60)</t>
    </r>
  </si>
  <si>
    <t>PO-20181026D</t>
  </si>
  <si>
    <t>JB38594665</t>
  </si>
  <si>
    <t>PO-20181026D-1</t>
  </si>
  <si>
    <t>聯邦銀行-田心分行(803-0803)
帳號: 080-10-0008388</t>
  </si>
  <si>
    <t>JB37420806</t>
  </si>
  <si>
    <t>P181026NP0</t>
  </si>
  <si>
    <t>PI-20181026E</t>
  </si>
  <si>
    <r>
      <rPr>
        <sz val="10"/>
        <color rgb="FF000000"/>
        <rFont val="arial,sans,sans-serif"/>
      </rPr>
      <t xml:space="preserve">719_ECX-1000-2R
</t>
    </r>
    <r>
      <rPr>
        <sz val="10"/>
        <color rgb="FFB45F06"/>
        <rFont val="arial,sans,sans-serif"/>
      </rPr>
      <t>(S/N:K18G110007)</t>
    </r>
  </si>
  <si>
    <t>PO-20181026E</t>
  </si>
  <si>
    <t>JB38594666</t>
  </si>
  <si>
    <t>intel i7-8700 ( vecow )</t>
  </si>
  <si>
    <t>MemxPro敏博交超恩組裝</t>
  </si>
  <si>
    <t>PO-20181026E-1</t>
  </si>
  <si>
    <t>PI-20181026F</t>
  </si>
  <si>
    <r>
      <rPr>
        <sz val="10"/>
        <color theme="1"/>
        <rFont val="Arial"/>
        <family val="2"/>
      </rPr>
      <t xml:space="preserve">LPC-P185W-10KH (BAREBONE) w/ EU power cord
</t>
    </r>
    <r>
      <rPr>
        <sz val="10"/>
        <color rgb="FFFF0000"/>
        <rFont val="Arial"/>
        <family val="2"/>
      </rPr>
      <t>(S/N:MO-20181026F0001~0005)</t>
    </r>
  </si>
  <si>
    <t>MO-20181026F</t>
  </si>
  <si>
    <t>CX072230YEGR</t>
  </si>
  <si>
    <t>P181029VA0</t>
  </si>
  <si>
    <t>PI-20181029A</t>
  </si>
  <si>
    <r>
      <rPr>
        <sz val="10"/>
        <color rgb="FF000000"/>
        <rFont val="Arial"/>
        <family val="2"/>
      </rPr>
      <t xml:space="preserve">LPC-P121S-10VY
</t>
    </r>
    <r>
      <rPr>
        <sz val="10"/>
        <color rgb="FF000000"/>
        <rFont val="Arial"/>
        <family val="2"/>
      </rPr>
      <t>(S/N:MO20181029A0001)</t>
    </r>
  </si>
  <si>
    <t>MO-20181029A</t>
  </si>
  <si>
    <t>CX072230XEDA</t>
  </si>
  <si>
    <t>PI-20181029A-F</t>
  </si>
  <si>
    <t>KS13037411</t>
  </si>
  <si>
    <t>P181029NP1</t>
  </si>
  <si>
    <t>PI-20181030A
(請小葛加IQC標籤貼紙 )</t>
  </si>
  <si>
    <t>719_POC-212
(S/N:I4621390~95)</t>
  </si>
  <si>
    <t>PO-20181030A</t>
  </si>
  <si>
    <t>JB35113068</t>
  </si>
  <si>
    <t xml:space="preserve"> CX072230VJC8</t>
  </si>
  <si>
    <t>PI-20181030A</t>
  </si>
  <si>
    <t>719_DDS4GHIMBEI
 (4GB DDR3L DRAM Wide Temp)</t>
  </si>
  <si>
    <t>PO-20181030A-1</t>
  </si>
  <si>
    <t>JB37420821</t>
  </si>
  <si>
    <t>同W773</t>
  </si>
  <si>
    <t>PI-20181030A-F</t>
  </si>
  <si>
    <t>KS13016882</t>
  </si>
  <si>
    <t>P181031NP0</t>
  </si>
  <si>
    <t>PI-20181031A</t>
  </si>
  <si>
    <r>
      <rPr>
        <sz val="10"/>
        <color rgb="FF000000"/>
        <rFont val="Arial, sans-serif"/>
      </rPr>
      <t xml:space="preserve">LPC-P121S-10VY
</t>
    </r>
    <r>
      <rPr>
        <sz val="10"/>
        <color rgb="FFFF0000"/>
        <rFont val="Arial, sans-serif"/>
      </rPr>
      <t>(S/N:MO20181031A0001~0010)</t>
    </r>
  </si>
  <si>
    <t>MO-20181031A</t>
  </si>
  <si>
    <t>719 DDS4GHIMBEI
 (4GB DDR3L DRAM Wide Temp)</t>
  </si>
  <si>
    <t>MI3EM5125602EN 
 (256GB SSD -25 ~+85 ℃)</t>
  </si>
  <si>
    <t>P181128NP0</t>
  </si>
  <si>
    <t>PI-20181031A-1</t>
  </si>
  <si>
    <r>
      <rPr>
        <sz val="10"/>
        <color rgb="FF000000"/>
        <rFont val="Arial, sans-serif"/>
      </rPr>
      <t xml:space="preserve">LPC-P121S-10VYRG
</t>
    </r>
    <r>
      <rPr>
        <sz val="10"/>
        <color rgb="FFFF0000"/>
        <rFont val="Arial, sans-serif"/>
      </rPr>
      <t>(S/N:PD20181205A001~002)</t>
    </r>
  </si>
  <si>
    <t>見產品開發</t>
  </si>
  <si>
    <t>PD-20181205A</t>
  </si>
  <si>
    <t>CX072230Z3BN</t>
  </si>
  <si>
    <t>PI-20181031A-1-F</t>
  </si>
  <si>
    <t>KS13053303</t>
  </si>
  <si>
    <t>PO-181031</t>
  </si>
  <si>
    <t>PI-20181101A</t>
  </si>
  <si>
    <t>PO-20181101A
(20181100253438)</t>
  </si>
  <si>
    <t>KF93498535</t>
  </si>
  <si>
    <t>JB36896651</t>
  </si>
  <si>
    <t>11/8台銀@30.695</t>
  </si>
  <si>
    <t>11/14掛號寄出</t>
  </si>
  <si>
    <t>同W784</t>
  </si>
  <si>
    <t>同AB784</t>
  </si>
  <si>
    <t>11/16掛號寄出</t>
  </si>
  <si>
    <t>3848-CR5112</t>
  </si>
  <si>
    <t>PI-20181101B</t>
  </si>
  <si>
    <t>CP-118U-I (With COC)</t>
  </si>
  <si>
    <t>UPS A/c No :
 1A24W6</t>
  </si>
  <si>
    <t>PO-20181101B(Revise)</t>
  </si>
  <si>
    <t>KF93498639</t>
  </si>
  <si>
    <t>CU0757B0F052</t>
  </si>
  <si>
    <t>1Z1913EE
6796354615</t>
  </si>
  <si>
    <r>
      <rPr>
        <sz val="10"/>
        <color rgb="FF000000"/>
        <rFont val="Arial"/>
        <family val="2"/>
      </rPr>
      <t>CBL-M78M9x8-100(OPT8D)</t>
    </r>
    <r>
      <rPr>
        <sz val="10"/>
        <color rgb="FF000000"/>
        <rFont val="Arial"/>
        <family val="2"/>
      </rPr>
      <t>(With COC)</t>
    </r>
  </si>
  <si>
    <t>UPS A/c No : 
1A24W6</t>
  </si>
  <si>
    <t>同V786</t>
  </si>
  <si>
    <t>P181102NP0</t>
  </si>
  <si>
    <t>PI-20181102A
(IQC+DRAM標籤)</t>
  </si>
  <si>
    <t>719_ECX-1000-2R
(S/N:K18G110009)</t>
  </si>
  <si>
    <t>PO-20181102A</t>
  </si>
  <si>
    <t>JB38594677</t>
  </si>
  <si>
    <t>PI-20181102A</t>
  </si>
  <si>
    <t>intel i7-8700T ( Vecow )</t>
  </si>
  <si>
    <t>同V795</t>
  </si>
  <si>
    <t>樣品借轉銷
L180226001
PO-20181102A-1</t>
  </si>
  <si>
    <t>KY37070271</t>
  </si>
  <si>
    <t>PI-20181106A</t>
  </si>
  <si>
    <t>719_G185XW01 V201</t>
  </si>
  <si>
    <t>網訊光電</t>
  </si>
  <si>
    <t>PO-20181106A</t>
  </si>
  <si>
    <t>第一商業銀行 埔墘分行
238-10-027866</t>
  </si>
  <si>
    <t>JD66245506</t>
  </si>
  <si>
    <t>Centurion Micro Electronics(Pty)Ltd</t>
  </si>
  <si>
    <t>PO015255</t>
  </si>
  <si>
    <t>PI-20181107A</t>
  </si>
  <si>
    <t>719_MXC-6101D</t>
  </si>
  <si>
    <t>PO-20181107A</t>
  </si>
  <si>
    <t>KR47861720</t>
  </si>
  <si>
    <t>P181109NP0</t>
  </si>
  <si>
    <t>PI-20181109A</t>
  </si>
  <si>
    <r>
      <rPr>
        <sz val="10"/>
        <color theme="1"/>
        <rFont val="Arial"/>
        <family val="2"/>
      </rPr>
      <t xml:space="preserve">LPC-P121S-10VY
</t>
    </r>
    <r>
      <rPr>
        <sz val="10"/>
        <color rgb="FFFF0000"/>
        <rFont val="Arial"/>
        <family val="2"/>
      </rPr>
      <t>(S/N:MO20181109A0001~8)</t>
    </r>
  </si>
  <si>
    <t xml:space="preserve"> 見投產計畫</t>
  </si>
  <si>
    <t>MO-20181109A</t>
  </si>
  <si>
    <t>MI3EM5125602EN 256G SSD 或是 MI3MB1125604SN 256G SSD</t>
  </si>
  <si>
    <t xml:space="preserve">POG8197 </t>
  </si>
  <si>
    <t>PI-20181109B</t>
  </si>
  <si>
    <t>FETA FREIGHT SYSTEMS (TAIWAN ) LTD. </t>
  </si>
  <si>
    <t>PO-20181109B</t>
  </si>
  <si>
    <t>KF93498721</t>
  </si>
  <si>
    <t>CH0747039170</t>
  </si>
  <si>
    <t>FETA-771268</t>
  </si>
  <si>
    <t xml:space="preserve">FETA FREIGHT SYSTEMS (TAIWAN ) LTD. </t>
  </si>
  <si>
    <t>同V798</t>
  </si>
  <si>
    <t>PI-20181111A</t>
  </si>
  <si>
    <t>PO-20181111A</t>
  </si>
  <si>
    <t>JD49652453</t>
  </si>
  <si>
    <t>DE181112-001</t>
  </si>
  <si>
    <t>PI-20181113A
(安排FAE灌新軟體+Cindy印標籤)</t>
  </si>
  <si>
    <t>PO-20181113A</t>
  </si>
  <si>
    <t>JB53147802</t>
  </si>
  <si>
    <t>CA0752011481</t>
  </si>
  <si>
    <t>ACT-100754</t>
  </si>
  <si>
    <t>PO-1532018</t>
  </si>
  <si>
    <t>PI-20181114A</t>
  </si>
  <si>
    <t>PO-20181114A</t>
  </si>
  <si>
    <t>KF93498762</t>
  </si>
  <si>
    <t>同V811</t>
  </si>
  <si>
    <t>PI-20181119A</t>
  </si>
  <si>
    <t>PO-20181119A</t>
  </si>
  <si>
    <t>JB38594680</t>
  </si>
  <si>
    <t>JB36896655</t>
  </si>
  <si>
    <t>PO-1572018</t>
  </si>
  <si>
    <t>PI-20181119B</t>
  </si>
  <si>
    <t>PO-20181119B</t>
  </si>
  <si>
    <t>KR49816302</t>
  </si>
  <si>
    <t>CH070N800273</t>
  </si>
  <si>
    <t>PGS-113172</t>
  </si>
  <si>
    <t>同V807</t>
  </si>
  <si>
    <t>PI-20181119C</t>
  </si>
  <si>
    <t>719_CP-104UL-DB9M (Moxa)</t>
  </si>
  <si>
    <t>PO-20181119C</t>
  </si>
  <si>
    <t>KF93498840</t>
  </si>
  <si>
    <t>CF075506198T</t>
  </si>
  <si>
    <t>719_MGate MB3180 (Moxa)</t>
  </si>
  <si>
    <t>同V822</t>
  </si>
  <si>
    <t>PI-20181120A</t>
  </si>
  <si>
    <t>PI-20181121A</t>
  </si>
  <si>
    <t>PO-20181121A</t>
  </si>
  <si>
    <t>JB38594681</t>
  </si>
  <si>
    <t>JB36896656</t>
  </si>
  <si>
    <t>12/4 掛號寄出</t>
  </si>
  <si>
    <t>PI-20181122A</t>
  </si>
  <si>
    <t>PO-20181122A</t>
  </si>
  <si>
    <t>JD49652671</t>
  </si>
  <si>
    <t>719_OPT4A-AE</t>
  </si>
  <si>
    <t>JD49652672</t>
  </si>
  <si>
    <t>PO-181123</t>
  </si>
  <si>
    <t>PI-20181123A</t>
  </si>
  <si>
    <t>PO-20181123A</t>
  </si>
  <si>
    <t>KR49816099</t>
  </si>
  <si>
    <t>JB36896702</t>
  </si>
  <si>
    <t>12/6 台銀
R: 30.85</t>
  </si>
  <si>
    <t>同V816</t>
  </si>
  <si>
    <t>同AA829</t>
  </si>
  <si>
    <t>POG8214</t>
  </si>
  <si>
    <t>PI-20181123B</t>
  </si>
  <si>
    <t>FETA FREIGHT SYSTEMS (TAIWAN ) LTD</t>
  </si>
  <si>
    <t>PO-20181123B</t>
  </si>
  <si>
    <t>KR49816042</t>
  </si>
  <si>
    <t>同V819</t>
  </si>
  <si>
    <t>CW0747040945</t>
  </si>
  <si>
    <t>FETA-771398</t>
  </si>
  <si>
    <t>PO-20181123B-2                             PO-20181123B-3</t>
  </si>
  <si>
    <t>1675.8
88.2</t>
  </si>
  <si>
    <t>2018/12/19
2018/12/21</t>
  </si>
  <si>
    <t>KR49816303
KR49816348</t>
  </si>
  <si>
    <t>306925
2717</t>
  </si>
  <si>
    <t>PO-20181123B-2</t>
  </si>
  <si>
    <t>KR49816303</t>
  </si>
  <si>
    <t>同V820</t>
  </si>
  <si>
    <r>
      <rPr>
        <sz val="10"/>
        <color rgb="FF000000"/>
        <rFont val="Arial"/>
        <family val="2"/>
      </rPr>
      <t xml:space="preserve">PI-20181123B
</t>
    </r>
    <r>
      <rPr>
        <sz val="10"/>
        <color rgb="FF000000"/>
        <rFont val="Arial"/>
        <family val="2"/>
      </rPr>
      <t>(PO-20181130A)</t>
    </r>
  </si>
  <si>
    <t>PO-20181130A</t>
  </si>
  <si>
    <t>KR49816200</t>
  </si>
  <si>
    <t>20181128-AA</t>
  </si>
  <si>
    <t>PI-20181128A
(Cindy更換標籤)</t>
  </si>
  <si>
    <t>PO-20181128A</t>
  </si>
  <si>
    <t>JB36855312</t>
  </si>
  <si>
    <t>JB36896700</t>
  </si>
  <si>
    <t>大榮
12730042503</t>
  </si>
  <si>
    <t>12/4 隨貨</t>
  </si>
  <si>
    <t>DP 48-12-ADV</t>
  </si>
  <si>
    <t>PI-20181128B</t>
  </si>
  <si>
    <t>pick up number TNT:146160735</t>
  </si>
  <si>
    <t>PO-20181128B</t>
  </si>
  <si>
    <t>KR47862370</t>
  </si>
  <si>
    <t>CR073769S865</t>
  </si>
  <si>
    <t>同V835</t>
  </si>
  <si>
    <t>PI-20181129A</t>
  </si>
  <si>
    <t>TNT 182056
Economy</t>
  </si>
  <si>
    <t>PO-20181129A</t>
  </si>
  <si>
    <t>KP60778487</t>
  </si>
  <si>
    <t>CG073769Q376</t>
  </si>
  <si>
    <t>Fieldworks Direct B.V.</t>
  </si>
  <si>
    <t>PI-20181206A</t>
  </si>
  <si>
    <t>719_FPK-01-R10</t>
  </si>
  <si>
    <t>UPS Account 157604  UPS Worldwide Saver</t>
  </si>
  <si>
    <t>IEI
威強</t>
  </si>
  <si>
    <t>PO-20181206A</t>
  </si>
  <si>
    <t>KS01353714</t>
  </si>
  <si>
    <t>簡易報關</t>
  </si>
  <si>
    <t>1Z1913EE0490241044</t>
  </si>
  <si>
    <t>Bank Transmitting Service Charge</t>
  </si>
  <si>
    <t>PI-20181207A-1</t>
  </si>
  <si>
    <t>PO-20181207A-1</t>
  </si>
  <si>
    <t>KR49816304</t>
  </si>
  <si>
    <t>同V831</t>
  </si>
  <si>
    <t>PI-20181210A
(未印標籤)</t>
  </si>
  <si>
    <t>PO-20181210A</t>
  </si>
  <si>
    <t>JB53147803</t>
  </si>
  <si>
    <t>Check Points</t>
  </si>
  <si>
    <r>
      <rPr>
        <sz val="10"/>
        <color rgb="FF000000"/>
        <rFont val="Arial"/>
        <family val="2"/>
      </rPr>
      <t xml:space="preserve">1. 交期能否達交? 
</t>
    </r>
    <r>
      <rPr>
        <sz val="10"/>
        <color rgb="FF0000FF"/>
        <rFont val="Arial"/>
        <family val="2"/>
      </rPr>
      <t>不確定的一律寫TBC. 不得空白</t>
    </r>
  </si>
  <si>
    <t>2. O/A 金額是否過多</t>
  </si>
  <si>
    <t>3. 料號安排是否不明確</t>
  </si>
  <si>
    <t>4. 自製品程序/人員任務是否有不明確</t>
  </si>
  <si>
    <t>Cloud Research</t>
  </si>
  <si>
    <t>PI-20151216B</t>
  </si>
  <si>
    <t>AIMTEC AM2D-0512SZ</t>
  </si>
  <si>
    <t>群華裕電子</t>
  </si>
  <si>
    <t>PO-20151216B</t>
  </si>
  <si>
    <t>"SWIFT BIC:TPBKTWTP
TAIPEI FUBON COMMERCIAL BANK SUNGSHAN  BRANCH
A/C No:709180000088"</t>
  </si>
  <si>
    <t>BM38169450</t>
  </si>
  <si>
    <t xml:space="preserve"> V</t>
  </si>
  <si>
    <t>PI-20160613A-1</t>
  </si>
  <si>
    <t>3D Drawing</t>
  </si>
  <si>
    <t>Unigens DHL</t>
  </si>
  <si>
    <t>Travla 開偉</t>
  </si>
  <si>
    <t>PO-20160613A-7</t>
  </si>
  <si>
    <t xml:space="preserve">華南商業銀行
143100002991 </t>
  </si>
  <si>
    <t>NE48655556</t>
  </si>
  <si>
    <t>測試不出貨</t>
  </si>
  <si>
    <t>PI-20160613A-2</t>
  </si>
  <si>
    <t>MB10-DS1
(Gigabyte server board)</t>
  </si>
  <si>
    <t>Gigabye 技嘉</t>
  </si>
  <si>
    <t>PO-20160613A-1</t>
  </si>
  <si>
    <t>兆豐國際商業銀行 
046-09-000606</t>
  </si>
  <si>
    <t>MBD-X10SDV-4C-TLN2F-O
(Supermicro server board)</t>
  </si>
  <si>
    <t>智漢 
(SuperMicro)</t>
  </si>
  <si>
    <t>PO-20160613A-2</t>
  </si>
  <si>
    <t>合庫
1586-717-005757</t>
  </si>
  <si>
    <t>D1521D4I 
(Asrockrack server board)</t>
  </si>
  <si>
    <t>捷元</t>
  </si>
  <si>
    <t>PO-20160613A-3</t>
  </si>
  <si>
    <t>第一銀行007
15010019181</t>
  </si>
  <si>
    <t>CX62456582</t>
  </si>
  <si>
    <t>CX052230HXFH</t>
  </si>
  <si>
    <t>同V296</t>
  </si>
  <si>
    <t>PI-20160701B</t>
  </si>
  <si>
    <t>Freight for PI-20160613A</t>
  </si>
  <si>
    <t>"洋基通運匯豐(081)
10081620882011"</t>
  </si>
  <si>
    <t>CX22688381</t>
  </si>
  <si>
    <t>CX052230FTBQ</t>
  </si>
  <si>
    <t>Freight for PI-20160613A-1</t>
  </si>
  <si>
    <t>CX22724644</t>
  </si>
  <si>
    <t>同V387</t>
  </si>
  <si>
    <t>PI-20160727B</t>
  </si>
  <si>
    <t>R4S-500G1V2</t>
  </si>
  <si>
    <t>UniGens DHL</t>
  </si>
  <si>
    <t>SURE STAR
添誠</t>
  </si>
  <si>
    <t>PO-20160727B</t>
  </si>
  <si>
    <t xml:space="preserve">台灣中小企銀化成分行
(0500278) 02712005532 </t>
  </si>
  <si>
    <t>CV04462818</t>
  </si>
  <si>
    <t>R4B-700G1V2</t>
  </si>
  <si>
    <t>Freight for 1 pcs R4S-500G1V2</t>
  </si>
  <si>
    <t>尚未付款</t>
  </si>
  <si>
    <t>CB16-539</t>
  </si>
  <si>
    <t>PI-20161130B</t>
  </si>
  <si>
    <t>TNT account (002004901by Express)</t>
  </si>
  <si>
    <t>Meanwell
 (贊翔)</t>
  </si>
  <si>
    <t>PO-20161130B</t>
  </si>
  <si>
    <t>銀行代號：007 
 帳號：23110037813"</t>
  </si>
  <si>
    <t>MR89612586</t>
  </si>
  <si>
    <t>CR063761M723</t>
  </si>
  <si>
    <t>TNT-757748283</t>
  </si>
  <si>
    <t>CB16-540</t>
  </si>
  <si>
    <t>PI-20161130C</t>
  </si>
  <si>
    <t>16/0670M</t>
  </si>
  <si>
    <t>PI-20161129B-2</t>
  </si>
  <si>
    <t>Moxa C168H/PCI</t>
  </si>
  <si>
    <t>PO-20161129B-2</t>
  </si>
  <si>
    <t>合作金庫
 5355-665-004610</t>
  </si>
  <si>
    <t>MR79343423</t>
  </si>
  <si>
    <t>CX0622300LUA</t>
  </si>
  <si>
    <t>Moxa OPT 8B</t>
  </si>
  <si>
    <t>Toamec
 東托貿易(上海)</t>
  </si>
  <si>
    <t>DE161215-001</t>
  </si>
  <si>
    <t>PI-20161205A
 (1/9可以請Leon灌新軟體)
 (2017 /1/19 已付佣金)</t>
  </si>
  <si>
    <t>Nport W2150A EU Band 
 w/ SAA Adapter</t>
  </si>
  <si>
    <t>SHANGHAI BEST LOGISTICS</t>
  </si>
  <si>
    <t>PO-20161205A</t>
  </si>
  <si>
    <t>國泰世華 新店分行:013 
 024-03-802717-1</t>
  </si>
  <si>
    <t>MP37381701</t>
  </si>
  <si>
    <t>CA0652000074</t>
  </si>
  <si>
    <t>Syscom
 凌羣電腦</t>
  </si>
  <si>
    <t>G105124814</t>
  </si>
  <si>
    <t>PI-20160831A</t>
  </si>
  <si>
    <t>2.1 應用伺服器</t>
  </si>
  <si>
    <t>Unigens</t>
  </si>
  <si>
    <t>見工單/MPO-20160831A</t>
  </si>
  <si>
    <t>MPO-20160831A</t>
  </si>
  <si>
    <t>MP52042853</t>
  </si>
  <si>
    <t>2.2 華碩 VE198T</t>
  </si>
  <si>
    <t>2.3 Hanwell USB-SP04A</t>
  </si>
  <si>
    <t>PI-20160831A
 (1/10 請LEON組裝)</t>
  </si>
  <si>
    <t>2.5 監控工作站</t>
  </si>
  <si>
    <t>MP52042857</t>
  </si>
  <si>
    <t>1530-019-934-5(巨邦機車)</t>
  </si>
  <si>
    <t>2.6 工業級觸控顯示器</t>
  </si>
  <si>
    <t>PI-20161205B
(1/13可以請Leon灌新軟體)
(2017 /1/19 已付佣金)</t>
  </si>
  <si>
    <t xml:space="preserve">MOXA AWK-3121-EU </t>
  </si>
  <si>
    <t>PO-20161205B</t>
  </si>
  <si>
    <t>合作金庫
5355-665-004610</t>
  </si>
  <si>
    <t>MR79343646</t>
  </si>
  <si>
    <t>PI-20161208B</t>
  </si>
  <si>
    <t>pick up number DHL:2698356662</t>
  </si>
  <si>
    <t>PO-20161208B-2</t>
  </si>
  <si>
    <t>"兆豐中和分行 
069-09-000668"</t>
  </si>
  <si>
    <t>MR83867590</t>
  </si>
  <si>
    <t>CX0622301KLT</t>
  </si>
  <si>
    <t>DHL:2698356662</t>
  </si>
  <si>
    <t>PO-20161208B-1</t>
  </si>
  <si>
    <t>MR83867461</t>
  </si>
  <si>
    <t>PI-20161208A</t>
  </si>
  <si>
    <t>TS512MSK64W6H
(向創見購買. Nexcom組裝)</t>
  </si>
  <si>
    <t>Transcend 創見
NEXCOM到組裝</t>
  </si>
  <si>
    <t>PO-20161208A-2轉庫存</t>
  </si>
  <si>
    <t>EF64240036</t>
  </si>
  <si>
    <t>TS64GSSD420K
(向創見購買. Nexcom組裝)</t>
  </si>
  <si>
    <t>NISE 105-E3845</t>
  </si>
  <si>
    <t>PO-20161208A-1</t>
  </si>
  <si>
    <t>出貨後30天</t>
  </si>
  <si>
    <t>DHL Freight For PI-20161208A</t>
  </si>
  <si>
    <t>待DHL帳單</t>
  </si>
  <si>
    <t>16/0686M</t>
  </si>
  <si>
    <t>PI-20161215C</t>
  </si>
  <si>
    <t>NAPC-528
(Advantech PCE-5128G2-00A1E)</t>
  </si>
  <si>
    <t>PO-20161215C</t>
  </si>
  <si>
    <t>MR63031333</t>
  </si>
  <si>
    <t xml:space="preserve">20161215-AA </t>
  </si>
  <si>
    <t>PI-20161215A</t>
  </si>
  <si>
    <t>CA-108</t>
  </si>
  <si>
    <t>PO-20161215A</t>
  </si>
  <si>
    <t>MR79344439</t>
  </si>
  <si>
    <t>MP52042900</t>
  </si>
  <si>
    <t>2/3台銀@31.04</t>
  </si>
  <si>
    <t>2/7掛號寄出</t>
  </si>
  <si>
    <t>IP SYSTEMES</t>
  </si>
  <si>
    <t>PI-20161220A</t>
  </si>
  <si>
    <t>Advantech EKI-3725-AE</t>
  </si>
  <si>
    <t>普運有限公司</t>
  </si>
  <si>
    <t>Advantech
研華直銷</t>
  </si>
  <si>
    <t>PO-20161220A</t>
  </si>
  <si>
    <t>花旗：021-0018
5028523019"</t>
  </si>
  <si>
    <t>MR63032764</t>
  </si>
  <si>
    <t>CW0668590022</t>
  </si>
  <si>
    <t>Centurion Micro Electronics</t>
  </si>
  <si>
    <t>PO013734</t>
  </si>
  <si>
    <t>PI-20161223B</t>
  </si>
  <si>
    <t>PCI-7233</t>
  </si>
  <si>
    <t>PO-20161223B</t>
  </si>
  <si>
    <t>MR83868530</t>
  </si>
  <si>
    <t>CH0646004064</t>
  </si>
  <si>
    <t>PCI-7234</t>
  </si>
  <si>
    <t>CB16-587</t>
  </si>
  <si>
    <t>PI-20161223A</t>
  </si>
  <si>
    <t>DR-15-24</t>
  </si>
  <si>
    <t>PO-20161223A</t>
  </si>
  <si>
    <t>MR89612862</t>
  </si>
  <si>
    <t>無出貨</t>
  </si>
  <si>
    <t xml:space="preserve">20161226-AA </t>
  </si>
  <si>
    <t>PI-20161226A
(chloe換標籤)</t>
  </si>
  <si>
    <t>Elgens-大榮</t>
  </si>
  <si>
    <t>PO-20161226A</t>
  </si>
  <si>
    <t>MP38542112</t>
  </si>
  <si>
    <t>MP52042862</t>
  </si>
  <si>
    <t>大榮貨運
1530-019-945-1</t>
  </si>
  <si>
    <t>1/19台銀@31.605</t>
  </si>
  <si>
    <t>1/20隨貨寄出</t>
  </si>
  <si>
    <t>DE170216-001</t>
  </si>
  <si>
    <t>PI-20161227A
(2/16請Leon灌新軟體)
(2017 /5/5 已付佣金)</t>
  </si>
  <si>
    <r>
      <rPr>
        <sz val="10"/>
        <color rgb="FF000000"/>
        <rFont val="arial,sans,sans-serif"/>
      </rPr>
      <t xml:space="preserve">Nport W2150A EU Band 
w/ SAA Adapter </t>
    </r>
    <r>
      <rPr>
        <b/>
        <sz val="10"/>
        <color rgb="FF0000FF"/>
        <rFont val="arial,sans,sans-serif"/>
      </rPr>
      <t>(w2x50a_1.9.62)</t>
    </r>
  </si>
  <si>
    <t>PO-20161227A</t>
  </si>
  <si>
    <t xml:space="preserve">國泰世華 新店分行:013  
024-03-802717-1 </t>
  </si>
  <si>
    <t>MP37381704</t>
  </si>
  <si>
    <t>CA0652000320</t>
  </si>
  <si>
    <t>PI-20161228C</t>
  </si>
  <si>
    <t>PDK-121S-MT4050U
(G121XN01 V001)
(MiracleTouch 10121002 V01)
(3M Air Taping)</t>
  </si>
  <si>
    <t xml:space="preserve">Global Freight Forwarding
(By Sea) </t>
  </si>
  <si>
    <t>CES Group閎亮科技</t>
  </si>
  <si>
    <t>MPO-20161228C(Revise)</t>
  </si>
  <si>
    <t>ALBC06209F0260</t>
  </si>
  <si>
    <t>7014420005
(ETP-MER4050UEBG-02)
(ETP-CB-5XN00)</t>
  </si>
  <si>
    <t>BW551-USB Cable
(USB cable from USB controller to BW551-NB)</t>
  </si>
  <si>
    <t>快異點貨交閎亮</t>
  </si>
  <si>
    <t>PO-20161228A-2</t>
  </si>
  <si>
    <t>NH03799992</t>
  </si>
  <si>
    <t>Koning &amp; Hartman
(Belgium)</t>
  </si>
  <si>
    <t>PI-20161227B</t>
  </si>
  <si>
    <t>AIMB-280QG2-00A1E</t>
  </si>
  <si>
    <t>PO-20161227B-1</t>
  </si>
  <si>
    <t>NG63031506</t>
  </si>
  <si>
    <t>CX0622305SEV</t>
  </si>
  <si>
    <t>PI-20161228A</t>
  </si>
  <si>
    <t>Global Freight Forwarding 
(By AIR)</t>
  </si>
  <si>
    <t>PO-20161228A-2(Revise)</t>
  </si>
  <si>
    <t>MS03799148</t>
  </si>
  <si>
    <t>CH0676000140</t>
  </si>
  <si>
    <t>安陽172-9405 4800</t>
  </si>
  <si>
    <t>PI-20161228A-1</t>
  </si>
  <si>
    <t>YRK16072002-T
(Backlight Cable BW551-NB for G121XN01)</t>
  </si>
  <si>
    <t>PO-20161228A-1</t>
  </si>
  <si>
    <t>MS03799030</t>
  </si>
  <si>
    <t>YRK16072001-T
(LVDS cable BW551-NB for G121XN01)</t>
  </si>
  <si>
    <t>PI-20161228B</t>
  </si>
  <si>
    <t>CH0676000209</t>
  </si>
  <si>
    <t>MPO-20161228A(Revise)</t>
  </si>
  <si>
    <t>MO-20161228A</t>
  </si>
  <si>
    <t>MPO-20161228B(Revise)</t>
  </si>
  <si>
    <t>MO-20161228B</t>
  </si>
  <si>
    <t>ADAM-4024-B1E</t>
  </si>
  <si>
    <t>PO-20161227B-2</t>
  </si>
  <si>
    <t>MR63032374</t>
  </si>
  <si>
    <t>CX0622300R12</t>
  </si>
  <si>
    <t>ADAM-4068-BE</t>
  </si>
  <si>
    <t>ADAM-5000E-AE</t>
  </si>
  <si>
    <t>ADAM-5056S-AE</t>
  </si>
  <si>
    <t>MR63031334</t>
  </si>
  <si>
    <t>PI-20161230A</t>
  </si>
  <si>
    <t xml:space="preserve">PCA-6113P4R-0C2E </t>
  </si>
  <si>
    <t>PO-20161230A</t>
  </si>
  <si>
    <t>MR63031654</t>
  </si>
  <si>
    <t>PCA-6012G2-00A1E</t>
  </si>
  <si>
    <t>PO-P-I160153</t>
  </si>
  <si>
    <t>PI-20170103A</t>
  </si>
  <si>
    <t>IMC-21A-M-ST</t>
  </si>
  <si>
    <t>TNT Courier A/C: 58548</t>
  </si>
  <si>
    <t>PO-20170103A</t>
  </si>
  <si>
    <t>MR79343569</t>
  </si>
  <si>
    <t>CG063761G988</t>
  </si>
  <si>
    <t>PI-20170104A</t>
  </si>
  <si>
    <t>PO-20170104A</t>
  </si>
  <si>
    <t>MR79343759</t>
  </si>
  <si>
    <t>MP52042864</t>
  </si>
  <si>
    <t>1/20 敲定匯率31.54</t>
  </si>
  <si>
    <t>1/23 掛號寄出</t>
  </si>
  <si>
    <t>同V72</t>
  </si>
  <si>
    <t>同AA72</t>
  </si>
  <si>
    <t>P170106NP0</t>
  </si>
  <si>
    <t>PI-20170106A
(1/17請LEON測試)</t>
  </si>
  <si>
    <t>ECS-8000-2R850Q
(S/N:S16A840018~020)</t>
  </si>
  <si>
    <t>PO-20170106A-1</t>
  </si>
  <si>
    <t>MP37881812</t>
  </si>
  <si>
    <t>CX0622301U64</t>
  </si>
  <si>
    <t>M3S0-8GSSDLPC 
(向宜鼎購買 VECOW組裝)</t>
  </si>
  <si>
    <t>Innodisk 宜鼎到Vecow組裝</t>
  </si>
  <si>
    <t>PO-20170106A-2
MPO-20161220A</t>
  </si>
  <si>
    <r>
      <rPr>
        <sz val="10"/>
        <color rgb="FF000000"/>
        <rFont val="Arial"/>
        <family val="2"/>
      </rPr>
      <t xml:space="preserve">3259(下單2PCS)
</t>
    </r>
    <r>
      <rPr>
        <sz val="10"/>
        <color rgb="FF000000"/>
        <rFont val="Arial"/>
        <family val="2"/>
      </rPr>
      <t>庫存1PCS</t>
    </r>
  </si>
  <si>
    <t>彰化銀行  南港分行
9801-0100-8997-00"</t>
  </si>
  <si>
    <t>MR67921560</t>
  </si>
  <si>
    <t>PI-20170111A</t>
  </si>
  <si>
    <t>PO-20170111A</t>
  </si>
  <si>
    <t>MR79344498</t>
  </si>
  <si>
    <t>MP52042902</t>
  </si>
  <si>
    <t>2/6對方敲定@30.91</t>
  </si>
  <si>
    <t>同AA76</t>
  </si>
  <si>
    <t>P170112NP0</t>
  </si>
  <si>
    <t>PI-20170112A
(2/16請LEON測試)</t>
  </si>
  <si>
    <t>ECS-8000-2R850Q
(S/N:S17A84001-007)</t>
  </si>
  <si>
    <t>Ti2 DHL account # 968398926</t>
  </si>
  <si>
    <t>PO-20170112A-1</t>
  </si>
  <si>
    <t>MP37881841</t>
  </si>
  <si>
    <t>CX0622304MET</t>
  </si>
  <si>
    <t>PI-20170112A</t>
  </si>
  <si>
    <t>PO-20170112A-2</t>
  </si>
  <si>
    <t>MR67921928</t>
  </si>
  <si>
    <t>Aditech ICT</t>
  </si>
  <si>
    <t>PO-088</t>
  </si>
  <si>
    <t>PI-20170112C</t>
  </si>
  <si>
    <t>UPort 1150</t>
  </si>
  <si>
    <t>PO-20170112C</t>
  </si>
  <si>
    <t>MR79343699</t>
  </si>
  <si>
    <t>CX06223024UP</t>
  </si>
  <si>
    <t>DHL-
5769522754</t>
  </si>
  <si>
    <t>PI-20170112B</t>
  </si>
  <si>
    <t xml:space="preserve">Freight from DFI to  GLOBAL FREIGHT FORWARDING </t>
  </si>
  <si>
    <t>Elgens 全球</t>
  </si>
  <si>
    <t>全球</t>
  </si>
  <si>
    <t>2017/1/17
2017/1/19</t>
  </si>
  <si>
    <t>MR22745613
MR22747626</t>
  </si>
  <si>
    <t>1376
3371</t>
  </si>
  <si>
    <t>另收無報關</t>
  </si>
  <si>
    <t xml:space="preserve">20170113-AA </t>
  </si>
  <si>
    <t>PI-20170113A</t>
  </si>
  <si>
    <t>NUPRO-A40H</t>
  </si>
  <si>
    <t>Elgens-沛勁</t>
  </si>
  <si>
    <t>PO-20170113A</t>
  </si>
  <si>
    <t>MR83867698</t>
  </si>
  <si>
    <t>MP52042859</t>
  </si>
  <si>
    <t>沛勁機車
700062</t>
  </si>
  <si>
    <t>台幣訂定</t>
  </si>
  <si>
    <t>1/19 隨貨寄出</t>
  </si>
  <si>
    <t>P170116NP0</t>
  </si>
  <si>
    <t>PI-20170116A</t>
  </si>
  <si>
    <t>Advantech ADAM-6217-AE</t>
  </si>
  <si>
    <t>PO-20170116A</t>
  </si>
  <si>
    <t>MR63031646</t>
  </si>
  <si>
    <t>PI-20170117B</t>
  </si>
  <si>
    <t>Geodis</t>
  </si>
  <si>
    <t>PO-20170117B</t>
  </si>
  <si>
    <t>MR63031953</t>
  </si>
  <si>
    <t>CW0648600309</t>
  </si>
  <si>
    <t>PO-089</t>
  </si>
  <si>
    <t>UPORT 1130</t>
  </si>
  <si>
    <t>PO-20170112C-1</t>
  </si>
  <si>
    <t>MR79343761</t>
  </si>
  <si>
    <t>PI-20170117A</t>
  </si>
  <si>
    <t>iEi
威強電</t>
  </si>
  <si>
    <t>PO-20170117A</t>
  </si>
  <si>
    <t>MR68026048</t>
  </si>
  <si>
    <t>P170118NP0</t>
  </si>
  <si>
    <t>PI-20170118B</t>
  </si>
  <si>
    <t>ECS-7000-2R
(S/N:S16A730093-094)</t>
  </si>
  <si>
    <t>PO-20170118B-1</t>
  </si>
  <si>
    <t>MP37881840</t>
  </si>
  <si>
    <t>PWA-120W</t>
  </si>
  <si>
    <t>Din Rail with VESA Mount Kit for ECS-7000 series</t>
  </si>
  <si>
    <t>OP-080S (w/DC 24V)</t>
  </si>
  <si>
    <t>CES Group 閎亮</t>
  </si>
  <si>
    <t>PO-20170118B-4</t>
  </si>
  <si>
    <t>MP53125861</t>
  </si>
  <si>
    <t>i7-3610QE
(向捷毅購買. Vecow組裝)</t>
  </si>
  <si>
    <t>捷毅
交Vecow組裝</t>
  </si>
  <si>
    <t>PO-20170118B-2</t>
  </si>
  <si>
    <t>MR99400988</t>
  </si>
  <si>
    <t>TS1GSK64W6H
(向創見購買. Vecow組裝)</t>
  </si>
  <si>
    <t>ELgens送至超恩組裝</t>
  </si>
  <si>
    <t>EMO-20161115A</t>
  </si>
  <si>
    <t>PI-20170118C</t>
  </si>
  <si>
    <t>PO-20170118C</t>
  </si>
  <si>
    <t>MR63031790</t>
  </si>
  <si>
    <t>PI-20170118A-F</t>
  </si>
  <si>
    <t>Freight For PI-20170106A and PI-20170116A</t>
  </si>
  <si>
    <t>MR22229259</t>
  </si>
  <si>
    <t>PI-20170120A-F</t>
  </si>
  <si>
    <t>DHL Freight For Loan Unit Wincomm WMP-153 Medical Panel PC</t>
  </si>
  <si>
    <t>N/A</t>
  </si>
  <si>
    <t>P170123NP0</t>
  </si>
  <si>
    <t>PI-20170123A</t>
  </si>
  <si>
    <t>ECS-8000-2R850Q
(S/N:S17A84008-0012)</t>
  </si>
  <si>
    <t>PO-20170123A-1</t>
  </si>
  <si>
    <t>MP37881839</t>
  </si>
  <si>
    <t>PO-20170123A-2</t>
  </si>
  <si>
    <t>MR67922207</t>
  </si>
  <si>
    <t>PI-20170126A</t>
  </si>
  <si>
    <t>PO-20170126A</t>
  </si>
  <si>
    <t>MR63035055</t>
  </si>
  <si>
    <t>CX0622304JBR</t>
  </si>
  <si>
    <t>ADAM-6066-CE</t>
  </si>
  <si>
    <t>MR63034601</t>
  </si>
  <si>
    <t>CX06223036L1</t>
  </si>
  <si>
    <t>PI-20170203A</t>
  </si>
  <si>
    <t>SD-100B-12</t>
  </si>
  <si>
    <t>PO-20170203A</t>
  </si>
  <si>
    <t>NG89612271</t>
  </si>
  <si>
    <t>CG063762T044</t>
  </si>
  <si>
    <t>P170203NP1</t>
  </si>
  <si>
    <t>PI-20170203B</t>
  </si>
  <si>
    <t>Nuvo-5002LP
(S/N: H0604260&amp;H0604261)</t>
  </si>
  <si>
    <t>PO-20170203B-1</t>
  </si>
  <si>
    <t>MP34934130</t>
  </si>
  <si>
    <t>CX06223037EU</t>
  </si>
  <si>
    <t>DDR4-8GB (Neousys,請宸曜組裝)</t>
  </si>
  <si>
    <t>Intel® Core™ i7-6700TE 
(向捷毅國際購買)</t>
  </si>
  <si>
    <t>PO-20170203B-2</t>
  </si>
  <si>
    <t>渣打銀行 南崁分行
銀行代號052-0281
033-53-00017001-5</t>
  </si>
  <si>
    <t>MR99400754</t>
  </si>
  <si>
    <t>17/0064M</t>
  </si>
  <si>
    <t>PI-20170207E</t>
  </si>
  <si>
    <t>NET1526
(Advantech EKI-1526-BE)</t>
  </si>
  <si>
    <t>PO-20170207E</t>
  </si>
  <si>
    <t>NG63031481</t>
  </si>
  <si>
    <t>CX0622305Z1X</t>
  </si>
  <si>
    <t>PI-20170207B</t>
  </si>
  <si>
    <t>pick up TNT number 
 TPY  870634 
374280867</t>
  </si>
  <si>
    <t>CG063762H403</t>
  </si>
  <si>
    <t>ETP-CB-SXU00</t>
  </si>
  <si>
    <t>ETP-CB-5XN00</t>
  </si>
  <si>
    <t>PI-20170207A</t>
  </si>
  <si>
    <t>pick up number UPS:1Z032RX78657333639</t>
  </si>
  <si>
    <t>PO-20170207A</t>
  </si>
  <si>
    <t>MR83868762</t>
  </si>
  <si>
    <t>CU0657BF1342</t>
  </si>
  <si>
    <t>TM150TDSG71</t>
  </si>
  <si>
    <t>TM150TDSG71-MT-5W
(TM150TDSG71)
(MiracleTouch 10150050 V01)
(3M Air Taping)</t>
  </si>
  <si>
    <t>捷毅國際到閎亮組裝</t>
  </si>
  <si>
    <t>PI-20170207D-F</t>
  </si>
  <si>
    <t>DHL Freight For PI-20170203B and Evaluation PI-20170207C</t>
  </si>
  <si>
    <t>MR22267469</t>
  </si>
  <si>
    <t>PI-20170208A</t>
  </si>
  <si>
    <t>NISE 3500</t>
  </si>
  <si>
    <t>PO-20170208A-1</t>
  </si>
  <si>
    <t>玉山銀行連城分行
0808940013206</t>
  </si>
  <si>
    <t>MP34337198</t>
  </si>
  <si>
    <t>CF06550R1958</t>
  </si>
  <si>
    <t>AC/DC Power Adapter w/ EU power cord For NISE 3500</t>
  </si>
  <si>
    <t>Intel® Celeron® Processor P4500
(向捷毅國際購買,交由新漢組裝)</t>
  </si>
  <si>
    <t>捷毅
交新漢組裝</t>
  </si>
  <si>
    <t>PO-20170208A-2</t>
  </si>
  <si>
    <t>MR99400960</t>
  </si>
  <si>
    <t>PI-20170209A-1</t>
  </si>
  <si>
    <t>BT-432IS</t>
  </si>
  <si>
    <t>Atac
悅邦</t>
  </si>
  <si>
    <t>PO-20170209A</t>
  </si>
  <si>
    <t>彰化銀行：009
8119-01-53628-100</t>
  </si>
  <si>
    <t>MP32837250</t>
  </si>
  <si>
    <t>CX0622304JCE</t>
  </si>
  <si>
    <t>Freight For PI-20170209A1 and PI-20170209A2</t>
  </si>
  <si>
    <t>MR22274980</t>
  </si>
  <si>
    <t>P170210NP0</t>
  </si>
  <si>
    <t>PI-20170210A</t>
  </si>
  <si>
    <t>PO-20170210A-1</t>
  </si>
  <si>
    <t>NE37903309</t>
  </si>
  <si>
    <t>CX0622306ANE</t>
  </si>
  <si>
    <t>ECS-7000-2R
(S/N:S16A730095-0096)</t>
  </si>
  <si>
    <t>NE37903306</t>
  </si>
  <si>
    <t>PI-20170210A
(請Leon驗貨外觀&amp;功能)</t>
  </si>
  <si>
    <t>PO-20170210A-3</t>
  </si>
  <si>
    <t>NE35163714</t>
  </si>
  <si>
    <t>PO-20170210A-2</t>
  </si>
  <si>
    <t>MR99401030</t>
  </si>
  <si>
    <t>PI-20170210B</t>
  </si>
  <si>
    <t>TS128GSSD630</t>
  </si>
  <si>
    <t>FedEx # 852270004
(International Priority)</t>
  </si>
  <si>
    <t>PO-20170210B</t>
  </si>
  <si>
    <t>MR62207051</t>
  </si>
  <si>
    <t>CF06550P2436</t>
  </si>
  <si>
    <r>
      <rPr>
        <strike/>
        <sz val="10"/>
        <color rgb="FF000000"/>
        <rFont val="Arial"/>
        <family val="2"/>
      </rPr>
      <t xml:space="preserve">PI-20170213D
</t>
    </r>
    <r>
      <rPr>
        <strike/>
        <sz val="10"/>
        <color rgb="FF000000"/>
        <rFont val="Arial"/>
        <family val="2"/>
      </rPr>
      <t>(chloe換標籤)</t>
    </r>
  </si>
  <si>
    <t>PO-20170213D</t>
  </si>
  <si>
    <r>
      <rPr>
        <strike/>
        <sz val="10"/>
        <color rgb="FF000000"/>
        <rFont val="Arial"/>
        <family val="2"/>
      </rPr>
      <t xml:space="preserve">PI-20170213C
</t>
    </r>
    <r>
      <rPr>
        <strike/>
        <sz val="10"/>
        <color rgb="FF000000"/>
        <rFont val="Arial"/>
        <family val="2"/>
      </rPr>
      <t>(chloe換標籤)</t>
    </r>
  </si>
  <si>
    <t>PO-20170213C</t>
  </si>
  <si>
    <r>
      <rPr>
        <strike/>
        <sz val="10"/>
        <color rgb="FF000000"/>
        <rFont val="Arial"/>
        <family val="2"/>
      </rPr>
      <t xml:space="preserve">PI-20170213B
</t>
    </r>
    <r>
      <rPr>
        <strike/>
        <sz val="10"/>
        <color rgb="FF000000"/>
        <rFont val="Arial"/>
        <family val="2"/>
      </rPr>
      <t>(chloe換標籤)</t>
    </r>
  </si>
  <si>
    <t>PO-20170213B</t>
  </si>
  <si>
    <t>PI-20170213G</t>
  </si>
  <si>
    <t>PO-20170213G</t>
  </si>
  <si>
    <t>NG79343688</t>
  </si>
  <si>
    <t>NE52095553</t>
  </si>
  <si>
    <t>對方敲定@30.97</t>
  </si>
  <si>
    <t>3/21掛號寄出</t>
  </si>
  <si>
    <t>20170214-AA</t>
  </si>
  <si>
    <t>PI-20170214A</t>
  </si>
  <si>
    <t>Moxa E3210</t>
  </si>
  <si>
    <t>PO-20170214A</t>
  </si>
  <si>
    <t>MR79344749</t>
  </si>
  <si>
    <t>MP52042906</t>
  </si>
  <si>
    <t>2/22台銀@30.78</t>
  </si>
  <si>
    <t>3/2掛號寄出</t>
  </si>
  <si>
    <t>PI-20170215C</t>
  </si>
  <si>
    <t>PO-20170215C</t>
  </si>
  <si>
    <t>NG79343783</t>
  </si>
  <si>
    <t>NE52095554</t>
  </si>
  <si>
    <t>對方敲定@ 30.52</t>
  </si>
  <si>
    <t>同V146</t>
  </si>
  <si>
    <t>同AA146</t>
  </si>
  <si>
    <t>PI-20170215A</t>
  </si>
  <si>
    <t>GST60A24-OW (Open wire end)</t>
  </si>
  <si>
    <t>UPS acc. E42003 / UPS Express Saver</t>
  </si>
  <si>
    <t>Meanwell至閎亮加工</t>
  </si>
  <si>
    <t>RDMO-20170215A-1</t>
  </si>
  <si>
    <t>不報關</t>
  </si>
  <si>
    <t>H9483803179</t>
  </si>
  <si>
    <t>GST90A24-OW (Open wire end)</t>
  </si>
  <si>
    <t>RDMO-20170215A-2</t>
  </si>
  <si>
    <t>PI-20170215B</t>
  </si>
  <si>
    <t>PO-20170215B</t>
  </si>
  <si>
    <t>MR63034905</t>
  </si>
  <si>
    <t>SPC-2140WP-T3AE</t>
  </si>
  <si>
    <t>ADAM-6060-CE</t>
  </si>
  <si>
    <t>PI-20170209A-2</t>
  </si>
  <si>
    <t>NPort 5650I-8-DTL/EU V1.1.0</t>
  </si>
  <si>
    <t>PO-20170209A-2</t>
  </si>
  <si>
    <t>MR79344731</t>
  </si>
  <si>
    <t>PI-20170217A</t>
  </si>
  <si>
    <t>PCIe-7432</t>
  </si>
  <si>
    <t>PO-20170217A</t>
  </si>
  <si>
    <t>MR83868745</t>
  </si>
  <si>
    <t>MP52042905</t>
  </si>
  <si>
    <t>2/18台銀@30.805</t>
  </si>
  <si>
    <t>2/20 隨貨寄出</t>
  </si>
  <si>
    <t>DE170622-002</t>
  </si>
  <si>
    <t>PI-20170220C
(Leon 確認軟體+標籤)</t>
  </si>
  <si>
    <t>PO-20170220C</t>
  </si>
  <si>
    <t>PN79343549</t>
  </si>
  <si>
    <t>CA0652015217</t>
  </si>
  <si>
    <t>DE170601-001</t>
  </si>
  <si>
    <t>PI-20170220B
(Leon 確認軟體+標籤)
(2017/6/21 已付佣金)</t>
  </si>
  <si>
    <t>PO-20170220B</t>
  </si>
  <si>
    <t>NX79344547</t>
  </si>
  <si>
    <t>CA0652015057</t>
  </si>
  <si>
    <t>DE170323-001</t>
  </si>
  <si>
    <r>
      <rPr>
        <sz val="10"/>
        <color rgb="FF000000"/>
        <rFont val="Arial"/>
        <family val="2"/>
      </rPr>
      <t xml:space="preserve">PI-20170220A
</t>
    </r>
    <r>
      <rPr>
        <sz val="10"/>
        <color rgb="FF000000"/>
        <rFont val="Arial"/>
        <family val="2"/>
      </rPr>
      <t>(Leon 確認軟體+標籤)
(2017 /5/5 已付佣金)</t>
    </r>
  </si>
  <si>
    <t>PO-20170220A</t>
  </si>
  <si>
    <t>NG79344790</t>
  </si>
  <si>
    <t>CA0652000805</t>
  </si>
  <si>
    <t>PI-20170220D</t>
  </si>
  <si>
    <t>PO-20170220D</t>
  </si>
  <si>
    <t>NE32924900</t>
  </si>
  <si>
    <t>CX0622305MRQ</t>
  </si>
  <si>
    <t>Freight For PI-20170220A</t>
  </si>
  <si>
    <t>NG22219389</t>
  </si>
  <si>
    <t>065153-1</t>
  </si>
  <si>
    <t>PI-20170222A</t>
  </si>
  <si>
    <t xml:space="preserve">G150XTN06.0 </t>
  </si>
  <si>
    <t>TNT
2008044</t>
  </si>
  <si>
    <t>Promate
豐藝電子</t>
  </si>
  <si>
    <t>PO-20170222A</t>
  </si>
  <si>
    <t>彰化銀行吉林分行
30030330417000</t>
  </si>
  <si>
    <t>NG63754255</t>
  </si>
  <si>
    <t>CG063762T429</t>
  </si>
  <si>
    <t>20170224-AA</t>
  </si>
  <si>
    <t>PI-20170224B-2
(chloe換標籤)</t>
  </si>
  <si>
    <t>PO-20170224B-1</t>
  </si>
  <si>
    <t>NY36297511</t>
  </si>
  <si>
    <t>NV52173004</t>
  </si>
  <si>
    <t>5/18 台銀@30.2</t>
  </si>
  <si>
    <t>6/1 隨貨寄出</t>
  </si>
  <si>
    <t>20170223-AA</t>
  </si>
  <si>
    <t>PI-20170224A-3
(chloe換標籤)</t>
  </si>
  <si>
    <t>PO-20170224A-3</t>
  </si>
  <si>
    <t>NE07547865</t>
  </si>
  <si>
    <t>NE52095605</t>
  </si>
  <si>
    <t>1530-045-591-3</t>
  </si>
  <si>
    <t>4/25台銀@30.14</t>
  </si>
  <si>
    <t>4/27 隨貨寄出</t>
  </si>
  <si>
    <t>PI-20170224B-1
(chloe換標籤)</t>
  </si>
  <si>
    <t>富佳堡</t>
  </si>
  <si>
    <t>PO-20170224B-2</t>
  </si>
  <si>
    <t>第一商業銀行豐原分行
帳號：411-10067869</t>
  </si>
  <si>
    <t>NE46059173</t>
  </si>
  <si>
    <t>NE52095601</t>
  </si>
  <si>
    <t>4/17台銀@30.34</t>
  </si>
  <si>
    <t>4/18 隨貨寄出</t>
  </si>
  <si>
    <t>PI-20170224A-2
(chloe換標籤)</t>
  </si>
  <si>
    <t>PO-20170224A-2</t>
  </si>
  <si>
    <t>NE07547859</t>
  </si>
  <si>
    <t>NE52095559</t>
  </si>
  <si>
    <t>3/29台銀@30.27</t>
  </si>
  <si>
    <t>3/31 隨貨寄出</t>
  </si>
  <si>
    <r>
      <rPr>
        <sz val="10"/>
        <color rgb="FF000000"/>
        <rFont val="arial,sans,sans-serif"/>
      </rPr>
      <t xml:space="preserve">PI-20170224C
</t>
    </r>
    <r>
      <rPr>
        <sz val="10"/>
        <color rgb="FF000000"/>
        <rFont val="arial,sans,sans-serif"/>
      </rPr>
      <t>(Leon 灌新軟體+標籤)
(2017/5/5 已付佣金)</t>
    </r>
  </si>
  <si>
    <t>PO-20170224C</t>
  </si>
  <si>
    <t>NE37412052</t>
  </si>
  <si>
    <t>PI-20170224A-1
(chloe換標籤)</t>
  </si>
  <si>
    <t>PO-20170224A-1</t>
  </si>
  <si>
    <t>NE07547850</t>
  </si>
  <si>
    <t>NE52095550</t>
  </si>
  <si>
    <t>1530-019-945-3</t>
  </si>
  <si>
    <t>3/6台銀@31.025</t>
  </si>
  <si>
    <t>3/6 隨貨寄出</t>
  </si>
  <si>
    <t>P170228NP1</t>
  </si>
  <si>
    <t>PI-20170301A</t>
  </si>
  <si>
    <t>Windows 7 Pro 32/64 - License Sticker</t>
  </si>
  <si>
    <t>PO-20170301A</t>
  </si>
  <si>
    <t>NG99400215</t>
  </si>
  <si>
    <t>17/0118M</t>
  </si>
  <si>
    <t>PI-20170302B</t>
  </si>
  <si>
    <t>瑞傳-兆利豐</t>
  </si>
  <si>
    <t>PO-20170302B</t>
  </si>
  <si>
    <t>兆豐：017
042-09-824928</t>
  </si>
  <si>
    <t>NE36000744</t>
  </si>
  <si>
    <t>CX0622309K9H</t>
  </si>
  <si>
    <t>PI-20170302A</t>
  </si>
  <si>
    <t>7008000370
( 8MS9P1B05M1RES-5 , 3/9 寄給快異點加工)</t>
  </si>
  <si>
    <t>無報關</t>
  </si>
  <si>
    <t>ID Solution</t>
  </si>
  <si>
    <t>PI-20170306A</t>
  </si>
  <si>
    <t>Viewer</t>
  </si>
  <si>
    <t>郵局EMS</t>
  </si>
  <si>
    <t>祐嘉</t>
  </si>
  <si>
    <t>祐嘉電子
永豐銀行 汐止分行
125-001-0022229-9"</t>
  </si>
  <si>
    <t>MO-20170306A</t>
  </si>
  <si>
    <t>EE927787055TW</t>
  </si>
  <si>
    <t>PI-20170306B-1</t>
  </si>
  <si>
    <t>Moxa CP-138U-I</t>
  </si>
  <si>
    <t>pick up number UPS:1Z032RX78657787177</t>
  </si>
  <si>
    <t>NG79343701</t>
  </si>
  <si>
    <t>CU0657BJ1264</t>
  </si>
  <si>
    <t>Moxa CBL-M78M9x8-100</t>
  </si>
  <si>
    <t xml:space="preserve">Adlink ACL-7122 </t>
  </si>
  <si>
    <t>PO-20170306B-2</t>
  </si>
  <si>
    <t>NG83867698</t>
  </si>
  <si>
    <t>20170308-AA</t>
  </si>
  <si>
    <t>PI-20170308D-2
(chloe換標籤)</t>
  </si>
  <si>
    <t>PO-20170308D-2</t>
  </si>
  <si>
    <t>NV36297522</t>
  </si>
  <si>
    <t>NV52173053</t>
  </si>
  <si>
    <t>大榮-15347136554</t>
  </si>
  <si>
    <t>6/9台銀@30.085</t>
  </si>
  <si>
    <t>6/12隨貨寄出</t>
  </si>
  <si>
    <t>PI-20170308D-1
(chloe換標籤)</t>
  </si>
  <si>
    <t>PO-20170308D-1</t>
  </si>
  <si>
    <t>NV36297514</t>
  </si>
  <si>
    <t>NV52173012</t>
  </si>
  <si>
    <t>5/31 台銀@30.09</t>
  </si>
  <si>
    <t>PI-20170308C</t>
  </si>
  <si>
    <t>PO-20170308C</t>
  </si>
  <si>
    <t>NG79343967</t>
  </si>
  <si>
    <t>NE52095562</t>
  </si>
  <si>
    <t>對方敲定@ 30.32</t>
  </si>
  <si>
    <t>3/30掛號寄出</t>
  </si>
  <si>
    <t>同V172</t>
  </si>
  <si>
    <t>同AA172</t>
  </si>
  <si>
    <t>AYC (I &amp; V)</t>
  </si>
  <si>
    <t>17000027 &amp; 17000032</t>
  </si>
  <si>
    <t>PI-20170308A</t>
  </si>
  <si>
    <t>CP-114EL-I-DB9M</t>
  </si>
  <si>
    <t>TNT economy 2016684</t>
  </si>
  <si>
    <t>PO-20170308B</t>
  </si>
  <si>
    <t>NG79343782</t>
  </si>
  <si>
    <t>CG063763H042</t>
  </si>
  <si>
    <t>PI-20170308B</t>
  </si>
  <si>
    <t>ADAM-6050-CE</t>
  </si>
  <si>
    <t>NG63031505</t>
  </si>
  <si>
    <t>PI-20170306B-2</t>
  </si>
  <si>
    <t>PO-20170306B-3</t>
  </si>
  <si>
    <t>Adlinl ACL-8216</t>
  </si>
  <si>
    <t>PI-20170316C</t>
  </si>
  <si>
    <t>PO-20170316C</t>
  </si>
  <si>
    <t>NG63031968</t>
  </si>
  <si>
    <t>CX0622307NH4</t>
  </si>
  <si>
    <t>ADAM-4571L-DE</t>
  </si>
  <si>
    <t>P170316NP0</t>
  </si>
  <si>
    <t>PI-20170316B
(Leon 組裝)</t>
  </si>
  <si>
    <t>POC-210
(S/N:H1212084~H1212087)</t>
  </si>
  <si>
    <t>PO-20170316B-1</t>
  </si>
  <si>
    <t>NE34933923</t>
  </si>
  <si>
    <t>CX0622307P2B</t>
  </si>
  <si>
    <t>TS512MSK64W6H
(向創見購買. Leon組裝)</t>
  </si>
  <si>
    <t>PO-20161208A-2轉庫存品
PO-20170316B-2</t>
  </si>
  <si>
    <t>庫存1PCS: NT$ 909
此次購買3PCS:NT$3037</t>
  </si>
  <si>
    <t>NG62199761</t>
  </si>
  <si>
    <t>PI-20170316A</t>
  </si>
  <si>
    <t>SPC-1840WP-MCKE</t>
  </si>
  <si>
    <t>\</t>
  </si>
  <si>
    <t>PO-20170316A</t>
  </si>
  <si>
    <t>NG63031811</t>
  </si>
  <si>
    <t>CX0622306MVW</t>
  </si>
  <si>
    <t>PO-109</t>
  </si>
  <si>
    <t>PI-20170317A</t>
  </si>
  <si>
    <t>UPORT 1150</t>
  </si>
  <si>
    <t>TNT Express (000107240)</t>
  </si>
  <si>
    <t>PO-20170317A</t>
  </si>
  <si>
    <t>NG79344484</t>
  </si>
  <si>
    <t>CR063763Q043</t>
  </si>
  <si>
    <t>TCF-142-S-SC</t>
  </si>
  <si>
    <t>PO222</t>
  </si>
  <si>
    <t>PI-20170319A</t>
  </si>
  <si>
    <t>Global Freight Forwarding (By AIR)</t>
  </si>
  <si>
    <t>PO-20170319A-3</t>
  </si>
  <si>
    <t>NH03799674</t>
  </si>
  <si>
    <t>CA0676000872</t>
  </si>
  <si>
    <t>同V186</t>
  </si>
  <si>
    <t>Sierra Module MC7304</t>
  </si>
  <si>
    <t>PO-20170319A-1</t>
  </si>
  <si>
    <t>20170413更改:
渣打國際商業銀行營業部
 01800126082</t>
  </si>
  <si>
    <t>NE48126257</t>
  </si>
  <si>
    <t>BTC013-1-79-500 
(WiFi Cable)</t>
  </si>
  <si>
    <t>見工單/EMO-20170319A(購買101 PCS，PI-20170319A只使用50PCS，其餘庫存品)</t>
  </si>
  <si>
    <t>SEC30</t>
  </si>
  <si>
    <t>BTC013-70-250-1
(4G &amp; GPS cable)</t>
  </si>
  <si>
    <t>見工單/EMO-20170319A(購買104 PCS，PI-20170319A只使用50PCS，其餘庫存品)</t>
  </si>
  <si>
    <t>PO-20170319A-4</t>
  </si>
  <si>
    <t>NG68026107</t>
  </si>
  <si>
    <t>P170317NP1</t>
  </si>
  <si>
    <t>PI-20170320A</t>
  </si>
  <si>
    <t>ADLINK MXE1301/M4G
(S/N:H322NS6001、6003、6007、6008、6012、6013、6015、6023、6029、H326NS6025)</t>
  </si>
  <si>
    <t>PO-20170320A-1</t>
  </si>
  <si>
    <t>NG83867994</t>
  </si>
  <si>
    <t>Windows XP Pro for Embedded Label (G82-00037)</t>
  </si>
  <si>
    <t>PO-20170320A-2</t>
  </si>
  <si>
    <t>NE34435593</t>
  </si>
  <si>
    <t>20170321-AA</t>
  </si>
  <si>
    <t>PI-20170321B</t>
  </si>
  <si>
    <t>C218 TURBO/PCI</t>
  </si>
  <si>
    <t>PO-20170321B</t>
  </si>
  <si>
    <t>NG79344649</t>
  </si>
  <si>
    <t>同AA152</t>
  </si>
  <si>
    <t>OPT8-M9</t>
  </si>
  <si>
    <t>同V192</t>
  </si>
  <si>
    <t>P170321NP0</t>
  </si>
  <si>
    <t>PI-20170321A-1</t>
  </si>
  <si>
    <t>Nuvo-5002LP
(S/N:H141005391/H141005401/H141005402)</t>
  </si>
  <si>
    <t>PO-20170321A-1(Revise)</t>
  </si>
  <si>
    <t>NE34933934</t>
  </si>
  <si>
    <t>CX0622308981</t>
  </si>
  <si>
    <t>MezIO-D220
(請Neousys 組裝)</t>
  </si>
  <si>
    <t>PI-20170321A-2</t>
  </si>
  <si>
    <t>Neousys Cable-S68MM-100</t>
  </si>
  <si>
    <t>Neousys TB-10</t>
  </si>
  <si>
    <t>Intel® Core™ i7-6700TE Processor
(向捷毅國際購買 Neousys 組裝)</t>
  </si>
  <si>
    <t>PO-20170321A-2</t>
  </si>
  <si>
    <t>NG99400585</t>
  </si>
  <si>
    <t>TS512MSH64V1H
(向創見購買. Neousys組裝)</t>
  </si>
  <si>
    <t>PO-20170321A-3</t>
  </si>
  <si>
    <t>NG62200034</t>
  </si>
  <si>
    <t>PI-20170322A-1</t>
  </si>
  <si>
    <t>UPS account: WF1740
(UPS Worldwide Express)</t>
  </si>
  <si>
    <t>PO-20170322A</t>
  </si>
  <si>
    <t>NE36761302</t>
  </si>
  <si>
    <t>CU0657BH4709</t>
  </si>
  <si>
    <t>1534-713-6551</t>
  </si>
  <si>
    <t>PO230</t>
  </si>
  <si>
    <t>PI-20170323B</t>
  </si>
  <si>
    <t>IB970 (standard BIOS)</t>
  </si>
  <si>
    <t>PO-20170323B</t>
  </si>
  <si>
    <t>NG46333196</t>
  </si>
  <si>
    <t>PO249</t>
  </si>
  <si>
    <t>PI-20170323C</t>
  </si>
  <si>
    <t>IB990AF
(1001700003)</t>
  </si>
  <si>
    <t>NG46333163</t>
  </si>
  <si>
    <t>PO260</t>
  </si>
  <si>
    <t>PI-20170323D</t>
  </si>
  <si>
    <t>TS2GPTM720
(7003760009)</t>
  </si>
  <si>
    <t>TNT EXPRESS 182056</t>
  </si>
  <si>
    <t>PO-20170323D</t>
  </si>
  <si>
    <t>NG62205717</t>
  </si>
  <si>
    <t>CR063763Q299</t>
  </si>
  <si>
    <t>17/0164M</t>
  </si>
  <si>
    <t>PI-20170323A</t>
  </si>
  <si>
    <t>NPC-4784
(Advantech ECU-4784-D55SAE)</t>
  </si>
  <si>
    <t>PO-20170323A</t>
  </si>
  <si>
    <t>NG63031984</t>
  </si>
  <si>
    <t>CX0622307N11</t>
  </si>
  <si>
    <t>PI-20170324B</t>
  </si>
  <si>
    <t>PO-20170324B</t>
  </si>
  <si>
    <t>NG79343966</t>
  </si>
  <si>
    <t>NE52095558</t>
  </si>
  <si>
    <t>3/29 台灣銀行@30.27</t>
  </si>
  <si>
    <t>P170323NP0</t>
  </si>
  <si>
    <t>PI-20170324A
(Leon組裝)</t>
  </si>
  <si>
    <t>PO-20170324A(Revise)</t>
  </si>
  <si>
    <t>NG83867995</t>
  </si>
  <si>
    <t>CX06223092HW</t>
  </si>
  <si>
    <r>
      <rPr>
        <sz val="10"/>
        <color rgb="FF000000"/>
        <rFont val="Arial"/>
        <family val="2"/>
      </rPr>
      <t xml:space="preserve">PI-20170324A
</t>
    </r>
    <r>
      <rPr>
        <sz val="10"/>
        <color rgb="FF000000"/>
        <rFont val="Arial"/>
        <family val="2"/>
      </rPr>
      <t>(Leon組裝)</t>
    </r>
  </si>
  <si>
    <t>ELGens</t>
  </si>
  <si>
    <t>見工單EMO-20151117A</t>
  </si>
  <si>
    <t>EMO-20151117A</t>
  </si>
  <si>
    <t>見工單EMO-20160319A</t>
  </si>
  <si>
    <t>EMO-20160319A</t>
  </si>
  <si>
    <t>PI-20170324A</t>
  </si>
  <si>
    <t>王銘盛(Leon)</t>
  </si>
  <si>
    <t>正職FAE組裝無成本</t>
  </si>
  <si>
    <t>FAE組裝無發票</t>
  </si>
  <si>
    <t>PI-20170327A</t>
  </si>
  <si>
    <t>Nexcom NISE 50</t>
  </si>
  <si>
    <t>PO-20170327A-1</t>
  </si>
  <si>
    <t>NE34435673</t>
  </si>
  <si>
    <t>CF06550FR852</t>
  </si>
  <si>
    <t>Transcend TS32GMSA370
(向創見購買 新漢組裝)</t>
  </si>
  <si>
    <t>Transcend創見到NEXCOM 新漢</t>
  </si>
  <si>
    <t>PO-20170327A-3</t>
  </si>
  <si>
    <t>NG62206649</t>
  </si>
  <si>
    <t>PI-20170328C</t>
  </si>
  <si>
    <t>1101790004
(PCE-5B09-04A1E) (Advantech)</t>
  </si>
  <si>
    <t>PO-20170328C-2</t>
  </si>
  <si>
    <t>NG63034926</t>
  </si>
  <si>
    <t>CB17-167</t>
  </si>
  <si>
    <t>PI-20170328A</t>
  </si>
  <si>
    <t>PO-20170328A</t>
  </si>
  <si>
    <t>NG89614086</t>
  </si>
  <si>
    <t>CR063763U536</t>
  </si>
  <si>
    <t>1101580003
(FAB116-8B3P3)</t>
  </si>
  <si>
    <t>PO-20170328C-1</t>
  </si>
  <si>
    <t>NG79423028</t>
  </si>
  <si>
    <t>PI-20170328B</t>
  </si>
  <si>
    <t>PO-20170328B</t>
  </si>
  <si>
    <t>NG63032437</t>
  </si>
  <si>
    <t>PI-20170331A</t>
  </si>
  <si>
    <t>1101590007
(SPE-9S-R11)</t>
  </si>
  <si>
    <t>PO-20170331A</t>
  </si>
  <si>
    <t>NG68026129</t>
  </si>
  <si>
    <t>CG063764F741</t>
  </si>
  <si>
    <t>JENLOGIX</t>
  </si>
  <si>
    <t>PI-20170405A</t>
  </si>
  <si>
    <t>DHL No. 969256739</t>
  </si>
  <si>
    <t>PO-20170405A</t>
  </si>
  <si>
    <t>NG79344604</t>
  </si>
  <si>
    <t>CX06223092HS</t>
  </si>
  <si>
    <t>PI-20170406B</t>
  </si>
  <si>
    <t>TS128GMSM360</t>
  </si>
  <si>
    <t>PO-20170406B</t>
  </si>
  <si>
    <t>NG62206448</t>
  </si>
  <si>
    <t>CF06550EM875</t>
  </si>
  <si>
    <t>PI-20170406A</t>
  </si>
  <si>
    <t>ADAM-6217-AE</t>
  </si>
  <si>
    <t>PO-20170406A</t>
  </si>
  <si>
    <t>NG63034771</t>
  </si>
  <si>
    <t>CX0622308SU2</t>
  </si>
  <si>
    <t>同V225</t>
  </si>
  <si>
    <t xml:space="preserve">Mustafa Sultan Science &amp; Industry </t>
  </si>
  <si>
    <t>FPO/13417</t>
  </si>
  <si>
    <t>PI-20170407A</t>
  </si>
  <si>
    <t>SFP-1GLXLC
(HS code: 85176200)</t>
  </si>
  <si>
    <t>DHL Global forwarding
(需要產地證明)</t>
  </si>
  <si>
    <t>APAC
前鼎光電</t>
  </si>
  <si>
    <t xml:space="preserve">見工單PO-20160126B </t>
  </si>
  <si>
    <t>CW060C306267</t>
  </si>
  <si>
    <t>PI-20170322A-2</t>
  </si>
  <si>
    <t>PO-20170322A-2</t>
  </si>
  <si>
    <t>NV53115213</t>
  </si>
  <si>
    <t>EDS-518E-4GTXSFP
(HS code: 85176200)</t>
  </si>
  <si>
    <t>PO-20170407A-1</t>
  </si>
  <si>
    <t>NX79343549</t>
  </si>
  <si>
    <t>EDS-510E-3GTXSFP
(HS code: 85176200)</t>
  </si>
  <si>
    <t>IKS-G6524A-4GTXSFPHV-HV
(HS code: 85176200)</t>
  </si>
  <si>
    <r>
      <rPr>
        <sz val="10"/>
        <color rgb="FF000000"/>
        <rFont val="arial,sans,sans-serif"/>
      </rPr>
      <t>APAC
前鼎光電-</t>
    </r>
    <r>
      <rPr>
        <sz val="10"/>
        <color rgb="FF000000"/>
        <rFont val="arial,sans,sans-serif"/>
      </rPr>
      <t>採購為TAMMY</t>
    </r>
  </si>
  <si>
    <t>見2017工單PI-20170407A</t>
  </si>
  <si>
    <t>NH06433193</t>
  </si>
  <si>
    <t>SFP-1GLHLC
(HS code: 85176200)</t>
  </si>
  <si>
    <t>同V227</t>
  </si>
  <si>
    <t>PI-20170407B</t>
  </si>
  <si>
    <t>5% custom refund tax</t>
  </si>
  <si>
    <t>EMS freight</t>
  </si>
  <si>
    <t>PI-20170410B</t>
  </si>
  <si>
    <t>PO-20170410B</t>
  </si>
  <si>
    <t>NY03799185</t>
  </si>
  <si>
    <t>CG063765B392</t>
  </si>
  <si>
    <t>PI-20170410C</t>
  </si>
  <si>
    <t>PO-20170410C</t>
  </si>
  <si>
    <t>NG79334789</t>
  </si>
  <si>
    <t>NE52095604</t>
  </si>
  <si>
    <t>對方敲定@ 30.3</t>
  </si>
  <si>
    <t>4/24掛號寄出</t>
  </si>
  <si>
    <t>P170409NP0</t>
  </si>
  <si>
    <t>PI-20170410A
(Leon 組裝)</t>
  </si>
  <si>
    <t>POC-212
(S/N:H160412185 / H160412186)</t>
  </si>
  <si>
    <t>PO-20170410A-1</t>
  </si>
  <si>
    <t>NE34933963</t>
  </si>
  <si>
    <t>CX0622309RGX</t>
  </si>
  <si>
    <r>
      <rPr>
        <sz val="10"/>
        <color rgb="FF000000"/>
        <rFont val="Arial"/>
        <family val="2"/>
      </rPr>
      <t xml:space="preserve">PI-20170410A
</t>
    </r>
    <r>
      <rPr>
        <sz val="10"/>
        <color rgb="FF000000"/>
        <rFont val="Arial"/>
        <family val="2"/>
      </rPr>
      <t>(Leon 組裝)</t>
    </r>
  </si>
  <si>
    <t>同V231</t>
  </si>
  <si>
    <t>PO-20170410A-2(Revise 2 )</t>
  </si>
  <si>
    <t>NG62206654</t>
  </si>
  <si>
    <t xml:space="preserve">SA Electroquip </t>
  </si>
  <si>
    <t>PI-20170410D</t>
  </si>
  <si>
    <t>Moxa C104H-DB9M</t>
  </si>
  <si>
    <t>PO-20170410D</t>
  </si>
  <si>
    <t>NG79344667</t>
  </si>
  <si>
    <t>CF06550EY631</t>
  </si>
  <si>
    <t>PI-20170412C</t>
  </si>
  <si>
    <t>PO-20170412C-3</t>
  </si>
  <si>
    <t>NX68026043</t>
  </si>
  <si>
    <t>CG063764V591</t>
  </si>
  <si>
    <t>11090R0004
(MC7430 mini PCIe)</t>
  </si>
  <si>
    <t>PO-20170412C-4</t>
  </si>
  <si>
    <t>NV48096012</t>
  </si>
  <si>
    <t>P170412NP0</t>
  </si>
  <si>
    <t>PI-20170412B</t>
  </si>
  <si>
    <t>ARCHMI-817 (APLEX)
(Serial NO.A3170402045)</t>
  </si>
  <si>
    <t>Aplex(維田)</t>
  </si>
  <si>
    <t>PO-20170412B</t>
  </si>
  <si>
    <t>NE34498427</t>
  </si>
  <si>
    <t>CX062230ALVC</t>
  </si>
  <si>
    <t>PO-20170412C-1</t>
  </si>
  <si>
    <t>NG46333239</t>
  </si>
  <si>
    <t>P170411NP1</t>
  </si>
  <si>
    <t>PI-20170412A</t>
  </si>
  <si>
    <t>OPE1503FBDTR</t>
  </si>
  <si>
    <t>Winnertek 旺安</t>
  </si>
  <si>
    <t>PO-20170412A</t>
  </si>
  <si>
    <t xml:space="preserve">合作金庫 新生分行 (006)
0947717334831 </t>
  </si>
  <si>
    <t>NE51426533</t>
  </si>
  <si>
    <t>PO013254</t>
  </si>
  <si>
    <t>PI-20170413A</t>
  </si>
  <si>
    <t>PO-20170413A</t>
  </si>
  <si>
    <t>NG83868651</t>
  </si>
  <si>
    <t>CH0646002253</t>
  </si>
  <si>
    <t>同V244</t>
  </si>
  <si>
    <t>MXC-6101D</t>
  </si>
  <si>
    <t>PI-20170419A</t>
  </si>
  <si>
    <t>PO-20170419A</t>
  </si>
  <si>
    <t>NG63035064</t>
  </si>
  <si>
    <t>CX062230A4AU</t>
  </si>
  <si>
    <t>PI-20170413B</t>
  </si>
  <si>
    <t>AIMB-275G2-00A1E</t>
  </si>
  <si>
    <t>PO-20170413B</t>
  </si>
  <si>
    <t>NG63034935</t>
  </si>
  <si>
    <t>CX0622309GGM</t>
  </si>
  <si>
    <t>P170418NP1</t>
  </si>
  <si>
    <r>
      <rPr>
        <sz val="10"/>
        <color rgb="FF000000"/>
        <rFont val="Arial"/>
        <family val="2"/>
      </rPr>
      <t xml:space="preserve">PI-20170418B
</t>
    </r>
    <r>
      <rPr>
        <sz val="10"/>
        <color rgb="FF000000"/>
        <rFont val="Arial"/>
        <family val="2"/>
      </rPr>
      <t>(Leon 組裝)</t>
    </r>
  </si>
  <si>
    <t>Neousys POC-330
(Serial No. H2100064)</t>
  </si>
  <si>
    <t>PO-20170418A(Revise)</t>
  </si>
  <si>
    <t>NV35033337</t>
  </si>
  <si>
    <t>同V320</t>
  </si>
  <si>
    <t>CX062230D6F6</t>
  </si>
  <si>
    <t>P170418NP0</t>
  </si>
  <si>
    <t>PI-20170418A</t>
  </si>
  <si>
    <t>Nuvo-5002LP
(Serial NO.H1805572/ H1806181/H1806182)</t>
  </si>
  <si>
    <t>NV35033301</t>
  </si>
  <si>
    <t>MezIO-D220(安裝在Serial NO.H1805572)</t>
  </si>
  <si>
    <t>同V247</t>
  </si>
  <si>
    <t>TS1GSK64W6H
(向創見購買. Leon組裝)</t>
  </si>
  <si>
    <t>工單MPO-20161115A</t>
  </si>
  <si>
    <t>工單庫存MPO-20161115A</t>
  </si>
  <si>
    <t>PO-20170418A-1</t>
  </si>
  <si>
    <t>NG99401141</t>
  </si>
  <si>
    <t>Transcend 創見
交Neousys組裝</t>
  </si>
  <si>
    <t>PO-20170418A-2</t>
  </si>
  <si>
    <t>NG62207453</t>
  </si>
  <si>
    <t>065270-1</t>
  </si>
  <si>
    <t>PI-20170419B</t>
  </si>
  <si>
    <t>MiracleTouch 10150050 V01</t>
  </si>
  <si>
    <t>TNT Economy 
account no: 2008044</t>
  </si>
  <si>
    <t xml:space="preserve"> CES閎亮</t>
  </si>
  <si>
    <t>PO-20170419B</t>
  </si>
  <si>
    <t>NV51709553</t>
  </si>
  <si>
    <t>CG063764Q323</t>
  </si>
  <si>
    <t>PI-20170420A</t>
  </si>
  <si>
    <t>PO-20170420A</t>
  </si>
  <si>
    <t>NX79343606</t>
  </si>
  <si>
    <t>NV52173002</t>
  </si>
  <si>
    <t>對方敲定@30.22</t>
  </si>
  <si>
    <t>5/11掛號寄出</t>
  </si>
  <si>
    <t>同V259</t>
  </si>
  <si>
    <t>同AA259</t>
  </si>
  <si>
    <t>PI-20170421B</t>
  </si>
  <si>
    <t>NX46333180</t>
  </si>
  <si>
    <t>CG063765M684</t>
  </si>
  <si>
    <t>PI-20170421A</t>
  </si>
  <si>
    <t>PO-20170421A</t>
  </si>
  <si>
    <t>NY03799041</t>
  </si>
  <si>
    <t>P170424NP0</t>
  </si>
  <si>
    <t>PI-20170424A</t>
  </si>
  <si>
    <t>ADLINK MXE-1301/M4G
(Serial NO.H519NS6002/H519NS6004/H519NS6023/H519NS6025)</t>
  </si>
  <si>
    <t>PO-20170424A</t>
  </si>
  <si>
    <t>NX83867441</t>
  </si>
  <si>
    <t>Syscom
凌羣電腦</t>
  </si>
  <si>
    <t>G106041570</t>
  </si>
  <si>
    <t>PI-20160831A-2</t>
  </si>
  <si>
    <t>見2017工單PI-20160831A-2(C117-144欄位)</t>
  </si>
  <si>
    <t>NV52173061</t>
  </si>
  <si>
    <t>6/15機車快遞寄出</t>
  </si>
  <si>
    <t>2.4 磁碟陣列</t>
  </si>
  <si>
    <t>P170424NP1</t>
  </si>
  <si>
    <t>PI-20170425A</t>
  </si>
  <si>
    <t>VECOW SPC-3520-300U
(S/N:Q16A525004)</t>
  </si>
  <si>
    <t>PO-20170425A-1</t>
  </si>
  <si>
    <t>NV38031563</t>
  </si>
  <si>
    <t>CX062230B96L</t>
  </si>
  <si>
    <t>VECOW PWA-120W</t>
  </si>
  <si>
    <t>同V270</t>
  </si>
  <si>
    <t>Transcend TS1GSH64V1H
(向VECOW購買與組裝)</t>
  </si>
  <si>
    <t>Transcend 創見
到Vecow組裝</t>
  </si>
  <si>
    <t>PO-20170425A-3</t>
  </si>
  <si>
    <t>NX62197873</t>
  </si>
  <si>
    <t>Meanwell SDR-120-24</t>
  </si>
  <si>
    <t>PO-20170425A-2</t>
  </si>
  <si>
    <t>NX89611969</t>
  </si>
  <si>
    <t>PI-20170428E</t>
  </si>
  <si>
    <t>pick up number UPS:1Z032RX78656027267</t>
  </si>
  <si>
    <t>2017/5/22
2017/6/16</t>
  </si>
  <si>
    <r>
      <rPr>
        <sz val="10"/>
        <color rgb="FF000000"/>
        <rFont val="Arial"/>
        <family val="2"/>
      </rPr>
      <t>5/15 出貨12PCS</t>
    </r>
    <r>
      <rPr>
        <sz val="10"/>
        <color rgb="FF000000"/>
        <rFont val="Arial"/>
        <family val="2"/>
      </rPr>
      <t xml:space="preserve">
6/23出貨8PCS</t>
    </r>
  </si>
  <si>
    <t>PO-20170428E-1</t>
  </si>
  <si>
    <r>
      <rPr>
        <sz val="10"/>
        <color rgb="FF000000"/>
        <rFont val="Arial"/>
        <family val="2"/>
      </rPr>
      <t>2017/7/5</t>
    </r>
    <r>
      <rPr>
        <sz val="10"/>
        <color rgb="FF000000"/>
        <rFont val="Arial"/>
        <family val="2"/>
      </rPr>
      <t xml:space="preserve">
2017/8/5</t>
    </r>
  </si>
  <si>
    <r>
      <rPr>
        <sz val="10"/>
        <color theme="1"/>
        <rFont val="Arial"/>
        <family val="2"/>
      </rPr>
      <t xml:space="preserve">2017/5/15
</t>
    </r>
    <r>
      <rPr>
        <sz val="10"/>
        <color theme="1"/>
        <rFont val="Arial"/>
        <family val="2"/>
      </rPr>
      <t>2017/6/13</t>
    </r>
  </si>
  <si>
    <r>
      <rPr>
        <sz val="10"/>
        <color theme="1"/>
        <rFont val="Arial"/>
        <family val="2"/>
      </rPr>
      <t xml:space="preserve">NX83867737
</t>
    </r>
    <r>
      <rPr>
        <sz val="10"/>
        <color theme="1"/>
        <rFont val="Arial"/>
        <family val="2"/>
      </rPr>
      <t>NX83868671</t>
    </r>
  </si>
  <si>
    <r>
      <rPr>
        <sz val="10"/>
        <color theme="1"/>
        <rFont val="Arial"/>
        <family val="2"/>
      </rPr>
      <t xml:space="preserve">同V282
</t>
    </r>
    <r>
      <rPr>
        <sz val="10"/>
        <color theme="1"/>
        <rFont val="Arial"/>
        <family val="2"/>
      </rPr>
      <t>24,044</t>
    </r>
  </si>
  <si>
    <t>2017/7/6
2017/8/4</t>
  </si>
  <si>
    <r>
      <rPr>
        <sz val="10"/>
        <color rgb="FF000000"/>
        <rFont val="Arial"/>
        <family val="2"/>
      </rPr>
      <t xml:space="preserve">CU0657BH5101
</t>
    </r>
    <r>
      <rPr>
        <sz val="10"/>
        <color rgb="FF000000"/>
        <rFont val="Arial"/>
        <family val="2"/>
      </rPr>
      <t>CX062230EH7A</t>
    </r>
  </si>
  <si>
    <t>PI-20170428B</t>
  </si>
  <si>
    <t>PO-20170428B</t>
  </si>
  <si>
    <t>NX46333181</t>
  </si>
  <si>
    <t>NX83867737</t>
  </si>
  <si>
    <t>CU0657BH5101</t>
  </si>
  <si>
    <t>NPort IA5150A</t>
  </si>
  <si>
    <t>PO-20170428E-2</t>
  </si>
  <si>
    <t>NX79343635</t>
  </si>
  <si>
    <t>330-17041529</t>
  </si>
  <si>
    <t>PI-20170428D</t>
  </si>
  <si>
    <t>PO-20170428D</t>
  </si>
  <si>
    <t>NX79343550</t>
  </si>
  <si>
    <t>NV52173000</t>
  </si>
  <si>
    <t>5/5央行@30.182</t>
  </si>
  <si>
    <t>5/8發票掛號寄出</t>
  </si>
  <si>
    <t>PI-20170428C</t>
  </si>
  <si>
    <t>ADAM-4570L-DE</t>
  </si>
  <si>
    <t>PO-20170428C</t>
  </si>
  <si>
    <t>NX63031318</t>
  </si>
  <si>
    <t>CX062230AWMH</t>
  </si>
  <si>
    <t>同V277</t>
  </si>
  <si>
    <t>ADAM-6520-BE</t>
  </si>
  <si>
    <t>CB17-198</t>
  </si>
  <si>
    <t>PI-20170428A</t>
  </si>
  <si>
    <t>RS-150-12</t>
  </si>
  <si>
    <t>PO-20170428A</t>
  </si>
  <si>
    <t>RS-150-3.3</t>
  </si>
  <si>
    <t>PI-20170503A</t>
  </si>
  <si>
    <t>PO-20170503A</t>
  </si>
  <si>
    <t>NVC00164003</t>
  </si>
  <si>
    <t>CX062230CQVR</t>
  </si>
  <si>
    <t>Freight For PI-20170503A</t>
  </si>
  <si>
    <t>NX22230561</t>
  </si>
  <si>
    <t>P170508NP0</t>
  </si>
  <si>
    <t>PI-20170509A
(Leon 組裝)</t>
  </si>
  <si>
    <t>POC-210
(Serial No. H2013261~H2013266)</t>
  </si>
  <si>
    <t>PO-20170509A-1</t>
  </si>
  <si>
    <t>NV35033321</t>
  </si>
  <si>
    <t>CX062230CN9H</t>
  </si>
  <si>
    <r>
      <rPr>
        <sz val="10"/>
        <color rgb="FF000000"/>
        <rFont val="Arial"/>
        <family val="2"/>
      </rPr>
      <t xml:space="preserve">PI-20170509A
</t>
    </r>
    <r>
      <rPr>
        <sz val="10"/>
        <color rgb="FF000000"/>
        <rFont val="Arial"/>
        <family val="2"/>
      </rPr>
      <t>(Leon 組裝)</t>
    </r>
  </si>
  <si>
    <t>同V292</t>
  </si>
  <si>
    <t>PO-20170509A-2</t>
  </si>
  <si>
    <t>NX62198787</t>
  </si>
  <si>
    <t>PI-20170508A</t>
  </si>
  <si>
    <t>PO-20170508A</t>
  </si>
  <si>
    <t>NX63031485</t>
  </si>
  <si>
    <t>CX062230BLDH</t>
  </si>
  <si>
    <t>ADAM-6260-AE</t>
  </si>
  <si>
    <t>同V289</t>
  </si>
  <si>
    <t>PI-20170509B</t>
  </si>
  <si>
    <t>ADAM-6251-AE</t>
  </si>
  <si>
    <t>PO-20170509B</t>
  </si>
  <si>
    <t>NX63034987</t>
  </si>
  <si>
    <t>CW0648602249</t>
  </si>
  <si>
    <t>PO-P-I170012</t>
  </si>
  <si>
    <t>PI-20170510A</t>
  </si>
  <si>
    <t>PO-20170510A</t>
  </si>
  <si>
    <t>NX79343699</t>
  </si>
  <si>
    <t>CG063764V931</t>
  </si>
  <si>
    <t>MB3180</t>
  </si>
  <si>
    <t>同V295</t>
  </si>
  <si>
    <t>ADAM-4050-DE</t>
  </si>
  <si>
    <t>NX63031486</t>
  </si>
  <si>
    <t>PI-20170512A</t>
  </si>
  <si>
    <t>TDM-150SB</t>
  </si>
  <si>
    <t>UPS Standard/Expedited
Account no.: WF1740</t>
  </si>
  <si>
    <t>見2017工單PI-20170512A(C161-162欄位)</t>
  </si>
  <si>
    <t>CU0657BF4528</t>
  </si>
  <si>
    <t>1Z1913EE6795408103</t>
  </si>
  <si>
    <t>P170513VJ0</t>
  </si>
  <si>
    <t>PI-20170515A</t>
  </si>
  <si>
    <t>DIN Rail Kit for SPC-2000 / SPC-3000</t>
  </si>
  <si>
    <t>6/1PM</t>
  </si>
  <si>
    <t>PO-20170515A</t>
  </si>
  <si>
    <t>NV38031574</t>
  </si>
  <si>
    <t>VECOW SPC-3520-300U
(Serial No. Q16A525001、Q16A525007~Q16A525010)</t>
  </si>
  <si>
    <t>同V300</t>
  </si>
  <si>
    <t>Additional two year warranty for SPC-3520-300U</t>
  </si>
  <si>
    <t>同P300</t>
  </si>
  <si>
    <t>PI-20170515C
(Leon 灌新軟體+標籤)
(2017/6/21 已付佣金)</t>
  </si>
  <si>
    <t>PO-20170515C</t>
  </si>
  <si>
    <t>NV35301201</t>
  </si>
  <si>
    <t>MOXA
四零四</t>
  </si>
  <si>
    <t>PI-20170515B</t>
  </si>
  <si>
    <t>AIMB-242QG2-M7A1E</t>
  </si>
  <si>
    <t>PO-20170515B</t>
  </si>
  <si>
    <t>NX63032015</t>
  </si>
  <si>
    <t>NV52173009</t>
  </si>
  <si>
    <t>對方敲定@30</t>
  </si>
  <si>
    <t>5/31 隨貨寄出</t>
  </si>
  <si>
    <t>P170516NP0</t>
  </si>
  <si>
    <t>PI-20170516B</t>
  </si>
  <si>
    <t>ECS-8000-2R850Q
(Serial No.S17A840044~S17A840045)</t>
  </si>
  <si>
    <t>PO-20170516B-1</t>
  </si>
  <si>
    <t>NV38031586</t>
  </si>
  <si>
    <t>CX062230FQBG</t>
  </si>
  <si>
    <t>065336-1</t>
  </si>
  <si>
    <t>PI-20170516A</t>
  </si>
  <si>
    <t>N173FGE-L23</t>
  </si>
  <si>
    <t>TNT Economy, account no: 2008044</t>
  </si>
  <si>
    <t>見2017工單PI-20170516A(C166欄位)</t>
  </si>
  <si>
    <t>CG063765Q330</t>
  </si>
  <si>
    <t>M3S0-8GSSDLPC
(向宜鼎購買 VECOW組裝)</t>
  </si>
  <si>
    <t>PO-20170516B-2</t>
  </si>
  <si>
    <t>NX67921931</t>
  </si>
  <si>
    <t>N173FGE-E23</t>
  </si>
  <si>
    <t>見2017工單PI-20170516A(C166-169欄位)</t>
  </si>
  <si>
    <t>LTEM-952
(BR-8080RB-00P)</t>
  </si>
  <si>
    <t>LTEM-952 CABLES KIT</t>
  </si>
  <si>
    <t xml:space="preserve">20170516-AA </t>
  </si>
  <si>
    <t>PI-20170517A</t>
  </si>
  <si>
    <t>MGate MB3180</t>
  </si>
  <si>
    <t>PO-20170517A</t>
  </si>
  <si>
    <t>NX79343832</t>
  </si>
  <si>
    <t>NV52173006</t>
  </si>
  <si>
    <t>5/24 台灣銀行@30.15</t>
  </si>
  <si>
    <t>5/25掛號寄出</t>
  </si>
  <si>
    <t>ioLogik E2210</t>
  </si>
  <si>
    <t>同V313</t>
  </si>
  <si>
    <t>同AA313</t>
  </si>
  <si>
    <t>PI-20170518D</t>
  </si>
  <si>
    <t>7008000370
( 8MS9P1B05M1RES-5)</t>
  </si>
  <si>
    <t>PO-20170518D</t>
  </si>
  <si>
    <t>PP03798966</t>
  </si>
  <si>
    <t>CX062230GTKS</t>
  </si>
  <si>
    <t>PI-20170518C</t>
  </si>
  <si>
    <t>PO-20170518C</t>
  </si>
  <si>
    <t>NX63032031</t>
  </si>
  <si>
    <t>CX062230D47Q</t>
  </si>
  <si>
    <t>DHL-8217137460</t>
  </si>
  <si>
    <t>NX63031997</t>
  </si>
  <si>
    <t>PI-20170518A</t>
  </si>
  <si>
    <t>PO-20170518A</t>
  </si>
  <si>
    <t>NX89613254</t>
  </si>
  <si>
    <t>CR063765A487</t>
  </si>
  <si>
    <t>CB17-251</t>
  </si>
  <si>
    <t>PI-20170518B</t>
  </si>
  <si>
    <t>RS-25-5</t>
  </si>
  <si>
    <t>同V314</t>
  </si>
  <si>
    <t>PI-20170519A</t>
  </si>
  <si>
    <t>POC-320 w/ 8GB RAM
(Serial No. H2400019)</t>
  </si>
  <si>
    <t>PO-20170519A</t>
  </si>
  <si>
    <t>NV35033367</t>
  </si>
  <si>
    <t>PO-023</t>
  </si>
  <si>
    <t>PI-20170519C</t>
  </si>
  <si>
    <t>PO-20170519C</t>
  </si>
  <si>
    <t>NX79343934</t>
  </si>
  <si>
    <t>CR063765E418</t>
  </si>
  <si>
    <t>TNT-403441695</t>
  </si>
  <si>
    <t>同V324</t>
  </si>
  <si>
    <t>P170519NP0</t>
  </si>
  <si>
    <r>
      <rPr>
        <sz val="10"/>
        <color rgb="FF000000"/>
        <rFont val="Arial"/>
        <family val="2"/>
      </rPr>
      <t xml:space="preserve">PI-20170519B
</t>
    </r>
    <r>
      <rPr>
        <sz val="10"/>
        <color rgb="FF000000"/>
        <rFont val="Arial"/>
        <family val="2"/>
      </rPr>
      <t>(Leon 組裝)</t>
    </r>
  </si>
  <si>
    <t>POC-212
(Serial No. H2113360~H2113361)</t>
  </si>
  <si>
    <t>PO-20170519B-1</t>
  </si>
  <si>
    <t>PO-20170519B-2</t>
  </si>
  <si>
    <t>NX62199493</t>
  </si>
  <si>
    <t>Masibus Automation  (FZC)</t>
  </si>
  <si>
    <t>ORD/1717/05/2017</t>
  </si>
  <si>
    <t>PI-20170522B</t>
  </si>
  <si>
    <t>MGate MB3660-8-2AC</t>
  </si>
  <si>
    <t>RATTAN EXPRESS(Air Freight )</t>
  </si>
  <si>
    <t>PO-20170522B</t>
  </si>
  <si>
    <t>NX79344933</t>
  </si>
  <si>
    <t>CH0629800507</t>
  </si>
  <si>
    <t>1-V
2-V</t>
  </si>
  <si>
    <t>MGate MB3660-16-2AC</t>
  </si>
  <si>
    <t>同V325</t>
  </si>
  <si>
    <t>Mini DB9F-to-TB Adapter</t>
  </si>
  <si>
    <t>P170526NP0</t>
  </si>
  <si>
    <t>PI-20170523A
(Leon 組裝 需2個工作天)</t>
  </si>
  <si>
    <t>POC-212
(Serial No. H2514405~H2514424)</t>
  </si>
  <si>
    <t>PO-20170523A-1</t>
  </si>
  <si>
    <t>NV35033370</t>
  </si>
  <si>
    <t>CX062230F1H5</t>
  </si>
  <si>
    <t xml:space="preserve">TS512MSK64W6H-I </t>
  </si>
  <si>
    <t>PO-20170523A-2</t>
  </si>
  <si>
    <t>NX62206762</t>
  </si>
  <si>
    <t>TS128GSSD420I</t>
  </si>
  <si>
    <t>同V331</t>
  </si>
  <si>
    <t>PI-20170525A</t>
  </si>
  <si>
    <t>PO-20170525A</t>
  </si>
  <si>
    <t>NX63034905</t>
  </si>
  <si>
    <t>同V338</t>
  </si>
  <si>
    <t>AIMB-R43PF-21A1E</t>
  </si>
  <si>
    <t>PI-20170524B</t>
  </si>
  <si>
    <t>PO-20170524B</t>
  </si>
  <si>
    <t>NV00164006</t>
  </si>
  <si>
    <t>CX062230E0FE</t>
  </si>
  <si>
    <t>PI-20170524D</t>
  </si>
  <si>
    <t>PO-20170524D</t>
  </si>
  <si>
    <t>NX79344552</t>
  </si>
  <si>
    <t>NV52173050</t>
  </si>
  <si>
    <t>對方敲定@30.1</t>
  </si>
  <si>
    <t>6/12掛號寄出</t>
  </si>
  <si>
    <t>同V336</t>
  </si>
  <si>
    <t>同AA337</t>
  </si>
  <si>
    <t>PI-20170524A</t>
  </si>
  <si>
    <t>PO-20170524A</t>
  </si>
  <si>
    <t>NX46333144</t>
  </si>
  <si>
    <t>CG063765G53</t>
  </si>
  <si>
    <t>PI-20170524C</t>
  </si>
  <si>
    <t>PO-20170524C</t>
  </si>
  <si>
    <t>NX63031998</t>
  </si>
  <si>
    <t>Freight For PI-20170524B</t>
  </si>
  <si>
    <t>NX22269341</t>
  </si>
  <si>
    <t>330-17051844</t>
  </si>
  <si>
    <t>PI-20170526B</t>
  </si>
  <si>
    <t>PO-20170526B</t>
  </si>
  <si>
    <t>NX79344677</t>
  </si>
  <si>
    <t>NV52173056</t>
  </si>
  <si>
    <t>6/15央行@30.247</t>
  </si>
  <si>
    <t>6/15發票掛號寄出</t>
  </si>
  <si>
    <t>9044-TD7225</t>
  </si>
  <si>
    <t>PI-20170526A</t>
  </si>
  <si>
    <t>MGate MB3180 w/ EU adapter</t>
  </si>
  <si>
    <t>JJB (Freight) Taiwan-FOB</t>
  </si>
  <si>
    <t>PO-20170526A</t>
  </si>
  <si>
    <t>NX79344548</t>
  </si>
  <si>
    <t>CH060F403181</t>
  </si>
  <si>
    <t>PI-20170526C</t>
  </si>
  <si>
    <t>PO-20170526C</t>
  </si>
  <si>
    <t>NX68026086</t>
  </si>
  <si>
    <t>PI-20170530B</t>
  </si>
  <si>
    <t>11090R0005
(MC7455)</t>
  </si>
  <si>
    <t>PO-20170530B(Revise)</t>
  </si>
  <si>
    <t>NV48096085</t>
  </si>
  <si>
    <t>CG063768S158</t>
  </si>
  <si>
    <t>TNT-424008690
FEDEX-779550913142</t>
  </si>
  <si>
    <t>PI-20170530A</t>
  </si>
  <si>
    <t>PoE board for Road Camera</t>
  </si>
  <si>
    <t>此單暫不計算</t>
  </si>
  <si>
    <t>PI-20170531A</t>
  </si>
  <si>
    <t>PO-20170531A</t>
  </si>
  <si>
    <t>NV00164007</t>
  </si>
  <si>
    <t>Freight For PI-20170531A</t>
  </si>
  <si>
    <t>同P334</t>
  </si>
  <si>
    <t>同V334</t>
  </si>
  <si>
    <t>PI-20170601A</t>
  </si>
  <si>
    <t>PO-20170601A</t>
  </si>
  <si>
    <t>NX63034964</t>
  </si>
  <si>
    <t>ADAM-6052-CE</t>
  </si>
  <si>
    <t>PO-20170601A-1</t>
  </si>
  <si>
    <t>NX63034891</t>
  </si>
  <si>
    <t>PI-20170601C</t>
  </si>
  <si>
    <t>PO-20170601C</t>
  </si>
  <si>
    <t>NX79344613</t>
  </si>
  <si>
    <t>CF06550NG533</t>
  </si>
  <si>
    <t>PO014053</t>
  </si>
  <si>
    <t>PI-20170601B</t>
  </si>
  <si>
    <t>PO-20170601B</t>
  </si>
  <si>
    <t>NX83868559</t>
  </si>
  <si>
    <t>CH0646002353</t>
  </si>
  <si>
    <t>同V355</t>
  </si>
  <si>
    <t>新漢智能</t>
  </si>
  <si>
    <t>Evaluation(10/17借轉銷)
PI-20170605B</t>
  </si>
  <si>
    <t>LPC-104S w/4GB DDR3L RAM</t>
  </si>
  <si>
    <t>見2017工單PI-20170605B</t>
  </si>
  <si>
    <t>QB52197206</t>
  </si>
  <si>
    <t>10/17掛號寄出</t>
  </si>
  <si>
    <t>065380-1</t>
  </si>
  <si>
    <t>PI-20170605A</t>
  </si>
  <si>
    <t>CES Group 閎亮/捷毅</t>
  </si>
  <si>
    <t>見2017工單PI-20170605A</t>
  </si>
  <si>
    <t>CG063765S646</t>
  </si>
  <si>
    <t>pick up TNT number 
 TPY 1706115
477855925</t>
  </si>
  <si>
    <t>PI-20170606A</t>
  </si>
  <si>
    <t>SPL-24-T V1.0.1</t>
  </si>
  <si>
    <t>PO-20170606A</t>
  </si>
  <si>
    <t>NX79344671</t>
  </si>
  <si>
    <t>CX062230EH7A</t>
  </si>
  <si>
    <t>PI-20170607A-2</t>
  </si>
  <si>
    <t>PO-20170607A(Revise-2)</t>
  </si>
  <si>
    <t>PL53026279</t>
  </si>
  <si>
    <t>CU0657BJ4023</t>
  </si>
  <si>
    <t>1Z 191 3EE 67 90124071</t>
  </si>
  <si>
    <t>PI-20170607A-1</t>
  </si>
  <si>
    <t>PL53026256</t>
  </si>
  <si>
    <t>CU0657BF5205</t>
  </si>
  <si>
    <t>1Z1913EE6795415131</t>
  </si>
  <si>
    <t>PI-20170608B
(Leon 測試)</t>
  </si>
  <si>
    <t>LPC-P173WH-ACTE
(0619 客戶要求變更成鋁前框)</t>
  </si>
  <si>
    <t>TNT economy
account # 002016562.</t>
  </si>
  <si>
    <t>見工單RDMO-20170511A及RDMO-20170511A-5及RDMO-20170511A-7</t>
  </si>
  <si>
    <t>CG06376A7663</t>
  </si>
  <si>
    <t>見工單RDMO-20170511A-8</t>
  </si>
  <si>
    <t>TS1GSH64V1H-I</t>
  </si>
  <si>
    <t>Transcend 創見到閎亮組裝</t>
  </si>
  <si>
    <t>見工單RDMO-20170511A-9</t>
  </si>
  <si>
    <t>TS64GSSD420KI</t>
  </si>
  <si>
    <t>見工單RDMO-20170511A-10</t>
  </si>
  <si>
    <t>PI-20170608B
(Leon 組裝軟體及測試)</t>
  </si>
  <si>
    <t>Win10 IoT Ent LTSB 2016 MultiLang OEI High End (ESD)
(6EU-00029)</t>
  </si>
  <si>
    <t>見工單RDMO-20170511A-11</t>
  </si>
  <si>
    <t>PI-20170608B</t>
  </si>
  <si>
    <t>Optical bonding</t>
  </si>
  <si>
    <t>見2017工單RDMO-20170511A-6</t>
  </si>
  <si>
    <t>PI-20170608A</t>
  </si>
  <si>
    <t>見2017工單PI-20170608A
(購買100PCS，此次出貨50PCS)</t>
  </si>
  <si>
    <t>PO-P-I170030</t>
  </si>
  <si>
    <t>PI-20170610A</t>
  </si>
  <si>
    <t>NPort 5130</t>
  </si>
  <si>
    <t>PO-20170610A</t>
  </si>
  <si>
    <t>NX79344743</t>
  </si>
  <si>
    <t>CR063765V741</t>
  </si>
  <si>
    <t>同V375</t>
  </si>
  <si>
    <t>Mini DB9F-to-TB</t>
  </si>
  <si>
    <t>P170609NP1</t>
  </si>
  <si>
    <t>PI-20170612A</t>
  </si>
  <si>
    <t>OP-080S (w/DC 24V)
(Serial No. C2061706001 ~C2061706005)</t>
  </si>
  <si>
    <t>DHL account # 968398926</t>
  </si>
  <si>
    <t>PO-20170612A</t>
  </si>
  <si>
    <t>NV51709636</t>
  </si>
  <si>
    <t>P170609NP2</t>
  </si>
  <si>
    <r>
      <rPr>
        <sz val="10"/>
        <color rgb="FF000000"/>
        <rFont val="Arial"/>
        <family val="2"/>
      </rPr>
      <t xml:space="preserve">PI-20170612B
</t>
    </r>
    <r>
      <rPr>
        <sz val="10"/>
        <color rgb="FF000000"/>
        <rFont val="Arial"/>
        <family val="2"/>
      </rPr>
      <t xml:space="preserve"> (Leon組裝)</t>
    </r>
  </si>
  <si>
    <t>PO-20170612B-2</t>
  </si>
  <si>
    <t>NX62206939</t>
  </si>
  <si>
    <t>POC-212
(Serial No. H2514402~H2514404)</t>
  </si>
  <si>
    <t>PO-20170612B-1</t>
  </si>
  <si>
    <t>NV35033371</t>
  </si>
  <si>
    <t>同V381</t>
  </si>
  <si>
    <t>PI-20170613D
(Leon 灌新軟體+標籤)</t>
  </si>
  <si>
    <t>PO-20170613D</t>
  </si>
  <si>
    <t>國泰世華銀行 美金帳戶
002-08-035588-5</t>
  </si>
  <si>
    <t>PL55705052</t>
  </si>
  <si>
    <t>9067-8102SI</t>
  </si>
  <si>
    <t>PI-20170613B</t>
  </si>
  <si>
    <t>N series AD board kits
(MB-215-94 V1)</t>
  </si>
  <si>
    <t>JJB (Freight) EX-WORK</t>
  </si>
  <si>
    <t>Linkface凌飛</t>
  </si>
  <si>
    <t>PO-20170613B-1</t>
  </si>
  <si>
    <t>NV53185410</t>
  </si>
  <si>
    <t>CH060F403773</t>
  </si>
  <si>
    <t>P170613NP0</t>
  </si>
  <si>
    <t>PI-20170613A</t>
  </si>
  <si>
    <t>ECS-8000-2R850Q
(Serial No.S17A840051~S17A840058)</t>
  </si>
  <si>
    <t>PO-20170613A(Revise)</t>
  </si>
  <si>
    <t>NV38031594</t>
  </si>
  <si>
    <t>Advantech研華貨到
Linkface</t>
  </si>
  <si>
    <t>PO-20170613B-2</t>
  </si>
  <si>
    <t>NX63034347</t>
  </si>
  <si>
    <t>9062-TD7228</t>
  </si>
  <si>
    <t>PI-20170613C</t>
  </si>
  <si>
    <t>CP-118U-I</t>
  </si>
  <si>
    <t>PO-20170613C</t>
  </si>
  <si>
    <t>NX79344811</t>
  </si>
  <si>
    <t>CH060F403769</t>
  </si>
  <si>
    <t>CBL-M78M9x8-100</t>
  </si>
  <si>
    <t>同V385</t>
  </si>
  <si>
    <t>PI-20170614A</t>
  </si>
  <si>
    <t>PO-20170614A-1</t>
  </si>
  <si>
    <t>PL34447484</t>
  </si>
  <si>
    <t>CF06550SU814</t>
  </si>
  <si>
    <t>同V388</t>
  </si>
  <si>
    <t>PO-20170614A-2</t>
  </si>
  <si>
    <t>PN99400368</t>
  </si>
  <si>
    <t>Koning &amp; Hartman
(Belgium)</t>
  </si>
  <si>
    <t>PI-20170614B</t>
  </si>
  <si>
    <t>PO-20170614B</t>
  </si>
  <si>
    <t>NX63037598</t>
  </si>
  <si>
    <t>CX062230FZPR</t>
  </si>
  <si>
    <t>同V392</t>
  </si>
  <si>
    <t>PI-20170616C</t>
  </si>
  <si>
    <t>PO-20170616C-1</t>
  </si>
  <si>
    <t>PL34447552</t>
  </si>
  <si>
    <t>CF06550VY540</t>
  </si>
  <si>
    <t>同V396</t>
  </si>
  <si>
    <t>Intel® Core™ i5-520M
(向捷毅國際購買,交由新漢組裝)</t>
  </si>
  <si>
    <t>PO-20170616C-2</t>
  </si>
  <si>
    <t>PN99400383</t>
  </si>
  <si>
    <t>PI-20170616B</t>
  </si>
  <si>
    <t>MXC-2300-3E1
(Serial No. : H652NS6006、H652NS6008、H652NS6018、H652NS6021、H652NS6022)</t>
  </si>
  <si>
    <t>PO-20170616B</t>
  </si>
  <si>
    <t>PN83867521</t>
  </si>
  <si>
    <t>CX062230GBEK</t>
  </si>
  <si>
    <t>PI-20170616A</t>
  </si>
  <si>
    <t>Moxa Nport 5130</t>
  </si>
  <si>
    <t>PO-20170616A</t>
  </si>
  <si>
    <t>NX79344793</t>
  </si>
  <si>
    <t>CF06550PK585</t>
  </si>
  <si>
    <t>PI-20170619C</t>
  </si>
  <si>
    <t>PO-20170619C(Revise-2)</t>
  </si>
  <si>
    <t>PL53026310</t>
  </si>
  <si>
    <t>CU0657BJ4457</t>
  </si>
  <si>
    <t>1Z1913EE6797708795</t>
  </si>
  <si>
    <t>PI-20170619B</t>
  </si>
  <si>
    <t>Aluminum front bezel</t>
  </si>
  <si>
    <t>1332017</t>
  </si>
  <si>
    <t>PI-20170619A</t>
  </si>
  <si>
    <t>IES-1062 FX-SS-SC</t>
  </si>
  <si>
    <t>ORING</t>
  </si>
  <si>
    <t>PO-20170619A</t>
  </si>
  <si>
    <t>富邦銀行西湖分行
668120002393</t>
  </si>
  <si>
    <t>PL08841500</t>
  </si>
  <si>
    <t>CF06550QR507</t>
  </si>
  <si>
    <t>63450</t>
  </si>
  <si>
    <t>PO-20170619B</t>
  </si>
  <si>
    <t>NV00164008</t>
  </si>
  <si>
    <t>CX062230FZQB</t>
  </si>
  <si>
    <t>Freight For PI-20170619B</t>
  </si>
  <si>
    <t>PN22208924</t>
  </si>
  <si>
    <t>PI-20170621B</t>
  </si>
  <si>
    <t>LPC-150SJ-02 w/ 3-pin power adapter</t>
  </si>
  <si>
    <t>見2017工單 PI-20170621B(204及206欄位)</t>
  </si>
  <si>
    <t>PL51629072</t>
  </si>
  <si>
    <t>此發票8月出口報關:CG06376A7663(已交由會計)</t>
  </si>
  <si>
    <t>CX062230PBNK</t>
  </si>
  <si>
    <t xml:space="preserve">ELS-3160S1 w/Antenna design </t>
  </si>
  <si>
    <t>開偉</t>
  </si>
  <si>
    <t>見2017工單 PI-20170621B(207欄位)</t>
  </si>
  <si>
    <t>PL48482424</t>
  </si>
  <si>
    <t>CW0601460329</t>
  </si>
  <si>
    <t xml:space="preserve">TS64GSSD420I </t>
  </si>
  <si>
    <t>PO-20170621B</t>
  </si>
  <si>
    <t>PN62198441</t>
  </si>
  <si>
    <t>PN62198383</t>
  </si>
  <si>
    <t>P1706621VJ0</t>
  </si>
  <si>
    <t>PI-20170621A</t>
  </si>
  <si>
    <t>VECOW SPC-3520-300U
(S/N:Q17A525002~Q17A525010)</t>
  </si>
  <si>
    <t>PO-20170621A-1</t>
  </si>
  <si>
    <t>PL37870602</t>
  </si>
  <si>
    <t>同V405</t>
  </si>
  <si>
    <t>同P405</t>
  </si>
  <si>
    <t>PO-20170621A-2</t>
  </si>
  <si>
    <t>PN89612232</t>
  </si>
  <si>
    <t>PI-20170621C</t>
  </si>
  <si>
    <t>PO-20170621C</t>
  </si>
  <si>
    <t>NX63035372</t>
  </si>
  <si>
    <t>CW0648602392</t>
  </si>
  <si>
    <t>同V414</t>
  </si>
  <si>
    <t>PCI-1612C-CE</t>
  </si>
  <si>
    <t>PI-20170622B</t>
  </si>
  <si>
    <t>PO-20170622B</t>
  </si>
  <si>
    <t>QU79343582</t>
  </si>
  <si>
    <t>QS52572203</t>
  </si>
  <si>
    <t>11/8 台灣銀行@30.185</t>
  </si>
  <si>
    <t>PI-20170622A</t>
  </si>
  <si>
    <t>PO-20170622A</t>
  </si>
  <si>
    <t>PN79344841</t>
  </si>
  <si>
    <t>PL52081553</t>
  </si>
  <si>
    <t>8/25 台灣銀行@30.23</t>
  </si>
  <si>
    <t>PI-20170622C</t>
  </si>
  <si>
    <t>PO-20170622C-1</t>
  </si>
  <si>
    <t>同V395</t>
  </si>
  <si>
    <t>CU0657BH6690</t>
  </si>
  <si>
    <t>ACL-6126</t>
  </si>
  <si>
    <t>PO-20170622C-2</t>
  </si>
  <si>
    <t>PN79343488</t>
  </si>
  <si>
    <t>同V423</t>
  </si>
  <si>
    <t>PI-20170622D</t>
  </si>
  <si>
    <t>PO-20170622D</t>
  </si>
  <si>
    <t>同V349</t>
  </si>
  <si>
    <t>見工單EMO-20170319A</t>
  </si>
  <si>
    <t>Alcom</t>
  </si>
  <si>
    <t>PO133744-1</t>
  </si>
  <si>
    <t>PI-20170626A</t>
  </si>
  <si>
    <t>CP-118EL-A w/o Cable</t>
  </si>
  <si>
    <t>PO-20170626A</t>
  </si>
  <si>
    <t>QD79343833</t>
  </si>
  <si>
    <t>CG06376D6650</t>
  </si>
  <si>
    <t>P170626VJ0</t>
  </si>
  <si>
    <t>PI-20170626B
(Leon組裝)</t>
  </si>
  <si>
    <t>PO-20170626B</t>
  </si>
  <si>
    <t>PN83868510</t>
  </si>
  <si>
    <t>CW0610012601</t>
  </si>
  <si>
    <t>618-47139853</t>
  </si>
  <si>
    <t>同V430</t>
  </si>
  <si>
    <t>NX83869026</t>
  </si>
  <si>
    <t>同V429</t>
  </si>
  <si>
    <t>PO014109</t>
  </si>
  <si>
    <t>PI-20170627A</t>
  </si>
  <si>
    <t>PO-20170627A</t>
  </si>
  <si>
    <t>PN83868921</t>
  </si>
  <si>
    <t>CH0646002568</t>
  </si>
  <si>
    <t>同V436</t>
  </si>
  <si>
    <t>PO_170627-1</t>
  </si>
  <si>
    <t>PI-20170627B</t>
  </si>
  <si>
    <t>PO-20170627B</t>
  </si>
  <si>
    <t>PN79343686</t>
  </si>
  <si>
    <t>PL52081505</t>
  </si>
  <si>
    <t>對方敲定@30.41</t>
  </si>
  <si>
    <t>7/17掛號寄出</t>
  </si>
  <si>
    <t>同V439</t>
  </si>
  <si>
    <t>同AA439</t>
  </si>
  <si>
    <t>17/0327M</t>
  </si>
  <si>
    <t>PI-20170628A</t>
  </si>
  <si>
    <t>PO-20170628A</t>
  </si>
  <si>
    <t>PN63031650</t>
  </si>
  <si>
    <t>CX062230GBG5</t>
  </si>
  <si>
    <t>PI-20170629A</t>
  </si>
  <si>
    <t>PO-20170629A</t>
  </si>
  <si>
    <t>PN63031488</t>
  </si>
  <si>
    <t>CX062230HXU4</t>
  </si>
  <si>
    <t>PO-042</t>
  </si>
  <si>
    <t>PI-20170629B</t>
  </si>
  <si>
    <t>NPort 5110A w/ EU adapter
(出貨invoice &amp; packing list移除 adapter 字眼. 避免海闗查)
(加HSN code: 85176970在invoice備註中)</t>
  </si>
  <si>
    <t>PO-20170629B</t>
  </si>
  <si>
    <t>PN79343511</t>
  </si>
  <si>
    <t>CX062230GKPA</t>
  </si>
  <si>
    <t>DHL-4985742134</t>
  </si>
  <si>
    <t>NPort 5110 w/ EU adapter
(出貨invoice &amp; packing list移除 adapter 字眼. 避免海闗查)
(加HSN code: 85176970在invoice備註中)</t>
  </si>
  <si>
    <t>同V452</t>
  </si>
  <si>
    <t>NPort 5130 w/ EU adapter
(出貨invoice &amp; packing list移除 adapter 字眼. 避免海闗查)
(加HSN code: 85176970在invoice備註中)</t>
  </si>
  <si>
    <t>NPort 5150 w/ EU adapter1150I
(出貨invoice &amp; packing list移除 adapter 字眼. 避免海闗查)
(加HSN code: 85176970在invoice備註中)</t>
  </si>
  <si>
    <t>UPORT 1150
(加HSN code: 85176970在invoice備註中)</t>
  </si>
  <si>
    <t>280617-42S</t>
  </si>
  <si>
    <t>PI-20170629C</t>
  </si>
  <si>
    <t>MeanWell DR-4512</t>
  </si>
  <si>
    <t>PO-20170629C</t>
  </si>
  <si>
    <t>PN89612309</t>
  </si>
  <si>
    <t>PL52081500</t>
  </si>
  <si>
    <t>大榮-15300456023</t>
  </si>
  <si>
    <t>7/4 台銀即期買入@30.45</t>
  </si>
  <si>
    <t>7/6併貨寄出</t>
  </si>
  <si>
    <t>MeanWell DR-15-24</t>
  </si>
  <si>
    <t>同V457</t>
  </si>
  <si>
    <t>同AA457</t>
  </si>
  <si>
    <t>NX63037538</t>
  </si>
  <si>
    <t>同V447</t>
  </si>
  <si>
    <t>330-17061989</t>
  </si>
  <si>
    <t>PI-20170703C</t>
  </si>
  <si>
    <t>PO-20170703C</t>
  </si>
  <si>
    <t>PN79344530</t>
  </si>
  <si>
    <t>PL52081550</t>
  </si>
  <si>
    <t>8/4央行@30.22</t>
  </si>
  <si>
    <t>掛號寄出</t>
  </si>
  <si>
    <t>P170630NP1</t>
  </si>
  <si>
    <t>PI-20170703B</t>
  </si>
  <si>
    <t>Nuvo-5006LP
(Serial No. H2808110)</t>
  </si>
  <si>
    <t>PO-20170703B-1(Revice)</t>
  </si>
  <si>
    <t>PL34490521</t>
  </si>
  <si>
    <t>CX062230H8Q0</t>
  </si>
  <si>
    <t>PA-160W-OW (Neousys)</t>
  </si>
  <si>
    <t>同V460</t>
  </si>
  <si>
    <t>P170630NP0</t>
  </si>
  <si>
    <t>PI-20170703A</t>
  </si>
  <si>
    <t>MXE-5401/M8G
(S/N:H416NS6026&amp;H416NS6029)</t>
  </si>
  <si>
    <t>PO-20170703A</t>
  </si>
  <si>
    <t>PN83867619</t>
  </si>
  <si>
    <t>TS2GSH64V1B
(向創見購買. Neousys 組裝)</t>
  </si>
  <si>
    <t>PO-20170703B-2</t>
  </si>
  <si>
    <t>PN62198453</t>
  </si>
  <si>
    <t>捷毅國際到宸曜組裝</t>
  </si>
  <si>
    <t>PO-20170703B-3</t>
  </si>
  <si>
    <t>PN99400188</t>
  </si>
  <si>
    <t>PI-20170703B
(請Leon測試)</t>
  </si>
  <si>
    <t>WFK-524 WIFI KIT
(請 Neousys 組裝)</t>
  </si>
  <si>
    <t>到Neousys組裝</t>
  </si>
  <si>
    <t>國泰世華二重分行013-070-03-500168-7</t>
  </si>
  <si>
    <t>閎亮科技</t>
  </si>
  <si>
    <t>PI-20170703D</t>
  </si>
  <si>
    <t>MS-98I8</t>
  </si>
  <si>
    <t>見2017工單 跟MSI借轉銷
PI-20170703D</t>
  </si>
  <si>
    <t>PN82940384</t>
  </si>
  <si>
    <t>PL52081503</t>
  </si>
  <si>
    <t>機車快遞</t>
  </si>
  <si>
    <t>PI-20170705A</t>
  </si>
  <si>
    <t>PO-20170705A</t>
  </si>
  <si>
    <t>PL34447695</t>
  </si>
  <si>
    <t>同V467</t>
  </si>
  <si>
    <t>P170718NP2</t>
  </si>
  <si>
    <t>PI-20170706C-3
(Leon組裝)</t>
  </si>
  <si>
    <t>POC-212
(Serial No. H3615795~15841 / H3616452~453/ H3615789)</t>
  </si>
  <si>
    <t>PO-20170706C-1A(Revice)</t>
  </si>
  <si>
    <t>SEC30天.20萬</t>
  </si>
  <si>
    <t>QB34782115</t>
  </si>
  <si>
    <t>CX062230NYJB</t>
  </si>
  <si>
    <t>PO-20170706C-1B(Revise 2)</t>
  </si>
  <si>
    <t>QD62197918</t>
  </si>
  <si>
    <t>MI3MA6212804WN</t>
  </si>
  <si>
    <t>PO-20170706C-1C</t>
  </si>
  <si>
    <t>QB36842071</t>
  </si>
  <si>
    <t>PI-20170706C-2
(Leon組裝)</t>
  </si>
  <si>
    <t>POC-212
(Serial No H3315641~H3315690)</t>
  </si>
  <si>
    <t>PL34490494</t>
  </si>
  <si>
    <t>CX062230MDDJ</t>
  </si>
  <si>
    <t>PN62206715</t>
  </si>
  <si>
    <t>PL55753446</t>
  </si>
  <si>
    <t>PI-20170706C-1A
(Leon組裝)</t>
  </si>
  <si>
    <t>PL36842541</t>
  </si>
  <si>
    <t>CX062230LEPL</t>
  </si>
  <si>
    <t>PI-20170706C-1B
(Leon組裝)</t>
  </si>
  <si>
    <t>同V474</t>
  </si>
  <si>
    <t>POC-212
(Serial No. H3114632~14661)</t>
  </si>
  <si>
    <t>PL34490454</t>
  </si>
  <si>
    <t>POC-212
(Serial No. H3114662~H3114670)
(Serial No. H3114677~H3114691)
(Serial No. H3114850~H3114855)</t>
  </si>
  <si>
    <t>同V472</t>
  </si>
  <si>
    <t>PN62199936</t>
  </si>
  <si>
    <t>同P473</t>
  </si>
  <si>
    <t>同V473</t>
  </si>
  <si>
    <t>DE170711-001</t>
  </si>
  <si>
    <r>
      <rPr>
        <sz val="10"/>
        <color rgb="FF000000"/>
        <rFont val="arial,sans,sans-serif"/>
      </rPr>
      <t>PI-20170706B</t>
    </r>
    <r>
      <rPr>
        <sz val="10"/>
        <color rgb="FF000000"/>
        <rFont val="arial,sans,sans-serif"/>
      </rPr>
      <t xml:space="preserve">
(Leon更換標籤)</t>
    </r>
  </si>
  <si>
    <t>AWK-3121-EU</t>
  </si>
  <si>
    <t>PO-20170706B</t>
  </si>
  <si>
    <t>PN79343788</t>
  </si>
  <si>
    <t>CA0652015304</t>
  </si>
  <si>
    <t>PI-20170706A</t>
  </si>
  <si>
    <t>PO-20170706A</t>
  </si>
  <si>
    <t>PN79343684</t>
  </si>
  <si>
    <t>PO-20170706A-2</t>
  </si>
  <si>
    <t>PN79343685</t>
  </si>
  <si>
    <t>63480</t>
  </si>
  <si>
    <t>PI-20170707B</t>
  </si>
  <si>
    <t>BT-432IS
(S/N:1707001-1707050)</t>
  </si>
  <si>
    <t>PO-20170707B</t>
  </si>
  <si>
    <t>PL00253400</t>
  </si>
  <si>
    <t>CX062230HPV2</t>
  </si>
  <si>
    <t>1402017</t>
  </si>
  <si>
    <t>PI-20170707A</t>
  </si>
  <si>
    <t>Moxa TCF-142-M-ST</t>
  </si>
  <si>
    <t>PO-20170707A</t>
  </si>
  <si>
    <t>PN79343616</t>
  </si>
  <si>
    <t>CF06550RW733</t>
  </si>
  <si>
    <t>DHL Freight For PI-20170707B</t>
  </si>
  <si>
    <t>PN22229731</t>
  </si>
  <si>
    <t>DE170721-001</t>
  </si>
  <si>
    <r>
      <rPr>
        <sz val="10"/>
        <color rgb="FF000000"/>
        <rFont val="Arial"/>
        <family val="2"/>
      </rPr>
      <t xml:space="preserve">PI-20170711A </t>
    </r>
    <r>
      <rPr>
        <sz val="10"/>
        <color rgb="FF000000"/>
        <rFont val="Arial"/>
        <family val="2"/>
      </rPr>
      <t xml:space="preserve">
(Leon 灌新軟體+標籤)</t>
    </r>
  </si>
  <si>
    <t>PO-20170711A</t>
  </si>
  <si>
    <t>PL55705055</t>
  </si>
  <si>
    <t>PI-20170712A</t>
  </si>
  <si>
    <t>MK3MB1132G01SN</t>
  </si>
  <si>
    <t>PO-20170712A</t>
  </si>
  <si>
    <t>PL36842514</t>
  </si>
  <si>
    <t>CF06550SU799</t>
  </si>
  <si>
    <t>PI-20170713A</t>
  </si>
  <si>
    <t>ADAM-6051-CE</t>
  </si>
  <si>
    <t>PO-20170713A</t>
  </si>
  <si>
    <t>PN63031765</t>
  </si>
  <si>
    <t>Avza Tech</t>
  </si>
  <si>
    <t>PI-20170716A</t>
  </si>
  <si>
    <t>DHL 955245174</t>
  </si>
  <si>
    <t>PO-20170716A</t>
  </si>
  <si>
    <t>PN79422952</t>
  </si>
  <si>
    <t>CX062230JF9J</t>
  </si>
  <si>
    <t>同V491</t>
  </si>
  <si>
    <t>P170718NP1</t>
  </si>
  <si>
    <t>PI-20170719A
(Leon組裝)</t>
  </si>
  <si>
    <t>POC-212
(Serial No. H3114671~H3114676)</t>
  </si>
  <si>
    <t>PL34490471</t>
  </si>
  <si>
    <t>CX062230KL6G</t>
  </si>
  <si>
    <t>PI-20170719A</t>
  </si>
  <si>
    <t>OP-080S (w/DC 24V)
(Serial No. C2061708001~C2061708004)</t>
  </si>
  <si>
    <t>PO-20170719A-3</t>
  </si>
  <si>
    <t>PL51629103</t>
  </si>
  <si>
    <t>PO-20170719A-2</t>
  </si>
  <si>
    <t>PL34490455</t>
  </si>
  <si>
    <t>17/0372M</t>
  </si>
  <si>
    <t>PI-20170719B</t>
  </si>
  <si>
    <t>CP-114EL-I/DB9M</t>
  </si>
  <si>
    <t>PO-20170719B-2</t>
  </si>
  <si>
    <t>PN79344422</t>
  </si>
  <si>
    <t>CX062230JXTD</t>
  </si>
  <si>
    <t xml:space="preserve">UPort 1130I </t>
  </si>
  <si>
    <t>同V498</t>
  </si>
  <si>
    <t>PCI-1762-BE</t>
  </si>
  <si>
    <t>PO-20170719B-1</t>
  </si>
  <si>
    <t>PN63034571</t>
  </si>
  <si>
    <t>PO-20170719A-1</t>
  </si>
  <si>
    <t>PN62199709</t>
  </si>
  <si>
    <t>1422017</t>
  </si>
  <si>
    <t>PI-20170720A</t>
  </si>
  <si>
    <t>CP-138U</t>
  </si>
  <si>
    <t>PO-20170720A</t>
  </si>
  <si>
    <t>PN79344769</t>
  </si>
  <si>
    <t>CF06550WH795</t>
  </si>
  <si>
    <t>PI-20170721A</t>
  </si>
  <si>
    <t>PO-20170721A</t>
  </si>
  <si>
    <t>PN63031821</t>
  </si>
  <si>
    <t>PI-20170724A</t>
  </si>
  <si>
    <t>PO-20170724A</t>
  </si>
  <si>
    <t>1612726</t>
  </si>
  <si>
    <t>PI-20170724B</t>
  </si>
  <si>
    <t>PO-20170724B-1</t>
  </si>
  <si>
    <t>PL34447684</t>
  </si>
  <si>
    <t>同V505</t>
  </si>
  <si>
    <t>PO-20170724B-2</t>
  </si>
  <si>
    <t>PN99400797</t>
  </si>
  <si>
    <t>PI-20170724C</t>
  </si>
  <si>
    <t>PO-20170724C</t>
  </si>
  <si>
    <t>PN46333099</t>
  </si>
  <si>
    <t>CH0676002029</t>
  </si>
  <si>
    <t>PO-048</t>
  </si>
  <si>
    <t>PI-20170725A</t>
  </si>
  <si>
    <t>PO-20170725A</t>
  </si>
  <si>
    <t>PN79344672</t>
  </si>
  <si>
    <t>CX062230L74Q</t>
  </si>
  <si>
    <t>同V509</t>
  </si>
  <si>
    <t>NPort 5150 w/ EU adapter
(出貨invoice &amp; packing list移除 adapter 字眼. 避免海闗查)
(加HSN code: 85176970在invoice備註中)</t>
  </si>
  <si>
    <t>DE170920-001</t>
  </si>
  <si>
    <t>PI-20170727A
(待Leon 確認軟體版本+標籤)</t>
  </si>
  <si>
    <t>AWK-3131A-EU</t>
  </si>
  <si>
    <t>PO-20170727A</t>
  </si>
  <si>
    <t>QD79343831</t>
  </si>
  <si>
    <t>CA0652015532</t>
  </si>
  <si>
    <t>DE170920-002</t>
  </si>
  <si>
    <r>
      <rPr>
        <sz val="10"/>
        <color rgb="FF000000"/>
        <rFont val="Arial"/>
        <family val="2"/>
      </rPr>
      <t xml:space="preserve">Evaluation
PI-20170726A
</t>
    </r>
    <r>
      <rPr>
        <sz val="10"/>
        <color rgb="FF000000"/>
        <rFont val="Arial"/>
        <family val="2"/>
      </rPr>
      <t>(待Leon 確認軟體版本)</t>
    </r>
  </si>
  <si>
    <t>順豐-對方帳號</t>
  </si>
  <si>
    <t>Evaluation PO-20170726A</t>
  </si>
  <si>
    <t>9/25已歸還MOXA</t>
  </si>
  <si>
    <t>Evaluation
PI-20170726A
(待Leon 確認軟體版本)</t>
  </si>
  <si>
    <t>AWK-1131A-EU</t>
  </si>
  <si>
    <t>Evaluation</t>
  </si>
  <si>
    <t>P170727NP0</t>
  </si>
  <si>
    <t>PI-20170731A</t>
  </si>
  <si>
    <t>ECS-9240-GTX1050T
(S/N:E171E340001)</t>
  </si>
  <si>
    <t>PO-20170731A-1</t>
  </si>
  <si>
    <t>PL37870642</t>
  </si>
  <si>
    <t>CX062230LSAV</t>
  </si>
  <si>
    <t>同V516</t>
  </si>
  <si>
    <t>i7-7700T
(向捷毅購買. VECOW組裝)</t>
  </si>
  <si>
    <t>PO-20170731A-2</t>
  </si>
  <si>
    <t>PN99400929</t>
  </si>
  <si>
    <t>TS2GSH64V1B        
(向創見購買. VECOW組裝)</t>
  </si>
  <si>
    <t>Transcend創見到超恩組裝</t>
  </si>
  <si>
    <t>PO-20170731A-3</t>
  </si>
  <si>
    <t>PN62206261</t>
  </si>
  <si>
    <t>63513</t>
  </si>
  <si>
    <t>PI-20170731B</t>
  </si>
  <si>
    <t>BT-432IS
(S/N:1708001-1708008)</t>
  </si>
  <si>
    <t>PO-20170731B</t>
  </si>
  <si>
    <t>PL00253401</t>
  </si>
  <si>
    <t>CX062230KL2H</t>
  </si>
  <si>
    <t>DHL Freight For PI-20170731B</t>
  </si>
  <si>
    <t>PN22269512</t>
  </si>
  <si>
    <t>PI-20170801D</t>
  </si>
  <si>
    <t>PO-20170801D</t>
  </si>
  <si>
    <t>QE03799023</t>
  </si>
  <si>
    <t>CG06376C8860</t>
  </si>
  <si>
    <t>PI-20170801C</t>
  </si>
  <si>
    <t>NPort 5650I-8-DTL/EU</t>
  </si>
  <si>
    <t>PO-20170801C</t>
  </si>
  <si>
    <t>PN79344768</t>
  </si>
  <si>
    <t>CX062230LS09</t>
  </si>
  <si>
    <t>P170801NP1</t>
  </si>
  <si>
    <t>PI-20170801A</t>
  </si>
  <si>
    <t>ECS-8000-2R850Q
(S/N:S17A840101~S17A840112)</t>
  </si>
  <si>
    <t>PO-20170801A</t>
  </si>
  <si>
    <t>PL37870639</t>
  </si>
  <si>
    <t>CX062230L6SK</t>
  </si>
  <si>
    <t>P170801NP2</t>
  </si>
  <si>
    <t>PI-20170801B</t>
  </si>
  <si>
    <t>PO-20170801B</t>
  </si>
  <si>
    <t>PL36842543</t>
  </si>
  <si>
    <t>DHL Freight For PI-20170801C</t>
  </si>
  <si>
    <t>PN22284757</t>
  </si>
  <si>
    <t>PI-20170802A</t>
  </si>
  <si>
    <t>PO-20170802A</t>
  </si>
  <si>
    <t>PN79344767</t>
  </si>
  <si>
    <t>PL52081552</t>
  </si>
  <si>
    <t>對方敲定@30.29</t>
  </si>
  <si>
    <t>PI-20170804A-2</t>
  </si>
  <si>
    <t>BT-432IS
(S/N:1709001-1709015)</t>
  </si>
  <si>
    <t>PO-20170804A</t>
  </si>
  <si>
    <t>QB00194100</t>
  </si>
  <si>
    <t>CX062230NAAB</t>
  </si>
  <si>
    <t>63522</t>
  </si>
  <si>
    <t>PI-20170804B</t>
  </si>
  <si>
    <t>BT-432IS
(S/N:1709016-1709025)</t>
  </si>
  <si>
    <t>同O530</t>
  </si>
  <si>
    <t>同V530</t>
  </si>
  <si>
    <t>PI-20170804A-1</t>
  </si>
  <si>
    <t>BT-432IS
(S/N:1708009-1708043)</t>
  </si>
  <si>
    <t>PL00253405</t>
  </si>
  <si>
    <t>DHL Freight For PI-20170804A-1</t>
  </si>
  <si>
    <t>同P525</t>
  </si>
  <si>
    <t>同V525</t>
  </si>
  <si>
    <t>DHL Freight For PI-20170804A-2</t>
  </si>
  <si>
    <t>QD22218607</t>
  </si>
  <si>
    <t>DHL Freight For PI-20170804B</t>
  </si>
  <si>
    <t>同P531</t>
  </si>
  <si>
    <t>同V531</t>
  </si>
  <si>
    <t>PI-20170807A</t>
  </si>
  <si>
    <t>PO-20170807A</t>
  </si>
  <si>
    <t>PN63034768</t>
  </si>
  <si>
    <t>CX062230KXSY</t>
  </si>
  <si>
    <t>PCIE-1730-AE</t>
  </si>
  <si>
    <t>同V532</t>
  </si>
  <si>
    <t>PI-20170809A</t>
  </si>
  <si>
    <t>PO-20170809A</t>
  </si>
  <si>
    <t>PN63034892</t>
  </si>
  <si>
    <t>ADAM-5051D-BE</t>
  </si>
  <si>
    <t>同V536</t>
  </si>
  <si>
    <t>ADAM-5056D-AE</t>
  </si>
  <si>
    <t>ADAM-4015-CE</t>
  </si>
  <si>
    <t>P170811NP0</t>
  </si>
  <si>
    <t>PI-20170811A</t>
  </si>
  <si>
    <t>PO-20170811A</t>
  </si>
  <si>
    <t>PL37870638</t>
  </si>
  <si>
    <t>DE170814-001</t>
  </si>
  <si>
    <t>PI-20170814A
(Leon 灌新軟體+標籤)</t>
  </si>
  <si>
    <t>PO-20170814A</t>
  </si>
  <si>
    <t>PL55705056</t>
  </si>
  <si>
    <t>CA0652015388</t>
  </si>
  <si>
    <t>Evaluation PI-20170815A</t>
  </si>
  <si>
    <t>LPC-185W</t>
  </si>
  <si>
    <t>LPC-121S</t>
  </si>
  <si>
    <t>TDM-150S</t>
  </si>
  <si>
    <t>P170813NP0</t>
  </si>
  <si>
    <t>PI-20170817A</t>
  </si>
  <si>
    <t>RMA repair charge for RMA-20170720A</t>
  </si>
  <si>
    <t>QB37954958</t>
  </si>
  <si>
    <t>CX062230NEVF</t>
  </si>
  <si>
    <t>PO-P-I170066</t>
  </si>
  <si>
    <t>PI-20170821A</t>
  </si>
  <si>
    <t>DHL Express Courier Cargo Mode (A/C NO: 964096297)</t>
  </si>
  <si>
    <t>PO-20170821A</t>
  </si>
  <si>
    <t>PN79344848</t>
  </si>
  <si>
    <t>CX062230M59T</t>
  </si>
  <si>
    <t>PI-20170823B-1</t>
  </si>
  <si>
    <t>W2150A</t>
  </si>
  <si>
    <t>PO-20170823B-1</t>
  </si>
  <si>
    <t>QD79343734</t>
  </si>
  <si>
    <t>CX062230P4L9</t>
  </si>
  <si>
    <t>ANT-WSB-AHRM-05-1.5m</t>
  </si>
  <si>
    <t>同V549</t>
  </si>
  <si>
    <t>NISE-104 with Power adapter(P/N:10J00010400X2, P/N:7400060018X00)</t>
  </si>
  <si>
    <t>DHL 955245174
Elgens DHL</t>
  </si>
  <si>
    <t>2017/9/19
2017/10/18</t>
  </si>
  <si>
    <t>PO-20170823B-2(Revice)</t>
  </si>
  <si>
    <t>QB34518778</t>
  </si>
  <si>
    <t>PI-20170823A</t>
  </si>
  <si>
    <t>FAB100</t>
  </si>
  <si>
    <t>PO-20170823A</t>
  </si>
  <si>
    <t>PN79423193</t>
  </si>
  <si>
    <t>CX062230MDQF</t>
  </si>
  <si>
    <t>63548</t>
  </si>
  <si>
    <t>PI-20170824A</t>
  </si>
  <si>
    <t>BT-432IS
(S/N:1709025-1709031)</t>
  </si>
  <si>
    <t>PO-20170824A</t>
  </si>
  <si>
    <t>QB00194101</t>
  </si>
  <si>
    <t>17/0433M</t>
  </si>
  <si>
    <t>PI-20170824B</t>
  </si>
  <si>
    <t>PO-20170824B</t>
  </si>
  <si>
    <t>PN63035374</t>
  </si>
  <si>
    <t>CX062230MSAR</t>
  </si>
  <si>
    <t>PI-20170824C</t>
  </si>
  <si>
    <t>PO-20170824C</t>
  </si>
  <si>
    <t>PN63035342</t>
  </si>
  <si>
    <t>CX062230MNVB</t>
  </si>
  <si>
    <t>同V555</t>
  </si>
  <si>
    <t>96PS-A400WFX-1</t>
  </si>
  <si>
    <t>1700020294-01</t>
  </si>
  <si>
    <t>ACP-2320MB-00CE</t>
  </si>
  <si>
    <t>AIMB-580QG2-00A1E</t>
  </si>
  <si>
    <t>AIMB-RP30P-03A1E</t>
  </si>
  <si>
    <t>DHL Freight For PI-20170824A</t>
  </si>
  <si>
    <t>P170825NP4</t>
  </si>
  <si>
    <t>PI-20170825C</t>
  </si>
  <si>
    <t>02-BE-00034</t>
  </si>
  <si>
    <t>CX062230QY15</t>
  </si>
  <si>
    <t>02-BE-00035</t>
  </si>
  <si>
    <t>Apacer 宇瞻科技</t>
  </si>
  <si>
    <t>APEFC-G50 (Apacer)</t>
  </si>
  <si>
    <t>PO-20170825C</t>
  </si>
  <si>
    <t>兆豐銀行:017-2015
20109082978</t>
  </si>
  <si>
    <t>QD72854484</t>
  </si>
  <si>
    <t>APEFC-R50 (Apacer)</t>
  </si>
  <si>
    <t>同P570</t>
  </si>
  <si>
    <t>同V570</t>
  </si>
  <si>
    <t>P170825NP2</t>
  </si>
  <si>
    <r>
      <rPr>
        <sz val="10"/>
        <color rgb="FF000000"/>
        <rFont val="Arial"/>
        <family val="2"/>
      </rPr>
      <t xml:space="preserve">PI-20170825A
</t>
    </r>
    <r>
      <rPr>
        <sz val="10"/>
        <color rgb="FF000000"/>
        <rFont val="Arial"/>
        <family val="2"/>
      </rPr>
      <t>(請LEON測試)</t>
    </r>
  </si>
  <si>
    <t>VECOW SPC-3520-300U
(S/N:Q17A525011~Q17A525012)</t>
  </si>
  <si>
    <t>PO-20170825A</t>
  </si>
  <si>
    <t>QB37954966</t>
  </si>
  <si>
    <t>CX062230PD4W</t>
  </si>
  <si>
    <t>同P565</t>
  </si>
  <si>
    <t>同V565</t>
  </si>
  <si>
    <t xml:space="preserve">P170825NP3 </t>
  </si>
  <si>
    <t>PI-20170825B</t>
  </si>
  <si>
    <t>MC6SFB116G04WN (Memxpro)</t>
  </si>
  <si>
    <r>
      <rPr>
        <strike/>
        <sz val="10"/>
        <color rgb="FF000000"/>
        <rFont val="Arial"/>
        <family val="2"/>
      </rPr>
      <t>PO-20170825B-1</t>
    </r>
    <r>
      <rPr>
        <sz val="10"/>
        <color rgb="FF000000"/>
        <rFont val="Arial"/>
        <family val="2"/>
      </rPr>
      <t xml:space="preserve">
PO-20170825B-3(Revice)</t>
    </r>
  </si>
  <si>
    <t>同V483</t>
  </si>
  <si>
    <t>PI-20170825D</t>
  </si>
  <si>
    <t>PO-20170825D</t>
  </si>
  <si>
    <t>QD79343605</t>
  </si>
  <si>
    <t>QB52197152</t>
  </si>
  <si>
    <t>@30.02</t>
  </si>
  <si>
    <t>同V572</t>
  </si>
  <si>
    <t>AP-CF016GRBNS-ETNRG (Apacer)</t>
  </si>
  <si>
    <t>PO-20170825B-2(Revice)</t>
  </si>
  <si>
    <t>QD72854358</t>
  </si>
  <si>
    <t>D4S8GHIOFFC
(請VECOW組裝)</t>
  </si>
  <si>
    <t>見2017工單PI-20170825A</t>
  </si>
  <si>
    <t>QB36842174</t>
  </si>
  <si>
    <t>PI-20170828A</t>
  </si>
  <si>
    <t>PO-20170828A</t>
  </si>
  <si>
    <t>QB37954951</t>
  </si>
  <si>
    <t>PL52081554</t>
  </si>
  <si>
    <t>PO-1532017</t>
  </si>
  <si>
    <t>PI-20170829A-1</t>
  </si>
  <si>
    <t>Forwarder-JJB Link Logistics Company Inc.</t>
  </si>
  <si>
    <t>PO-20170829A-1</t>
  </si>
  <si>
    <t>QD79343832</t>
  </si>
  <si>
    <t xml:space="preserve">CH060F405773 </t>
  </si>
  <si>
    <t>589-65660991</t>
  </si>
  <si>
    <t>NPort-5450I-T</t>
  </si>
  <si>
    <t>同V579</t>
  </si>
  <si>
    <t>Nport-S8455I-MM-SC-T</t>
  </si>
  <si>
    <t>NPort 5210A-T</t>
  </si>
  <si>
    <t>ModeTCF-142-M-ST</t>
  </si>
  <si>
    <t>TCC-82 port powered RS232 Isolator</t>
  </si>
  <si>
    <t>PO-20170829A-2</t>
  </si>
  <si>
    <t>QB49623355</t>
  </si>
  <si>
    <t>PI-20170829A-2</t>
  </si>
  <si>
    <t>CH060J351689</t>
  </si>
  <si>
    <t>618-49525206</t>
  </si>
  <si>
    <t>PI-20170830C
(Leon 灌新軟體+標籤)</t>
  </si>
  <si>
    <t>PO-20170830C</t>
  </si>
  <si>
    <t>QB55944102</t>
  </si>
  <si>
    <t>P170830NP1</t>
  </si>
  <si>
    <t>PI-20170830A</t>
  </si>
  <si>
    <t>RK-610A-W ATX Power Cable
(YRK17072501)</t>
  </si>
  <si>
    <t>PO-20170830A(Revice)</t>
  </si>
  <si>
    <t>QE03799080</t>
  </si>
  <si>
    <r>
      <rPr>
        <sz val="10"/>
        <color rgb="FF000000"/>
        <rFont val="Arial"/>
        <family val="2"/>
      </rPr>
      <t xml:space="preserve">PI-20170830B
</t>
    </r>
    <r>
      <rPr>
        <sz val="10"/>
        <color rgb="FF000000"/>
        <rFont val="Arial"/>
        <family val="2"/>
      </rPr>
      <t>(Leon組裝)</t>
    </r>
  </si>
  <si>
    <t>RCO-6000-4L (C&amp;T)
(S/N:1736021088)</t>
  </si>
  <si>
    <t>C&amp;T智愛</t>
  </si>
  <si>
    <t>PO-20170830B-1</t>
  </si>
  <si>
    <t xml:space="preserve">彰化銀行松江分行(009)                                                                                                                                                                        9752-86-001881-00                                                                                                                                                                                </t>
  </si>
  <si>
    <t>QB34559302</t>
  </si>
  <si>
    <t>i7-6700TE</t>
  </si>
  <si>
    <t>PO-20170830B-2</t>
  </si>
  <si>
    <t>QD99400159</t>
  </si>
  <si>
    <t>TS1GSH64V1H</t>
  </si>
  <si>
    <t>PO-20170830B-3</t>
  </si>
  <si>
    <t>QD62197923</t>
  </si>
  <si>
    <t>PI-20170831A</t>
  </si>
  <si>
    <t>PO-20170831A-1</t>
  </si>
  <si>
    <t>QD46333026</t>
  </si>
  <si>
    <t>PO-20170831A-2</t>
  </si>
  <si>
    <t>QD68026007</t>
  </si>
  <si>
    <t>同V590</t>
  </si>
  <si>
    <t>PI-20170904A</t>
  </si>
  <si>
    <t>PO-20170904A</t>
  </si>
  <si>
    <t>QD693031460</t>
  </si>
  <si>
    <t>CX062230NN73</t>
  </si>
  <si>
    <t>同V592</t>
  </si>
  <si>
    <t>PI-20170905A
(請LEON測試)</t>
  </si>
  <si>
    <t>ECS-8000-2R850Q
(Serial No.S17A840113~S17A840117)</t>
  </si>
  <si>
    <t>PO-20170905A</t>
  </si>
  <si>
    <t>QB37954956</t>
  </si>
  <si>
    <t>M3S0-8GSSDLPC 
(請VECOW組裝)</t>
  </si>
  <si>
    <t>見2017工單RDMO-20170825B(買進10 PCS，出貨5PCS)</t>
  </si>
  <si>
    <t>300104</t>
  </si>
  <si>
    <t>PI-20170906B</t>
  </si>
  <si>
    <t>PO-20170906B</t>
  </si>
  <si>
    <t>QD79344440</t>
  </si>
  <si>
    <t>CF065500677E</t>
  </si>
  <si>
    <t>MGate MB3180/EU</t>
  </si>
  <si>
    <t>同601</t>
  </si>
  <si>
    <t>PI-20170906A</t>
  </si>
  <si>
    <t>PO-20170906A</t>
  </si>
  <si>
    <t>QD79343603</t>
  </si>
  <si>
    <t>PI-20170908A</t>
  </si>
  <si>
    <t>PO-20170908A</t>
  </si>
  <si>
    <t>QB37954957</t>
  </si>
  <si>
    <t>QB52197150</t>
  </si>
  <si>
    <t>9/11掛號寄出</t>
  </si>
  <si>
    <t>PI-20170911B</t>
  </si>
  <si>
    <t>7009000001
CRK16011501-T
(LVDS cable SBC-210 for G101EVN01.0)"</t>
  </si>
  <si>
    <t>PO-20170911B-1</t>
  </si>
  <si>
    <t>QE03799223</t>
  </si>
  <si>
    <t>同2017工單X256</t>
  </si>
  <si>
    <t>CG06376D8061</t>
  </si>
  <si>
    <t>P170911NP0</t>
  </si>
  <si>
    <t>PI-20170911C</t>
  </si>
  <si>
    <t>OP-080S (w/DC 24V)
(S/N：C2061709001~C2061709004)</t>
  </si>
  <si>
    <t>PO-20170911C</t>
  </si>
  <si>
    <t>QB51743980</t>
  </si>
  <si>
    <t>CX062230PYN9</t>
  </si>
  <si>
    <t>70110M0001
(AUO G101EVN01.0)</t>
  </si>
  <si>
    <t>PO-20170911B-2</t>
  </si>
  <si>
    <t>QB35794703</t>
  </si>
  <si>
    <t>PI-20170911A</t>
  </si>
  <si>
    <t>PO-20170911A</t>
  </si>
  <si>
    <t>QD63031526</t>
  </si>
  <si>
    <t>PI-20170912B</t>
  </si>
  <si>
    <t>PO-20170912B-1</t>
  </si>
  <si>
    <t>QB34518818</t>
  </si>
  <si>
    <t>CF065501240K</t>
  </si>
  <si>
    <t>同V611</t>
  </si>
  <si>
    <t>PO-20170912B-2</t>
  </si>
  <si>
    <t>QD99400460</t>
  </si>
  <si>
    <t>同V612</t>
  </si>
  <si>
    <t>110917-50S</t>
  </si>
  <si>
    <t>PI-20170912A</t>
  </si>
  <si>
    <t>MeanWell DR-15-12</t>
  </si>
  <si>
    <t>PO-20170912A</t>
  </si>
  <si>
    <t>QD89612897</t>
  </si>
  <si>
    <t>QB52197153</t>
  </si>
  <si>
    <t>大榮-15300456025</t>
  </si>
  <si>
    <t>P170913NP0</t>
  </si>
  <si>
    <t>PI-20170913A
(請LEON測試)</t>
  </si>
  <si>
    <t>VECOW SPC-3520-300U
(S/N：Q17A525013 / Q17A525014)</t>
  </si>
  <si>
    <t>PO-20170913A</t>
  </si>
  <si>
    <t>QB37954967</t>
  </si>
  <si>
    <r>
      <rPr>
        <sz val="10"/>
        <color rgb="FF000000"/>
        <rFont val="Arial"/>
        <family val="2"/>
      </rPr>
      <t xml:space="preserve">PI-20170913A
</t>
    </r>
    <r>
      <rPr>
        <sz val="10"/>
        <color rgb="FF000000"/>
        <rFont val="Arial"/>
        <family val="2"/>
      </rPr>
      <t>(請LEON測試)</t>
    </r>
  </si>
  <si>
    <t>同P619</t>
  </si>
  <si>
    <t>同V619</t>
  </si>
  <si>
    <t>見2017工單PI-20170913A</t>
  </si>
  <si>
    <t>同V566</t>
  </si>
  <si>
    <t>PI-20170914B
(待Leon 確認軟體版本+標籤)</t>
  </si>
  <si>
    <t>PO-20170914B</t>
  </si>
  <si>
    <t>QD79343863</t>
  </si>
  <si>
    <t>PI-20170914A
(Leon 灌新軟體+標籤)</t>
  </si>
  <si>
    <t>PO-20170914A</t>
  </si>
  <si>
    <t>PI-20170914C</t>
  </si>
  <si>
    <t>NISE 50 (Nexcom)</t>
  </si>
  <si>
    <t>PO-20170914C</t>
  </si>
  <si>
    <t>QB34518835</t>
  </si>
  <si>
    <t xml:space="preserve">Adaptek </t>
  </si>
  <si>
    <t>PI-20170914D</t>
  </si>
  <si>
    <t>PCIE-Q57A-R10</t>
  </si>
  <si>
    <t>PO-20170914D</t>
  </si>
  <si>
    <t>SEC14</t>
  </si>
  <si>
    <t>PXE-13S-R51(TBC)</t>
  </si>
  <si>
    <t>P170915NP0</t>
  </si>
  <si>
    <t>PI-20170915A</t>
  </si>
  <si>
    <t>ARCHMI-817
(S/N：A3170901819)</t>
  </si>
  <si>
    <t>PO-20170915A</t>
  </si>
  <si>
    <t>QB34551080</t>
  </si>
  <si>
    <t>PI-20170915B</t>
  </si>
  <si>
    <t>EKI-1522-BE</t>
  </si>
  <si>
    <t>PO-20170915B(Revice)</t>
  </si>
  <si>
    <t>QD63031993</t>
  </si>
  <si>
    <t>CX062230PYHY</t>
  </si>
  <si>
    <t>BB-UH401 (UH401)</t>
  </si>
  <si>
    <t>同V624</t>
  </si>
  <si>
    <t>PI-20170918A</t>
  </si>
  <si>
    <t>BT-432IS
(S/N:1709032-1709081)</t>
  </si>
  <si>
    <t>PO-20170918A</t>
  </si>
  <si>
    <t>QB00194102</t>
  </si>
  <si>
    <t>CX062230PLG9</t>
  </si>
  <si>
    <t>QD22224800</t>
  </si>
  <si>
    <t>PI-20170919A
(待Leon 確認軟體版本+標籤)</t>
  </si>
  <si>
    <t>PO-20170919A</t>
  </si>
  <si>
    <t>QD79344439</t>
  </si>
  <si>
    <t>PI-20170920A</t>
  </si>
  <si>
    <r>
      <rPr>
        <sz val="10"/>
        <color rgb="FF000000"/>
        <rFont val="Arial"/>
        <family val="2"/>
      </rPr>
      <t>2017/10/2</t>
    </r>
    <r>
      <rPr>
        <sz val="10"/>
        <color rgb="FF000000"/>
        <rFont val="Arial"/>
        <family val="2"/>
      </rPr>
      <t xml:space="preserve">
2017/10/6</t>
    </r>
  </si>
  <si>
    <t>PO-20170920A
PO-20170920A-1</t>
  </si>
  <si>
    <r>
      <rPr>
        <sz val="10"/>
        <color rgb="FF000000"/>
        <rFont val="Arial"/>
        <family val="2"/>
      </rPr>
      <t xml:space="preserve">2017/10/2
</t>
    </r>
    <r>
      <rPr>
        <sz val="10"/>
        <color rgb="FF000000"/>
        <rFont val="Arial"/>
        <family val="2"/>
      </rPr>
      <t>2017/10/6</t>
    </r>
  </si>
  <si>
    <r>
      <rPr>
        <sz val="10"/>
        <color rgb="FF000000"/>
        <rFont val="Arial"/>
        <family val="2"/>
      </rPr>
      <t xml:space="preserve">QD46333181 
</t>
    </r>
    <r>
      <rPr>
        <sz val="10"/>
        <color rgb="FF000000"/>
        <rFont val="Arial"/>
        <family val="2"/>
      </rPr>
      <t>QD46333190</t>
    </r>
  </si>
  <si>
    <r>
      <rPr>
        <sz val="10"/>
        <color rgb="FF000000"/>
        <rFont val="Arial"/>
        <family val="2"/>
      </rPr>
      <t xml:space="preserve">70155  (10 PCS)
</t>
    </r>
    <r>
      <rPr>
        <sz val="10"/>
        <color rgb="FF000000"/>
        <rFont val="Arial"/>
        <family val="2"/>
      </rPr>
      <t>42079  (6PCS)</t>
    </r>
  </si>
  <si>
    <t>065632-1</t>
  </si>
  <si>
    <t>PI-20170920C</t>
  </si>
  <si>
    <t>G150XTN06.0-MT-5W
(G150XTN06.0)
(MiracleTouch 10150050 V01)
(3M Air Taping)</t>
  </si>
  <si>
    <t>SMART斯麥特/閎亮</t>
  </si>
  <si>
    <t>見2017工單PI-20170920C-1</t>
  </si>
  <si>
    <t>見2017工單PI-20170920C</t>
  </si>
  <si>
    <t>CG06376E5515</t>
  </si>
  <si>
    <r>
      <rPr>
        <sz val="10"/>
        <color rgb="FF000000"/>
        <rFont val="Arial"/>
        <family val="2"/>
      </rPr>
      <t xml:space="preserve">PI-20170920B
</t>
    </r>
    <r>
      <rPr>
        <sz val="10"/>
        <color rgb="FF000000"/>
        <rFont val="Arial"/>
        <family val="2"/>
      </rPr>
      <t>(請LEON組裝)</t>
    </r>
  </si>
  <si>
    <t>12V, 60W AC/ DC power adapter w/o power cord (P/N: 7400060018X00) (Nexcom)</t>
  </si>
  <si>
    <t>pick up number UPS:1Z032RX78666533503</t>
  </si>
  <si>
    <t>PO-20170920B-1</t>
  </si>
  <si>
    <t>QB34518852</t>
  </si>
  <si>
    <t>同V632</t>
  </si>
  <si>
    <t>CU0657BF8004</t>
  </si>
  <si>
    <t>1Z032RX78666533503</t>
  </si>
  <si>
    <t>PI-20170920B
(請LEON組裝)</t>
  </si>
  <si>
    <t>EU power cord (Nexcom)</t>
  </si>
  <si>
    <t>NISE 104 (Nexcom)</t>
  </si>
  <si>
    <t>TS512MSK64V6H (創見)</t>
  </si>
  <si>
    <t>PO-20170920B-2</t>
  </si>
  <si>
    <t>QD62199885</t>
  </si>
  <si>
    <t>MI3MB1125604SN</t>
  </si>
  <si>
    <t>PO-20170920B-3</t>
  </si>
  <si>
    <t>QB36842143</t>
  </si>
  <si>
    <t>Windows Embedded Standard 7 - WES 7 (7WT-00049)</t>
  </si>
  <si>
    <t>PO-20170920B-4</t>
  </si>
  <si>
    <t>QB34518833</t>
  </si>
  <si>
    <t>PI-20170920B</t>
  </si>
  <si>
    <t>P170922NP1</t>
  </si>
  <si>
    <t>PI-20170922C
(Leon組裝與測試)</t>
  </si>
  <si>
    <t>M3S0-8GSSDLPC
(向宜鼎購買組裝)</t>
  </si>
  <si>
    <t>見2017工單RDMO-20170825B</t>
  </si>
  <si>
    <t>P170922NP0</t>
  </si>
  <si>
    <t>PI-20170922B
(Leon測試)</t>
  </si>
  <si>
    <t>Nuvo-5002LP
(Serial No.H4008465~H4008467)</t>
  </si>
  <si>
    <t>PO-20170922B-1</t>
  </si>
  <si>
    <t>QB34782201</t>
  </si>
  <si>
    <t>CX062230RCJ2</t>
  </si>
  <si>
    <r>
      <rPr>
        <sz val="10"/>
        <color rgb="FF000000"/>
        <rFont val="Arial"/>
        <family val="2"/>
      </rPr>
      <t>PI-20170922B</t>
    </r>
    <r>
      <rPr>
        <sz val="10"/>
        <color rgb="FF000000"/>
        <rFont val="Arial"/>
        <family val="2"/>
      </rPr>
      <t xml:space="preserve">
(Leon測試)</t>
    </r>
  </si>
  <si>
    <t>Nuvo-5002LP
(Serial No.H4008463~H4008464)</t>
  </si>
  <si>
    <t>PI-20170922A</t>
  </si>
  <si>
    <t>PO-20170922A</t>
  </si>
  <si>
    <t>QD63034727</t>
  </si>
  <si>
    <t>CX062230R90J</t>
  </si>
  <si>
    <t>ECS-8000-2R850Q
(S/N:S17A840118)</t>
  </si>
  <si>
    <t>PO-20170922C-1</t>
  </si>
  <si>
    <t>QB37954975</t>
  </si>
  <si>
    <t>PO-20170922B-2</t>
  </si>
  <si>
    <t>QD99400676</t>
  </si>
  <si>
    <t>D4SAGHLPGFC
(向敏博購買. Neousys組裝)</t>
  </si>
  <si>
    <t>PO-20170922B-3</t>
  </si>
  <si>
    <t>QB36842145</t>
  </si>
  <si>
    <t>同V642</t>
  </si>
  <si>
    <t>同V645</t>
  </si>
  <si>
    <t>Antéor – DIPM</t>
  </si>
  <si>
    <t>Evaluation PI-20170925A</t>
  </si>
  <si>
    <t>LPC-121S-01</t>
  </si>
  <si>
    <t>20170926-AA</t>
  </si>
  <si>
    <t>PI-20170926A-2
(christine換標籤)</t>
  </si>
  <si>
    <t>ELGENS-機車快遞</t>
  </si>
  <si>
    <t>PO-20170926A</t>
  </si>
  <si>
    <t>QB38618175</t>
  </si>
  <si>
    <t>同V653</t>
  </si>
  <si>
    <t>QB52197202</t>
  </si>
  <si>
    <t>沛勁-71666B</t>
  </si>
  <si>
    <t>10/5 台灣銀行@30.405</t>
  </si>
  <si>
    <t>10/5 隨貨寄出</t>
  </si>
  <si>
    <t>PI-20170926A-1
(christine換標籤)</t>
  </si>
  <si>
    <t>QB52197155</t>
  </si>
  <si>
    <t>9/28 台灣銀行@30.375</t>
  </si>
  <si>
    <t>9/29 隨貨寄出</t>
  </si>
  <si>
    <t>065602-1</t>
  </si>
  <si>
    <t>PI-20170927A</t>
  </si>
  <si>
    <t>PO-20170927A</t>
  </si>
  <si>
    <t>QB51744004</t>
  </si>
  <si>
    <t>同V654</t>
  </si>
  <si>
    <t>270917-42T</t>
  </si>
  <si>
    <t>PI-20170927B</t>
  </si>
  <si>
    <t>PO-20170927B</t>
  </si>
  <si>
    <t>QD89613862</t>
  </si>
  <si>
    <t>QB52197200</t>
  </si>
  <si>
    <t>大榮-15347136661</t>
  </si>
  <si>
    <t>9/30 台銀即期買入@30.21</t>
  </si>
  <si>
    <t>10/5隨貨寄出</t>
  </si>
  <si>
    <t>PI-20170928A</t>
  </si>
  <si>
    <t>見2017工單MPO-20170319A(Revised)-1</t>
  </si>
  <si>
    <t>70080Z0003
(RFA-01-GPS-12-A1-3M)</t>
  </si>
  <si>
    <t>見2016工單EMO-20161123A   5 PCS
2017工單PI-20170928A  7 PCS</t>
  </si>
  <si>
    <t>P170929NP1</t>
  </si>
  <si>
    <r>
      <rPr>
        <sz val="10"/>
        <color rgb="FF000000"/>
        <rFont val="Arial"/>
        <family val="2"/>
      </rPr>
      <t xml:space="preserve">PI-20170929C
</t>
    </r>
    <r>
      <rPr>
        <sz val="10"/>
        <color rgb="FF000000"/>
        <rFont val="Arial"/>
        <family val="2"/>
      </rPr>
      <t>(Leon組裝與測試)</t>
    </r>
  </si>
  <si>
    <t>見2017工單MPO-20170821B</t>
  </si>
  <si>
    <t>CX062230TZ6R</t>
  </si>
  <si>
    <t>見2017工單MPO-20170627A</t>
  </si>
  <si>
    <t>PO-20170929C</t>
  </si>
  <si>
    <t>QU83867589</t>
  </si>
  <si>
    <t>P172909NP2</t>
  </si>
  <si>
    <t>PI-20170929D
(Leon組裝與測試)</t>
  </si>
  <si>
    <t>POC-212
(S/N:H4316036~16040)</t>
  </si>
  <si>
    <t>PO-20170929D-1</t>
  </si>
  <si>
    <t>QB34782223</t>
  </si>
  <si>
    <t>CX062230SK6G</t>
  </si>
  <si>
    <r>
      <rPr>
        <sz val="10"/>
        <color rgb="FF000000"/>
        <rFont val="Arial"/>
        <family val="2"/>
      </rPr>
      <t xml:space="preserve">PI-20170929D
</t>
    </r>
    <r>
      <rPr>
        <sz val="10"/>
        <color rgb="FF000000"/>
        <rFont val="Arial"/>
        <family val="2"/>
      </rPr>
      <t>(Leon組裝與測試)</t>
    </r>
  </si>
  <si>
    <t>PI-20170929A</t>
  </si>
  <si>
    <t>PO-20170929A</t>
  </si>
  <si>
    <t>QD79423109</t>
  </si>
  <si>
    <t>CX062230S0L2</t>
  </si>
  <si>
    <t>同V660</t>
  </si>
  <si>
    <t>P170929NP0</t>
  </si>
  <si>
    <t>PI-20170929B</t>
  </si>
  <si>
    <t>PO-20170929B</t>
  </si>
  <si>
    <t>QD62205934</t>
  </si>
  <si>
    <t>PO-20170929D-2(Revised)</t>
  </si>
  <si>
    <t>QD62206049</t>
  </si>
  <si>
    <t>P171003NP1</t>
  </si>
  <si>
    <r>
      <rPr>
        <sz val="10"/>
        <color rgb="FF000000"/>
        <rFont val="Arial"/>
        <family val="2"/>
      </rPr>
      <t xml:space="preserve">PI-20171003A
</t>
    </r>
    <r>
      <rPr>
        <sz val="10"/>
        <color rgb="FF000000"/>
        <rFont val="Arial"/>
        <family val="2"/>
      </rPr>
      <t>(Leon組裝與測試)</t>
    </r>
  </si>
  <si>
    <t>Nuvo-5095GC
(S/N:H4309342)</t>
  </si>
  <si>
    <t>PO-20171003A-1</t>
  </si>
  <si>
    <t>CX062230S9YM</t>
  </si>
  <si>
    <t>PA-160W-OW</t>
  </si>
  <si>
    <t>Intel® Core™ i7-6700TE Processor
(向捷毅國際購買 Leon 組裝)</t>
  </si>
  <si>
    <t>PO-20171003A-2</t>
  </si>
  <si>
    <t>QD99400877</t>
  </si>
  <si>
    <t xml:space="preserve">P171003NP0  </t>
  </si>
  <si>
    <t>PI-20171003B</t>
  </si>
  <si>
    <t>Vecow PWA-120W</t>
  </si>
  <si>
    <t>PO-20171003B</t>
  </si>
  <si>
    <t>QB37954982</t>
  </si>
  <si>
    <t>PO-076</t>
  </si>
  <si>
    <t>PI-20171004A</t>
  </si>
  <si>
    <t>PO-20171004A</t>
  </si>
  <si>
    <t>QD79344673</t>
  </si>
  <si>
    <t>CX062230S0UK</t>
  </si>
  <si>
    <t>同V677</t>
  </si>
  <si>
    <t>PI-20171004B</t>
  </si>
  <si>
    <t>PO-20171004B</t>
  </si>
  <si>
    <t>QD63034699</t>
  </si>
  <si>
    <t>同V680</t>
  </si>
  <si>
    <t>1614392</t>
  </si>
  <si>
    <t>PI-20171005B
leon抽測2台開機</t>
  </si>
  <si>
    <t>PO-20171005B-1</t>
  </si>
  <si>
    <t>QB34518931</t>
  </si>
  <si>
    <t>CF065503505F</t>
  </si>
  <si>
    <t>PI-20171005B</t>
  </si>
  <si>
    <t>同V683</t>
  </si>
  <si>
    <t>P171004NP0</t>
  </si>
  <si>
    <t>PI-20171005A</t>
  </si>
  <si>
    <t>Mezio-R11 (Neousys)</t>
  </si>
  <si>
    <t>PO-20171005A</t>
  </si>
  <si>
    <t>QB34782210</t>
  </si>
  <si>
    <t>PO-20171005B-2</t>
  </si>
  <si>
    <t>QD99400939</t>
  </si>
  <si>
    <t>同V684</t>
  </si>
  <si>
    <t>IP Systemes</t>
  </si>
  <si>
    <t>PI-20171006A</t>
  </si>
  <si>
    <t xml:space="preserve">IKS-G6524A-4GTXSFP-HV-HV </t>
  </si>
  <si>
    <t>MAINFREIGHT</t>
  </si>
  <si>
    <t>PO-20171006A</t>
  </si>
  <si>
    <t>QD79344619</t>
  </si>
  <si>
    <t>CW0668590522</t>
  </si>
  <si>
    <t>695-13299274</t>
  </si>
  <si>
    <t>PI-20171010C</t>
  </si>
  <si>
    <t>戎克庫存40PCS
2017/10/26 10PCS</t>
  </si>
  <si>
    <t>見2017工單EMO-20170319A 40 PCS
見2017工單MO-20171011A 10 PCS</t>
  </si>
  <si>
    <t>CG06376F1022</t>
  </si>
  <si>
    <t xml:space="preserve">Bahama Bucks </t>
  </si>
  <si>
    <t>PI-20171010B</t>
  </si>
  <si>
    <t>TDM-170SH</t>
  </si>
  <si>
    <t xml:space="preserve">Elgens DHL </t>
  </si>
  <si>
    <t>見2017工單PI-20171010B</t>
  </si>
  <si>
    <t>CX062230VBRH</t>
  </si>
  <si>
    <t xml:space="preserve">Freight By DHL </t>
  </si>
  <si>
    <t>YM51857127</t>
  </si>
  <si>
    <t>PO-P-I170090</t>
  </si>
  <si>
    <t>PI-20171010A</t>
  </si>
  <si>
    <t>MGate MB-3180 (EU)</t>
  </si>
  <si>
    <t xml:space="preserve"> DHL Express Courier Cargo Mode (A/C :964096297)</t>
  </si>
  <si>
    <t>PO-20171010A</t>
  </si>
  <si>
    <t>QD79344713</t>
  </si>
  <si>
    <t>CX062230S0TX</t>
  </si>
  <si>
    <t>PI-20171010D</t>
  </si>
  <si>
    <t>ADAM-4013-DE</t>
  </si>
  <si>
    <t>PO-20171010D</t>
  </si>
  <si>
    <t>QD63035055</t>
  </si>
  <si>
    <t>同V698</t>
  </si>
  <si>
    <t>091017-44S</t>
  </si>
  <si>
    <t>PI-20171011A-2</t>
  </si>
  <si>
    <t>PO-20171011A-2</t>
  </si>
  <si>
    <t>QU89613061</t>
  </si>
  <si>
    <t>QS52572206</t>
  </si>
  <si>
    <t>大榮-15347136663</t>
  </si>
  <si>
    <t>11/14 台銀即期買入@30.135</t>
  </si>
  <si>
    <t>11/16隨貨寄出</t>
  </si>
  <si>
    <t>PI-20171011B-2</t>
  </si>
  <si>
    <t>ACL-7122(G)</t>
  </si>
  <si>
    <t>pick up number UPS:1Z032RX78665262343</t>
  </si>
  <si>
    <t>PO-20171011B</t>
  </si>
  <si>
    <t>CU0657B0HE11</t>
  </si>
  <si>
    <t>1Z032RX78665262343</t>
  </si>
  <si>
    <t>PI-20171011B</t>
  </si>
  <si>
    <t>QD83868758</t>
  </si>
  <si>
    <t>PI-20171011B-1</t>
  </si>
  <si>
    <t>同V702</t>
  </si>
  <si>
    <t>PI-20171011A-1</t>
  </si>
  <si>
    <t>PO-20171011A(Revised)</t>
  </si>
  <si>
    <t>QD89614366</t>
  </si>
  <si>
    <t>QB52197205</t>
  </si>
  <si>
    <t>大榮-15347136662</t>
  </si>
  <si>
    <t>10/16 台銀即期買入@30.105</t>
  </si>
  <si>
    <t>10/19隨貨寄出</t>
  </si>
  <si>
    <t>PI-20171012A</t>
  </si>
  <si>
    <t>DM-F17A/PC-R11 (IEI)</t>
  </si>
  <si>
    <t>Elgens TNT</t>
  </si>
  <si>
    <t>PO-20171012A</t>
  </si>
  <si>
    <t>QU68026175</t>
  </si>
  <si>
    <t>CG06376F8349</t>
  </si>
  <si>
    <t>FPK-01-R10</t>
  </si>
  <si>
    <t>同V706</t>
  </si>
  <si>
    <t xml:space="preserve">FRK-17-R10       </t>
  </si>
  <si>
    <t>TNT Freight</t>
  </si>
  <si>
    <t>花旗銀行營業部:021
77720000540458</t>
  </si>
  <si>
    <t>QU35626516</t>
  </si>
  <si>
    <t>1614661</t>
  </si>
  <si>
    <t>PI-20171013B</t>
  </si>
  <si>
    <t>PO-20171013B-1</t>
  </si>
  <si>
    <t>QS34700724</t>
  </si>
  <si>
    <t>CF065504960E</t>
  </si>
  <si>
    <t>PO-20171013B-2</t>
  </si>
  <si>
    <t>QU99400160</t>
  </si>
  <si>
    <t>PI-20171013C</t>
  </si>
  <si>
    <t>POC-320 w/8GB RAM
(S/N: H4300121)</t>
  </si>
  <si>
    <t>PO-20171013C</t>
  </si>
  <si>
    <t>QB34782232</t>
  </si>
  <si>
    <t>CX062230SKHM</t>
  </si>
  <si>
    <t>mSATA128GB + Win10 pre-installed(64 BIT)</t>
  </si>
  <si>
    <t>同V723</t>
  </si>
  <si>
    <t>PO-20171013B-3</t>
  </si>
  <si>
    <t>QB36052698</t>
  </si>
  <si>
    <t>PI-20171017B</t>
  </si>
  <si>
    <t>PO-20171017B-1</t>
  </si>
  <si>
    <t>QD46333358</t>
  </si>
  <si>
    <t>PO-20171017B-2</t>
  </si>
  <si>
    <t>QB48272330</t>
  </si>
  <si>
    <t>PI-20171017A</t>
  </si>
  <si>
    <t>PO-20171017A</t>
  </si>
  <si>
    <t>QD63035084</t>
  </si>
  <si>
    <t>同V725</t>
  </si>
  <si>
    <t>DE171101-001</t>
  </si>
  <si>
    <t>PI-20171018A
(Leon 灌新軟體+標籤)</t>
  </si>
  <si>
    <t>PO-20171018A</t>
  </si>
  <si>
    <t>QS36017352</t>
  </si>
  <si>
    <t>CA0652015687</t>
  </si>
  <si>
    <t>018-90080561</t>
  </si>
  <si>
    <t>PI-20171019B</t>
  </si>
  <si>
    <t>TDM-P173WHGB
(S/N:MO201710190001)</t>
  </si>
  <si>
    <t>閎亮/都合</t>
  </si>
  <si>
    <t>見2017工單 PI-20171019B</t>
  </si>
  <si>
    <t>CX062230VL33</t>
  </si>
  <si>
    <t>Evaluation-20171019A</t>
  </si>
  <si>
    <t>LPC-P185W (BAREBONE)</t>
  </si>
  <si>
    <t xml:space="preserve">工單RDMPO-20170821D(Revised) 7155元+工單Evaluation-20171019A </t>
  </si>
  <si>
    <t>CX062230RTUL</t>
  </si>
  <si>
    <t>TS32GSSD370, 32GB,  S/N:D80699-2274</t>
  </si>
  <si>
    <t>工單RDMPO-20170821D(Revised) 7155元+工單Evaluation-20171019A</t>
  </si>
  <si>
    <t>DRAM TS512MSK64W6H</t>
  </si>
  <si>
    <t>FPO 14144</t>
  </si>
  <si>
    <t>PI-20171020A</t>
  </si>
  <si>
    <t>EDS-510E-3GTXSFP</t>
  </si>
  <si>
    <t>DHL COURIER ACCOUNT 961112705.</t>
  </si>
  <si>
    <t>PO-20171020A</t>
  </si>
  <si>
    <t>QU79343518</t>
  </si>
  <si>
    <t>CX062230VUHG</t>
  </si>
  <si>
    <t>SFP-1GLHLC</t>
  </si>
  <si>
    <t>APAC
前鼎光電-採購為TAMMY
翔生-採購為Chloe</t>
  </si>
  <si>
    <t>見2017工單PI-20171020A</t>
  </si>
  <si>
    <t>20171021-E1</t>
  </si>
  <si>
    <r>
      <rPr>
        <sz val="10"/>
        <color rgb="FF000000"/>
        <rFont val="Arial"/>
        <family val="2"/>
      </rPr>
      <t xml:space="preserve">PI-20171023C
</t>
    </r>
    <r>
      <rPr>
        <sz val="10"/>
        <color rgb="FF000000"/>
        <rFont val="Arial"/>
        <family val="2"/>
      </rPr>
      <t>(Leon組裝與測試)</t>
    </r>
  </si>
  <si>
    <t>LPC-P121S-01-EU</t>
  </si>
  <si>
    <t>pick up number DHL:7385570080</t>
  </si>
  <si>
    <t>見2017工單RDMO-20170821D-3(欄位245)</t>
  </si>
  <si>
    <t>CX062230TKQ0</t>
  </si>
  <si>
    <t>DDS4GHIMBEC
S/N：O1707250060143</t>
  </si>
  <si>
    <t>見2017工單RDMO-20170821D-3(欄位315)</t>
  </si>
  <si>
    <t>QS38375453</t>
  </si>
  <si>
    <t>PI-20171023A</t>
  </si>
  <si>
    <t>PO-20171023A</t>
  </si>
  <si>
    <t>QU63031737</t>
  </si>
  <si>
    <t>CX062230VKYD</t>
  </si>
  <si>
    <t>300151</t>
  </si>
  <si>
    <t>PI-20171023B</t>
  </si>
  <si>
    <t>PO-20171023B</t>
  </si>
  <si>
    <t>QU79343444</t>
  </si>
  <si>
    <t>CF065503860K</t>
  </si>
  <si>
    <t>QD63035294</t>
  </si>
  <si>
    <t>CX062230SKS6</t>
  </si>
  <si>
    <t>PI-20171023C</t>
  </si>
  <si>
    <t>PI-20171026A</t>
  </si>
  <si>
    <t>PO-20171026A</t>
  </si>
  <si>
    <t>QU79343558</t>
  </si>
  <si>
    <t>QS52572201</t>
  </si>
  <si>
    <t>@30.16</t>
  </si>
  <si>
    <t>11/7掛號寄出</t>
  </si>
  <si>
    <t>DE171103-003</t>
  </si>
  <si>
    <t>Evaluation PI-20171026B
(借測)</t>
  </si>
  <si>
    <t>Evaluation PO-20171026B</t>
  </si>
  <si>
    <t>QU79343593</t>
  </si>
  <si>
    <t>X</t>
  </si>
  <si>
    <t>P171027VJ0</t>
  </si>
  <si>
    <t>PI-20171027A</t>
  </si>
  <si>
    <t>EMPL-G201-W1 (Innodisk)</t>
  </si>
  <si>
    <t>PO-20171027A</t>
  </si>
  <si>
    <t>QU67921469</t>
  </si>
  <si>
    <t>PI-20171030A</t>
  </si>
  <si>
    <t>PO-20171030A</t>
  </si>
  <si>
    <t>QU63031857</t>
  </si>
  <si>
    <t>CX062230U8KS</t>
  </si>
  <si>
    <t>PI-20171030B
(Leon 灌新軟體+標籤)</t>
  </si>
  <si>
    <t>PO-20171030B</t>
  </si>
  <si>
    <t>QS36017353</t>
  </si>
  <si>
    <t xml:space="preserve">CA0652015737 </t>
  </si>
  <si>
    <t xml:space="preserve">018-90081246 </t>
  </si>
  <si>
    <t>PI-20171101A
(Leon 標籤)</t>
  </si>
  <si>
    <t>PO-20171101A</t>
  </si>
  <si>
    <t>QU79343728</t>
  </si>
  <si>
    <t>Evaluation PI-20171101B
(Leon組裝與測試)</t>
  </si>
  <si>
    <t>LPC-P150S</t>
  </si>
  <si>
    <t>RDMO-20170821D-1</t>
  </si>
  <si>
    <t>64GB 2.5” SSD A3A SM2246EN Micron 3D-MLC ET (敏博)
MI3MA6264G02EN</t>
  </si>
  <si>
    <t>RDMO-20170821D-1-2</t>
  </si>
  <si>
    <r>
      <rPr>
        <sz val="10"/>
        <color rgb="FF000000"/>
        <rFont val="Arial"/>
        <family val="2"/>
      </rPr>
      <t xml:space="preserve">Evaluation PI-20171101B
</t>
    </r>
    <r>
      <rPr>
        <sz val="10"/>
        <color rgb="FF000000"/>
        <rFont val="Arial"/>
        <family val="2"/>
      </rPr>
      <t>(Leon組裝與測試)</t>
    </r>
  </si>
  <si>
    <t>4GB DDR3L 1600 SO-DIMM Hynix 512M*8 ET (敏博)
DDS4GHIMBEE</t>
  </si>
  <si>
    <t>RDMO-20170821D-1-3</t>
  </si>
  <si>
    <t>借轉銷</t>
  </si>
  <si>
    <t>Windows 10 Enterprise 評估軟體</t>
  </si>
  <si>
    <t>PI-20171103B
(Leon 灌新軟體+標籤)</t>
  </si>
  <si>
    <r>
      <rPr>
        <sz val="10"/>
        <color rgb="FF000000"/>
        <rFont val="Arial"/>
        <family val="2"/>
      </rPr>
      <t xml:space="preserve">Nport W2150A -US Band w/ US adapter
</t>
    </r>
    <r>
      <rPr>
        <b/>
        <sz val="10"/>
        <color rgb="FF0000FF"/>
        <rFont val="Arial"/>
        <family val="2"/>
      </rPr>
      <t xml:space="preserve"> (w2x50a_1.9.62)</t>
    </r>
  </si>
  <si>
    <t>PO-20171103B</t>
  </si>
  <si>
    <t>QS36017354</t>
  </si>
  <si>
    <t>300163</t>
  </si>
  <si>
    <t>PI-20171103A</t>
  </si>
  <si>
    <t>MGate MB3180/EU V1.2.2</t>
  </si>
  <si>
    <t>PO-20171103A</t>
  </si>
  <si>
    <t>QU79343559</t>
  </si>
  <si>
    <t>CF065504539Y</t>
  </si>
  <si>
    <t>P171106NP0</t>
  </si>
  <si>
    <r>
      <rPr>
        <sz val="10"/>
        <color rgb="FF000000"/>
        <rFont val="Arial"/>
        <family val="2"/>
      </rPr>
      <t xml:space="preserve">PI-20171106B
</t>
    </r>
    <r>
      <rPr>
        <sz val="10"/>
        <color rgb="FF000000"/>
        <rFont val="Arial"/>
        <family val="2"/>
      </rPr>
      <t>(Leon組裝與測試)</t>
    </r>
  </si>
  <si>
    <t>CW0610014185</t>
  </si>
  <si>
    <t>297-69252282</t>
  </si>
  <si>
    <t>Leon組裝無發票</t>
  </si>
  <si>
    <t>PI-20171106B
(Leon組裝與測試)</t>
  </si>
  <si>
    <t>PO-20171106B</t>
  </si>
  <si>
    <t>QU83868768</t>
  </si>
  <si>
    <t>同V756</t>
  </si>
  <si>
    <t>330-17110258</t>
  </si>
  <si>
    <t>PI-20171106A</t>
  </si>
  <si>
    <t>PO-20171106A</t>
  </si>
  <si>
    <t>QU79344469</t>
  </si>
  <si>
    <t>QS52572253</t>
  </si>
  <si>
    <t>12/1央行@30.028</t>
  </si>
  <si>
    <t>12/5發票掛號寄出</t>
  </si>
  <si>
    <t>PI-20171106C</t>
  </si>
  <si>
    <t>PO-20171106C</t>
  </si>
  <si>
    <t>QU79343662</t>
  </si>
  <si>
    <t>QS52572205</t>
  </si>
  <si>
    <t>@30.19</t>
  </si>
  <si>
    <t>PI-20171106D</t>
  </si>
  <si>
    <t>PO-20171106D</t>
  </si>
  <si>
    <t>QS38191752</t>
  </si>
  <si>
    <t>QS52572200</t>
  </si>
  <si>
    <t>PI-20171107A</t>
  </si>
  <si>
    <t>PO-20171107A</t>
  </si>
  <si>
    <t>QS38191754</t>
  </si>
  <si>
    <t>QS52572202</t>
  </si>
  <si>
    <t>PI-20171108A</t>
  </si>
  <si>
    <t>TCC-100</t>
  </si>
  <si>
    <t>PO-20171108A</t>
  </si>
  <si>
    <t>QU79343742</t>
  </si>
  <si>
    <t>CF065505708H</t>
  </si>
  <si>
    <t>同V767</t>
  </si>
  <si>
    <t>PI-20171110A</t>
  </si>
  <si>
    <t>PO-20171110A</t>
  </si>
  <si>
    <t>YL25120461</t>
  </si>
  <si>
    <t>CG06376G5306</t>
  </si>
  <si>
    <t>PI-20171115B</t>
  </si>
  <si>
    <t>見2017工單RDMPO-20170608A 50 PCS</t>
  </si>
  <si>
    <t>PI-20171115A</t>
  </si>
  <si>
    <t>PO-20171115A</t>
  </si>
  <si>
    <t>QU63031875</t>
  </si>
  <si>
    <t>CX062230UQNK</t>
  </si>
  <si>
    <t>同V769</t>
  </si>
  <si>
    <t xml:space="preserve">20171117-AA </t>
  </si>
  <si>
    <t>PI-20171117A
(christine換標籤)</t>
  </si>
  <si>
    <t>PO-20171117A</t>
  </si>
  <si>
    <t>QS38867955</t>
  </si>
  <si>
    <t>QS52572207</t>
  </si>
  <si>
    <t>大榮-15347137363</t>
  </si>
  <si>
    <t>11/20 台灣銀行@30.095</t>
  </si>
  <si>
    <t>11/20 隨貨寄出</t>
  </si>
  <si>
    <t>G106125513</t>
  </si>
  <si>
    <t>PI-20160831A-3</t>
  </si>
  <si>
    <t>見2017工單PI-20160831A-3(因有先付供應商款項，故請算損益平衡表加減項)</t>
  </si>
  <si>
    <t xml:space="preserve">QS52572264 </t>
  </si>
  <si>
    <t>1530045613-1/
1530045613-2</t>
  </si>
  <si>
    <t>同V441</t>
  </si>
  <si>
    <t>PI-20160831A-4</t>
  </si>
  <si>
    <t>見2017工單PI-20160831A-4(因有先付供應商款項，故請算損益平衡表加減項)</t>
  </si>
  <si>
    <t>Evaluation-20171119A</t>
  </si>
  <si>
    <t>D4SS12161SH24A-B</t>
  </si>
  <si>
    <t>RDMO-20171119A</t>
  </si>
  <si>
    <t>第一銀行(007) 
158-10-002101</t>
  </si>
  <si>
    <t>QS49110130</t>
  </si>
  <si>
    <t>CX062230UHVP</t>
  </si>
  <si>
    <t>PI-20171120A</t>
  </si>
  <si>
    <t>CP-104EL-A-DB9M</t>
  </si>
  <si>
    <t>PO-20171120A</t>
  </si>
  <si>
    <t>QU79343939</t>
  </si>
  <si>
    <t>1615677</t>
  </si>
  <si>
    <t>PI-20171122A</t>
  </si>
  <si>
    <t>PO-20171122A-1</t>
  </si>
  <si>
    <t>QS34700779</t>
  </si>
  <si>
    <t>CF065509198M</t>
  </si>
  <si>
    <t>PO-20171122A-2</t>
  </si>
  <si>
    <t>QU99400806</t>
  </si>
  <si>
    <t>同V784</t>
  </si>
  <si>
    <t>QU99400791</t>
  </si>
  <si>
    <t>1615702</t>
  </si>
  <si>
    <t>PI-20171122D</t>
  </si>
  <si>
    <t>Fedex Express #268438726</t>
  </si>
  <si>
    <t>PO-20171122D-1</t>
  </si>
  <si>
    <t>QS34700770</t>
  </si>
  <si>
    <t>CF065508150U</t>
  </si>
  <si>
    <t>同V799</t>
  </si>
  <si>
    <t>P171124NP3</t>
  </si>
  <si>
    <r>
      <rPr>
        <sz val="10"/>
        <color rgb="FF000000"/>
        <rFont val="Arial"/>
        <family val="2"/>
      </rPr>
      <t xml:space="preserve">PI-20171122B
</t>
    </r>
    <r>
      <rPr>
        <sz val="10"/>
        <color rgb="FF000000"/>
        <rFont val="Arial"/>
        <family val="2"/>
      </rPr>
      <t>(Leon測試,外盒貼上記憶體容量貼紙)</t>
    </r>
  </si>
  <si>
    <r>
      <rPr>
        <sz val="10"/>
        <color rgb="FF000000"/>
        <rFont val="Arial"/>
        <family val="2"/>
      </rPr>
      <t xml:space="preserve">Nuvo-5002LP
</t>
    </r>
    <r>
      <rPr>
        <sz val="10"/>
        <color rgb="FF000000"/>
        <rFont val="Arial"/>
        <family val="2"/>
      </rPr>
      <t>(S/N:H4911369~11372)</t>
    </r>
  </si>
  <si>
    <t>PO-20171122B</t>
  </si>
  <si>
    <t>QS35004762</t>
  </si>
  <si>
    <t>CX062230W8WP</t>
  </si>
  <si>
    <t>PO-20171122D-2</t>
  </si>
  <si>
    <t>同V789</t>
  </si>
  <si>
    <t>PI-20171122B</t>
  </si>
  <si>
    <t>OPE1503FBDTR
(S/N:WA171312A00001~5)</t>
  </si>
  <si>
    <t>QS51874262</t>
  </si>
  <si>
    <t>PO-20171122B-3</t>
  </si>
  <si>
    <t>QU99400724</t>
  </si>
  <si>
    <t>PI-20171122B
(Leon測試,外盒貼上記憶體容量貼紙)</t>
  </si>
  <si>
    <t>PWA-120W (VECOW)</t>
  </si>
  <si>
    <t>QS38191771</t>
  </si>
  <si>
    <t>D4S8GHLOFEC
(向敏博購買. Neousys組裝)</t>
  </si>
  <si>
    <t>工單PI-20171122B</t>
  </si>
  <si>
    <t>PI-20171122C</t>
  </si>
  <si>
    <t>Repair service charge for POC-210 (S/N: E2000366)</t>
  </si>
  <si>
    <t>RMA-20171031A-4</t>
  </si>
  <si>
    <t>QS35004777</t>
  </si>
  <si>
    <t>CX062230Y0J1</t>
  </si>
  <si>
    <t>Repair service charge for SPC-3520-300U (P/N: Q17A525004)</t>
  </si>
  <si>
    <t>PI-20171123A</t>
  </si>
  <si>
    <t xml:space="preserve">ADAM-6051-D </t>
  </si>
  <si>
    <t>PO-20171123A</t>
  </si>
  <si>
    <t>QU63031833</t>
  </si>
  <si>
    <t xml:space="preserve">UNO-1372G-E3AE </t>
  </si>
  <si>
    <t>同V804</t>
  </si>
  <si>
    <t>PI-20171124E
 請Leon 燒錄光碟</t>
  </si>
  <si>
    <t>968TW7PROE (Microsoft Window 7 PRO 32/64 License Sticker42C-00022 )</t>
  </si>
  <si>
    <t>PO-20171124E</t>
  </si>
  <si>
    <t>QU63034816</t>
  </si>
  <si>
    <t>QS52572259</t>
  </si>
  <si>
    <t>12/13隨貨寄出</t>
  </si>
  <si>
    <t>P171123NP1</t>
  </si>
  <si>
    <r>
      <rPr>
        <sz val="10"/>
        <color rgb="FF000000"/>
        <rFont val="Arial"/>
        <family val="2"/>
      </rPr>
      <t xml:space="preserve">PI-20171124B
</t>
    </r>
    <r>
      <rPr>
        <sz val="10"/>
        <color rgb="FF000000"/>
        <rFont val="Arial"/>
        <family val="2"/>
      </rPr>
      <t>(Leon測試,外盒貼上記憶體容量貼紙)</t>
    </r>
  </si>
  <si>
    <t>ECS-8000-2R850Q
(S/N:S17A840127~130)</t>
  </si>
  <si>
    <t>PO-20171124B-1</t>
  </si>
  <si>
    <t>QS38191783</t>
  </si>
  <si>
    <t>CX062230WK1E</t>
  </si>
  <si>
    <t>ECS-8000-2R700Q
(S/N:S16A820021~22)</t>
  </si>
  <si>
    <t>M3S0-8GSSDLPC
(VECOW組裝)</t>
  </si>
  <si>
    <t>見2017工單RDMPO-20170825B * 4 PCS
見2016工單MO-20161220A*2PCS</t>
  </si>
  <si>
    <t>P171124NP2</t>
  </si>
  <si>
    <t>PI-20171124C
(Leon組裝測試,外盒貼上記憶體容量貼紙)</t>
  </si>
  <si>
    <r>
      <rPr>
        <sz val="10"/>
        <color rgb="FF000000"/>
        <rFont val="Arial"/>
        <family val="2"/>
      </rPr>
      <t xml:space="preserve">Nuvo-5006LP (Neousys)
</t>
    </r>
    <r>
      <rPr>
        <sz val="10"/>
        <color rgb="FF000000"/>
        <rFont val="Arial"/>
        <family val="2"/>
      </rPr>
      <t>(S/N:H4910205~10206)</t>
    </r>
  </si>
  <si>
    <t>同V791</t>
  </si>
  <si>
    <t>Intel® Core™ i5-6500TE Processor
(向捷毅國際購買Leon組裝)</t>
  </si>
  <si>
    <t>PO-20171124C-3</t>
  </si>
  <si>
    <t>QU99400723</t>
  </si>
  <si>
    <t>同V796</t>
  </si>
  <si>
    <t>PI-20171124D</t>
  </si>
  <si>
    <t>PO-20171124D</t>
  </si>
  <si>
    <t>QU79343966</t>
  </si>
  <si>
    <t>CF065506912S</t>
  </si>
  <si>
    <t>同V808</t>
  </si>
  <si>
    <t>D4S8GHLOFEC
(向敏博購買. Leon組裝)</t>
  </si>
  <si>
    <t>工單PI-20171124C</t>
  </si>
  <si>
    <t>63672</t>
  </si>
  <si>
    <t>PI-20171128A</t>
  </si>
  <si>
    <t>BT-432IS
(S/N: 1711001-1711050)</t>
  </si>
  <si>
    <t>ELGENS TNT</t>
  </si>
  <si>
    <t>PO-20171128A</t>
  </si>
  <si>
    <t>QS00144401</t>
  </si>
  <si>
    <t>CG06376H5481</t>
  </si>
  <si>
    <t>PI-20171128B</t>
  </si>
  <si>
    <t xml:space="preserve"> PO-20171128B </t>
  </si>
  <si>
    <t>QS38191778</t>
  </si>
  <si>
    <t>QS52572250</t>
  </si>
  <si>
    <t>12/4掛號寄出</t>
  </si>
  <si>
    <t>Freight For PI-20171128A By TNT</t>
  </si>
  <si>
    <t>花旗銀行:021
77720000540458</t>
  </si>
  <si>
    <t>QU35636662</t>
  </si>
  <si>
    <t>PI-20171129D</t>
  </si>
  <si>
    <t>PO-20171129D-1</t>
  </si>
  <si>
    <t>QS34700793</t>
  </si>
  <si>
    <t>PO-20171129D-2</t>
  </si>
  <si>
    <t>QU99400835</t>
  </si>
  <si>
    <t>同V814</t>
  </si>
  <si>
    <t>PI-20171129C-1</t>
  </si>
  <si>
    <t>PO-20171129C-1</t>
  </si>
  <si>
    <t>QU79344676</t>
  </si>
  <si>
    <t>QS52572262</t>
  </si>
  <si>
    <t xml:space="preserve"> 12/14掛號寄出</t>
  </si>
  <si>
    <t>同V818</t>
  </si>
  <si>
    <t>PI-20171129C</t>
  </si>
  <si>
    <t>PO-20171129C</t>
  </si>
  <si>
    <t>QU79344561</t>
  </si>
  <si>
    <t>QS52572257</t>
  </si>
  <si>
    <t xml:space="preserve">@30 </t>
  </si>
  <si>
    <t xml:space="preserve"> 12/7掛號寄出</t>
  </si>
  <si>
    <t>PI-20171129B</t>
  </si>
  <si>
    <t>CP-132UL-I-DB9M</t>
  </si>
  <si>
    <t>PO-20171129B</t>
  </si>
  <si>
    <t>QU79344537</t>
  </si>
  <si>
    <t>QS52572255</t>
  </si>
  <si>
    <t>12/5 台灣銀行@30.01</t>
  </si>
  <si>
    <t>12/12掛號寄出</t>
  </si>
  <si>
    <t>PI-20171129A</t>
  </si>
  <si>
    <t>PO-20171129A</t>
  </si>
  <si>
    <t>QU63034575</t>
  </si>
  <si>
    <t>CX062230W22T</t>
  </si>
  <si>
    <t>065589-1</t>
  </si>
  <si>
    <t>PI-20171130A</t>
  </si>
  <si>
    <t>TNT economy express 
account number: 2008044</t>
  </si>
  <si>
    <t>見2017工單MO-20171130A</t>
  </si>
  <si>
    <t>QS52118572</t>
  </si>
  <si>
    <t>CG06376J1405</t>
  </si>
  <si>
    <t>同V828</t>
  </si>
  <si>
    <t>DE171205-001</t>
  </si>
  <si>
    <t>PI-20171204B
(Leon 灌新軟體+標籤)</t>
  </si>
  <si>
    <t>PO-20171204B</t>
  </si>
  <si>
    <t>QS36017357</t>
  </si>
  <si>
    <t>CA0652015864</t>
  </si>
  <si>
    <t>018-90091094</t>
  </si>
  <si>
    <t>1615990</t>
  </si>
  <si>
    <t>PI-20171204D</t>
  </si>
  <si>
    <t>PCI-1784U-AE</t>
  </si>
  <si>
    <t>PO-20171204D</t>
  </si>
  <si>
    <t>QU63034885</t>
  </si>
  <si>
    <t>PI-20171204A</t>
  </si>
  <si>
    <t>PO-20171204A</t>
  </si>
  <si>
    <t>QU63034821</t>
  </si>
  <si>
    <t>CX062230WY9C</t>
  </si>
  <si>
    <t>同V837</t>
  </si>
  <si>
    <t>PI-20171205A</t>
  </si>
  <si>
    <t>EDS-408A</t>
  </si>
  <si>
    <t>PO-20171205A</t>
  </si>
  <si>
    <t>QU79344677</t>
  </si>
  <si>
    <t>QS52572261</t>
  </si>
  <si>
    <t>大榮15347136664</t>
  </si>
  <si>
    <t>@30.015</t>
  </si>
  <si>
    <t>同V834</t>
  </si>
  <si>
    <t>P171207NP1</t>
  </si>
  <si>
    <t>PI-20171207B</t>
  </si>
  <si>
    <t>PO-20171207B</t>
  </si>
  <si>
    <t>QS38191790</t>
  </si>
  <si>
    <t>VECOW SPC-3520-300U
(S/N: Q17A525025-051)</t>
  </si>
  <si>
    <t>同V847</t>
  </si>
  <si>
    <t>含在N837中</t>
  </si>
  <si>
    <t>P171207NP2</t>
  </si>
  <si>
    <t>PI-20171207C
(Leon組裝測試)</t>
  </si>
  <si>
    <t>POC-212
(S/N:H5117689~691,H5117693~17713,H5117715~19)</t>
  </si>
  <si>
    <t>PO-20171207C</t>
  </si>
  <si>
    <t>QS35004786</t>
  </si>
  <si>
    <t>CX062230Y9E9</t>
  </si>
  <si>
    <r>
      <rPr>
        <sz val="10"/>
        <color rgb="FF000000"/>
        <rFont val="Arial"/>
        <family val="2"/>
      </rPr>
      <t xml:space="preserve">PI-20171207C
</t>
    </r>
    <r>
      <rPr>
        <sz val="10"/>
        <color rgb="FF000000"/>
        <rFont val="Arial"/>
        <family val="2"/>
      </rPr>
      <t>(Leon組裝測試)</t>
    </r>
  </si>
  <si>
    <t>APS25AF7128G-4BTM1GWT</t>
  </si>
  <si>
    <t>PO-20171207C-3</t>
  </si>
  <si>
    <t>QU72855016</t>
  </si>
  <si>
    <t>P171207NP3</t>
  </si>
  <si>
    <r>
      <rPr>
        <sz val="10"/>
        <color rgb="FF000000"/>
        <rFont val="Arial"/>
        <family val="2"/>
      </rPr>
      <t xml:space="preserve">PI-20171207D
</t>
    </r>
    <r>
      <rPr>
        <sz val="10"/>
        <color rgb="FF000000"/>
        <rFont val="Arial"/>
        <family val="2"/>
      </rPr>
      <t>(Leon組裝測試)</t>
    </r>
  </si>
  <si>
    <t>POC-212
(S/N:H5117714,H5117692)</t>
  </si>
  <si>
    <t>同V852</t>
  </si>
  <si>
    <t>同P854</t>
  </si>
  <si>
    <t>同V854</t>
  </si>
  <si>
    <t>PO-20171207C-2</t>
  </si>
  <si>
    <t>QU62206751</t>
  </si>
  <si>
    <t>同P853</t>
  </si>
  <si>
    <t>同V853</t>
  </si>
  <si>
    <t>D4S8GHLOFEC
(請VECOW組裝)</t>
  </si>
  <si>
    <t>PO-20171207B-1</t>
  </si>
  <si>
    <t>QS37081520</t>
  </si>
  <si>
    <t>P171218NP0</t>
  </si>
  <si>
    <t>PI-20171218A
(Leon測試, 外盒貼上記憶體容量貼紙)</t>
  </si>
  <si>
    <t>Nuvo-5501
(S/H:H5200067~68)</t>
  </si>
  <si>
    <t>PO-20171218A</t>
  </si>
  <si>
    <t>QS35004804</t>
  </si>
  <si>
    <r>
      <rPr>
        <sz val="10"/>
        <color rgb="FF000000"/>
        <rFont val="Arial"/>
        <family val="2"/>
      </rPr>
      <t xml:space="preserve">PI-20171218A
</t>
    </r>
    <r>
      <rPr>
        <sz val="10"/>
        <color rgb="FF000000"/>
        <rFont val="Arial"/>
        <family val="2"/>
      </rPr>
      <t>(Leon測試, 外盒貼上記憶體容量貼紙)</t>
    </r>
  </si>
  <si>
    <t>Intel® Core™ i7-6700TE Processor
(向捷毅國際購買Neousys組裝)</t>
  </si>
  <si>
    <t>PO-20171218A-1</t>
  </si>
  <si>
    <t>QU99401039</t>
  </si>
  <si>
    <t>D4S8GHLOFEC
(敏博; Neousys組裝)</t>
  </si>
  <si>
    <t>工單PI-20171218A</t>
  </si>
  <si>
    <t xml:space="preserve">G106125525 </t>
  </si>
  <si>
    <t>Antivirus softwareOfficescan 3 years</t>
  </si>
  <si>
    <t>零壹科技</t>
  </si>
  <si>
    <t>ZOT991223</t>
  </si>
  <si>
    <t>彰化商業銀行 5081-01-30572600</t>
  </si>
  <si>
    <t>QU62609355</t>
  </si>
  <si>
    <t>QS52572265</t>
  </si>
  <si>
    <t>大榮15300456134</t>
  </si>
  <si>
    <t>12/26機車快遞寄出</t>
  </si>
  <si>
    <t>換算報價用的匯率</t>
  </si>
  <si>
    <t>PI-20160210B</t>
  </si>
  <si>
    <t>PO-20160210B</t>
  </si>
  <si>
    <t>AU34814089</t>
  </si>
  <si>
    <t>CF05550Q2708</t>
  </si>
  <si>
    <t>v</t>
  </si>
  <si>
    <t>同X90</t>
  </si>
  <si>
    <t xml:space="preserve">CF05550Q2708 </t>
  </si>
  <si>
    <t>PI-20150807A</t>
  </si>
  <si>
    <t>TB 16241701301000</t>
  </si>
  <si>
    <t>arrow</t>
  </si>
  <si>
    <t>web-SO1237396</t>
  </si>
  <si>
    <t>刷卡 (Santiago)</t>
  </si>
  <si>
    <t>CF 0455032780</t>
  </si>
  <si>
    <t>TB 16251701301000</t>
  </si>
  <si>
    <t>Freight</t>
  </si>
  <si>
    <t>ADLINK</t>
  </si>
  <si>
    <t>PI-20160330A</t>
  </si>
  <si>
    <t>V2201-E2-W-T</t>
  </si>
  <si>
    <t>Karen</t>
  </si>
  <si>
    <t>PO-20160330A</t>
  </si>
  <si>
    <t>CF81452831</t>
  </si>
  <si>
    <t>CD52598100</t>
  </si>
  <si>
    <t>@32.625</t>
  </si>
  <si>
    <t>發票隨貨</t>
  </si>
  <si>
    <t>PO15/0557M</t>
  </si>
  <si>
    <t>PI-20151120C</t>
  </si>
  <si>
    <t xml:space="preserve">CP-114EL-I-DB9M </t>
  </si>
  <si>
    <t>DHL A/C
 No : 951842593</t>
  </si>
  <si>
    <t>PO-20151120C</t>
  </si>
  <si>
    <t>SJ84406907</t>
  </si>
  <si>
    <t>CX0522300UQX</t>
  </si>
  <si>
    <t>PO-20151120C-3</t>
  </si>
  <si>
    <t>花旗
5028523019</t>
  </si>
  <si>
    <t>AW65099707</t>
  </si>
  <si>
    <t>PI-20151127B</t>
  </si>
  <si>
    <r>
      <rPr>
        <sz val="10"/>
        <color rgb="FF000000"/>
        <rFont val="arial,sans,sans-serif"/>
      </rPr>
      <t xml:space="preserve">BTC013-1-79-500 
</t>
    </r>
    <r>
      <rPr>
        <b/>
        <sz val="10"/>
        <color rgb="FF0000FF"/>
        <rFont val="arial,sans,sans-serif"/>
      </rPr>
      <t>(WiFi Cable)</t>
    </r>
  </si>
  <si>
    <t>DHL 955148831</t>
  </si>
  <si>
    <t>PO-20151127A-2</t>
  </si>
  <si>
    <t>SG35055890</t>
  </si>
  <si>
    <t>同X12</t>
  </si>
  <si>
    <t>CX 0522301EQK</t>
  </si>
  <si>
    <t>PO-20151127A-1</t>
  </si>
  <si>
    <t>澳盛(台灣)Bank code 0390019
000700481198</t>
  </si>
  <si>
    <t>AU49733552</t>
  </si>
  <si>
    <t>PI-20151216A</t>
  </si>
  <si>
    <t>Service Charge</t>
  </si>
  <si>
    <t>GMI 青航</t>
  </si>
  <si>
    <t>CH 0552081047</t>
  </si>
  <si>
    <t>P151202NP0</t>
  </si>
  <si>
    <t>PI-20151202A</t>
  </si>
  <si>
    <t xml:space="preserve">Unigens DHL </t>
  </si>
  <si>
    <t>AW22688702</t>
  </si>
  <si>
    <t>P151204NP0</t>
  </si>
  <si>
    <t>PI-20151204A</t>
  </si>
  <si>
    <t>ECS-8000-PoER700Q</t>
  </si>
  <si>
    <t>PO-20151204A</t>
  </si>
  <si>
    <t>"玉山銀行(板橋分行)
1171 940 013686"</t>
  </si>
  <si>
    <t>AU38368465</t>
  </si>
  <si>
    <t>CX0522302NG7</t>
  </si>
  <si>
    <t>PO-20150204A-2</t>
  </si>
  <si>
    <t>合庫大安分行˙
0760717324727</t>
  </si>
  <si>
    <t>AW64230908</t>
  </si>
  <si>
    <t>同x19</t>
  </si>
  <si>
    <t>PI-20160819B</t>
  </si>
  <si>
    <t>IEI TANK-860-HM86i-i5/4G/6A-R10</t>
  </si>
  <si>
    <t xml:space="preserve">Weiss-Rohlig Taiwan Ltd. </t>
  </si>
  <si>
    <t>PO-20160819B</t>
  </si>
  <si>
    <t>CX70070135</t>
  </si>
  <si>
    <t>CW0547002363</t>
  </si>
  <si>
    <t>P151204NP1</t>
  </si>
  <si>
    <t>PI-20151204B</t>
  </si>
  <si>
    <t>同X20</t>
  </si>
  <si>
    <t>PO-20151204B</t>
  </si>
  <si>
    <t>DT151209-002</t>
  </si>
  <si>
    <t>PI-20151209B
(佣金已付)</t>
  </si>
  <si>
    <t>NPort W2150A-EU Band 
w/ Cn Adapter</t>
  </si>
  <si>
    <t>PO-20151209B</t>
  </si>
  <si>
    <t>AW81452624</t>
  </si>
  <si>
    <t>CA0552000068</t>
  </si>
  <si>
    <t>DT151209-001</t>
  </si>
  <si>
    <t xml:space="preserve">AWK-3121-EU </t>
  </si>
  <si>
    <t>同x25</t>
  </si>
  <si>
    <t>PI-20160914A</t>
  </si>
  <si>
    <t>PO-20160914C</t>
  </si>
  <si>
    <t>DP70070124</t>
  </si>
  <si>
    <t>CW0547002913</t>
  </si>
  <si>
    <t>SMIB Board</t>
  </si>
  <si>
    <t>CH0552081008</t>
  </si>
  <si>
    <t>PI-20160914A-1</t>
  </si>
  <si>
    <t>EF70070009</t>
  </si>
  <si>
    <t>CW0547003034</t>
  </si>
  <si>
    <t>Autech
亞郁科技</t>
  </si>
  <si>
    <t>PO201512180024</t>
  </si>
  <si>
    <t>PI-20151221A</t>
  </si>
  <si>
    <t>Nport-5150 w/US adapter</t>
  </si>
  <si>
    <t>PO-20151221A</t>
  </si>
  <si>
    <t>AW81452623</t>
  </si>
  <si>
    <t>AU52548700</t>
  </si>
  <si>
    <t>1/13台銀均: 33.4</t>
  </si>
  <si>
    <t>1/18掛號</t>
  </si>
  <si>
    <t>PI-20151224B</t>
  </si>
  <si>
    <t>Nport 5130A</t>
  </si>
  <si>
    <t>DHL Express Courier Cargo 
(A/C : 964096297)</t>
  </si>
  <si>
    <t>PO-20151224B</t>
  </si>
  <si>
    <t>AW81452483</t>
  </si>
  <si>
    <t>CX 0522301WH5</t>
  </si>
  <si>
    <t>PI-20160118D</t>
  </si>
  <si>
    <t>10AX115N2F40I2SG</t>
  </si>
  <si>
    <t>STA Logistic</t>
  </si>
  <si>
    <t>艾睿Arrow</t>
  </si>
  <si>
    <t>PO-20160118D-1</t>
  </si>
  <si>
    <t>MEGA INTERNATIONAL COMMERCIAL BANK
CO., AN HO BRANCH
A/C NO 019-53-0116</t>
  </si>
  <si>
    <t>CF85193569</t>
  </si>
  <si>
    <t>CX052230EZ4F</t>
  </si>
  <si>
    <t>V-1+V-2</t>
  </si>
  <si>
    <t>PI-20160107A</t>
  </si>
  <si>
    <t>RFA-02-3-C52M3-B70
(WIFI antenna)</t>
  </si>
  <si>
    <t>PO-20160107A</t>
  </si>
  <si>
    <t>AU34821424</t>
  </si>
  <si>
    <t>RFA-EU-C55-U-B70
(4G antenna)</t>
  </si>
  <si>
    <t>同x38</t>
  </si>
  <si>
    <t>IMB-130 (with D2550)</t>
  </si>
  <si>
    <t xml:space="preserve">Asrock 華擎
</t>
  </si>
  <si>
    <t>PO-20160107A-3</t>
  </si>
  <si>
    <t>富邦銀行 北投分行
總分支機構代碼012
360102067890"</t>
  </si>
  <si>
    <t>AU49168622</t>
  </si>
  <si>
    <t>CX 0522301WN4</t>
  </si>
  <si>
    <t>Cable kits for IMB-130</t>
  </si>
  <si>
    <t>同x41</t>
  </si>
  <si>
    <t>PI-20160107A-2</t>
  </si>
  <si>
    <r>
      <rPr>
        <sz val="10"/>
        <color theme="1"/>
        <rFont val="arial,sans,sans-serif"/>
      </rPr>
      <t>RFA-01-GPS-12-A1-</t>
    </r>
    <r>
      <rPr>
        <b/>
        <sz val="10"/>
        <color rgb="FFFF0000"/>
        <rFont val="arial,sans,sans-serif"/>
      </rPr>
      <t>2</t>
    </r>
    <r>
      <rPr>
        <sz val="10"/>
        <color theme="1"/>
        <rFont val="arial,sans,sans-serif"/>
      </rPr>
      <t>M
(Active GPS)</t>
    </r>
  </si>
  <si>
    <t>PO-20160107A-2</t>
  </si>
  <si>
    <t>AU34821434</t>
  </si>
  <si>
    <t>PI-20160107B</t>
  </si>
  <si>
    <t xml:space="preserve">Freight to Romania on Jan 8th
(PI-20151216A-1), </t>
  </si>
  <si>
    <t>青航
Green Master</t>
  </si>
  <si>
    <t xml:space="preserve">銀行: 彰化銀行/吉林分行(009-3003)
帳號: 3003-01-00108-7-00 </t>
  </si>
  <si>
    <t>AV16611545</t>
  </si>
  <si>
    <t>Freight to Romania on Jan 28th
(PI-20151216A-2)</t>
  </si>
  <si>
    <t>AV16611646</t>
  </si>
  <si>
    <t>PI-20160107C</t>
  </si>
  <si>
    <t>Freight to Australia 
(PI-20151210A)</t>
  </si>
  <si>
    <t>同x18</t>
  </si>
  <si>
    <t>CX0522300YYH</t>
  </si>
  <si>
    <t>RMA-20160107A</t>
  </si>
  <si>
    <t>IB520F-18-R​ / 1505000416 ​</t>
  </si>
  <si>
    <t>IB520F-18-R​ / 1505000418 ​</t>
  </si>
  <si>
    <t>IB970RF / 1504012796</t>
  </si>
  <si>
    <t>PI-20160113A-1</t>
  </si>
  <si>
    <t>FSP120-AHAN2</t>
  </si>
  <si>
    <t xml:space="preserve">兆豐國際商業銀行桃園分行
014-09-00217-0 </t>
  </si>
  <si>
    <t>BQ02754962</t>
  </si>
  <si>
    <t>CG 053762P489</t>
  </si>
  <si>
    <t>PI-20160113A-2</t>
  </si>
  <si>
    <t>PO-20160113A-2</t>
  </si>
  <si>
    <t>CG02755002</t>
  </si>
  <si>
    <t>CG053764G848</t>
  </si>
  <si>
    <t>CB16-017</t>
  </si>
  <si>
    <t>PI-20160114A</t>
  </si>
  <si>
    <t>PPC-3150-RE4AE (Barebone)</t>
  </si>
  <si>
    <t>TNT002004901by Express</t>
  </si>
  <si>
    <t>PO-20160114A</t>
  </si>
  <si>
    <t>AW65102162</t>
  </si>
  <si>
    <t>CR053761X363</t>
  </si>
  <si>
    <t>96PSA-A90W19OT-1 (power)</t>
  </si>
  <si>
    <t>同x50</t>
  </si>
  <si>
    <t>170203183C ( euro power cord)</t>
  </si>
  <si>
    <t xml:space="preserve">20160115-AA </t>
  </si>
  <si>
    <t>PI-20160115A</t>
  </si>
  <si>
    <t>Santiago/Forster</t>
  </si>
  <si>
    <t>PO-20160115A</t>
  </si>
  <si>
    <t>AW81452726</t>
  </si>
  <si>
    <t>AU52548701</t>
  </si>
  <si>
    <t>1/22 台銀即期買賣平均33.6</t>
  </si>
  <si>
    <t>1/27掛號</t>
  </si>
  <si>
    <t>C218TURBO/PCI</t>
  </si>
  <si>
    <t>同x53</t>
  </si>
  <si>
    <t>同上</t>
  </si>
  <si>
    <t>P160119NP0</t>
  </si>
  <si>
    <t>PI-20160118A</t>
  </si>
  <si>
    <t>42C-00039
(Win Pro Embedded 7 SP1)</t>
  </si>
  <si>
    <t>PO-20161118A</t>
  </si>
  <si>
    <t>AW65099370</t>
  </si>
  <si>
    <t>PI-20160118B</t>
  </si>
  <si>
    <t>PO-20160118B</t>
  </si>
  <si>
    <t>AW81452781</t>
  </si>
  <si>
    <t>CX 0522302JH3</t>
  </si>
  <si>
    <t>PI-20160118B-2</t>
  </si>
  <si>
    <t>FREIGHT</t>
  </si>
  <si>
    <t>AW22719898</t>
  </si>
  <si>
    <t>PO201601150000</t>
  </si>
  <si>
    <t>PI-20160118C</t>
  </si>
  <si>
    <t>PO-20160118C</t>
  </si>
  <si>
    <t>AW81452714</t>
  </si>
  <si>
    <t>AU52548702</t>
  </si>
  <si>
    <t>PCB (8~10pcs) + Tooling</t>
  </si>
  <si>
    <t>PO-20160118D-3</t>
  </si>
  <si>
    <t>CD38009898</t>
  </si>
  <si>
    <t>Other Material</t>
  </si>
  <si>
    <t>FHSB1517-816GG</t>
  </si>
  <si>
    <t xml:space="preserve">榮帥
JOHNSON TECH </t>
  </si>
  <si>
    <t>PO-20160118D-2</t>
  </si>
  <si>
    <t>華南銀行 二重分行 (台幣)
174-10-000523-9</t>
  </si>
  <si>
    <t>BM55545603</t>
  </si>
  <si>
    <t>FHAX1517-715G</t>
  </si>
  <si>
    <t>同x61</t>
  </si>
  <si>
    <t>PCB Assebmly Manufacturing Service Charge</t>
  </si>
  <si>
    <t>PO-20160118D-4</t>
  </si>
  <si>
    <t>CD38009899</t>
  </si>
  <si>
    <t>PCIe-9852</t>
  </si>
  <si>
    <t>PO-20151120B</t>
  </si>
  <si>
    <t>AW86119473</t>
  </si>
  <si>
    <t>Testing</t>
  </si>
  <si>
    <t>Freight (component from aboard)</t>
  </si>
  <si>
    <t>IB897</t>
  </si>
  <si>
    <t>PI-20160120A</t>
  </si>
  <si>
    <t>PO-20160120A</t>
  </si>
  <si>
    <t>AW81453469</t>
  </si>
  <si>
    <t>AU52548750</t>
  </si>
  <si>
    <t>santiago: 33.5</t>
  </si>
  <si>
    <t>2/2放客戶信箱</t>
  </si>
  <si>
    <t>PO201601220004</t>
  </si>
  <si>
    <t>PI-20160122A</t>
  </si>
  <si>
    <t>PO-20160122A</t>
  </si>
  <si>
    <t>AW81453518</t>
  </si>
  <si>
    <t>AU52548751</t>
  </si>
  <si>
    <t>2/3 台銀即期買賣平均33.56</t>
  </si>
  <si>
    <t>2/15掛號</t>
  </si>
  <si>
    <t>CP-102U</t>
  </si>
  <si>
    <t>同AB68</t>
  </si>
  <si>
    <t>RMA-20160122A</t>
  </si>
  <si>
    <t>Nport W2150A
TAEEB1053982</t>
  </si>
  <si>
    <t>021 9904 855
順豐快遞</t>
  </si>
  <si>
    <t>Nport W2150A
TADJB1081938</t>
  </si>
  <si>
    <t>P1601125NP1</t>
  </si>
  <si>
    <t>PI-20160125A</t>
  </si>
  <si>
    <t>OPE150FBR</t>
  </si>
  <si>
    <t>PO-20160125A</t>
  </si>
  <si>
    <t>AU51897946</t>
  </si>
  <si>
    <t>PO201601260009</t>
  </si>
  <si>
    <t>PI-20160127A</t>
  </si>
  <si>
    <t>PO-20160127A</t>
  </si>
  <si>
    <t>AW81453517</t>
  </si>
  <si>
    <t>AU52548752</t>
  </si>
  <si>
    <t>PI-20160127B</t>
  </si>
  <si>
    <t>Freight to Australia 
(PI-20151204A / 1204B / 0105A /0128A / 0125A)</t>
  </si>
  <si>
    <t>同X57</t>
  </si>
  <si>
    <t>PI-20160128A</t>
  </si>
  <si>
    <t>PO-20160128A</t>
  </si>
  <si>
    <t>威強電工業電腦股份有限公司 
兆豐042-09-80877-7"</t>
  </si>
  <si>
    <t>AW70070102</t>
  </si>
  <si>
    <t>CG053762G591</t>
  </si>
  <si>
    <t>PI-20160128A-1</t>
  </si>
  <si>
    <t>BP70070026</t>
  </si>
  <si>
    <t>PI-20160128A-2</t>
  </si>
  <si>
    <t>7009000001
(LVDS cable SBC-210 for G101EVN01.0)</t>
  </si>
  <si>
    <t>PO-20160128A-2</t>
  </si>
  <si>
    <t>AX07747793</t>
  </si>
  <si>
    <t>PO201601290006</t>
  </si>
  <si>
    <t>PI-20160129A</t>
  </si>
  <si>
    <t>PO-20160129A</t>
  </si>
  <si>
    <t>AW81453516</t>
  </si>
  <si>
    <t>同AB74</t>
  </si>
  <si>
    <t>P160202NP0</t>
  </si>
  <si>
    <t>PI-20160202A</t>
  </si>
  <si>
    <t>PO-20160202A</t>
  </si>
  <si>
    <t>AW65102856</t>
  </si>
  <si>
    <t>CX 052230428L</t>
  </si>
  <si>
    <t>PI-20160202B</t>
  </si>
  <si>
    <t xml:space="preserve">Freight for PI20160202A </t>
  </si>
  <si>
    <t>PI-20160202C</t>
  </si>
  <si>
    <t xml:space="preserve">NISE2300 AtomD2550, incl 4GB RAM </t>
  </si>
  <si>
    <t>PO-20160202C</t>
  </si>
  <si>
    <t>AU34814077</t>
  </si>
  <si>
    <t>CF05550P3247</t>
  </si>
  <si>
    <t>同x82</t>
  </si>
  <si>
    <t>PI-20160203A</t>
  </si>
  <si>
    <t>EDS-G509</t>
  </si>
  <si>
    <t>UPS EXPRESS 0341W3</t>
  </si>
  <si>
    <t>PO-20160203A</t>
  </si>
  <si>
    <t>AW81453558</t>
  </si>
  <si>
    <t>CU 0557BH1617</t>
  </si>
  <si>
    <t>SFP-1GSXLC</t>
  </si>
  <si>
    <t>同x84</t>
  </si>
  <si>
    <t>PI-20160204A</t>
  </si>
  <si>
    <t>PO-20160204A</t>
  </si>
  <si>
    <t>AU34821537</t>
  </si>
  <si>
    <t>同X86</t>
  </si>
  <si>
    <t>PO201602040009</t>
  </si>
  <si>
    <t>PI-20160204B</t>
  </si>
  <si>
    <t>PO-20160204B</t>
  </si>
  <si>
    <t>AW81453574</t>
  </si>
  <si>
    <t>AU52548754</t>
  </si>
  <si>
    <t>2/16台銀平均33.27</t>
  </si>
  <si>
    <t>2/19掛號</t>
  </si>
  <si>
    <t>PO201602050003</t>
  </si>
  <si>
    <t>PI-20160210A</t>
  </si>
  <si>
    <t>PO-20160210A</t>
  </si>
  <si>
    <t>AW81453596</t>
  </si>
  <si>
    <t>AU52548753</t>
  </si>
  <si>
    <t>2/16台銀平均33.18</t>
  </si>
  <si>
    <t>P160209NP0</t>
  </si>
  <si>
    <t>PI-20160214A</t>
  </si>
  <si>
    <t>ECS-7000-2R</t>
  </si>
  <si>
    <t>PO-20160214A</t>
  </si>
  <si>
    <t>AU38368484</t>
  </si>
  <si>
    <t>CX 0522304JZ0</t>
  </si>
  <si>
    <t>Jetone 捷毅2/22
交到超恩</t>
  </si>
  <si>
    <t>PO-20160214A-2</t>
  </si>
  <si>
    <t>捷毅國際股份有限公司
渣打國際商業銀行 南崁分行
銀行代號052-0281
033-53-00017001-5</t>
  </si>
  <si>
    <t>AX02853615</t>
  </si>
  <si>
    <t>TS1GSK64V6H
(向創見購買. Vecow組裝)</t>
  </si>
  <si>
    <t>PO-20160214A-3</t>
  </si>
  <si>
    <t>AW64239414</t>
  </si>
  <si>
    <t>同X92</t>
  </si>
  <si>
    <t>VESA Mounting Kit</t>
  </si>
  <si>
    <t>DIN Rail Mounting Kit</t>
  </si>
  <si>
    <t>TS256GSSD420K
(2.5" SSD MLC 256GB)</t>
  </si>
  <si>
    <t>同x94</t>
  </si>
  <si>
    <t>PI-20160214B</t>
  </si>
  <si>
    <t>Nport 5430</t>
  </si>
  <si>
    <t>PO-20160214B</t>
  </si>
  <si>
    <t>AW81453603</t>
  </si>
  <si>
    <t>PI-20160214C</t>
  </si>
  <si>
    <t>PO-20160214C</t>
  </si>
  <si>
    <t>BM53762817</t>
  </si>
  <si>
    <t>CX 0522306BBM</t>
  </si>
  <si>
    <t>PO16-0052M</t>
  </si>
  <si>
    <t>PI-20160215A</t>
  </si>
  <si>
    <t xml:space="preserve">EKI-1526-BE </t>
  </si>
  <si>
    <t>PO-20160215A</t>
  </si>
  <si>
    <t>"花旗
5028523019"</t>
  </si>
  <si>
    <t>AW65103506</t>
  </si>
  <si>
    <t>CX 05223043LD</t>
  </si>
  <si>
    <t>P160215NP0</t>
  </si>
  <si>
    <t>PI-20160215B</t>
  </si>
  <si>
    <t>MXE-1301/M4G</t>
  </si>
  <si>
    <t>PO-20160215B</t>
  </si>
  <si>
    <t>EP86119444</t>
  </si>
  <si>
    <t>CX 05223056PJ</t>
  </si>
  <si>
    <t>Koning &amp; Hartman</t>
  </si>
  <si>
    <t>PI-20160217A</t>
  </si>
  <si>
    <t>IPC­5122­00XE </t>
  </si>
  <si>
    <t>PO-20160217A</t>
  </si>
  <si>
    <t>AW65102524</t>
  </si>
  <si>
    <t>CH 05486 00716</t>
  </si>
  <si>
    <t>PS8­300ATX­ZBE</t>
  </si>
  <si>
    <t>同X103</t>
  </si>
  <si>
    <t>AIMB­582QG2­00A1E </t>
  </si>
  <si>
    <t>PI-20160217A-1</t>
  </si>
  <si>
    <t>EP65098999</t>
  </si>
  <si>
    <t>CH 05486 00791</t>
  </si>
  <si>
    <t>同X105</t>
  </si>
  <si>
    <t>P160218NP1</t>
  </si>
  <si>
    <t>PI-20160218A</t>
  </si>
  <si>
    <t>SPC-2845RS</t>
  </si>
  <si>
    <t>PO-20160218A</t>
  </si>
  <si>
    <t>AU38368476</t>
  </si>
  <si>
    <t>4GB RAM (vecow certified)</t>
  </si>
  <si>
    <t>同X109</t>
  </si>
  <si>
    <t>PWA-60WP2</t>
  </si>
  <si>
    <t>SPC-2000 Din Rail kits</t>
  </si>
  <si>
    <t>P160217NP1</t>
  </si>
  <si>
    <t>PI-20160218B</t>
  </si>
  <si>
    <t>SPC-2145RS</t>
  </si>
  <si>
    <t>PO-20160218B</t>
  </si>
  <si>
    <t>BM38335805</t>
  </si>
  <si>
    <t>CX 0522305NMY</t>
  </si>
  <si>
    <t>同X112</t>
  </si>
  <si>
    <t>PI-20160218C</t>
  </si>
  <si>
    <t>1004480001
(SBC-210D w/ J1900)</t>
  </si>
  <si>
    <t>asrock華擎</t>
  </si>
  <si>
    <t>PO-20160218C</t>
  </si>
  <si>
    <t>富邦銀行 北投分行
總分支機構代碼0123604
360102067890</t>
  </si>
  <si>
    <t>BM49132124</t>
  </si>
  <si>
    <t>CG/ /05/376/3D520</t>
  </si>
  <si>
    <t>PI-20160218D</t>
  </si>
  <si>
    <t>C502PK120B0021000P
(COMx 2 cable for IB970RF)</t>
  </si>
  <si>
    <t>PO-20160218D</t>
  </si>
  <si>
    <t>AW48041054</t>
  </si>
  <si>
    <t>PO201602190010</t>
  </si>
  <si>
    <t>PI-20160221A</t>
  </si>
  <si>
    <t>PO-20160221A</t>
  </si>
  <si>
    <t>AW81453687</t>
  </si>
  <si>
    <t>AU52548755</t>
  </si>
  <si>
    <t>2/25 台銀均 33.275</t>
  </si>
  <si>
    <t>PO201602220012</t>
  </si>
  <si>
    <t>PI-20160222A</t>
  </si>
  <si>
    <t>UPort 1110</t>
  </si>
  <si>
    <t>PO-20160222A</t>
  </si>
  <si>
    <t>AW81453699</t>
  </si>
  <si>
    <t>同AB112</t>
  </si>
  <si>
    <t>330-16021452</t>
  </si>
  <si>
    <t>PI-20160224A</t>
  </si>
  <si>
    <t>Uport 404 w/European adapter</t>
  </si>
  <si>
    <t>PO-20160224A</t>
  </si>
  <si>
    <t>BP81452810</t>
  </si>
  <si>
    <t>BM52747701</t>
  </si>
  <si>
    <t>Karen:
 3/18央行32.52</t>
  </si>
  <si>
    <t>PI-20160225A</t>
  </si>
  <si>
    <t>NPort 6250-S-SC w/EU adapter</t>
  </si>
  <si>
    <t>TNT express (000107240)</t>
  </si>
  <si>
    <t>PO-20160225A</t>
  </si>
  <si>
    <t>BP81452876</t>
  </si>
  <si>
    <t>CR 053763D477</t>
  </si>
  <si>
    <t>UPORT 1150i</t>
  </si>
  <si>
    <t>同x121</t>
  </si>
  <si>
    <t>NPORT 5110 w/EU adapter</t>
  </si>
  <si>
    <t>P160226NP0</t>
  </si>
  <si>
    <t>PI-20160301A</t>
  </si>
  <si>
    <t>PO-20160301A-1</t>
  </si>
  <si>
    <t>澳盛Bank code 039
000700481198</t>
  </si>
  <si>
    <t>BM49507052</t>
  </si>
  <si>
    <t>PO-20160301A-2</t>
  </si>
  <si>
    <t>BM34791366</t>
  </si>
  <si>
    <t>RFA-EU-C55-U-B70
(4G Antenna)</t>
  </si>
  <si>
    <t>同X125</t>
  </si>
  <si>
    <t>RFA-01-GPS-12-A1-3M
(Active GPS)</t>
  </si>
  <si>
    <t>Freight for PI-20160301A</t>
  </si>
  <si>
    <t>DT-160303-001</t>
  </si>
  <si>
    <t>PI-20160126A
(佣金已付)</t>
  </si>
  <si>
    <t>Nport W2150A EU Band w/ Cn Adapter</t>
  </si>
  <si>
    <t>PO-20160126A</t>
  </si>
  <si>
    <t>BP81452871</t>
  </si>
  <si>
    <t>=553708+17125
=570833</t>
  </si>
  <si>
    <t>CA0552000523</t>
  </si>
  <si>
    <t xml:space="preserve">V </t>
  </si>
  <si>
    <t>PI-20160126A-1
(佣金已付)</t>
  </si>
  <si>
    <t>PO-20160126A-1</t>
  </si>
  <si>
    <t>BP81452871
BP81452872</t>
  </si>
  <si>
    <t>同x129</t>
  </si>
  <si>
    <t>HSIB897-BGA</t>
  </si>
  <si>
    <t>PI-20160303A</t>
  </si>
  <si>
    <t>PO-20160303A</t>
  </si>
  <si>
    <t>BP81452673</t>
  </si>
  <si>
    <t>BM52747700</t>
  </si>
  <si>
    <t>santiago: 32.39</t>
  </si>
  <si>
    <t>3/24放客戶信箱</t>
  </si>
  <si>
    <t>PI-20160304A
(佣金已付)</t>
  </si>
  <si>
    <t>PO-20160304A</t>
  </si>
  <si>
    <t>BP81453587</t>
  </si>
  <si>
    <t>CA0552000661</t>
  </si>
  <si>
    <t>PI-20160304B</t>
  </si>
  <si>
    <t xml:space="preserve">Freight for PI-20160214A </t>
  </si>
  <si>
    <t>TPE846814</t>
  </si>
  <si>
    <t>PI-20160304C</t>
  </si>
  <si>
    <t xml:space="preserve">Freight for PI-20160218A </t>
  </si>
  <si>
    <t>同X133</t>
  </si>
  <si>
    <t>PI-20160304D</t>
  </si>
  <si>
    <t>Freight for PI-20160215B</t>
  </si>
  <si>
    <t>TPE851867</t>
  </si>
  <si>
    <t>PO16-0105N</t>
  </si>
  <si>
    <t>PI-20160308A</t>
  </si>
  <si>
    <t>i7-4712MQ</t>
  </si>
  <si>
    <t>捷毅jetone</t>
  </si>
  <si>
    <t>PO-20160308A</t>
  </si>
  <si>
    <t>渣打國際商業銀行 
銀行代號052-0281
033-53-00017001-5</t>
  </si>
  <si>
    <t>BQ02853038</t>
  </si>
  <si>
    <t>CX/ /05/223/05NBC</t>
  </si>
  <si>
    <t>PI-20160308A
(隨貨不打PI)</t>
  </si>
  <si>
    <t>989B-PWM</t>
  </si>
  <si>
    <t>信可國際企業</t>
  </si>
  <si>
    <t>PO-20160308A-2</t>
  </si>
  <si>
    <t>永豐銀行 景美分行 807 1228
122-018-0001252-9</t>
  </si>
  <si>
    <t>BM30291951</t>
  </si>
  <si>
    <t>PI-20160310A</t>
  </si>
  <si>
    <t>Freight for PI-20160218B</t>
  </si>
  <si>
    <t>TPE856551</t>
  </si>
  <si>
    <t>IB76</t>
  </si>
  <si>
    <t>RMA-20160311A</t>
  </si>
  <si>
    <t>NPort 5650-8-DT 
(TAEEE1017651)</t>
  </si>
  <si>
    <t>RMA</t>
  </si>
  <si>
    <t>CRK16082401-T</t>
  </si>
  <si>
    <t>NPort 5650-8-DT 
(TAEGE1014672)</t>
  </si>
  <si>
    <t>CRK16082402-T</t>
  </si>
  <si>
    <t>NPort 5650-8-DT 
(TAEEE1017693)</t>
  </si>
  <si>
    <t>PI-20160314A
(佣金已付)</t>
  </si>
  <si>
    <t>PO-20160314A</t>
  </si>
  <si>
    <t>BP81452929</t>
  </si>
  <si>
    <t>20160316-AA</t>
  </si>
  <si>
    <t>PI-20160316A</t>
  </si>
  <si>
    <t xml:space="preserve">Unigens </t>
  </si>
  <si>
    <t>PO-20160316A</t>
  </si>
  <si>
    <t>"""兆豐中和分行 
069-09-000668"""</t>
  </si>
  <si>
    <t>BP86119904</t>
  </si>
  <si>
    <t>BM52747704</t>
  </si>
  <si>
    <t>3/25 台銀均價32.62</t>
  </si>
  <si>
    <t>3/31掛號</t>
  </si>
  <si>
    <t>PI-20160316A-1</t>
  </si>
  <si>
    <t>BP86120455</t>
  </si>
  <si>
    <t>BM52747750</t>
  </si>
  <si>
    <t>3/25 台銀均價32.42</t>
  </si>
  <si>
    <t>4/11掛號</t>
  </si>
  <si>
    <t>PI-20160214CF</t>
  </si>
  <si>
    <t>Freight for PI-20160214C</t>
  </si>
  <si>
    <t>TPE859859</t>
  </si>
  <si>
    <t>PI-20160317A</t>
  </si>
  <si>
    <t>External pigtail cable for multi-I/O
(P/N: 6030000043X00)</t>
  </si>
  <si>
    <t>PO-20160317A</t>
  </si>
  <si>
    <t>BM34729391</t>
  </si>
  <si>
    <t>CX 0522306V6R</t>
  </si>
  <si>
    <t>DHL Freight For PI-20160317A</t>
  </si>
  <si>
    <t>BP22701782</t>
  </si>
  <si>
    <t>CB16-127</t>
  </si>
  <si>
    <t>PI-20160318A</t>
  </si>
  <si>
    <t>GS90A12-P1M</t>
  </si>
  <si>
    <t>DOLPHIN</t>
  </si>
  <si>
    <t>PO-20160318A</t>
  </si>
  <si>
    <t>2016/5/3
2016/5/9</t>
  </si>
  <si>
    <t>CF91913051
CF91913387</t>
  </si>
  <si>
    <t>86940(含180片)
同X196(內含70片)</t>
  </si>
  <si>
    <t>CW05C0210430</t>
  </si>
  <si>
    <t>PI-20160318B</t>
  </si>
  <si>
    <t>7002000080 
(M393A4K40BB0-CPB)</t>
  </si>
  <si>
    <t>jetnet捷毅</t>
  </si>
  <si>
    <t>PO-2016318B</t>
  </si>
  <si>
    <t>P160318NP0</t>
  </si>
  <si>
    <t>PI-20160319A</t>
  </si>
  <si>
    <t>BP86120510</t>
  </si>
  <si>
    <t>CX0522308Z5U</t>
  </si>
  <si>
    <t>同X153</t>
  </si>
  <si>
    <t>Unigens Stock</t>
  </si>
  <si>
    <t>PO-20160319-2</t>
  </si>
  <si>
    <t>王銘盛</t>
  </si>
  <si>
    <t>PI-20160319AF</t>
  </si>
  <si>
    <t>Freight for PI-20160319A</t>
  </si>
  <si>
    <t>BP22732478</t>
  </si>
  <si>
    <t>20160318-AA</t>
  </si>
  <si>
    <t>PI-20160319B</t>
  </si>
  <si>
    <t>TCC-100I</t>
  </si>
  <si>
    <t>PO-20160319B</t>
  </si>
  <si>
    <t>BP81452861</t>
  </si>
  <si>
    <t>BM52747703</t>
  </si>
  <si>
    <t>3/25 台銀均價32.405</t>
  </si>
  <si>
    <t xml:space="preserve">3959-1798 
</t>
  </si>
  <si>
    <t>PI-20160322A</t>
  </si>
  <si>
    <t xml:space="preserve">FKT-185-58-R51U-V1 </t>
  </si>
  <si>
    <t xml:space="preserve">UPS 1A24W6 </t>
  </si>
  <si>
    <t>EMO-20160330A</t>
  </si>
  <si>
    <t>CU0557BH3758</t>
  </si>
  <si>
    <t xml:space="preserve">3959-1798 </t>
  </si>
  <si>
    <t xml:space="preserve">FB series AD Board Kit </t>
  </si>
  <si>
    <t xml:space="preserve">Country of Origin Certification </t>
  </si>
  <si>
    <t>NO.385630</t>
  </si>
  <si>
    <t>PO-P-I150212</t>
  </si>
  <si>
    <t>PI-20160323A</t>
  </si>
  <si>
    <t>TNT Courier A/C: 58548</t>
  </si>
  <si>
    <t>PO-20160323A</t>
  </si>
  <si>
    <t>BP81452938</t>
  </si>
  <si>
    <t>CR 053763G528</t>
  </si>
  <si>
    <t>230316-41S</t>
  </si>
  <si>
    <t>PI-20160324A</t>
  </si>
  <si>
    <t>PO-20160324A</t>
  </si>
  <si>
    <t>"銀行代號：007 
帳號：23110037813"</t>
  </si>
  <si>
    <t>BP91914690</t>
  </si>
  <si>
    <t>BM52747751</t>
  </si>
  <si>
    <t>4/12 Benson @32.325</t>
  </si>
  <si>
    <t>發票隨貨附</t>
  </si>
  <si>
    <t>MeanWell WDR-120-12</t>
  </si>
  <si>
    <t>同X166</t>
  </si>
  <si>
    <t>Unigens-大榮</t>
  </si>
  <si>
    <t>BP91915169</t>
  </si>
  <si>
    <t>BM52747758</t>
  </si>
  <si>
    <t>4/26 Benson @32.285</t>
  </si>
  <si>
    <t>MeanWell NDR-75-24</t>
  </si>
  <si>
    <t>BP91915199</t>
  </si>
  <si>
    <t>同X159</t>
  </si>
  <si>
    <t>230316-43T</t>
  </si>
  <si>
    <t>PI-20160324B</t>
  </si>
  <si>
    <t>PO-20160324B</t>
  </si>
  <si>
    <t>BP91914691</t>
  </si>
  <si>
    <t>BM52747753</t>
  </si>
  <si>
    <t>同X170</t>
  </si>
  <si>
    <t>20160325-AA</t>
  </si>
  <si>
    <t>PI-20160325A</t>
  </si>
  <si>
    <t xml:space="preserve">C218 TURBO/PCI  </t>
  </si>
  <si>
    <t>PO-20160325A</t>
  </si>
  <si>
    <t>BP81453455</t>
  </si>
  <si>
    <t>BM52747755</t>
  </si>
  <si>
    <t>3/31台銀@32.185</t>
  </si>
  <si>
    <t>4/15掛號</t>
  </si>
  <si>
    <t xml:space="preserve">OPT8-M9      </t>
  </si>
  <si>
    <t>同X175</t>
  </si>
  <si>
    <t>同175</t>
  </si>
  <si>
    <t>RMA-20160328A</t>
  </si>
  <si>
    <t>CA-104T
( TABGC 1023644)</t>
  </si>
  <si>
    <t>RMA無發票</t>
  </si>
  <si>
    <t>CA-104T
( TABGC 1023646)</t>
  </si>
  <si>
    <t>CA-104T
( TABGC 1023610)</t>
  </si>
  <si>
    <t>PI-20160329A</t>
  </si>
  <si>
    <t>PO-20160329A</t>
  </si>
  <si>
    <t>BP81453465</t>
  </si>
  <si>
    <t>BM52747756</t>
  </si>
  <si>
    <t>台銀@32.429</t>
  </si>
  <si>
    <t>4/14放客戶信箱</t>
  </si>
  <si>
    <t>16/0320M</t>
  </si>
  <si>
    <t>PI-20160613D</t>
  </si>
  <si>
    <t xml:space="preserve">ADLINK PCIe-9852 </t>
  </si>
  <si>
    <t>PO-20160613D-2</t>
  </si>
  <si>
    <t>CX86119826</t>
  </si>
  <si>
    <t>CX052230L4LH</t>
  </si>
  <si>
    <t>PI-20160304A-2
(佣金已付)</t>
  </si>
  <si>
    <t>PO-20160304A-2</t>
  </si>
  <si>
    <t>BP81453588</t>
  </si>
  <si>
    <t>PI-20160314A-2
(佣金已付)</t>
  </si>
  <si>
    <t>PO-20160314A-2</t>
  </si>
  <si>
    <t>BP81453586</t>
  </si>
  <si>
    <t>P160401NP0</t>
  </si>
  <si>
    <t>PI-20160401A</t>
  </si>
  <si>
    <t>PO-20160401A</t>
  </si>
  <si>
    <t>BP86120624</t>
  </si>
  <si>
    <t>CX0522309M9R</t>
  </si>
  <si>
    <t>31-62139-0000
AC-DC ADAPTER 90W</t>
  </si>
  <si>
    <t>同X181</t>
  </si>
  <si>
    <t>PI-20160401AF</t>
  </si>
  <si>
    <t>Frieght for PI-20160401A</t>
  </si>
  <si>
    <t>BP22738927</t>
  </si>
  <si>
    <t>PI-20160401B</t>
  </si>
  <si>
    <t>IP-380</t>
  </si>
  <si>
    <t>PO-20160401B</t>
  </si>
  <si>
    <t>BP48040997</t>
  </si>
  <si>
    <t>CR053763T077</t>
  </si>
  <si>
    <t>PI-20160406A</t>
  </si>
  <si>
    <t>PO-20160406A</t>
  </si>
  <si>
    <t>BM34729601</t>
  </si>
  <si>
    <t>CF05550HG981</t>
  </si>
  <si>
    <t xml:space="preserve">PO-20160406A </t>
  </si>
  <si>
    <t>同X179</t>
  </si>
  <si>
    <t>PI-20160406A-1</t>
  </si>
  <si>
    <t>PO-20160406A-1</t>
  </si>
  <si>
    <t>CD34804917</t>
  </si>
  <si>
    <t>CF05550MP398</t>
  </si>
  <si>
    <t>同X182</t>
  </si>
  <si>
    <t>16/0169M</t>
  </si>
  <si>
    <t>PI-20160406B</t>
  </si>
  <si>
    <t>Advantech USB-4761-AE</t>
  </si>
  <si>
    <t>PO-20160406B</t>
  </si>
  <si>
    <t>BP65103008</t>
  </si>
  <si>
    <t>CX0522308Z68</t>
  </si>
  <si>
    <t>PI-20160406C</t>
  </si>
  <si>
    <t>TOF-185WP</t>
  </si>
  <si>
    <t>EMO-20160406A</t>
  </si>
  <si>
    <t>CG053766H899</t>
  </si>
  <si>
    <t>PI-20160406C-1</t>
  </si>
  <si>
    <t>G185HAN01.0</t>
  </si>
  <si>
    <t>5/10交勁盛</t>
  </si>
  <si>
    <t>德傑</t>
  </si>
  <si>
    <t>CG053765L667</t>
  </si>
  <si>
    <t>PI-20160406C-2</t>
  </si>
  <si>
    <t xml:space="preserve">AB-1518505081118121501
w/ MC154A03 ( non-EETI brand) </t>
  </si>
  <si>
    <t>4/18交勁盛</t>
  </si>
  <si>
    <t>嵩達</t>
  </si>
  <si>
    <t>PO-20160406C-1</t>
  </si>
  <si>
    <t>玉山銀行-羅東分行
帳號0451440008886</t>
  </si>
  <si>
    <t>PI-20160406C-4</t>
  </si>
  <si>
    <t>Burning/Lightening /Function Test
( For resistive spare part)</t>
  </si>
  <si>
    <t>PO-20160406C-3</t>
  </si>
  <si>
    <t>Quantum</t>
  </si>
  <si>
    <t>060416</t>
  </si>
  <si>
    <t>PI-20160407A</t>
  </si>
  <si>
    <t>Advantech MIO-2260NF-S6A1E</t>
  </si>
  <si>
    <t>PO-20160407A</t>
  </si>
  <si>
    <t>BP65102433</t>
  </si>
  <si>
    <t>CX052230984T</t>
  </si>
  <si>
    <t>同X177</t>
  </si>
  <si>
    <t>PI-20160407B</t>
  </si>
  <si>
    <t>IB970RF ver 1.1</t>
  </si>
  <si>
    <t>PO-20160407B</t>
  </si>
  <si>
    <t>BP48041086</t>
  </si>
  <si>
    <t>CG053764C945</t>
  </si>
  <si>
    <t>PO201604070005</t>
  </si>
  <si>
    <t>PI-20160407C</t>
  </si>
  <si>
    <t>PO-20160407C</t>
  </si>
  <si>
    <t>BP81453584</t>
  </si>
  <si>
    <t>BM52747754</t>
  </si>
  <si>
    <t>台銀@32.315</t>
  </si>
  <si>
    <t>4/14掛號</t>
  </si>
  <si>
    <t>PI-20160408A</t>
  </si>
  <si>
    <t xml:space="preserve"> TNT Econimy
000120639</t>
  </si>
  <si>
    <t>PO-20160408A</t>
  </si>
  <si>
    <t>BP81531990</t>
  </si>
  <si>
    <t>CG053763X890</t>
  </si>
  <si>
    <t>同X197</t>
  </si>
  <si>
    <t>CB16-154</t>
  </si>
  <si>
    <t>PI-20160408B-1</t>
  </si>
  <si>
    <t>PO-20160408B</t>
  </si>
  <si>
    <t>CF91913387</t>
  </si>
  <si>
    <t>PI-20160408B-2</t>
  </si>
  <si>
    <t>CF91913568</t>
  </si>
  <si>
    <t>CG053764S607</t>
  </si>
  <si>
    <t>16/0180M</t>
  </si>
  <si>
    <t>PI-20160408C</t>
  </si>
  <si>
    <t>Advantech PCIE-1672PC-AE</t>
  </si>
  <si>
    <t>PO-20160408C</t>
  </si>
  <si>
    <t>CF65100060</t>
  </si>
  <si>
    <t>CX052230CFK7</t>
  </si>
  <si>
    <t>16/0359M</t>
  </si>
  <si>
    <t>PI-20160627A</t>
  </si>
  <si>
    <t>PO-20160627A-1</t>
  </si>
  <si>
    <t>CX86120715</t>
  </si>
  <si>
    <t xml:space="preserve"> P160408NP0</t>
  </si>
  <si>
    <t>PI-20160408D</t>
  </si>
  <si>
    <t>4/18交 Vecow</t>
  </si>
  <si>
    <t>PO-20160408D-2</t>
  </si>
  <si>
    <t>BP64239747</t>
  </si>
  <si>
    <t>PO-20160408D-3</t>
  </si>
  <si>
    <t>BP65102434</t>
  </si>
  <si>
    <t xml:space="preserve"> P160408NP1</t>
  </si>
  <si>
    <t>PI-20160408E</t>
  </si>
  <si>
    <t>POC-210</t>
  </si>
  <si>
    <t>PO-20160408E</t>
  </si>
  <si>
    <t>玉山銀行 佳里分行  
0428-940-007592</t>
  </si>
  <si>
    <t>BM35337825</t>
  </si>
  <si>
    <t>DDR3L-4GB for POC-210</t>
  </si>
  <si>
    <t>同X205</t>
  </si>
  <si>
    <t>PI-20160408F</t>
  </si>
  <si>
    <t>Freight for PI-20160408D/E/G/H</t>
  </si>
  <si>
    <t>洋基通運匯豐
10081620882011</t>
  </si>
  <si>
    <t xml:space="preserve"> P160408NP2</t>
  </si>
  <si>
    <t>PI-20160408G</t>
  </si>
  <si>
    <t>PO-20160408G</t>
  </si>
  <si>
    <t>BM49507186</t>
  </si>
  <si>
    <t>Free sample</t>
  </si>
  <si>
    <t>PO-20160408G-2</t>
  </si>
  <si>
    <t>BM34791533</t>
  </si>
  <si>
    <t xml:space="preserve"> P160408NP3</t>
  </si>
  <si>
    <t>PI-20160408H</t>
  </si>
  <si>
    <t>TS32GCFX600
(32GB CFast card)</t>
  </si>
  <si>
    <t>PO-20160408H</t>
  </si>
  <si>
    <t>BP64239878</t>
  </si>
  <si>
    <t>PI-20160409A
(佣金已付)</t>
  </si>
  <si>
    <t>PO-20160409A</t>
  </si>
  <si>
    <t>BP81453749</t>
  </si>
  <si>
    <t>CA0552000771</t>
  </si>
  <si>
    <t>同X210</t>
  </si>
  <si>
    <t>PI-20160409B</t>
  </si>
  <si>
    <t>PO-20160409B-1</t>
  </si>
  <si>
    <t>BP48041076</t>
  </si>
  <si>
    <t>PO-20160409B</t>
  </si>
  <si>
    <t>BP70070170</t>
  </si>
  <si>
    <t>PI-20160414A</t>
  </si>
  <si>
    <t>1700008461­11
(A Cable USB­A(F)*4/9P­2.54*2 30.5 W/BKT)</t>
  </si>
  <si>
    <t>PO-20160414A</t>
  </si>
  <si>
    <t>BP65102955</t>
  </si>
  <si>
    <t>CX0522308YCF</t>
  </si>
  <si>
    <t>16/0196M</t>
  </si>
  <si>
    <t>PI-20160414B</t>
  </si>
  <si>
    <t>PO-20160414B</t>
  </si>
  <si>
    <t>BP65102961</t>
  </si>
  <si>
    <t>20160418-AA</t>
  </si>
  <si>
    <t>PI-20160418A</t>
  </si>
  <si>
    <t>PO-20160418A</t>
  </si>
  <si>
    <t>BP86120856</t>
  </si>
  <si>
    <t>BM52747759修改為CD52598050</t>
  </si>
  <si>
    <t>4/27台銀@32.335</t>
  </si>
  <si>
    <t>PO201604150010</t>
  </si>
  <si>
    <t>PI-20160418B</t>
  </si>
  <si>
    <t>PO-20160418B</t>
  </si>
  <si>
    <t>BP81453760</t>
  </si>
  <si>
    <t>BM52747757</t>
  </si>
  <si>
    <t>台銀@32.34</t>
  </si>
  <si>
    <t>4/26掛號寄出</t>
  </si>
  <si>
    <t>PI-20160419A
(0930佣金已付)</t>
  </si>
  <si>
    <t>PO-20160419A</t>
  </si>
  <si>
    <t>CF81453631</t>
  </si>
  <si>
    <t>CA0552001279</t>
  </si>
  <si>
    <t>CB16-170</t>
  </si>
  <si>
    <t>PI-20160421A</t>
  </si>
  <si>
    <t>IPC924-212-FL
( 專用BIOS 料號為E26G924104)</t>
  </si>
  <si>
    <t>PO-20160421A-1</t>
  </si>
  <si>
    <t>CF81531848</t>
  </si>
  <si>
    <t>TS16GSSD630</t>
  </si>
  <si>
    <t>PO-20160421A-2</t>
  </si>
  <si>
    <t>CF64231023</t>
  </si>
  <si>
    <t>TS512MSK64V1N</t>
  </si>
  <si>
    <t>同X220</t>
  </si>
  <si>
    <t>ASSEMBLING COST</t>
  </si>
  <si>
    <t>組裝無發票</t>
  </si>
  <si>
    <t>CP-118U</t>
  </si>
  <si>
    <t>CF81452542</t>
  </si>
  <si>
    <t>PI-20160421B</t>
  </si>
  <si>
    <t>PO-20160421B</t>
  </si>
  <si>
    <t>CF81452506</t>
  </si>
  <si>
    <t>CX052230AM6C</t>
  </si>
  <si>
    <t>CF22684206</t>
  </si>
  <si>
    <t>PI-20160425A</t>
  </si>
  <si>
    <t>AIMB­582QG2-­00A1E </t>
  </si>
  <si>
    <t>PO-20160425B</t>
  </si>
  <si>
    <t>BP65102700</t>
  </si>
  <si>
    <t>CH0548601625</t>
  </si>
  <si>
    <t>M23C-5M00-300</t>
  </si>
  <si>
    <t>Amjad</t>
  </si>
  <si>
    <t>PO-20160425A</t>
  </si>
  <si>
    <t>017 兆豐國際商銀
04610279431</t>
  </si>
  <si>
    <t>CD52598055</t>
  </si>
  <si>
    <t>Karen:@32.34</t>
  </si>
  <si>
    <t>發票隨貨寄出</t>
  </si>
  <si>
    <t>PI-20160425A-1</t>
  </si>
  <si>
    <t>CF65099255</t>
  </si>
  <si>
    <t>CH0548601872</t>
  </si>
  <si>
    <t>AIMB­274G2-­00A1E</t>
  </si>
  <si>
    <t>同X228</t>
  </si>
  <si>
    <t>PI-20160428A</t>
  </si>
  <si>
    <t>NiSE 3600E w/ i5-3610ME, Power &amp; EU cord (w/o DRAM)</t>
  </si>
  <si>
    <t>PO-20160428A</t>
  </si>
  <si>
    <t>CD34804758</t>
  </si>
  <si>
    <t>PI-20160428A-1</t>
  </si>
  <si>
    <t>PO-20160428A-1</t>
  </si>
  <si>
    <t>CD34804916</t>
  </si>
  <si>
    <t>PI-20160428B</t>
  </si>
  <si>
    <t>11090R0002
(MC7330)</t>
  </si>
  <si>
    <t>PO-20160428B-1</t>
  </si>
  <si>
    <t>CD49688962</t>
  </si>
  <si>
    <t>CG053764M745</t>
  </si>
  <si>
    <t>7008090211
(CRK16041101)</t>
  </si>
  <si>
    <t>PO-20160428B-2</t>
  </si>
  <si>
    <t>CG07747194</t>
  </si>
  <si>
    <t>同X233</t>
  </si>
  <si>
    <t xml:space="preserve">2728-D5412 
</t>
  </si>
  <si>
    <t>PI-20160504A</t>
  </si>
  <si>
    <t>Airlife (Freight) Taiwan</t>
  </si>
  <si>
    <t>PO-20160504A</t>
  </si>
  <si>
    <t>CF81452541</t>
  </si>
  <si>
    <t>CA0511301119</t>
  </si>
  <si>
    <t>CBL-M62M9x8-100
(OPT8D)</t>
  </si>
  <si>
    <t>EMO-20150430A</t>
  </si>
  <si>
    <t>PI-20160504B</t>
  </si>
  <si>
    <t xml:space="preserve">R12T600-OFL1 </t>
  </si>
  <si>
    <t>Schenker</t>
  </si>
  <si>
    <t>Winmate 融程</t>
  </si>
  <si>
    <t>PO-20160504B</t>
  </si>
  <si>
    <t>上海商業儲蓄銀行
59102002013368</t>
  </si>
  <si>
    <t>CF77670684</t>
  </si>
  <si>
    <t>CU0557BJ3472</t>
  </si>
  <si>
    <t>CB16-191</t>
  </si>
  <si>
    <t>PI-20160504C-1</t>
  </si>
  <si>
    <t>PO-20160504C</t>
  </si>
  <si>
    <t>CF91915175</t>
  </si>
  <si>
    <t>CG053765Y972</t>
  </si>
  <si>
    <t>PI-20160504C-2</t>
  </si>
  <si>
    <t>CX91912741</t>
  </si>
  <si>
    <t>PO201505050012</t>
  </si>
  <si>
    <t>PI-20160506A</t>
  </si>
  <si>
    <t>PO-20160506A</t>
  </si>
  <si>
    <t>CF81452580</t>
  </si>
  <si>
    <t>CD52598051</t>
  </si>
  <si>
    <t>5/9台銀匯率@32.41</t>
  </si>
  <si>
    <t>5/12掛號寄出</t>
  </si>
  <si>
    <t>PI-20160509A</t>
  </si>
  <si>
    <t>PO-20160509A</t>
  </si>
  <si>
    <t>CF81452691</t>
  </si>
  <si>
    <t>CD52598056</t>
  </si>
  <si>
    <t>5/18台銀@32.685</t>
  </si>
  <si>
    <t>5/19放客戶信箱</t>
  </si>
  <si>
    <t>PI-20160509B</t>
  </si>
  <si>
    <t>FAB113</t>
  </si>
  <si>
    <t>TNT A/C : 000081207</t>
  </si>
  <si>
    <t>PO-20160509B</t>
  </si>
  <si>
    <t>CF81531821</t>
  </si>
  <si>
    <t>CG053764Q303</t>
  </si>
  <si>
    <t>PO160510VJ0</t>
  </si>
  <si>
    <t>PI-20160510B</t>
  </si>
  <si>
    <t>PO-20160510B</t>
  </si>
  <si>
    <t>CD35327313</t>
  </si>
  <si>
    <t>CX052230C3JJ</t>
  </si>
  <si>
    <t>DDR3L-4GB</t>
  </si>
  <si>
    <t>同X250</t>
  </si>
  <si>
    <t>POC-212</t>
  </si>
  <si>
    <t>CF22696197</t>
  </si>
  <si>
    <t>PI-20160512A</t>
  </si>
  <si>
    <t>KBD­6312</t>
  </si>
  <si>
    <t>PO-20160512A</t>
  </si>
  <si>
    <t>FPM­3171G­R3AE</t>
  </si>
  <si>
    <t>PI-20160512B</t>
  </si>
  <si>
    <t>PO-20160512B</t>
  </si>
  <si>
    <t>CD49688985</t>
  </si>
  <si>
    <t>CG053764V699</t>
  </si>
  <si>
    <t>PI-20160512C</t>
  </si>
  <si>
    <t>PO-20160512C</t>
  </si>
  <si>
    <t>CF86119938</t>
  </si>
  <si>
    <t>CH0546004328</t>
  </si>
  <si>
    <t>同X257</t>
  </si>
  <si>
    <t>CF86120614</t>
  </si>
  <si>
    <t xml:space="preserve">BANKCHARGE </t>
  </si>
  <si>
    <t>EN23F2QI</t>
  </si>
  <si>
    <t>Re-processing charge</t>
  </si>
  <si>
    <t>P160513VJ0</t>
  </si>
  <si>
    <t>PI-20160513A-1</t>
  </si>
  <si>
    <t>PCI-7200</t>
  </si>
  <si>
    <t>PO-20160513A</t>
  </si>
  <si>
    <t>CF86120657</t>
  </si>
  <si>
    <t>CX052230FHT6</t>
  </si>
  <si>
    <t>CX22678392</t>
  </si>
  <si>
    <t>PI-20160513A-2</t>
  </si>
  <si>
    <t>力寶</t>
  </si>
  <si>
    <t>CD04996911</t>
  </si>
  <si>
    <t>CX052230GRZJ</t>
  </si>
  <si>
    <t>16/0625M</t>
  </si>
  <si>
    <t>PI-20161110A</t>
  </si>
  <si>
    <t>PO-20161110A</t>
  </si>
  <si>
    <t>EF65102437</t>
  </si>
  <si>
    <t>CX052230X209</t>
  </si>
  <si>
    <t>P160517VJ0</t>
  </si>
  <si>
    <t>PI-20160517A</t>
  </si>
  <si>
    <t>5/24交 Vecow</t>
  </si>
  <si>
    <t>PO-20160517A-2</t>
  </si>
  <si>
    <t>CF64232571</t>
  </si>
  <si>
    <t>CX052230CUN0</t>
  </si>
  <si>
    <t>CF22722060</t>
  </si>
  <si>
    <t>PI-20160517B</t>
  </si>
  <si>
    <t>MO-20160517B</t>
  </si>
  <si>
    <t>CG053765F002</t>
  </si>
  <si>
    <t>PC28F00AP33EFA</t>
  </si>
  <si>
    <t>Engineering Rework
(Replacing PC28F00BP33EFA by PC28F00AP33EFA)</t>
  </si>
  <si>
    <t>Engineering Rework
Soldering FPGA and FHAX1517-715G</t>
  </si>
  <si>
    <t>PI-20160519A</t>
  </si>
  <si>
    <t>IB520F-18-R</t>
  </si>
  <si>
    <t>PO-20160519A</t>
  </si>
  <si>
    <t>CF48040897</t>
  </si>
  <si>
    <t>IB37A (cable for IB520F-18-R)</t>
  </si>
  <si>
    <t>CF48040936</t>
  </si>
  <si>
    <t>CF48040980</t>
  </si>
  <si>
    <t>PI-20160520A</t>
  </si>
  <si>
    <t>PO-20160520A</t>
  </si>
  <si>
    <t>CF65100208</t>
  </si>
  <si>
    <t>CX052230CFK4</t>
  </si>
  <si>
    <t>160520VJ3</t>
  </si>
  <si>
    <t>PI-20160523A</t>
  </si>
  <si>
    <t>R15L100-STA3</t>
  </si>
  <si>
    <t>PO-20160523A</t>
  </si>
  <si>
    <t>CF77670774</t>
  </si>
  <si>
    <t>PI-20160523AF</t>
  </si>
  <si>
    <t>Freight for PI-20160523A</t>
  </si>
  <si>
    <t>同P257</t>
  </si>
  <si>
    <t>同V257</t>
  </si>
  <si>
    <t>Q160524NP0</t>
  </si>
  <si>
    <t>PI-20160524A</t>
  </si>
  <si>
    <t>PO-20160524A</t>
  </si>
  <si>
    <t>CF65102578</t>
  </si>
  <si>
    <t>CX052230E7DU</t>
  </si>
  <si>
    <t>PI-20160525A</t>
  </si>
  <si>
    <t>SQF-S10M1-4G-S9E</t>
  </si>
  <si>
    <t>PO-20160525A</t>
  </si>
  <si>
    <t>CF65101384</t>
  </si>
  <si>
    <t>CX052230D2QJ</t>
  </si>
  <si>
    <t>MXE-5401/M8G</t>
  </si>
  <si>
    <t>PO-20151202A</t>
  </si>
  <si>
    <t>AW86119489</t>
  </si>
  <si>
    <t>P160526NP0</t>
  </si>
  <si>
    <t>PI-20150526A</t>
  </si>
  <si>
    <t>6/6交 Vecow</t>
  </si>
  <si>
    <t>PO-20160526A-2</t>
  </si>
  <si>
    <t>CF64239049</t>
  </si>
  <si>
    <t>Freight (18KG/ 6cartons)</t>
  </si>
  <si>
    <t>CF22738544</t>
  </si>
  <si>
    <t>PO201605260005</t>
  </si>
  <si>
    <t>PI-20160526B</t>
  </si>
  <si>
    <t>PO-20160526B</t>
  </si>
  <si>
    <t>CF81453514</t>
  </si>
  <si>
    <t>CD52598101</t>
  </si>
  <si>
    <t>6/6台銀@32.39</t>
  </si>
  <si>
    <t>6/20掛號寄出</t>
  </si>
  <si>
    <t>20160606-AA</t>
  </si>
  <si>
    <t>PI-20160606A</t>
  </si>
  <si>
    <t>PO-20160606A</t>
  </si>
  <si>
    <t>CX81452655</t>
  </si>
  <si>
    <t>CV52570500</t>
  </si>
  <si>
    <t>7/13台銀@32.185</t>
  </si>
  <si>
    <t>PI-20160606B</t>
  </si>
  <si>
    <t>PO-20160606B</t>
  </si>
  <si>
    <t>CF81453590</t>
  </si>
  <si>
    <t>CX052230E78H</t>
  </si>
  <si>
    <t>PI-20160613A</t>
  </si>
  <si>
    <t>CF81281176</t>
  </si>
  <si>
    <t>CD37438240</t>
  </si>
  <si>
    <t>TS2GHR72V1B
(Transcend R DIMM ECC)</t>
  </si>
  <si>
    <t>PO-20160613A-4</t>
  </si>
  <si>
    <t>CF64240887</t>
  </si>
  <si>
    <t>TS256GSSD420K
(Transcend 2.5" SSD 256GB)</t>
  </si>
  <si>
    <t>同X292</t>
  </si>
  <si>
    <t>M4R0-AGS3ECSJ 
(Innodisk R DIMM ECC)</t>
  </si>
  <si>
    <t>Innodisk  宜鼎</t>
  </si>
  <si>
    <t>PO-20160613A-5</t>
  </si>
  <si>
    <t>CF69989848</t>
  </si>
  <si>
    <t>WD5000LPLX 
(WD 2.5" HDD 500GB)</t>
  </si>
  <si>
    <t>Uniworld 聯沃</t>
  </si>
  <si>
    <t>PO-20160613A-6</t>
  </si>
  <si>
    <t>彰化銀行009 
3003-01-888897-00</t>
  </si>
  <si>
    <t>CD53363618</t>
  </si>
  <si>
    <t>PI-20160613B</t>
  </si>
  <si>
    <t>11060R00003
(MC7304)</t>
  </si>
  <si>
    <t>PO-20160613B</t>
  </si>
  <si>
    <t>CD49689026</t>
  </si>
  <si>
    <t>CR053765P782</t>
  </si>
  <si>
    <t>2785-1079</t>
  </si>
  <si>
    <t>PI-20160613C</t>
  </si>
  <si>
    <t>Airlife (Freight) Taiwan-FOB</t>
  </si>
  <si>
    <t>PO-20160613C-1</t>
  </si>
  <si>
    <t>CF65102581
CF65102600</t>
  </si>
  <si>
    <t>10401(1片)
41605(4片)</t>
  </si>
  <si>
    <t>CA0511301485</t>
  </si>
  <si>
    <t>N series AD board kits
(MB-215-94_V1)</t>
  </si>
  <si>
    <t>PO-20160613C-2</t>
  </si>
  <si>
    <t>永豐銀行 807
191-001-0001599-5</t>
  </si>
  <si>
    <t>CD53622258</t>
  </si>
  <si>
    <t>PI-20160613C-1</t>
  </si>
  <si>
    <t>CX65102491</t>
  </si>
  <si>
    <t>CU0557BG4253</t>
  </si>
  <si>
    <t>Advantech PCI-1762-BE</t>
  </si>
  <si>
    <t>PO-20160613D-1</t>
  </si>
  <si>
    <t>CX65099488</t>
  </si>
  <si>
    <t>ECS-4000-2G650U</t>
  </si>
  <si>
    <t>Moxa CP-114EL-I-DB9M</t>
  </si>
  <si>
    <t>PO-20160613D-3</t>
  </si>
  <si>
    <t>CX81453735</t>
  </si>
  <si>
    <t>PI-20160613E</t>
  </si>
  <si>
    <t>Nport W2150A-EU</t>
  </si>
  <si>
    <t>PO-20160613E</t>
  </si>
  <si>
    <t>CF81453711</t>
  </si>
  <si>
    <t>RMA-20160606A</t>
  </si>
  <si>
    <t>Nport W2150A                                      TAEKB1028303</t>
  </si>
  <si>
    <t>NIJKERK FR</t>
  </si>
  <si>
    <t>CF160936</t>
  </si>
  <si>
    <t>PI-20160614A</t>
  </si>
  <si>
    <t>Aten CS1798</t>
  </si>
  <si>
    <t>UPS account 573W25
( UPS Expedited )</t>
  </si>
  <si>
    <t>Aten (宏電)</t>
  </si>
  <si>
    <t>PO-20160614A</t>
  </si>
  <si>
    <t>國泰世華銀行
109-03-500348-9</t>
  </si>
  <si>
    <t>CF69933082</t>
  </si>
  <si>
    <t>CU0557BG3377</t>
  </si>
  <si>
    <t>Aten 2L-7D02H</t>
  </si>
  <si>
    <t>同X305</t>
  </si>
  <si>
    <t>PI-20160615A</t>
  </si>
  <si>
    <t>ADAM­-6050-­CE</t>
  </si>
  <si>
    <t>PO-20160615A</t>
  </si>
  <si>
    <t>CF65103235</t>
  </si>
  <si>
    <t>CH0548602262</t>
  </si>
  <si>
    <t>PI-20160615B</t>
  </si>
  <si>
    <t>PO-20160615B</t>
  </si>
  <si>
    <t>CF81453748</t>
  </si>
  <si>
    <t>CD52598102</t>
  </si>
  <si>
    <t>Santiago敲定@32.17</t>
  </si>
  <si>
    <t>6/26放客戶信箱</t>
  </si>
  <si>
    <t>P160615NP0</t>
  </si>
  <si>
    <t>PI-20160615C</t>
  </si>
  <si>
    <t>空運華 榮 運 通</t>
  </si>
  <si>
    <t>PO-20160615C</t>
  </si>
  <si>
    <t>CX86119674</t>
  </si>
  <si>
    <t>CH0548980477</t>
  </si>
  <si>
    <t>unigens stock</t>
  </si>
  <si>
    <t>零用金</t>
  </si>
  <si>
    <t>P151210NP0</t>
  </si>
  <si>
    <t>PI-20151210A</t>
  </si>
  <si>
    <t>PO-20151210A</t>
  </si>
  <si>
    <t>AW86119488</t>
  </si>
  <si>
    <t>16/0337M</t>
  </si>
  <si>
    <t>PI-20160615D-1</t>
  </si>
  <si>
    <t>RKP117-S1601b</t>
  </si>
  <si>
    <t xml:space="preserve">海運
華 霖 運 通 </t>
  </si>
  <si>
    <t>2016/7/7 (三角貿易)</t>
  </si>
  <si>
    <t xml:space="preserve">Austin Hughes Electronics </t>
  </si>
  <si>
    <t>PO-20160615D</t>
  </si>
  <si>
    <t>HSBC
004497-243964-838</t>
  </si>
  <si>
    <t>INVOICE:16070139</t>
  </si>
  <si>
    <t>無報單</t>
  </si>
  <si>
    <t>Sea Freight</t>
  </si>
  <si>
    <t>海運
華 霖 運 通</t>
  </si>
  <si>
    <t>台北富邦銀行長安(012-5402)
540-102-615012</t>
  </si>
  <si>
    <t>SL032763</t>
  </si>
  <si>
    <t>PI-20160615D-2</t>
  </si>
  <si>
    <t>PO-20160615D-2</t>
  </si>
  <si>
    <t>同V321</t>
  </si>
  <si>
    <t>同V322</t>
  </si>
  <si>
    <t>PI-20160616A</t>
  </si>
  <si>
    <t>PO-20160616A</t>
  </si>
  <si>
    <t>CF65102599</t>
  </si>
  <si>
    <t>同X321</t>
  </si>
  <si>
    <t>PO-P-I160041</t>
  </si>
  <si>
    <t>PI-20160616B</t>
  </si>
  <si>
    <t>MGate MB3280</t>
  </si>
  <si>
    <t>PO-20160616B</t>
  </si>
  <si>
    <t>CF81453677</t>
  </si>
  <si>
    <t>CG053765R090</t>
  </si>
  <si>
    <t>PI-20160617A</t>
  </si>
  <si>
    <t>PO-20160617A</t>
  </si>
  <si>
    <t>華南銀行板新分行
175-10-0021788</t>
  </si>
  <si>
    <t>CD34857160</t>
  </si>
  <si>
    <t>RMA-20160617A</t>
  </si>
  <si>
    <t>IB970RF V1.1</t>
  </si>
  <si>
    <t>CG053767L402</t>
  </si>
  <si>
    <t>P160620NP0</t>
  </si>
  <si>
    <t>PI-20160620A</t>
  </si>
  <si>
    <t>PO-20160620A</t>
  </si>
  <si>
    <t>CD35327340</t>
  </si>
  <si>
    <t>PI-20160620B</t>
  </si>
  <si>
    <t>IB970 (w/o LVDS, POL)</t>
  </si>
  <si>
    <t>PO-20160620B</t>
  </si>
  <si>
    <t>CF48041061</t>
  </si>
  <si>
    <t>CR053765Y449</t>
  </si>
  <si>
    <t>PI-20160622A</t>
  </si>
  <si>
    <t>PO-20160622A</t>
  </si>
  <si>
    <t>CF65101854</t>
  </si>
  <si>
    <t>CX052230FV9Z</t>
  </si>
  <si>
    <t>P160621NP0</t>
  </si>
  <si>
    <t>PI-20160622C</t>
  </si>
  <si>
    <t>PO-20160622C-1</t>
  </si>
  <si>
    <t>CV38316153</t>
  </si>
  <si>
    <t>i7-3610QE
(向世平購買. Vecow組裝)</t>
  </si>
  <si>
    <t>世平
交Vecow組裝</t>
  </si>
  <si>
    <t>PO-20160622C-2</t>
  </si>
  <si>
    <t>彰化銀行南港分行
980103-03112700</t>
  </si>
  <si>
    <t>CF47354437</t>
  </si>
  <si>
    <t>PO-20160622C-3</t>
  </si>
  <si>
    <t>CX64230460</t>
  </si>
  <si>
    <t>TS256GSSD420K
(向創見購買. Vecow組裝)</t>
  </si>
  <si>
    <t>CX64230461</t>
  </si>
  <si>
    <t>同V333</t>
  </si>
  <si>
    <t>PO-20160622C-4</t>
  </si>
  <si>
    <t>CV53653910</t>
  </si>
  <si>
    <t>Freight For PI-20160622C</t>
  </si>
  <si>
    <t>　</t>
  </si>
  <si>
    <t>CX22695192</t>
  </si>
  <si>
    <t>P160621NP1</t>
  </si>
  <si>
    <t>PI-20160622D-1</t>
  </si>
  <si>
    <t>空運
華 榮 運 通</t>
  </si>
  <si>
    <t>NEXCOM 新漢</t>
  </si>
  <si>
    <t>PO-20160622D-1</t>
  </si>
  <si>
    <t>CV34743678</t>
  </si>
  <si>
    <t>330-16061055</t>
  </si>
  <si>
    <t>PI-20160622E</t>
  </si>
  <si>
    <t>PO-20160622E</t>
  </si>
  <si>
    <t>CF81453749</t>
  </si>
  <si>
    <t>CD52598103</t>
  </si>
  <si>
    <t>6/22央行@32.22</t>
  </si>
  <si>
    <t>6/27掛號寄出</t>
  </si>
  <si>
    <t>PI-20160622F</t>
  </si>
  <si>
    <t>PO-20160622F</t>
  </si>
  <si>
    <t>CX65099444</t>
  </si>
  <si>
    <t>CH0568590356</t>
  </si>
  <si>
    <t>PI-20160419A-1
(0930佣金已付)</t>
  </si>
  <si>
    <t>PO-20160419A-1</t>
  </si>
  <si>
    <t>CX81452451</t>
  </si>
  <si>
    <t>PI-20160623A</t>
  </si>
  <si>
    <t>PO-20160623A</t>
  </si>
  <si>
    <t>CF81453818</t>
  </si>
  <si>
    <t>CW0501315276</t>
  </si>
  <si>
    <t>PI-20160406C-5</t>
  </si>
  <si>
    <t>T185S-XDN013G-9S02R0-085PN</t>
  </si>
  <si>
    <t>HIGGSTEC萬達光電</t>
  </si>
  <si>
    <t>CG02965228</t>
  </si>
  <si>
    <t>EXC 328056</t>
  </si>
  <si>
    <t>同X346</t>
  </si>
  <si>
    <t>P160106NP0</t>
  </si>
  <si>
    <t>PI-20160105A</t>
  </si>
  <si>
    <t>MXC-6301D/M8G</t>
  </si>
  <si>
    <t>PO-20160105A</t>
  </si>
  <si>
    <t>AW86119781</t>
  </si>
  <si>
    <t>PO-20160627A-2</t>
  </si>
  <si>
    <t>CX81453734</t>
  </si>
  <si>
    <t>PO-20160627A-3</t>
  </si>
  <si>
    <t>CX65099489</t>
  </si>
  <si>
    <t>PI-20160627B</t>
  </si>
  <si>
    <t>PO-20160627B</t>
  </si>
  <si>
    <t>CX65099445</t>
  </si>
  <si>
    <t>CX052230G518</t>
  </si>
  <si>
    <t>P160628NP0</t>
  </si>
  <si>
    <t>PI-20160628A</t>
  </si>
  <si>
    <t>Windows 10 IoT Enterprise 2015 LTSB (ESD) EPKEA
Productcode: 42C-00168</t>
  </si>
  <si>
    <t>PI-20160628B</t>
  </si>
  <si>
    <t>ADAM-­5050­-A2E</t>
  </si>
  <si>
    <t>PO-20160628B</t>
  </si>
  <si>
    <t>CX65099443</t>
  </si>
  <si>
    <t>ADAM-­5060­-AE</t>
  </si>
  <si>
    <t>同X353</t>
  </si>
  <si>
    <t>PI-20160629A</t>
  </si>
  <si>
    <t>UH401</t>
  </si>
  <si>
    <t>PO-20160629A</t>
  </si>
  <si>
    <t>CX65099622</t>
  </si>
  <si>
    <t>PI-20160629B</t>
  </si>
  <si>
    <t>Logitech K120 keyboard</t>
  </si>
  <si>
    <t>PCHOME</t>
  </si>
  <si>
    <t>Santiago 刷卡代墊</t>
  </si>
  <si>
    <t>JX84966179</t>
  </si>
  <si>
    <t>20160630-AA</t>
  </si>
  <si>
    <t>PI-20160630A</t>
  </si>
  <si>
    <t>歐緯世實業有限公司</t>
  </si>
  <si>
    <t>PO-20160630A</t>
  </si>
  <si>
    <t>CV38993060</t>
  </si>
  <si>
    <t>同Z287</t>
  </si>
  <si>
    <t>PI-20160630A-1</t>
  </si>
  <si>
    <t>富加堡機械股份有限公司</t>
  </si>
  <si>
    <t>PO-20160630A-1</t>
  </si>
  <si>
    <t>CV46467955</t>
  </si>
  <si>
    <t>330-16061963</t>
  </si>
  <si>
    <t>PI-20160701A</t>
  </si>
  <si>
    <t>PO-20160701A</t>
  </si>
  <si>
    <t>CX81452686</t>
  </si>
  <si>
    <t>CV52570502</t>
  </si>
  <si>
    <t>7/17央行@31.95</t>
  </si>
  <si>
    <t>7/21掛號寄出</t>
  </si>
  <si>
    <t>PI-20160704B</t>
  </si>
  <si>
    <t>PO-20160704B</t>
  </si>
  <si>
    <t>CX70070029</t>
  </si>
  <si>
    <t>CG053766C939</t>
  </si>
  <si>
    <t>RMA-20160704A</t>
  </si>
  <si>
    <t>Nport W2150A  
TAELB1057424</t>
  </si>
  <si>
    <t>MF13643593</t>
  </si>
  <si>
    <t>RMA-20160704B
(12/9 請Leon 灌新版軟體)</t>
  </si>
  <si>
    <t>Nport W2150A  
TAELB1057291
12/9 請Leon 灌新版軟體</t>
  </si>
  <si>
    <t>順豐快遞</t>
  </si>
  <si>
    <t>RMA-20160704B</t>
  </si>
  <si>
    <t>P160705NP0</t>
  </si>
  <si>
    <t>PI-20160705A</t>
  </si>
  <si>
    <t xml:space="preserve">SPC-2145RS </t>
  </si>
  <si>
    <t>PO-20160705A</t>
  </si>
  <si>
    <t>CV38316160</t>
  </si>
  <si>
    <t>CX 052230J5SR</t>
  </si>
  <si>
    <t xml:space="preserve">TS512MSK64W6H 
(向創見購買. Vecow組裝) </t>
  </si>
  <si>
    <t>PO-20160705A-1</t>
  </si>
  <si>
    <t>CX64231915</t>
  </si>
  <si>
    <t>TS128GSSD420K
(向創見購買. Vecow組裝)</t>
  </si>
  <si>
    <t>同V368</t>
  </si>
  <si>
    <t>DIN Rail Kit for SPC-2000</t>
  </si>
  <si>
    <t>同V367</t>
  </si>
  <si>
    <t>P160705NP1</t>
  </si>
  <si>
    <t>PI-20160705B</t>
  </si>
  <si>
    <t>PO-20160705B</t>
  </si>
  <si>
    <t>CV38316161</t>
  </si>
  <si>
    <t>PO-20160705B-1</t>
  </si>
  <si>
    <t>CX47347888</t>
  </si>
  <si>
    <t>PO-20160705B-2</t>
  </si>
  <si>
    <t>CX64231958</t>
  </si>
  <si>
    <t>同V374</t>
  </si>
  <si>
    <t>同V372</t>
  </si>
  <si>
    <t>PO-20160705B-3</t>
  </si>
  <si>
    <t>CV53653914</t>
  </si>
  <si>
    <t>Freight For PI-20160705B</t>
  </si>
  <si>
    <t>同P364</t>
  </si>
  <si>
    <t>Spectr RS</t>
  </si>
  <si>
    <t>PI-20160706A</t>
  </si>
  <si>
    <t>SPC-3510-955U</t>
  </si>
  <si>
    <t>PO-20160706A-1</t>
  </si>
  <si>
    <t>CV38316189</t>
  </si>
  <si>
    <t>Innodisk M4S0-8GSSO5RG
(向宜鼎購買. Vecow組裝)</t>
  </si>
  <si>
    <t>Innodisk Corporation
宜鼎國際到Vecow組裝</t>
  </si>
  <si>
    <t>PO-20160706A</t>
  </si>
  <si>
    <t>彰化銀行(南港分行)
98010100899700</t>
  </si>
  <si>
    <t>CX69990007</t>
  </si>
  <si>
    <t>DP22682463</t>
  </si>
  <si>
    <t>5% refund tax</t>
  </si>
  <si>
    <t>CB16-301</t>
  </si>
  <si>
    <t>PI-20160706B</t>
  </si>
  <si>
    <t>PO-20160706B</t>
  </si>
  <si>
    <t>CX91913594</t>
  </si>
  <si>
    <t>CR053767H310</t>
  </si>
  <si>
    <t>PO013343</t>
  </si>
  <si>
    <t>PI-20160707A</t>
  </si>
  <si>
    <t>PO-20160707A</t>
  </si>
  <si>
    <t>CX86119787</t>
  </si>
  <si>
    <t>CH0546004420</t>
  </si>
  <si>
    <t>CX86119982</t>
  </si>
  <si>
    <t>RMA-20160707A</t>
  </si>
  <si>
    <r>
      <rPr>
        <sz val="10"/>
        <color rgb="FF000000"/>
        <rFont val="arial,sans,sans-serif"/>
      </rPr>
      <t xml:space="preserve">進口：7768
</t>
    </r>
    <r>
      <rPr>
        <sz val="10"/>
        <color rgb="FF000000"/>
        <rFont val="arial,sans,sans-serif"/>
      </rPr>
      <t>出口：4932</t>
    </r>
  </si>
  <si>
    <r>
      <rPr>
        <sz val="10"/>
        <color rgb="FF000000"/>
        <rFont val="arial,sans,sans-serif"/>
      </rPr>
      <t xml:space="preserve">2016/8/13
</t>
    </r>
    <r>
      <rPr>
        <sz val="10"/>
        <color rgb="FF000000"/>
        <rFont val="arial,sans,sans-serif"/>
      </rPr>
      <t>2016/9/18</t>
    </r>
  </si>
  <si>
    <t>2016/7/14
2016/08/19</t>
  </si>
  <si>
    <t>CX22684254
CX22732705</t>
  </si>
  <si>
    <t>進口：7768
出口:  4932</t>
  </si>
  <si>
    <t>2016/8/10
2016/9/6</t>
  </si>
  <si>
    <t>RMA出口</t>
  </si>
  <si>
    <r>
      <rPr>
        <sz val="10"/>
        <color rgb="FF000000"/>
        <rFont val="arial,sans,sans-serif"/>
      </rPr>
      <t xml:space="preserve">進口：同P386
</t>
    </r>
    <r>
      <rPr>
        <sz val="10"/>
        <color rgb="FF000000"/>
        <rFont val="arial,sans,sans-serif"/>
      </rPr>
      <t>出口：同P386</t>
    </r>
  </si>
  <si>
    <t>PI-20160711A</t>
  </si>
  <si>
    <t>7009000001 / CRK16011501-T
(LVDS cable SBC-210 for G101EVN01.0)</t>
  </si>
  <si>
    <t>PO-20160711A</t>
  </si>
  <si>
    <t>CY07747849</t>
  </si>
  <si>
    <t>PI-20160712A</t>
  </si>
  <si>
    <t>MIO-2260NF-S6A1E (Advantech)</t>
  </si>
  <si>
    <t>PO-20160712A</t>
  </si>
  <si>
    <t>CX65099207</t>
  </si>
  <si>
    <t>CX052230J9KU</t>
  </si>
  <si>
    <t>DHL Freight for PI-20160712A</t>
  </si>
  <si>
    <t>20160713-AA</t>
  </si>
  <si>
    <t>PI-20160713A</t>
  </si>
  <si>
    <t>PO-20160713A-1</t>
  </si>
  <si>
    <t>CV38993071</t>
  </si>
  <si>
    <t>CV52570504</t>
  </si>
  <si>
    <t>Santiago敲定@32.0</t>
  </si>
  <si>
    <t>7/22掛號寄出</t>
  </si>
  <si>
    <t>富加堡</t>
  </si>
  <si>
    <t>PO-20160713A-2</t>
  </si>
  <si>
    <t>CV46467957</t>
  </si>
  <si>
    <t>同Z395</t>
  </si>
  <si>
    <t>ACL-7125</t>
  </si>
  <si>
    <t>PO-20160713A-3</t>
  </si>
  <si>
    <t>CX86119743</t>
  </si>
  <si>
    <t>2016/7/21(自取)</t>
  </si>
  <si>
    <t>PO-20160713A-4</t>
  </si>
  <si>
    <t>CX86119830</t>
  </si>
  <si>
    <t>ECS-4000-2R650U</t>
  </si>
  <si>
    <t>PO-20160408D-1</t>
  </si>
  <si>
    <t>BM38335836</t>
  </si>
  <si>
    <t>P160714NP0</t>
  </si>
  <si>
    <t>PI-20160714A</t>
  </si>
  <si>
    <t>PO-20160714A-1</t>
  </si>
  <si>
    <t>CX64233160</t>
  </si>
  <si>
    <t>CX052230JPJN</t>
  </si>
  <si>
    <t>DHL Freight for PI-20160714A</t>
  </si>
  <si>
    <t>P160714NP1</t>
  </si>
  <si>
    <t>PI-20160714B</t>
  </si>
  <si>
    <t>TS128GSSD420K</t>
  </si>
  <si>
    <t>PO-20160714B</t>
  </si>
  <si>
    <t>CX64233276</t>
  </si>
  <si>
    <t>DHL Freight for PI-20160714B</t>
  </si>
  <si>
    <t>同P395</t>
  </si>
  <si>
    <t>PI-20160714C</t>
  </si>
  <si>
    <t>PO-20160714C</t>
  </si>
  <si>
    <t>CV34673166</t>
  </si>
  <si>
    <t>PO-P-I160059</t>
  </si>
  <si>
    <t>PI-20160715A</t>
  </si>
  <si>
    <t>PO-20160715A</t>
  </si>
  <si>
    <t>CX81452751</t>
  </si>
  <si>
    <t>CG053766V806</t>
  </si>
  <si>
    <t>同V406</t>
  </si>
  <si>
    <t>330-16071004</t>
  </si>
  <si>
    <t>PI-20160718A</t>
  </si>
  <si>
    <t>PO-20160718A</t>
  </si>
  <si>
    <t>CX81453777</t>
  </si>
  <si>
    <t>CV52570556</t>
  </si>
  <si>
    <t>8/22央行@31.795</t>
  </si>
  <si>
    <t>8/25掛號寄出</t>
  </si>
  <si>
    <t>PI-20160721A</t>
  </si>
  <si>
    <t>LVDS cable
(YRK16072001)</t>
  </si>
  <si>
    <t>PO-20160721A</t>
  </si>
  <si>
    <t>CY07747433</t>
  </si>
  <si>
    <t>CR053766N129</t>
  </si>
  <si>
    <t>Inverter cable
(YRK16072002)</t>
  </si>
  <si>
    <t>同V410</t>
  </si>
  <si>
    <t>PO130837-1</t>
  </si>
  <si>
    <t>PI-20160721B</t>
  </si>
  <si>
    <t>TNT Economy Express
 Acc# 101009</t>
  </si>
  <si>
    <t>PO-20160721B</t>
  </si>
  <si>
    <t>DP81452838</t>
  </si>
  <si>
    <t>CG053768E226</t>
  </si>
  <si>
    <t>16/0403M</t>
  </si>
  <si>
    <t>PI-20160722A</t>
  </si>
  <si>
    <t>Advantech EKI-1526-BE</t>
  </si>
  <si>
    <t>PO-20160722A</t>
  </si>
  <si>
    <t>CX65100071</t>
  </si>
  <si>
    <t>CX052230JPKF</t>
  </si>
  <si>
    <t>PI-20160725A</t>
  </si>
  <si>
    <t>IB897-I45</t>
  </si>
  <si>
    <t>2016/7/27(自取)</t>
  </si>
  <si>
    <t>PO-20160725A</t>
  </si>
  <si>
    <t>CX48040873</t>
  </si>
  <si>
    <t>CX48040874</t>
  </si>
  <si>
    <t>PI-20160725B</t>
  </si>
  <si>
    <t>PO-20160725B</t>
  </si>
  <si>
    <t>CX48041054</t>
  </si>
  <si>
    <t>同V417</t>
  </si>
  <si>
    <t>KC00005655</t>
  </si>
  <si>
    <t>PO-20160725B-1</t>
  </si>
  <si>
    <t>CY07747842</t>
  </si>
  <si>
    <t>PO-034</t>
  </si>
  <si>
    <t>PI-20160727A</t>
  </si>
  <si>
    <t>PO-20160727A</t>
  </si>
  <si>
    <t>CX81453591</t>
  </si>
  <si>
    <t>CR053766X252</t>
  </si>
  <si>
    <t>NPort 5110 w/EU adapter</t>
  </si>
  <si>
    <t>同V420</t>
  </si>
  <si>
    <t>NPort 5130 w/EU adapter</t>
  </si>
  <si>
    <t>NPort 5150 w/EU adapter</t>
  </si>
  <si>
    <t>16/0416M</t>
  </si>
  <si>
    <t>PI-20160727C</t>
  </si>
  <si>
    <t>Advantech ADAM-4050-DE</t>
  </si>
  <si>
    <t>PO-20160727C</t>
  </si>
  <si>
    <t>CX65103177</t>
  </si>
  <si>
    <t>P160727NP0</t>
  </si>
  <si>
    <t>PI-20160728A</t>
  </si>
  <si>
    <t>Adlink MXE-1301/M4G</t>
  </si>
  <si>
    <t>PO-20160728A</t>
  </si>
  <si>
    <t>CX86120884</t>
  </si>
  <si>
    <t>CX052230ME4C</t>
  </si>
  <si>
    <t>Freight For PI-20160728A</t>
  </si>
  <si>
    <t>PI-20160728B</t>
  </si>
  <si>
    <t>PO-20160728B</t>
  </si>
  <si>
    <t>CX48041064</t>
  </si>
  <si>
    <t>PI-20160728C</t>
  </si>
  <si>
    <t>AIMB-582QG2-00A1E</t>
  </si>
  <si>
    <t>PO-20160728C</t>
  </si>
  <si>
    <t>CX65102256</t>
  </si>
  <si>
    <t>CW0548602825</t>
  </si>
  <si>
    <t>AIMB-274G2-00A1E</t>
  </si>
  <si>
    <t>同V433</t>
  </si>
  <si>
    <t>PI-20160729A</t>
  </si>
  <si>
    <t>PO-20160729A</t>
  </si>
  <si>
    <t>CG053768H517</t>
  </si>
  <si>
    <t xml:space="preserve"> 20160729-AA </t>
  </si>
  <si>
    <t>PI-20160729B</t>
  </si>
  <si>
    <t xml:space="preserve">NPORT 5110A </t>
  </si>
  <si>
    <t>PO-20160729B</t>
  </si>
  <si>
    <t>CX81453580</t>
  </si>
  <si>
    <t>CV52570550</t>
  </si>
  <si>
    <t>8/5台銀@31.545</t>
  </si>
  <si>
    <t>2016/8/8掛號寄出</t>
  </si>
  <si>
    <t>PI-20160801A</t>
  </si>
  <si>
    <t>PO-20160801A</t>
  </si>
  <si>
    <t>CX81453630</t>
  </si>
  <si>
    <t>CV52570551
修改CV52570552</t>
  </si>
  <si>
    <t>對方敲定@31.34</t>
  </si>
  <si>
    <t>8/11放客戶信箱
8/15修改放信箱</t>
  </si>
  <si>
    <t>同V379</t>
  </si>
  <si>
    <t>同Z437</t>
  </si>
  <si>
    <t>RMA-20160801A</t>
  </si>
  <si>
    <t>NPort 5650-8-DT 
TAEEE1017709</t>
  </si>
  <si>
    <t>P160805NP0</t>
  </si>
  <si>
    <t>PI-20160805A</t>
  </si>
  <si>
    <t>PO-20160805A-1</t>
  </si>
  <si>
    <t>CV38316179</t>
  </si>
  <si>
    <t>CX052230LKGV</t>
  </si>
  <si>
    <t>PO-20160805A-2</t>
  </si>
  <si>
    <t>CX47352750</t>
  </si>
  <si>
    <t>PO-20160805A-3</t>
  </si>
  <si>
    <t>預付款</t>
  </si>
  <si>
    <t>CX64239464</t>
  </si>
  <si>
    <t>同V444</t>
  </si>
  <si>
    <t>同V443</t>
  </si>
  <si>
    <t>PO-20160805A-4</t>
  </si>
  <si>
    <t>"台灣銀行華江分行
087-001-01891-3"</t>
  </si>
  <si>
    <t>CV53653971</t>
  </si>
  <si>
    <t>Freight For PI-20160805A</t>
  </si>
  <si>
    <t>CX22744334</t>
  </si>
  <si>
    <t>PO-20160517A-1</t>
  </si>
  <si>
    <t>CD38399217</t>
  </si>
  <si>
    <t xml:space="preserve">P160805NP1 </t>
  </si>
  <si>
    <t>PI-20160805B</t>
  </si>
  <si>
    <t>PO-20160805B-2</t>
  </si>
  <si>
    <t>CX64239462</t>
  </si>
  <si>
    <t>DHL Freight for PI-20160805B</t>
  </si>
  <si>
    <t>與PI20160805A&amp;PI20160812A一同並運，共12054元</t>
  </si>
  <si>
    <t>PI-20160808A</t>
  </si>
  <si>
    <t>PO-20160808A-2</t>
  </si>
  <si>
    <t>CX65102347</t>
  </si>
  <si>
    <t>CH0548602877</t>
  </si>
  <si>
    <t>USB-4761-AE</t>
  </si>
  <si>
    <t>同V453</t>
  </si>
  <si>
    <t>IPC-5122-00XE</t>
  </si>
  <si>
    <t>PO-20160808A-1</t>
  </si>
  <si>
    <t>CX65102366</t>
  </si>
  <si>
    <t>同V456</t>
  </si>
  <si>
    <t>PI-20160808A-1</t>
  </si>
  <si>
    <t>ARK-6620-18ZBE</t>
  </si>
  <si>
    <t>2016/10/5
2016/11/5</t>
  </si>
  <si>
    <t>2016/8/16
2016/8/29</t>
  </si>
  <si>
    <t>CX65102366
CX65102722</t>
  </si>
  <si>
    <r>
      <rPr>
        <sz val="10"/>
        <color rgb="FF000000"/>
        <rFont val="arial,sans,sans-serif"/>
      </rPr>
      <t xml:space="preserve">同V456(11件)
</t>
    </r>
    <r>
      <rPr>
        <sz val="10"/>
        <color rgb="FF000000"/>
        <rFont val="arial,sans,sans-serif"/>
      </rPr>
      <t>51,881(15件)</t>
    </r>
  </si>
  <si>
    <t>CW0548603003</t>
  </si>
  <si>
    <t>PO-038</t>
  </si>
  <si>
    <t>PI-20160811A</t>
  </si>
  <si>
    <t>PO-20160811A</t>
  </si>
  <si>
    <t>CX81453754</t>
  </si>
  <si>
    <t>CR053767H428</t>
  </si>
  <si>
    <t>NPORT IA5150A</t>
  </si>
  <si>
    <t>同V409</t>
  </si>
  <si>
    <t>PO-20160526A</t>
  </si>
  <si>
    <t>CD38399223</t>
  </si>
  <si>
    <t>P160812VJ0</t>
  </si>
  <si>
    <t>PI-20160812A</t>
  </si>
  <si>
    <t>DHL Freight for PI-20160812A</t>
  </si>
  <si>
    <t>與PI20160805A&amp;PI20160805B一同並運，共12054元</t>
  </si>
  <si>
    <t>PO-P-I160080</t>
  </si>
  <si>
    <t>PI-20160812C</t>
  </si>
  <si>
    <t>EDS-308-SS-SC-T</t>
  </si>
  <si>
    <t>SOVIO</t>
  </si>
  <si>
    <t>PO-20160812C</t>
  </si>
  <si>
    <t>CV49001124</t>
  </si>
  <si>
    <t>CG053767J215</t>
  </si>
  <si>
    <t>16/0461M</t>
  </si>
  <si>
    <t>PI-20160816A</t>
  </si>
  <si>
    <t>Sierra Wireless AirPrime EM7430</t>
  </si>
  <si>
    <t>PO-20160816A</t>
  </si>
  <si>
    <t>CV49682588</t>
  </si>
  <si>
    <t>330-16081438</t>
  </si>
  <si>
    <t>PI-20160819A</t>
  </si>
  <si>
    <t>PO-20160819A</t>
  </si>
  <si>
    <t>CX81453877</t>
  </si>
  <si>
    <t>DM52359454</t>
  </si>
  <si>
    <t>9/26央行@31.43</t>
  </si>
  <si>
    <t>9/26發票與PI-20160819A貨一同大榮寄出</t>
  </si>
  <si>
    <t xml:space="preserve">Air Freight </t>
  </si>
  <si>
    <t>台北富邦銀行長安(012-5402)
540-102-614164</t>
  </si>
  <si>
    <t>CV51075600</t>
  </si>
  <si>
    <t>190816-45S</t>
  </si>
  <si>
    <t>PI-20160822A</t>
  </si>
  <si>
    <t>Meanwell DR-15-12</t>
  </si>
  <si>
    <t>PO-20160822A</t>
  </si>
  <si>
    <t>DP91913401</t>
  </si>
  <si>
    <t>DM52359451</t>
  </si>
  <si>
    <t>9/8 Benson @31.18</t>
  </si>
  <si>
    <t>Meanwell DR-4524</t>
  </si>
  <si>
    <t>同V462</t>
  </si>
  <si>
    <t>同Z462</t>
  </si>
  <si>
    <t>PI-20160704A
(0930佣金已付)</t>
  </si>
  <si>
    <t>Nport W2150A EU Band 
w/ SAA Adapter</t>
  </si>
  <si>
    <t>PO-20160704A</t>
  </si>
  <si>
    <t>2016/9/5
2016/9/5</t>
  </si>
  <si>
    <t>DP81452540
DP81452536</t>
  </si>
  <si>
    <t>515,880(99片)
5,211(1片)</t>
  </si>
  <si>
    <t>CA0552001729</t>
  </si>
  <si>
    <t>PI-20160704A-1
(0930佣金已付)</t>
  </si>
  <si>
    <t>PO-20160704A-1</t>
  </si>
  <si>
    <t>DP81452534</t>
  </si>
  <si>
    <t>PI-20160829A</t>
  </si>
  <si>
    <t>PO-20160829A</t>
  </si>
  <si>
    <t>DP81452621</t>
  </si>
  <si>
    <t>DM52359452</t>
  </si>
  <si>
    <t>9/10台銀@31.55</t>
  </si>
  <si>
    <t>9/12與RMA貨物一同給客戶</t>
  </si>
  <si>
    <t>同V466</t>
  </si>
  <si>
    <t>同Z466</t>
  </si>
  <si>
    <t>PI-20160830A</t>
  </si>
  <si>
    <t>SN610-1GD3-C6</t>
  </si>
  <si>
    <t>SPARKLE</t>
  </si>
  <si>
    <t>PO-20160830A</t>
  </si>
  <si>
    <t xml:space="preserve">花旗台灣銀行松山分行
(0210292) 5800749001
</t>
  </si>
  <si>
    <t>DM51013200</t>
  </si>
  <si>
    <t>CW0568590465</t>
  </si>
  <si>
    <t>PI-20160901A</t>
  </si>
  <si>
    <t>Innodisk DESMV-16GD09BC1DC</t>
  </si>
  <si>
    <t>PO-20160901A</t>
  </si>
  <si>
    <t>DP69988897</t>
  </si>
  <si>
    <t>CX052230NAVJ</t>
  </si>
  <si>
    <t>DHL Freight for PI-20160901A</t>
  </si>
  <si>
    <t>DP22693915</t>
  </si>
  <si>
    <t>同V485</t>
  </si>
  <si>
    <t>P160902NP0</t>
  </si>
  <si>
    <t>PI-20160902A</t>
  </si>
  <si>
    <t xml:space="preserve">
PO-20160902A-1
</t>
  </si>
  <si>
    <t>DM38133813</t>
  </si>
  <si>
    <t>CX052230NA3R</t>
  </si>
  <si>
    <t>PO-20160902A-2</t>
  </si>
  <si>
    <t>DP47346041</t>
  </si>
  <si>
    <t>PO-20160902A-3</t>
  </si>
  <si>
    <t xml:space="preserve">預付款+另付2645 </t>
  </si>
  <si>
    <t>DP64231005</t>
  </si>
  <si>
    <t xml:space="preserve">PO-20160902A-1
</t>
  </si>
  <si>
    <t>同479</t>
  </si>
  <si>
    <t>Freight For PI-20160902A</t>
  </si>
  <si>
    <t>16/0502M</t>
  </si>
  <si>
    <t>PI-20160906A</t>
  </si>
  <si>
    <t>Moxa UPort 1450</t>
  </si>
  <si>
    <t>PO-20160906A-1</t>
  </si>
  <si>
    <t>DB81452735</t>
  </si>
  <si>
    <t>CX052230NVJF</t>
  </si>
  <si>
    <t>PO-20160906A-2</t>
  </si>
  <si>
    <t>DP65099867</t>
  </si>
  <si>
    <t>330-16090301</t>
  </si>
  <si>
    <t>PI-20160908A</t>
  </si>
  <si>
    <t>PO-20160908A</t>
  </si>
  <si>
    <t>DP81452837</t>
  </si>
  <si>
    <t>同Z460</t>
  </si>
  <si>
    <t>P160908NP0</t>
  </si>
  <si>
    <t>PI-20160908B
(請Leon測Mem86+ WiFi)</t>
  </si>
  <si>
    <t>Nuvo-5006LP</t>
  </si>
  <si>
    <t>PO-20160908B-1</t>
  </si>
  <si>
    <t>DM35190718</t>
  </si>
  <si>
    <t>CX052230PNYS</t>
  </si>
  <si>
    <t>同V489</t>
  </si>
  <si>
    <t>PI-20160908B</t>
  </si>
  <si>
    <t>TS1GSH64V1H
(向創見購買. Neousys 組裝)</t>
  </si>
  <si>
    <t>Transcend 創見 到Neousys組裝</t>
  </si>
  <si>
    <t>PO-20160908B-2</t>
  </si>
  <si>
    <t>DP64231817</t>
  </si>
  <si>
    <t>捷毅國際到Neousys組裝</t>
  </si>
  <si>
    <t>PO-20160908B-3</t>
  </si>
  <si>
    <t>DQ02853146</t>
  </si>
  <si>
    <t>WFK-524 WIFI KIT
(請 Neousys 組裝與測試)</t>
  </si>
  <si>
    <t>EMO-20160908B</t>
  </si>
  <si>
    <t>P160908NP1</t>
  </si>
  <si>
    <t>PI-20160908C</t>
  </si>
  <si>
    <t>發達</t>
  </si>
  <si>
    <t>PO-20160908C</t>
  </si>
  <si>
    <t>DP86120482</t>
  </si>
  <si>
    <t>CH0547180804</t>
  </si>
  <si>
    <t>同V494</t>
  </si>
  <si>
    <t>Shipping Charge for PI-20160908C</t>
  </si>
  <si>
    <t>發達國際物流</t>
  </si>
  <si>
    <t>富邦銀行
460101120954</t>
  </si>
  <si>
    <t>DN14160220</t>
  </si>
  <si>
    <t>PI-20160908D</t>
  </si>
  <si>
    <t>FPM­-2150G-­R3AE</t>
  </si>
  <si>
    <t>PO-20160908D</t>
  </si>
  <si>
    <t>DP65099189</t>
  </si>
  <si>
    <t>CX052230PNLA</t>
  </si>
  <si>
    <t>PI-20160913A</t>
  </si>
  <si>
    <t>PO-20160914A</t>
  </si>
  <si>
    <t>DM34654643</t>
  </si>
  <si>
    <t>CF05550YW231</t>
  </si>
  <si>
    <t>同V503</t>
  </si>
  <si>
    <t>PI-20160913B</t>
  </si>
  <si>
    <t>ECS-8000-2R700Q</t>
  </si>
  <si>
    <t>PO-20160714A</t>
  </si>
  <si>
    <t>CV38316168</t>
  </si>
  <si>
    <t>PI-20160914B</t>
  </si>
  <si>
    <t>EKI-2528-BE</t>
  </si>
  <si>
    <t>PO-20160914B</t>
  </si>
  <si>
    <t>DP65099918</t>
  </si>
  <si>
    <t>USB-4750-BE</t>
  </si>
  <si>
    <t>同V508</t>
  </si>
  <si>
    <t>PO-20160805B-1</t>
  </si>
  <si>
    <t>PI-20160919A</t>
  </si>
  <si>
    <t>EMO-20160919A</t>
  </si>
  <si>
    <t>CG053768P833</t>
  </si>
  <si>
    <t>330-16091212</t>
  </si>
  <si>
    <t>PI-20160919B</t>
  </si>
  <si>
    <t>PO-20160919B</t>
  </si>
  <si>
    <t>DP81453698</t>
  </si>
  <si>
    <t>DM52359506</t>
  </si>
  <si>
    <t>10/17央行@31.77</t>
  </si>
  <si>
    <t>10/18掛號寄出</t>
  </si>
  <si>
    <t>PI-20160921A</t>
  </si>
  <si>
    <t>PO-20160921A</t>
  </si>
  <si>
    <t>DP81452841</t>
  </si>
  <si>
    <t>CX052230PDVN</t>
  </si>
  <si>
    <t>PI-20160921C</t>
  </si>
  <si>
    <t>PO-20160921C</t>
  </si>
  <si>
    <t>ED34754291</t>
  </si>
  <si>
    <t>CF055504427E</t>
  </si>
  <si>
    <t>同V522</t>
  </si>
  <si>
    <t>Adlink MXE-5401/M8G</t>
  </si>
  <si>
    <t>PO-20160812A</t>
  </si>
  <si>
    <t>CX86120739</t>
  </si>
  <si>
    <t>P160909NP0</t>
  </si>
  <si>
    <t>PI-20160921D</t>
  </si>
  <si>
    <t>PO-20160921D-2</t>
  </si>
  <si>
    <t>DP64232722</t>
  </si>
  <si>
    <t>CX052230QAWU</t>
  </si>
  <si>
    <t>PI-20160922A</t>
  </si>
  <si>
    <t>PO-20160922A</t>
  </si>
  <si>
    <t>DP65099707</t>
  </si>
  <si>
    <t>DE161024-001</t>
  </si>
  <si>
    <t>PI-20160922B
(請Leon換軟體及包裝)
(2017 /1/19 已付佣金)</t>
  </si>
  <si>
    <t>PO-20160922B</t>
  </si>
  <si>
    <t>EF81452677</t>
  </si>
  <si>
    <t>CA0552002111</t>
  </si>
  <si>
    <t>Profcon Electronics</t>
  </si>
  <si>
    <t>PI-20160923A</t>
  </si>
  <si>
    <t>MPC-080-DB25S7 
(w/Switchcraft PC722A JACK)</t>
  </si>
  <si>
    <r>
      <rPr>
        <sz val="10"/>
        <color rgb="FF000000"/>
        <rFont val="arial,sans,sans-serif"/>
      </rPr>
      <t>2016/11/10</t>
    </r>
    <r>
      <rPr>
        <sz val="10"/>
        <color rgb="FFFF0000"/>
        <rFont val="arial,sans,sans-serif"/>
      </rPr>
      <t xml:space="preserve">
</t>
    </r>
    <r>
      <rPr>
        <sz val="10"/>
        <color rgb="FF000000"/>
        <rFont val="arial,sans,sans-serif"/>
      </rPr>
      <t>2016/11/17</t>
    </r>
  </si>
  <si>
    <t>PO-20160923A-1
EMO-20160923A-2</t>
  </si>
  <si>
    <t>2016/11/11
2016/11/16</t>
  </si>
  <si>
    <t>ED34847020
ED34847027</t>
  </si>
  <si>
    <t>210470(10PCS+NRE)
39463(2PCS)</t>
  </si>
  <si>
    <t>CX052230TPDQ</t>
  </si>
  <si>
    <t>NRE fee for Switchcraft connector</t>
  </si>
  <si>
    <t>PO-20160923A-1</t>
  </si>
  <si>
    <t>ED34847020</t>
  </si>
  <si>
    <t>P160926NP0</t>
  </si>
  <si>
    <t>PI-20160926A</t>
  </si>
  <si>
    <t>PO-20160926A</t>
  </si>
  <si>
    <t>DP65099212</t>
  </si>
  <si>
    <t>P160926NP1</t>
  </si>
  <si>
    <t>PI-20160926B</t>
  </si>
  <si>
    <t>PO-20160926B(1片)
EMO-26160712A(5片)</t>
  </si>
  <si>
    <r>
      <rPr>
        <sz val="10"/>
        <color rgb="FF000000"/>
        <rFont val="arial,sans,sans-serif"/>
      </rPr>
      <t>4111+</t>
    </r>
    <r>
      <rPr>
        <sz val="10"/>
        <color rgb="FF000000"/>
        <rFont val="arial,sans,sans-serif"/>
      </rPr>
      <t>21131(8/31已付)</t>
    </r>
  </si>
  <si>
    <t>2016/9/29
EMO-26160712A</t>
  </si>
  <si>
    <t>DM34654719
EMO-26160712A</t>
  </si>
  <si>
    <t>4111(1Pcs)
EMO-26160712A</t>
  </si>
  <si>
    <t>PI-20160926C</t>
  </si>
  <si>
    <t>PO-20160926C-revised</t>
  </si>
  <si>
    <t>花旗台灣銀行松山分行
(0210292) 5800749001</t>
  </si>
  <si>
    <t>DM51013210</t>
  </si>
  <si>
    <t>CW0568590553</t>
  </si>
  <si>
    <t>PI-20160922B-1
(請Leon換軟體及包裝)
(2017 /1/19 已付佣金)</t>
  </si>
  <si>
    <t>PO-20160922B-1</t>
  </si>
  <si>
    <t>EF81452676</t>
  </si>
  <si>
    <t>2016/12/8(US1611.75)
2016/12/20(US4835.25)</t>
  </si>
  <si>
    <t>EF81452455</t>
  </si>
  <si>
    <t>PI-20160927A</t>
  </si>
  <si>
    <t>PO-20160927A</t>
  </si>
  <si>
    <t>DP65100021</t>
  </si>
  <si>
    <t>P160927NP0</t>
  </si>
  <si>
    <t>PI-20160929A</t>
  </si>
  <si>
    <t>Neousys POC-210</t>
  </si>
  <si>
    <t>PO-20160929A</t>
  </si>
  <si>
    <t>DM35190730</t>
  </si>
  <si>
    <t>CX052230QKD7</t>
  </si>
  <si>
    <t>DDR3L-4GB-1333 (Neousys)</t>
  </si>
  <si>
    <t>同V537</t>
  </si>
  <si>
    <t>TJS_PO-160929-1</t>
  </si>
  <si>
    <t>PI-20160929B</t>
  </si>
  <si>
    <t>PO-20160929B</t>
  </si>
  <si>
    <t>DP81453636</t>
  </si>
  <si>
    <t>DM52359503</t>
  </si>
  <si>
    <t>Santiago敲定@31.63</t>
  </si>
  <si>
    <t>10/13 掛號寄出</t>
  </si>
  <si>
    <t>同V539</t>
  </si>
  <si>
    <t>同Z539</t>
  </si>
  <si>
    <t>20160929-AA</t>
  </si>
  <si>
    <t>PI-20160929C</t>
  </si>
  <si>
    <t>PO-20160929C-2</t>
  </si>
  <si>
    <t>PI-20160929C-1</t>
  </si>
  <si>
    <t>PO-20160929C-1</t>
  </si>
  <si>
    <t>PI-20160930A-F</t>
  </si>
  <si>
    <t>DHL Freight for PI-20160926A and PI-20160908B</t>
  </si>
  <si>
    <t>UinGens DHL</t>
  </si>
  <si>
    <t>DP22720239</t>
  </si>
  <si>
    <t>290916-45T</t>
  </si>
  <si>
    <t>PI-20160930B</t>
  </si>
  <si>
    <t>DR-1512</t>
  </si>
  <si>
    <t>Unigens-巨邦</t>
  </si>
  <si>
    <t>PO-20160930B</t>
  </si>
  <si>
    <t>DP91914548</t>
  </si>
  <si>
    <t>DM52359501</t>
  </si>
  <si>
    <t>10/12 Benson @31.555</t>
  </si>
  <si>
    <t>DR-4524</t>
  </si>
  <si>
    <t>同V544</t>
  </si>
  <si>
    <t>同Z544</t>
  </si>
  <si>
    <t xml:space="preserve">2906-TD5484 </t>
  </si>
  <si>
    <t>PI-20160930C</t>
  </si>
  <si>
    <t xml:space="preserve">CP-118U-I </t>
  </si>
  <si>
    <t>PO-20160930C</t>
  </si>
  <si>
    <t>DP81453512</t>
  </si>
  <si>
    <t>CA0511302490</t>
  </si>
  <si>
    <t>同V547</t>
  </si>
  <si>
    <t>PI-20161005A-F</t>
  </si>
  <si>
    <t>DHL Freight for PI-20160921D</t>
  </si>
  <si>
    <t>DP22732658</t>
  </si>
  <si>
    <t>16/0558M</t>
  </si>
  <si>
    <t>PI-20161005B</t>
  </si>
  <si>
    <t>PO-20161005B-1</t>
  </si>
  <si>
    <t>DP81453832</t>
  </si>
  <si>
    <t>CX052230QTXK</t>
  </si>
  <si>
    <t>UPort 1130I</t>
  </si>
  <si>
    <t>PO-20161005B-2</t>
  </si>
  <si>
    <t>DP65103250</t>
  </si>
  <si>
    <t>P161005NP0</t>
  </si>
  <si>
    <t>PI-20161005C</t>
  </si>
  <si>
    <t>PO-20161005C-1-修改</t>
  </si>
  <si>
    <t>DM35190740</t>
  </si>
  <si>
    <t>CX052230RHXA</t>
  </si>
  <si>
    <t>TS512MSH64V1H
(向創見購買. Neousys 組裝)</t>
  </si>
  <si>
    <t>PO-20161005C-2修改為
PO-20161005C-4</t>
  </si>
  <si>
    <t>DP64239060</t>
  </si>
  <si>
    <t>PO-20161005C-3</t>
  </si>
  <si>
    <t>DQ02853514</t>
  </si>
  <si>
    <t>PI-20161006A</t>
  </si>
  <si>
    <t>AS-35A-RS</t>
  </si>
  <si>
    <t>PO-20161006A</t>
  </si>
  <si>
    <t>DP70070093</t>
  </si>
  <si>
    <t>PI-20161007A</t>
  </si>
  <si>
    <t>1960055791T001</t>
  </si>
  <si>
    <t>PO-20161007A</t>
  </si>
  <si>
    <t>MIO-2261Z2-2GS6A1E</t>
  </si>
  <si>
    <t>96PSA-A120W24T2</t>
  </si>
  <si>
    <t>PO-20161007A-Revised</t>
  </si>
  <si>
    <t>DP65102297</t>
  </si>
  <si>
    <t>CX05223ORHZX</t>
  </si>
  <si>
    <t>詢問銀行水單中</t>
  </si>
  <si>
    <t>TPC-1582H-433AE</t>
  </si>
  <si>
    <t>同V558</t>
  </si>
  <si>
    <t>CB16-416</t>
  </si>
  <si>
    <t>PI-20161007B</t>
  </si>
  <si>
    <t>Moxa CP-118U</t>
  </si>
  <si>
    <t>PO-20161007B-1</t>
  </si>
  <si>
    <t>DP81453635</t>
  </si>
  <si>
    <t>CG053769B105</t>
  </si>
  <si>
    <t>PO-20161007B-2</t>
  </si>
  <si>
    <t>DP81531999</t>
  </si>
  <si>
    <t xml:space="preserve">Transcend 創見 </t>
  </si>
  <si>
    <t>PO-20161007B-3</t>
  </si>
  <si>
    <t>DP64239893</t>
  </si>
  <si>
    <t>同V562</t>
  </si>
  <si>
    <t xml:space="preserve">Assemble </t>
  </si>
  <si>
    <t>CB16-568</t>
  </si>
  <si>
    <t>RMA-20161007A</t>
  </si>
  <si>
    <t>VBOX-3110 
(S/N: ST20150418111)</t>
  </si>
  <si>
    <t>Sintrones
鑫創電子</t>
  </si>
  <si>
    <t>A220-20161208003</t>
  </si>
  <si>
    <t>聯邦銀行 中和分行 
036-10-0016021</t>
  </si>
  <si>
    <t>ED34778655</t>
  </si>
  <si>
    <t>RMA無報關</t>
  </si>
  <si>
    <t>PI-20161011A</t>
  </si>
  <si>
    <t>PO-20161011A-Revised</t>
  </si>
  <si>
    <t>DP48041039</t>
  </si>
  <si>
    <t>CG053768Z235</t>
  </si>
  <si>
    <t>RMA-20160930A</t>
  </si>
  <si>
    <t>ECS-8000-2R700Q
(S/N: S15A820007)</t>
  </si>
  <si>
    <t>PI-20161013A-F</t>
  </si>
  <si>
    <t>DHL freight for PI-20160929A</t>
  </si>
  <si>
    <t>同V550</t>
  </si>
  <si>
    <t>PI-20161013B</t>
  </si>
  <si>
    <t>PO-20161013B</t>
  </si>
  <si>
    <t>DP65103105</t>
  </si>
  <si>
    <t>20161013-AA</t>
  </si>
  <si>
    <t>PI-20161014A-1</t>
  </si>
  <si>
    <t>Elgens-巨邦</t>
  </si>
  <si>
    <t>PO-20161014A-1</t>
  </si>
  <si>
    <t>DM46307571</t>
  </si>
  <si>
    <t>DM52359508</t>
  </si>
  <si>
    <t>10/21台銀@31.615</t>
  </si>
  <si>
    <t>10/21掛號寄出</t>
  </si>
  <si>
    <t>PI-20161014A-2</t>
  </si>
  <si>
    <t>Elgens-Uber</t>
  </si>
  <si>
    <t>PO-20161014A-2</t>
  </si>
  <si>
    <t>DM38822941</t>
  </si>
  <si>
    <t>DM52359511</t>
  </si>
  <si>
    <t>10/27台銀@31.615</t>
  </si>
  <si>
    <t>PI-20161014A-3</t>
  </si>
  <si>
    <t>Elgens- 全球</t>
  </si>
  <si>
    <t>PO-20161014A-3</t>
  </si>
  <si>
    <t>DM48851035</t>
  </si>
  <si>
    <t>同Z573</t>
  </si>
  <si>
    <t>PI-20161014A-4</t>
  </si>
  <si>
    <t>PO-20161014A-4</t>
  </si>
  <si>
    <t>ED49991058</t>
  </si>
  <si>
    <t>ED52606405</t>
  </si>
  <si>
    <t>11/16台銀@31.84</t>
  </si>
  <si>
    <t>PI-20161014A-5</t>
  </si>
  <si>
    <t>PO-20161014A-5-Revised</t>
  </si>
  <si>
    <t>ED39025413</t>
  </si>
  <si>
    <t>ED52606403</t>
  </si>
  <si>
    <t>11/10台銀@31.585</t>
  </si>
  <si>
    <t>PI-20161014A-6</t>
  </si>
  <si>
    <t>同V576</t>
  </si>
  <si>
    <t>同Z576</t>
  </si>
  <si>
    <t>Asrock
華擎科技</t>
  </si>
  <si>
    <t>PI-20161017A</t>
  </si>
  <si>
    <t xml:space="preserve">Advantech SOM-DB3500G-00A1E </t>
  </si>
  <si>
    <t>Elgens-黑貓</t>
  </si>
  <si>
    <t>PO-20161017A</t>
  </si>
  <si>
    <t>EF65098718</t>
  </si>
  <si>
    <t>ED52606401</t>
  </si>
  <si>
    <t>11/5掛號寄出</t>
  </si>
  <si>
    <t>PI-20161017B</t>
  </si>
  <si>
    <t>96PSA-A60W12R1-1</t>
  </si>
  <si>
    <t>PO-20161017B</t>
  </si>
  <si>
    <t>DP65102555</t>
  </si>
  <si>
    <t>CX052230S51E</t>
  </si>
  <si>
    <t>ARK-6322-Q0A1E</t>
  </si>
  <si>
    <t>MOS-1120Y-1401E</t>
  </si>
  <si>
    <t>PI-20161017C</t>
  </si>
  <si>
    <t>PO-20161017C</t>
  </si>
  <si>
    <t>DP91915283</t>
  </si>
  <si>
    <t>181016-47S</t>
  </si>
  <si>
    <t>PI-20161019A</t>
  </si>
  <si>
    <t>PO-20161019A</t>
  </si>
  <si>
    <t>DP91915305</t>
  </si>
  <si>
    <t>DM52359510</t>
  </si>
  <si>
    <t>10/26 Benson @31.55</t>
  </si>
  <si>
    <t>Nowatron Elektronik</t>
  </si>
  <si>
    <t>01-7-0000209</t>
  </si>
  <si>
    <t>PI-20161019B</t>
  </si>
  <si>
    <t>Advantech EKI-7710G-2CI-AE</t>
  </si>
  <si>
    <t>FEDEX Economy account no: 297718460</t>
  </si>
  <si>
    <t>PO-20161019B</t>
  </si>
  <si>
    <t>DP65103204</t>
  </si>
  <si>
    <t>CF055502909F</t>
  </si>
  <si>
    <t>330-16101224</t>
  </si>
  <si>
    <t>PI-20161019C</t>
  </si>
  <si>
    <t>PO-20161019C</t>
  </si>
  <si>
    <t>EF81452458</t>
  </si>
  <si>
    <t>ED52606400</t>
  </si>
  <si>
    <t>11/2央行@31.564</t>
  </si>
  <si>
    <t>11/4掛號寄出</t>
  </si>
  <si>
    <t>PI-20161020A</t>
  </si>
  <si>
    <t>PEX-P16R16i CR</t>
  </si>
  <si>
    <t>ICP DAS</t>
  </si>
  <si>
    <t>PO-20161020A</t>
  </si>
  <si>
    <t>DQ10606578</t>
  </si>
  <si>
    <t>CA-3750DM-H</t>
  </si>
  <si>
    <t>同V585</t>
  </si>
  <si>
    <t>DB-37 CR</t>
  </si>
  <si>
    <t>DN-37 CR</t>
  </si>
  <si>
    <t>PO-061</t>
  </si>
  <si>
    <t>PI-20161020B</t>
  </si>
  <si>
    <t>PO-20161020B</t>
  </si>
  <si>
    <t>DP81453793</t>
  </si>
  <si>
    <t>CR053769E426</t>
  </si>
  <si>
    <t>PI-20161024A</t>
  </si>
  <si>
    <t>PO-20161024A</t>
  </si>
  <si>
    <t>"彰化銀行：009
8119-01-53628-100"</t>
  </si>
  <si>
    <t>DM33092702</t>
  </si>
  <si>
    <t>CX052230S2P7</t>
  </si>
  <si>
    <t>DHL Freight For PI-20161024A</t>
  </si>
  <si>
    <t>EF22677561</t>
  </si>
  <si>
    <t>PI-20161024B-F</t>
  </si>
  <si>
    <t>DHL Freight For PI-20161005C</t>
  </si>
  <si>
    <t>DP22740417</t>
  </si>
  <si>
    <t>PI-20161024C</t>
  </si>
  <si>
    <t>PO-20161024C</t>
  </si>
  <si>
    <t>EF65099454</t>
  </si>
  <si>
    <t>CX052230SEU7</t>
  </si>
  <si>
    <t>同V595</t>
  </si>
  <si>
    <t>PI-20161024D-1</t>
  </si>
  <si>
    <t>IB897-I45
(BIOS IB897O4R_20161005)</t>
  </si>
  <si>
    <t>PO-20161024D-1(Revised)</t>
  </si>
  <si>
    <t>華南銀行 137100-006788</t>
  </si>
  <si>
    <t>EF48040817</t>
  </si>
  <si>
    <t>CG053769K510</t>
  </si>
  <si>
    <t>同V598</t>
  </si>
  <si>
    <t>PO-20161024D-2</t>
  </si>
  <si>
    <t>EG07747169</t>
  </si>
  <si>
    <t>同V601</t>
  </si>
  <si>
    <t>330-16101511</t>
  </si>
  <si>
    <t>PI-20161024E</t>
  </si>
  <si>
    <t>PO-20161024E</t>
  </si>
  <si>
    <t>EF81452510</t>
  </si>
  <si>
    <t>同Z586</t>
  </si>
  <si>
    <t>P161025NP0</t>
  </si>
  <si>
    <t>PI-20161025A
(請Leon組裝測試)</t>
  </si>
  <si>
    <t>POC-212 (Neousys)</t>
  </si>
  <si>
    <t>PO-20161025A-1</t>
  </si>
  <si>
    <t>ED35363003</t>
  </si>
  <si>
    <t>CX052230SEQ2</t>
  </si>
  <si>
    <t>TS128GSSD420I (創見)</t>
  </si>
  <si>
    <t>PO-20161025A-2</t>
  </si>
  <si>
    <t>DP64241373</t>
  </si>
  <si>
    <t>TS512MSK64W6H-I (創見)</t>
  </si>
  <si>
    <r>
      <rPr>
        <sz val="10"/>
        <color rgb="FF000000"/>
        <rFont val="arial,sans,sans-serif"/>
      </rPr>
      <t>預付款+</t>
    </r>
    <r>
      <rPr>
        <sz val="10"/>
        <color rgb="FF000000"/>
        <rFont val="arial,sans,sans-serif"/>
      </rPr>
      <t>3250元(待付</t>
    </r>
    <r>
      <rPr>
        <sz val="10"/>
        <color rgb="FF000000"/>
        <rFont val="arial,sans,sans-serif"/>
      </rPr>
      <t>)</t>
    </r>
  </si>
  <si>
    <t>同V605</t>
  </si>
  <si>
    <t>PI-20161027A</t>
  </si>
  <si>
    <t>PO-20161027A</t>
  </si>
  <si>
    <t>EF65099455</t>
  </si>
  <si>
    <t>PO-20160921D-1</t>
  </si>
  <si>
    <t>DM38133830</t>
  </si>
  <si>
    <t>PI-20161027B</t>
  </si>
  <si>
    <t>DDR3L8G (Vecow)</t>
  </si>
  <si>
    <t>PO-20161027B</t>
  </si>
  <si>
    <t>ED38325301</t>
  </si>
  <si>
    <t>同V607</t>
  </si>
  <si>
    <t>CX052230SAP4</t>
  </si>
  <si>
    <t>DHL Freight For PI-20161027B</t>
  </si>
  <si>
    <t>EF22684833</t>
  </si>
  <si>
    <t>PI-20161031A</t>
  </si>
  <si>
    <t>PO-20161031A</t>
  </si>
  <si>
    <t>EF65098669</t>
  </si>
  <si>
    <t>PI-20161031B</t>
  </si>
  <si>
    <t>PO-20161031B</t>
  </si>
  <si>
    <t>EF48040837</t>
  </si>
  <si>
    <t>TJS_PO-160929-2</t>
  </si>
  <si>
    <t>PI-20161101A</t>
  </si>
  <si>
    <t>PO-20161101A</t>
  </si>
  <si>
    <t>EF81452790</t>
  </si>
  <si>
    <t>ED52606408</t>
  </si>
  <si>
    <t>對方敲定@31.76</t>
  </si>
  <si>
    <t>11/16 掛號寄出</t>
  </si>
  <si>
    <t>同V613</t>
  </si>
  <si>
    <t>同Z613</t>
  </si>
  <si>
    <t>PI-20161102A</t>
  </si>
  <si>
    <t>1960060539T000 (IOA-02648-T0)</t>
  </si>
  <si>
    <t>Sample無發票</t>
  </si>
  <si>
    <t>Sampl無發票</t>
  </si>
  <si>
    <t>PI-20161102B-F</t>
  </si>
  <si>
    <t>DHL Freight For PI-20161025A</t>
  </si>
  <si>
    <t>同V610</t>
  </si>
  <si>
    <t>16/0609M</t>
  </si>
  <si>
    <t>PI-20161103A</t>
  </si>
  <si>
    <t>APC-4211VER3
(Advantech PPC-4211W-R3AE)</t>
  </si>
  <si>
    <t>PO-20161103A</t>
  </si>
  <si>
    <t>EF65098950</t>
  </si>
  <si>
    <t>CX052230T1DN</t>
  </si>
  <si>
    <t>PI-20161104A</t>
  </si>
  <si>
    <t>PO-20161104A</t>
  </si>
  <si>
    <t>EF65099641</t>
  </si>
  <si>
    <t>CX052230U9DG</t>
  </si>
  <si>
    <t>同V618</t>
  </si>
  <si>
    <t>20161104-AA</t>
  </si>
  <si>
    <t>PI-20161104B</t>
  </si>
  <si>
    <t>NPORT 5210A</t>
  </si>
  <si>
    <t>PO-20161104B</t>
  </si>
  <si>
    <t>EF81452755</t>
  </si>
  <si>
    <t>ED52606406</t>
  </si>
  <si>
    <t>發票隨PI-20161014A-4一起</t>
  </si>
  <si>
    <t>PI-20161107A</t>
  </si>
  <si>
    <t>NPORT5650-8 / EU
(19" Rack mount)</t>
  </si>
  <si>
    <t>PO-20161107A</t>
  </si>
  <si>
    <t>EF81452789</t>
  </si>
  <si>
    <t>PO013627</t>
  </si>
  <si>
    <t>PI-20161108A</t>
  </si>
  <si>
    <t>PO-20161108A</t>
  </si>
  <si>
    <t>EF86119670</t>
  </si>
  <si>
    <t>CH0546004654</t>
  </si>
  <si>
    <t>同V623</t>
  </si>
  <si>
    <t>P161107NP0</t>
  </si>
  <si>
    <t>PI-20161108B</t>
  </si>
  <si>
    <t>Nuvo-5002LP
(S/N:G4702668)</t>
  </si>
  <si>
    <t>PO-20161108B-1</t>
  </si>
  <si>
    <t>ED35363021</t>
  </si>
  <si>
    <t>CX052230TN26</t>
  </si>
  <si>
    <t>PO-20161108B-2</t>
  </si>
  <si>
    <t>EF64231670</t>
  </si>
  <si>
    <t>PO-20161108B-3</t>
  </si>
  <si>
    <t>EG02853096</t>
  </si>
  <si>
    <t>ECS-8000-2R700Q
(S/N: S16A820007~008)</t>
  </si>
  <si>
    <t>CB16-467</t>
  </si>
  <si>
    <t>PI-20161110B</t>
  </si>
  <si>
    <t>RKDM-190S</t>
  </si>
  <si>
    <t xml:space="preserve">CES Group閎亮 </t>
  </si>
  <si>
    <t>PO-20161110B</t>
  </si>
  <si>
    <t>ED53700255</t>
  </si>
  <si>
    <t>CR05376A6664</t>
  </si>
  <si>
    <t>Comintel</t>
  </si>
  <si>
    <t>PI-20161111A</t>
  </si>
  <si>
    <t>V2406A-C2
(S/N:TAFLA1000321)</t>
  </si>
  <si>
    <t>TNT 232506 Express</t>
  </si>
  <si>
    <t>EF81453807</t>
  </si>
  <si>
    <t>CR05376B5650</t>
  </si>
  <si>
    <r>
      <rPr>
        <sz val="10"/>
        <color theme="1"/>
        <rFont val="新細明體, serif"/>
        <family val="3"/>
        <charset val="136"/>
      </rPr>
      <t xml:space="preserve">CFast Card 8GB 
</t>
    </r>
    <r>
      <rPr>
        <b/>
        <sz val="10"/>
        <color rgb="FF0000FF"/>
        <rFont val="新細明體, serif"/>
        <charset val="136"/>
      </rPr>
      <t>w/ Debian 7 pre-installed</t>
    </r>
  </si>
  <si>
    <t>此成本已含在O610中</t>
  </si>
  <si>
    <t>CBL-M12D (MM4P)/ RJ45-100 IP67</t>
  </si>
  <si>
    <t>CBL-M12(FF5P)/ OPEN-100 IP67</t>
  </si>
  <si>
    <t>RMA-20161114A
(12/9 請Leon 灌新版軟體)</t>
  </si>
  <si>
    <t>AWK-3121-EU
(TAFJB1014554)
12/9 請Leon 灌新版軟體</t>
  </si>
  <si>
    <t>ELGen順豐</t>
  </si>
  <si>
    <t>同RMA-20160704B</t>
  </si>
  <si>
    <t>PI-20161114A-F</t>
  </si>
  <si>
    <t>Freight For PI-20161108B</t>
  </si>
  <si>
    <t>EF22696678</t>
  </si>
  <si>
    <t>Braemac Limited</t>
  </si>
  <si>
    <t>UKPO026921</t>
  </si>
  <si>
    <t>PI-20161114B</t>
  </si>
  <si>
    <t>Advantech DVP-7641E</t>
  </si>
  <si>
    <t>DHL EXPRESS Acct 969334923</t>
  </si>
  <si>
    <t>PO-20161114B</t>
  </si>
  <si>
    <t>EF65100118</t>
  </si>
  <si>
    <t>CX052230U97T</t>
  </si>
  <si>
    <t>PI-20161114C-1</t>
  </si>
  <si>
    <t>PO-20161114C</t>
  </si>
  <si>
    <t>ED33229650</t>
  </si>
  <si>
    <t>CX052230UJT2</t>
  </si>
  <si>
    <t>Freight For PI-20161114C-1</t>
  </si>
  <si>
    <t>EF22722276</t>
  </si>
  <si>
    <t>PI-20161114C-2</t>
  </si>
  <si>
    <t>ED33229651</t>
  </si>
  <si>
    <t>CX052230WB53</t>
  </si>
  <si>
    <t>Freight For PI-20161114C-2</t>
  </si>
  <si>
    <t>EF22734779</t>
  </si>
  <si>
    <t>同V686</t>
  </si>
  <si>
    <t>P161115NP0</t>
  </si>
  <si>
    <t>PI-20161115A
(請Leon測試11/25-11/27)</t>
  </si>
  <si>
    <t>ECS-8000-2R700Q
(S/N:S16A820009-014)</t>
  </si>
  <si>
    <t>PO-20161115A-1</t>
  </si>
  <si>
    <t>ED38325309</t>
  </si>
  <si>
    <t>CX052230UZC2</t>
  </si>
  <si>
    <t>"Transcend 創見
到Vecow組裝"</t>
  </si>
  <si>
    <t>PO-20161115A-2</t>
  </si>
  <si>
    <t>EF64232459</t>
  </si>
  <si>
    <t>DHL For PI-20161115A</t>
  </si>
  <si>
    <t>PI-20161115B</t>
  </si>
  <si>
    <t>Advantech PCA-6011G2-00A1E</t>
  </si>
  <si>
    <t>PO-20161115B</t>
  </si>
  <si>
    <t>EF65099075</t>
  </si>
  <si>
    <t>CX052230U97A</t>
  </si>
  <si>
    <t>DHL Freight For PI-20161115B</t>
  </si>
  <si>
    <t>P161115NP1</t>
  </si>
  <si>
    <t>PI-20161116A</t>
  </si>
  <si>
    <t>TDM-150SPH1</t>
  </si>
  <si>
    <t>UniGens TNT</t>
  </si>
  <si>
    <t>PI-20161116A-1
EMO-20161116A-1</t>
  </si>
  <si>
    <t>台灣銀行華江分行
087-001-01891-3"</t>
  </si>
  <si>
    <t>ED53700257</t>
  </si>
  <si>
    <t>CG05376A6901</t>
  </si>
  <si>
    <t>PO-20161116A-1</t>
  </si>
  <si>
    <t>ED35363047</t>
  </si>
  <si>
    <t>TS512MSK64W6H 
(向創見購買. Neousys 組裝)</t>
  </si>
  <si>
    <t>PO-20161116A-2</t>
  </si>
  <si>
    <t>EF64232630</t>
  </si>
  <si>
    <t>PO-20161116A-3</t>
  </si>
  <si>
    <t>EF86120367</t>
  </si>
  <si>
    <t>PI-20161116B</t>
  </si>
  <si>
    <t>PO-20161116B</t>
  </si>
  <si>
    <t>EF65099253</t>
  </si>
  <si>
    <t>同V651</t>
  </si>
  <si>
    <t>EF65099291</t>
  </si>
  <si>
    <t>CX052230VYKE</t>
  </si>
  <si>
    <t>EF65099074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</si>
  <si>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</si>
  <si>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PO-20161116B-1</t>
  </si>
  <si>
    <t>EF65099252</t>
  </si>
  <si>
    <t>RMA-20161117A</t>
  </si>
  <si>
    <t>ELGens DHL</t>
  </si>
  <si>
    <t>PI-20161121A</t>
  </si>
  <si>
    <t>PO-20161121A</t>
  </si>
  <si>
    <t>ED34754475</t>
  </si>
  <si>
    <t>CF055507593Z</t>
  </si>
  <si>
    <t>同V652</t>
  </si>
  <si>
    <t>P161121NP0</t>
  </si>
  <si>
    <t>PI-20161122A
(請Leon測試12/9)</t>
  </si>
  <si>
    <t>ECS-8000-2R700Q
(S/N:S16A820015-020)</t>
  </si>
  <si>
    <t>PO-20161122A-1</t>
  </si>
  <si>
    <t>ED38325317</t>
  </si>
  <si>
    <t>PO-20161122A</t>
  </si>
  <si>
    <t>EF64233095</t>
  </si>
  <si>
    <t>DHL For PI-20161122A</t>
  </si>
  <si>
    <t>EF36222105</t>
  </si>
  <si>
    <t>16/0654M</t>
  </si>
  <si>
    <t>PI-20161122B</t>
  </si>
  <si>
    <t>PO-20161122B</t>
  </si>
  <si>
    <t>EF65101579</t>
  </si>
  <si>
    <t>CX052230UY9E</t>
  </si>
  <si>
    <t>P161123NP0</t>
  </si>
  <si>
    <t>PI-20161123A</t>
  </si>
  <si>
    <t>Sierra MC7304</t>
  </si>
  <si>
    <t>UNiGens DHL</t>
  </si>
  <si>
    <t>PO-20161123A</t>
  </si>
  <si>
    <t>ED48578859</t>
  </si>
  <si>
    <t>BTC013-70-250-1</t>
  </si>
  <si>
    <t>見工單MO-20160517B</t>
  </si>
  <si>
    <t>RFA-EU-C55-U-B70</t>
  </si>
  <si>
    <t>RFA-01-GPS-12-A1-3M</t>
  </si>
  <si>
    <t>見工單MPO-20161123A</t>
  </si>
  <si>
    <t>MPO-20161123A</t>
  </si>
  <si>
    <t>PI-20161125A</t>
  </si>
  <si>
    <t>TNT Express 182056</t>
  </si>
  <si>
    <t>PO-20161125A</t>
  </si>
  <si>
    <t>EF48040964</t>
  </si>
  <si>
    <t>CG05376A6152</t>
  </si>
  <si>
    <t>PO-20161125A-1</t>
  </si>
  <si>
    <t>EG07747624</t>
  </si>
  <si>
    <t>PI-20161128A</t>
  </si>
  <si>
    <t>PO-20161128A-4</t>
  </si>
  <si>
    <t>EF65101901</t>
  </si>
  <si>
    <t>PO-20161128A-1</t>
  </si>
  <si>
    <t>EF65102152</t>
  </si>
  <si>
    <t>PO-20161128A-3</t>
  </si>
  <si>
    <t>EF65102255</t>
  </si>
  <si>
    <t>PO-20161128A-2</t>
  </si>
  <si>
    <t>EF65102024</t>
  </si>
  <si>
    <t>TJS_PO-160929-3</t>
  </si>
  <si>
    <t>PI-20161129A</t>
  </si>
  <si>
    <t>PO-20161129A</t>
  </si>
  <si>
    <t>EF81453636</t>
  </si>
  <si>
    <t>ED52606451</t>
  </si>
  <si>
    <t>對方敲定@31.74</t>
  </si>
  <si>
    <t>12/13掛號寄出</t>
  </si>
  <si>
    <t>同V682</t>
  </si>
  <si>
    <t>同Z662</t>
  </si>
  <si>
    <t>PI-20161129B-1</t>
  </si>
  <si>
    <t xml:space="preserve">Moxa C168H/PCI </t>
  </si>
  <si>
    <t>PO-20161129B-1</t>
  </si>
  <si>
    <t>EF81453745</t>
  </si>
  <si>
    <t>CX052230WKQ2</t>
  </si>
  <si>
    <t>同V664</t>
  </si>
  <si>
    <t>PI-20161129B-3</t>
  </si>
  <si>
    <t>合計在20161129B-1中</t>
  </si>
  <si>
    <t>EF81453649</t>
  </si>
  <si>
    <t>CX052230VZP4</t>
  </si>
  <si>
    <t>同V666</t>
  </si>
  <si>
    <t>RMA-20161130A</t>
  </si>
  <si>
    <t>NPORT5650-8-DT
(TAFFE1032548)</t>
  </si>
  <si>
    <t>NPORT5650-8-DT
(TAFEE1003384)</t>
  </si>
  <si>
    <t>PI-20161130A</t>
  </si>
  <si>
    <t>VECOW PE-2002</t>
  </si>
  <si>
    <t>PO-20161130A</t>
  </si>
  <si>
    <t>ED38325321</t>
  </si>
  <si>
    <t>DHL Freight For PI-20161130A</t>
  </si>
  <si>
    <t>P161201NP0</t>
  </si>
  <si>
    <t>PI-20161201A</t>
  </si>
  <si>
    <t>PO-20161201A</t>
  </si>
  <si>
    <t>ED51952028</t>
  </si>
  <si>
    <t>CX052230WBG0</t>
  </si>
  <si>
    <t>PO-P-I160136</t>
  </si>
  <si>
    <t>PI-20161201B</t>
  </si>
  <si>
    <r>
      <rPr>
        <sz val="10"/>
        <color rgb="FF000000"/>
        <rFont val="arial,sans,sans-serif"/>
      </rPr>
      <t xml:space="preserve">2016/12/7
</t>
    </r>
    <r>
      <rPr>
        <sz val="10"/>
        <color rgb="FF000000"/>
        <rFont val="arial,sans,sans-serif"/>
      </rPr>
      <t>2016/12/8</t>
    </r>
  </si>
  <si>
    <t>PO-20161201B</t>
  </si>
  <si>
    <t>2016/12/5
2016/12/07</t>
  </si>
  <si>
    <r>
      <rPr>
        <sz val="10"/>
        <color rgb="FF000000"/>
        <rFont val="arial,sans,sans-serif"/>
      </rPr>
      <t xml:space="preserve">EF81453549
</t>
    </r>
    <r>
      <rPr>
        <sz val="10"/>
        <color rgb="FF000000"/>
        <rFont val="arial,sans,sans-serif"/>
      </rPr>
      <t>EF81453581</t>
    </r>
  </si>
  <si>
    <r>
      <rPr>
        <sz val="10"/>
        <color rgb="FF000000"/>
        <rFont val="arial,sans,sans-serif"/>
      </rPr>
      <t xml:space="preserve">2745(1台)
</t>
    </r>
    <r>
      <rPr>
        <sz val="10"/>
        <color rgb="FF000000"/>
        <rFont val="arial,sans,sans-serif"/>
      </rPr>
      <t>2745(1台)</t>
    </r>
  </si>
  <si>
    <t>CG05376A7062</t>
  </si>
  <si>
    <t>PI-20161206A</t>
  </si>
  <si>
    <t>IDS-3219G-35SXA1E</t>
  </si>
  <si>
    <t>PO-20161206A-2</t>
  </si>
  <si>
    <t>EF65102345</t>
  </si>
  <si>
    <t>CX052230X065</t>
  </si>
  <si>
    <t>PO-20161206A-1</t>
  </si>
  <si>
    <t>EF65103355</t>
  </si>
  <si>
    <t>1757000105G</t>
  </si>
  <si>
    <t>330-16120218</t>
  </si>
  <si>
    <t>PI-20161206B</t>
  </si>
  <si>
    <t>PO-20161206B</t>
  </si>
  <si>
    <t>EF81453686</t>
  </si>
  <si>
    <t>ED52606450</t>
  </si>
  <si>
    <t>12/9央行@31.86</t>
  </si>
  <si>
    <t>20161205-AA</t>
  </si>
  <si>
    <t>PI-20161206C
(chloe換標籤)</t>
  </si>
  <si>
    <t>PO-20161206C</t>
  </si>
  <si>
    <t>ED39025438</t>
  </si>
  <si>
    <t>ED52606453</t>
  </si>
  <si>
    <t>12/21台銀@32.005</t>
  </si>
  <si>
    <t>12/22隨貨</t>
  </si>
  <si>
    <t>RMA-20161207A
(12/9 請Leon 灌新版軟體)</t>
  </si>
  <si>
    <t>Nport W2150A  
TAFDB1052935
12/9 請Leon 灌新版軟體</t>
  </si>
  <si>
    <t>PI-20161207A</t>
  </si>
  <si>
    <t>Freight for PI-20161116A</t>
  </si>
  <si>
    <t>與P641金額並計(PI-20161122A)</t>
  </si>
  <si>
    <t>同V641</t>
  </si>
  <si>
    <t>PI-20161207B</t>
  </si>
  <si>
    <t>PCI-1784U</t>
  </si>
  <si>
    <t>PO-20161207B</t>
  </si>
  <si>
    <t>EF65102896</t>
  </si>
  <si>
    <t>PI-20161212A</t>
  </si>
  <si>
    <t>PO-20161212A</t>
  </si>
  <si>
    <t>EF65102264</t>
  </si>
  <si>
    <t>CX052230WRNS</t>
  </si>
  <si>
    <t>PI-20161213A</t>
  </si>
  <si>
    <t>PO-20161213A</t>
  </si>
  <si>
    <t>EF48041052</t>
  </si>
  <si>
    <t>CG05376B4267</t>
  </si>
  <si>
    <t>PI-20161213B-F</t>
  </si>
  <si>
    <t>Freight for PI-20161201A</t>
  </si>
  <si>
    <t>PI-20161214A</t>
  </si>
  <si>
    <t>EF81453841</t>
  </si>
  <si>
    <t>CF055508766U</t>
  </si>
  <si>
    <t>PI-20161219A</t>
  </si>
  <si>
    <t>PO-20161219A</t>
  </si>
  <si>
    <t>EF65102411</t>
  </si>
  <si>
    <t>同V688</t>
  </si>
  <si>
    <t>PI-20161220B</t>
  </si>
  <si>
    <t>DHL Freight for 2 return ECS-8000-2R700Q</t>
  </si>
  <si>
    <t>P161221NP0</t>
  </si>
  <si>
    <t>PI-20161220C</t>
  </si>
  <si>
    <t>ECS-8000-2R850Q
(S/N:S16A840010-017)</t>
  </si>
  <si>
    <t>PO-20161220C-1</t>
  </si>
  <si>
    <t>ED38325330</t>
  </si>
  <si>
    <t>CX052230XFVB</t>
  </si>
  <si>
    <t>M3S0-8GSSDLPC (Innodisk)</t>
  </si>
  <si>
    <t xml:space="preserve">Innodisk 宜鼎 </t>
  </si>
  <si>
    <t>PO-20161220C-2</t>
  </si>
  <si>
    <t>EF69990058</t>
  </si>
  <si>
    <t>P161215NP0</t>
  </si>
  <si>
    <t>PI-20161215B</t>
  </si>
  <si>
    <t>Nuvo-5006E-PoE (Neousys)
(S/N:G5303969)</t>
  </si>
  <si>
    <t>PO-20161215B-3</t>
  </si>
  <si>
    <t>ED35363066</t>
  </si>
  <si>
    <t>PO-20161215B-1</t>
  </si>
  <si>
    <t>EG02853764</t>
  </si>
  <si>
    <t>PO-20161215B-2</t>
  </si>
  <si>
    <t>EF64240463</t>
  </si>
  <si>
    <t>MezIO-D220 (Neousys)
(請Neousys 組裝)</t>
  </si>
  <si>
    <t>PI-20161229A-F</t>
  </si>
  <si>
    <t>Freight For PI-20161215B &amp; PI-20161220C</t>
  </si>
  <si>
    <t>MR22211269</t>
  </si>
  <si>
    <t xml:space="preserve">                                            </t>
  </si>
  <si>
    <t>SRRC扣抵</t>
  </si>
  <si>
    <t>訂單號</t>
  </si>
  <si>
    <t>客戶</t>
  </si>
  <si>
    <t>型號</t>
  </si>
  <si>
    <t>數量</t>
  </si>
  <si>
    <t>原始單價</t>
  </si>
  <si>
    <t>特殊專案價</t>
  </si>
  <si>
    <t>扣抵金額</t>
  </si>
  <si>
    <t>扣抵金額(含稅)</t>
  </si>
  <si>
    <t>PO-20150626A-1</t>
  </si>
  <si>
    <t>MOXA AWK-4121-EU-T V1.1</t>
  </si>
  <si>
    <t>MOXA AWK-1127-EU V1.0.1</t>
  </si>
  <si>
    <t>MOXA AWK-3121-EU V1.2.1</t>
  </si>
  <si>
    <t>PO-20150626A-2</t>
  </si>
  <si>
    <t>NPort W2150A-EU Band 
 w/ Cn Adapter V1.0</t>
  </si>
  <si>
    <t>PO-20150626A-3</t>
  </si>
  <si>
    <t>PO-20150817A</t>
  </si>
  <si>
    <t>Techjoa
 科技國</t>
  </si>
  <si>
    <t>PO-20150917A</t>
  </si>
  <si>
    <t>Cervoz</t>
  </si>
  <si>
    <t>"Rusen
 樂瑄"</t>
  </si>
  <si>
    <t>PO-20151013A</t>
  </si>
  <si>
    <t>Oncell G3111 w/ EU adapter</t>
  </si>
  <si>
    <t>PO-20151102A-1</t>
  </si>
  <si>
    <t>Pharms
 芳慎企業</t>
  </si>
  <si>
    <t>PO-20151105A</t>
  </si>
  <si>
    <t>PO-20151109A</t>
  </si>
  <si>
    <t>Uport 1150</t>
  </si>
  <si>
    <t>PO-20151127C</t>
  </si>
  <si>
    <t>PO-20151130A</t>
  </si>
  <si>
    <t>PO-20151207A</t>
  </si>
  <si>
    <t>PO-20151209C</t>
  </si>
  <si>
    <t>PI-20151214A</t>
  </si>
  <si>
    <t>Nport 5130A w/EU adapter</t>
  </si>
  <si>
    <t>NEXCOM
 新漢</t>
  </si>
  <si>
    <t>PO-20160704A-2</t>
  </si>
  <si>
    <t>PO-2016922B-1</t>
  </si>
  <si>
    <t>屏榮食品</t>
  </si>
  <si>
    <t>PI-20141231A</t>
  </si>
  <si>
    <t>LPC-1505-525</t>
  </si>
  <si>
    <t>Forster/Lynn</t>
  </si>
  <si>
    <t>Avalue</t>
  </si>
  <si>
    <t>avalue</t>
  </si>
  <si>
    <t>PO-20141231A</t>
  </si>
  <si>
    <t>兆豐國際商業銀行
帳號: 06909-003785</t>
  </si>
  <si>
    <t>NQ89356955</t>
  </si>
  <si>
    <t>NN51829310</t>
  </si>
  <si>
    <t>2/13/2015掛號寄出</t>
  </si>
  <si>
    <t>PI-20150119A</t>
  </si>
  <si>
    <t>PO-20150119A</t>
  </si>
  <si>
    <t>NQ89356960</t>
  </si>
  <si>
    <t>NN51829311</t>
  </si>
  <si>
    <t>2/14/2015掛號寄出</t>
  </si>
  <si>
    <t>PI-20150216B</t>
  </si>
  <si>
    <t>LPC-1503</t>
  </si>
  <si>
    <t>avalue
安勤</t>
  </si>
  <si>
    <t>NQ89356970</t>
  </si>
  <si>
    <t>PG51988801</t>
  </si>
  <si>
    <t>2015/3/4寄出掛號</t>
  </si>
  <si>
    <t>PI-20150317D</t>
  </si>
  <si>
    <t>PO-20150317D</t>
  </si>
  <si>
    <t>"兆豐國際商業銀行
帳號: 06909-003785"</t>
  </si>
  <si>
    <t>QC89356893</t>
  </si>
  <si>
    <t>QA52291714</t>
  </si>
  <si>
    <t>5/25 掛號</t>
  </si>
  <si>
    <t>PI-20150324D</t>
  </si>
  <si>
    <t>CIS-2PM120THT032GS</t>
  </si>
  <si>
    <t>unigens-永和office</t>
  </si>
  <si>
    <t>Z</t>
  </si>
  <si>
    <t>PO-20150324D</t>
  </si>
  <si>
    <t>兆豐新店-活存021798
04609021798
VAT 號碼: 28226508</t>
  </si>
  <si>
    <t>QA36248906</t>
  </si>
  <si>
    <t>QA52291703</t>
  </si>
  <si>
    <t>5/4央行 30.69</t>
  </si>
  <si>
    <t>5/6隨貨寄出</t>
  </si>
  <si>
    <t>PI-20150401D</t>
  </si>
  <si>
    <t>PO-20150401D</t>
  </si>
  <si>
    <t>PJ89356948</t>
  </si>
  <si>
    <t>PG51988863</t>
  </si>
  <si>
    <t>2015/04/22掛號寄出</t>
  </si>
  <si>
    <t>飛偉</t>
  </si>
  <si>
    <t>借測
(預計6/5歸還)</t>
  </si>
  <si>
    <t xml:space="preserve">PI-20150420A </t>
  </si>
  <si>
    <t>M62M9x8-100 (Opt8D)</t>
  </si>
  <si>
    <t>Adaptek Automation</t>
  </si>
  <si>
    <t>PI-20150710B</t>
  </si>
  <si>
    <t xml:space="preserve">TNT A/C: 000081207
</t>
  </si>
  <si>
    <t>axiomtek 艾訊</t>
  </si>
  <si>
    <t>PO-20150710B</t>
  </si>
  <si>
    <t>"5355717-703856
(艾訊合庫)"</t>
  </si>
  <si>
    <t>QW84468648</t>
  </si>
  <si>
    <t>CR/ /04/376/R8971</t>
  </si>
  <si>
    <t>E38C120104:SHB120VGGA-RC w/PCIe x1 BIOS, 更改BIOS x4 Bios</t>
  </si>
  <si>
    <t xml:space="preserve">TNT A/C: 000081207
</t>
  </si>
  <si>
    <t>PI-20150226A</t>
  </si>
  <si>
    <t xml:space="preserve"> TNT express 000107240 </t>
  </si>
  <si>
    <t>PO-20150226A</t>
  </si>
  <si>
    <t>"合作金庫
5355-665-004610"</t>
  </si>
  <si>
    <t>PJ84405580</t>
  </si>
  <si>
    <t>CR04376H6568</t>
  </si>
  <si>
    <t>NPort 5110</t>
  </si>
  <si>
    <t>PI-20150226A-1</t>
  </si>
  <si>
    <t>PO-20150226A-1</t>
  </si>
  <si>
    <t>PJ84406455</t>
  </si>
  <si>
    <t>CR04376K9458</t>
  </si>
  <si>
    <t>PI-20151013A</t>
  </si>
  <si>
    <t>RQ84406773</t>
  </si>
  <si>
    <t>CR04376X5716</t>
  </si>
  <si>
    <t>PI-20151109A</t>
  </si>
  <si>
    <t>SJ84405731</t>
  </si>
  <si>
    <t>CR 04376CE652</t>
  </si>
  <si>
    <t>PI-20151209A</t>
  </si>
  <si>
    <t>Uport-1150i</t>
  </si>
  <si>
    <t>PO-20151209A</t>
  </si>
  <si>
    <t>SJ84406771</t>
  </si>
  <si>
    <t>CG 043761R040</t>
  </si>
  <si>
    <t>同X452</t>
  </si>
  <si>
    <t xml:space="preserve">Uport 1450 </t>
  </si>
  <si>
    <t>PO-20151214A</t>
  </si>
  <si>
    <t>SJ84406918</t>
  </si>
  <si>
    <t>Agailtech
創捷國際科技</t>
  </si>
  <si>
    <t>PI-20141222D</t>
  </si>
  <si>
    <t>PCI-1710UL-DE</t>
  </si>
  <si>
    <t>業務親送</t>
  </si>
  <si>
    <t>advantech</t>
  </si>
  <si>
    <t>PO-20141222D</t>
  </si>
  <si>
    <t>NQ67755983</t>
  </si>
  <si>
    <t>NN 51829250</t>
  </si>
  <si>
    <t>發票隨貨出(業務親送)</t>
  </si>
  <si>
    <t>Applied Industrial Automation</t>
  </si>
  <si>
    <t>PI-20141120C</t>
  </si>
  <si>
    <t>NPort 5650-8</t>
  </si>
  <si>
    <t>DHL: 956287207</t>
  </si>
  <si>
    <t>PO-20141120C</t>
  </si>
  <si>
    <t>DC05495817</t>
  </si>
  <si>
    <t>CX04223015HK</t>
  </si>
  <si>
    <t>PI-20150115D</t>
  </si>
  <si>
    <t>Nport 5232 w/ European adapter</t>
  </si>
  <si>
    <t>FETA FREIGHT SYSTEMS (TAIWAN)</t>
  </si>
  <si>
    <t>PO-20150115D</t>
  </si>
  <si>
    <t>NQ84405756</t>
  </si>
  <si>
    <t>CW0447000934</t>
  </si>
  <si>
    <t>NQ84405860</t>
  </si>
  <si>
    <t>CX04223026JS</t>
  </si>
  <si>
    <t>PI-20150115E</t>
  </si>
  <si>
    <t>MB994SP-4SB-1</t>
  </si>
  <si>
    <t>Cremax 中銨</t>
  </si>
  <si>
    <t>PO-20150115E</t>
  </si>
  <si>
    <t>國泰世華 二重分行
070-03-7009227</t>
  </si>
  <si>
    <t>NN34842440</t>
  </si>
  <si>
    <t>MB123SK-1</t>
  </si>
  <si>
    <t>兩品項發票並一張</t>
  </si>
  <si>
    <t>PI-20150126A</t>
  </si>
  <si>
    <t>Nport 5232</t>
  </si>
  <si>
    <t>PO-20150126A</t>
  </si>
  <si>
    <t>NQ84405900</t>
  </si>
  <si>
    <t>CX0422302DZ0</t>
  </si>
  <si>
    <t>PI-20150209A</t>
  </si>
  <si>
    <t>PO-20150209A</t>
  </si>
  <si>
    <t>NQ84406678</t>
  </si>
  <si>
    <t>CX0422303JJB</t>
  </si>
  <si>
    <t>PI-20150224D</t>
  </si>
  <si>
    <t>MDR-40-24</t>
  </si>
  <si>
    <t>PO-20150224D-1</t>
  </si>
  <si>
    <t>PJ84405579</t>
  </si>
  <si>
    <t>CX0422304M9U</t>
  </si>
  <si>
    <t>EDS-205A</t>
  </si>
  <si>
    <t>PO-20150224D-2</t>
  </si>
  <si>
    <t>PG34932766</t>
  </si>
  <si>
    <t>PI-20150318A</t>
  </si>
  <si>
    <t>CP-118EL-A w/o cable</t>
  </si>
  <si>
    <t>PO-20150318A</t>
  </si>
  <si>
    <t>PJ84406559</t>
  </si>
  <si>
    <t>CX04223071BP</t>
  </si>
  <si>
    <t>借出歸還
(3/12收到，轉交Vic)</t>
  </si>
  <si>
    <t>Evaluation
PI-20150108C</t>
  </si>
  <si>
    <t xml:space="preserve">ioLogik R1240 </t>
  </si>
  <si>
    <t>Forster/Michelle</t>
  </si>
  <si>
    <t>亞郁自取</t>
  </si>
  <si>
    <t>PO2015011140003</t>
  </si>
  <si>
    <t>PI-20150114B</t>
  </si>
  <si>
    <t>CP-132EL-DB9M</t>
  </si>
  <si>
    <t>PO-20150114B</t>
  </si>
  <si>
    <t>NQ84405879</t>
  </si>
  <si>
    <t>NN51829274</t>
  </si>
  <si>
    <t>(1/28台灣即期買+賣/2@31.22)</t>
  </si>
  <si>
    <t>2015/2/4掛號寄出</t>
  </si>
  <si>
    <t>PO201502030009</t>
  </si>
  <si>
    <t>PI-20150203B</t>
  </si>
  <si>
    <t>NPort-5210 2port device server美規 
adapter</t>
  </si>
  <si>
    <t>PO-20150203B</t>
  </si>
  <si>
    <t>PJ84405455</t>
  </si>
  <si>
    <t>PG51988805(原PG51988800作廢)</t>
  </si>
  <si>
    <t>@31.42</t>
  </si>
  <si>
    <t>2015/3/4掛號寄出--&gt;2015/3/30掛號寄出更新發票</t>
  </si>
  <si>
    <t>PO201503180011</t>
  </si>
  <si>
    <t>PI-20150318C</t>
  </si>
  <si>
    <t xml:space="preserve">Nport-5110 </t>
  </si>
  <si>
    <t>PO-20150318C</t>
  </si>
  <si>
    <t>PJ84406506</t>
  </si>
  <si>
    <t>PG51988850</t>
  </si>
  <si>
    <t>(3/30台銀即期買+賣/2 @31.215)</t>
  </si>
  <si>
    <t>2015/4/8掛號寄出</t>
  </si>
  <si>
    <t>PO201504090017</t>
  </si>
  <si>
    <t>PI-20150409A</t>
  </si>
  <si>
    <t>MISC  miscellaneous (1701040110010)</t>
  </si>
  <si>
    <t>PO-20150409A</t>
  </si>
  <si>
    <t>PJ84406662</t>
  </si>
  <si>
    <t>PG51988861</t>
  </si>
  <si>
    <t>(4/16台銀即期買+賣/2 @31.18)</t>
  </si>
  <si>
    <t xml:space="preserve">ioLogik E1240 </t>
  </si>
  <si>
    <t xml:space="preserve">PWR-12042-US-S2 </t>
  </si>
  <si>
    <t>PG51988862</t>
  </si>
  <si>
    <t>PO201504240023</t>
  </si>
  <si>
    <t>PI-20150423D</t>
  </si>
  <si>
    <t>Nport-5210 w/美規</t>
  </si>
  <si>
    <t>PO-20150423D</t>
  </si>
  <si>
    <t>QC84406507</t>
  </si>
  <si>
    <t>QA52291757</t>
  </si>
  <si>
    <t>6/2 30.89</t>
  </si>
  <si>
    <t>6/3 掛號寄出</t>
  </si>
  <si>
    <t>PO201505040005</t>
  </si>
  <si>
    <t>PI-20150504A</t>
  </si>
  <si>
    <t>PO-20150504A</t>
  </si>
  <si>
    <t>QC84406505</t>
  </si>
  <si>
    <t>QA52291751</t>
  </si>
  <si>
    <t>5/25 台銀30.495</t>
  </si>
  <si>
    <t>PO201505270010</t>
  </si>
  <si>
    <t>PI-20150527A</t>
  </si>
  <si>
    <t>IMC-101-M-ST</t>
  </si>
  <si>
    <t>Michelle/Forster</t>
  </si>
  <si>
    <t>PO-20150527A</t>
  </si>
  <si>
    <t>QC84406561</t>
  </si>
  <si>
    <t>QA52291761</t>
  </si>
  <si>
    <t>6/9掛號</t>
  </si>
  <si>
    <t>PO201506160018</t>
  </si>
  <si>
    <t>PI-20150616A-2</t>
  </si>
  <si>
    <t>Nport-5110 w/US adaptor</t>
  </si>
  <si>
    <t>PO-20150616A</t>
  </si>
  <si>
    <t>QC84406869</t>
  </si>
  <si>
    <t>QA52291760</t>
  </si>
  <si>
    <t>6/26 台銀30.9</t>
  </si>
  <si>
    <t>6/30掛號</t>
  </si>
  <si>
    <t>PO-201509140007</t>
  </si>
  <si>
    <t>PI-20150914A</t>
  </si>
  <si>
    <t>Uport 1110</t>
  </si>
  <si>
    <t>michelle/forster</t>
  </si>
  <si>
    <t>PO-20150914A</t>
  </si>
  <si>
    <t>RQ84406578</t>
  </si>
  <si>
    <t>RN52582152</t>
  </si>
  <si>
    <t>台銀10/9 @32.58</t>
  </si>
  <si>
    <t>10/12掛號</t>
  </si>
  <si>
    <t>PO20150050017</t>
  </si>
  <si>
    <t>PI-20151005A</t>
  </si>
  <si>
    <t>UPort 1110 1埠USB轉RS-232串列轉接器</t>
  </si>
  <si>
    <t>PO-20151005A</t>
  </si>
  <si>
    <t>RQ84406645</t>
  </si>
  <si>
    <t>RN52582155</t>
  </si>
  <si>
    <t>台銀10/14@32.48</t>
  </si>
  <si>
    <t>10/15掛號</t>
  </si>
  <si>
    <t>PO201510220015</t>
  </si>
  <si>
    <t>PI-20151022B</t>
  </si>
  <si>
    <t>MOXA UPort 1150I*2</t>
  </si>
  <si>
    <t>PO-20151022B</t>
  </si>
  <si>
    <t>RQ84406859</t>
  </si>
  <si>
    <t>RN52582159</t>
  </si>
  <si>
    <t>10/28 匯率 32.435</t>
  </si>
  <si>
    <t>10/29掛號</t>
  </si>
  <si>
    <t>PO201510260015</t>
  </si>
  <si>
    <t>PI-20151026A</t>
  </si>
  <si>
    <t>PO-20151026A</t>
  </si>
  <si>
    <t>RQ84406860</t>
  </si>
  <si>
    <t>RN52582160</t>
  </si>
  <si>
    <t>PO201511040025</t>
  </si>
  <si>
    <t>PI-20151104A</t>
  </si>
  <si>
    <t>PO-20151104A</t>
  </si>
  <si>
    <t>SJ84405595</t>
  </si>
  <si>
    <t>SG52876950</t>
  </si>
  <si>
    <t>11/10掛號</t>
  </si>
  <si>
    <t>AVERS LLC</t>
  </si>
  <si>
    <t xml:space="preserve"> No23112015</t>
  </si>
  <si>
    <t>PI-20151123A</t>
  </si>
  <si>
    <t>EL100T</t>
  </si>
  <si>
    <t>ETHERWAN
益網</t>
  </si>
  <si>
    <t>PO-20151123A</t>
  </si>
  <si>
    <r>
      <rPr>
        <b/>
        <sz val="10"/>
        <color theme="1"/>
        <rFont val="Arial"/>
        <family val="2"/>
      </rPr>
      <t>兆豐國際商業銀行</t>
    </r>
    <r>
      <rPr>
        <sz val="10"/>
        <color theme="1"/>
        <rFont val="Arial"/>
        <family val="2"/>
      </rPr>
      <t xml:space="preserve">
046-09-01601-8</t>
    </r>
  </si>
  <si>
    <t>SJ72871884</t>
  </si>
  <si>
    <t>CX 042230RRQ0
提單:5814734144</t>
  </si>
  <si>
    <t>Freight 提單:5814734144</t>
  </si>
  <si>
    <t>DHL(洋基通運)</t>
  </si>
  <si>
    <t>匯豐(台灣)商銀台北分行(081)
10081620882011
(10081+戎克帳號620882011)</t>
  </si>
  <si>
    <t>TPE790370</t>
  </si>
  <si>
    <t>同X391</t>
  </si>
  <si>
    <t>PI-20150416B</t>
  </si>
  <si>
    <t>CP-102E</t>
  </si>
  <si>
    <t>DHL 956287207</t>
  </si>
  <si>
    <t>PO-20150416B</t>
  </si>
  <si>
    <t>PJ84406871</t>
  </si>
  <si>
    <t>CX0422308P05</t>
  </si>
  <si>
    <t>CP-104EL-DB9M w/ Cable
(CBL-M44M9X4-50)</t>
  </si>
  <si>
    <t>PI-20150430B</t>
  </si>
  <si>
    <t>PO-20150430B</t>
  </si>
  <si>
    <t>QC84405565</t>
  </si>
  <si>
    <t>CX0422309FFR</t>
  </si>
  <si>
    <t>OnCell G2111</t>
  </si>
  <si>
    <t>Axiomtek
艾訊</t>
  </si>
  <si>
    <t>PI-20150304B</t>
  </si>
  <si>
    <t>C168H/PCI</t>
  </si>
  <si>
    <t>PO-20150304B</t>
  </si>
  <si>
    <t>PJ84405614</t>
  </si>
  <si>
    <t>PG51988808</t>
  </si>
  <si>
    <t>@31.45</t>
  </si>
  <si>
    <t>2015/3/10掛號寄出</t>
  </si>
  <si>
    <t>CBL-M62M9x8-100 (OPT 8D)</t>
  </si>
  <si>
    <t>PI-20150310C</t>
  </si>
  <si>
    <t>PO-20150310C</t>
  </si>
  <si>
    <t>PJ84405742</t>
  </si>
  <si>
    <t>PG51988819</t>
  </si>
  <si>
    <t>@31.65</t>
  </si>
  <si>
    <t>2015/3/19寄出掛號</t>
  </si>
  <si>
    <t>CBL-M62M9x8-100</t>
  </si>
  <si>
    <t>PI-20150429A</t>
  </si>
  <si>
    <t>PO-20150429A</t>
  </si>
  <si>
    <t>QC84405636</t>
  </si>
  <si>
    <t>QA52291710</t>
  </si>
  <si>
    <t>@30.68</t>
  </si>
  <si>
    <t>5/15隨貨寄出</t>
  </si>
  <si>
    <t>北與南</t>
  </si>
  <si>
    <t>常備料庫存</t>
  </si>
  <si>
    <t>QA36708050</t>
  </si>
  <si>
    <t>AyC</t>
  </si>
  <si>
    <t>PI-20151016B</t>
  </si>
  <si>
    <t>Nport 5210 w/ European adapter</t>
  </si>
  <si>
    <t>Hellmann Worldwide Logistics</t>
  </si>
  <si>
    <t>PO-20151016B</t>
  </si>
  <si>
    <t>RQ84406774</t>
  </si>
  <si>
    <t>CW0472838798</t>
  </si>
  <si>
    <t>PI-20141219A</t>
  </si>
  <si>
    <t xml:space="preserve">OPC-5808T-T1 </t>
  </si>
  <si>
    <t>aplex</t>
  </si>
  <si>
    <t>PO-20141219A</t>
  </si>
  <si>
    <t xml:space="preserve"> 玉山銀行
0808-940-001638</t>
  </si>
  <si>
    <t>NN35442213</t>
  </si>
  <si>
    <t>CG04376F5418</t>
  </si>
  <si>
    <t>PI-20150202C</t>
  </si>
  <si>
    <t>PO-20150202C</t>
  </si>
  <si>
    <t>NN35442264</t>
  </si>
  <si>
    <t>CG04376G5661</t>
  </si>
  <si>
    <t>PI-20150224C</t>
  </si>
  <si>
    <t>PO-20150224C</t>
  </si>
  <si>
    <t>PG35464724</t>
  </si>
  <si>
    <t>CG04376K2830</t>
  </si>
  <si>
    <t>PO29560</t>
  </si>
  <si>
    <t>PI-20141212B</t>
  </si>
  <si>
    <t>PCI-1730U-BE</t>
  </si>
  <si>
    <t>PO-20141212B</t>
  </si>
  <si>
    <t>NQ67756275</t>
  </si>
  <si>
    <t>NN51829252</t>
  </si>
  <si>
    <t>2015/1/13宅急便寄出</t>
  </si>
  <si>
    <t>PO29569</t>
  </si>
  <si>
    <t>PI-20141212D-1</t>
  </si>
  <si>
    <t>CB-134I</t>
  </si>
  <si>
    <t>PO- 20141212D-1</t>
  </si>
  <si>
    <t>NQ84405835</t>
  </si>
  <si>
    <t>NN51829268</t>
  </si>
  <si>
    <t>(1/26兆豐即期買+賣/2 @31.28)</t>
  </si>
  <si>
    <t>與PO29770隨貨出貨</t>
  </si>
  <si>
    <t>PI-20141212D-2</t>
  </si>
  <si>
    <t>PO- 20141212D-2</t>
  </si>
  <si>
    <t>PJ84405793</t>
  </si>
  <si>
    <t>PG51988821</t>
  </si>
  <si>
    <t>(3/23兆豐即期買+賣/2 @31.44)</t>
  </si>
  <si>
    <t>2015/3/24寄出掛號</t>
  </si>
  <si>
    <t>PI-20141212D-3</t>
  </si>
  <si>
    <t>PO- 20141212D-3</t>
  </si>
  <si>
    <t>PJ84405896</t>
  </si>
  <si>
    <t>PG51988831</t>
  </si>
  <si>
    <t>(3/30兆豐即期買+賣/2 @31.30)</t>
  </si>
  <si>
    <t>2015/4/1隨貨寄出</t>
  </si>
  <si>
    <t>PO29744</t>
  </si>
  <si>
    <t>PI-20150106D</t>
  </si>
  <si>
    <t>CP-118EL-A</t>
  </si>
  <si>
    <t>PO-20150106D</t>
  </si>
  <si>
    <t>NQ84405730</t>
  </si>
  <si>
    <t>NN51829262</t>
  </si>
  <si>
    <t>(1/20兆豐買+賣/2)@31.64</t>
  </si>
  <si>
    <t>2015/1/20隨PO29814寄出</t>
  </si>
  <si>
    <t>PO29770</t>
  </si>
  <si>
    <t>PI-20150109A</t>
  </si>
  <si>
    <t>PO-20150109A</t>
  </si>
  <si>
    <t>NQ67756408</t>
  </si>
  <si>
    <t>NN51829271</t>
  </si>
  <si>
    <t>PO29782</t>
  </si>
  <si>
    <t>PI-20150109B</t>
  </si>
  <si>
    <t>C104H/PCI(DB9</t>
  </si>
  <si>
    <t>PO-20150109B</t>
  </si>
  <si>
    <t>NQ84405731</t>
  </si>
  <si>
    <t>NN51829259</t>
  </si>
  <si>
    <t>(1/19兆豐買+賣/2)@31.47</t>
  </si>
  <si>
    <t>PO29784</t>
  </si>
  <si>
    <t>PI-20150113A</t>
  </si>
  <si>
    <t>ADAM-6017-CE</t>
  </si>
  <si>
    <t>PO-20150113A</t>
  </si>
  <si>
    <t>NQ67756373</t>
  </si>
  <si>
    <t>NN51829255此張作廢
因此筆調漲NT47--NN51829256</t>
  </si>
  <si>
    <t>2015/1/15業務親送</t>
  </si>
  <si>
    <t>發票合併一張(PI-20150113A)</t>
  </si>
  <si>
    <t>NN51829255此張作廢
改NN51829256</t>
  </si>
  <si>
    <t>發票併張(20150113A)</t>
  </si>
  <si>
    <t>PI-20150113A-2</t>
  </si>
  <si>
    <t>USB-4750-AE</t>
  </si>
  <si>
    <t>NN51829263</t>
  </si>
  <si>
    <t>2015/1/20隨貨寄出</t>
  </si>
  <si>
    <t>PO29817</t>
  </si>
  <si>
    <t>PI-20150115A</t>
  </si>
  <si>
    <t>PO-20150115A</t>
  </si>
  <si>
    <t>NQ84405833</t>
  </si>
  <si>
    <t>NN51829270</t>
  </si>
  <si>
    <t>PO29826</t>
  </si>
  <si>
    <t>PI-20150115B</t>
  </si>
  <si>
    <t>EKI-2741SX-AE</t>
  </si>
  <si>
    <t>PO-20150115B</t>
  </si>
  <si>
    <t>NQ67758776</t>
  </si>
  <si>
    <t>NN51829306</t>
  </si>
  <si>
    <t>2/11/2015掛號寄出</t>
  </si>
  <si>
    <t>PO29814</t>
  </si>
  <si>
    <t>PI-20150115C</t>
  </si>
  <si>
    <t>ADAM-4055-BE</t>
  </si>
  <si>
    <t>PO-20150115C</t>
  </si>
  <si>
    <t>NQ67756372</t>
  </si>
  <si>
    <t>NN51829260</t>
  </si>
  <si>
    <t>2015/1/20宅配寄出</t>
  </si>
  <si>
    <t>USB-4702-AE</t>
  </si>
  <si>
    <t>發票併張(PI-20150115C)</t>
  </si>
  <si>
    <t>PO29863</t>
  </si>
  <si>
    <t>PI-20150120B</t>
  </si>
  <si>
    <t>CP-104UL-DB9M</t>
  </si>
  <si>
    <t>PO-20150120B</t>
  </si>
  <si>
    <t>NQ84405834</t>
  </si>
  <si>
    <t>NN51829269</t>
  </si>
  <si>
    <t>PO29905</t>
  </si>
  <si>
    <t>PI-20150122A</t>
  </si>
  <si>
    <t>PO-20150122A</t>
  </si>
  <si>
    <t>NQ67756202</t>
  </si>
  <si>
    <t>NN51829272</t>
  </si>
  <si>
    <t>發票併張(PI-20150122A)</t>
  </si>
  <si>
    <t>發票併張(NN51829272)</t>
  </si>
  <si>
    <t>ADAM-4018+-BE</t>
  </si>
  <si>
    <t>ADAM-5000/TCP-BE</t>
  </si>
  <si>
    <t>ADAM-5017H-BE</t>
  </si>
  <si>
    <t>PO29913</t>
  </si>
  <si>
    <t>PI-20150122B</t>
  </si>
  <si>
    <t>PO-20150122B</t>
  </si>
  <si>
    <t>NQ84406450</t>
  </si>
  <si>
    <t>NN51829300</t>
  </si>
  <si>
    <t>(2/2/2015兆豐即期買+賣/2=@31.58)</t>
  </si>
  <si>
    <t>PO29923-R</t>
  </si>
  <si>
    <t>PI-20150126C</t>
  </si>
  <si>
    <t>PO-20150126C</t>
  </si>
  <si>
    <t>NQ67758683</t>
  </si>
  <si>
    <t>NN51829302</t>
  </si>
  <si>
    <t>2015/2/3隨貨寄出</t>
  </si>
  <si>
    <t>5013l</t>
  </si>
  <si>
    <t>PO30144</t>
  </si>
  <si>
    <t>PI-20150211A</t>
  </si>
  <si>
    <t>PO-20150211A</t>
  </si>
  <si>
    <t>NQ67758800</t>
  </si>
  <si>
    <t>NN51829313</t>
  </si>
  <si>
    <t>2/24/2015隨貨寄出</t>
  </si>
  <si>
    <t>PO30154</t>
  </si>
  <si>
    <t>PI-20150212A</t>
  </si>
  <si>
    <t>PO-20150212A</t>
  </si>
  <si>
    <t>PJ67756372</t>
  </si>
  <si>
    <t>PG51988815</t>
  </si>
  <si>
    <t>2015/3/17隨或寄出</t>
  </si>
  <si>
    <t>PO30179</t>
  </si>
  <si>
    <t>PI-20150216A</t>
  </si>
  <si>
    <t>PO-20150216A</t>
  </si>
  <si>
    <t>PJ84405602</t>
  </si>
  <si>
    <t>PG51988809</t>
  </si>
  <si>
    <t>(3/6兆豐買+賣/2)@31.43</t>
  </si>
  <si>
    <t>與PO30227隨貨出貨</t>
  </si>
  <si>
    <t>C104H/PCI(DB9)</t>
  </si>
  <si>
    <t>PO30207</t>
  </si>
  <si>
    <t>PI-20150224B</t>
  </si>
  <si>
    <t>PO-20150224B</t>
  </si>
  <si>
    <t>NQ67758833</t>
  </si>
  <si>
    <t>PG51988802</t>
  </si>
  <si>
    <t>2015/3/4隨貨出</t>
  </si>
  <si>
    <t>PO30227</t>
  </si>
  <si>
    <t>PI-20150225A-1</t>
  </si>
  <si>
    <t>PO-20150225A-1</t>
  </si>
  <si>
    <t>PJ67756361</t>
  </si>
  <si>
    <t>PG51988810</t>
  </si>
  <si>
    <t>2015/3/10隨貨出</t>
  </si>
  <si>
    <t>PI-20150225A-2</t>
  </si>
  <si>
    <t>PO-20150225A-2</t>
  </si>
  <si>
    <t>NQ67759286</t>
  </si>
  <si>
    <t>PG51988803</t>
  </si>
  <si>
    <t>ADAM-3011-AE</t>
  </si>
  <si>
    <t>PO30274</t>
  </si>
  <si>
    <t>PI-20150303B</t>
  </si>
  <si>
    <t>1700008461-11  4-port USB cable kit</t>
  </si>
  <si>
    <t>PO-20150303B</t>
  </si>
  <si>
    <t>PJ67756275</t>
  </si>
  <si>
    <t>PG51988811</t>
  </si>
  <si>
    <t>PO30318</t>
  </si>
  <si>
    <t>PI-20150305B</t>
  </si>
  <si>
    <t>PO-20150305B</t>
  </si>
  <si>
    <t>PJ67756274</t>
  </si>
  <si>
    <t>PG51988812</t>
  </si>
  <si>
    <t>ADAM-5060-AE</t>
  </si>
  <si>
    <t>ADAM-5017P-AE</t>
  </si>
  <si>
    <t>ADAM-5000L/TCP-AE</t>
  </si>
  <si>
    <t>PO30350</t>
  </si>
  <si>
    <t>PI-20150309A</t>
  </si>
  <si>
    <t>PO-20150309A</t>
  </si>
  <si>
    <t>PJ67756477</t>
  </si>
  <si>
    <t>PG51988816</t>
  </si>
  <si>
    <t>2015/3/17隨貨寄出</t>
  </si>
  <si>
    <t>PO30411</t>
  </si>
  <si>
    <t>PI-20150311A</t>
  </si>
  <si>
    <t>PO-20150311A</t>
  </si>
  <si>
    <t>PJ84405819</t>
  </si>
  <si>
    <t>PG51988825</t>
  </si>
  <si>
    <t>@31.31</t>
  </si>
  <si>
    <t>2015/3/26寄出掛號</t>
  </si>
  <si>
    <t>PO30416</t>
  </si>
  <si>
    <t>PI-20150312B</t>
  </si>
  <si>
    <t>PO-20150312B</t>
  </si>
  <si>
    <t>PJ67756146</t>
  </si>
  <si>
    <t>PG51988817</t>
  </si>
  <si>
    <t>PO30459</t>
  </si>
  <si>
    <t>PI-20150316B</t>
  </si>
  <si>
    <t>PO-20150316B</t>
  </si>
  <si>
    <t>PJ84405820</t>
  </si>
  <si>
    <t>PG51988826</t>
  </si>
  <si>
    <t>PO30496</t>
  </si>
  <si>
    <t>PI-20150318B</t>
  </si>
  <si>
    <t>CBL-M68M9x8-100 (ehem. OPT8D+)
8 x RS232 cable, DB9 connector</t>
  </si>
  <si>
    <t>PO-20150318B-1</t>
  </si>
  <si>
    <t>PJ51988832</t>
  </si>
  <si>
    <t>PG51988832</t>
  </si>
  <si>
    <t>CP-118EL-A w/o Cable
8 x RS-232/422/485 PCIe-Card</t>
  </si>
  <si>
    <t>PO-20150318B-2</t>
  </si>
  <si>
    <t>PJ84406678</t>
  </si>
  <si>
    <t>PG51988855</t>
  </si>
  <si>
    <t>4/15兆豐即期買+賣/2 @ 31.24</t>
  </si>
  <si>
    <t>4/21隨貨寄出</t>
  </si>
  <si>
    <t>PO30501-R</t>
  </si>
  <si>
    <t>PI-20150319A-1</t>
  </si>
  <si>
    <t>PO-20150319A-1</t>
  </si>
  <si>
    <t>PJ67756032</t>
  </si>
  <si>
    <t>PG51988823</t>
  </si>
  <si>
    <t>2015/3/25隨貨寄出</t>
  </si>
  <si>
    <t>PI-20150319A-2</t>
  </si>
  <si>
    <t>PO-20150319A-2</t>
  </si>
  <si>
    <t>ADAM-5017-A4E</t>
  </si>
  <si>
    <t>ADAM-5052-AE</t>
  </si>
  <si>
    <t>PI-20150319A-3</t>
  </si>
  <si>
    <t>PO-20150319A-3</t>
  </si>
  <si>
    <t>PO30510-R</t>
  </si>
  <si>
    <t>PI-20150319D</t>
  </si>
  <si>
    <t>PO-20150319D</t>
  </si>
  <si>
    <t>PJ84405897</t>
  </si>
  <si>
    <t>PG51988833</t>
  </si>
  <si>
    <t>PO30564</t>
  </si>
  <si>
    <t>PI-20150324B</t>
  </si>
  <si>
    <t>PO-20150324B</t>
  </si>
  <si>
    <t>PJ84406505</t>
  </si>
  <si>
    <t>PG51988851</t>
  </si>
  <si>
    <t>(4/2兆豐即期買+賣/2 @31.22)</t>
  </si>
  <si>
    <t>2015/4/8隨貨寄出</t>
  </si>
  <si>
    <t>PO30584</t>
  </si>
  <si>
    <t>PI-20150325A</t>
  </si>
  <si>
    <t>PO-20150325A</t>
  </si>
  <si>
    <t>PJ67757444</t>
  </si>
  <si>
    <t>PG51988834</t>
  </si>
  <si>
    <t>PO30594</t>
  </si>
  <si>
    <t>PI-20150327B</t>
  </si>
  <si>
    <t>PO-20150327B</t>
  </si>
  <si>
    <t>PJ6775443</t>
  </si>
  <si>
    <t>PG51988835</t>
  </si>
  <si>
    <t>PO30689</t>
  </si>
  <si>
    <t>PI-20150401E</t>
  </si>
  <si>
    <t>PO-20150401E</t>
  </si>
  <si>
    <t>PJ67758684</t>
  </si>
  <si>
    <t>PG51988852</t>
  </si>
  <si>
    <t>請寫寄出日期及掛號還是隨貨</t>
  </si>
  <si>
    <t>PO30717</t>
  </si>
  <si>
    <t>PI-20150407A</t>
  </si>
  <si>
    <t xml:space="preserve">CP-104UL-DB9M
</t>
  </si>
  <si>
    <t>PO-20150407A</t>
  </si>
  <si>
    <t>PJ84406653</t>
  </si>
  <si>
    <t>PG51988857</t>
  </si>
  <si>
    <t>(4/15兆豐即期買+賣/2 @31.27)</t>
  </si>
  <si>
    <t>CBL-M68M9x8-100 (ehem. OPT8D+)</t>
  </si>
  <si>
    <t xml:space="preserve"> PO30721</t>
  </si>
  <si>
    <t>PI-20150408A</t>
  </si>
  <si>
    <t>PO-20150408A</t>
  </si>
  <si>
    <t>PJ84406654</t>
  </si>
  <si>
    <t>PG51988859</t>
  </si>
  <si>
    <t>PO30759</t>
  </si>
  <si>
    <t>PI-20150409B</t>
  </si>
  <si>
    <t>PO-20150409B</t>
  </si>
  <si>
    <t>PJ84406716</t>
  </si>
  <si>
    <t>PG51988860</t>
  </si>
  <si>
    <t>(4/20兆豐即期買+賣/2 @31)</t>
  </si>
  <si>
    <t>PO30808</t>
  </si>
  <si>
    <t>PI-20150415A</t>
  </si>
  <si>
    <t>PO-20150415A</t>
  </si>
  <si>
    <t>PJ67758733</t>
  </si>
  <si>
    <t>PG51988854</t>
  </si>
  <si>
    <t>PO30816</t>
  </si>
  <si>
    <t>PI-20150415C-1</t>
  </si>
  <si>
    <t>PO-20150415C-1</t>
  </si>
  <si>
    <t>PJ67758886</t>
  </si>
  <si>
    <t>PI-20150415C-2</t>
  </si>
  <si>
    <t>PCI-1733-AE</t>
  </si>
  <si>
    <t>PO-20150415C-2</t>
  </si>
  <si>
    <t>PJ67758824</t>
  </si>
  <si>
    <t>QA52291700</t>
  </si>
  <si>
    <t>5/5隨貨寄出</t>
  </si>
  <si>
    <t>PO30832</t>
  </si>
  <si>
    <t>PI-20150416C</t>
  </si>
  <si>
    <t>MGate MB3180 EU</t>
  </si>
  <si>
    <t>PO-20150416C</t>
  </si>
  <si>
    <t>PJ84406791</t>
  </si>
  <si>
    <t>PG51988866</t>
  </si>
  <si>
    <t>4/24兆豐平均30.85</t>
  </si>
  <si>
    <t>4/27掛號</t>
  </si>
  <si>
    <t>PO30843</t>
  </si>
  <si>
    <t>PI-20150417A</t>
  </si>
  <si>
    <t>PO-20150417A</t>
  </si>
  <si>
    <t>PJ84406790</t>
  </si>
  <si>
    <t>PG51988867</t>
  </si>
  <si>
    <t>PO30865</t>
  </si>
  <si>
    <t>PI-20150420B</t>
  </si>
  <si>
    <t>PO-20150420B</t>
  </si>
  <si>
    <t>PJ67759206</t>
  </si>
  <si>
    <t>PG51988864</t>
  </si>
  <si>
    <t>PO30913</t>
  </si>
  <si>
    <t>PI-20150422A</t>
  </si>
  <si>
    <t xml:space="preserve">ADAM-4015-CE </t>
  </si>
  <si>
    <t>PO-20150422A</t>
  </si>
  <si>
    <t>PJ67758838</t>
  </si>
  <si>
    <t>PG51988865</t>
  </si>
  <si>
    <t xml:space="preserve">ADAM-4018+-BE </t>
  </si>
  <si>
    <t>ADAM-4051-BE</t>
  </si>
  <si>
    <t>PO30899</t>
  </si>
  <si>
    <t>PI-20150423B</t>
  </si>
  <si>
    <t xml:space="preserve">C104H/PCI(DB9) </t>
  </si>
  <si>
    <t>PO-20150423B</t>
  </si>
  <si>
    <t>PJ84406888</t>
  </si>
  <si>
    <t>PG51988868</t>
  </si>
  <si>
    <t>4/29 兆豐即期買賣平均30.47</t>
  </si>
  <si>
    <t>4/30掛號</t>
  </si>
  <si>
    <t>PO30910</t>
  </si>
  <si>
    <t>PI-20150423C</t>
  </si>
  <si>
    <t>PO-20150423C</t>
  </si>
  <si>
    <t>PJ84406887</t>
  </si>
  <si>
    <t>PO30963</t>
  </si>
  <si>
    <t>PI-20150428A</t>
  </si>
  <si>
    <t xml:space="preserve">EKI-2741SX-AE </t>
  </si>
  <si>
    <t>PO-20150428A</t>
  </si>
  <si>
    <t>QC67756354</t>
  </si>
  <si>
    <t>QA52291712</t>
  </si>
  <si>
    <t>5/19隨貨</t>
  </si>
  <si>
    <t>PO30969</t>
  </si>
  <si>
    <t>PI-20150428B</t>
  </si>
  <si>
    <t>CP-168U</t>
  </si>
  <si>
    <t>PO-20150428B</t>
  </si>
  <si>
    <t>QC84405528</t>
  </si>
  <si>
    <t>QA52291704</t>
  </si>
  <si>
    <t>5/5 兆豐買賣平均30.67</t>
  </si>
  <si>
    <t>5/8 掛號</t>
  </si>
  <si>
    <t>PO30975</t>
  </si>
  <si>
    <t>PI-20150428C</t>
  </si>
  <si>
    <t>PO-20150428C</t>
  </si>
  <si>
    <t>PJ67758825</t>
  </si>
  <si>
    <t>QA52291701</t>
  </si>
  <si>
    <t>QA52291702</t>
  </si>
  <si>
    <t>PO30993</t>
  </si>
  <si>
    <t>PI-20150430C</t>
  </si>
  <si>
    <t>PO-20150430C</t>
  </si>
  <si>
    <t>QC84405581</t>
  </si>
  <si>
    <t>QA52291707</t>
  </si>
  <si>
    <t>5/8兆豐買賣平均30.67</t>
  </si>
  <si>
    <t>5/12隨貨寄出</t>
  </si>
  <si>
    <t>PO31025</t>
  </si>
  <si>
    <t>PI-20150505A</t>
  </si>
  <si>
    <t>PO-20150505A</t>
  </si>
  <si>
    <t>QC67756579</t>
  </si>
  <si>
    <t>QA52291709</t>
  </si>
  <si>
    <t>5/14隨貨寄出</t>
  </si>
  <si>
    <t>QC67756121</t>
  </si>
  <si>
    <t>QA52291715</t>
  </si>
  <si>
    <t>5/27隨貨寄出</t>
  </si>
  <si>
    <t>PO31027</t>
  </si>
  <si>
    <t>PI-20150505B</t>
  </si>
  <si>
    <t>PO-20150505B</t>
  </si>
  <si>
    <t>QC84405830</t>
  </si>
  <si>
    <t>QA52291750</t>
  </si>
  <si>
    <t>6/1 兆豐30.73</t>
  </si>
  <si>
    <t>PO31046</t>
  </si>
  <si>
    <t>PI-20150506A</t>
  </si>
  <si>
    <t>PO-20150506A</t>
  </si>
  <si>
    <t>QC84405585</t>
  </si>
  <si>
    <t>同前QA52291707</t>
  </si>
  <si>
    <t>PO31054</t>
  </si>
  <si>
    <t>PI-20150506B</t>
  </si>
  <si>
    <t>PO-20150506B</t>
  </si>
  <si>
    <t>QC67756191</t>
  </si>
  <si>
    <t>QA52291708</t>
  </si>
  <si>
    <t>PO31346</t>
  </si>
  <si>
    <t>PI-20150604A</t>
  </si>
  <si>
    <t>PO-20150604A</t>
  </si>
  <si>
    <t>QC67759154</t>
  </si>
  <si>
    <t>QA52291753</t>
  </si>
  <si>
    <t>6/8隨貨</t>
  </si>
  <si>
    <t>PO31469</t>
  </si>
  <si>
    <t>PI-20150616B</t>
  </si>
  <si>
    <t>CBL-RJ45F9-150</t>
  </si>
  <si>
    <t>PO-20150616B</t>
  </si>
  <si>
    <t>QC84406779</t>
  </si>
  <si>
    <t>QA52291759</t>
  </si>
  <si>
    <t>6/25 兆豐30.9</t>
  </si>
  <si>
    <t>6/26掛號</t>
  </si>
  <si>
    <t>PO31528</t>
  </si>
  <si>
    <t>PI-20150622A</t>
  </si>
  <si>
    <t>PO-20150622A</t>
  </si>
  <si>
    <t>QW84405514</t>
  </si>
  <si>
    <t>QU52575303</t>
  </si>
  <si>
    <t>7/1兆豐 30.9</t>
  </si>
  <si>
    <t>7/2隨貨</t>
  </si>
  <si>
    <t>CBL-M62M9x8-100 (OPT8D)</t>
  </si>
  <si>
    <t>stock</t>
  </si>
  <si>
    <t>PO31556</t>
  </si>
  <si>
    <t>PI-20150625A</t>
  </si>
  <si>
    <t>PO-20150625A</t>
  </si>
  <si>
    <t>QW67755951</t>
  </si>
  <si>
    <t>QU52575304</t>
  </si>
  <si>
    <t>PO31628</t>
  </si>
  <si>
    <t>PI-20150701A</t>
  </si>
  <si>
    <t>PO-20150701A</t>
  </si>
  <si>
    <t>QW67756079</t>
  </si>
  <si>
    <t>QU52575306</t>
  </si>
  <si>
    <t>7/6隨貨</t>
  </si>
  <si>
    <t>PO31640</t>
  </si>
  <si>
    <t>PI-20150702A</t>
  </si>
  <si>
    <t>G121S1-L01 CHIMEI A grade 12.1" TFT-LCD SVGA 800x600</t>
  </si>
  <si>
    <t>元眾</t>
  </si>
  <si>
    <t>PO-20150702A</t>
  </si>
  <si>
    <t>第一銀行-華江分行
007‐2023
202‐10‐103189</t>
  </si>
  <si>
    <t>QU35504310</t>
  </si>
  <si>
    <t>QU52575307</t>
  </si>
  <si>
    <t>7/2兆豐 30.92</t>
  </si>
  <si>
    <t>PO31701</t>
  </si>
  <si>
    <t>PI-20150709A</t>
  </si>
  <si>
    <t>PO-20150709A</t>
  </si>
  <si>
    <t>QW67755989</t>
  </si>
  <si>
    <t>QU52575308</t>
  </si>
  <si>
    <t>7/13隨貨</t>
  </si>
  <si>
    <t>QU52575309</t>
  </si>
  <si>
    <t>PO31769-R</t>
  </si>
  <si>
    <t>PI-20150715A</t>
  </si>
  <si>
    <t>unigens</t>
  </si>
  <si>
    <t>PO-20150715A</t>
  </si>
  <si>
    <t>QW67756695</t>
  </si>
  <si>
    <t>QU52575310</t>
  </si>
  <si>
    <t>7/20隨貨</t>
  </si>
  <si>
    <t>ADAM-6024-A1E</t>
  </si>
  <si>
    <t>PO31770</t>
  </si>
  <si>
    <t>PI-20150715B</t>
  </si>
  <si>
    <t>PO-20150715B</t>
  </si>
  <si>
    <t>QW84405765</t>
  </si>
  <si>
    <t>QU52575313</t>
  </si>
  <si>
    <t>7/22兆豐 31.18</t>
  </si>
  <si>
    <t>7/24 掛號</t>
  </si>
  <si>
    <t>PO31782</t>
  </si>
  <si>
    <t>PI-20150716A</t>
  </si>
  <si>
    <t>USB-4751-AE</t>
  </si>
  <si>
    <t>PO-20150716A</t>
  </si>
  <si>
    <t>QW67756694</t>
  </si>
  <si>
    <t>QU52575311</t>
  </si>
  <si>
    <t>PO31923</t>
  </si>
  <si>
    <t>PI20150729A</t>
  </si>
  <si>
    <t>M215HGK-L30  InnoLux 21.5" TFT-LCD 1920 x 1080</t>
  </si>
  <si>
    <t>EEchain網訊</t>
  </si>
  <si>
    <t>PO-20150729A</t>
  </si>
  <si>
    <t>QW89330910</t>
  </si>
  <si>
    <t>QU52575353</t>
  </si>
  <si>
    <t>8/1匯率31.58</t>
  </si>
  <si>
    <t>8/11隨貨</t>
  </si>
  <si>
    <t>PO31970</t>
  </si>
  <si>
    <t>PI-20150803A</t>
  </si>
  <si>
    <t xml:space="preserve">CP-168U </t>
  </si>
  <si>
    <t>PO-20150803A</t>
  </si>
  <si>
    <t>QW84406774</t>
  </si>
  <si>
    <t>QU52575355</t>
  </si>
  <si>
    <t>8/21兆豐32.58</t>
  </si>
  <si>
    <t>8/25隨貨</t>
  </si>
  <si>
    <t>PO32011</t>
  </si>
  <si>
    <t>PI-20150806A</t>
  </si>
  <si>
    <t>PO-20150806A</t>
  </si>
  <si>
    <t>QW67758116</t>
  </si>
  <si>
    <t>QU52575352</t>
  </si>
  <si>
    <t>PO32037</t>
  </si>
  <si>
    <t>PI-20150807B</t>
  </si>
  <si>
    <t>PO-20150807B</t>
  </si>
  <si>
    <t>QW84406693</t>
  </si>
  <si>
    <t>QU52575354</t>
  </si>
  <si>
    <t>兆豐 8/14 @32.07</t>
  </si>
  <si>
    <t>8/19掛號</t>
  </si>
  <si>
    <t>PO32141</t>
  </si>
  <si>
    <t>PI-20150821A</t>
  </si>
  <si>
    <t>ADAM-4017-D2E</t>
  </si>
  <si>
    <t>PO-20150821A</t>
  </si>
  <si>
    <t>QW67759290</t>
  </si>
  <si>
    <t>QU52575357</t>
  </si>
  <si>
    <t>USB-4711A-AE</t>
  </si>
  <si>
    <t>QU52575358</t>
  </si>
  <si>
    <t>PO32271</t>
  </si>
  <si>
    <t>PI-20150902A</t>
  </si>
  <si>
    <t xml:space="preserve">ADAM-6052-CE </t>
  </si>
  <si>
    <t>PO-20150902A</t>
  </si>
  <si>
    <t>RQ67756095</t>
  </si>
  <si>
    <t>RN52582101</t>
  </si>
  <si>
    <t>9/8隨貨寄出</t>
  </si>
  <si>
    <t>PO32430</t>
  </si>
  <si>
    <t>PI-20150916A</t>
  </si>
  <si>
    <t>PO-20150916A</t>
  </si>
  <si>
    <t>RQ67756580</t>
  </si>
  <si>
    <t>RN52582105</t>
  </si>
  <si>
    <t>PI-20150916A-2</t>
  </si>
  <si>
    <t>ADAM-5510EKW/TP-CE</t>
  </si>
  <si>
    <t>RQ67756497</t>
  </si>
  <si>
    <t>PO32436</t>
  </si>
  <si>
    <t>PI-20150917A</t>
  </si>
  <si>
    <t>RQ84405763</t>
  </si>
  <si>
    <t>RN52582107</t>
  </si>
  <si>
    <t>9/23兆豐32.83</t>
  </si>
  <si>
    <t>隨9/25寄貨</t>
  </si>
  <si>
    <t>PO32495</t>
  </si>
  <si>
    <t>PI-20150923A</t>
  </si>
  <si>
    <t>PO-20150923A</t>
  </si>
  <si>
    <t>RQ67756291</t>
  </si>
  <si>
    <t>RN52582108</t>
  </si>
  <si>
    <t>9/25隨貨</t>
  </si>
  <si>
    <t>PO32641</t>
  </si>
  <si>
    <t>PI-20151007A</t>
  </si>
  <si>
    <t>PO-20151007A</t>
  </si>
  <si>
    <t>RQ67759062</t>
  </si>
  <si>
    <t>RN52582154</t>
  </si>
  <si>
    <t>10/12隨貨</t>
  </si>
  <si>
    <t>ADAM-5000/TCP-CE</t>
  </si>
  <si>
    <t xml:space="preserve">PCI-1243U-AE </t>
  </si>
  <si>
    <t>PO32630</t>
  </si>
  <si>
    <t>PI-20151007B</t>
  </si>
  <si>
    <t>PO-20151007B</t>
  </si>
  <si>
    <t>RQ67759053</t>
  </si>
  <si>
    <t>RN52582153</t>
  </si>
  <si>
    <t>CyberWorld</t>
  </si>
  <si>
    <t>PI-20141222B</t>
  </si>
  <si>
    <t>ioLogik E2214 
(RMA)</t>
  </si>
  <si>
    <t>Kindnice Express
A/C No.2141</t>
  </si>
  <si>
    <t>NQ84406600</t>
  </si>
  <si>
    <t>CE0437801144</t>
  </si>
  <si>
    <t>PI-20150106A</t>
  </si>
  <si>
    <t>EDS-G512E-4GSFP-T</t>
  </si>
  <si>
    <t>PO- 20150106A</t>
  </si>
  <si>
    <t>NQ8405602</t>
  </si>
  <si>
    <t>CE0437800287</t>
  </si>
  <si>
    <t>PI-20150106B</t>
  </si>
  <si>
    <t>EDS-305-M-SC</t>
  </si>
  <si>
    <t>PO-20150106B</t>
  </si>
  <si>
    <t>NQ84405608</t>
  </si>
  <si>
    <t>CE0437800335</t>
  </si>
  <si>
    <t>IMC-21A-M-SC</t>
  </si>
  <si>
    <t>發票合併一張(PI-20150106B)</t>
  </si>
  <si>
    <t>PI-20150106C-1</t>
  </si>
  <si>
    <t>MOXA MiiNePort E1</t>
  </si>
  <si>
    <t>PO-20150106C</t>
  </si>
  <si>
    <t>NQ84406498</t>
  </si>
  <si>
    <t>CE0437801450</t>
  </si>
  <si>
    <t>PI-20150106C-2</t>
  </si>
  <si>
    <t>NQ84406656</t>
  </si>
  <si>
    <t>CE0437802134</t>
  </si>
  <si>
    <t>PI-20150107A</t>
  </si>
  <si>
    <t>Nport 5650-16</t>
  </si>
  <si>
    <t>PO-20150107A</t>
  </si>
  <si>
    <t>NQ84405653</t>
  </si>
  <si>
    <t>CE0437800505</t>
  </si>
  <si>
    <t>PI-20150108B</t>
  </si>
  <si>
    <t>PO-20150108B</t>
  </si>
  <si>
    <t>NQ84405607</t>
  </si>
  <si>
    <t>發票合併一張(PI-20150108B)</t>
  </si>
  <si>
    <t>PI-20150114A</t>
  </si>
  <si>
    <t>IMC-21-M-SC</t>
  </si>
  <si>
    <t>PO-20150114A</t>
  </si>
  <si>
    <t>NQ84405848</t>
  </si>
  <si>
    <t>PI-20150120C</t>
  </si>
  <si>
    <t>Nport 5610-8</t>
  </si>
  <si>
    <t>PO-20150120C</t>
  </si>
  <si>
    <t>NQ84405849</t>
  </si>
  <si>
    <t>PI-20150123A</t>
  </si>
  <si>
    <t>Nport 6610-32 (EU power cable)</t>
  </si>
  <si>
    <t>PO-20150123A</t>
  </si>
  <si>
    <t>NQ84406499</t>
  </si>
  <si>
    <t>PI-20150123B</t>
  </si>
  <si>
    <t>Nport 5650-8</t>
  </si>
  <si>
    <t>PO- 20150123B</t>
  </si>
  <si>
    <t>NQ84406680</t>
  </si>
  <si>
    <t>CE0437801803</t>
  </si>
  <si>
    <t>PI-20150203A</t>
  </si>
  <si>
    <t>MB3480</t>
  </si>
  <si>
    <t>PO-20150203A</t>
  </si>
  <si>
    <t>NQ84406681</t>
  </si>
  <si>
    <t>PI-20150209B</t>
  </si>
  <si>
    <t>Nport Z2150-T</t>
  </si>
  <si>
    <t>PO-20150209B</t>
  </si>
  <si>
    <t>NQ84406724</t>
  </si>
  <si>
    <t>PI-20150224A</t>
  </si>
  <si>
    <t>PO-20150224A</t>
  </si>
  <si>
    <t>PJ84405516</t>
  </si>
  <si>
    <t>CX0407101661</t>
  </si>
  <si>
    <t>PI-20150302A</t>
  </si>
  <si>
    <t>PO-20150302A</t>
  </si>
  <si>
    <t>PJ84405636</t>
  </si>
  <si>
    <t>CBL-M44M25X4</t>
  </si>
  <si>
    <t>PI-20150303A</t>
  </si>
  <si>
    <t>PO-20150303A</t>
  </si>
  <si>
    <t>PJ84405815</t>
  </si>
  <si>
    <t>CE04378G1118</t>
  </si>
  <si>
    <t>OPT 8A+</t>
  </si>
  <si>
    <t>PI-20150306B</t>
  </si>
  <si>
    <t>Adam-6060-CE</t>
  </si>
  <si>
    <t>PO-20150306B</t>
  </si>
  <si>
    <t>PJ67756196</t>
  </si>
  <si>
    <t>CX0407101853</t>
  </si>
  <si>
    <t>PI-20150310A</t>
  </si>
  <si>
    <t>EDS-510A-1GT2SFP</t>
  </si>
  <si>
    <t>PO-20150310A</t>
  </si>
  <si>
    <t>PJ84405711</t>
  </si>
  <si>
    <t>SFP-1GLSXLC</t>
  </si>
  <si>
    <t>PI-20150326A</t>
  </si>
  <si>
    <t>PO-20150326A</t>
  </si>
  <si>
    <t>PJ84406454</t>
  </si>
  <si>
    <t>CE0437803590</t>
  </si>
  <si>
    <t>PI-20150326B</t>
  </si>
  <si>
    <t>C218Turbo/PCI</t>
  </si>
  <si>
    <t>PO-20150326B</t>
  </si>
  <si>
    <t>PJ84406656</t>
  </si>
  <si>
    <t xml:space="preserve"> CE0437804194</t>
  </si>
  <si>
    <t>OPT8B</t>
  </si>
  <si>
    <t>PI-20150327A</t>
  </si>
  <si>
    <t>PO-20150327A</t>
  </si>
  <si>
    <t>PJ67757487</t>
  </si>
  <si>
    <t>PI-20150330A</t>
  </si>
  <si>
    <t>TCF-142-M-ST-T</t>
  </si>
  <si>
    <t>PO-20150330A</t>
  </si>
  <si>
    <t>PJ84406657</t>
  </si>
  <si>
    <t>PI-20150331A
(此單較特別，待客戶來台再付現)</t>
  </si>
  <si>
    <t>MPX-954</t>
  </si>
  <si>
    <t>Commell</t>
  </si>
  <si>
    <t>"合作金庫
5388717-302857"</t>
  </si>
  <si>
    <t>PG35721972</t>
  </si>
  <si>
    <t>不開立發票算公司費用</t>
  </si>
  <si>
    <t>PI-20150413B</t>
  </si>
  <si>
    <t>NPort 5410 w/ Adapter</t>
  </si>
  <si>
    <t xml:space="preserve">佳渝
#15040157 </t>
  </si>
  <si>
    <t>PO-20150413B</t>
  </si>
  <si>
    <t>PJ84406769</t>
  </si>
  <si>
    <t>CR0440502058</t>
  </si>
  <si>
    <t>PI-20150427A</t>
  </si>
  <si>
    <t>MOXA  CBL-M62M9x8-100 (OPT 8D)</t>
  </si>
  <si>
    <t>CE 04 378 G1881</t>
  </si>
  <si>
    <t>同0430A</t>
  </si>
  <si>
    <t>PI-20150430A</t>
  </si>
  <si>
    <t>CN2650-16</t>
  </si>
  <si>
    <t>PO-20150430A</t>
  </si>
  <si>
    <t>QC84405782</t>
  </si>
  <si>
    <t>CE 04 378 G2052</t>
  </si>
  <si>
    <t>PI-20150501A</t>
  </si>
  <si>
    <t xml:space="preserve">C218Turbo/PCI </t>
  </si>
  <si>
    <t>PO-20150501A</t>
  </si>
  <si>
    <t>QC84405656</t>
  </si>
  <si>
    <t>PI-20150514C-1</t>
  </si>
  <si>
    <t xml:space="preserve"> ICF-1150-M-ST-T</t>
  </si>
  <si>
    <t>Forster</t>
  </si>
  <si>
    <t>PO-20150514C-1</t>
  </si>
  <si>
    <t>QC84405765</t>
  </si>
  <si>
    <t>PI-20150514C-2</t>
  </si>
  <si>
    <t>PO-20150514C-2</t>
  </si>
  <si>
    <t>QC84406747</t>
  </si>
  <si>
    <t>CE 04 378 G2452</t>
  </si>
  <si>
    <t>PI-20150514C-3</t>
  </si>
  <si>
    <t>Cancelled</t>
  </si>
  <si>
    <t>PO-20150514C-3</t>
  </si>
  <si>
    <t>Elektronix NG Hitech AB</t>
  </si>
  <si>
    <t>PI-20150825A</t>
  </si>
  <si>
    <t>​​nTUF610 w/ 4GB RAM</t>
  </si>
  <si>
    <t>NEXCOM
新漢智能</t>
  </si>
  <si>
    <t>PO-20150825A</t>
  </si>
  <si>
    <t>RN35936666</t>
  </si>
  <si>
    <t>CF04550XE138</t>
  </si>
  <si>
    <t>PI-20150825A-2</t>
  </si>
  <si>
    <t>power adapter w/ european power cord for nTUF610</t>
  </si>
  <si>
    <t>PO-20150825A-2</t>
  </si>
  <si>
    <t>RN35936687</t>
  </si>
  <si>
    <t>CF04550XW535</t>
  </si>
  <si>
    <t>HDD bay tray for nTUF610</t>
  </si>
  <si>
    <t>M12 LAN Cable Kits for nTUF610</t>
  </si>
  <si>
    <t>PI-20150826A</t>
  </si>
  <si>
    <t>PO-20150826A</t>
  </si>
  <si>
    <t>RN35936665</t>
  </si>
  <si>
    <t>PO-20150826A-2</t>
  </si>
  <si>
    <t>PI-20150827A</t>
  </si>
  <si>
    <t>NiSE 3600E w/ i5-3610ME &amp; power adapter &amp; cord
(w/o DRAM)</t>
  </si>
  <si>
    <t>PO-20150827A</t>
  </si>
  <si>
    <t>RN35936678</t>
  </si>
  <si>
    <t>PI-20150908A</t>
  </si>
  <si>
    <t>PO-20150908A</t>
  </si>
  <si>
    <t>RN35936702</t>
  </si>
  <si>
    <t xml:space="preserve">CF04550YZ735 </t>
  </si>
  <si>
    <t>PI-20150908A-2</t>
  </si>
  <si>
    <t>PI-20150908A-3</t>
  </si>
  <si>
    <t>APPC 1235T-2G w/ power adapter &amp; european power cord</t>
  </si>
  <si>
    <t>PO380983</t>
  </si>
  <si>
    <t>PI-20151001A</t>
  </si>
  <si>
    <t>PO-20151001A</t>
  </si>
  <si>
    <t>RN35936740</t>
  </si>
  <si>
    <t>CF 04550 ZZ510</t>
  </si>
  <si>
    <t>PI-20151117A</t>
  </si>
  <si>
    <t xml:space="preserve">NISE3720E w/ On board CPU i7-4650U </t>
  </si>
  <si>
    <t>PO-20151117A</t>
  </si>
  <si>
    <t>SG35016749</t>
  </si>
  <si>
    <t>CF045506999X</t>
  </si>
  <si>
    <t>PI-20151224A</t>
  </si>
  <si>
    <t>7400120015x00 power adaptors</t>
  </si>
  <si>
    <t>PO-20151224A</t>
  </si>
  <si>
    <t>SG35016855</t>
  </si>
  <si>
    <t>CF045507749P</t>
  </si>
  <si>
    <t>ETOP
億特科技</t>
  </si>
  <si>
    <t>借出歸還
(預計3/6歸還，3/13收到)</t>
  </si>
  <si>
    <t>Evaluation
PI-20150107B</t>
  </si>
  <si>
    <t>PB-405B</t>
  </si>
  <si>
    <t>Foxconn
鴻海精密工業</t>
  </si>
  <si>
    <t xml:space="preserve">借出歸還
</t>
  </si>
  <si>
    <t>Evaluation
PI-20150114D</t>
  </si>
  <si>
    <t xml:space="preserve">Uport 2410  
</t>
  </si>
  <si>
    <t>借測，2/9已歸還moxa</t>
  </si>
  <si>
    <t>借測
(已歸還)</t>
  </si>
  <si>
    <t>Evaluation
PI-20150121A</t>
  </si>
  <si>
    <t>AWK-1127</t>
  </si>
  <si>
    <t>借測-5/28已歸還</t>
  </si>
  <si>
    <t xml:space="preserve">借測
(預計5/24歸還)
(Forster 6/2已取回，6/3歸還至戎克辦公室)
</t>
  </si>
  <si>
    <t>Evaluation
PI-20150326C</t>
  </si>
  <si>
    <t>NPort W2150A w/EU adapter</t>
  </si>
  <si>
    <t>借測-6/2已歸還</t>
  </si>
  <si>
    <t>H</t>
  </si>
  <si>
    <t>PI-20150415B-1</t>
  </si>
  <si>
    <t>6000.0081.01 cable assembly to .20</t>
  </si>
  <si>
    <t>Fiona</t>
  </si>
  <si>
    <t>我司付來回運費到其陽</t>
  </si>
  <si>
    <t>PO-20150415B-1Z</t>
  </si>
  <si>
    <t>玉山永安 1115-940-018828</t>
  </si>
  <si>
    <t>PG54240776</t>
  </si>
  <si>
    <t>PI-20150415B-2</t>
  </si>
  <si>
    <t>PO-20150415B-2Z</t>
  </si>
  <si>
    <t>PG54240798</t>
  </si>
  <si>
    <t>PI-20150623A-2</t>
  </si>
  <si>
    <t>H01 (golden sample )</t>
  </si>
  <si>
    <t>Santiago / Fiona</t>
  </si>
  <si>
    <t>DHL 
967886572</t>
  </si>
  <si>
    <t>需給予工單</t>
  </si>
  <si>
    <t>CX042230JWY3</t>
  </si>
  <si>
    <t>Helvet</t>
  </si>
  <si>
    <t>PI-20150114C</t>
  </si>
  <si>
    <t>Transcend 16GB CFast, MLC</t>
  </si>
  <si>
    <t xml:space="preserve"> DHL – our ID Nomber is: 951138041. </t>
  </si>
  <si>
    <t>transcend</t>
  </si>
  <si>
    <t>PO-20140114C</t>
  </si>
  <si>
    <t xml:space="preserve">合庫大安分行˙717324727  </t>
  </si>
  <si>
    <t>NQ66772670</t>
  </si>
  <si>
    <t>CX0422302DTZ</t>
  </si>
  <si>
    <t>Jenlogix</t>
  </si>
  <si>
    <t>PI-20150130A</t>
  </si>
  <si>
    <t>MOXA EDS-208</t>
  </si>
  <si>
    <t>Alan</t>
  </si>
  <si>
    <t>DHL 96925673</t>
  </si>
  <si>
    <t>PO-20150130A</t>
  </si>
  <si>
    <t>NQ84406534</t>
  </si>
  <si>
    <t>CX042230311Q</t>
  </si>
  <si>
    <t>PI-20151014A</t>
  </si>
  <si>
    <t>IPC­5122­00XE</t>
  </si>
  <si>
    <t>under 50kg by DHL 
above 50kg w/ Geodis</t>
  </si>
  <si>
    <t>PO-20151014A</t>
  </si>
  <si>
    <t>RQ67757550</t>
  </si>
  <si>
    <t>同X383行</t>
  </si>
  <si>
    <t>CX 042230QUMC</t>
  </si>
  <si>
    <t>AIMB­582QG2­00A1E</t>
  </si>
  <si>
    <t>SJ67755693</t>
  </si>
  <si>
    <t>ARK­6620­18ZBE</t>
  </si>
  <si>
    <t>CX042230NTHS</t>
  </si>
  <si>
    <t>AIMB­274G2­00A1E</t>
  </si>
  <si>
    <t>SJ67755355</t>
  </si>
  <si>
    <t>Lanner
立端科技</t>
  </si>
  <si>
    <t>PI-20150204A</t>
  </si>
  <si>
    <t>MD-104AT 設計費
(包含1台 MD-104)</t>
  </si>
  <si>
    <t>PI-20150319C-2</t>
  </si>
  <si>
    <t>MD-104 設計費
(包含5/13台 出1pcs MD-104)</t>
  </si>
  <si>
    <t>PG51988853</t>
  </si>
  <si>
    <t>PI-20150319C-1</t>
  </si>
  <si>
    <t>樣品費
(MD-104 10.4" Panel and LVDS Cable Kits)
細節見備註</t>
  </si>
  <si>
    <t>4/9 forster客戶自取</t>
  </si>
  <si>
    <t>臺灣企銀 - 中和分行
帳號 : 002 120 28665</t>
  </si>
  <si>
    <t>PG35093832</t>
  </si>
  <si>
    <t>Lantech
昱樺科技</t>
  </si>
  <si>
    <t>PI-20151202B</t>
  </si>
  <si>
    <t>EDS-505A</t>
  </si>
  <si>
    <t>PO-20151202B</t>
  </si>
  <si>
    <t>SJ84406656</t>
  </si>
  <si>
    <t>SG52877000</t>
  </si>
  <si>
    <t>santiago 議32.8</t>
  </si>
  <si>
    <t>12/10隨貨</t>
  </si>
  <si>
    <t>PI-20150304A</t>
  </si>
  <si>
    <t>Moxa nPort 5450w/o adapter</t>
  </si>
  <si>
    <t>Unigens TNT</t>
  </si>
  <si>
    <t>PO-20150304A</t>
  </si>
  <si>
    <t>PJ84405637</t>
  </si>
  <si>
    <t>CR04376H6491</t>
  </si>
  <si>
    <t>PO15006</t>
  </si>
  <si>
    <t>PI-20150824A</t>
  </si>
  <si>
    <t xml:space="preserve">Schenker </t>
  </si>
  <si>
    <t>PO-20150824A</t>
  </si>
  <si>
    <t>RQ84405459</t>
  </si>
  <si>
    <t>CW 04013 01024</t>
  </si>
  <si>
    <t>PI-20151119A</t>
  </si>
  <si>
    <t>I330EAC-201</t>
  </si>
  <si>
    <t>Winmate融程</t>
  </si>
  <si>
    <t>PO-20151119A</t>
  </si>
  <si>
    <t>帳號：59102002013368
收款銀行：上海商業儲蓄銀行二重分行</t>
  </si>
  <si>
    <t>SJ80613533</t>
  </si>
  <si>
    <t>CW0401305135</t>
  </si>
  <si>
    <t>R15L600-MRM2</t>
  </si>
  <si>
    <t>同X428</t>
  </si>
  <si>
    <t>PO-P-I140180</t>
  </si>
  <si>
    <t>PI-20150108A</t>
  </si>
  <si>
    <t>NPort 5130A</t>
  </si>
  <si>
    <t>DHL A/C NO:964096297.</t>
  </si>
  <si>
    <t>PO-20150108A</t>
  </si>
  <si>
    <t>NQ84405652</t>
  </si>
  <si>
    <t>04223ZZZZZ</t>
  </si>
  <si>
    <t>發票合併一張(PI-20150108A)</t>
  </si>
  <si>
    <t>PO-P-I150055</t>
  </si>
  <si>
    <t>PI-20150710A</t>
  </si>
  <si>
    <t>PO-20150710A</t>
  </si>
  <si>
    <t>QW84405743</t>
  </si>
  <si>
    <t>CX042230F2Q2</t>
  </si>
  <si>
    <t xml:space="preserve">PO # PO-P-I150115 </t>
  </si>
  <si>
    <t>PI-20151006B</t>
  </si>
  <si>
    <t>PO-20151006B</t>
  </si>
  <si>
    <t>RQ84406612</t>
  </si>
  <si>
    <t>CX042230MP3B</t>
  </si>
  <si>
    <t>PO-P-I150150</t>
  </si>
  <si>
    <t>PI-20151210B</t>
  </si>
  <si>
    <t>DHL A/C NO:964096297</t>
  </si>
  <si>
    <t>PO-20151210B</t>
  </si>
  <si>
    <t>SJ84406770</t>
  </si>
  <si>
    <t>CX 042230T3XR</t>
  </si>
  <si>
    <t xml:space="preserve">Masibus Automation </t>
  </si>
  <si>
    <t>PO-P-I140197</t>
  </si>
  <si>
    <t>PI-20150205A</t>
  </si>
  <si>
    <t>PO-20150205A</t>
  </si>
  <si>
    <t>NQ84406676</t>
  </si>
  <si>
    <t>CX0422303JJ2</t>
  </si>
  <si>
    <t xml:space="preserve">             </t>
  </si>
  <si>
    <t>PI-20150204B</t>
  </si>
  <si>
    <t xml:space="preserve">CP-132IS </t>
  </si>
  <si>
    <t xml:space="preserve">Fiona </t>
  </si>
  <si>
    <t>TNT002004901
 Economy Express</t>
  </si>
  <si>
    <t>PO-20150204B</t>
  </si>
  <si>
    <t>NQ84406584</t>
  </si>
  <si>
    <t>CG04376G1233</t>
  </si>
  <si>
    <t xml:space="preserve">CB15-117 </t>
  </si>
  <si>
    <t>PI-20150317A</t>
  </si>
  <si>
    <t>Q7-BT1-2G-8G-ER</t>
  </si>
  <si>
    <t>TNT002004901 account by Express</t>
  </si>
  <si>
    <t>PO-20150317A</t>
  </si>
  <si>
    <t>QC89077703</t>
  </si>
  <si>
    <t>CR/ /04/376/KH269</t>
  </si>
  <si>
    <t>同0401A</t>
  </si>
  <si>
    <t>Q7-BT2-4G-8G-ER</t>
  </si>
  <si>
    <t xml:space="preserve">FIona </t>
  </si>
  <si>
    <t>Q7-BT-HS</t>
  </si>
  <si>
    <t xml:space="preserve">CB15-112 </t>
  </si>
  <si>
    <t>PI-20150317B</t>
  </si>
  <si>
    <t>CP-132IS</t>
  </si>
  <si>
    <t>PO-20150317B</t>
  </si>
  <si>
    <t>PJ84406558</t>
  </si>
  <si>
    <t>CG04376L2720</t>
  </si>
  <si>
    <t>CB15-136</t>
  </si>
  <si>
    <t>PI-20150317C</t>
  </si>
  <si>
    <t>VBOX-3110</t>
  </si>
  <si>
    <t xml:space="preserve"> pick up number 946631 BCN
GD327632270 
</t>
  </si>
  <si>
    <t>Sintrones
鑫創</t>
  </si>
  <si>
    <t>PO-20150317C</t>
  </si>
  <si>
    <t>PG49652155</t>
  </si>
  <si>
    <t>CG04376L7723</t>
  </si>
  <si>
    <t xml:space="preserve">CB15-098 </t>
  </si>
  <si>
    <t>PI-20150319B</t>
  </si>
  <si>
    <t>TF-GENE-CV05-A10-13</t>
  </si>
  <si>
    <t>AAEON
研揚</t>
  </si>
  <si>
    <t>PO-20150319B</t>
  </si>
  <si>
    <t>玉山
0901940-009899</t>
  </si>
  <si>
    <t>PG36029049</t>
  </si>
  <si>
    <t>170204010R</t>
  </si>
  <si>
    <t xml:space="preserve">CB15-157 </t>
  </si>
  <si>
    <t>PI-20150320A</t>
  </si>
  <si>
    <t>VDM-102W with 
A cable 5 m</t>
  </si>
  <si>
    <t>PO-20150320A</t>
  </si>
  <si>
    <t>同前</t>
  </si>
  <si>
    <t xml:space="preserve">CB15-178 </t>
  </si>
  <si>
    <t>PI-20150401A</t>
  </si>
  <si>
    <t>IPC924-212-FL</t>
  </si>
  <si>
    <t>PO-20150401A-1</t>
  </si>
  <si>
    <t>PJ84468808</t>
  </si>
  <si>
    <t>CG04376M1876</t>
  </si>
  <si>
    <t>PO-20150401A-3</t>
  </si>
  <si>
    <t>PJ84406655</t>
  </si>
  <si>
    <t>CB15-178</t>
  </si>
  <si>
    <t>Transcend
(創見)</t>
  </si>
  <si>
    <t>PO-20150401A-2</t>
  </si>
  <si>
    <t>PJ66779341</t>
  </si>
  <si>
    <t>Unigen'S Carlo</t>
  </si>
  <si>
    <t>PO-20150401Z</t>
  </si>
  <si>
    <t>要付給Carlo 的組裝費</t>
  </si>
  <si>
    <t xml:space="preserve">CB15-180 </t>
  </si>
  <si>
    <t>PI-20150401B</t>
  </si>
  <si>
    <t>VDB-800SG</t>
  </si>
  <si>
    <t xml:space="preserve">CB15-198 </t>
  </si>
  <si>
    <t>PI-20150410A</t>
  </si>
  <si>
    <t>PO-20150410A</t>
  </si>
  <si>
    <t>PJ84468809</t>
  </si>
  <si>
    <t>CB15-203</t>
  </si>
  <si>
    <t>PI-20150413A</t>
  </si>
  <si>
    <t>VDB-800S</t>
  </si>
  <si>
    <t>PO-20150413A</t>
  </si>
  <si>
    <t>CB15-279</t>
  </si>
  <si>
    <t>PI-20150514D</t>
  </si>
  <si>
    <t>PO-20150514D</t>
  </si>
  <si>
    <t>QC84405758</t>
  </si>
  <si>
    <t xml:space="preserve">CB15-290 </t>
  </si>
  <si>
    <t>PI-20150520A</t>
  </si>
  <si>
    <t>D-Link ™ DFE-530TX</t>
  </si>
  <si>
    <t>順發</t>
  </si>
  <si>
    <t>第一銀行 高雄分行   701-10-072996</t>
  </si>
  <si>
    <t>VV-21104724</t>
  </si>
  <si>
    <t>RMA-20150519A</t>
  </si>
  <si>
    <t>PI-20150525A</t>
  </si>
  <si>
    <t>鑫創</t>
  </si>
  <si>
    <t>CR/04/376/K1655</t>
  </si>
  <si>
    <t>CB15-412</t>
  </si>
  <si>
    <t>PI-20150713B</t>
  </si>
  <si>
    <t xml:space="preserve"> TNT account 002004901</t>
  </si>
  <si>
    <t>PO-20150713B</t>
  </si>
  <si>
    <t>RQ95189506</t>
  </si>
  <si>
    <t>CG/ /04/376/U8038</t>
  </si>
  <si>
    <t>CB15-419</t>
  </si>
  <si>
    <t>PI-20150715C</t>
  </si>
  <si>
    <t>SD-150B-24</t>
  </si>
  <si>
    <t>PO-20150715C</t>
  </si>
  <si>
    <t>RQ95189046</t>
  </si>
  <si>
    <t>CG 04376U4637</t>
  </si>
  <si>
    <t>CB15-538</t>
  </si>
  <si>
    <t>PI-20150916B</t>
  </si>
  <si>
    <t>PO-20150916B</t>
  </si>
  <si>
    <t>RQ84405737</t>
  </si>
  <si>
    <t>CG 04376V8138</t>
  </si>
  <si>
    <t>PI-20150922A</t>
  </si>
  <si>
    <t>CH101ILHL-CT1</t>
  </si>
  <si>
    <t>Chefree齊飛</t>
  </si>
  <si>
    <t>PO-20150922A</t>
  </si>
  <si>
    <t>合作金庫銀行 信義分行
 0833-717-206551</t>
  </si>
  <si>
    <t>RN48575604</t>
  </si>
  <si>
    <t>C46KA483NIH KITS-F</t>
  </si>
  <si>
    <t>CB15-616</t>
  </si>
  <si>
    <t>PI-20151020B</t>
  </si>
  <si>
    <t>EmETXe-i250c-D25</t>
  </si>
  <si>
    <t>Arbor磐儀</t>
  </si>
  <si>
    <t>合庫南勢角分行
0720717117266</t>
  </si>
  <si>
    <t>RN35984967</t>
  </si>
  <si>
    <t>CR04376X4829</t>
  </si>
  <si>
    <t>HS-250C-F2</t>
  </si>
  <si>
    <t>15/0380M</t>
  </si>
  <si>
    <t>PI-20150810A</t>
  </si>
  <si>
    <t>PCI-1761-BE</t>
  </si>
  <si>
    <t>PO-20150810A</t>
  </si>
  <si>
    <t>QW67759029</t>
  </si>
  <si>
    <t>CX042230HZ1R</t>
  </si>
  <si>
    <t>15/0383M</t>
  </si>
  <si>
    <t>PI-20150811A</t>
  </si>
  <si>
    <t>EKI-1526-BE</t>
  </si>
  <si>
    <t>PO-20150811A</t>
  </si>
  <si>
    <t>QW67759030</t>
  </si>
  <si>
    <t>15/0394M</t>
  </si>
  <si>
    <t>PI-20150819A</t>
  </si>
  <si>
    <t>PCI-1620A-CE</t>
  </si>
  <si>
    <t>PO-20150819A</t>
  </si>
  <si>
    <t>QW67758939</t>
  </si>
  <si>
    <t xml:space="preserve">15/0459M </t>
  </si>
  <si>
    <t>PI-20150922B</t>
  </si>
  <si>
    <t xml:space="preserve">IPPC-6152A-R2AE </t>
  </si>
  <si>
    <t>advantech
(內湖)</t>
  </si>
  <si>
    <t>PO-20150922B</t>
  </si>
  <si>
    <t>RQ67755808</t>
  </si>
  <si>
    <t>CX042230LE89</t>
  </si>
  <si>
    <t xml:space="preserve">15/0504M </t>
  </si>
  <si>
    <t>PI-20151016A</t>
  </si>
  <si>
    <t>FPM-7211W-P3AE</t>
  </si>
  <si>
    <t>PO-20151016A</t>
  </si>
  <si>
    <t>RQ67759136</t>
  </si>
  <si>
    <t>CX042230NTEF</t>
  </si>
  <si>
    <t>PI-20151120B</t>
  </si>
  <si>
    <t xml:space="preserve">PCIe-9852
</t>
  </si>
  <si>
    <t>SJ89077935</t>
  </si>
  <si>
    <t>CX 042230RSNF</t>
  </si>
  <si>
    <t>SJ84406517</t>
  </si>
  <si>
    <t>advantech研華</t>
  </si>
  <si>
    <t xml:space="preserve">PO-20151120B-3
</t>
  </si>
  <si>
    <t>SJ67756643</t>
  </si>
  <si>
    <t>PI-20141107D</t>
  </si>
  <si>
    <t>Forster/Karen</t>
  </si>
  <si>
    <t>PO-20141107D</t>
  </si>
  <si>
    <t>NQ84405761</t>
  </si>
  <si>
    <t>NN51829264
修改為NN51829266</t>
  </si>
  <si>
    <t>(1/21央行收盤@31.553)</t>
  </si>
  <si>
    <t>170457
修改為162341</t>
  </si>
  <si>
    <t>2015/1/27掛號寄出
發票開錯2015/2/4掛號寄出</t>
  </si>
  <si>
    <t>331-15010171
借轉銷</t>
  </si>
  <si>
    <t>PI-20150115F</t>
  </si>
  <si>
    <t>NPort W2150A-EU BAND w/ CN Adapter</t>
  </si>
  <si>
    <t>PO-20150115F</t>
  </si>
  <si>
    <t>NQ84405753</t>
  </si>
  <si>
    <t>NN51829258</t>
  </si>
  <si>
    <t>2015/1/20業務親送</t>
  </si>
  <si>
    <t>330-15021178</t>
  </si>
  <si>
    <t>PI-20150126B</t>
  </si>
  <si>
    <t>PO-20150126B</t>
  </si>
  <si>
    <t>NQ84406727</t>
  </si>
  <si>
    <t>NN51829314</t>
  </si>
  <si>
    <t>2015/2/26業務送</t>
  </si>
  <si>
    <t>330-15020521</t>
  </si>
  <si>
    <t>PI-20150210A</t>
  </si>
  <si>
    <t>PO-20150210A</t>
  </si>
  <si>
    <t>QC84405525</t>
  </si>
  <si>
    <t>QA52291705</t>
  </si>
  <si>
    <t>5/5央行 30.781</t>
  </si>
  <si>
    <t>5/8掛號</t>
  </si>
  <si>
    <t>330-15030165</t>
  </si>
  <si>
    <t>PI-20150305A</t>
  </si>
  <si>
    <t>PO-20150305A</t>
  </si>
  <si>
    <t>PJ84405814</t>
  </si>
  <si>
    <t>PG51988822</t>
  </si>
  <si>
    <t>2015/3/24台銀即期買+賣/2:@31.34</t>
  </si>
  <si>
    <t>2015/3/24業務送出</t>
  </si>
  <si>
    <t xml:space="preserve">330-15031532 </t>
  </si>
  <si>
    <t>PI-20150310B</t>
  </si>
  <si>
    <t>NPort 5650I-8-DT/EU</t>
  </si>
  <si>
    <t>PO-20150310B-1</t>
  </si>
  <si>
    <t>PJ84405817</t>
  </si>
  <si>
    <t>PG51988827</t>
  </si>
  <si>
    <t>@31.30</t>
  </si>
  <si>
    <t>2015/3/26機車快遞寄出</t>
  </si>
  <si>
    <t>PO-20150310B-2</t>
  </si>
  <si>
    <t>PJ84405818</t>
  </si>
  <si>
    <t>330-15031385</t>
  </si>
  <si>
    <t>PI-20150324A-1</t>
  </si>
  <si>
    <t>PO-20150324A-1</t>
  </si>
  <si>
    <t>QC84405846</t>
  </si>
  <si>
    <t>QA52291717</t>
  </si>
  <si>
    <t>5/27 央行30.725</t>
  </si>
  <si>
    <t>5/28 掛號寄出</t>
  </si>
  <si>
    <t>PI-20150324A-2</t>
  </si>
  <si>
    <t>PO-20150324A-2</t>
  </si>
  <si>
    <t>QW84405513</t>
  </si>
  <si>
    <t>QU52575305</t>
  </si>
  <si>
    <t>7/1 央行 31.1</t>
  </si>
  <si>
    <t>7/2掛號</t>
  </si>
  <si>
    <t>330-15041869 
330-15041868</t>
  </si>
  <si>
    <t>PI-20150421A</t>
  </si>
  <si>
    <t>PO-20150421A-1</t>
  </si>
  <si>
    <t>QC84405546</t>
  </si>
  <si>
    <t>QA52291711</t>
  </si>
  <si>
    <t>5/6央行匯率*30.753</t>
  </si>
  <si>
    <t>330-15041868</t>
  </si>
  <si>
    <t>PI-20150421B</t>
  </si>
  <si>
    <t>PO-20150421B</t>
  </si>
  <si>
    <t>QC84405738</t>
  </si>
  <si>
    <t>QA52291713</t>
  </si>
  <si>
    <t>5/20 央行匯率30.682</t>
  </si>
  <si>
    <t>5/22掛號</t>
  </si>
  <si>
    <t>330-15041869</t>
  </si>
  <si>
    <t>PI-20150501B</t>
  </si>
  <si>
    <t>PO-20150501B</t>
  </si>
  <si>
    <t>RQ84405720</t>
  </si>
  <si>
    <t>RN52582104</t>
  </si>
  <si>
    <t>9/17央行收盤32.662</t>
  </si>
  <si>
    <t>331-15070004</t>
  </si>
  <si>
    <t>PI-20150624A</t>
  </si>
  <si>
    <t>SOM-DB4700X-00A1E</t>
  </si>
  <si>
    <t>NEXCOM (NIS)
新漢智能</t>
  </si>
  <si>
    <t>330-15020009
借轉銷</t>
  </si>
  <si>
    <t>Evaluation
PI-20150120D-R</t>
  </si>
  <si>
    <t>BPC-100S1A</t>
  </si>
  <si>
    <t>客戶自取</t>
  </si>
  <si>
    <t>Santiago: 工單已付款</t>
  </si>
  <si>
    <t>NN51829304</t>
  </si>
  <si>
    <t>2/10寄出掛號</t>
  </si>
  <si>
    <t>TS32GSSD370</t>
  </si>
  <si>
    <t>transcend(創見)</t>
  </si>
  <si>
    <t>EMO-20140817A
(NQ66770604)</t>
  </si>
  <si>
    <t>借出歸還
(4/24已歸還，4/27送到辦公室)</t>
  </si>
  <si>
    <t>Evaluation
PI-20150202A</t>
  </si>
  <si>
    <t>PH- 0119/15UG</t>
  </si>
  <si>
    <t>PI-20150120A</t>
  </si>
  <si>
    <t>CA-104-T</t>
  </si>
  <si>
    <t>PO-20150120A</t>
  </si>
  <si>
    <t>NQ84406726</t>
  </si>
  <si>
    <t>NN51829316</t>
  </si>
  <si>
    <t>@31.345</t>
  </si>
  <si>
    <t>2015/2/26隨貨寄出</t>
  </si>
  <si>
    <t>CBL-F40M9X4-50</t>
  </si>
  <si>
    <t>NQ84406677</t>
  </si>
  <si>
    <t>同PI同發票</t>
  </si>
  <si>
    <t xml:space="preserve">(276)150122u5831u50F9 </t>
  </si>
  <si>
    <t>華南銀行代號008
帳號: 183-10-0007773</t>
  </si>
  <si>
    <t>NN36497257</t>
  </si>
  <si>
    <t>PH-689CTB</t>
  </si>
  <si>
    <t>PI-20150206A-1</t>
  </si>
  <si>
    <t>PO-20150206A-1</t>
  </si>
  <si>
    <t>NQ84406725</t>
  </si>
  <si>
    <t>NN51829317</t>
  </si>
  <si>
    <t>PI-20150206A-2</t>
  </si>
  <si>
    <t>PO-20150206A-2</t>
  </si>
  <si>
    <t>NQ84406679</t>
  </si>
  <si>
    <t>NN51829309</t>
  </si>
  <si>
    <t>@31.50</t>
  </si>
  <si>
    <t>2/13/2015寄出掛號</t>
  </si>
  <si>
    <t>PH-150727CTUG</t>
  </si>
  <si>
    <t>PI-20150728A</t>
  </si>
  <si>
    <t>E2210</t>
  </si>
  <si>
    <t>PO-20150728A</t>
  </si>
  <si>
    <t>QW84406451</t>
  </si>
  <si>
    <t>QU52575350</t>
  </si>
  <si>
    <t>8/7掛號</t>
  </si>
  <si>
    <t>PH-151020EXUG</t>
  </si>
  <si>
    <t>PI-20151020A</t>
  </si>
  <si>
    <t>PO-20151020A</t>
  </si>
  <si>
    <t>RQ84406861</t>
  </si>
  <si>
    <t>RN52582157</t>
  </si>
  <si>
    <t>1102-AA</t>
  </si>
  <si>
    <t>PI-20151102A-1</t>
  </si>
  <si>
    <t>SJ84405878</t>
  </si>
  <si>
    <t>SG52876952</t>
  </si>
  <si>
    <t>11/27 台銀平均32.61</t>
  </si>
  <si>
    <t>2015/12/1掛號</t>
  </si>
  <si>
    <t>PI-20151102A</t>
  </si>
  <si>
    <t xml:space="preserve">CA-104T </t>
  </si>
  <si>
    <t>PO-20151102A-2</t>
  </si>
  <si>
    <t>SJ84406931</t>
  </si>
  <si>
    <t>SG52877003</t>
  </si>
  <si>
    <t>12/28台銀平均</t>
  </si>
  <si>
    <t>12/30掛號</t>
  </si>
  <si>
    <t xml:space="preserve">CBL-F40M9X4-50 </t>
  </si>
  <si>
    <t>PO-20151102A-3</t>
  </si>
  <si>
    <t>SK11552590</t>
  </si>
  <si>
    <t>SG52877001</t>
  </si>
  <si>
    <t>12/9台銀平均32.815</t>
  </si>
  <si>
    <t>PI-20151006A</t>
  </si>
  <si>
    <t>Santiago/ Forster</t>
  </si>
  <si>
    <t>RQ84406750</t>
  </si>
  <si>
    <t>RN52582156</t>
  </si>
  <si>
    <t>客戶 10/21 32.24</t>
  </si>
  <si>
    <t>10/22隨貨</t>
  </si>
  <si>
    <t>SFP-1GLXLC</t>
  </si>
  <si>
    <t>PO-20151006A</t>
  </si>
  <si>
    <t>RR14324372</t>
  </si>
  <si>
    <t>STORM BET SRL</t>
  </si>
  <si>
    <t>PI-20151029A</t>
  </si>
  <si>
    <t>SMIB NRE charge</t>
  </si>
  <si>
    <t>EMO-20151029A</t>
  </si>
  <si>
    <t>CG 04376CA052</t>
  </si>
  <si>
    <t>T-Pole</t>
  </si>
  <si>
    <t>PI-20150212B-1</t>
  </si>
  <si>
    <t>IB970RF</t>
  </si>
  <si>
    <t>i-base 廣積</t>
  </si>
  <si>
    <t>PO-20150212B-1</t>
  </si>
  <si>
    <t>PJ49360966</t>
  </si>
  <si>
    <t>CG04376K4442</t>
  </si>
  <si>
    <t>PI-20150212B-2</t>
  </si>
  <si>
    <t>TNT EXPRESS Service 182056
#373466833</t>
  </si>
  <si>
    <t>PO-20150212B-2</t>
  </si>
  <si>
    <t>PJ49361080</t>
  </si>
  <si>
    <t>CR04376MO593</t>
  </si>
  <si>
    <t>PI-20150325B</t>
  </si>
  <si>
    <t>PO-20150325B</t>
  </si>
  <si>
    <t>PJ72856509</t>
  </si>
  <si>
    <t>PI-20150416A</t>
  </si>
  <si>
    <t>PO-20150416A-1</t>
  </si>
  <si>
    <t>"華南銀行
137100-006788"</t>
  </si>
  <si>
    <t>QC49360902</t>
  </si>
  <si>
    <t>CG04376M7784</t>
  </si>
  <si>
    <t>FWUNI-029</t>
  </si>
  <si>
    <t>PO-20150416A-2</t>
  </si>
  <si>
    <t>PG54240799</t>
  </si>
  <si>
    <t>PI-20150423A</t>
  </si>
  <si>
    <t>Toshiba HDD 2.5" IDE 80G, 4200, 24/7, WT</t>
  </si>
  <si>
    <t>PO-20150423A</t>
  </si>
  <si>
    <t>兆豐新店-活存021798 A/C :04609021798</t>
  </si>
  <si>
    <t>同前QA36248906</t>
  </si>
  <si>
    <t>PI-20150514B</t>
  </si>
  <si>
    <t>PO-20150514B</t>
  </si>
  <si>
    <t>QC49360955</t>
  </si>
  <si>
    <t>CG/04/376/N8295</t>
  </si>
  <si>
    <t>PI-20150707A</t>
  </si>
  <si>
    <t xml:space="preserve">UL301 </t>
  </si>
  <si>
    <t>盟訊</t>
  </si>
  <si>
    <t>PO-20150707A</t>
  </si>
  <si>
    <t>台灣土地銀行-東台北分行
099-001-00136-8
0050991</t>
  </si>
  <si>
    <t>QW68707560</t>
  </si>
  <si>
    <t>CG/ /04/376/R8944</t>
  </si>
  <si>
    <t>PI-20150713A</t>
  </si>
  <si>
    <t>Toll Global Forwarding</t>
  </si>
  <si>
    <t>PO-20150713A</t>
  </si>
  <si>
    <t>QW72856440</t>
  </si>
  <si>
    <t>AABC04194G2233</t>
  </si>
  <si>
    <t>PI-20150724A</t>
  </si>
  <si>
    <t>AS-25C-RS</t>
  </si>
  <si>
    <t>PO-20150724A</t>
  </si>
  <si>
    <t>QW72856493</t>
  </si>
  <si>
    <t>CG/ /04/376/U3110</t>
  </si>
  <si>
    <t>PI-20150727A</t>
  </si>
  <si>
    <t>PO-20150727A</t>
  </si>
  <si>
    <t>QW49361193</t>
  </si>
  <si>
    <t>PI-20150806B</t>
  </si>
  <si>
    <t>TL-WN781ND</t>
  </si>
  <si>
    <t>yahoo 拍賣</t>
  </si>
  <si>
    <t>7-11門市</t>
  </si>
  <si>
    <t>7-11收據</t>
  </si>
  <si>
    <t>PI-20150908B</t>
  </si>
  <si>
    <t xml:space="preserve">PCI-8S-RS-R40 </t>
  </si>
  <si>
    <t>PO-20150908B</t>
  </si>
  <si>
    <t>RQ72856424</t>
  </si>
  <si>
    <t>PI-20151022A</t>
  </si>
  <si>
    <t>PO-20151022A</t>
  </si>
  <si>
    <t>RQ72856514</t>
  </si>
  <si>
    <t>CG04376X4909</t>
  </si>
  <si>
    <t>PI-20151027A</t>
  </si>
  <si>
    <t>CRK15102201 (LVDS)</t>
  </si>
  <si>
    <t>free</t>
  </si>
  <si>
    <t>CX 042230RNYQ</t>
  </si>
  <si>
    <t>CRK15102202 (LVDS)</t>
  </si>
  <si>
    <t>PI-20151030A</t>
  </si>
  <si>
    <t>PO-20151030A</t>
  </si>
  <si>
    <t>SJ49360952</t>
  </si>
  <si>
    <t>CG 04376CE628</t>
  </si>
  <si>
    <t>PI-20151106A</t>
  </si>
  <si>
    <t>TNT 182056 (EXPRESS)</t>
  </si>
  <si>
    <t>香港商華展</t>
  </si>
  <si>
    <t>PO-20151106A</t>
  </si>
  <si>
    <t>澳盛(台灣)ACCOUNT 000700481198</t>
  </si>
  <si>
    <t>SG49963211</t>
  </si>
  <si>
    <t>CR 04376Z5674</t>
  </si>
  <si>
    <t>亞驪ARISTOTLE</t>
  </si>
  <si>
    <t>BTC013-79B-500
(4G &amp; GPS Cable)</t>
  </si>
  <si>
    <t>PI-20151111A</t>
  </si>
  <si>
    <t>SG35055792</t>
  </si>
  <si>
    <t>RFA-01-GPS-29-1.6M 
(Passive GPS)</t>
  </si>
  <si>
    <t>免費樣品</t>
  </si>
  <si>
    <t>PI-20151119B</t>
  </si>
  <si>
    <t>RFA-02-3-C52M3-B70
(WiFi Antenna)</t>
  </si>
  <si>
    <t>PO-20151119B</t>
  </si>
  <si>
    <t>SG35055834</t>
  </si>
  <si>
    <r>
      <rPr>
        <sz val="10"/>
        <color theme="1"/>
        <rFont val="arial,sans,sans-serif"/>
      </rPr>
      <t xml:space="preserve">BTC013-1-79-500
</t>
    </r>
    <r>
      <rPr>
        <b/>
        <sz val="10"/>
        <color rgb="FF0000FF"/>
        <rFont val="arial,sans,sans-serif"/>
      </rPr>
      <t>(WiFi Cable)</t>
    </r>
  </si>
  <si>
    <t>同X435</t>
  </si>
  <si>
    <t>PI-20151120D</t>
  </si>
  <si>
    <t>PO-20151120D</t>
  </si>
  <si>
    <t>PI-20151127A</t>
  </si>
  <si>
    <t>SG49963250</t>
  </si>
  <si>
    <t>SG35055848</t>
  </si>
  <si>
    <t>同X442</t>
  </si>
  <si>
    <t>PI-20151201A</t>
  </si>
  <si>
    <t>PO-20151201A</t>
  </si>
  <si>
    <t>SG35055849</t>
  </si>
  <si>
    <t>PI-20150612A</t>
  </si>
  <si>
    <t>PO-20150612A</t>
  </si>
  <si>
    <t>QW84405515</t>
  </si>
  <si>
    <t>QU52575301</t>
  </si>
  <si>
    <t>santiago 6/23議30.7</t>
  </si>
  <si>
    <t>PI-20150612A-1</t>
  </si>
  <si>
    <t>PI-20150617A</t>
  </si>
  <si>
    <t>PO-20150617A-2</t>
  </si>
  <si>
    <t>PO-20150617A-1</t>
  </si>
  <si>
    <t>PI-20150714A</t>
  </si>
  <si>
    <t>PO-20150714A</t>
  </si>
  <si>
    <t>QW84406546</t>
  </si>
  <si>
    <t>QU52575351</t>
  </si>
  <si>
    <t>santiago議@31.3</t>
  </si>
  <si>
    <t>PI-20150721A</t>
  </si>
  <si>
    <t>PO-20150721A</t>
  </si>
  <si>
    <t>QW84405878</t>
  </si>
  <si>
    <t>QU52575317</t>
  </si>
  <si>
    <t>7/30匯率 31.3</t>
  </si>
  <si>
    <t>8/3 掛號</t>
  </si>
  <si>
    <t>PI-20150721B</t>
  </si>
  <si>
    <t>Exchange re-work charge
(維修費)</t>
  </si>
  <si>
    <t>不用付錢</t>
  </si>
  <si>
    <t>PI-20150817A</t>
  </si>
  <si>
    <t>RQ84405687</t>
  </si>
  <si>
    <t>RN52582103</t>
  </si>
  <si>
    <t>santiago議@32.5</t>
  </si>
  <si>
    <t>9/17投客戶信箱</t>
  </si>
  <si>
    <t>PI-20151105A</t>
  </si>
  <si>
    <t>SJ84405730</t>
  </si>
  <si>
    <t>SG52876951</t>
  </si>
  <si>
    <t>11/20投信箱</t>
  </si>
  <si>
    <t>Bracket
1490914080070</t>
  </si>
  <si>
    <t xml:space="preserve">Bracket
1490914020024 </t>
  </si>
  <si>
    <t>PI-20151127C</t>
  </si>
  <si>
    <t>SJ84406807</t>
  </si>
  <si>
    <t>SG52877002</t>
  </si>
  <si>
    <t>santiago 議32.77</t>
  </si>
  <si>
    <t>12/18投客戶信箱</t>
  </si>
  <si>
    <t>PI-20151207A</t>
  </si>
  <si>
    <t>SJ84406808</t>
  </si>
  <si>
    <t>同AB447</t>
  </si>
  <si>
    <t>P151030NP0</t>
  </si>
  <si>
    <t>PI-20151030B</t>
  </si>
  <si>
    <t>PO-20151030B</t>
  </si>
  <si>
    <t>SJ89077768</t>
  </si>
  <si>
    <t>CX 042230RGNG
提單:1189767412</t>
  </si>
  <si>
    <t>30-US-03-00003
(XP Pro License)</t>
  </si>
  <si>
    <t>advantech研華(直銷Henry)</t>
  </si>
  <si>
    <t>PO-20151030B-2</t>
  </si>
  <si>
    <t>SJ67755764</t>
  </si>
  <si>
    <t>Freight 提單:1189767412
(16%重量)</t>
  </si>
  <si>
    <t xml:space="preserve">P151112NP0 </t>
  </si>
  <si>
    <t>PI-20151112A</t>
  </si>
  <si>
    <t>PO-20151112A</t>
  </si>
  <si>
    <t>SJ89077925</t>
  </si>
  <si>
    <t>同X414</t>
  </si>
  <si>
    <t>源達科技</t>
  </si>
  <si>
    <t>PO-20151112A-2</t>
  </si>
  <si>
    <t>第一商業銀行:忠孝路分行
帳號:10310032763</t>
  </si>
  <si>
    <t>SH15935576</t>
  </si>
  <si>
    <t>同X417</t>
  </si>
  <si>
    <t>Unigens' Leon</t>
  </si>
  <si>
    <t>Freight 提單:1189767412  
(60%重量)</t>
  </si>
  <si>
    <t>同X388</t>
  </si>
  <si>
    <t>同AB388</t>
  </si>
  <si>
    <t>PI-20151112A-1</t>
  </si>
  <si>
    <t>CX 042230S3K5
提單:6921329516</t>
  </si>
  <si>
    <t>同X419</t>
  </si>
  <si>
    <t>Freight
提單:6921329516</t>
  </si>
  <si>
    <t>P151118NP0</t>
  </si>
  <si>
    <t>PI-20151118A</t>
  </si>
  <si>
    <t>PO-20151118A</t>
  </si>
  <si>
    <t>SJ89077926</t>
  </si>
  <si>
    <t>FreightFreight 提單:1189767412
(20.6%重量)</t>
  </si>
  <si>
    <t>P151120NP0</t>
  </si>
  <si>
    <t>PI-20151120A</t>
  </si>
  <si>
    <t>ECS7000-2R</t>
  </si>
  <si>
    <t>PO-20151120A</t>
  </si>
  <si>
    <t>SG38628973</t>
  </si>
  <si>
    <t>世平
11/27 交Vecow組裝</t>
  </si>
  <si>
    <t>PO-20151120A-2</t>
  </si>
  <si>
    <t>彰化商業銀行南港分行 
980103-03112700</t>
  </si>
  <si>
    <t>SJ48663383</t>
  </si>
  <si>
    <t>創見
11/27交Vecow組裝</t>
  </si>
  <si>
    <t>PO-20151120A-3</t>
  </si>
  <si>
    <t>合庫大安分行˙760717324727</t>
  </si>
  <si>
    <t>SJ66772653</t>
  </si>
  <si>
    <t>同X437</t>
  </si>
  <si>
    <t>Freight 提單:1189767412(%3.4重量)</t>
  </si>
  <si>
    <t>PI-20150626A
(佣金已付)</t>
  </si>
  <si>
    <t>QW84406653</t>
  </si>
  <si>
    <t>AA04436Y2416</t>
  </si>
  <si>
    <t>V-12/16收到14226</t>
  </si>
  <si>
    <t>PI-20150626B
(佣金已付)</t>
  </si>
  <si>
    <t>NPort W2150A-EU Band 
w/ Cn Adapter V1.0</t>
  </si>
  <si>
    <t>QW84406650</t>
  </si>
  <si>
    <t>PI-20150720A
(佣金已付)</t>
  </si>
  <si>
    <t>QW84406649</t>
  </si>
  <si>
    <t>DT151130-002</t>
  </si>
  <si>
    <t>PI-20151130A
(佣金已付)</t>
  </si>
  <si>
    <t>SJ84406768</t>
  </si>
  <si>
    <t>CA0452002318</t>
  </si>
  <si>
    <t>WGSC</t>
  </si>
  <si>
    <t>借測</t>
  </si>
  <si>
    <t>20150519Z</t>
  </si>
  <si>
    <t xml:space="preserve">UMB-210G1 </t>
  </si>
  <si>
    <t>Dk kit (memory/SSD)</t>
  </si>
  <si>
    <t>PO29390</t>
  </si>
  <si>
    <t>PI-20141127C</t>
  </si>
  <si>
    <t>PCL-725-AE</t>
  </si>
  <si>
    <t>PO-20141127C</t>
  </si>
  <si>
    <t>NQ67756276</t>
  </si>
  <si>
    <t>NN51829254</t>
  </si>
  <si>
    <t>2015/1/15與PO29784隨貨出</t>
  </si>
  <si>
    <t xml:space="preserve">科技國因訂單金額較大, 匯率另計為31.3 </t>
  </si>
  <si>
    <t>科技國因訂單金額較大, 匯率另計為32.5</t>
  </si>
  <si>
    <t>　　　</t>
  </si>
  <si>
    <t>科技國因訂單金額較大, 匯率另計為32.6</t>
  </si>
  <si>
    <t>科技國因訂單金額較大, 匯率另計為32.77</t>
  </si>
  <si>
    <t>330-13111765</t>
  </si>
  <si>
    <t>PI-20131127A</t>
  </si>
  <si>
    <t>MOXA負責</t>
  </si>
  <si>
    <t>內銷(2014/01/14發票掛號寄出)</t>
  </si>
  <si>
    <t>330-13120257</t>
  </si>
  <si>
    <t>PI-20131205B</t>
  </si>
  <si>
    <t>C085</t>
  </si>
  <si>
    <t>PI-20131106A</t>
  </si>
  <si>
    <t xml:space="preserve"> IPC924-212-FL </t>
  </si>
  <si>
    <t>UniGens</t>
  </si>
  <si>
    <t>CG0337600878</t>
  </si>
  <si>
    <t xml:space="preserve">Moxa CP-118U
</t>
  </si>
  <si>
    <t>PI-20131220B</t>
  </si>
  <si>
    <t>TS16GSSD630,
16GB SSD, MLC</t>
  </si>
  <si>
    <t>上伊美/創見</t>
  </si>
  <si>
    <t>TS512MSK64V1N,
4GB RAM DDR3, 1066</t>
  </si>
  <si>
    <t>C126</t>
  </si>
  <si>
    <t>PPS-200-27</t>
  </si>
  <si>
    <t>MeanWell</t>
  </si>
  <si>
    <t>MeanWell
明緯 宗先生</t>
  </si>
  <si>
    <t>CG0337609402</t>
  </si>
  <si>
    <t xml:space="preserve"> CP-132IS</t>
  </si>
  <si>
    <t>PI-20131210C</t>
  </si>
  <si>
    <t>CG0337621695</t>
  </si>
  <si>
    <t>Perfectron
百崴宇智</t>
  </si>
  <si>
    <t>PO131213009</t>
  </si>
  <si>
    <t>PI-20131213A</t>
  </si>
  <si>
    <t xml:space="preserve"> NPort 6150 w/ UK power cord</t>
  </si>
  <si>
    <t>Moxa 負責</t>
  </si>
  <si>
    <t>PO131219001</t>
  </si>
  <si>
    <t>PI-20131220A</t>
  </si>
  <si>
    <t>Moxa TCF-142-M-ST-T</t>
  </si>
  <si>
    <t>CSIL</t>
  </si>
  <si>
    <t>PI-20131224A</t>
  </si>
  <si>
    <t>ADAM-6018-BE</t>
  </si>
  <si>
    <t>DHL Import / Export - A/C No.: 965489432</t>
  </si>
  <si>
    <t>Advantech</t>
  </si>
  <si>
    <t>CX0322300SBQ</t>
  </si>
  <si>
    <t>PO131230006</t>
  </si>
  <si>
    <t>PI-20131230A</t>
  </si>
  <si>
    <t>MiiNePort E1</t>
  </si>
  <si>
    <t>PI-20140114A</t>
  </si>
  <si>
    <t>OPC-5808T-E1 + NRE</t>
  </si>
  <si>
    <t>Aplex</t>
  </si>
  <si>
    <t>Aplex 維田</t>
  </si>
  <si>
    <t>CG0337618426</t>
  </si>
  <si>
    <t xml:space="preserve">OPC-5808T-E1 </t>
  </si>
  <si>
    <t>OPC-5157-T08</t>
  </si>
  <si>
    <t>PO140121003</t>
  </si>
  <si>
    <t>PI-20140121A</t>
  </si>
  <si>
    <t>MOXA IMC-21A-S-SC-T</t>
  </si>
  <si>
    <t>內銷(2014/02/11發票掛號寄出)</t>
  </si>
  <si>
    <t>PO140127001</t>
  </si>
  <si>
    <t>PI-20140128A</t>
  </si>
  <si>
    <t>MOXA CP-114UL-DB9M</t>
  </si>
  <si>
    <t>AYC</t>
  </si>
  <si>
    <t>PI-20140206A</t>
  </si>
  <si>
    <t>NISE 2010</t>
  </si>
  <si>
    <t>TNT economy 2018699</t>
  </si>
  <si>
    <t>NEXCOM</t>
  </si>
  <si>
    <t>220-14020310</t>
  </si>
  <si>
    <t>兆豐: 04109013067</t>
  </si>
  <si>
    <t>CG0337625645</t>
  </si>
  <si>
    <t>7400065012X00</t>
  </si>
  <si>
    <t>PI-20140211A</t>
  </si>
  <si>
    <t>DHL: 967966829 (ATECH) (DHL Economy)</t>
  </si>
  <si>
    <t>CX0322359HEH</t>
  </si>
  <si>
    <t>CP-114UL-DB9M</t>
  </si>
  <si>
    <t>DHL: 967966829 (ATECH)(DHL Economy)</t>
  </si>
  <si>
    <t>PI-20140212A</t>
  </si>
  <si>
    <t>KINO-AH611-R10</t>
  </si>
  <si>
    <t>TNT Account No- A/c :  000081207</t>
  </si>
  <si>
    <t>IEI</t>
  </si>
  <si>
    <t>iEi</t>
  </si>
  <si>
    <t>使用新帳號. 未來要注意</t>
  </si>
  <si>
    <t>CG0337632268</t>
  </si>
  <si>
    <t>IMBA-H610-R10</t>
  </si>
  <si>
    <t>KINO-AH612-R10</t>
  </si>
  <si>
    <t xml:space="preserve">Aditech ICT </t>
  </si>
  <si>
    <t>PO-20</t>
  </si>
  <si>
    <t>PI-20140217A</t>
  </si>
  <si>
    <t>TNT EXPRESS 000107240</t>
  </si>
  <si>
    <t>CR0337628710</t>
  </si>
  <si>
    <t>CP-138U-I</t>
  </si>
  <si>
    <t>PO140214001</t>
  </si>
  <si>
    <t>PI-20140219A</t>
  </si>
  <si>
    <t>NPort 6450</t>
  </si>
  <si>
    <t>內銷(2014/03/06發票掛號寄出)</t>
  </si>
  <si>
    <t>PO140214003</t>
  </si>
  <si>
    <t>PI-20140219B</t>
  </si>
  <si>
    <t>EDS-P206A-4POE</t>
  </si>
  <si>
    <t>331-14020110</t>
  </si>
  <si>
    <t>PI-20140219C</t>
  </si>
  <si>
    <t>戎克負責</t>
  </si>
  <si>
    <t>140225D01</t>
  </si>
  <si>
    <t>內銷(2014/03/10發票隨貨寄出)</t>
  </si>
  <si>
    <t>PO140219002</t>
  </si>
  <si>
    <t>PI-20140220B</t>
  </si>
  <si>
    <t>TCF-142-M-ST-T with DK35A</t>
  </si>
  <si>
    <t>PO140219003</t>
  </si>
  <si>
    <t>PI-20140220C</t>
  </si>
  <si>
    <t>330-14021156</t>
  </si>
  <si>
    <t>PI-20140220D</t>
  </si>
  <si>
    <t xml:space="preserve">合作金庫
5355-665-004610
</t>
  </si>
  <si>
    <t>內銷(2014/03/17發票掛號寄出)</t>
  </si>
  <si>
    <t>PO140221003</t>
  </si>
  <si>
    <t>PI-20140226A</t>
  </si>
  <si>
    <t>NPort 6610-32 w/ AU power cord</t>
  </si>
  <si>
    <t>PI-20140226B</t>
  </si>
  <si>
    <t>NPORT 5450I w/o adapter</t>
  </si>
  <si>
    <t>TNT economy 2024214</t>
  </si>
  <si>
    <t>CG0337642478</t>
  </si>
  <si>
    <t>PI-20140226C</t>
  </si>
  <si>
    <t>ICF-1180I-M-ST</t>
  </si>
  <si>
    <t>PO-21</t>
  </si>
  <si>
    <t>PI-20140306A</t>
  </si>
  <si>
    <t>CR0337637578</t>
  </si>
  <si>
    <t>PO140311004</t>
  </si>
  <si>
    <t>PI-20140312A</t>
  </si>
  <si>
    <t>內銷(2014/03/24發票掛號寄出)</t>
  </si>
  <si>
    <t>DK-35A</t>
  </si>
  <si>
    <t>PO140311007</t>
  </si>
  <si>
    <t>PI-20140312B</t>
  </si>
  <si>
    <t>PI-20143012C</t>
  </si>
  <si>
    <t>CG0337637564</t>
  </si>
  <si>
    <t>5355717-703856
(艾訊合庫)</t>
  </si>
  <si>
    <t xml:space="preserve"> 042001-00011967</t>
  </si>
  <si>
    <t>PI-20140317A</t>
  </si>
  <si>
    <t>EDS-308-MM-SC-T</t>
  </si>
  <si>
    <t>DHL: 967966829 計同PI-20140211A一起出貨</t>
  </si>
  <si>
    <t>PI-20140318A</t>
  </si>
  <si>
    <t>CP-114UL w/o Cable</t>
  </si>
  <si>
    <t>PO140321004</t>
  </si>
  <si>
    <t>PI-20140319A</t>
  </si>
  <si>
    <t>內銷(2014/04/02發票掛號寄出)</t>
  </si>
  <si>
    <t>PI-20140331A</t>
  </si>
  <si>
    <t>CX0322361MNP</t>
  </si>
  <si>
    <t>PO140401001</t>
  </si>
  <si>
    <t>PI-20140402A</t>
  </si>
  <si>
    <t>Moxa Mgate MB3270</t>
  </si>
  <si>
    <t>內銷(2014/04/24發票掛號寄出)</t>
  </si>
  <si>
    <t>PO140403001</t>
  </si>
  <si>
    <t>PI-20140403A</t>
  </si>
  <si>
    <t>MOXA CN2650-16</t>
  </si>
  <si>
    <t>內銷(2014/04/12發票掛號寄出)</t>
  </si>
  <si>
    <t xml:space="preserve">MOXA CN2650-8
</t>
  </si>
  <si>
    <t>PI-20140301-L</t>
  </si>
  <si>
    <t>UNO-2170-C11BE</t>
  </si>
  <si>
    <t>Angela</t>
  </si>
  <si>
    <t xml:space="preserve"> UPS- 0341W3  
(EXPRESS)</t>
  </si>
  <si>
    <t>C1030409.82報價單號</t>
  </si>
  <si>
    <t>CU0357BH4502</t>
  </si>
  <si>
    <t>1757002161 power adaptor (EU)</t>
  </si>
  <si>
    <t>PI-20140407A</t>
  </si>
  <si>
    <t xml:space="preserve">BCN944249
ECONOMY </t>
  </si>
  <si>
    <t>CG0337657921</t>
  </si>
  <si>
    <t>PI-20140407B</t>
  </si>
  <si>
    <t>未知</t>
  </si>
  <si>
    <t>PI-20140407C</t>
  </si>
  <si>
    <t>CR0337646919</t>
  </si>
  <si>
    <t>PO26898</t>
  </si>
  <si>
    <t>PI-20140407D</t>
  </si>
  <si>
    <t>CP-118U-I (119706)</t>
  </si>
  <si>
    <t>Forster/Angela</t>
  </si>
  <si>
    <t>內銷(2014/04/14發票隨研華貨箱寄出)</t>
  </si>
  <si>
    <t>PO26939</t>
  </si>
  <si>
    <t>PI-20140409</t>
  </si>
  <si>
    <t>PCI-1730U-BE(125721)</t>
  </si>
  <si>
    <t>UNIGENS負責</t>
  </si>
  <si>
    <t>140409D001報價單號</t>
  </si>
  <si>
    <t>內銷(2014/04/14發票隨貨寄出)</t>
  </si>
  <si>
    <t>PO27037</t>
  </si>
  <si>
    <t>PI-20140417</t>
  </si>
  <si>
    <t>CP-104UL-DB9M(P00612)</t>
  </si>
  <si>
    <t>內銷(2014/04/26發票掛號寄出)</t>
  </si>
  <si>
    <t>PI-20140419A</t>
  </si>
  <si>
    <t>TNT Economy EXPRESS 000107240</t>
  </si>
  <si>
    <t>CG0337657336</t>
  </si>
  <si>
    <t>PO201404190008</t>
  </si>
  <si>
    <t>PI-20140421A</t>
  </si>
  <si>
    <t>UPort-1150</t>
  </si>
  <si>
    <t>PO140421001</t>
  </si>
  <si>
    <t>PI-20140421B</t>
  </si>
  <si>
    <t>MOXA ioLogik E2210</t>
  </si>
  <si>
    <t>MOXA EDS-205A</t>
  </si>
  <si>
    <t>PO140416002</t>
  </si>
  <si>
    <t>PI-20140422A</t>
  </si>
  <si>
    <t>MOXA  NPort6610-32 (US/JP Power Cord)</t>
  </si>
  <si>
    <t>內銷(2014/05/06發票掛號寄出)</t>
  </si>
  <si>
    <t>PI-20140422B</t>
  </si>
  <si>
    <t>UC-7122-CE</t>
  </si>
  <si>
    <t>Lissa/ Yvonne</t>
  </si>
  <si>
    <t>DHL Express Courier Cargo Mode  (A/C NO:964096297)</t>
  </si>
  <si>
    <t>CX0322364ZNP</t>
  </si>
  <si>
    <t>PI-20140430A</t>
  </si>
  <si>
    <t>EDS-308-MM-SC</t>
  </si>
  <si>
    <t>UNIGENS負責TNT</t>
  </si>
  <si>
    <t>CR0337667882</t>
  </si>
  <si>
    <t>PI-20140505A</t>
  </si>
  <si>
    <t>NPort 5232 w/adapter</t>
  </si>
  <si>
    <t>Lissa/Yvonne</t>
  </si>
  <si>
    <t>Cleveron LTD</t>
  </si>
  <si>
    <t>PI-20140506A</t>
  </si>
  <si>
    <t>V101ZHU110+
HJ101NA-02C</t>
  </si>
  <si>
    <t>碩望</t>
  </si>
  <si>
    <t>華南中崙116-10-007799-6</t>
  </si>
  <si>
    <t>CG0337666882</t>
  </si>
  <si>
    <t>PO27203</t>
  </si>
  <si>
    <t>PI-20140507A3</t>
  </si>
  <si>
    <t>UPort 1150 (Z part no. P02615)</t>
  </si>
  <si>
    <t>內銷(2014/05/12發票平信寄出)</t>
  </si>
  <si>
    <t>PI-20140512A</t>
  </si>
  <si>
    <t>TNT ECONOMY (2024214)</t>
  </si>
  <si>
    <t>CG033766398</t>
  </si>
  <si>
    <t>OPT8D-2M</t>
  </si>
  <si>
    <t>MOXA
四零四科技</t>
  </si>
  <si>
    <t>PI-20140513A</t>
  </si>
  <si>
    <t>IPC-E2204S</t>
  </si>
  <si>
    <t>Unigen負責</t>
  </si>
  <si>
    <t>SUNBOX 
慧展</t>
  </si>
  <si>
    <t>玉山中和808
0439-440-023936</t>
  </si>
  <si>
    <t>內銷(2014/06/12發票隨貨寄出)</t>
  </si>
  <si>
    <t>PCIE-1622B</t>
  </si>
  <si>
    <t>PO27288</t>
  </si>
  <si>
    <t>PI-20140514A</t>
  </si>
  <si>
    <t>內銷(2014/05/26發票掛號寄出)</t>
  </si>
  <si>
    <t>Profcon</t>
  </si>
  <si>
    <t>PI-20140514B</t>
  </si>
  <si>
    <t>MPC-080S-DB25</t>
  </si>
  <si>
    <t>DHL 953324071</t>
  </si>
  <si>
    <t>CX0322370VSK</t>
  </si>
  <si>
    <t>PI-20140515A</t>
  </si>
  <si>
    <t>Uport 404</t>
  </si>
  <si>
    <t>內銷(2014/05/30發票掛號寄出)</t>
  </si>
  <si>
    <t>PH-0515UG</t>
  </si>
  <si>
    <t>PI-20140516A</t>
  </si>
  <si>
    <t>ioLogik E1210</t>
  </si>
  <si>
    <t>Alan/Angela</t>
  </si>
  <si>
    <t>AQ 36763153</t>
  </si>
  <si>
    <t>內銷(2014/05/24發票掛信寄出)</t>
  </si>
  <si>
    <t xml:space="preserve">PO140516001
</t>
  </si>
  <si>
    <t>PI-20140516B</t>
  </si>
  <si>
    <t>CN2650-16(GI1409CN2650100L)</t>
  </si>
  <si>
    <t>內銷(2014/05/26發票隨貨寄出)</t>
  </si>
  <si>
    <t>內銷(2014/06/12發票掛號寄出)</t>
  </si>
  <si>
    <t>PI-20140519A</t>
  </si>
  <si>
    <t>UMB-D255E1</t>
  </si>
  <si>
    <t>FedEx 173194102</t>
  </si>
  <si>
    <t>Stech</t>
  </si>
  <si>
    <t>預付HSBC 香港</t>
  </si>
  <si>
    <t>CF03550NZ192</t>
  </si>
  <si>
    <t>永豐
042001-00011967</t>
  </si>
  <si>
    <t>TS64GMSA340</t>
  </si>
  <si>
    <t>7WT-00050</t>
  </si>
  <si>
    <t>全達</t>
  </si>
  <si>
    <t>兆豐
0460900-5938</t>
  </si>
  <si>
    <t>PI-20140522A</t>
  </si>
  <si>
    <t>CX0322367KUL</t>
  </si>
  <si>
    <t>PO201405160012</t>
  </si>
  <si>
    <t>PI-20140522B</t>
  </si>
  <si>
    <t xml:space="preserve">Nport5150. 美規adapter
</t>
  </si>
  <si>
    <t xml:space="preserve">Forster/Michelle
</t>
  </si>
  <si>
    <t>PO27407</t>
  </si>
  <si>
    <t>PI-20140527A</t>
  </si>
  <si>
    <t xml:space="preserve"> CP-104UL-DB9M</t>
  </si>
  <si>
    <t>內銷(2014/06/03發票掛號寄出)</t>
  </si>
  <si>
    <t>PO-P-I140033</t>
  </si>
  <si>
    <t>PI-20140528A</t>
  </si>
  <si>
    <t>CX0322368UXX</t>
  </si>
  <si>
    <t>NPORT 5450</t>
  </si>
  <si>
    <t>PO140526002</t>
  </si>
  <si>
    <t>PI-20140529A</t>
  </si>
  <si>
    <t>CP- 134U-DB9M</t>
  </si>
  <si>
    <t>PI-20140609A</t>
  </si>
  <si>
    <t>內銷(2014/06/17發票掛號寄出)</t>
  </si>
  <si>
    <t>PI-20140610A</t>
  </si>
  <si>
    <t>DHL Account Number : 965031150</t>
  </si>
  <si>
    <t>CX0322369MKQ</t>
  </si>
  <si>
    <t xml:space="preserve">PI-20140610B </t>
  </si>
  <si>
    <t xml:space="preserve">PCI-1730U-BE </t>
  </si>
  <si>
    <t>PO-20140610A</t>
  </si>
  <si>
    <t>PO27576</t>
  </si>
  <si>
    <t>PI-20140612A</t>
  </si>
  <si>
    <t>內銷(2014/06/20發票隨貨寄出)</t>
  </si>
  <si>
    <t>PH-M7/151</t>
  </si>
  <si>
    <t>PI-20140613A</t>
  </si>
  <si>
    <t>MOXA  CA-104-T</t>
  </si>
  <si>
    <t>BK 36697953</t>
  </si>
  <si>
    <t>內銷(2014/07/10發票隨貨寄出)</t>
  </si>
  <si>
    <t>BK 36697958</t>
  </si>
  <si>
    <t>內銷(2014/07/24發票隨貨寄出)</t>
  </si>
  <si>
    <t>Unigens-巨邦機車</t>
  </si>
  <si>
    <t>(242)140616</t>
  </si>
  <si>
    <t>"華南銀行代號008
帳號: 183-10-0007773"</t>
  </si>
  <si>
    <t>PO140611003</t>
  </si>
  <si>
    <t>PI-20140617A</t>
  </si>
  <si>
    <t>Moxa NPort 6150</t>
  </si>
  <si>
    <t>BK 36697957</t>
  </si>
  <si>
    <t>內銷(2014/07/19發票掛號寄出)</t>
  </si>
  <si>
    <t>MOXA Nport 6250</t>
  </si>
  <si>
    <t>AQ 36763174</t>
  </si>
  <si>
    <t>內銷(2014/07/01發票掛號寄出)</t>
  </si>
  <si>
    <t>PO140616004</t>
  </si>
  <si>
    <t>PI-20140617B</t>
  </si>
  <si>
    <t>MOXA NPort 6610-32 w/UK power adpator</t>
  </si>
  <si>
    <t>PO27602</t>
  </si>
  <si>
    <t>PI-20140617C</t>
  </si>
  <si>
    <t>20140600126137
(20140600126025)</t>
  </si>
  <si>
    <t>PO27625</t>
  </si>
  <si>
    <t>PI-20140617D</t>
  </si>
  <si>
    <t>PO20140617A</t>
  </si>
  <si>
    <t>PO4984</t>
  </si>
  <si>
    <t>PI-20140618A</t>
  </si>
  <si>
    <t>V2406-LX</t>
  </si>
  <si>
    <t>The Regency Express</t>
  </si>
  <si>
    <t>CW0370501940</t>
  </si>
  <si>
    <t>CBL-M12D(MM4P)/RJ45-100 IP67</t>
  </si>
  <si>
    <t>CBL-M12(FF5P)/Open-100 IP67</t>
  </si>
  <si>
    <t>Avalue
安勤科技</t>
  </si>
  <si>
    <t>PI-20140618D</t>
  </si>
  <si>
    <t>SOM-6765N-S6A1E</t>
  </si>
  <si>
    <t>PO20140618A</t>
  </si>
  <si>
    <t>BK 36697952</t>
  </si>
  <si>
    <t>內銷(2014/07/07發票掛號寄出)</t>
  </si>
  <si>
    <t>PO140617002</t>
  </si>
  <si>
    <t>PI-20140618B</t>
  </si>
  <si>
    <t>PI-20140618C</t>
  </si>
  <si>
    <t>PO-20140619A</t>
  </si>
  <si>
    <t>CG0337687750</t>
  </si>
  <si>
    <t>PO201405080003</t>
  </si>
  <si>
    <t>PI-20140619A</t>
  </si>
  <si>
    <t xml:space="preserve"> 杜邦2.0母轉2.54公 轉接線5CM        </t>
  </si>
  <si>
    <t>travla</t>
  </si>
  <si>
    <t>內銷(2014/06/23發票隨貨寄出)</t>
  </si>
  <si>
    <t>PO1240501-2</t>
  </si>
  <si>
    <t>PI-20140623A</t>
  </si>
  <si>
    <t>JAS TAIWAN.docx</t>
  </si>
  <si>
    <t>CH0369503174</t>
  </si>
  <si>
    <t>PO27680</t>
  </si>
  <si>
    <t>PI-20140623B</t>
  </si>
  <si>
    <t>PO20140623A</t>
  </si>
  <si>
    <t>BK 36697950</t>
  </si>
  <si>
    <t>內銷(2014/07/04發票隨貨寄出)</t>
  </si>
  <si>
    <t>BK 36697966</t>
  </si>
  <si>
    <t>2014/08/01發票隨貨寄出</t>
  </si>
  <si>
    <t>CB14-254</t>
  </si>
  <si>
    <t>PI-20140703A</t>
  </si>
  <si>
    <t>GS25A18-P1J</t>
  </si>
  <si>
    <t>贊翔（meanwell）</t>
  </si>
  <si>
    <t>PO20140704A</t>
  </si>
  <si>
    <t>CG03376A9081</t>
  </si>
  <si>
    <t xml:space="preserve">CB14-261 </t>
  </si>
  <si>
    <t>PI-20140703B</t>
  </si>
  <si>
    <t>CG0337693697</t>
  </si>
  <si>
    <t>CB14-261</t>
  </si>
  <si>
    <t>PO20140707A</t>
  </si>
  <si>
    <t>5355717-703856 (艾訊合庫)</t>
  </si>
  <si>
    <t>PO201407020009</t>
  </si>
  <si>
    <t>PI-20140707A</t>
  </si>
  <si>
    <t>BK 36697965</t>
  </si>
  <si>
    <t>內銷(2014/07/30發票掛號寄出)</t>
  </si>
  <si>
    <t>PO201407040009</t>
  </si>
  <si>
    <t>PI-20140707B</t>
  </si>
  <si>
    <t>PO201407080007</t>
  </si>
  <si>
    <t>PI-20140708A</t>
  </si>
  <si>
    <t>BK 36697954</t>
  </si>
  <si>
    <t>內銷(2014/07/14發票掛號寄出)</t>
  </si>
  <si>
    <t>PO140711008</t>
  </si>
  <si>
    <t>PI-20140711A</t>
  </si>
  <si>
    <t>Moxa C218 Turbo/ PCI</t>
  </si>
  <si>
    <t>BK 36697956</t>
  </si>
  <si>
    <t>PI-20140714A</t>
  </si>
  <si>
    <t>HTS541680J9AT00</t>
  </si>
  <si>
    <t>Forster 負責</t>
  </si>
  <si>
    <t>ORD33027</t>
  </si>
  <si>
    <t>BK 36697955</t>
  </si>
  <si>
    <t>內銷(2014/07/15發票掛號寄出)</t>
  </si>
  <si>
    <t>PI-20140715A</t>
  </si>
  <si>
    <t>MGate 5101-PBM-MN</t>
  </si>
  <si>
    <t>CX0322376BKX</t>
  </si>
  <si>
    <t>PO-P-I140057</t>
  </si>
  <si>
    <t>PI-20140715B</t>
  </si>
  <si>
    <t>CX0322373BTV</t>
  </si>
  <si>
    <t>PO140715005</t>
  </si>
  <si>
    <t>PI-20140716A</t>
  </si>
  <si>
    <t>IMC-21-S-SC</t>
  </si>
  <si>
    <t>BK 36697959</t>
  </si>
  <si>
    <t>內銷(2014/07/24發票掛號寄出)</t>
  </si>
  <si>
    <t>PH-0626ETUG</t>
  </si>
  <si>
    <t>PI-20140717A</t>
  </si>
  <si>
    <t>20140700128681
20140700128679</t>
  </si>
  <si>
    <t>2014/08/14
2014/08/14</t>
  </si>
  <si>
    <t>32,244
39,409</t>
  </si>
  <si>
    <t>BK 36697971</t>
  </si>
  <si>
    <t>內銷(2014/08/14發票掛號寄出)</t>
  </si>
  <si>
    <t>BK 36697964</t>
  </si>
  <si>
    <t>內銷(2014/07/29發票掛號寄出)</t>
  </si>
  <si>
    <t>PO27955</t>
  </si>
  <si>
    <t>PI-20140718A</t>
  </si>
  <si>
    <t>P02169 ADAM-6060-CE</t>
  </si>
  <si>
    <t>PO20140718A</t>
  </si>
  <si>
    <t>BK 36697962</t>
  </si>
  <si>
    <t>P01021 ADAM-4021-DE</t>
  </si>
  <si>
    <t>PO27973</t>
  </si>
  <si>
    <t>PI-20140718B</t>
  </si>
  <si>
    <t>P02494 ADAM-4520-EE</t>
  </si>
  <si>
    <t>PO20140718A 最低進價 NTD1237</t>
  </si>
  <si>
    <t>PRTronic Gmbh</t>
  </si>
  <si>
    <t>1-28 14-0024</t>
  </si>
  <si>
    <t>PI-20140721A</t>
  </si>
  <si>
    <t>2.5"HDD HTS541680J9AT00</t>
  </si>
  <si>
    <t>PO20140722A</t>
  </si>
  <si>
    <t>兆豐新店-活存017
 A/C :04609021798</t>
  </si>
  <si>
    <t>CW03148K2765</t>
  </si>
  <si>
    <t>PO28013</t>
  </si>
  <si>
    <t>PI-20140722A</t>
  </si>
  <si>
    <t xml:space="preserve">P01693 PCI-1612A-CE </t>
  </si>
  <si>
    <t>Unigens-郵局</t>
  </si>
  <si>
    <t>PO20140722B</t>
  </si>
  <si>
    <t>BK 36697963</t>
  </si>
  <si>
    <t>2014/07/28發票隨貨寄出</t>
  </si>
  <si>
    <t>PO28031</t>
  </si>
  <si>
    <t>PI-20140724A</t>
  </si>
  <si>
    <t xml:space="preserve"> P02283 EKI-2741SX-AE </t>
  </si>
  <si>
    <t>PO20140724A</t>
  </si>
  <si>
    <t>BK 36697970</t>
  </si>
  <si>
    <t>2014/08/13發票隨貨寄出</t>
  </si>
  <si>
    <t>PO28036</t>
  </si>
  <si>
    <t>PI-20140724B</t>
  </si>
  <si>
    <t xml:space="preserve">P02228 ADAM-6050-CE </t>
  </si>
  <si>
    <t>PO20140724B</t>
  </si>
  <si>
    <t>PO28056</t>
  </si>
  <si>
    <t>PI-20140728A</t>
  </si>
  <si>
    <t>PO20140728A</t>
  </si>
  <si>
    <t>P02494. ADAM-4520-EE</t>
  </si>
  <si>
    <t>P02228 ADAM-6050-CE</t>
  </si>
  <si>
    <t>PI-20140728B</t>
  </si>
  <si>
    <t>NPort W2150A</t>
  </si>
  <si>
    <t xml:space="preserve">TNT Account No: 000081207 </t>
  </si>
  <si>
    <t>TNT-CG03376A4225</t>
  </si>
  <si>
    <t>Fedex Account No: 319862919</t>
  </si>
  <si>
    <t>FEDEX-CF03550UT855</t>
  </si>
  <si>
    <t>PO28089</t>
  </si>
  <si>
    <t>PI-20140729A</t>
  </si>
  <si>
    <t>Unigens-全球</t>
  </si>
  <si>
    <t>PO20140729A</t>
  </si>
  <si>
    <t>BK 36697973</t>
  </si>
  <si>
    <t>2014/08/21發票隨貨寄出</t>
  </si>
  <si>
    <t>PO201407290007</t>
  </si>
  <si>
    <t>PI-20140729B</t>
  </si>
  <si>
    <t xml:space="preserve"> 杜邦2.0母轉2.54公 轉接線5CM	</t>
  </si>
  <si>
    <t>Travla</t>
  </si>
  <si>
    <t>PO20140729B</t>
  </si>
  <si>
    <t>CE  52075050</t>
  </si>
  <si>
    <t>內銷(2014/09/02發票隨貨寄出)</t>
  </si>
  <si>
    <t>PH-0724ETUG</t>
  </si>
  <si>
    <t>PI-20140730A</t>
  </si>
  <si>
    <t>TCC-100I-T</t>
  </si>
  <si>
    <t>PO28108</t>
  </si>
  <si>
    <t>PI-20140731A</t>
  </si>
  <si>
    <t>PO20140731A</t>
  </si>
  <si>
    <t>BK 36697968</t>
  </si>
  <si>
    <t>2014/08/07發票隨貨寄出</t>
  </si>
  <si>
    <t>PI-20140731B</t>
  </si>
  <si>
    <t>Avalue LPC-1503 RMA</t>
  </si>
  <si>
    <t>BK 36697967</t>
  </si>
  <si>
    <t>2014/08/07發票掛號寄出</t>
  </si>
  <si>
    <t>PI-20140805B</t>
  </si>
  <si>
    <t>FETA FREIGHT SYSTEMS (TAIWAN )</t>
  </si>
  <si>
    <t>CW0347023156</t>
  </si>
  <si>
    <t>CP-104EL-DB9M</t>
  </si>
  <si>
    <t>PO28172</t>
  </si>
  <si>
    <t>PI-20140806A</t>
  </si>
  <si>
    <t>PO20140806A</t>
  </si>
  <si>
    <t>PO201408050006</t>
  </si>
  <si>
    <t xml:space="preserve">PI20140806B </t>
  </si>
  <si>
    <t>Nupro-852DV</t>
  </si>
  <si>
    <t>adlink</t>
  </si>
  <si>
    <t>PO20140806B</t>
  </si>
  <si>
    <t>BK 36697974</t>
  </si>
  <si>
    <t>PO28187</t>
  </si>
  <si>
    <t>PI-20140807A</t>
  </si>
  <si>
    <t>PO20140807A</t>
  </si>
  <si>
    <t>CE 52075052</t>
  </si>
  <si>
    <t>2014/09/09發票隨貨寄出</t>
  </si>
  <si>
    <t>PH - 656CTB</t>
  </si>
  <si>
    <t>PI-20140812A</t>
  </si>
  <si>
    <t>MOXA C218 Turbo/PCI</t>
  </si>
  <si>
    <t>BK 36697975</t>
  </si>
  <si>
    <t>2014/08/23發票掛號寄出</t>
  </si>
  <si>
    <t>MOXA OPT8-M9</t>
  </si>
  <si>
    <t>PI-20140813A</t>
  </si>
  <si>
    <t xml:space="preserve">"合作金庫
5355-665-004610"
</t>
  </si>
  <si>
    <t>NPort 5410</t>
  </si>
  <si>
    <t>NPort 5610-8</t>
  </si>
  <si>
    <t>NPort 5610-16</t>
  </si>
  <si>
    <t>330-14080667</t>
  </si>
  <si>
    <t>PI-20140813B</t>
  </si>
  <si>
    <t>BK 36697977</t>
  </si>
  <si>
    <t>2014/08/26發票掛號寄出</t>
  </si>
  <si>
    <t>CE 52075061</t>
  </si>
  <si>
    <t>2014/09/27發票掛號寄出</t>
  </si>
  <si>
    <t>PO28251</t>
  </si>
  <si>
    <t>PI-20140814A</t>
  </si>
  <si>
    <t>PCI-1762-AE</t>
  </si>
  <si>
    <t>unigens-巨邦</t>
  </si>
  <si>
    <t>PO20140814A</t>
  </si>
  <si>
    <t>CE 52075051</t>
  </si>
  <si>
    <t>2014/09/02發票隨貨寄出</t>
  </si>
  <si>
    <t>BK 36697972</t>
  </si>
  <si>
    <t>CSIL/PO - 653/13-14</t>
  </si>
  <si>
    <t>PI-20140818A</t>
  </si>
  <si>
    <t>DHL A/C No. 965489432</t>
  </si>
  <si>
    <t>已預付1000</t>
  </si>
  <si>
    <t>CX 0322323XUT</t>
  </si>
  <si>
    <t>PO28293</t>
  </si>
  <si>
    <t>PI-20140819A</t>
  </si>
  <si>
    <t>PO20140819B</t>
  </si>
  <si>
    <t>PO28317</t>
  </si>
  <si>
    <t>PI-20140820A</t>
  </si>
  <si>
    <t>PO20140821A</t>
  </si>
  <si>
    <t>BK 36697976</t>
  </si>
  <si>
    <t>2014/08/25發票隨貨寄出</t>
  </si>
  <si>
    <t>ADAM-4520-EE一</t>
  </si>
  <si>
    <t>PH- M7/154-1</t>
  </si>
  <si>
    <t>PI-20140821A</t>
  </si>
  <si>
    <t>MOXA CA-108T</t>
  </si>
  <si>
    <t>CE 52075058</t>
  </si>
  <si>
    <t>2014/09/18發票隨貨寄出</t>
  </si>
  <si>
    <t>MOXA CBL-F40M9X4-50</t>
  </si>
  <si>
    <t>(252-1)140822</t>
  </si>
  <si>
    <t>PI-20140825A</t>
  </si>
  <si>
    <t>C168H</t>
  </si>
  <si>
    <t>TNT ECONOMY EXPRESS 000107240</t>
  </si>
  <si>
    <t>CG03376B5196</t>
  </si>
  <si>
    <t>PI-20140822A-Revise台幣</t>
  </si>
  <si>
    <t>MOXA ioLogoik E2214</t>
  </si>
  <si>
    <t>CE0337811648</t>
  </si>
  <si>
    <t>PO28354</t>
  </si>
  <si>
    <t>PI-20140827A</t>
  </si>
  <si>
    <t>PO20140827A</t>
  </si>
  <si>
    <t>PI-20140901A</t>
  </si>
  <si>
    <t>MOXA CP-114I-DB9M</t>
  </si>
  <si>
    <t>PI-20140901B</t>
  </si>
  <si>
    <t>MOXA NPort 5650-8</t>
  </si>
  <si>
    <t>MOXA NPort 5150</t>
  </si>
  <si>
    <t>MOXA NPort 5450</t>
  </si>
  <si>
    <t>CE0337812246</t>
  </si>
  <si>
    <t>PO28458</t>
  </si>
  <si>
    <t>PI-20140904A</t>
  </si>
  <si>
    <t>PO20140904A</t>
  </si>
  <si>
    <t>CE 52075053</t>
  </si>
  <si>
    <t>2014/09/09發票隨或寄出</t>
  </si>
  <si>
    <t>PO28453</t>
  </si>
  <si>
    <t>PI-20140904B</t>
  </si>
  <si>
    <t>PO20140904B</t>
  </si>
  <si>
    <t>PO28476</t>
  </si>
  <si>
    <t>PI-20140905A</t>
  </si>
  <si>
    <t>PO20140905A</t>
  </si>
  <si>
    <t>CE 52075062改成
CE 36928101</t>
  </si>
  <si>
    <t>2014/10/01發票隨貨寄出</t>
  </si>
  <si>
    <t>PO28474</t>
  </si>
  <si>
    <t>PI-20140905B</t>
  </si>
  <si>
    <t>PO20140905B</t>
  </si>
  <si>
    <t>CE 52075056</t>
  </si>
  <si>
    <t>2014/09/16發票隨貨寄出</t>
  </si>
  <si>
    <t>PI-20140909A</t>
  </si>
  <si>
    <t>APLEX</t>
  </si>
  <si>
    <t>PO20140909A</t>
  </si>
  <si>
    <t>CG03376C8302</t>
  </si>
  <si>
    <t>PI-20140909B</t>
  </si>
  <si>
    <t>2014 /09/12</t>
  </si>
  <si>
    <t>330-14090030</t>
  </si>
  <si>
    <t>PI-20140910A-Revise</t>
  </si>
  <si>
    <t>MOXA NPort W2150A</t>
  </si>
  <si>
    <t>CE 52075054</t>
  </si>
  <si>
    <t>2014/09/12發票交由老闆</t>
  </si>
  <si>
    <t>PI-20140910B</t>
  </si>
  <si>
    <t>PO28510</t>
  </si>
  <si>
    <t>PI-20140910C</t>
  </si>
  <si>
    <t>PCI-1762AE</t>
  </si>
  <si>
    <t>PO20140910A</t>
  </si>
  <si>
    <t>CE 52075057</t>
  </si>
  <si>
    <t>PI-20140911A</t>
  </si>
  <si>
    <t>MOXA IEX-402-VDSL2</t>
  </si>
  <si>
    <t>PO28592</t>
  </si>
  <si>
    <t>PI-20140916A</t>
  </si>
  <si>
    <t>PO20140916A</t>
  </si>
  <si>
    <t>CE 52075059</t>
  </si>
  <si>
    <t>PI-20140917A</t>
  </si>
  <si>
    <t>MOXA TCC-120I</t>
  </si>
  <si>
    <t>CE0337813227</t>
  </si>
  <si>
    <t>MOXA M-1800</t>
  </si>
  <si>
    <t>10/6/2014  (要寫下產品序號）</t>
  </si>
  <si>
    <t>201410/06</t>
  </si>
  <si>
    <t>MOXA NA-4020</t>
  </si>
  <si>
    <t>MOXA M-2450</t>
  </si>
  <si>
    <t>PO28616</t>
  </si>
  <si>
    <t>PI-20140918A</t>
  </si>
  <si>
    <t>unigens-大榮</t>
  </si>
  <si>
    <t>PO20140918A</t>
  </si>
  <si>
    <t>CE 52075060</t>
  </si>
  <si>
    <t>2014/09/22發票隨貨寄出</t>
  </si>
  <si>
    <t>PI-20140919A-Revise</t>
  </si>
  <si>
    <t>Avalue LPC-1505-525</t>
  </si>
  <si>
    <t>1/5/2015
(付款695929)</t>
  </si>
  <si>
    <t>CZ 52099153</t>
  </si>
  <si>
    <t>2014/11/3發票隨貨寄出</t>
  </si>
  <si>
    <t>Unigens永和</t>
  </si>
  <si>
    <t>PO20140926C</t>
  </si>
  <si>
    <t>11/11
(付款500,000)</t>
  </si>
  <si>
    <t>CZ 52099168</t>
  </si>
  <si>
    <t>2014/11/17發票隨貨寄出</t>
  </si>
  <si>
    <t>Avalue LPC-1505-525-5COM</t>
  </si>
  <si>
    <t>Avalue SPC-1505-525</t>
  </si>
  <si>
    <t>PI-20141009A</t>
  </si>
  <si>
    <t>Avalue SPC-1505 3in1 Cable (E1700392000R)</t>
  </si>
  <si>
    <t>PO20141013B</t>
  </si>
  <si>
    <t>PI-20140919B-Revise</t>
  </si>
  <si>
    <t>MOXA ioLogik E2214</t>
  </si>
  <si>
    <t>PO28697</t>
  </si>
  <si>
    <t>PI-20140925A</t>
  </si>
  <si>
    <t>PCL-10162-1E</t>
  </si>
  <si>
    <t>PO20140926A</t>
  </si>
  <si>
    <t>CE 52075063改成 
CE 36928102</t>
  </si>
  <si>
    <t>CE 52075064改成
CE 36928103</t>
  </si>
  <si>
    <t>CE 52075065改成
CE 36928104</t>
  </si>
  <si>
    <t>PI-20140925B</t>
  </si>
  <si>
    <t>CE 36928106</t>
  </si>
  <si>
    <t>2014/10/13發票隨貨寄出</t>
  </si>
  <si>
    <t>PI-20140925C</t>
  </si>
  <si>
    <t>CE 36928109</t>
  </si>
  <si>
    <t>2014/10/15發票隨貨寄出</t>
  </si>
  <si>
    <t>330-14091302</t>
  </si>
  <si>
    <t>PI-20140926A</t>
  </si>
  <si>
    <t>CE 52075066改成
CE 36928105</t>
  </si>
  <si>
    <t>2014/10/07發票掛號寄出</t>
  </si>
  <si>
    <t xml:space="preserve">CB14-505 </t>
  </si>
  <si>
    <t>PI-20140926B</t>
  </si>
  <si>
    <t>NPORT 6450</t>
  </si>
  <si>
    <t>"TNT002004901
 Economy Express"</t>
  </si>
  <si>
    <t>CG03376D1792</t>
  </si>
  <si>
    <t>CG0376E8270</t>
  </si>
  <si>
    <t>PO28716-R</t>
  </si>
  <si>
    <t>PI-20140926C</t>
  </si>
  <si>
    <t>PO20140928A</t>
  </si>
  <si>
    <t>CE 52075065改成
CE 36928103</t>
  </si>
  <si>
    <t>PO28722</t>
  </si>
  <si>
    <t>PI-20140926D</t>
  </si>
  <si>
    <t>PO20140928B</t>
  </si>
  <si>
    <t>CE 536928115</t>
  </si>
  <si>
    <t>2014/10/23發票隨貨寄出</t>
  </si>
  <si>
    <t>PI-20140930A</t>
  </si>
  <si>
    <t>MeanWell PPT-125B</t>
  </si>
  <si>
    <t>PO20140930A</t>
  </si>
  <si>
    <t>CE0337812616</t>
  </si>
  <si>
    <t>PO28769</t>
  </si>
  <si>
    <t>PI-20141002A</t>
  </si>
  <si>
    <t>PO20141002A</t>
  </si>
  <si>
    <t>CE 36928107</t>
  </si>
  <si>
    <t>PI-20141002B</t>
  </si>
  <si>
    <t>PO28777</t>
  </si>
  <si>
    <t>PI-20141002C</t>
  </si>
  <si>
    <t>PCL-10137-3</t>
  </si>
  <si>
    <t>PO20141002B</t>
  </si>
  <si>
    <t>PCL-10137-2</t>
  </si>
  <si>
    <t>330-14100192</t>
  </si>
  <si>
    <t>PI-20141003A</t>
  </si>
  <si>
    <t>CP-168EL-A w/o Cable</t>
  </si>
  <si>
    <t>CE 36928121</t>
  </si>
  <si>
    <t>2014/10/30發票掛號寄出</t>
  </si>
  <si>
    <t>CZ 52099176</t>
  </si>
  <si>
    <t>2014/11/26發票掛號寄出</t>
  </si>
  <si>
    <t>PI-20141006A</t>
  </si>
  <si>
    <t xml:space="preserve"> MOXA CP-134U-DB9M</t>
  </si>
  <si>
    <t>.</t>
  </si>
  <si>
    <t>CE0337812888</t>
  </si>
  <si>
    <t>PO28808</t>
  </si>
  <si>
    <t>PI-20141006B</t>
  </si>
  <si>
    <t>PO20141006A</t>
  </si>
  <si>
    <t>CE 36928108</t>
  </si>
  <si>
    <t>PI-20141007A-R</t>
  </si>
  <si>
    <t xml:space="preserve"> MOXA NPort 6610-32</t>
  </si>
  <si>
    <t>PI-20141008A</t>
  </si>
  <si>
    <t>SI-58M</t>
  </si>
  <si>
    <t>FETA FREIGHT SYSTEMS
(TAIWAN )</t>
  </si>
  <si>
    <t>iBase</t>
  </si>
  <si>
    <t>PO20141017D</t>
  </si>
  <si>
    <t>CW0347026933</t>
  </si>
  <si>
    <t>BPC-100S1C</t>
  </si>
  <si>
    <t>要從工單中拉出</t>
  </si>
  <si>
    <t>PO28835</t>
  </si>
  <si>
    <t>PI-20141008B</t>
  </si>
  <si>
    <t xml:space="preserve">CBL-M68M9x8-100 </t>
  </si>
  <si>
    <t>CZ 52099152</t>
  </si>
  <si>
    <t>2014/11/04發票掛號寄出</t>
  </si>
  <si>
    <t>PO28861</t>
  </si>
  <si>
    <t>PI-20141013A</t>
  </si>
  <si>
    <t>PO20141009A</t>
  </si>
  <si>
    <t>CE 36928111</t>
  </si>
  <si>
    <t>PCL-10250-2E</t>
  </si>
  <si>
    <t>PCL-10137-2E</t>
  </si>
  <si>
    <t>PCI-1756-AE</t>
  </si>
  <si>
    <t>CE 36928112 改成
CE 36928124</t>
  </si>
  <si>
    <t>PCI-1713U-BE</t>
  </si>
  <si>
    <t>PI-20141013B</t>
  </si>
  <si>
    <t>unigens-巨邦機車</t>
  </si>
  <si>
    <t>CE 36928122</t>
  </si>
  <si>
    <t>2014/10/30發票隨貨寄出</t>
  </si>
  <si>
    <t>PI-20141013C</t>
  </si>
  <si>
    <t xml:space="preserve"> UPS- 0341W3                 (EXPRESS)</t>
  </si>
  <si>
    <t>CU 0357BG8541</t>
  </si>
  <si>
    <t xml:space="preserve">CB14-560 </t>
  </si>
  <si>
    <t>PI-20141013D</t>
  </si>
  <si>
    <t>RD-85A</t>
  </si>
  <si>
    <t>PO20141013A</t>
  </si>
  <si>
    <t>CG03376G9978</t>
  </si>
  <si>
    <t>CB14-560</t>
  </si>
  <si>
    <t>CR03376D6518</t>
  </si>
  <si>
    <t>PO28901</t>
  </si>
  <si>
    <t>PI-20141014A</t>
  </si>
  <si>
    <t>CE 36928114</t>
  </si>
  <si>
    <t>發票隨20140926D合併寄出</t>
  </si>
  <si>
    <t>PI-20141014B</t>
  </si>
  <si>
    <t>CZ 52099159</t>
  </si>
  <si>
    <t>2014/11/10發票隨貨寄出</t>
  </si>
  <si>
    <t>PI-20141015A</t>
  </si>
  <si>
    <t xml:space="preserve"> MOXA Uport 1110</t>
  </si>
  <si>
    <t>CE0337813358</t>
  </si>
  <si>
    <t>PI-20141015B</t>
  </si>
  <si>
    <t>MOXA EDS-308</t>
  </si>
  <si>
    <t>PO201410170002</t>
  </si>
  <si>
    <t>PI-20141017A</t>
  </si>
  <si>
    <t xml:space="preserve">14-US-00-00008 SATA Cable </t>
  </si>
  <si>
    <t>PO20141017A</t>
  </si>
  <si>
    <t>CZ 52099154</t>
  </si>
  <si>
    <t>2014/11/6發票隨貨寄出</t>
  </si>
  <si>
    <t>PO28955</t>
  </si>
  <si>
    <t>PI-20141017B</t>
  </si>
  <si>
    <t>PCLD-789D-AE</t>
  </si>
  <si>
    <t>PO20141017B</t>
  </si>
  <si>
    <t>CE 36928117</t>
  </si>
  <si>
    <t>2014/10/27發票隨貨寄出</t>
  </si>
  <si>
    <t>PO28959</t>
  </si>
  <si>
    <t>PI-20141020A</t>
  </si>
  <si>
    <t>CE 36928116</t>
  </si>
  <si>
    <t>(255)141020</t>
  </si>
  <si>
    <t>PO28969</t>
  </si>
  <si>
    <t>PI-20141021A</t>
  </si>
  <si>
    <t>PO20141021A</t>
  </si>
  <si>
    <t>CZ 52099163</t>
  </si>
  <si>
    <t>2014/11/11發票隨貨寄出</t>
  </si>
  <si>
    <t>PO-P-I140127</t>
  </si>
  <si>
    <t>PI-20141021B</t>
  </si>
  <si>
    <t>DHL A/C No 964096297</t>
  </si>
  <si>
    <t>CX0322386CDB</t>
  </si>
  <si>
    <t>Evaluation PI-20141021C</t>
  </si>
  <si>
    <t>UMB-N280S1  ( 12/5 已歸還 )</t>
  </si>
  <si>
    <t>Forster Dellivery</t>
  </si>
  <si>
    <t>客戶已歸還不需開票</t>
  </si>
  <si>
    <t>PI-20141022A</t>
  </si>
  <si>
    <t>MOXA EDS-P206A-4PoE-S-SC</t>
  </si>
  <si>
    <t>CE0337815413</t>
  </si>
  <si>
    <t>MOXA AWK-4121-EU-T</t>
  </si>
  <si>
    <t>330-14101076</t>
  </si>
  <si>
    <t>PI-20141022B</t>
  </si>
  <si>
    <t>CZ 5099177</t>
  </si>
  <si>
    <t>330-14100101</t>
  </si>
  <si>
    <t>PI-20141022C</t>
  </si>
  <si>
    <t>MOXA NPort W2150A w/ China Adapter</t>
  </si>
  <si>
    <t>CE 36928123</t>
  </si>
  <si>
    <t>2014/10/30發票交由老闆</t>
  </si>
  <si>
    <t>PO201410220003</t>
  </si>
  <si>
    <t>PI-20141022D</t>
  </si>
  <si>
    <t>CZ 52099151</t>
  </si>
  <si>
    <t>PO29011</t>
  </si>
  <si>
    <t>PI-20141023A</t>
  </si>
  <si>
    <t>PO20141023A</t>
  </si>
  <si>
    <t>CE 36928119</t>
  </si>
  <si>
    <t>2014/10/28發票隨貨寄出</t>
  </si>
  <si>
    <t>PO29006</t>
  </si>
  <si>
    <t>PI-20141023B</t>
  </si>
  <si>
    <t>PO20141023AB</t>
  </si>
  <si>
    <t>CE 36928120</t>
  </si>
  <si>
    <t>ADAM-4117-AE</t>
  </si>
  <si>
    <t>PI-20141024A</t>
  </si>
  <si>
    <t>(255)141023</t>
  </si>
  <si>
    <t>CG03376E8276</t>
  </si>
  <si>
    <t>PI-20141027A</t>
  </si>
  <si>
    <t>MOXA Nport 5610-8</t>
  </si>
  <si>
    <t>PO-20141027A</t>
  </si>
  <si>
    <t>CE0337814695</t>
  </si>
  <si>
    <t>PO201410270016</t>
  </si>
  <si>
    <t>PI-20141027B</t>
  </si>
  <si>
    <t>NPort-5210 w/ adapter USA</t>
  </si>
  <si>
    <t>PO-20141027B</t>
  </si>
  <si>
    <t>CZ 52099155</t>
  </si>
  <si>
    <t>PI-20141028A</t>
  </si>
  <si>
    <t>PI-20141028B</t>
  </si>
  <si>
    <t>EBX-A2 NRE ( w/ 5 Pcs Samples)</t>
  </si>
  <si>
    <t>Forster負責</t>
  </si>
  <si>
    <t>Unigens
永和辦公室</t>
  </si>
  <si>
    <t>T</t>
  </si>
  <si>
    <t>銀行帳號: 143100002991 
銀行名稱: 華南商業銀行</t>
  </si>
  <si>
    <t>CZ 38045126</t>
  </si>
  <si>
    <t>2014/12/26業務取走給廠商</t>
  </si>
  <si>
    <t>EBX-U2 Coversink</t>
  </si>
  <si>
    <t>PO29085</t>
  </si>
  <si>
    <t>PI-20141029B</t>
  </si>
  <si>
    <t>PO-20141029B</t>
  </si>
  <si>
    <t>CZ 52099150</t>
  </si>
  <si>
    <t>PI-20141103A</t>
  </si>
  <si>
    <t>MOXA C168H/PCI</t>
  </si>
  <si>
    <t>PO-20141103A</t>
  </si>
  <si>
    <t>CZ 52099161</t>
  </si>
  <si>
    <t>MOXA CBL-M62M9x8-100 (OPT8D)</t>
  </si>
  <si>
    <t>(259)141104</t>
  </si>
  <si>
    <t>PO29142</t>
  </si>
  <si>
    <t>PI-20141104A</t>
  </si>
  <si>
    <t>PO-20141104A</t>
  </si>
  <si>
    <t>CZ 52099160</t>
  </si>
  <si>
    <t>PO29152</t>
  </si>
  <si>
    <t>PI-20141105A</t>
  </si>
  <si>
    <t xml:space="preserve"> NPort IA5450AI-T</t>
  </si>
  <si>
    <t>CZ 38045112-此張作廢
已改CZ38045117</t>
  </si>
  <si>
    <t>201412/18掛號寄出
改的發票已和PO29615隨貨寄出</t>
  </si>
  <si>
    <t>PI-20141106A</t>
  </si>
  <si>
    <t>PO-20141106A</t>
  </si>
  <si>
    <t>CZ 52099162</t>
  </si>
  <si>
    <t>PO29177</t>
  </si>
  <si>
    <t>PI-20141106B</t>
  </si>
  <si>
    <t>PO-20141106B</t>
  </si>
  <si>
    <t>PI-20141106C</t>
  </si>
  <si>
    <t>USB-4704-AE</t>
  </si>
  <si>
    <t>PO-20141106C</t>
  </si>
  <si>
    <t>PI-20141106D</t>
  </si>
  <si>
    <t>PO-20141106D</t>
  </si>
  <si>
    <t>CG03376G3286</t>
  </si>
  <si>
    <t>HDD</t>
  </si>
  <si>
    <t>聯沃(WD)</t>
  </si>
  <si>
    <t>彰化銀行  吉林分行
3003-01-88889-7-00</t>
  </si>
  <si>
    <t>PO201411060021</t>
  </si>
  <si>
    <t>PI-20141106E</t>
  </si>
  <si>
    <t>PO-20141106E</t>
  </si>
  <si>
    <t>CZ 52099164</t>
  </si>
  <si>
    <t>2014/11/13發票掛號寄出</t>
  </si>
  <si>
    <t>PI-20141107A</t>
  </si>
  <si>
    <t>MOXA AWK-5222-EU</t>
  </si>
  <si>
    <t>PO-20141107A</t>
  </si>
  <si>
    <t>CE0337815910</t>
  </si>
  <si>
    <t>MOXA EDS-P206A-4PoE</t>
  </si>
  <si>
    <t>PI-20141107B</t>
  </si>
  <si>
    <t>MOXA TCC-100I</t>
  </si>
  <si>
    <t>PO-20141107B</t>
  </si>
  <si>
    <t>CE0337814954</t>
  </si>
  <si>
    <t>PO29200</t>
  </si>
  <si>
    <t>PI-20141107C-1</t>
  </si>
  <si>
    <t>PO-20141107C</t>
  </si>
  <si>
    <t>CZ 38045105</t>
  </si>
  <si>
    <t>2014/12/10發票隨貨寄出</t>
  </si>
  <si>
    <t>PI-20141107C-2</t>
  </si>
  <si>
    <t>CZ 38045108</t>
  </si>
  <si>
    <t>2014/12/16發票隨貨寄出</t>
  </si>
  <si>
    <t>PI-20141112A</t>
  </si>
  <si>
    <t>CFAST SATA3 3ME MLC 16GB 
 DECFA-16GD07RC2DC</t>
  </si>
  <si>
    <t>FIONA</t>
  </si>
  <si>
    <t>innodisk</t>
  </si>
  <si>
    <t>PO-20141112A</t>
  </si>
  <si>
    <t>CX0322387UFE</t>
  </si>
  <si>
    <t>bank fee</t>
  </si>
  <si>
    <t>-</t>
  </si>
  <si>
    <t>PO29251</t>
  </si>
  <si>
    <t>PI-20141112B</t>
  </si>
  <si>
    <t>PO-20141112B</t>
  </si>
  <si>
    <t>CZ 38045130</t>
  </si>
  <si>
    <t>2014/12/30發票隨貨寄出</t>
  </si>
  <si>
    <t>PO29262</t>
  </si>
  <si>
    <t>PI-20141113A</t>
  </si>
  <si>
    <t>PO-20141113A</t>
  </si>
  <si>
    <t>CZ 52099169</t>
  </si>
  <si>
    <t>2014/11/18發票隨貨寄出</t>
  </si>
  <si>
    <t>PI-20141113B</t>
  </si>
  <si>
    <t>MOXA NPort Z2150-T</t>
  </si>
  <si>
    <t>PO-20141113B</t>
  </si>
  <si>
    <t>CE0337816242</t>
  </si>
  <si>
    <t>PO29278</t>
  </si>
  <si>
    <t>PI-20141117A</t>
  </si>
  <si>
    <t>PO-20141117A</t>
  </si>
  <si>
    <t>CZ 52099171</t>
  </si>
  <si>
    <t>2014/11/25發票隨貨寄出</t>
  </si>
  <si>
    <t>PI-20141117B</t>
  </si>
  <si>
    <t>PO-20141117B</t>
  </si>
  <si>
    <t>CZ 38045109</t>
  </si>
  <si>
    <t>PI-20141118A</t>
  </si>
  <si>
    <t>MOXA  ioLogik E2214</t>
  </si>
  <si>
    <t>PO-20141118A</t>
  </si>
  <si>
    <t>CE0337816347</t>
  </si>
  <si>
    <t>MOXA  LDP1602</t>
  </si>
  <si>
    <t>MOXA  ioLogik E2242</t>
  </si>
  <si>
    <t>PO201411180008</t>
  </si>
  <si>
    <t>PI-20141118B</t>
  </si>
  <si>
    <t>MOXA Uport 1150i</t>
  </si>
  <si>
    <t>PO-20141118B</t>
  </si>
  <si>
    <t>CZ 52099170</t>
  </si>
  <si>
    <t>2014/11/25發票掛號寄出</t>
  </si>
  <si>
    <t>PI-20141119A</t>
  </si>
  <si>
    <t>TS16GCFX300</t>
  </si>
  <si>
    <t xml:space="preserve"> DHL 951138041. </t>
  </si>
  <si>
    <t>PO-20141119A</t>
  </si>
  <si>
    <t>delivery with 
PI-20141112A</t>
  </si>
  <si>
    <t>PO29338</t>
  </si>
  <si>
    <t>PI-20141120A</t>
  </si>
  <si>
    <t>PO-20141120A</t>
  </si>
  <si>
    <t>CZ 52099172</t>
  </si>
  <si>
    <t>PO29344</t>
  </si>
  <si>
    <t>PI-20141120B</t>
  </si>
  <si>
    <t>PO-20141120B</t>
  </si>
  <si>
    <t>CZ 38045103</t>
  </si>
  <si>
    <t>2014/12/10隨1203B貨寄出</t>
  </si>
  <si>
    <t>PI-20141121A</t>
  </si>
  <si>
    <t>MOXA EDS-P206A-4PoE-S-SC-T</t>
  </si>
  <si>
    <t>PO-20141121A</t>
  </si>
  <si>
    <t>Meanwell DRP-240-48</t>
  </si>
  <si>
    <t>mealwell(贊翔)</t>
  </si>
  <si>
    <t>PI-20141121B</t>
  </si>
  <si>
    <t>MOXA CP-168U</t>
  </si>
  <si>
    <t>PO-20141121B</t>
  </si>
  <si>
    <t>CZ 38045101
12/8客戶反應發票地址寫錯，故重開CZ 38045102</t>
  </si>
  <si>
    <t>2014/12/03發票掛號寄出
重開發票2014/12/09掛號寄出</t>
  </si>
  <si>
    <t>MOXA OPT8B</t>
  </si>
  <si>
    <t>PO29374</t>
  </si>
  <si>
    <t>PI-20141125A</t>
  </si>
  <si>
    <t>PO-20141125A</t>
  </si>
  <si>
    <t>CZ 52099178</t>
  </si>
  <si>
    <t>2014/11/27發票隨貨寄出</t>
  </si>
  <si>
    <t>PI-20141127B</t>
  </si>
  <si>
    <t>MOXA EDS-305-M-SC</t>
  </si>
  <si>
    <t>PO-20141127B</t>
  </si>
  <si>
    <t>PO29397</t>
  </si>
  <si>
    <t>PI-20141127A</t>
  </si>
  <si>
    <t>PO-20141127A</t>
  </si>
  <si>
    <t>CZ 38045100</t>
  </si>
  <si>
    <t>2014/12/02發票隨貨寄出</t>
  </si>
  <si>
    <t>PI-20141202A-R</t>
  </si>
  <si>
    <t>MOXA NPort 5450 w/ UK adapter</t>
  </si>
  <si>
    <t>PO-20141202A-R</t>
  </si>
  <si>
    <t>PO29456-R</t>
  </si>
  <si>
    <t>PI-20141203A</t>
  </si>
  <si>
    <t>ADAM-3962-AE</t>
  </si>
  <si>
    <t>PO-20141203A</t>
  </si>
  <si>
    <t>CZ 38045106</t>
  </si>
  <si>
    <t>PI-20141203C</t>
  </si>
  <si>
    <t>PO-20141203C</t>
  </si>
  <si>
    <t>CZ 38045121</t>
  </si>
  <si>
    <t>12/23/2014隨貨寄出</t>
  </si>
  <si>
    <t>PO29473</t>
  </si>
  <si>
    <t>PI-20141203B</t>
  </si>
  <si>
    <t>PO-20141203B</t>
  </si>
  <si>
    <t>CZ 38045104</t>
  </si>
  <si>
    <t xml:space="preserve">CB14-688 </t>
  </si>
  <si>
    <t>PI-20141204A</t>
  </si>
  <si>
    <t>"BCN944249 ECONOMY "</t>
  </si>
  <si>
    <t>PO-20141204A-3</t>
  </si>
  <si>
    <t>CG03376H7755</t>
  </si>
  <si>
    <t>axiomtek</t>
  </si>
  <si>
    <t>PO-20141204A-1</t>
  </si>
  <si>
    <t>PO-20141204A-2</t>
  </si>
  <si>
    <t xml:space="preserve">testing </t>
  </si>
  <si>
    <t>PH-1204/14UG</t>
  </si>
  <si>
    <t>PI-20141205A</t>
  </si>
  <si>
    <t>Moxa TCC-100I-T</t>
  </si>
  <si>
    <t>PO-20141205A</t>
  </si>
  <si>
    <t>CZ 38045107</t>
  </si>
  <si>
    <t>2014/12/12掛號寄出</t>
  </si>
  <si>
    <t>Pegatron
和碩聯合科技</t>
  </si>
  <si>
    <t>PI-20141209A-R</t>
  </si>
  <si>
    <t>Axiomtek PICO831VGA-N2800 w/ IO Board &amp; Accessory</t>
  </si>
  <si>
    <t>PO-20141209A</t>
  </si>
  <si>
    <t xml:space="preserve">CZ 38045110-此張作廢
已改CZ38045116
</t>
  </si>
  <si>
    <t>201412/17業務隨貨出貨</t>
  </si>
  <si>
    <t>Axiomtek PICO880PGA-i7 4650U</t>
  </si>
  <si>
    <t>AX93276</t>
  </si>
  <si>
    <t>PO-20141209A-R</t>
  </si>
  <si>
    <t>PI-20141210A</t>
  </si>
  <si>
    <t>MOXA TCF-142-M-ST-T</t>
  </si>
  <si>
    <t>PO-20141210A</t>
  </si>
  <si>
    <t>CE0337816711</t>
  </si>
  <si>
    <t>MOXA DK35A</t>
  </si>
  <si>
    <t>PO29530</t>
  </si>
  <si>
    <t>PI-20141210B</t>
  </si>
  <si>
    <t>PO-20141210B</t>
  </si>
  <si>
    <t>CZ 38045123</t>
  </si>
  <si>
    <t>PO29529</t>
  </si>
  <si>
    <t>PI-20141210C</t>
  </si>
  <si>
    <t>MOXA C104H/PCI-DB9M</t>
  </si>
  <si>
    <t>PO-20141210C</t>
  </si>
  <si>
    <t>CZ 38045114</t>
  </si>
  <si>
    <t>2014/12/18掛號寄出</t>
  </si>
  <si>
    <t>PI-20141211A</t>
  </si>
  <si>
    <t>PO-20141211A-1</t>
  </si>
  <si>
    <t>CZ 38045111</t>
  </si>
  <si>
    <t>CBL-M62M9x8-100 (OPT 8D)RS-232 cable</t>
  </si>
  <si>
    <t>PO-20141211A-2 / (276)141212</t>
  </si>
  <si>
    <t>2014/12/18隨貨出貨</t>
  </si>
  <si>
    <t>PO29561</t>
  </si>
  <si>
    <t>PI-20141212A</t>
  </si>
  <si>
    <t>C218T/PCI</t>
  </si>
  <si>
    <t>PO-20141212A</t>
  </si>
  <si>
    <t>CZ 38045118</t>
  </si>
  <si>
    <t>2014/12/25掛號寄出</t>
  </si>
  <si>
    <t>PI-20141212C</t>
  </si>
  <si>
    <t>IEX-402-VDSL2</t>
  </si>
  <si>
    <t>PO-20141212C</t>
  </si>
  <si>
    <t>PI-20141216A</t>
  </si>
  <si>
    <t>PO-20141216A-1</t>
  </si>
  <si>
    <t>CZ 38045120</t>
  </si>
  <si>
    <t>2014/12/22隨貨出貨</t>
  </si>
  <si>
    <t>Unigens-永和office</t>
  </si>
  <si>
    <t>PO-20141216A-2 / (268)141217</t>
  </si>
  <si>
    <t>PO29615</t>
  </si>
  <si>
    <t>PI-20141217A</t>
  </si>
  <si>
    <t>PO-20141217A</t>
  </si>
  <si>
    <t>CZ 38045124</t>
  </si>
  <si>
    <t>PO29631</t>
  </si>
  <si>
    <t>PI-20141218A</t>
  </si>
  <si>
    <t>PO-20141218A</t>
  </si>
  <si>
    <t>CZ 38045125</t>
  </si>
  <si>
    <t>PO201412180005</t>
  </si>
  <si>
    <t>PI-20141218B</t>
  </si>
  <si>
    <t xml:space="preserve">Uport 1110 </t>
  </si>
  <si>
    <t>PO-20141218B</t>
  </si>
  <si>
    <t>CZ 38045128</t>
  </si>
  <si>
    <t>PI-20141222A</t>
  </si>
  <si>
    <t>Nport 6610-32 with UK Adapter</t>
  </si>
  <si>
    <t>PO- 20141222A</t>
  </si>
  <si>
    <t>PO-P-I140168</t>
  </si>
  <si>
    <t>PI-20141222C</t>
  </si>
  <si>
    <t>PO-20141222C</t>
  </si>
  <si>
    <t>CX032239BAQ7</t>
  </si>
  <si>
    <t>EDS-316</t>
  </si>
  <si>
    <t>Client
客戶</t>
  </si>
  <si>
    <t>PO12047</t>
  </si>
  <si>
    <t>PI-20130403</t>
  </si>
  <si>
    <t>Schenker 信可</t>
  </si>
  <si>
    <t>銀行代號006
帳號: 8989029170405</t>
  </si>
  <si>
    <t>US$11579.4</t>
  </si>
  <si>
    <t>CW0201300425</t>
  </si>
  <si>
    <t>20130416及0417</t>
  </si>
  <si>
    <t xml:space="preserve">Nport 5450 </t>
  </si>
  <si>
    <t>602512276N_1</t>
  </si>
  <si>
    <t>PI-20121121A_1</t>
  </si>
  <si>
    <t>Special TNT</t>
  </si>
  <si>
    <t>YES.20130307</t>
  </si>
  <si>
    <t>CG0237625231</t>
  </si>
  <si>
    <t>PO118972­1</t>
  </si>
  <si>
    <t>PI-20121219B</t>
  </si>
  <si>
    <t>CP-­118EL-­A</t>
  </si>
  <si>
    <t>FedEx Priority  128196064</t>
  </si>
  <si>
    <t>YES.
20130205</t>
  </si>
  <si>
    <t>US$2047.5</t>
  </si>
  <si>
    <t>CF02550E0286</t>
  </si>
  <si>
    <t xml:space="preserve"> PO 602513004E</t>
  </si>
  <si>
    <t>PI-20130116A</t>
  </si>
  <si>
    <t xml:space="preserve">RS75-15 </t>
  </si>
  <si>
    <t>PHARMS</t>
  </si>
  <si>
    <t>PH-0115 CTB</t>
  </si>
  <si>
    <t xml:space="preserve">C218 TURBO/PCI </t>
  </si>
  <si>
    <t xml:space="preserve">Abi </t>
  </si>
  <si>
    <t>US$478.8</t>
  </si>
  <si>
    <t>內銷(2013/01/19發票寄出)</t>
  </si>
  <si>
    <t xml:space="preserve">      </t>
  </si>
  <si>
    <t xml:space="preserve">OPT8-M9    </t>
  </si>
  <si>
    <t>Abi</t>
  </si>
  <si>
    <t>PI-20130122A</t>
  </si>
  <si>
    <t>TNT  87613 (Economy)</t>
  </si>
  <si>
    <t>US$1297.80</t>
  </si>
  <si>
    <t>CG0237611713</t>
  </si>
  <si>
    <t>PI-20130102A</t>
  </si>
  <si>
    <t>戎克付EMS</t>
  </si>
  <si>
    <t>YES20130409</t>
  </si>
  <si>
    <t>US$2044.5</t>
  </si>
  <si>
    <t>維修品無發票</t>
  </si>
  <si>
    <t>PI-20130125A</t>
  </si>
  <si>
    <t>S-100F-24</t>
  </si>
  <si>
    <t>台騑空運</t>
  </si>
  <si>
    <t>CW0235501534</t>
  </si>
  <si>
    <t>PO 602513027F</t>
  </si>
  <si>
    <t>PI-20130221A</t>
  </si>
  <si>
    <t xml:space="preserve">62205AN.HMWEB  915344  </t>
  </si>
  <si>
    <t>建智</t>
  </si>
  <si>
    <t>YES.20130225</t>
  </si>
  <si>
    <t>PO13000045UNI</t>
  </si>
  <si>
    <t>PI-20130307A</t>
  </si>
  <si>
    <t>CP-114IS-DB9M</t>
  </si>
  <si>
    <t>2018699 Economy</t>
  </si>
  <si>
    <t>US$506.1</t>
  </si>
  <si>
    <t>CG0237626160</t>
  </si>
  <si>
    <t>PO13000054UNI</t>
  </si>
  <si>
    <t>PI-20130311A</t>
  </si>
  <si>
    <t>OPT8D-2M - CBL-M62M9x8-200</t>
  </si>
  <si>
    <t xml:space="preserve">2018699 Economy </t>
  </si>
  <si>
    <t>銀行代號008
帳號: 183-10-0007773</t>
  </si>
  <si>
    <t>PI-20130311B</t>
  </si>
  <si>
    <t> UPS- 0341W3</t>
  </si>
  <si>
    <t>YES20130410</t>
  </si>
  <si>
    <t>代碼：021 
帳號：5-028523-019</t>
  </si>
  <si>
    <t>CU0257BF1994</t>
  </si>
  <si>
    <t>Power Adapter1757002161</t>
  </si>
  <si>
    <t>代碼：021
帳號：5-028523-019</t>
  </si>
  <si>
    <t>PO 602513042M</t>
  </si>
  <si>
    <t>PI-20130325A_1</t>
  </si>
  <si>
    <t>TNT002004901
  Express </t>
  </si>
  <si>
    <t>YES20130520</t>
  </si>
  <si>
    <t>CR0237653544</t>
  </si>
  <si>
    <t>PI-20130325A_2</t>
  </si>
  <si>
    <t>TNT002004901
  Express</t>
  </si>
  <si>
    <t>YES20130520
YES20130705</t>
  </si>
  <si>
    <t>PH-000445</t>
  </si>
  <si>
    <t>US$1436.4</t>
  </si>
  <si>
    <t>內銷(2013/04/01發票寄出)</t>
  </si>
  <si>
    <t>PI-20130408A</t>
  </si>
  <si>
    <t>NPort 5650-8-DT</t>
  </si>
  <si>
    <t>US$387</t>
  </si>
  <si>
    <t>CG0237639063</t>
  </si>
  <si>
    <t>Perfectron</t>
  </si>
  <si>
    <t xml:space="preserve"> PO130408021</t>
  </si>
  <si>
    <t>PI-20130408B</t>
  </si>
  <si>
    <t>C218Turbo/PCI w/ CBL-M62M9x8-100 (OPT8D)</t>
  </si>
  <si>
    <t>US$775</t>
  </si>
  <si>
    <t>內銷(2013/04/16發票寄出)</t>
  </si>
  <si>
    <t xml:space="preserve"> UPort 1110</t>
  </si>
  <si>
    <t>PO130422003</t>
  </si>
  <si>
    <t>PI-20130423A</t>
  </si>
  <si>
    <t>EDS- 205A</t>
  </si>
  <si>
    <t>YES 20130508</t>
  </si>
  <si>
    <t>USD$3624.6_1</t>
  </si>
  <si>
    <t>內銷(2013/04/26發票寄出)</t>
  </si>
  <si>
    <t>4/23/0203</t>
  </si>
  <si>
    <t>Mastec</t>
  </si>
  <si>
    <t>I4745</t>
  </si>
  <si>
    <t>PI- 20130423B</t>
  </si>
  <si>
    <t>Nport 5110</t>
  </si>
  <si>
    <t>DHL account # 962797349</t>
  </si>
  <si>
    <t>CX0222311BUB</t>
  </si>
  <si>
    <t>NPort-5410</t>
  </si>
  <si>
    <t>PO130425001</t>
  </si>
  <si>
    <t>PI-20130424A</t>
  </si>
  <si>
    <t>C218Turbo/PCI w/o cable</t>
  </si>
  <si>
    <t>內銷(2013/05/17發票隨貨出)</t>
  </si>
  <si>
    <t>USD$4403.18_1</t>
  </si>
  <si>
    <t>EDS-305-M-ST</t>
  </si>
  <si>
    <t>巨邦/戎克</t>
  </si>
  <si>
    <t>YES 20130507</t>
  </si>
  <si>
    <t>銀行代號：005
帳號：115-001-00769-8</t>
  </si>
  <si>
    <t>Cable for MOXA C218Turbo/PCI
(CBL-M62M9X8-100)</t>
  </si>
  <si>
    <t>PI-20130424B</t>
  </si>
  <si>
    <t>CG0237652629</t>
  </si>
  <si>
    <t>PI-20130426A</t>
  </si>
  <si>
    <t>OPT8D-1M</t>
  </si>
  <si>
    <t>CG0237653807</t>
  </si>
  <si>
    <t xml:space="preserve"> OPT8C</t>
  </si>
  <si>
    <t>PI-20130429A-1</t>
  </si>
  <si>
    <t>CP-168U-V2</t>
  </si>
  <si>
    <t>OPT8D-2M (DB-9M TORRETA
MACHO)</t>
  </si>
  <si>
    <t>PI-20130429A-2</t>
  </si>
  <si>
    <t>TNT 2018699
(Economy)</t>
  </si>
  <si>
    <t>US$7034.99_1</t>
  </si>
  <si>
    <t>CG0237658275</t>
  </si>
  <si>
    <t>PI-20130507A</t>
  </si>
  <si>
    <t>PI-20130507B</t>
  </si>
  <si>
    <t>EDS-205A( 5 and 8-port unmanaged Ethernet switches)</t>
  </si>
  <si>
    <t>Eurolink</t>
  </si>
  <si>
    <t>2013063UG</t>
  </si>
  <si>
    <t>PI-20130508A</t>
  </si>
  <si>
    <t>DHL (Account # 960510117)</t>
  </si>
  <si>
    <t>CX0222312HRD</t>
  </si>
  <si>
    <t>PI-20130513A</t>
  </si>
  <si>
    <t>內銷(2013/05/24發票寄出)</t>
  </si>
  <si>
    <t>MOXA EDR-G902</t>
  </si>
  <si>
    <t>PI-20130520A</t>
  </si>
  <si>
    <t>MOXA MGate 4101-MB-PBS</t>
  </si>
  <si>
    <t>內銷(2013/06/07發票寄出)</t>
  </si>
  <si>
    <t>PO-602513066X</t>
  </si>
  <si>
    <t>PI-20130522A_1</t>
  </si>
  <si>
    <t>CG0237686846</t>
  </si>
  <si>
    <t>PI-20130522A_2</t>
  </si>
  <si>
    <t>CG02376B2976</t>
  </si>
  <si>
    <t>PI-20130521A</t>
  </si>
  <si>
    <t>Nport NP6610-32</t>
  </si>
  <si>
    <t xml:space="preserve">Essential </t>
  </si>
  <si>
    <t>PI-20130406A</t>
  </si>
  <si>
    <t>TR-600</t>
  </si>
  <si>
    <t>Soba</t>
  </si>
  <si>
    <t>環天</t>
  </si>
  <si>
    <t>YES</t>
  </si>
  <si>
    <t>提款卡 
帳號：1449717715013</t>
  </si>
  <si>
    <t>CA0248920132</t>
  </si>
  <si>
    <t>TK103-2</t>
  </si>
  <si>
    <t>大陸</t>
  </si>
  <si>
    <t>信用卡</t>
  </si>
  <si>
    <t>US$107</t>
  </si>
  <si>
    <t>PI-20130406A_1</t>
  </si>
  <si>
    <t>PadFone Infinity 64G</t>
  </si>
  <si>
    <t>崑碁電腦</t>
  </si>
  <si>
    <t>103 100 46870 第一銀行忠孝路分行</t>
  </si>
  <si>
    <t>CA0248920270</t>
  </si>
  <si>
    <t xml:space="preserve">此行不填寫. 代表由這行開始. 交由Chloe 管財務. Tammy 管Moxa
</t>
  </si>
  <si>
    <t>PH - 7/136</t>
  </si>
  <si>
    <t>PI-20130604B</t>
  </si>
  <si>
    <t>合作金庫-5355-665-004610</t>
  </si>
  <si>
    <t>US$3985.8</t>
  </si>
  <si>
    <t>內銷(2013/07/10發票隨貨寄出)</t>
  </si>
  <si>
    <t>CBL-F40M9x4-50</t>
  </si>
  <si>
    <t>郵局/戎克</t>
  </si>
  <si>
    <t>PI-20130604B-1</t>
  </si>
  <si>
    <t>US$3679.2</t>
  </si>
  <si>
    <t>內銷(2013/07/24發票隨貨寄出)</t>
  </si>
  <si>
    <t>PI-20130604A</t>
  </si>
  <si>
    <t xml:space="preserve">UPort 1150
</t>
  </si>
  <si>
    <t>US$54.6</t>
  </si>
  <si>
    <t>內銷(2013/06/18發票掛號寄出)</t>
  </si>
  <si>
    <t>PI-20130605A</t>
  </si>
  <si>
    <t>US$10609.20</t>
  </si>
  <si>
    <t>CW0201322391</t>
  </si>
  <si>
    <t>Ayc</t>
  </si>
  <si>
    <t>PI-20130612A</t>
  </si>
  <si>
    <t>TNT 2018699     (Economy)</t>
  </si>
  <si>
    <t>PI#210-13060166</t>
  </si>
  <si>
    <t>CG0237672580</t>
  </si>
  <si>
    <t>NISE 2020</t>
  </si>
  <si>
    <t>PO130619027</t>
  </si>
  <si>
    <t>PI-20130614A</t>
  </si>
  <si>
    <t>US$178.50</t>
  </si>
  <si>
    <t>內銷(2013/07/04發票掛號寄出)</t>
  </si>
  <si>
    <t>Varisys Ltd.</t>
  </si>
  <si>
    <t>PO7810</t>
  </si>
  <si>
    <t>PI-20130619A</t>
  </si>
  <si>
    <t>AFL-08AH-N270</t>
  </si>
  <si>
    <t>UPS SAVER #44X36F</t>
  </si>
  <si>
    <t>兆豐帳號： 042-09-80877-7</t>
  </si>
  <si>
    <t>CU0257BH8135</t>
  </si>
  <si>
    <t>PI-20130610A</t>
  </si>
  <si>
    <t xml:space="preserve">16GB CF card </t>
  </si>
  <si>
    <t>PC home</t>
  </si>
  <si>
    <t>by PC home</t>
  </si>
  <si>
    <t>Santiago 信用卡已付</t>
  </si>
  <si>
    <t>PO130625027</t>
  </si>
  <si>
    <t>PI-20130619B</t>
  </si>
  <si>
    <t>TCC-120I</t>
  </si>
  <si>
    <t>US$821.1</t>
  </si>
  <si>
    <t>內銷(2013/07/03發票掛號寄出)</t>
  </si>
  <si>
    <t>NPort 5610-8-DTL</t>
  </si>
  <si>
    <t>PI-20130626A</t>
  </si>
  <si>
    <t>US$4527.6</t>
  </si>
  <si>
    <t>內銷(2013/07/18發票掛號寄出)</t>
  </si>
  <si>
    <t>PO130701005</t>
  </si>
  <si>
    <t>PI-20130701A</t>
  </si>
  <si>
    <t>US$1940.4</t>
  </si>
  <si>
    <t>PI-20130625A</t>
  </si>
  <si>
    <t xml:space="preserve">NPort 5450
</t>
  </si>
  <si>
    <t>US$3706.5</t>
  </si>
  <si>
    <t>CU0257BH8090</t>
  </si>
  <si>
    <t>PH-0630UG</t>
  </si>
  <si>
    <t>PI-20130709A</t>
  </si>
  <si>
    <t>US$1502.55</t>
  </si>
  <si>
    <t>2013083/UG</t>
  </si>
  <si>
    <t>PI-20130705A</t>
  </si>
  <si>
    <t>EDS-P506A-4PoE-SS-SC-T</t>
  </si>
  <si>
    <t>DHL # 960510117</t>
  </si>
  <si>
    <t>US$2881.2</t>
  </si>
  <si>
    <t>CX0222372CEK</t>
  </si>
  <si>
    <t>PI-20130717A</t>
  </si>
  <si>
    <t>CR0237681374</t>
  </si>
  <si>
    <t>PO130717003</t>
  </si>
  <si>
    <t>PI-20130717B</t>
  </si>
  <si>
    <t>US$1617</t>
  </si>
  <si>
    <t>內銷(2013/08/08發票掛號寄出)8/15重寄</t>
  </si>
  <si>
    <t>US$11319</t>
  </si>
  <si>
    <t>內銷(2013/08/26發票掛號寄出)</t>
  </si>
  <si>
    <t>PO130724019</t>
  </si>
  <si>
    <t>PI-20130725A</t>
  </si>
  <si>
    <t>EDS-205A-T</t>
  </si>
  <si>
    <t>US$16800</t>
  </si>
  <si>
    <t>內銷(2013/08/08發票掛號寄出)</t>
  </si>
  <si>
    <t>PO130724011</t>
  </si>
  <si>
    <t>PI-20130725B</t>
  </si>
  <si>
    <t>US$136.5</t>
  </si>
  <si>
    <t>PI-20130804A</t>
  </si>
  <si>
    <t>US$1436,4</t>
  </si>
  <si>
    <t>PH-000510CTB-1</t>
  </si>
  <si>
    <t>PO130819006</t>
  </si>
  <si>
    <t>PI-20130820A</t>
  </si>
  <si>
    <t>US$67.20</t>
  </si>
  <si>
    <t>PO130830002</t>
  </si>
  <si>
    <t>PI-20130830A</t>
  </si>
  <si>
    <t>NE-4110S</t>
  </si>
  <si>
    <t>US$245.70</t>
  </si>
  <si>
    <t>內銷(2013/09/10發票掛號寄出)</t>
  </si>
  <si>
    <t>PO130902005</t>
  </si>
  <si>
    <t>PI-20130902A</t>
  </si>
  <si>
    <t>US$840</t>
  </si>
  <si>
    <t>內銷(2013/10/24發票掛號寄出)</t>
  </si>
  <si>
    <t>內銷(2013/09/25發票掛號寄出)</t>
  </si>
  <si>
    <t>sample order</t>
  </si>
  <si>
    <t>PI-20130911</t>
  </si>
  <si>
    <t xml:space="preserve">SPECIAL TNT </t>
  </si>
  <si>
    <t>已抵達. 借樣品</t>
  </si>
  <si>
    <t>PH15540691
 (發票號碼)</t>
  </si>
  <si>
    <t>US$162.75</t>
  </si>
  <si>
    <t>上伊美</t>
  </si>
  <si>
    <t>永豐銀行 042001-00011967</t>
  </si>
  <si>
    <t>13000282_1</t>
  </si>
  <si>
    <t>PI-20130919A</t>
  </si>
  <si>
    <t>US$2565.36</t>
  </si>
  <si>
    <t>CG02376B0522</t>
  </si>
  <si>
    <t>PO20130919A</t>
  </si>
  <si>
    <t>13000282_2</t>
  </si>
  <si>
    <t>PI-20130919B</t>
  </si>
  <si>
    <t>US$1603.35</t>
  </si>
  <si>
    <t>CG02376C3820</t>
  </si>
  <si>
    <t>PO20130919B</t>
  </si>
  <si>
    <t>Nexcom</t>
  </si>
  <si>
    <t>330-13100075</t>
  </si>
  <si>
    <t>PI-20130924A</t>
  </si>
  <si>
    <t>US$34387.5</t>
  </si>
  <si>
    <t>內銷(2013/10/29發票掛號寄出)</t>
  </si>
  <si>
    <t>EDR-G902</t>
  </si>
  <si>
    <t>US$43575</t>
  </si>
  <si>
    <t>內銷(2013/11/12發票掛號寄出)</t>
  </si>
  <si>
    <t>US$4725</t>
  </si>
  <si>
    <t>PO130916001</t>
  </si>
  <si>
    <t>PI-20130925A</t>
  </si>
  <si>
    <t>US$646.80</t>
  </si>
  <si>
    <t>內銷(2013/10/03發票掛號寄出)</t>
  </si>
  <si>
    <t>PI-20131003A</t>
  </si>
  <si>
    <t>Meanwell S-100F-24</t>
  </si>
  <si>
    <t>Fedex 1731-9410-2</t>
  </si>
  <si>
    <t>CF025500326U</t>
  </si>
  <si>
    <t>Meanwell RS25-12</t>
  </si>
  <si>
    <t>PO131016001</t>
  </si>
  <si>
    <t>PI-20131016A</t>
  </si>
  <si>
    <t>US$3859.8</t>
  </si>
  <si>
    <t>內銷(2013/11/08發票掛號寄出)</t>
  </si>
  <si>
    <t>PO131016002</t>
  </si>
  <si>
    <t>PI-20131016B</t>
  </si>
  <si>
    <t>PO131016003</t>
  </si>
  <si>
    <t>PI-20131016C</t>
  </si>
  <si>
    <t>Moxa NPort 6250-M-SC</t>
  </si>
  <si>
    <t>PO131016004</t>
  </si>
  <si>
    <t>PI-20131016D</t>
  </si>
  <si>
    <t>MOXA
EDS-P308-T</t>
  </si>
  <si>
    <t>PO131018002</t>
  </si>
  <si>
    <t>PI-20131018A</t>
  </si>
  <si>
    <t>MOXA C218Turbo/PCI
with CBL-M62M9x8-100（OPT8D）</t>
  </si>
  <si>
    <t>US$1248.45</t>
  </si>
  <si>
    <t>PO131018003</t>
  </si>
  <si>
    <t>PI-20131018B</t>
  </si>
  <si>
    <t>MOXA ioLogik R1210</t>
  </si>
  <si>
    <t>PO131018004</t>
  </si>
  <si>
    <t>PI-20131018C</t>
  </si>
  <si>
    <t>MOXA ADP-RJ458P-DB9F</t>
  </si>
  <si>
    <t>PI-20131020A</t>
  </si>
  <si>
    <t>TNTexpress
002004901</t>
  </si>
  <si>
    <t>US$459.9</t>
  </si>
  <si>
    <t>CG02376C6585</t>
  </si>
  <si>
    <t>PH-M7/146</t>
  </si>
  <si>
    <t>US$3832.5</t>
  </si>
  <si>
    <t>內銷(2013/11/18發票與貨掛號寄出)</t>
  </si>
  <si>
    <t>銀行代號008
帳號: 183-10-0007773"</t>
  </si>
  <si>
    <t>PO-131025001</t>
  </si>
  <si>
    <t>PI-20131025A</t>
  </si>
  <si>
    <t>NPort 6610-32 (UK Power Cord)</t>
  </si>
  <si>
    <t>US$1992.9</t>
  </si>
  <si>
    <t>內銷(2013/12/10發票掛號寄出)</t>
  </si>
  <si>
    <t>PO-16</t>
  </si>
  <si>
    <t>PI-20131025B</t>
  </si>
  <si>
    <t>NPort 5232I W/ Adapter</t>
  </si>
  <si>
    <t xml:space="preserve">DHL.969834944 </t>
  </si>
  <si>
    <t>US$764.4</t>
  </si>
  <si>
    <t>CX0222329BCH</t>
  </si>
  <si>
    <t xml:space="preserve">Uport-1110 </t>
  </si>
  <si>
    <t xml:space="preserve">Uport-1130 </t>
  </si>
  <si>
    <t>PO131028001</t>
  </si>
  <si>
    <t>PI-20131029A</t>
  </si>
  <si>
    <t>US$245.7</t>
  </si>
  <si>
    <t>PO131028002</t>
  </si>
  <si>
    <t>PI-20131029B</t>
  </si>
  <si>
    <t>US$646.8</t>
  </si>
  <si>
    <t>內銷(2013/11/14發票掛號寄出)</t>
  </si>
  <si>
    <t>PO131101002</t>
  </si>
  <si>
    <t>PI-20131101A</t>
  </si>
  <si>
    <t xml:space="preserve"> IMC-21-S-SC</t>
  </si>
  <si>
    <t>US$2856</t>
  </si>
  <si>
    <t>內銷(2013/11/21發票掛號寄出)</t>
  </si>
  <si>
    <t>PH-33157</t>
  </si>
  <si>
    <t>CBL-M68M9x8-100</t>
  </si>
  <si>
    <t>US$235.2</t>
  </si>
  <si>
    <t>CP-118EL</t>
  </si>
  <si>
    <t>PO-17</t>
  </si>
  <si>
    <t>PI-20131111A</t>
  </si>
  <si>
    <t xml:space="preserve">合作金庫-5355-665-004610
</t>
  </si>
  <si>
    <t>US$823.2</t>
  </si>
  <si>
    <t>CX0222330GRR</t>
  </si>
  <si>
    <t>PO131111007</t>
  </si>
  <si>
    <t>PI-20131112A</t>
  </si>
  <si>
    <t>EDS-P206A-4PoE-M-ST-T</t>
  </si>
  <si>
    <t>US$4925.5</t>
  </si>
  <si>
    <t>內銷(2013/12/20發票掛號寄出1230重寄)</t>
  </si>
  <si>
    <t>PO131111008</t>
  </si>
  <si>
    <t>PI-20131112B</t>
  </si>
  <si>
    <t>C105</t>
  </si>
  <si>
    <t>PI-20131114B</t>
  </si>
  <si>
    <t>RS-75-15</t>
  </si>
  <si>
    <t>CG02376D4782</t>
  </si>
  <si>
    <t>PI-20131114B-1</t>
  </si>
  <si>
    <t>CG02376E7963</t>
  </si>
  <si>
    <t>PO131119006</t>
  </si>
  <si>
    <t>PI-20131119A</t>
  </si>
  <si>
    <t>EDS-P206A-4PoE</t>
  </si>
  <si>
    <t>US$737.1</t>
  </si>
  <si>
    <t>PI-20131114A</t>
  </si>
  <si>
    <t>US$357</t>
  </si>
  <si>
    <t>CU0257BF8507</t>
  </si>
  <si>
    <t>US$4410</t>
  </si>
  <si>
    <t>內銷(2013/12/13發票掛號寄出)</t>
  </si>
  <si>
    <t>PI-20131127A-1</t>
  </si>
  <si>
    <t xml:space="preserve"> MOXA負責</t>
  </si>
  <si>
    <t>US$31237.5</t>
  </si>
  <si>
    <t>內銷(2014/01/07發票掛號寄出)</t>
  </si>
  <si>
    <t>PO131204017</t>
  </si>
  <si>
    <t>PI-20131204A</t>
  </si>
  <si>
    <t>US$266.8</t>
  </si>
  <si>
    <t>C123</t>
  </si>
  <si>
    <t>PI-20131205A</t>
  </si>
  <si>
    <t xml:space="preserve"> CP-132IS </t>
  </si>
  <si>
    <t>US$368.55</t>
  </si>
  <si>
    <t>PI-20131210A</t>
  </si>
  <si>
    <t>PI-20111230A</t>
  </si>
  <si>
    <t>ST3250318AS</t>
  </si>
  <si>
    <t>Robert</t>
  </si>
  <si>
    <t xml:space="preserve"> ORD17989</t>
  </si>
  <si>
    <t>聯邦-新店031108000489</t>
  </si>
  <si>
    <t>CG0137604056</t>
  </si>
  <si>
    <t>公司自行吸收</t>
  </si>
  <si>
    <t>PO18591</t>
  </si>
  <si>
    <t>PI-20120110A</t>
  </si>
  <si>
    <t>內銷(無報關單)</t>
  </si>
  <si>
    <t xml:space="preserve">CBL-M62M9x8-100 </t>
  </si>
  <si>
    <t>Masibus</t>
  </si>
  <si>
    <t>缺.但沒關係. 不影響記帳</t>
  </si>
  <si>
    <t>PI-20120125A</t>
  </si>
  <si>
    <t>Nport 5630-16</t>
  </si>
  <si>
    <t>2月2日</t>
  </si>
  <si>
    <t>CX0122372PEP</t>
  </si>
  <si>
    <t>ADAM-4510S-DE</t>
  </si>
  <si>
    <t>銀行代號011                     帳號: 29-10200-000166-7</t>
  </si>
  <si>
    <t>602512177F</t>
  </si>
  <si>
    <t>PI-20120208A
PI-20120208A-1</t>
  </si>
  <si>
    <t>無. 報價單直接簽回</t>
  </si>
  <si>
    <t>YES 0419 全付清</t>
  </si>
  <si>
    <t xml:space="preserve">CR0137641405
CG0137641621
</t>
  </si>
  <si>
    <t xml:space="preserve">602512178F </t>
  </si>
  <si>
    <t>PI-20120228A</t>
  </si>
  <si>
    <t>YES 0502</t>
  </si>
  <si>
    <t>CG0137646780</t>
  </si>
  <si>
    <t xml:space="preserve">弈享科技股份有限公司 
</t>
  </si>
  <si>
    <t>PI-20120210A</t>
  </si>
  <si>
    <t>UNI-Open150</t>
  </si>
  <si>
    <t>勁盛科技</t>
  </si>
  <si>
    <t>PO-20120214A</t>
  </si>
  <si>
    <t>PI-20120301A</t>
  </si>
  <si>
    <t xml:space="preserve"> Cable/CBL-M62M9x8-200</t>
  </si>
  <si>
    <t>YES 20120402</t>
  </si>
  <si>
    <t>CH0160400610</t>
  </si>
  <si>
    <t>602512194F</t>
  </si>
  <si>
    <t>PI-20120308A</t>
  </si>
  <si>
    <t>T010-1301-T320</t>
  </si>
  <si>
    <t>敦吉洪先生</t>
  </si>
  <si>
    <t>貨到付款</t>
  </si>
  <si>
    <t>CR0137625283</t>
  </si>
  <si>
    <t>PI-20120228A-1</t>
  </si>
  <si>
    <t xml:space="preserve">YES 20120612 . 
</t>
  </si>
  <si>
    <t>CG0137663091</t>
  </si>
  <si>
    <t>OF12000178</t>
  </si>
  <si>
    <t>PI-20120329A</t>
  </si>
  <si>
    <t>CH0160401095</t>
  </si>
  <si>
    <t>OPT8-RJ45</t>
  </si>
  <si>
    <t>CP-104JU</t>
  </si>
  <si>
    <t>PI-20120329A-1</t>
  </si>
  <si>
    <t>US$46552.77</t>
  </si>
  <si>
    <t>CW0160401529</t>
  </si>
  <si>
    <t>科技國</t>
  </si>
  <si>
    <t>PI-20120406A</t>
  </si>
  <si>
    <t>EC-1040GBATX/A130A-R30</t>
  </si>
  <si>
    <t>土地銀行
銀行代號：005
帳號：115-001-00769-8</t>
  </si>
  <si>
    <t>內銷(2012/05/11發票寄出)</t>
  </si>
  <si>
    <t xml:space="preserve">KM-088G-EN </t>
  </si>
  <si>
    <t>Masibus FZE</t>
  </si>
  <si>
    <t>ORD/1001/04/2012</t>
  </si>
  <si>
    <t>PI-20120411A</t>
  </si>
  <si>
    <t>EDS-308A- Conformal Coating</t>
  </si>
  <si>
    <t>CX0122383BSP</t>
  </si>
  <si>
    <t>GMS</t>
  </si>
  <si>
    <t>PI-20120411B</t>
  </si>
  <si>
    <t>STO-190WU-LIA</t>
  </si>
  <si>
    <t>凌飛/寶絢</t>
  </si>
  <si>
    <t>凌飛科技有限公司 
永豐商業銀行  
帳號 : 191-001-0001599-5
寶絢科技股份有限公司 
中國信託
帳號023540-193302</t>
  </si>
  <si>
    <t xml:space="preserve">5/18/2012
5/08/2012
</t>
  </si>
  <si>
    <t xml:space="preserve">5977(凌飛)
3475(寶絢)
</t>
  </si>
  <si>
    <t>CF01550JX473</t>
  </si>
  <si>
    <t>602512204A</t>
  </si>
  <si>
    <t>PI-20120412A</t>
  </si>
  <si>
    <t>YES 20120719</t>
  </si>
  <si>
    <t>CG0137678616</t>
  </si>
  <si>
    <t>Order #10183</t>
  </si>
  <si>
    <t>PI-20120321A</t>
  </si>
  <si>
    <t>CW0135504627</t>
  </si>
  <si>
    <t>PI-20120430A</t>
  </si>
  <si>
    <t>5/2/2012
5/8/2012</t>
  </si>
  <si>
    <t xml:space="preserve">714
714
</t>
  </si>
  <si>
    <t>EE663295342TW(走EMS 不報關)</t>
  </si>
  <si>
    <t>PI-20120511A</t>
  </si>
  <si>
    <t>CW0135507119</t>
  </si>
  <si>
    <t>PI-20120511A-1</t>
  </si>
  <si>
    <t>CG0137665170</t>
  </si>
  <si>
    <t>PI-20120511A-2</t>
  </si>
  <si>
    <t>GS40A24-P1J</t>
  </si>
  <si>
    <t>FedEx</t>
  </si>
  <si>
    <t>CF01550NT154</t>
  </si>
  <si>
    <t>Clientron
公信電子</t>
  </si>
  <si>
    <t>PI-20120508A</t>
  </si>
  <si>
    <t>POS485/C48</t>
  </si>
  <si>
    <t>飛捷</t>
  </si>
  <si>
    <t>YES 20120521</t>
  </si>
  <si>
    <t>009
帳號980101-16678900</t>
  </si>
  <si>
    <t>內銷(2012/06/01發票寄出)</t>
  </si>
  <si>
    <t>PI-20120515B</t>
  </si>
  <si>
    <t>S4-122C11P4Z3AD1</t>
  </si>
  <si>
    <t>6月15日</t>
  </si>
  <si>
    <t>宇辰光電</t>
  </si>
  <si>
    <t>銀行代號007
帳號 : 028310-022886</t>
  </si>
  <si>
    <t>CP0130446414</t>
  </si>
  <si>
    <t>CMI-G121I1L-L01</t>
  </si>
  <si>
    <t>YES 20120522</t>
  </si>
  <si>
    <t>銀行 : 臺灣企銀050
帳號 : 002 120 28665</t>
  </si>
  <si>
    <t>AU-G070VW01 V</t>
  </si>
  <si>
    <t>6月11日</t>
  </si>
  <si>
    <t>CU0157BH4937</t>
  </si>
  <si>
    <t>4W0703-S-100</t>
  </si>
  <si>
    <t xml:space="preserve">Bonding </t>
  </si>
  <si>
    <t xml:space="preserve">EMS </t>
  </si>
  <si>
    <t>Chloe</t>
  </si>
  <si>
    <t>運費無發票</t>
  </si>
  <si>
    <t>CU0157BH4937
/CP0130446414</t>
  </si>
  <si>
    <t>Phoebe</t>
  </si>
  <si>
    <t>PI-20110914A</t>
  </si>
  <si>
    <t>C168H-ISA</t>
  </si>
  <si>
    <t>YES 20120612</t>
  </si>
  <si>
    <t>5355-***-***610</t>
  </si>
  <si>
    <t>US$26687.52</t>
  </si>
  <si>
    <t>CW0108851074</t>
  </si>
  <si>
    <t>CBL-M62M62-150</t>
  </si>
  <si>
    <t>PI-20120601A</t>
  </si>
  <si>
    <t>KS-7715</t>
  </si>
  <si>
    <t>7月10日</t>
  </si>
  <si>
    <t>公信會安排提貨</t>
  </si>
  <si>
    <t>振樺</t>
  </si>
  <si>
    <t>內銷(2012/07/10發票寄出)</t>
  </si>
  <si>
    <t>602512237J</t>
  </si>
  <si>
    <t>PI-20120624A</t>
  </si>
  <si>
    <t xml:space="preserve">(1)8/29/2012
(2)10/6/2012
</t>
  </si>
  <si>
    <t>YES 20121004</t>
  </si>
  <si>
    <t xml:space="preserve">(1)9/3/2012
(2)10/4/2012
</t>
  </si>
  <si>
    <t xml:space="preserve">(1)105000
(2)105000
</t>
  </si>
  <si>
    <t xml:space="preserve">(1)CG0137693189
(2)CG01376A7346
</t>
  </si>
  <si>
    <t>602512238J</t>
  </si>
  <si>
    <t>PI-20120627A</t>
  </si>
  <si>
    <t>EB1021</t>
  </si>
  <si>
    <t>崑碁</t>
  </si>
  <si>
    <t>CG0137686833</t>
  </si>
  <si>
    <t>602512239J</t>
  </si>
  <si>
    <t>PI-20120702A</t>
  </si>
  <si>
    <t>PHARM. S.</t>
  </si>
  <si>
    <t>PI-20120709A</t>
  </si>
  <si>
    <t>宅急便</t>
  </si>
  <si>
    <t>YES20120907</t>
  </si>
  <si>
    <t>內銷(2012/08/08發票寄出)</t>
  </si>
  <si>
    <t>PI-20120709B</t>
  </si>
  <si>
    <t>貨運</t>
  </si>
  <si>
    <t>US$3276</t>
  </si>
  <si>
    <t>PO12000474</t>
  </si>
  <si>
    <t>PI-20120918A</t>
  </si>
  <si>
    <t>TNT Economy 87613</t>
  </si>
  <si>
    <t>US$13020</t>
  </si>
  <si>
    <t>CG01376A4521</t>
  </si>
  <si>
    <t>Opt8D (CBL-M62M9x8-100)</t>
  </si>
  <si>
    <t>PO118030­-1</t>
  </si>
  <si>
    <t>PI-20120918A-1</t>
  </si>
  <si>
    <t>FedEx Priority 128196064</t>
  </si>
  <si>
    <t>US$614.25</t>
  </si>
  <si>
    <t>CF01550YP960</t>
  </si>
  <si>
    <t>CBL-­M68M9x8­100</t>
  </si>
  <si>
    <t>FedEx Priority 128196064</t>
  </si>
  <si>
    <t>PO12045</t>
  </si>
  <si>
    <t>PI-20120920A</t>
  </si>
  <si>
    <t xml:space="preserve"> UPS 0341W3
(express saver)</t>
  </si>
  <si>
    <t>US$5695.2</t>
  </si>
  <si>
    <t>CU0157BF7579</t>
  </si>
  <si>
    <t>UPS 0341W3
(express saver)</t>
  </si>
  <si>
    <t>Mgate MB3170</t>
  </si>
  <si>
    <t>PO12046</t>
  </si>
  <si>
    <t>PI-20121016A</t>
  </si>
  <si>
    <t>Forword 信可空運＿</t>
  </si>
  <si>
    <t>YES.20121127</t>
  </si>
  <si>
    <t>US$14789</t>
  </si>
  <si>
    <t>CW0101312268</t>
  </si>
  <si>
    <t>602512255S</t>
  </si>
  <si>
    <t>PI-20121008A</t>
  </si>
  <si>
    <t>CRK-12083101</t>
  </si>
  <si>
    <t>TNT002004901
 Economy Express </t>
  </si>
  <si>
    <t>Bebe</t>
  </si>
  <si>
    <t>YES.20121015</t>
  </si>
  <si>
    <t>渣打銀行
04353000036259</t>
  </si>
  <si>
    <t>CG01376B1310</t>
  </si>
  <si>
    <t>602512263O</t>
  </si>
  <si>
    <t>CRK-12091101</t>
  </si>
  <si>
    <t>TNT002004901
 Economy Express</t>
  </si>
  <si>
    <t>CRK-12091102</t>
  </si>
  <si>
    <t>CRK-12091103</t>
  </si>
  <si>
    <t>CRK-12091104</t>
  </si>
  <si>
    <t>602512267O</t>
  </si>
  <si>
    <t>ETP-CB-4XN02</t>
  </si>
  <si>
    <t>EETI 禾瑞亞</t>
  </si>
  <si>
    <t>M-7/128</t>
  </si>
  <si>
    <t>PI-20121011A</t>
  </si>
  <si>
    <t>郵局快捷</t>
  </si>
  <si>
    <t>YES.20121128</t>
  </si>
  <si>
    <t>內銷(2012/11/28發票寄出)</t>
  </si>
  <si>
    <t>YES.20121225</t>
  </si>
  <si>
    <t>US$3591</t>
  </si>
  <si>
    <t>600412275N</t>
  </si>
  <si>
    <t>PI-20121111A</t>
  </si>
  <si>
    <t>CRK120120601-T</t>
  </si>
  <si>
    <t>和PI-20121121A一起出</t>
  </si>
  <si>
    <t>CG01376D4779</t>
  </si>
  <si>
    <t xml:space="preserve">602512276N_1 </t>
  </si>
  <si>
    <t>PI-20121121A</t>
  </si>
  <si>
    <t>YES.20121211</t>
  </si>
  <si>
    <t>PO12050</t>
  </si>
  <si>
    <t>PI-20121130A</t>
  </si>
  <si>
    <t>YES20130110</t>
  </si>
  <si>
    <t>CU0157BHB149</t>
  </si>
  <si>
    <t>PI-20121130A-1</t>
  </si>
  <si>
    <t>PI-20121219A</t>
  </si>
  <si>
    <t>台騑(備TNT文件)</t>
  </si>
  <si>
    <t>YES20121221</t>
  </si>
  <si>
    <t>CR01376D8987</t>
  </si>
  <si>
    <t>※ O/A 超出 US$3000 由業務決定是否要先行放貨 (Santiago20181003)</t>
  </si>
  <si>
    <t>Sales 
業務</t>
  </si>
  <si>
    <t>USD O/A Amount
美金放帳額度</t>
  </si>
  <si>
    <t>Balanced Date
結算日期</t>
  </si>
  <si>
    <t>Remark
備註</t>
  </si>
  <si>
    <t xml:space="preserve">每月25日結算. 次月1日付款
20160304 因半年沒有訂單.  暫停放帳 </t>
  </si>
  <si>
    <t>Santiago 20140818同意
20141112 寄發通知書
20150212 更新通知書</t>
  </si>
  <si>
    <t>Avalue 安勤科技</t>
  </si>
  <si>
    <t>目前只有一次往來
暫停放帳</t>
  </si>
  <si>
    <t>Santiago 20140625同意
Santaigo 20141103複核</t>
  </si>
  <si>
    <t xml:space="preserve">每月25日結算，次月10日付款
20160304 因半年沒有訂單.  暫停放帳 </t>
  </si>
  <si>
    <t>Santiago 20140625同意
20141112 寄發通知書
若2014/04/31未有交易, 則取消</t>
  </si>
  <si>
    <t>Lanner 立端</t>
  </si>
  <si>
    <t>1. 出貨後14天內付款
2. 20150909 暫停放帳. 不再往來</t>
  </si>
  <si>
    <t>Santiago 20150212 同意
20150212 寄發通知書</t>
  </si>
  <si>
    <t>Etop 億特</t>
  </si>
  <si>
    <t xml:space="preserve">30 % Down Payment, 
70% / 2 weeks upon goods arrival
20160304 因半年沒有訂單.  暫停放帳 </t>
  </si>
  <si>
    <t>Santiago 20140916同意
20141112 寄發通知書</t>
  </si>
  <si>
    <t>Axiomtek 艾訊</t>
  </si>
  <si>
    <t xml:space="preserve">每月25日結算，次月25日付款
20160304 因半年沒有訂單.  暫停放帳 </t>
  </si>
  <si>
    <t>Santiago 20140715同意
20141112 寄發通知書</t>
  </si>
  <si>
    <t xml:space="preserve">每月25日結算，次月25日付款-合庫
20160304 因半年沒有訂單.  暫停放帳 </t>
  </si>
  <si>
    <t>Autech 亞郁科技</t>
  </si>
  <si>
    <t>20180101 因半年沒有訂單. 暫停放帳
* 6/26 前PI 每月25日結算, 次月25日支票付款  
20190626 chloe: 每月25日結算，隔月5日付款</t>
  </si>
  <si>
    <t>Cathy 20190626 當月25日結，隔月5日電匯款 
Santiago 20141208同意
20141208 寄發通知書
20190626 寄發通知書</t>
  </si>
  <si>
    <t>Pharms 芳慎</t>
  </si>
  <si>
    <t>每月25日結算，月結30天</t>
  </si>
  <si>
    <t>Santiago 2010613同意 額度5000
Santiago 20191022同意 額度改為10000月結30天</t>
  </si>
  <si>
    <t>Toamec 東托</t>
  </si>
  <si>
    <t>1. 出貨後14天內付款
2. 若超過10K美金, 出貨前先付一半訂金, 另一半同第1點</t>
  </si>
  <si>
    <t>Santiago 20150831 同意</t>
  </si>
  <si>
    <t>Ti2</t>
  </si>
  <si>
    <t>出貨後第45日付款</t>
  </si>
  <si>
    <t>Santiago 20161006 同意
Santago 20181003 同意 /寄發通知書</t>
  </si>
  <si>
    <t>O/A 30 days. 出貨後第30日付款
逾期一週仍可出貨，逾期第二週則不可安排出貨</t>
  </si>
  <si>
    <t>Santiago 20160216同意
Santago 20181003 同意 /寄發通知書</t>
  </si>
  <si>
    <t>每月31日結算. 次月1日付款</t>
  </si>
  <si>
    <t>Santiago 20140916同意
20141112 寄發通知書
20150212 更新通知書</t>
  </si>
  <si>
    <t>出貨後第30日付款</t>
  </si>
  <si>
    <t>Santiago 20160314 同意</t>
  </si>
  <si>
    <t xml:space="preserve">NIJKERK </t>
  </si>
  <si>
    <t>Santiago 20160630 同意</t>
  </si>
  <si>
    <t>Nexcom (與B34同)</t>
  </si>
  <si>
    <t>月結30天. 25日結帳. 隔月月底前付款</t>
  </si>
  <si>
    <t>Santiago 20160705 同意</t>
  </si>
  <si>
    <t>每月31日結算. 次月5日付款</t>
  </si>
  <si>
    <t>Santiago 20161101同意
20161101 寄發通知書</t>
  </si>
  <si>
    <t>Jetone
捷毅</t>
  </si>
  <si>
    <t>O/A 30 days.</t>
  </si>
  <si>
    <t>Santiago 20170324同意
20170324 寄發通知書</t>
  </si>
  <si>
    <t>Santiago 20140625同意
2014/12/05 寄發通知書</t>
  </si>
  <si>
    <t>Martinsson Elektronik AB</t>
  </si>
  <si>
    <t>Santiago 20170417同意
20170417 寄發通知書</t>
  </si>
  <si>
    <t xml:space="preserve">Cathy  </t>
  </si>
  <si>
    <t>Sntiago 20191204 改credit amount USD 100,000
Cathy  20190924 寄發通知書
Santiago 20190922 Meeting minute 同意
Santiago 20170518同意 (O/A 5,000) 
20170518 寄發通知書</t>
  </si>
  <si>
    <t>Elektronix NG AB
(更名HATTELAND TECHNOLOGY AB)</t>
  </si>
  <si>
    <t>O/A 30 days. 出貨後第30日付款</t>
  </si>
  <si>
    <t>Santiago 20141215同意
20141216 寄發通知書
Santiago 20170724 改10K
Santago 20181003 同意 /寄發通知書
Chloe 20190709 客戶更名HATTELAND TECHNOLOGY AB</t>
  </si>
  <si>
    <t>每月31日結算. 次月15日付款
(逾期一週仍可出貨，逾期第二週則不可安排出貨)</t>
  </si>
  <si>
    <t>Santiago 20170731 同意
Santago 20181003 同意 /寄發通知書</t>
  </si>
  <si>
    <t>誼龢科技</t>
  </si>
  <si>
    <t>當月30日結帳. 次月15日付款
文哲:每個月的15日匯款</t>
  </si>
  <si>
    <t>Santiago 20180308 和客戶協定結果, 雙方同意</t>
  </si>
  <si>
    <t>O/A 14 days.</t>
  </si>
  <si>
    <t>Santiago 20180514 同意
Santiago 20180514 寄發通知書</t>
  </si>
  <si>
    <t>HighTech IoT Nordic AB</t>
  </si>
  <si>
    <t>月結30天. (25日結帳. 隔月月底前付款(現金票) )
26日出貨則下下個月付款</t>
  </si>
  <si>
    <t>Santiago 20180705 同意</t>
  </si>
  <si>
    <t>合同會社</t>
  </si>
  <si>
    <t>Santiago 20190222 同意</t>
  </si>
  <si>
    <t xml:space="preserve">Aditech </t>
  </si>
  <si>
    <t>O/A 2 Weeks after shipment
(雙創+AdItech)</t>
  </si>
  <si>
    <t xml:space="preserve">Santiago 20190412同意
Santiago 20190412 寄發通知書
Santiago 201905 變更雙創+Aditech USD 4000
Santiago 20190910 同意變更雙創+Aditech USD 7000+3000 =10000(正式文件尚未提供) </t>
  </si>
  <si>
    <t>SA Electroquip Pvt. Ltd.</t>
  </si>
  <si>
    <r>
      <rPr>
        <sz val="10"/>
        <color theme="1"/>
        <rFont val="arial,sans,sans-serif"/>
      </rPr>
      <t>2020/03/03 Chloe mail說明：「</t>
    </r>
    <r>
      <rPr>
        <sz val="10"/>
        <color rgb="FFFF0000"/>
        <rFont val="arial,sans,sans-serif"/>
      </rPr>
      <t>取消原O/A 14 days. 額度USD20,000元整，</t>
    </r>
    <r>
      <rPr>
        <sz val="10"/>
        <color theme="1"/>
        <rFont val="arial,sans,sans-serif"/>
      </rPr>
      <t>超過這金額的訂單. 就逆10天訂貨 」，</t>
    </r>
    <r>
      <rPr>
        <sz val="10"/>
        <color rgb="FFFF0000"/>
        <rFont val="arial,sans,sans-serif"/>
      </rPr>
      <t>往後SA 請確定出貨前出貨前2週
告知客戶付款(1週給SA籌錢，1週給SA向銀行付款 )，款項收到後才可出貨(若老大有另外通知者才可先行放貨)</t>
    </r>
  </si>
  <si>
    <t>Santiago 20190713 同意
Santiago 20200303 同意</t>
  </si>
  <si>
    <t>JSTT 季宣</t>
  </si>
  <si>
    <t>月底結, 隔月5日前匯款</t>
  </si>
  <si>
    <t>Santiago 20190902 同意</t>
  </si>
  <si>
    <t>月底結算，次月月底付款</t>
  </si>
  <si>
    <t>Santiago 20191022 同意</t>
  </si>
  <si>
    <t>東擎科技(股)公司</t>
  </si>
  <si>
    <t>到貨後7天內付款</t>
  </si>
  <si>
    <t>Santiago/Chloe 20200310同意</t>
  </si>
  <si>
    <t>PLUG-IN Electronic GmbH</t>
  </si>
  <si>
    <t>出貨後第21日付款</t>
  </si>
  <si>
    <t>Santiago 20200505 同意</t>
  </si>
  <si>
    <t>Cherry</t>
  </si>
  <si>
    <t>Santiago 20200126 同意</t>
  </si>
  <si>
    <t>Jepico</t>
  </si>
  <si>
    <t>20190827 更新</t>
  </si>
  <si>
    <t>申請須提供: 去年下單金額，今年下單金額，預計明年成長多少?，放帳期限最高只到月結30天</t>
  </si>
  <si>
    <t>Re. 國內客戶
1. 上市 IPC 客戶. 最高5000美金, 放帳一開始3000
2. 上市每月25日結算，次月5日付款
3. 非上市IPC客戶. 最高5000美金, 放帳一開始1000美金
4. 非上市IPC客戶第一次交易不放帳
5. 非上市IPC客戶每月30/31日結算. 次月5日付款
Re. 國外客戶
1. 第一次交易不放帳 (除非證明客戶記錄良. 且Santiago同意)
2. 放帳一定要30% Down Payment, O/A 2 weeks upon shipment
3. 客戶額度要控制在U3000美金內
4. 經申請過後，一律皆為月底結, 隔月5日前匯款(之前已申請者不更動)</t>
  </si>
  <si>
    <t>PI-2011011701</t>
  </si>
  <si>
    <t>1月26日</t>
  </si>
  <si>
    <t>2011-0100033802</t>
  </si>
  <si>
    <t>銀行代號006
帳號: 535571-7704160</t>
  </si>
  <si>
    <t>CW0060400320</t>
  </si>
  <si>
    <t>PO20110120A</t>
  </si>
  <si>
    <t>PI-20110209A</t>
  </si>
  <si>
    <t>CP-118UA</t>
  </si>
  <si>
    <t>2月15日</t>
  </si>
  <si>
    <t>樣品. 不會有發票</t>
  </si>
  <si>
    <t>未付.等Jasper 回國</t>
  </si>
  <si>
    <t>灌在MOXA Quotation 2011-0200035288</t>
  </si>
  <si>
    <t>一</t>
  </si>
  <si>
    <t>CW0060400547</t>
  </si>
  <si>
    <t>PO-11000104</t>
  </si>
  <si>
    <t>PI-20110225A</t>
  </si>
  <si>
    <t>2011-0200​035363</t>
  </si>
  <si>
    <t>YES 20110310</t>
  </si>
  <si>
    <t>CR0037682574</t>
  </si>
  <si>
    <t>CP-114</t>
  </si>
  <si>
    <t>PO-20110310A</t>
  </si>
  <si>
    <t>PO-11000133</t>
  </si>
  <si>
    <t>PI-20110329A</t>
  </si>
  <si>
    <t>4月8日</t>
  </si>
  <si>
    <t>2011-0400037297</t>
  </si>
  <si>
    <t>YES 20110419</t>
  </si>
  <si>
    <t>CH0060401214</t>
  </si>
  <si>
    <t>C104H/PCI/DB9</t>
  </si>
  <si>
    <t>OPT8A</t>
  </si>
  <si>
    <t>PO-20110401A</t>
  </si>
  <si>
    <t>YES20110425</t>
  </si>
  <si>
    <t>TPOLE</t>
  </si>
  <si>
    <t>PI-20110411A</t>
  </si>
  <si>
    <t>4月26日</t>
  </si>
  <si>
    <t>2011-0400037527</t>
  </si>
  <si>
    <t>CR0037684522/GD108987786</t>
  </si>
  <si>
    <t>5月2日</t>
  </si>
  <si>
    <t>YES20110511</t>
  </si>
  <si>
    <t>CR0037684863/GD108987790</t>
  </si>
  <si>
    <t>masibus</t>
  </si>
  <si>
    <t>PO-P-I110003</t>
  </si>
  <si>
    <t>PI-20110412A</t>
  </si>
  <si>
    <t>NPort 5150</t>
  </si>
  <si>
    <t>5月5日</t>
  </si>
  <si>
    <t>2011-0400037616</t>
  </si>
  <si>
    <t>CW0047005705</t>
  </si>
  <si>
    <t>Vextron</t>
  </si>
  <si>
    <t>PI-20110328A</t>
  </si>
  <si>
    <t>110325D04</t>
  </si>
  <si>
    <t>銀行代號011
帳號: 29-10200-000166-7</t>
  </si>
  <si>
    <t>CH0016681266</t>
  </si>
  <si>
    <t>ADAM-5017-A3E</t>
  </si>
  <si>
    <t>ADAM-5013-A1E</t>
  </si>
  <si>
    <t>PO11000183</t>
  </si>
  <si>
    <t>PI-20110420A</t>
  </si>
  <si>
    <t>Nport-5650-8-DT-J</t>
  </si>
  <si>
    <t>2011-0400​037974</t>
  </si>
  <si>
    <t>CH0060401649</t>
  </si>
  <si>
    <t>PO11000217</t>
  </si>
  <si>
    <t>PI-20110513B</t>
  </si>
  <si>
    <t>PO-20110518A</t>
  </si>
  <si>
    <t>CH0060401765</t>
  </si>
  <si>
    <t>CP-114/DB9</t>
  </si>
  <si>
    <t>2011-0500040271</t>
  </si>
  <si>
    <t>Nport 5650-8-DTJ</t>
  </si>
  <si>
    <t>NPORT 5110</t>
  </si>
  <si>
    <t>PO11000261</t>
  </si>
  <si>
    <t>PI-20110531B</t>
  </si>
  <si>
    <t>60pcs, 6/27  ,40 pcs of card 6/8
The 90 pcs cablesafter 6/8.</t>
  </si>
  <si>
    <t>2011-0600041452</t>
  </si>
  <si>
    <t>107,520(6/8  40片) 161,280(6/27  60片)</t>
  </si>
  <si>
    <t>CH0060401964/CH0060402209</t>
  </si>
  <si>
    <t>60pcs, 6/27    ,10 pcs, 6/8,30pcs ,6/10
The 90 pcs cables after 6/8.</t>
  </si>
  <si>
    <t>PO-20110602A</t>
  </si>
  <si>
    <t>YES20110622</t>
  </si>
  <si>
    <t>18,900(6/810片+6/1030片)             28,350(6/23 60片)</t>
  </si>
  <si>
    <t>CH0060401964/CH0060402018/CH0060402209</t>
  </si>
  <si>
    <t>2011-0600041455</t>
  </si>
  <si>
    <t>YES20110607</t>
  </si>
  <si>
    <t>CH0060402018</t>
  </si>
  <si>
    <t>PI-20110601A</t>
  </si>
  <si>
    <t>110530D05-2</t>
  </si>
  <si>
    <t>CH0016681553</t>
  </si>
  <si>
    <t>PI-20110601C</t>
  </si>
  <si>
    <t>PS-300ATX-ZBE</t>
  </si>
  <si>
    <t>110602D01</t>
  </si>
  <si>
    <t>CH0060401964</t>
  </si>
  <si>
    <t>PCA-6114P12-0B3E</t>
  </si>
  <si>
    <t>PCA-6010VG-00A1E</t>
  </si>
  <si>
    <t>PO11000274</t>
  </si>
  <si>
    <t>PI-20110602A</t>
  </si>
  <si>
    <t>110610D01</t>
  </si>
  <si>
    <t>CH0060402209</t>
  </si>
  <si>
    <t>Acqutek(安企)</t>
  </si>
  <si>
    <t>PI-20110611A</t>
  </si>
  <si>
    <t>Uport-404-T</t>
  </si>
  <si>
    <t>2011-0600041740</t>
  </si>
  <si>
    <t>PO-P-I1100​08</t>
  </si>
  <si>
    <t>PI-20110613A</t>
  </si>
  <si>
    <t>MDR 100-24</t>
  </si>
  <si>
    <t>贊翔</t>
  </si>
  <si>
    <t>銀行代號：007 帳號：23110037813</t>
  </si>
  <si>
    <t>CW0047008325</t>
  </si>
  <si>
    <t>DRP-240-24</t>
  </si>
  <si>
    <t>銀行代號：007
帳號：23110037813</t>
  </si>
  <si>
    <t>NES-15-24</t>
  </si>
  <si>
    <t>PO#201104980</t>
  </si>
  <si>
    <t>20110718A</t>
  </si>
  <si>
    <t>YES 20110726</t>
  </si>
  <si>
    <t>2011-0700043928</t>
  </si>
  <si>
    <t>PO#201105224</t>
  </si>
  <si>
    <t>C168H/PC</t>
  </si>
  <si>
    <t>2011-0700044131</t>
  </si>
  <si>
    <t>PO#201105285</t>
  </si>
  <si>
    <t>CBL-M62M9X8-100</t>
  </si>
  <si>
    <t>20110722A</t>
  </si>
  <si>
    <t>PO11000371</t>
  </si>
  <si>
    <t>PI-20110722A</t>
  </si>
  <si>
    <t>YES 20110801</t>
  </si>
  <si>
    <t>GD108987826/CG00376W3395</t>
  </si>
  <si>
    <t>PI-20110804A</t>
  </si>
  <si>
    <t>YES20110817</t>
  </si>
  <si>
    <t>CH0060402832</t>
  </si>
  <si>
    <t>PO-P-I110022</t>
  </si>
  <si>
    <t>PI-20110817A</t>
  </si>
  <si>
    <t>YES20110830</t>
  </si>
  <si>
    <t>8438102153/CX0022317BDX</t>
  </si>
  <si>
    <t>Alcom Electronics BV</t>
  </si>
  <si>
    <t>PO114445</t>
  </si>
  <si>
    <t>PI-20110909B</t>
  </si>
  <si>
    <t>876061813802/CF00550XP579</t>
  </si>
  <si>
    <t>CBL-M68M9X8-100</t>
  </si>
  <si>
    <t>PO-P-L110032</t>
  </si>
  <si>
    <t>PI-20110919A</t>
  </si>
  <si>
    <t>MGate MB 3180</t>
  </si>
  <si>
    <t>CW0047012774</t>
  </si>
  <si>
    <t>MGate MB 3480</t>
  </si>
  <si>
    <t>PI-20111003A</t>
  </si>
  <si>
    <t>OPT4D-2M</t>
  </si>
  <si>
    <t>YES20111013</t>
  </si>
  <si>
    <t>CH0060403489</t>
  </si>
  <si>
    <r>
      <t xml:space="preserve">Unit Price
</t>
    </r>
    <r>
      <rPr>
        <sz val="10"/>
        <color rgb="FFFFFFFF"/>
        <rFont val="Microsoft JhengHei"/>
        <family val="2"/>
        <charset val="136"/>
      </rPr>
      <t>美金單價</t>
    </r>
    <r>
      <rPr>
        <sz val="10"/>
        <color rgb="FFFFFFFF"/>
        <rFont val="Arial"/>
        <family val="2"/>
      </rPr>
      <t xml:space="preserve"> (</t>
    </r>
    <r>
      <rPr>
        <sz val="10"/>
        <color rgb="FFFFFFFF"/>
        <rFont val="Microsoft JhengHei"/>
        <family val="2"/>
        <charset val="136"/>
      </rPr>
      <t>含稅</t>
    </r>
    <r>
      <rPr>
        <sz val="10"/>
        <color rgb="FFFFFFFF"/>
        <rFont val="Arial"/>
        <family val="2"/>
      </rPr>
      <t>)</t>
    </r>
    <phoneticPr fontId="76" type="noConversion"/>
  </si>
  <si>
    <r>
      <t xml:space="preserve">Total USD
</t>
    </r>
    <r>
      <rPr>
        <sz val="10"/>
        <color rgb="FFFFFFFF"/>
        <rFont val="Microsoft JhengHei"/>
        <family val="2"/>
        <charset val="136"/>
      </rPr>
      <t>美金總價</t>
    </r>
    <r>
      <rPr>
        <sz val="10"/>
        <color rgb="FFFFFFFF"/>
        <rFont val="Arial"/>
        <family val="2"/>
      </rPr>
      <t xml:space="preserve"> (</t>
    </r>
    <r>
      <rPr>
        <sz val="10"/>
        <color rgb="FFFFFFFF"/>
        <rFont val="Microsoft JhengHei"/>
        <family val="2"/>
        <charset val="136"/>
      </rPr>
      <t>含稅</t>
    </r>
    <r>
      <rPr>
        <sz val="10"/>
        <color rgb="FFFFFFFF"/>
        <rFont val="Arial"/>
        <family val="2"/>
      </rPr>
      <t>)</t>
    </r>
    <phoneticPr fontId="76" type="noConversion"/>
  </si>
  <si>
    <r>
      <t xml:space="preserve">Total Price 
</t>
    </r>
    <r>
      <rPr>
        <b/>
        <sz val="9"/>
        <color rgb="FFFFFFFF"/>
        <rFont val="Microsoft JhengHei"/>
        <family val="2"/>
        <charset val="136"/>
      </rPr>
      <t>總價</t>
    </r>
    <r>
      <rPr>
        <b/>
        <sz val="9"/>
        <color rgb="FFFFFFFF"/>
        <rFont val="Arial"/>
        <family val="2"/>
      </rPr>
      <t xml:space="preserve"> (</t>
    </r>
    <r>
      <rPr>
        <b/>
        <sz val="9"/>
        <color rgb="FFFFFFFF"/>
        <rFont val="Microsoft JhengHei"/>
        <family val="2"/>
        <charset val="136"/>
      </rPr>
      <t>含稅</t>
    </r>
    <r>
      <rPr>
        <b/>
        <sz val="9"/>
        <color rgb="FFFFFFFF"/>
        <rFont val="Arial"/>
        <family val="2"/>
      </rPr>
      <t>)</t>
    </r>
    <phoneticPr fontId="76" type="noConversion"/>
  </si>
  <si>
    <r>
      <t xml:space="preserve">Pickup Location
</t>
    </r>
    <r>
      <rPr>
        <sz val="10"/>
        <color rgb="FFFFFFFF"/>
        <rFont val="Microsoft JhengHei"/>
        <family val="2"/>
        <charset val="136"/>
      </rPr>
      <t>出貨地</t>
    </r>
    <phoneticPr fontId="76" type="noConversion"/>
  </si>
  <si>
    <t>Elektronix
(HATTELAND)</t>
    <phoneticPr fontId="7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</si>
</sst>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yyyy/mm/dd"/>
    <numFmt numFmtId="177" formatCode="#,##0.0"/>
    <numFmt numFmtId="178" formatCode="yyyy&quot;/&quot;m&quot;/&quot;d"/>
    <numFmt numFmtId="179" formatCode="m/d"/>
    <numFmt numFmtId="180" formatCode="#,##0;\(#,##0\)"/>
    <numFmt numFmtId="181" formatCode="#,##0.000"/>
    <numFmt numFmtId="182" formatCode="0.0"/>
    <numFmt numFmtId="183" formatCode="[$NT$-404]#,##0.00"/>
    <numFmt numFmtId="184" formatCode="[$US$]#,##0"/>
    <numFmt numFmtId="185" formatCode="m/d/yyyy\ h:mm:ss"/>
    <numFmt numFmtId="186" formatCode="_-* #,##0_-;\-* #,##0_-;_-* &quot;-&quot;_-;_-@"/>
    <numFmt numFmtId="187" formatCode="&quot;$&quot;#,##0"/>
    <numFmt numFmtId="188" formatCode="m/d/yyyy"/>
    <numFmt numFmtId="189" formatCode="&quot;$&quot;#,##0.0"/>
    <numFmt numFmtId="190" formatCode="&quot;$&quot;#,##0.00"/>
    <numFmt numFmtId="191" formatCode="#,##0.###############"/>
    <numFmt numFmtId="192" formatCode="\$#,##0.00"/>
    <numFmt numFmtId="193" formatCode="[$US$]#,##0.00"/>
    <numFmt numFmtId="194" formatCode="\$#,##0"/>
    <numFmt numFmtId="195" formatCode="\$#,##0;\-\$#,##0"/>
    <numFmt numFmtId="196" formatCode="#,##0\ ;\(#,##0\)"/>
  </numFmts>
  <fonts count="80">
    <font>
      <sz val="10"/>
      <color rgb="FF000000"/>
      <name val="Aptos Narrow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trike/>
      <sz val="10"/>
      <color theme="1"/>
      <name val="Arial"/>
      <family val="2"/>
    </font>
    <font>
      <strike/>
      <sz val="10"/>
      <color rgb="FF000000"/>
      <name val="Arial"/>
      <family val="2"/>
    </font>
    <font>
      <strike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222222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Roboto"/>
    </font>
    <font>
      <b/>
      <sz val="10"/>
      <color rgb="FF000000"/>
      <name val="Arial"/>
      <family val="2"/>
    </font>
    <font>
      <sz val="10"/>
      <color rgb="FF000000"/>
      <name val="Sans-serif"/>
    </font>
    <font>
      <sz val="10"/>
      <color rgb="FF000000"/>
      <name val="Microsoft JhengHei"/>
      <family val="2"/>
      <charset val="136"/>
    </font>
    <font>
      <sz val="10"/>
      <color rgb="FF434343"/>
      <name val="Arial"/>
      <family val="2"/>
    </font>
    <font>
      <sz val="10"/>
      <color rgb="FF000000"/>
      <name val="PMingLiU"/>
      <family val="1"/>
      <charset val="136"/>
    </font>
    <font>
      <sz val="9"/>
      <color rgb="FF000000"/>
      <name val="Arial"/>
      <family val="2"/>
    </font>
    <font>
      <sz val="12"/>
      <color theme="1"/>
      <name val="Microsoft JhengHei"/>
      <family val="2"/>
      <charset val="136"/>
    </font>
    <font>
      <sz val="10"/>
      <color rgb="FF000000"/>
      <name val="Verdana"/>
      <family val="2"/>
    </font>
    <font>
      <sz val="10"/>
      <color rgb="FF222222"/>
      <name val="Verdana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0"/>
      <color rgb="FF4A86E8"/>
      <name val="Arial"/>
      <family val="2"/>
    </font>
    <font>
      <b/>
      <sz val="12"/>
      <color rgb="FF000000"/>
      <name val="Calibri"/>
      <family val="2"/>
    </font>
    <font>
      <strike/>
      <sz val="10"/>
      <color rgb="FF0000FF"/>
      <name val="Arial"/>
      <family val="2"/>
    </font>
    <font>
      <sz val="10"/>
      <color rgb="FFFF0000"/>
      <name val="MingLiU"/>
      <family val="1"/>
      <charset val="136"/>
    </font>
    <font>
      <sz val="10"/>
      <color rgb="FFFF0000"/>
      <name val="PMingLiU"/>
      <family val="1"/>
      <charset val="136"/>
    </font>
    <font>
      <sz val="10"/>
      <color rgb="FF000000"/>
      <name val="MingLiU"/>
      <family val="1"/>
      <charset val="136"/>
    </font>
    <font>
      <sz val="10"/>
      <color rgb="FF000000"/>
      <name val="Microsoft YaHei"/>
      <family val="2"/>
      <charset val="134"/>
    </font>
    <font>
      <b/>
      <sz val="10"/>
      <color theme="1"/>
      <name val="Arial"/>
      <family val="2"/>
    </font>
    <font>
      <sz val="11"/>
      <color rgb="FF222222"/>
      <name val="Arial"/>
      <family val="2"/>
    </font>
    <font>
      <b/>
      <strike/>
      <sz val="10"/>
      <color theme="1"/>
      <name val="Arial"/>
      <family val="2"/>
    </font>
    <font>
      <sz val="12"/>
      <color rgb="FF000000"/>
      <name val="PMingLiU"/>
      <family val="1"/>
      <charset val="136"/>
    </font>
    <font>
      <b/>
      <strike/>
      <sz val="10"/>
      <color rgb="FF000000"/>
      <name val="Arial"/>
      <family val="2"/>
    </font>
    <font>
      <sz val="11"/>
      <color rgb="FF222222"/>
      <name val="Verdana"/>
      <family val="2"/>
    </font>
    <font>
      <sz val="11"/>
      <color rgb="FF222222"/>
      <name val="Calibri"/>
      <family val="2"/>
    </font>
    <font>
      <b/>
      <sz val="10"/>
      <color rgb="FFFF0000"/>
      <name val="Arial"/>
      <family val="2"/>
    </font>
    <font>
      <b/>
      <sz val="16"/>
      <color rgb="FF000000"/>
      <name val="Arial"/>
      <family val="2"/>
    </font>
    <font>
      <b/>
      <sz val="12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rgb="FF222222"/>
      <name val="Arial"/>
      <family val="2"/>
    </font>
    <font>
      <b/>
      <sz val="10"/>
      <color rgb="FF434343"/>
      <name val="Arial"/>
      <family val="2"/>
    </font>
    <font>
      <sz val="11"/>
      <color rgb="FF000000"/>
      <name val="Tahoma"/>
      <family val="2"/>
    </font>
    <font>
      <sz val="12"/>
      <color rgb="FF222222"/>
      <name val="Calibri"/>
      <family val="2"/>
    </font>
    <font>
      <sz val="10"/>
      <color theme="1"/>
      <name val="PMingLiU"/>
      <family val="1"/>
      <charset val="136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name val="Aptos Narrow"/>
    </font>
    <font>
      <sz val="11"/>
      <color rgb="FF000000"/>
      <name val="MingLiU"/>
      <family val="1"/>
      <charset val="136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2"/>
      <color rgb="FFCFE2F3"/>
      <name val="Arial"/>
      <family val="2"/>
    </font>
    <font>
      <sz val="12"/>
      <color rgb="FFFF0000"/>
      <name val="Arial"/>
      <family val="2"/>
    </font>
    <font>
      <sz val="10"/>
      <color rgb="FF000000"/>
      <name val="arial,sans,sans-serif"/>
    </font>
    <font>
      <b/>
      <sz val="10"/>
      <color rgb="FF0000FF"/>
      <name val="arial,sans,sans-serif"/>
    </font>
    <font>
      <sz val="10"/>
      <color rgb="FF000000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sz val="10"/>
      <color rgb="FF000000"/>
      <name val="Arial, sans-serif"/>
    </font>
    <font>
      <b/>
      <sz val="10"/>
      <color rgb="FF0000FF"/>
      <name val="Arial, sans-serif"/>
    </font>
    <font>
      <b/>
      <sz val="10"/>
      <color rgb="FF000000"/>
      <name val="arial,sans,sans-serif"/>
    </font>
    <font>
      <sz val="10"/>
      <color rgb="FFFF0000"/>
      <name val="arial,sans,sans-serif"/>
    </font>
    <font>
      <strike/>
      <sz val="10"/>
      <color rgb="FF000000"/>
      <name val="arial,sans,sans-serif"/>
    </font>
    <font>
      <sz val="10"/>
      <color rgb="FF000000"/>
      <name val="arial, sans, sans-serif"/>
    </font>
    <font>
      <b/>
      <sz val="10"/>
      <color rgb="FF0000FF"/>
      <name val="arial, sans, sans-serif"/>
    </font>
    <font>
      <sz val="10"/>
      <color rgb="FFB45F06"/>
      <name val="Arial, sans-serif"/>
    </font>
    <font>
      <sz val="10"/>
      <color rgb="FFB45F06"/>
      <name val="arial,sans,sans-serif"/>
    </font>
    <font>
      <sz val="10"/>
      <color rgb="FFFF0000"/>
      <name val="Arial, sans-serif"/>
    </font>
    <font>
      <sz val="10"/>
      <color theme="1"/>
      <name val="arial,sans,sans-serif"/>
    </font>
    <font>
      <b/>
      <sz val="10"/>
      <color rgb="FFFF0000"/>
      <name val="arial,sans,sans-serif"/>
    </font>
    <font>
      <sz val="10"/>
      <color theme="1"/>
      <name val="新細明體, serif"/>
      <family val="3"/>
      <charset val="136"/>
    </font>
    <font>
      <b/>
      <sz val="10"/>
      <color rgb="FF0000FF"/>
      <name val="新細明體, serif"/>
      <charset val="136"/>
    </font>
    <font>
      <sz val="9"/>
      <name val="Aptos Narrow"/>
      <family val="3"/>
      <charset val="136"/>
      <scheme val="minor"/>
    </font>
    <font>
      <sz val="10"/>
      <color rgb="FF000000"/>
      <name val="Aptos Narrow"/>
    </font>
    <font>
      <sz val="10"/>
      <color rgb="FFFFFFFF"/>
      <name val="Microsoft JhengHei"/>
      <family val="2"/>
      <charset val="136"/>
    </font>
    <font>
      <b/>
      <sz val="9"/>
      <color rgb="FFFFFFFF"/>
      <name val="Microsoft JhengHei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693C"/>
        <bgColor rgb="FFFF693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BF5"/>
        <bgColor rgb="FFFFFBF5"/>
      </patternFill>
    </fill>
    <fill>
      <patternFill patternType="solid">
        <fgColor rgb="FFB6DDE8"/>
        <bgColor rgb="FFB6DDE8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FF99FF"/>
        <bgColor rgb="FFFF99FF"/>
      </patternFill>
    </fill>
    <fill>
      <patternFill patternType="solid">
        <fgColor rgb="FFFF66FF"/>
        <bgColor rgb="FFFF66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8" borderId="5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4" fontId="6" fillId="8" borderId="5" xfId="0" applyNumberFormat="1" applyFont="1" applyFill="1" applyBorder="1" applyAlignment="1">
      <alignment horizontal="right" vertical="center"/>
    </xf>
    <xf numFmtId="4" fontId="5" fillId="8" borderId="2" xfId="0" applyNumberFormat="1" applyFont="1" applyFill="1" applyBorder="1" applyAlignment="1">
      <alignment horizontal="right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4" fontId="7" fillId="8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right" vertical="center"/>
    </xf>
    <xf numFmtId="3" fontId="6" fillId="8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right" vertical="center"/>
    </xf>
    <xf numFmtId="14" fontId="6" fillId="8" borderId="1" xfId="0" applyNumberFormat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/>
    </xf>
    <xf numFmtId="4" fontId="5" fillId="0" borderId="6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6" fontId="7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4" fontId="7" fillId="0" borderId="6" xfId="0" applyNumberFormat="1" applyFont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14" fontId="6" fillId="7" borderId="4" xfId="0" applyNumberFormat="1" applyFont="1" applyFill="1" applyBorder="1" applyAlignment="1">
      <alignment horizontal="center"/>
    </xf>
    <xf numFmtId="0" fontId="5" fillId="9" borderId="1" xfId="0" applyFont="1" applyFill="1" applyBorder="1"/>
    <xf numFmtId="0" fontId="5" fillId="8" borderId="1" xfId="0" applyFont="1" applyFill="1" applyBorder="1"/>
    <xf numFmtId="0" fontId="5" fillId="8" borderId="2" xfId="0" applyFont="1" applyFill="1" applyBorder="1"/>
    <xf numFmtId="0" fontId="5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center"/>
    </xf>
    <xf numFmtId="4" fontId="6" fillId="8" borderId="1" xfId="0" applyNumberFormat="1" applyFont="1" applyFill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3" fontId="7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176" fontId="6" fillId="0" borderId="1" xfId="0" applyNumberFormat="1" applyFont="1" applyBorder="1" applyAlignment="1">
      <alignment horizontal="center"/>
    </xf>
    <xf numFmtId="0" fontId="6" fillId="0" borderId="0" xfId="0" applyFont="1"/>
    <xf numFmtId="14" fontId="6" fillId="7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3" fontId="7" fillId="0" borderId="6" xfId="0" applyNumberFormat="1" applyFont="1" applyBorder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7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center" vertical="center"/>
    </xf>
    <xf numFmtId="4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4" fontId="5" fillId="8" borderId="5" xfId="0" applyNumberFormat="1" applyFont="1" applyFill="1" applyBorder="1" applyAlignment="1">
      <alignment horizontal="right" vertical="center"/>
    </xf>
    <xf numFmtId="0" fontId="5" fillId="9" borderId="5" xfId="0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7" fillId="10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/>
    </xf>
    <xf numFmtId="14" fontId="6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3" fontId="6" fillId="0" borderId="7" xfId="0" applyNumberFormat="1" applyFont="1" applyBorder="1" applyAlignment="1">
      <alignment vertical="center"/>
    </xf>
    <xf numFmtId="3" fontId="7" fillId="0" borderId="7" xfId="0" applyNumberFormat="1" applyFon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4" fontId="7" fillId="8" borderId="2" xfId="0" applyNumberFormat="1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4" fontId="7" fillId="0" borderId="9" xfId="0" applyNumberFormat="1" applyFont="1" applyBorder="1" applyAlignment="1">
      <alignment horizontal="right" vertical="center"/>
    </xf>
    <xf numFmtId="4" fontId="5" fillId="8" borderId="2" xfId="0" applyNumberFormat="1" applyFont="1" applyFill="1" applyBorder="1" applyAlignment="1">
      <alignment vertical="center"/>
    </xf>
    <xf numFmtId="177" fontId="6" fillId="0" borderId="0" xfId="0" applyNumberFormat="1" applyFont="1" applyAlignment="1">
      <alignment horizontal="center" vertical="center"/>
    </xf>
    <xf numFmtId="177" fontId="5" fillId="8" borderId="5" xfId="0" applyNumberFormat="1" applyFont="1" applyFill="1" applyBorder="1" applyAlignment="1">
      <alignment horizontal="left" vertical="center"/>
    </xf>
    <xf numFmtId="177" fontId="8" fillId="8" borderId="1" xfId="0" applyNumberFormat="1" applyFont="1" applyFill="1" applyBorder="1" applyAlignment="1">
      <alignment horizontal="left" vertical="center"/>
    </xf>
    <xf numFmtId="177" fontId="7" fillId="8" borderId="2" xfId="0" applyNumberFormat="1" applyFont="1" applyFill="1" applyBorder="1" applyAlignment="1">
      <alignment horizontal="left" vertical="center"/>
    </xf>
    <xf numFmtId="177" fontId="5" fillId="8" borderId="5" xfId="0" applyNumberFormat="1" applyFont="1" applyFill="1" applyBorder="1" applyAlignment="1">
      <alignment horizontal="left" vertical="center" wrapText="1"/>
    </xf>
    <xf numFmtId="177" fontId="6" fillId="8" borderId="1" xfId="0" applyNumberFormat="1" applyFont="1" applyFill="1" applyBorder="1" applyAlignment="1">
      <alignment horizontal="right" vertical="center"/>
    </xf>
    <xf numFmtId="177" fontId="5" fillId="8" borderId="2" xfId="0" applyNumberFormat="1" applyFont="1" applyFill="1" applyBorder="1" applyAlignment="1">
      <alignment vertical="center"/>
    </xf>
    <xf numFmtId="177" fontId="7" fillId="0" borderId="7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vertical="center"/>
    </xf>
    <xf numFmtId="177" fontId="5" fillId="8" borderId="1" xfId="0" applyNumberFormat="1" applyFont="1" applyFill="1" applyBorder="1" applyAlignment="1">
      <alignment vertical="center" wrapText="1"/>
    </xf>
    <xf numFmtId="177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center" vertical="center"/>
    </xf>
    <xf numFmtId="14" fontId="9" fillId="8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4" fontId="9" fillId="8" borderId="1" xfId="0" applyNumberFormat="1" applyFont="1" applyFill="1" applyBorder="1" applyAlignment="1">
      <alignment horizontal="right" vertical="center"/>
    </xf>
    <xf numFmtId="4" fontId="10" fillId="0" borderId="6" xfId="0" applyNumberFormat="1" applyFont="1" applyBorder="1" applyAlignment="1">
      <alignment vertical="center"/>
    </xf>
    <xf numFmtId="0" fontId="11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3" fontId="9" fillId="0" borderId="9" xfId="0" applyNumberFormat="1" applyFont="1" applyBorder="1" applyAlignment="1">
      <alignment vertical="center"/>
    </xf>
    <xf numFmtId="3" fontId="11" fillId="0" borderId="7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6" fillId="8" borderId="4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vertical="center"/>
    </xf>
    <xf numFmtId="3" fontId="7" fillId="0" borderId="6" xfId="0" applyNumberFormat="1" applyFont="1" applyBorder="1" applyAlignment="1">
      <alignment horizontal="right" vertical="center"/>
    </xf>
    <xf numFmtId="1" fontId="6" fillId="0" borderId="6" xfId="0" applyNumberFormat="1" applyFont="1" applyBorder="1" applyAlignment="1">
      <alignment horizontal="center" vertical="center"/>
    </xf>
    <xf numFmtId="4" fontId="5" fillId="0" borderId="7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1" fontId="6" fillId="0" borderId="7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vertical="center"/>
    </xf>
    <xf numFmtId="0" fontId="7" fillId="0" borderId="9" xfId="0" applyFont="1" applyBorder="1" applyAlignment="1">
      <alignment horizontal="right"/>
    </xf>
    <xf numFmtId="3" fontId="6" fillId="0" borderId="7" xfId="0" applyNumberFormat="1" applyFont="1" applyBorder="1"/>
    <xf numFmtId="3" fontId="7" fillId="0" borderId="7" xfId="0" applyNumberFormat="1" applyFont="1" applyBorder="1" applyAlignment="1">
      <alignment horizontal="right"/>
    </xf>
    <xf numFmtId="0" fontId="8" fillId="0" borderId="0" xfId="0" applyFont="1" applyAlignment="1">
      <alignment vertical="center"/>
    </xf>
    <xf numFmtId="0" fontId="6" fillId="8" borderId="3" xfId="0" applyFont="1" applyFill="1" applyBorder="1" applyAlignment="1">
      <alignment vertical="center" wrapText="1"/>
    </xf>
    <xf numFmtId="4" fontId="12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6" fillId="8" borderId="3" xfId="0" applyFont="1" applyFill="1" applyBorder="1"/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horizontal="right" vertical="center"/>
    </xf>
    <xf numFmtId="4" fontId="5" fillId="11" borderId="2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3" fontId="6" fillId="11" borderId="1" xfId="0" applyNumberFormat="1" applyFont="1" applyFill="1" applyBorder="1" applyAlignment="1">
      <alignment horizontal="center" vertical="center"/>
    </xf>
    <xf numFmtId="176" fontId="6" fillId="11" borderId="1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4" fontId="5" fillId="11" borderId="1" xfId="0" applyNumberFormat="1" applyFont="1" applyFill="1" applyBorder="1" applyAlignment="1">
      <alignment horizontal="right" vertical="center"/>
    </xf>
    <xf numFmtId="4" fontId="5" fillId="11" borderId="1" xfId="0" applyNumberFormat="1" applyFont="1" applyFill="1" applyBorder="1" applyAlignment="1">
      <alignment vertical="center"/>
    </xf>
    <xf numFmtId="0" fontId="6" fillId="11" borderId="5" xfId="0" applyFont="1" applyFill="1" applyBorder="1" applyAlignment="1">
      <alignment horizontal="center" vertical="center" wrapText="1"/>
    </xf>
    <xf numFmtId="178" fontId="13" fillId="11" borderId="5" xfId="0" applyNumberFormat="1" applyFont="1" applyFill="1" applyBorder="1" applyAlignment="1">
      <alignment vertical="center"/>
    </xf>
    <xf numFmtId="178" fontId="13" fillId="11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0" fontId="6" fillId="7" borderId="4" xfId="0" applyFont="1" applyFill="1" applyBorder="1" applyAlignment="1">
      <alignment horizontal="center" vertical="center"/>
    </xf>
    <xf numFmtId="14" fontId="9" fillId="11" borderId="4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/>
    </xf>
    <xf numFmtId="4" fontId="9" fillId="11" borderId="1" xfId="0" applyNumberFormat="1" applyFont="1" applyFill="1" applyBorder="1" applyAlignment="1">
      <alignment horizontal="right" vertical="center"/>
    </xf>
    <xf numFmtId="4" fontId="10" fillId="11" borderId="1" xfId="0" applyNumberFormat="1" applyFont="1" applyFill="1" applyBorder="1" applyAlignment="1">
      <alignment horizontal="right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right" vertical="center"/>
    </xf>
    <xf numFmtId="3" fontId="9" fillId="11" borderId="1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right" vertical="center"/>
    </xf>
    <xf numFmtId="0" fontId="10" fillId="11" borderId="8" xfId="0" applyFont="1" applyFill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8" borderId="8" xfId="0" applyFont="1" applyFill="1" applyBorder="1" applyAlignment="1">
      <alignment horizontal="center" vertical="center" wrapText="1"/>
    </xf>
    <xf numFmtId="14" fontId="13" fillId="0" borderId="1" xfId="0" applyNumberFormat="1" applyFont="1" applyBorder="1" applyAlignment="1">
      <alignment vertical="center"/>
    </xf>
    <xf numFmtId="14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176" fontId="13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6" fillId="11" borderId="1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right" vertical="center" wrapText="1"/>
    </xf>
    <xf numFmtId="14" fontId="13" fillId="11" borderId="1" xfId="0" applyNumberFormat="1" applyFont="1" applyFill="1" applyBorder="1" applyAlignment="1">
      <alignment vertical="center" wrapText="1"/>
    </xf>
    <xf numFmtId="14" fontId="6" fillId="7" borderId="10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 wrapText="1"/>
    </xf>
    <xf numFmtId="4" fontId="6" fillId="11" borderId="11" xfId="0" applyNumberFormat="1" applyFont="1" applyFill="1" applyBorder="1" applyAlignment="1">
      <alignment horizontal="right" vertical="center"/>
    </xf>
    <xf numFmtId="14" fontId="13" fillId="11" borderId="2" xfId="0" applyNumberFormat="1" applyFont="1" applyFill="1" applyBorder="1" applyAlignment="1">
      <alignment vertical="center" wrapText="1"/>
    </xf>
    <xf numFmtId="14" fontId="13" fillId="11" borderId="2" xfId="0" applyNumberFormat="1" applyFont="1" applyFill="1" applyBorder="1" applyAlignment="1">
      <alignment horizontal="right" vertical="center"/>
    </xf>
    <xf numFmtId="0" fontId="13" fillId="11" borderId="2" xfId="0" applyFont="1" applyFill="1" applyBorder="1" applyAlignment="1">
      <alignment horizontal="right" vertical="center"/>
    </xf>
    <xf numFmtId="0" fontId="5" fillId="11" borderId="5" xfId="0" applyFont="1" applyFill="1" applyBorder="1" applyAlignment="1">
      <alignment vertical="center"/>
    </xf>
    <xf numFmtId="0" fontId="6" fillId="11" borderId="8" xfId="0" applyFont="1" applyFill="1" applyBorder="1" applyAlignment="1">
      <alignment horizontal="center" vertical="center" wrapText="1"/>
    </xf>
    <xf numFmtId="14" fontId="13" fillId="11" borderId="5" xfId="0" applyNumberFormat="1" applyFont="1" applyFill="1" applyBorder="1" applyAlignment="1">
      <alignment vertical="center" wrapText="1"/>
    </xf>
    <xf numFmtId="14" fontId="13" fillId="11" borderId="5" xfId="0" applyNumberFormat="1" applyFont="1" applyFill="1" applyBorder="1" applyAlignment="1">
      <alignment vertical="center"/>
    </xf>
    <xf numFmtId="0" fontId="6" fillId="8" borderId="8" xfId="0" applyFont="1" applyFill="1" applyBorder="1" applyAlignment="1">
      <alignment horizontal="left" vertical="center" wrapText="1"/>
    </xf>
    <xf numFmtId="4" fontId="6" fillId="11" borderId="5" xfId="0" applyNumberFormat="1" applyFont="1" applyFill="1" applyBorder="1" applyAlignment="1">
      <alignment horizontal="right" vertical="center"/>
    </xf>
    <xf numFmtId="14" fontId="13" fillId="11" borderId="1" xfId="0" applyNumberFormat="1" applyFont="1" applyFill="1" applyBorder="1" applyAlignment="1">
      <alignment vertical="center"/>
    </xf>
    <xf numFmtId="0" fontId="5" fillId="8" borderId="8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right" vertical="center"/>
    </xf>
    <xf numFmtId="4" fontId="5" fillId="10" borderId="2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 wrapText="1"/>
    </xf>
    <xf numFmtId="4" fontId="5" fillId="11" borderId="2" xfId="0" applyNumberFormat="1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vertical="center"/>
    </xf>
    <xf numFmtId="0" fontId="7" fillId="11" borderId="1" xfId="0" applyFont="1" applyFill="1" applyBorder="1" applyAlignment="1">
      <alignment horizontal="right" vertical="center"/>
    </xf>
    <xf numFmtId="0" fontId="5" fillId="11" borderId="5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right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/>
    </xf>
    <xf numFmtId="0" fontId="5" fillId="8" borderId="12" xfId="0" applyFont="1" applyFill="1" applyBorder="1" applyAlignment="1">
      <alignment horizontal="center" vertical="center"/>
    </xf>
    <xf numFmtId="4" fontId="5" fillId="8" borderId="12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vertical="center"/>
    </xf>
    <xf numFmtId="176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vertical="center"/>
    </xf>
    <xf numFmtId="14" fontId="13" fillId="8" borderId="1" xfId="0" applyNumberFormat="1" applyFont="1" applyFill="1" applyBorder="1" applyAlignment="1">
      <alignment vertical="center"/>
    </xf>
    <xf numFmtId="14" fontId="7" fillId="8" borderId="1" xfId="0" applyNumberFormat="1" applyFont="1" applyFill="1" applyBorder="1" applyAlignment="1">
      <alignment vertical="center"/>
    </xf>
    <xf numFmtId="3" fontId="6" fillId="8" borderId="1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left" vertical="center"/>
    </xf>
    <xf numFmtId="0" fontId="6" fillId="11" borderId="12" xfId="0" applyFont="1" applyFill="1" applyBorder="1" applyAlignment="1">
      <alignment horizontal="center" vertical="center"/>
    </xf>
    <xf numFmtId="4" fontId="6" fillId="11" borderId="12" xfId="0" applyNumberFormat="1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 wrapText="1"/>
    </xf>
    <xf numFmtId="4" fontId="5" fillId="12" borderId="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 vertical="center" wrapText="1"/>
    </xf>
    <xf numFmtId="4" fontId="5" fillId="11" borderId="12" xfId="0" applyNumberFormat="1" applyFont="1" applyFill="1" applyBorder="1" applyAlignment="1">
      <alignment horizontal="right" vertical="center"/>
    </xf>
    <xf numFmtId="4" fontId="6" fillId="11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176" fontId="13" fillId="11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10" fillId="7" borderId="4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0" fillId="8" borderId="5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/>
    </xf>
    <xf numFmtId="4" fontId="10" fillId="8" borderId="5" xfId="0" applyNumberFormat="1" applyFont="1" applyFill="1" applyBorder="1" applyAlignment="1">
      <alignment horizontal="right" vertical="center"/>
    </xf>
    <xf numFmtId="4" fontId="10" fillId="8" borderId="2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14" fontId="10" fillId="8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4" fontId="5" fillId="8" borderId="11" xfId="0" applyNumberFormat="1" applyFont="1" applyFill="1" applyBorder="1" applyAlignment="1">
      <alignment horizontal="right" vertical="center"/>
    </xf>
    <xf numFmtId="0" fontId="6" fillId="11" borderId="5" xfId="0" applyFont="1" applyFill="1" applyBorder="1" applyAlignment="1">
      <alignment vertical="center"/>
    </xf>
    <xf numFmtId="0" fontId="15" fillId="11" borderId="5" xfId="0" applyFont="1" applyFill="1" applyBorder="1" applyAlignment="1">
      <alignment vertical="center"/>
    </xf>
    <xf numFmtId="0" fontId="5" fillId="11" borderId="11" xfId="0" applyFont="1" applyFill="1" applyBorder="1" applyAlignment="1">
      <alignment horizontal="center" vertical="center"/>
    </xf>
    <xf numFmtId="4" fontId="5" fillId="11" borderId="11" xfId="0" applyNumberFormat="1" applyFont="1" applyFill="1" applyBorder="1" applyAlignment="1">
      <alignment horizontal="right" vertical="center"/>
    </xf>
    <xf numFmtId="0" fontId="5" fillId="11" borderId="1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center" vertical="center"/>
    </xf>
    <xf numFmtId="178" fontId="13" fillId="11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right" vertical="center" wrapText="1"/>
    </xf>
    <xf numFmtId="0" fontId="13" fillId="8" borderId="1" xfId="0" applyFont="1" applyFill="1" applyBorder="1" applyAlignment="1">
      <alignment horizontal="left" vertical="center"/>
    </xf>
    <xf numFmtId="14" fontId="9" fillId="7" borderId="4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4" fontId="10" fillId="8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178" fontId="13" fillId="0" borderId="1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16" fillId="8" borderId="12" xfId="0" applyFont="1" applyFill="1" applyBorder="1" applyAlignment="1">
      <alignment vertical="center"/>
    </xf>
    <xf numFmtId="14" fontId="13" fillId="8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8" borderId="1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4" fontId="13" fillId="8" borderId="2" xfId="0" applyNumberFormat="1" applyFont="1" applyFill="1" applyBorder="1" applyAlignment="1">
      <alignment horizontal="right" vertical="center"/>
    </xf>
    <xf numFmtId="0" fontId="6" fillId="0" borderId="13" xfId="0" applyFont="1" applyBorder="1" applyAlignment="1">
      <alignment horizontal="center" vertical="center" wrapText="1"/>
    </xf>
    <xf numFmtId="14" fontId="13" fillId="11" borderId="5" xfId="0" applyNumberFormat="1" applyFont="1" applyFill="1" applyBorder="1" applyAlignment="1">
      <alignment horizontal="right" vertical="center"/>
    </xf>
    <xf numFmtId="14" fontId="13" fillId="11" borderId="3" xfId="0" applyNumberFormat="1" applyFont="1" applyFill="1" applyBorder="1" applyAlignment="1">
      <alignment horizontal="right" vertical="center"/>
    </xf>
    <xf numFmtId="0" fontId="5" fillId="8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4" fontId="6" fillId="8" borderId="1" xfId="0" applyNumberFormat="1" applyFont="1" applyFill="1" applyBorder="1" applyAlignment="1">
      <alignment vertical="center"/>
    </xf>
    <xf numFmtId="178" fontId="13" fillId="8" borderId="1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right" vertical="center"/>
    </xf>
    <xf numFmtId="4" fontId="5" fillId="10" borderId="2" xfId="0" applyNumberFormat="1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/>
    </xf>
    <xf numFmtId="176" fontId="13" fillId="10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right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 wrapText="1"/>
    </xf>
    <xf numFmtId="176" fontId="13" fillId="8" borderId="1" xfId="0" applyNumberFormat="1" applyFont="1" applyFill="1" applyBorder="1" applyAlignment="1">
      <alignment horizontal="right" vertical="center"/>
    </xf>
    <xf numFmtId="0" fontId="17" fillId="11" borderId="5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right" vertical="center"/>
    </xf>
    <xf numFmtId="4" fontId="5" fillId="0" borderId="6" xfId="0" applyNumberFormat="1" applyFont="1" applyBorder="1" applyAlignment="1">
      <alignment horizontal="right" vertical="center"/>
    </xf>
    <xf numFmtId="0" fontId="18" fillId="8" borderId="1" xfId="0" applyFont="1" applyFill="1" applyBorder="1" applyAlignment="1">
      <alignment vertical="center"/>
    </xf>
    <xf numFmtId="176" fontId="13" fillId="8" borderId="1" xfId="0" applyNumberFormat="1" applyFont="1" applyFill="1" applyBorder="1" applyAlignment="1">
      <alignment horizontal="center" vertical="center"/>
    </xf>
    <xf numFmtId="0" fontId="6" fillId="0" borderId="6" xfId="0" applyFont="1" applyBorder="1"/>
    <xf numFmtId="0" fontId="5" fillId="8" borderId="3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4" fontId="6" fillId="0" borderId="1" xfId="0" applyNumberFormat="1" applyFont="1" applyBorder="1" applyAlignment="1">
      <alignment vertical="center"/>
    </xf>
    <xf numFmtId="176" fontId="5" fillId="7" borderId="4" xfId="0" applyNumberFormat="1" applyFont="1" applyFill="1" applyBorder="1" applyAlignment="1">
      <alignment horizontal="left" vertical="center"/>
    </xf>
    <xf numFmtId="4" fontId="5" fillId="11" borderId="5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4" fontId="19" fillId="0" borderId="6" xfId="0" applyNumberFormat="1" applyFont="1" applyBorder="1" applyAlignment="1">
      <alignment vertical="center"/>
    </xf>
    <xf numFmtId="176" fontId="6" fillId="7" borderId="4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16" fillId="8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0" fillId="8" borderId="1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9" fillId="8" borderId="12" xfId="0" applyFont="1" applyFill="1" applyBorder="1" applyAlignment="1">
      <alignment vertical="center"/>
    </xf>
    <xf numFmtId="0" fontId="10" fillId="8" borderId="12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9" fillId="8" borderId="12" xfId="0" applyFont="1" applyFill="1" applyBorder="1" applyAlignment="1">
      <alignment horizontal="center" vertical="center"/>
    </xf>
    <xf numFmtId="4" fontId="9" fillId="8" borderId="12" xfId="0" applyNumberFormat="1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/>
    </xf>
    <xf numFmtId="4" fontId="11" fillId="0" borderId="6" xfId="0" applyNumberFormat="1" applyFont="1" applyBorder="1" applyAlignment="1">
      <alignment vertical="center"/>
    </xf>
    <xf numFmtId="0" fontId="14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" fontId="13" fillId="0" borderId="6" xfId="0" applyNumberFormat="1" applyFont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20" fillId="8" borderId="4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1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/>
    </xf>
    <xf numFmtId="0" fontId="13" fillId="8" borderId="8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176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8" fillId="8" borderId="5" xfId="0" applyFont="1" applyFill="1" applyBorder="1" applyAlignment="1">
      <alignment horizontal="left" vertical="center"/>
    </xf>
    <xf numFmtId="4" fontId="6" fillId="8" borderId="3" xfId="0" applyNumberFormat="1" applyFont="1" applyFill="1" applyBorder="1" applyAlignment="1">
      <alignment horizontal="right" vertical="center"/>
    </xf>
    <xf numFmtId="176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0" fontId="24" fillId="0" borderId="1" xfId="0" applyFont="1" applyBorder="1"/>
    <xf numFmtId="0" fontId="14" fillId="8" borderId="2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26" fillId="8" borderId="1" xfId="0" applyFont="1" applyFill="1" applyBorder="1" applyAlignment="1">
      <alignment vertical="center"/>
    </xf>
    <xf numFmtId="0" fontId="26" fillId="8" borderId="14" xfId="0" applyFont="1" applyFill="1" applyBorder="1" applyAlignment="1">
      <alignment vertical="center"/>
    </xf>
    <xf numFmtId="0" fontId="5" fillId="8" borderId="14" xfId="0" applyFont="1" applyFill="1" applyBorder="1" applyAlignment="1">
      <alignment horizontal="left" vertical="center" wrapText="1"/>
    </xf>
    <xf numFmtId="4" fontId="5" fillId="13" borderId="2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8" borderId="15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wrapText="1"/>
    </xf>
    <xf numFmtId="178" fontId="5" fillId="8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/>
    </xf>
    <xf numFmtId="4" fontId="9" fillId="8" borderId="1" xfId="0" applyNumberFormat="1" applyFont="1" applyFill="1" applyBorder="1" applyAlignment="1">
      <alignment vertical="center"/>
    </xf>
    <xf numFmtId="0" fontId="25" fillId="8" borderId="5" xfId="0" applyFont="1" applyFill="1" applyBorder="1" applyAlignment="1">
      <alignment vertical="center"/>
    </xf>
    <xf numFmtId="176" fontId="6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17" fillId="8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" fontId="9" fillId="0" borderId="6" xfId="0" applyNumberFormat="1" applyFont="1" applyBorder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14" fontId="5" fillId="8" borderId="1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" fontId="6" fillId="8" borderId="5" xfId="0" applyNumberFormat="1" applyFont="1" applyFill="1" applyBorder="1" applyAlignment="1">
      <alignment vertical="center"/>
    </xf>
    <xf numFmtId="0" fontId="25" fillId="0" borderId="7" xfId="0" applyFont="1" applyBorder="1" applyAlignment="1">
      <alignment horizontal="left" vertical="center"/>
    </xf>
    <xf numFmtId="0" fontId="5" fillId="12" borderId="5" xfId="0" applyFont="1" applyFill="1" applyBorder="1" applyAlignment="1">
      <alignment horizontal="left" vertical="center" wrapText="1"/>
    </xf>
    <xf numFmtId="0" fontId="21" fillId="8" borderId="5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27" fillId="8" borderId="2" xfId="0" applyFont="1" applyFill="1" applyBorder="1" applyAlignment="1">
      <alignment horizontal="left" vertical="center"/>
    </xf>
    <xf numFmtId="14" fontId="6" fillId="7" borderId="5" xfId="0" applyNumberFormat="1" applyFont="1" applyFill="1" applyBorder="1" applyAlignment="1">
      <alignment horizontal="center" vertical="center"/>
    </xf>
    <xf numFmtId="14" fontId="5" fillId="7" borderId="4" xfId="0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0" fontId="28" fillId="0" borderId="1" xfId="0" applyFont="1" applyBorder="1"/>
    <xf numFmtId="176" fontId="5" fillId="8" borderId="1" xfId="0" applyNumberFormat="1" applyFont="1" applyFill="1" applyBorder="1" applyAlignment="1">
      <alignment horizontal="lef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0" fontId="5" fillId="8" borderId="5" xfId="0" applyFont="1" applyFill="1" applyBorder="1"/>
    <xf numFmtId="14" fontId="18" fillId="8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/>
    </xf>
    <xf numFmtId="4" fontId="10" fillId="8" borderId="2" xfId="0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right" vertical="center"/>
    </xf>
    <xf numFmtId="0" fontId="9" fillId="11" borderId="1" xfId="0" applyFont="1" applyFill="1" applyBorder="1" applyAlignment="1">
      <alignment vertical="center"/>
    </xf>
    <xf numFmtId="4" fontId="11" fillId="11" borderId="1" xfId="0" applyNumberFormat="1" applyFont="1" applyFill="1" applyBorder="1" applyAlignment="1">
      <alignment vertical="center"/>
    </xf>
    <xf numFmtId="3" fontId="11" fillId="11" borderId="5" xfId="0" applyNumberFormat="1" applyFont="1" applyFill="1" applyBorder="1" applyAlignment="1">
      <alignment vertical="center"/>
    </xf>
    <xf numFmtId="14" fontId="9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vertical="center"/>
    </xf>
    <xf numFmtId="4" fontId="5" fillId="8" borderId="1" xfId="0" applyNumberFormat="1" applyFont="1" applyFill="1" applyBorder="1" applyAlignment="1">
      <alignment vertical="center"/>
    </xf>
    <xf numFmtId="3" fontId="5" fillId="8" borderId="1" xfId="0" applyNumberFormat="1" applyFont="1" applyFill="1" applyBorder="1" applyAlignment="1">
      <alignment vertical="center"/>
    </xf>
    <xf numFmtId="4" fontId="5" fillId="8" borderId="5" xfId="0" applyNumberFormat="1" applyFont="1" applyFill="1" applyBorder="1" applyAlignment="1">
      <alignment vertical="center"/>
    </xf>
    <xf numFmtId="4" fontId="5" fillId="10" borderId="5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" fontId="5" fillId="11" borderId="3" xfId="0" applyNumberFormat="1" applyFont="1" applyFill="1" applyBorder="1" applyAlignment="1">
      <alignment vertical="center"/>
    </xf>
    <xf numFmtId="0" fontId="5" fillId="11" borderId="2" xfId="0" applyFont="1" applyFill="1" applyBorder="1" applyAlignment="1">
      <alignment vertical="center" wrapText="1"/>
    </xf>
    <xf numFmtId="3" fontId="7" fillId="11" borderId="1" xfId="0" applyNumberFormat="1" applyFont="1" applyFill="1" applyBorder="1" applyAlignment="1">
      <alignment vertical="center"/>
    </xf>
    <xf numFmtId="0" fontId="5" fillId="11" borderId="5" xfId="0" applyFont="1" applyFill="1" applyBorder="1" applyAlignment="1">
      <alignment horizontal="left" vertical="center" wrapText="1"/>
    </xf>
    <xf numFmtId="4" fontId="7" fillId="11" borderId="1" xfId="0" applyNumberFormat="1" applyFont="1" applyFill="1" applyBorder="1" applyAlignment="1">
      <alignment vertical="center"/>
    </xf>
    <xf numFmtId="0" fontId="6" fillId="11" borderId="5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/>
    </xf>
    <xf numFmtId="176" fontId="6" fillId="11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176" fontId="6" fillId="8" borderId="1" xfId="0" applyNumberFormat="1" applyFont="1" applyFill="1" applyBorder="1" applyAlignment="1">
      <alignment horizontal="right" vertical="center"/>
    </xf>
    <xf numFmtId="4" fontId="7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horizontal="right" vertical="center" wrapText="1"/>
    </xf>
    <xf numFmtId="14" fontId="13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vertical="center"/>
    </xf>
    <xf numFmtId="0" fontId="13" fillId="8" borderId="5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/>
    </xf>
    <xf numFmtId="0" fontId="20" fillId="14" borderId="1" xfId="0" applyFont="1" applyFill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14" fontId="7" fillId="11" borderId="1" xfId="0" applyNumberFormat="1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0" fontId="5" fillId="11" borderId="3" xfId="0" applyFont="1" applyFill="1" applyBorder="1" applyAlignment="1">
      <alignment horizontal="left" vertical="center" wrapText="1"/>
    </xf>
    <xf numFmtId="3" fontId="30" fillId="15" borderId="1" xfId="0" applyNumberFormat="1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horizontal="right" vertical="center"/>
    </xf>
    <xf numFmtId="0" fontId="13" fillId="8" borderId="5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right" vertical="center"/>
    </xf>
    <xf numFmtId="3" fontId="5" fillId="15" borderId="1" xfId="0" applyNumberFormat="1" applyFont="1" applyFill="1" applyBorder="1" applyAlignment="1">
      <alignment vertical="center"/>
    </xf>
    <xf numFmtId="0" fontId="30" fillId="8" borderId="1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right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horizontal="left" vertical="center"/>
    </xf>
    <xf numFmtId="0" fontId="5" fillId="11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5" fillId="8" borderId="4" xfId="0" applyFont="1" applyFill="1" applyBorder="1" applyAlignment="1">
      <alignment vertical="center" wrapText="1"/>
    </xf>
    <xf numFmtId="3" fontId="5" fillId="8" borderId="5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6" fillId="10" borderId="5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right" vertical="center"/>
    </xf>
    <xf numFmtId="0" fontId="7" fillId="11" borderId="5" xfId="0" applyFont="1" applyFill="1" applyBorder="1" applyAlignment="1">
      <alignment vertical="center"/>
    </xf>
    <xf numFmtId="0" fontId="7" fillId="11" borderId="11" xfId="0" applyFont="1" applyFill="1" applyBorder="1" applyAlignment="1">
      <alignment vertical="center"/>
    </xf>
    <xf numFmtId="2" fontId="5" fillId="8" borderId="1" xfId="0" applyNumberFormat="1" applyFont="1" applyFill="1" applyBorder="1" applyAlignment="1">
      <alignment vertical="center"/>
    </xf>
    <xf numFmtId="0" fontId="13" fillId="8" borderId="5" xfId="0" applyFont="1" applyFill="1" applyBorder="1" applyAlignment="1">
      <alignment horizontal="left" vertical="center" wrapText="1"/>
    </xf>
    <xf numFmtId="4" fontId="13" fillId="8" borderId="1" xfId="0" applyNumberFormat="1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right" vertical="center"/>
    </xf>
    <xf numFmtId="0" fontId="5" fillId="16" borderId="1" xfId="0" applyFont="1" applyFill="1" applyBorder="1" applyAlignment="1">
      <alignment vertical="center"/>
    </xf>
    <xf numFmtId="14" fontId="5" fillId="8" borderId="3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vertical="center"/>
    </xf>
    <xf numFmtId="0" fontId="13" fillId="8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31" fillId="8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10" borderId="1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2" fillId="8" borderId="1" xfId="0" applyFont="1" applyFill="1" applyBorder="1" applyAlignment="1">
      <alignment vertical="center"/>
    </xf>
    <xf numFmtId="0" fontId="5" fillId="8" borderId="1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20" fillId="0" borderId="11" xfId="0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179" fontId="13" fillId="0" borderId="1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right" vertical="center"/>
    </xf>
    <xf numFmtId="1" fontId="5" fillId="8" borderId="5" xfId="0" applyNumberFormat="1" applyFont="1" applyFill="1" applyBorder="1" applyAlignment="1">
      <alignment horizontal="right" vertical="center"/>
    </xf>
    <xf numFmtId="3" fontId="5" fillId="8" borderId="5" xfId="0" applyNumberFormat="1" applyFont="1" applyFill="1" applyBorder="1" applyAlignment="1">
      <alignment horizontal="right" vertical="center"/>
    </xf>
    <xf numFmtId="3" fontId="5" fillId="17" borderId="1" xfId="0" applyNumberFormat="1" applyFont="1" applyFill="1" applyBorder="1" applyAlignment="1">
      <alignment horizontal="right"/>
    </xf>
    <xf numFmtId="0" fontId="5" fillId="17" borderId="1" xfId="0" applyFont="1" applyFill="1" applyBorder="1" applyAlignment="1">
      <alignment horizontal="right" vertical="center"/>
    </xf>
    <xf numFmtId="3" fontId="5" fillId="17" borderId="1" xfId="0" applyNumberFormat="1" applyFont="1" applyFill="1" applyBorder="1" applyAlignment="1">
      <alignment horizontal="right" vertical="center"/>
    </xf>
    <xf numFmtId="0" fontId="19" fillId="13" borderId="1" xfId="0" applyFont="1" applyFill="1" applyBorder="1" applyAlignment="1">
      <alignment horizontal="right"/>
    </xf>
    <xf numFmtId="2" fontId="13" fillId="13" borderId="1" xfId="0" applyNumberFormat="1" applyFont="1" applyFill="1" applyBorder="1"/>
    <xf numFmtId="2" fontId="13" fillId="13" borderId="1" xfId="0" applyNumberFormat="1" applyFont="1" applyFill="1" applyBorder="1" applyAlignment="1">
      <alignment horizontal="right"/>
    </xf>
    <xf numFmtId="0" fontId="32" fillId="13" borderId="1" xfId="0" applyFont="1" applyFill="1" applyBorder="1" applyAlignment="1">
      <alignment horizontal="right"/>
    </xf>
    <xf numFmtId="178" fontId="5" fillId="8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0" fontId="5" fillId="18" borderId="1" xfId="0" applyFont="1" applyFill="1" applyBorder="1" applyAlignment="1">
      <alignment horizontal="right"/>
    </xf>
    <xf numFmtId="0" fontId="5" fillId="19" borderId="1" xfId="0" applyFont="1" applyFill="1" applyBorder="1" applyAlignment="1">
      <alignment horizontal="right"/>
    </xf>
    <xf numFmtId="3" fontId="5" fillId="8" borderId="5" xfId="0" applyNumberFormat="1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right"/>
    </xf>
    <xf numFmtId="0" fontId="7" fillId="19" borderId="1" xfId="0" applyFont="1" applyFill="1" applyBorder="1"/>
    <xf numFmtId="0" fontId="5" fillId="8" borderId="5" xfId="0" applyFont="1" applyFill="1" applyBorder="1" applyAlignment="1">
      <alignment horizontal="left"/>
    </xf>
    <xf numFmtId="3" fontId="7" fillId="19" borderId="1" xfId="0" applyNumberFormat="1" applyFont="1" applyFill="1" applyBorder="1" applyAlignment="1">
      <alignment horizontal="right"/>
    </xf>
    <xf numFmtId="1" fontId="5" fillId="18" borderId="1" xfId="0" applyNumberFormat="1" applyFont="1" applyFill="1" applyBorder="1" applyAlignment="1">
      <alignment horizontal="right"/>
    </xf>
    <xf numFmtId="0" fontId="32" fillId="18" borderId="1" xfId="0" applyFont="1" applyFill="1" applyBorder="1" applyAlignment="1">
      <alignment horizontal="right"/>
    </xf>
    <xf numFmtId="0" fontId="7" fillId="1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left" vertical="center" wrapText="1"/>
    </xf>
    <xf numFmtId="3" fontId="5" fillId="20" borderId="5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3" fillId="8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vertical="center"/>
    </xf>
    <xf numFmtId="0" fontId="32" fillId="20" borderId="1" xfId="0" applyFont="1" applyFill="1" applyBorder="1" applyAlignment="1">
      <alignment horizontal="right" vertical="center"/>
    </xf>
    <xf numFmtId="0" fontId="5" fillId="20" borderId="1" xfId="0" applyFont="1" applyFill="1" applyBorder="1" applyAlignment="1">
      <alignment horizontal="right" vertical="center"/>
    </xf>
    <xf numFmtId="0" fontId="32" fillId="20" borderId="1" xfId="0" applyFont="1" applyFill="1" applyBorder="1" applyAlignment="1">
      <alignment horizontal="right"/>
    </xf>
    <xf numFmtId="0" fontId="5" fillId="20" borderId="1" xfId="0" applyFont="1" applyFill="1" applyBorder="1" applyAlignment="1">
      <alignment horizontal="right"/>
    </xf>
    <xf numFmtId="3" fontId="5" fillId="0" borderId="7" xfId="0" applyNumberFormat="1" applyFont="1" applyBorder="1" applyAlignment="1">
      <alignment horizontal="right" vertical="center"/>
    </xf>
    <xf numFmtId="3" fontId="32" fillId="20" borderId="1" xfId="0" applyNumberFormat="1" applyFont="1" applyFill="1" applyBorder="1" applyAlignment="1">
      <alignment horizontal="right" vertical="center"/>
    </xf>
    <xf numFmtId="0" fontId="5" fillId="20" borderId="5" xfId="0" applyFont="1" applyFill="1" applyBorder="1" applyAlignment="1">
      <alignment horizontal="right" vertical="center"/>
    </xf>
    <xf numFmtId="0" fontId="5" fillId="20" borderId="5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right"/>
    </xf>
    <xf numFmtId="3" fontId="5" fillId="20" borderId="1" xfId="0" applyNumberFormat="1" applyFont="1" applyFill="1" applyBorder="1" applyAlignment="1">
      <alignment vertical="center"/>
    </xf>
    <xf numFmtId="0" fontId="33" fillId="8" borderId="1" xfId="0" applyFont="1" applyFill="1" applyBorder="1" applyAlignment="1">
      <alignment horizontal="left" vertical="center"/>
    </xf>
    <xf numFmtId="14" fontId="5" fillId="8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0" fontId="5" fillId="0" borderId="9" xfId="0" applyFont="1" applyBorder="1" applyAlignment="1">
      <alignment horizontal="right"/>
    </xf>
    <xf numFmtId="3" fontId="5" fillId="0" borderId="7" xfId="0" applyNumberFormat="1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/>
    <xf numFmtId="3" fontId="5" fillId="0" borderId="6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 vertical="center"/>
    </xf>
    <xf numFmtId="0" fontId="7" fillId="0" borderId="7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4" fontId="5" fillId="0" borderId="9" xfId="0" applyNumberFormat="1" applyFont="1" applyBorder="1" applyAlignment="1">
      <alignment horizontal="right" vertical="center"/>
    </xf>
    <xf numFmtId="3" fontId="5" fillId="0" borderId="9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14" fontId="6" fillId="11" borderId="4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vertical="center"/>
    </xf>
    <xf numFmtId="14" fontId="6" fillId="11" borderId="1" xfId="0" applyNumberFormat="1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left" vertical="center"/>
    </xf>
    <xf numFmtId="180" fontId="6" fillId="11" borderId="1" xfId="0" applyNumberFormat="1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right" vertical="center"/>
    </xf>
    <xf numFmtId="3" fontId="5" fillId="11" borderId="1" xfId="0" applyNumberFormat="1" applyFont="1" applyFill="1" applyBorder="1" applyAlignment="1">
      <alignment horizontal="left" vertical="center"/>
    </xf>
    <xf numFmtId="0" fontId="5" fillId="11" borderId="4" xfId="0" applyFont="1" applyFill="1" applyBorder="1" applyAlignment="1">
      <alignment horizontal="right" vertical="center" wrapText="1"/>
    </xf>
    <xf numFmtId="14" fontId="5" fillId="11" borderId="4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left" vertical="center"/>
    </xf>
    <xf numFmtId="0" fontId="5" fillId="21" borderId="5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3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/>
    </xf>
    <xf numFmtId="0" fontId="10" fillId="11" borderId="5" xfId="0" applyFont="1" applyFill="1" applyBorder="1" applyAlignment="1">
      <alignment vertical="center" wrapText="1"/>
    </xf>
    <xf numFmtId="0" fontId="36" fillId="11" borderId="1" xfId="0" applyFont="1" applyFill="1" applyBorder="1" applyAlignment="1">
      <alignment horizontal="left" vertical="center"/>
    </xf>
    <xf numFmtId="14" fontId="36" fillId="11" borderId="1" xfId="0" applyNumberFormat="1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4" fontId="5" fillId="11" borderId="3" xfId="0" applyNumberFormat="1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vertical="center"/>
    </xf>
    <xf numFmtId="14" fontId="7" fillId="11" borderId="1" xfId="0" applyNumberFormat="1" applyFont="1" applyFill="1" applyBorder="1" applyAlignment="1">
      <alignment vertical="center"/>
    </xf>
    <xf numFmtId="4" fontId="6" fillId="11" borderId="5" xfId="0" applyNumberFormat="1" applyFont="1" applyFill="1" applyBorder="1" applyAlignment="1">
      <alignment vertical="center"/>
    </xf>
    <xf numFmtId="0" fontId="37" fillId="11" borderId="11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left" vertical="center" wrapText="1"/>
    </xf>
    <xf numFmtId="14" fontId="10" fillId="11" borderId="4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/>
    </xf>
    <xf numFmtId="4" fontId="10" fillId="11" borderId="1" xfId="0" applyNumberFormat="1" applyFont="1" applyFill="1" applyBorder="1" applyAlignment="1">
      <alignment vertical="center"/>
    </xf>
    <xf numFmtId="0" fontId="10" fillId="11" borderId="5" xfId="0" applyFont="1" applyFill="1" applyBorder="1" applyAlignment="1">
      <alignment vertical="center"/>
    </xf>
    <xf numFmtId="0" fontId="38" fillId="11" borderId="1" xfId="0" applyFont="1" applyFill="1" applyBorder="1" applyAlignment="1">
      <alignment horizontal="left" vertical="center"/>
    </xf>
    <xf numFmtId="14" fontId="38" fillId="11" borderId="1" xfId="0" applyNumberFormat="1" applyFont="1" applyFill="1" applyBorder="1" applyAlignment="1">
      <alignment horizontal="left" vertical="center"/>
    </xf>
    <xf numFmtId="3" fontId="10" fillId="11" borderId="1" xfId="0" applyNumberFormat="1" applyFont="1" applyFill="1" applyBorder="1" applyAlignment="1">
      <alignment vertical="center"/>
    </xf>
    <xf numFmtId="0" fontId="10" fillId="11" borderId="5" xfId="0" applyFont="1" applyFill="1" applyBorder="1" applyAlignment="1">
      <alignment horizontal="left" vertical="center" wrapText="1"/>
    </xf>
    <xf numFmtId="4" fontId="11" fillId="11" borderId="2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right" vertical="center"/>
    </xf>
    <xf numFmtId="177" fontId="5" fillId="11" borderId="1" xfId="0" applyNumberFormat="1" applyFont="1" applyFill="1" applyBorder="1" applyAlignment="1">
      <alignment horizontal="right" vertical="center"/>
    </xf>
    <xf numFmtId="177" fontId="7" fillId="11" borderId="1" xfId="0" applyNumberFormat="1" applyFont="1" applyFill="1" applyBorder="1" applyAlignment="1">
      <alignment vertical="center"/>
    </xf>
    <xf numFmtId="3" fontId="5" fillId="11" borderId="4" xfId="0" applyNumberFormat="1" applyFont="1" applyFill="1" applyBorder="1" applyAlignment="1">
      <alignment horizontal="right" vertical="center"/>
    </xf>
    <xf numFmtId="177" fontId="5" fillId="11" borderId="1" xfId="0" applyNumberFormat="1" applyFont="1" applyFill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3" fontId="7" fillId="11" borderId="1" xfId="0" applyNumberFormat="1" applyFont="1" applyFill="1" applyBorder="1" applyAlignment="1">
      <alignment horizontal="right" vertical="center"/>
    </xf>
    <xf numFmtId="0" fontId="5" fillId="11" borderId="3" xfId="0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horizontal="right" vertical="center"/>
    </xf>
    <xf numFmtId="178" fontId="5" fillId="11" borderId="5" xfId="0" applyNumberFormat="1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4" fontId="7" fillId="11" borderId="2" xfId="0" applyNumberFormat="1" applyFont="1" applyFill="1" applyBorder="1" applyAlignment="1">
      <alignment horizontal="right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vertical="center"/>
    </xf>
    <xf numFmtId="178" fontId="5" fillId="11" borderId="1" xfId="0" applyNumberFormat="1" applyFont="1" applyFill="1" applyBorder="1" applyAlignment="1">
      <alignment vertical="center"/>
    </xf>
    <xf numFmtId="181" fontId="6" fillId="11" borderId="1" xfId="0" applyNumberFormat="1" applyFont="1" applyFill="1" applyBorder="1" applyAlignment="1">
      <alignment horizontal="right" vertical="center"/>
    </xf>
    <xf numFmtId="181" fontId="9" fillId="11" borderId="1" xfId="0" applyNumberFormat="1" applyFont="1" applyFill="1" applyBorder="1" applyAlignment="1">
      <alignment horizontal="right" vertical="center"/>
    </xf>
    <xf numFmtId="4" fontId="10" fillId="10" borderId="2" xfId="0" applyNumberFormat="1" applyFont="1" applyFill="1" applyBorder="1" applyAlignment="1">
      <alignment horizontal="right" vertical="center"/>
    </xf>
    <xf numFmtId="176" fontId="6" fillId="11" borderId="4" xfId="0" applyNumberFormat="1" applyFont="1" applyFill="1" applyBorder="1" applyAlignment="1">
      <alignment horizontal="center" vertical="center"/>
    </xf>
    <xf numFmtId="180" fontId="5" fillId="11" borderId="1" xfId="0" applyNumberFormat="1" applyFont="1" applyFill="1" applyBorder="1" applyAlignment="1">
      <alignment vertical="center"/>
    </xf>
    <xf numFmtId="14" fontId="5" fillId="11" borderId="5" xfId="0" applyNumberFormat="1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left" vertical="center" wrapText="1"/>
    </xf>
    <xf numFmtId="4" fontId="10" fillId="11" borderId="5" xfId="0" applyNumberFormat="1" applyFont="1" applyFill="1" applyBorder="1" applyAlignment="1">
      <alignment horizontal="right" vertical="center"/>
    </xf>
    <xf numFmtId="14" fontId="10" fillId="11" borderId="5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right" vertical="center"/>
    </xf>
    <xf numFmtId="14" fontId="10" fillId="11" borderId="1" xfId="0" applyNumberFormat="1" applyFont="1" applyFill="1" applyBorder="1" applyAlignment="1">
      <alignment vertical="center"/>
    </xf>
    <xf numFmtId="0" fontId="5" fillId="11" borderId="8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5" fillId="11" borderId="16" xfId="0" applyFont="1" applyFill="1" applyBorder="1" applyAlignment="1">
      <alignment horizontal="center" vertical="center" wrapText="1"/>
    </xf>
    <xf numFmtId="178" fontId="6" fillId="11" borderId="1" xfId="0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vertical="center"/>
    </xf>
    <xf numFmtId="0" fontId="6" fillId="11" borderId="5" xfId="0" applyFont="1" applyFill="1" applyBorder="1" applyAlignment="1">
      <alignment horizontal="left" vertical="center" wrapText="1"/>
    </xf>
    <xf numFmtId="3" fontId="6" fillId="11" borderId="5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right" vertical="center"/>
    </xf>
    <xf numFmtId="0" fontId="35" fillId="11" borderId="3" xfId="0" applyFont="1" applyFill="1" applyBorder="1" applyAlignment="1">
      <alignment vertical="center"/>
    </xf>
    <xf numFmtId="0" fontId="35" fillId="11" borderId="17" xfId="0" applyFont="1" applyFill="1" applyBorder="1" applyAlignment="1">
      <alignment vertical="center"/>
    </xf>
    <xf numFmtId="0" fontId="35" fillId="11" borderId="1" xfId="0" applyFont="1" applyFill="1" applyBorder="1" applyAlignment="1">
      <alignment horizontal="center" vertical="center"/>
    </xf>
    <xf numFmtId="14" fontId="5" fillId="11" borderId="5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right" vertical="center"/>
    </xf>
    <xf numFmtId="0" fontId="5" fillId="11" borderId="5" xfId="0" applyFont="1" applyFill="1" applyBorder="1" applyAlignment="1">
      <alignment horizontal="right" vertical="center" wrapText="1"/>
    </xf>
    <xf numFmtId="0" fontId="6" fillId="11" borderId="8" xfId="0" applyFont="1" applyFill="1" applyBorder="1" applyAlignment="1">
      <alignment horizontal="left" vertical="center"/>
    </xf>
    <xf numFmtId="14" fontId="11" fillId="11" borderId="1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vertical="center"/>
    </xf>
    <xf numFmtId="0" fontId="10" fillId="11" borderId="1" xfId="0" applyFont="1" applyFill="1" applyBorder="1" applyAlignment="1">
      <alignment horizontal="right" vertical="center"/>
    </xf>
    <xf numFmtId="0" fontId="10" fillId="11" borderId="5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vertical="center" wrapText="1"/>
    </xf>
    <xf numFmtId="14" fontId="5" fillId="11" borderId="3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vertical="center"/>
    </xf>
    <xf numFmtId="0" fontId="39" fillId="11" borderId="3" xfId="0" applyFont="1" applyFill="1" applyBorder="1" applyAlignment="1">
      <alignment vertical="center"/>
    </xf>
    <xf numFmtId="0" fontId="39" fillId="11" borderId="1" xfId="0" applyFont="1" applyFill="1" applyBorder="1" applyAlignment="1">
      <alignment vertical="center"/>
    </xf>
    <xf numFmtId="0" fontId="5" fillId="11" borderId="17" xfId="0" applyFont="1" applyFill="1" applyBorder="1" applyAlignment="1">
      <alignment vertical="center"/>
    </xf>
    <xf numFmtId="178" fontId="6" fillId="11" borderId="4" xfId="0" applyNumberFormat="1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vertical="center"/>
    </xf>
    <xf numFmtId="14" fontId="5" fillId="11" borderId="10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14" fontId="9" fillId="11" borderId="1" xfId="0" applyNumberFormat="1" applyFont="1" applyFill="1" applyBorder="1" applyAlignment="1">
      <alignment horizontal="left" vertical="center"/>
    </xf>
    <xf numFmtId="0" fontId="13" fillId="11" borderId="8" xfId="0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/>
    </xf>
    <xf numFmtId="181" fontId="5" fillId="11" borderId="1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5" fillId="11" borderId="1" xfId="0" applyFont="1" applyFill="1" applyBorder="1"/>
    <xf numFmtId="0" fontId="6" fillId="10" borderId="1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vertical="center" wrapText="1"/>
    </xf>
    <xf numFmtId="0" fontId="5" fillId="11" borderId="18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left" vertical="center"/>
    </xf>
    <xf numFmtId="14" fontId="5" fillId="11" borderId="1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40" fillId="11" borderId="8" xfId="0" applyFont="1" applyFill="1" applyBorder="1" applyAlignment="1">
      <alignment vertical="center"/>
    </xf>
    <xf numFmtId="177" fontId="6" fillId="11" borderId="1" xfId="0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 wrapText="1"/>
    </xf>
    <xf numFmtId="0" fontId="5" fillId="9" borderId="1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39" fillId="11" borderId="1" xfId="0" applyFont="1" applyFill="1" applyBorder="1" applyAlignment="1">
      <alignment horizontal="center" vertical="center"/>
    </xf>
    <xf numFmtId="0" fontId="6" fillId="11" borderId="1" xfId="0" applyFont="1" applyFill="1" applyBorder="1"/>
    <xf numFmtId="0" fontId="9" fillId="11" borderId="5" xfId="0" applyFont="1" applyFill="1" applyBorder="1" applyAlignment="1">
      <alignment horizontal="left" vertical="center" wrapText="1"/>
    </xf>
    <xf numFmtId="1" fontId="9" fillId="11" borderId="1" xfId="0" applyNumberFormat="1" applyFont="1" applyFill="1" applyBorder="1" applyAlignment="1">
      <alignment horizontal="center" vertical="center"/>
    </xf>
    <xf numFmtId="4" fontId="9" fillId="11" borderId="5" xfId="0" applyNumberFormat="1" applyFont="1" applyFill="1" applyBorder="1" applyAlignment="1">
      <alignment horizontal="right" vertical="center"/>
    </xf>
    <xf numFmtId="0" fontId="11" fillId="11" borderId="8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/>
    </xf>
    <xf numFmtId="0" fontId="41" fillId="11" borderId="1" xfId="0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vertical="center" wrapText="1"/>
    </xf>
    <xf numFmtId="0" fontId="10" fillId="11" borderId="12" xfId="0" applyFont="1" applyFill="1" applyBorder="1" applyAlignment="1">
      <alignment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right" vertical="center"/>
    </xf>
    <xf numFmtId="4" fontId="11" fillId="11" borderId="1" xfId="0" applyNumberFormat="1" applyFont="1" applyFill="1" applyBorder="1" applyAlignment="1">
      <alignment horizontal="right" vertical="center"/>
    </xf>
    <xf numFmtId="0" fontId="10" fillId="11" borderId="18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/>
    </xf>
    <xf numFmtId="14" fontId="16" fillId="11" borderId="1" xfId="0" applyNumberFormat="1" applyFont="1" applyFill="1" applyBorder="1" applyAlignment="1">
      <alignment vertical="center"/>
    </xf>
    <xf numFmtId="0" fontId="19" fillId="11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left" vertical="center"/>
    </xf>
    <xf numFmtId="0" fontId="5" fillId="11" borderId="17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vertical="center"/>
    </xf>
    <xf numFmtId="0" fontId="5" fillId="11" borderId="19" xfId="0" applyFont="1" applyFill="1" applyBorder="1" applyAlignment="1">
      <alignment horizontal="center" vertical="center"/>
    </xf>
    <xf numFmtId="4" fontId="5" fillId="11" borderId="19" xfId="0" applyNumberFormat="1" applyFont="1" applyFill="1" applyBorder="1" applyAlignment="1">
      <alignment horizontal="right" vertical="center"/>
    </xf>
    <xf numFmtId="0" fontId="19" fillId="11" borderId="1" xfId="0" applyFont="1" applyFill="1" applyBorder="1" applyAlignment="1">
      <alignment horizontal="center" vertical="center"/>
    </xf>
    <xf numFmtId="176" fontId="5" fillId="11" borderId="10" xfId="0" applyNumberFormat="1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vertical="center"/>
    </xf>
    <xf numFmtId="3" fontId="5" fillId="11" borderId="2" xfId="0" applyNumberFormat="1" applyFont="1" applyFill="1" applyBorder="1" applyAlignment="1">
      <alignment horizontal="right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vertical="center"/>
    </xf>
    <xf numFmtId="4" fontId="13" fillId="11" borderId="1" xfId="0" applyNumberFormat="1" applyFont="1" applyFill="1" applyBorder="1" applyAlignment="1">
      <alignment horizontal="right" vertical="center"/>
    </xf>
    <xf numFmtId="3" fontId="7" fillId="11" borderId="1" xfId="0" applyNumberFormat="1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left"/>
    </xf>
    <xf numFmtId="178" fontId="5" fillId="11" borderId="1" xfId="0" applyNumberFormat="1" applyFont="1" applyFill="1" applyBorder="1" applyAlignment="1">
      <alignment horizontal="left" vertical="center"/>
    </xf>
    <xf numFmtId="4" fontId="5" fillId="11" borderId="1" xfId="0" applyNumberFormat="1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right" vertical="center"/>
    </xf>
    <xf numFmtId="3" fontId="7" fillId="11" borderId="2" xfId="0" applyNumberFormat="1" applyFont="1" applyFill="1" applyBorder="1" applyAlignment="1">
      <alignment horizontal="right" vertical="center"/>
    </xf>
    <xf numFmtId="10" fontId="7" fillId="11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2" fillId="0" borderId="1" xfId="0" applyFont="1" applyBorder="1"/>
    <xf numFmtId="3" fontId="7" fillId="8" borderId="2" xfId="0" applyNumberFormat="1" applyFont="1" applyFill="1" applyBorder="1" applyAlignment="1">
      <alignment horizontal="right" vertical="center"/>
    </xf>
    <xf numFmtId="0" fontId="34" fillId="0" borderId="1" xfId="0" applyFont="1" applyBorder="1" applyAlignment="1">
      <alignment horizontal="left" vertical="center"/>
    </xf>
    <xf numFmtId="14" fontId="6" fillId="8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3" fontId="43" fillId="8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14" fontId="7" fillId="8" borderId="3" xfId="0" applyNumberFormat="1" applyFont="1" applyFill="1" applyBorder="1" applyAlignment="1">
      <alignment horizontal="center" vertical="center"/>
    </xf>
    <xf numFmtId="4" fontId="7" fillId="8" borderId="3" xfId="0" applyNumberFormat="1" applyFont="1" applyFill="1" applyBorder="1" applyAlignment="1">
      <alignment vertical="center"/>
    </xf>
    <xf numFmtId="3" fontId="7" fillId="8" borderId="3" xfId="0" applyNumberFormat="1" applyFont="1" applyFill="1" applyBorder="1" applyAlignment="1">
      <alignment vertical="center"/>
    </xf>
    <xf numFmtId="0" fontId="34" fillId="0" borderId="0" xfId="0" applyFont="1" applyAlignment="1">
      <alignment horizontal="left" vertical="center"/>
    </xf>
    <xf numFmtId="0" fontId="7" fillId="8" borderId="3" xfId="0" applyFont="1" applyFill="1" applyBorder="1" applyAlignment="1">
      <alignment horizontal="right" vertical="center"/>
    </xf>
    <xf numFmtId="0" fontId="14" fillId="8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182" fontId="6" fillId="0" borderId="1" xfId="0" applyNumberFormat="1" applyFont="1" applyBorder="1" applyAlignment="1">
      <alignment horizontal="left" vertical="center"/>
    </xf>
    <xf numFmtId="14" fontId="5" fillId="8" borderId="4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vertical="center"/>
    </xf>
    <xf numFmtId="1" fontId="5" fillId="8" borderId="1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right" vertical="center"/>
    </xf>
    <xf numFmtId="0" fontId="21" fillId="0" borderId="7" xfId="0" applyFont="1" applyBorder="1" applyAlignment="1">
      <alignment horizontal="center" vertical="center"/>
    </xf>
    <xf numFmtId="14" fontId="6" fillId="8" borderId="5" xfId="0" applyNumberFormat="1" applyFont="1" applyFill="1" applyBorder="1" applyAlignment="1">
      <alignment vertical="center"/>
    </xf>
    <xf numFmtId="14" fontId="16" fillId="8" borderId="5" xfId="0" applyNumberFormat="1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left" vertical="center"/>
    </xf>
    <xf numFmtId="3" fontId="16" fillId="8" borderId="5" xfId="0" applyNumberFormat="1" applyFont="1" applyFill="1" applyBorder="1" applyAlignment="1">
      <alignment horizontal="center" vertical="center"/>
    </xf>
    <xf numFmtId="14" fontId="16" fillId="8" borderId="5" xfId="0" applyNumberFormat="1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vertical="center"/>
    </xf>
    <xf numFmtId="0" fontId="34" fillId="8" borderId="5" xfId="0" applyFont="1" applyFill="1" applyBorder="1" applyAlignment="1">
      <alignment vertical="center"/>
    </xf>
    <xf numFmtId="3" fontId="16" fillId="8" borderId="5" xfId="0" applyNumberFormat="1" applyFont="1" applyFill="1" applyBorder="1" applyAlignment="1">
      <alignment horizontal="right" vertical="center"/>
    </xf>
    <xf numFmtId="14" fontId="6" fillId="8" borderId="1" xfId="0" applyNumberFormat="1" applyFont="1" applyFill="1" applyBorder="1" applyAlignment="1">
      <alignment vertical="center"/>
    </xf>
    <xf numFmtId="14" fontId="16" fillId="8" borderId="1" xfId="0" applyNumberFormat="1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34" fillId="8" borderId="5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vertical="center"/>
    </xf>
    <xf numFmtId="14" fontId="5" fillId="8" borderId="5" xfId="0" applyNumberFormat="1" applyFont="1" applyFill="1" applyBorder="1" applyAlignment="1">
      <alignment horizontal="left" vertical="center"/>
    </xf>
    <xf numFmtId="3" fontId="5" fillId="8" borderId="5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left" vertical="center"/>
    </xf>
    <xf numFmtId="14" fontId="5" fillId="8" borderId="1" xfId="0" applyNumberFormat="1" applyFont="1" applyFill="1" applyBorder="1" applyAlignment="1">
      <alignment horizontal="left" vertical="center"/>
    </xf>
    <xf numFmtId="0" fontId="5" fillId="12" borderId="5" xfId="0" applyFont="1" applyFill="1" applyBorder="1" applyAlignment="1">
      <alignment vertical="center"/>
    </xf>
    <xf numFmtId="1" fontId="5" fillId="8" borderId="5" xfId="0" applyNumberFormat="1" applyFont="1" applyFill="1" applyBorder="1" applyAlignment="1">
      <alignment horizontal="center" vertical="center"/>
    </xf>
    <xf numFmtId="4" fontId="7" fillId="8" borderId="5" xfId="0" applyNumberFormat="1" applyFont="1" applyFill="1" applyBorder="1" applyAlignment="1">
      <alignment horizontal="right" vertical="center"/>
    </xf>
    <xf numFmtId="14" fontId="16" fillId="8" borderId="5" xfId="0" applyNumberFormat="1" applyFont="1" applyFill="1" applyBorder="1" applyAlignment="1">
      <alignment vertical="center"/>
    </xf>
    <xf numFmtId="0" fontId="41" fillId="8" borderId="5" xfId="0" applyFont="1" applyFill="1" applyBorder="1" applyAlignment="1">
      <alignment horizontal="right" vertical="center"/>
    </xf>
    <xf numFmtId="14" fontId="5" fillId="8" borderId="5" xfId="0" applyNumberFormat="1" applyFont="1" applyFill="1" applyBorder="1" applyAlignment="1">
      <alignment vertical="center"/>
    </xf>
    <xf numFmtId="14" fontId="5" fillId="11" borderId="4" xfId="0" applyNumberFormat="1" applyFont="1" applyFill="1" applyBorder="1"/>
    <xf numFmtId="1" fontId="5" fillId="11" borderId="1" xfId="0" applyNumberFormat="1" applyFont="1" applyFill="1" applyBorder="1" applyAlignment="1">
      <alignment horizontal="center"/>
    </xf>
    <xf numFmtId="4" fontId="5" fillId="11" borderId="1" xfId="0" applyNumberFormat="1" applyFont="1" applyFill="1" applyBorder="1"/>
    <xf numFmtId="0" fontId="5" fillId="11" borderId="5" xfId="0" applyFont="1" applyFill="1" applyBorder="1"/>
    <xf numFmtId="14" fontId="5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right"/>
    </xf>
    <xf numFmtId="14" fontId="5" fillId="11" borderId="1" xfId="0" applyNumberFormat="1" applyFont="1" applyFill="1" applyBorder="1" applyAlignment="1">
      <alignment horizontal="right"/>
    </xf>
    <xf numFmtId="14" fontId="5" fillId="11" borderId="1" xfId="0" applyNumberFormat="1" applyFont="1" applyFill="1" applyBorder="1"/>
    <xf numFmtId="3" fontId="5" fillId="11" borderId="1" xfId="0" applyNumberFormat="1" applyFont="1" applyFill="1" applyBorder="1"/>
    <xf numFmtId="14" fontId="5" fillId="11" borderId="5" xfId="0" applyNumberFormat="1" applyFont="1" applyFill="1" applyBorder="1"/>
    <xf numFmtId="3" fontId="5" fillId="11" borderId="5" xfId="0" applyNumberFormat="1" applyFont="1" applyFill="1" applyBorder="1"/>
    <xf numFmtId="0" fontId="5" fillId="11" borderId="3" xfId="0" applyFont="1" applyFill="1" applyBorder="1"/>
    <xf numFmtId="0" fontId="6" fillId="11" borderId="5" xfId="0" applyFont="1" applyFill="1" applyBorder="1" applyAlignment="1">
      <alignment horizontal="left" vertical="center"/>
    </xf>
    <xf numFmtId="1" fontId="5" fillId="11" borderId="5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/>
    </xf>
    <xf numFmtId="3" fontId="16" fillId="11" borderId="1" xfId="0" applyNumberFormat="1" applyFont="1" applyFill="1" applyBorder="1" applyAlignment="1">
      <alignment horizontal="right" vertical="center"/>
    </xf>
    <xf numFmtId="0" fontId="5" fillId="22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vertical="center" wrapText="1"/>
    </xf>
    <xf numFmtId="14" fontId="19" fillId="11" borderId="1" xfId="0" applyNumberFormat="1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vertical="center" wrapText="1"/>
    </xf>
    <xf numFmtId="1" fontId="10" fillId="11" borderId="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3" fontId="10" fillId="11" borderId="1" xfId="0" applyNumberFormat="1" applyFont="1" applyFill="1" applyBorder="1" applyAlignment="1">
      <alignment vertical="center" wrapText="1"/>
    </xf>
    <xf numFmtId="14" fontId="38" fillId="11" borderId="1" xfId="0" applyNumberFormat="1" applyFont="1" applyFill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left" vertical="center"/>
    </xf>
    <xf numFmtId="14" fontId="16" fillId="11" borderId="1" xfId="0" applyNumberFormat="1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vertical="center"/>
    </xf>
    <xf numFmtId="3" fontId="38" fillId="11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vertical="center" wrapText="1"/>
    </xf>
    <xf numFmtId="0" fontId="38" fillId="11" borderId="1" xfId="0" applyFont="1" applyFill="1" applyBorder="1" applyAlignment="1">
      <alignment horizontal="right" vertical="center"/>
    </xf>
    <xf numFmtId="3" fontId="38" fillId="11" borderId="1" xfId="0" applyNumberFormat="1" applyFont="1" applyFill="1" applyBorder="1" applyAlignment="1">
      <alignment horizontal="center" vertical="center"/>
    </xf>
    <xf numFmtId="14" fontId="38" fillId="11" borderId="1" xfId="0" applyNumberFormat="1" applyFont="1" applyFill="1" applyBorder="1" applyAlignment="1">
      <alignment horizontal="center" vertical="center"/>
    </xf>
    <xf numFmtId="14" fontId="11" fillId="11" borderId="1" xfId="0" applyNumberFormat="1" applyFont="1" applyFill="1" applyBorder="1" applyAlignment="1">
      <alignment vertical="center"/>
    </xf>
    <xf numFmtId="0" fontId="10" fillId="11" borderId="3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right" vertical="center" wrapText="1"/>
    </xf>
    <xf numFmtId="14" fontId="44" fillId="11" borderId="1" xfId="0" applyNumberFormat="1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4" fontId="41" fillId="11" borderId="1" xfId="0" applyNumberFormat="1" applyFont="1" applyFill="1" applyBorder="1" applyAlignment="1">
      <alignment vertical="center"/>
    </xf>
    <xf numFmtId="3" fontId="16" fillId="11" borderId="1" xfId="0" applyNumberFormat="1" applyFont="1" applyFill="1" applyBorder="1" applyAlignment="1">
      <alignment horizontal="center" vertical="center"/>
    </xf>
    <xf numFmtId="1" fontId="10" fillId="11" borderId="5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right" vertical="center"/>
    </xf>
    <xf numFmtId="0" fontId="34" fillId="11" borderId="1" xfId="0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vertical="center"/>
    </xf>
    <xf numFmtId="0" fontId="16" fillId="11" borderId="1" xfId="0" applyFont="1" applyFill="1" applyBorder="1" applyAlignment="1">
      <alignment horizontal="right" vertical="center"/>
    </xf>
    <xf numFmtId="3" fontId="5" fillId="11" borderId="3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right" vertical="center" wrapText="1"/>
    </xf>
    <xf numFmtId="14" fontId="41" fillId="11" borderId="1" xfId="0" applyNumberFormat="1" applyFont="1" applyFill="1" applyBorder="1" applyAlignment="1">
      <alignment horizontal="right" vertical="center"/>
    </xf>
    <xf numFmtId="0" fontId="11" fillId="11" borderId="1" xfId="0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center" vertical="center"/>
    </xf>
    <xf numFmtId="177" fontId="7" fillId="11" borderId="1" xfId="0" applyNumberFormat="1" applyFont="1" applyFill="1" applyBorder="1" applyAlignment="1">
      <alignment horizontal="right" vertical="center"/>
    </xf>
    <xf numFmtId="0" fontId="41" fillId="11" borderId="1" xfId="0" applyFont="1" applyFill="1" applyBorder="1" applyAlignment="1">
      <alignment horizontal="righ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1" fillId="11" borderId="1" xfId="0" applyNumberFormat="1" applyFont="1" applyFill="1" applyBorder="1" applyAlignment="1">
      <alignment vertical="center" wrapText="1"/>
    </xf>
    <xf numFmtId="3" fontId="37" fillId="11" borderId="1" xfId="0" applyNumberFormat="1" applyFont="1" applyFill="1" applyBorder="1" applyAlignment="1">
      <alignment vertical="center"/>
    </xf>
    <xf numFmtId="3" fontId="20" fillId="11" borderId="1" xfId="0" applyNumberFormat="1" applyFont="1" applyFill="1" applyBorder="1" applyAlignment="1">
      <alignment vertical="center"/>
    </xf>
    <xf numFmtId="3" fontId="5" fillId="11" borderId="1" xfId="0" applyNumberFormat="1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34" fillId="11" borderId="3" xfId="0" applyFont="1" applyFill="1" applyBorder="1" applyAlignment="1">
      <alignment horizontal="left" vertical="center"/>
    </xf>
    <xf numFmtId="14" fontId="19" fillId="11" borderId="1" xfId="0" applyNumberFormat="1" applyFont="1" applyFill="1" applyBorder="1" applyAlignment="1">
      <alignment horizontal="right" vertical="center"/>
    </xf>
    <xf numFmtId="2" fontId="5" fillId="11" borderId="1" xfId="0" applyNumberFormat="1" applyFont="1" applyFill="1" applyBorder="1" applyAlignment="1">
      <alignment horizontal="right" vertical="center"/>
    </xf>
    <xf numFmtId="179" fontId="34" fillId="11" borderId="1" xfId="0" applyNumberFormat="1" applyFont="1" applyFill="1" applyBorder="1" applyAlignment="1">
      <alignment horizontal="right" vertical="center"/>
    </xf>
    <xf numFmtId="0" fontId="5" fillId="22" borderId="5" xfId="0" applyFont="1" applyFill="1" applyBorder="1" applyAlignment="1">
      <alignment horizontal="center" vertical="center"/>
    </xf>
    <xf numFmtId="179" fontId="6" fillId="11" borderId="1" xfId="0" applyNumberFormat="1" applyFont="1" applyFill="1" applyBorder="1" applyAlignment="1">
      <alignment horizontal="center" vertical="center"/>
    </xf>
    <xf numFmtId="14" fontId="46" fillId="11" borderId="1" xfId="0" applyNumberFormat="1" applyFont="1" applyFill="1" applyBorder="1" applyAlignment="1">
      <alignment horizontal="right" vertical="center"/>
    </xf>
    <xf numFmtId="1" fontId="9" fillId="11" borderId="5" xfId="0" applyNumberFormat="1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right" vertical="center"/>
    </xf>
    <xf numFmtId="14" fontId="7" fillId="11" borderId="1" xfId="0" applyNumberFormat="1" applyFont="1" applyFill="1" applyBorder="1" applyAlignment="1">
      <alignment horizontal="right" vertical="center"/>
    </xf>
    <xf numFmtId="0" fontId="9" fillId="11" borderId="2" xfId="0" applyFont="1" applyFill="1" applyBorder="1" applyAlignment="1">
      <alignment horizontal="center" vertical="center"/>
    </xf>
    <xf numFmtId="14" fontId="44" fillId="11" borderId="1" xfId="0" applyNumberFormat="1" applyFont="1" applyFill="1" applyBorder="1" applyAlignment="1">
      <alignment horizontal="right" vertical="center"/>
    </xf>
    <xf numFmtId="2" fontId="5" fillId="10" borderId="1" xfId="0" applyNumberFormat="1" applyFont="1" applyFill="1" applyBorder="1" applyAlignment="1">
      <alignment horizontal="right" vertical="center"/>
    </xf>
    <xf numFmtId="14" fontId="6" fillId="11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6" fillId="11" borderId="1" xfId="0" quotePrefix="1" applyFont="1" applyFill="1" applyBorder="1" applyAlignment="1">
      <alignment vertical="center"/>
    </xf>
    <xf numFmtId="0" fontId="41" fillId="11" borderId="1" xfId="0" applyFont="1" applyFill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14" fontId="5" fillId="11" borderId="2" xfId="0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177" fontId="19" fillId="11" borderId="1" xfId="0" applyNumberFormat="1" applyFont="1" applyFill="1" applyBorder="1" applyAlignment="1">
      <alignment vertical="center"/>
    </xf>
    <xf numFmtId="183" fontId="5" fillId="11" borderId="1" xfId="0" applyNumberFormat="1" applyFont="1" applyFill="1" applyBorder="1" applyAlignment="1">
      <alignment vertical="center"/>
    </xf>
    <xf numFmtId="14" fontId="19" fillId="11" borderId="1" xfId="0" applyNumberFormat="1" applyFont="1" applyFill="1" applyBorder="1" applyAlignment="1">
      <alignment vertical="center"/>
    </xf>
    <xf numFmtId="4" fontId="5" fillId="11" borderId="5" xfId="0" applyNumberFormat="1" applyFont="1" applyFill="1" applyBorder="1" applyAlignment="1">
      <alignment vertical="center"/>
    </xf>
    <xf numFmtId="4" fontId="7" fillId="11" borderId="5" xfId="0" applyNumberFormat="1" applyFont="1" applyFill="1" applyBorder="1" applyAlignment="1">
      <alignment vertical="center"/>
    </xf>
    <xf numFmtId="3" fontId="5" fillId="11" borderId="5" xfId="0" applyNumberFormat="1" applyFont="1" applyFill="1" applyBorder="1" applyAlignment="1">
      <alignment vertical="center"/>
    </xf>
    <xf numFmtId="4" fontId="9" fillId="11" borderId="1" xfId="0" applyNumberFormat="1" applyFont="1" applyFill="1" applyBorder="1" applyAlignment="1">
      <alignment vertical="center"/>
    </xf>
    <xf numFmtId="0" fontId="5" fillId="24" borderId="1" xfId="0" applyFont="1" applyFill="1" applyBorder="1" applyAlignment="1">
      <alignment vertical="center"/>
    </xf>
    <xf numFmtId="179" fontId="6" fillId="11" borderId="1" xfId="0" applyNumberFormat="1" applyFont="1" applyFill="1" applyBorder="1" applyAlignment="1">
      <alignment vertical="center"/>
    </xf>
    <xf numFmtId="176" fontId="5" fillId="11" borderId="1" xfId="0" applyNumberFormat="1" applyFont="1" applyFill="1" applyBorder="1" applyAlignment="1">
      <alignment horizontal="center" vertical="center"/>
    </xf>
    <xf numFmtId="4" fontId="37" fillId="11" borderId="1" xfId="0" applyNumberFormat="1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14" fontId="16" fillId="11" borderId="1" xfId="0" applyNumberFormat="1" applyFont="1" applyFill="1" applyBorder="1" applyAlignment="1">
      <alignment horizontal="right" vertical="center"/>
    </xf>
    <xf numFmtId="0" fontId="6" fillId="11" borderId="4" xfId="0" applyFont="1" applyFill="1" applyBorder="1" applyAlignment="1">
      <alignment horizontal="center" vertical="center" wrapText="1"/>
    </xf>
    <xf numFmtId="3" fontId="6" fillId="11" borderId="4" xfId="0" applyNumberFormat="1" applyFont="1" applyFill="1" applyBorder="1" applyAlignment="1">
      <alignment vertical="center"/>
    </xf>
    <xf numFmtId="180" fontId="6" fillId="11" borderId="1" xfId="0" applyNumberFormat="1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80" fontId="5" fillId="11" borderId="1" xfId="0" applyNumberFormat="1" applyFont="1" applyFill="1" applyBorder="1" applyAlignment="1">
      <alignment horizontal="right" vertical="center"/>
    </xf>
    <xf numFmtId="0" fontId="6" fillId="11" borderId="2" xfId="0" quotePrefix="1" applyFont="1" applyFill="1" applyBorder="1" applyAlignment="1">
      <alignment horizontal="left" vertical="center"/>
    </xf>
    <xf numFmtId="14" fontId="5" fillId="11" borderId="3" xfId="0" applyNumberFormat="1" applyFont="1" applyFill="1" applyBorder="1" applyAlignment="1">
      <alignment horizontal="center" vertical="center"/>
    </xf>
    <xf numFmtId="14" fontId="34" fillId="11" borderId="1" xfId="0" applyNumberFormat="1" applyFont="1" applyFill="1" applyBorder="1" applyAlignment="1">
      <alignment vertical="center"/>
    </xf>
    <xf numFmtId="3" fontId="6" fillId="11" borderId="2" xfId="0" applyNumberFormat="1" applyFont="1" applyFill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right" vertical="center"/>
    </xf>
    <xf numFmtId="180" fontId="6" fillId="11" borderId="1" xfId="0" applyNumberFormat="1" applyFont="1" applyFill="1" applyBorder="1" applyAlignment="1">
      <alignment vertical="center"/>
    </xf>
    <xf numFmtId="0" fontId="10" fillId="11" borderId="2" xfId="0" applyFont="1" applyFill="1" applyBorder="1" applyAlignment="1">
      <alignment horizontal="right" vertical="center"/>
    </xf>
    <xf numFmtId="0" fontId="16" fillId="11" borderId="1" xfId="0" applyFont="1" applyFill="1" applyBorder="1" applyAlignment="1">
      <alignment horizontal="center" vertical="center"/>
    </xf>
    <xf numFmtId="180" fontId="6" fillId="11" borderId="1" xfId="0" applyNumberFormat="1" applyFont="1" applyFill="1" applyBorder="1" applyAlignment="1">
      <alignment horizontal="right" vertical="center"/>
    </xf>
    <xf numFmtId="3" fontId="5" fillId="10" borderId="1" xfId="0" applyNumberFormat="1" applyFont="1" applyFill="1" applyBorder="1" applyAlignment="1">
      <alignment vertical="center"/>
    </xf>
    <xf numFmtId="180" fontId="5" fillId="11" borderId="1" xfId="0" applyNumberFormat="1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 wrapText="1"/>
    </xf>
    <xf numFmtId="0" fontId="4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wrapText="1"/>
    </xf>
    <xf numFmtId="14" fontId="5" fillId="11" borderId="5" xfId="0" applyNumberFormat="1" applyFont="1" applyFill="1" applyBorder="1" applyAlignment="1">
      <alignment horizontal="left" vertical="center"/>
    </xf>
    <xf numFmtId="14" fontId="5" fillId="11" borderId="5" xfId="0" applyNumberFormat="1" applyFont="1" applyFill="1" applyBorder="1" applyAlignment="1">
      <alignment horizontal="right" vertical="center"/>
    </xf>
    <xf numFmtId="3" fontId="5" fillId="11" borderId="5" xfId="0" applyNumberFormat="1" applyFont="1" applyFill="1" applyBorder="1" applyAlignment="1">
      <alignment horizontal="left" vertical="center"/>
    </xf>
    <xf numFmtId="3" fontId="5" fillId="11" borderId="5" xfId="0" applyNumberFormat="1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right" vertical="center"/>
    </xf>
    <xf numFmtId="1" fontId="5" fillId="11" borderId="5" xfId="0" applyNumberFormat="1" applyFont="1" applyFill="1" applyBorder="1" applyAlignment="1">
      <alignment vertical="center"/>
    </xf>
    <xf numFmtId="14" fontId="6" fillId="11" borderId="5" xfId="0" applyNumberFormat="1" applyFont="1" applyFill="1" applyBorder="1" applyAlignment="1">
      <alignment vertical="center"/>
    </xf>
    <xf numFmtId="0" fontId="34" fillId="11" borderId="5" xfId="0" applyFont="1" applyFill="1" applyBorder="1" applyAlignment="1">
      <alignment vertical="center"/>
    </xf>
    <xf numFmtId="0" fontId="16" fillId="11" borderId="5" xfId="0" applyFont="1" applyFill="1" applyBorder="1" applyAlignment="1">
      <alignment vertical="center"/>
    </xf>
    <xf numFmtId="14" fontId="7" fillId="11" borderId="5" xfId="0" applyNumberFormat="1" applyFont="1" applyFill="1" applyBorder="1" applyAlignment="1">
      <alignment horizontal="center" vertical="center"/>
    </xf>
    <xf numFmtId="14" fontId="6" fillId="11" borderId="5" xfId="0" applyNumberFormat="1" applyFont="1" applyFill="1" applyBorder="1" applyAlignment="1">
      <alignment horizontal="right" vertical="center"/>
    </xf>
    <xf numFmtId="14" fontId="6" fillId="11" borderId="5" xfId="0" applyNumberFormat="1" applyFont="1" applyFill="1" applyBorder="1" applyAlignment="1">
      <alignment horizontal="left" vertical="center"/>
    </xf>
    <xf numFmtId="14" fontId="5" fillId="11" borderId="5" xfId="0" applyNumberFormat="1" applyFont="1" applyFill="1" applyBorder="1" applyAlignment="1">
      <alignment vertical="center"/>
    </xf>
    <xf numFmtId="3" fontId="6" fillId="11" borderId="5" xfId="0" applyNumberFormat="1" applyFont="1" applyFill="1" applyBorder="1" applyAlignment="1">
      <alignment vertical="center"/>
    </xf>
    <xf numFmtId="2" fontId="5" fillId="11" borderId="5" xfId="0" applyNumberFormat="1" applyFont="1" applyFill="1" applyBorder="1" applyAlignment="1">
      <alignment horizontal="right" vertical="center"/>
    </xf>
    <xf numFmtId="14" fontId="6" fillId="11" borderId="5" xfId="0" applyNumberFormat="1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horizontal="right" vertical="center"/>
    </xf>
    <xf numFmtId="14" fontId="16" fillId="11" borderId="5" xfId="0" applyNumberFormat="1" applyFont="1" applyFill="1" applyBorder="1" applyAlignment="1">
      <alignment horizontal="left" vertical="center"/>
    </xf>
    <xf numFmtId="3" fontId="16" fillId="11" borderId="5" xfId="0" applyNumberFormat="1" applyFont="1" applyFill="1" applyBorder="1" applyAlignment="1">
      <alignment horizontal="center" vertical="center"/>
    </xf>
    <xf numFmtId="3" fontId="16" fillId="11" borderId="5" xfId="0" applyNumberFormat="1" applyFont="1" applyFill="1" applyBorder="1" applyAlignment="1">
      <alignment horizontal="right" vertical="center"/>
    </xf>
    <xf numFmtId="3" fontId="34" fillId="11" borderId="5" xfId="0" applyNumberFormat="1" applyFont="1" applyFill="1" applyBorder="1" applyAlignment="1">
      <alignment horizontal="right" vertical="center"/>
    </xf>
    <xf numFmtId="3" fontId="34" fillId="11" borderId="5" xfId="0" applyNumberFormat="1" applyFont="1" applyFill="1" applyBorder="1" applyAlignment="1">
      <alignment vertical="center"/>
    </xf>
    <xf numFmtId="2" fontId="5" fillId="11" borderId="5" xfId="0" applyNumberFormat="1" applyFont="1" applyFill="1" applyBorder="1" applyAlignment="1">
      <alignment vertical="center" wrapText="1"/>
    </xf>
    <xf numFmtId="0" fontId="7" fillId="11" borderId="5" xfId="0" applyFont="1" applyFill="1" applyBorder="1" applyAlignment="1">
      <alignment horizontal="right" vertical="center"/>
    </xf>
    <xf numFmtId="1" fontId="5" fillId="11" borderId="5" xfId="0" applyNumberFormat="1" applyFont="1" applyFill="1" applyBorder="1" applyAlignment="1">
      <alignment horizontal="right" vertical="center"/>
    </xf>
    <xf numFmtId="14" fontId="34" fillId="11" borderId="5" xfId="0" applyNumberFormat="1" applyFont="1" applyFill="1" applyBorder="1" applyAlignment="1">
      <alignment horizontal="left" vertical="center"/>
    </xf>
    <xf numFmtId="3" fontId="6" fillId="11" borderId="5" xfId="0" applyNumberFormat="1" applyFont="1" applyFill="1" applyBorder="1" applyAlignment="1">
      <alignment horizontal="right" vertical="center"/>
    </xf>
    <xf numFmtId="0" fontId="6" fillId="11" borderId="3" xfId="0" applyFont="1" applyFill="1" applyBorder="1" applyAlignment="1">
      <alignment vertical="center" wrapText="1"/>
    </xf>
    <xf numFmtId="0" fontId="5" fillId="11" borderId="5" xfId="0" quotePrefix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4" fontId="16" fillId="11" borderId="5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vertical="center" wrapText="1"/>
    </xf>
    <xf numFmtId="182" fontId="10" fillId="11" borderId="5" xfId="0" applyNumberFormat="1" applyFont="1" applyFill="1" applyBorder="1" applyAlignment="1">
      <alignment vertical="center"/>
    </xf>
    <xf numFmtId="14" fontId="10" fillId="11" borderId="5" xfId="0" applyNumberFormat="1" applyFont="1" applyFill="1" applyBorder="1" applyAlignment="1">
      <alignment vertical="center"/>
    </xf>
    <xf numFmtId="14" fontId="38" fillId="11" borderId="5" xfId="0" applyNumberFormat="1" applyFont="1" applyFill="1" applyBorder="1" applyAlignment="1">
      <alignment horizontal="left" vertical="center"/>
    </xf>
    <xf numFmtId="0" fontId="38" fillId="11" borderId="5" xfId="0" applyFont="1" applyFill="1" applyBorder="1" applyAlignment="1">
      <alignment horizontal="left" vertical="center"/>
    </xf>
    <xf numFmtId="3" fontId="38" fillId="11" borderId="5" xfId="0" applyNumberFormat="1" applyFont="1" applyFill="1" applyBorder="1" applyAlignment="1">
      <alignment horizontal="center" vertical="center"/>
    </xf>
    <xf numFmtId="14" fontId="38" fillId="11" borderId="5" xfId="0" applyNumberFormat="1" applyFont="1" applyFill="1" applyBorder="1" applyAlignment="1">
      <alignment horizontal="center" vertical="center"/>
    </xf>
    <xf numFmtId="0" fontId="38" fillId="11" borderId="5" xfId="0" applyFont="1" applyFill="1" applyBorder="1" applyAlignment="1">
      <alignment vertical="center"/>
    </xf>
    <xf numFmtId="14" fontId="9" fillId="11" borderId="1" xfId="0" applyNumberFormat="1" applyFont="1" applyFill="1" applyBorder="1" applyAlignment="1">
      <alignment vertical="center"/>
    </xf>
    <xf numFmtId="0" fontId="36" fillId="11" borderId="5" xfId="0" applyFont="1" applyFill="1" applyBorder="1" applyAlignment="1">
      <alignment vertical="center"/>
    </xf>
    <xf numFmtId="3" fontId="5" fillId="11" borderId="5" xfId="0" applyNumberFormat="1" applyFont="1" applyFill="1" applyBorder="1" applyAlignment="1">
      <alignment horizontal="left" vertical="center" wrapText="1"/>
    </xf>
    <xf numFmtId="0" fontId="16" fillId="11" borderId="5" xfId="0" applyFont="1" applyFill="1" applyBorder="1" applyAlignment="1">
      <alignment horizontal="center" vertical="center"/>
    </xf>
    <xf numFmtId="0" fontId="20" fillId="11" borderId="11" xfId="0" applyFont="1" applyFill="1" applyBorder="1" applyAlignment="1">
      <alignment vertical="center"/>
    </xf>
    <xf numFmtId="14" fontId="7" fillId="11" borderId="5" xfId="0" applyNumberFormat="1" applyFont="1" applyFill="1" applyBorder="1" applyAlignment="1">
      <alignment vertical="center"/>
    </xf>
    <xf numFmtId="177" fontId="6" fillId="11" borderId="5" xfId="0" applyNumberFormat="1" applyFont="1" applyFill="1" applyBorder="1" applyAlignment="1">
      <alignment vertical="center"/>
    </xf>
    <xf numFmtId="0" fontId="7" fillId="11" borderId="5" xfId="0" applyFont="1" applyFill="1" applyBorder="1" applyAlignment="1">
      <alignment vertical="center" wrapText="1"/>
    </xf>
    <xf numFmtId="3" fontId="6" fillId="11" borderId="1" xfId="0" applyNumberFormat="1" applyFont="1" applyFill="1" applyBorder="1"/>
    <xf numFmtId="0" fontId="5" fillId="11" borderId="4" xfId="0" applyFont="1" applyFill="1" applyBorder="1" applyAlignment="1">
      <alignment horizontal="right" vertical="center"/>
    </xf>
    <xf numFmtId="3" fontId="6" fillId="11" borderId="4" xfId="0" applyNumberFormat="1" applyFont="1" applyFill="1" applyBorder="1"/>
    <xf numFmtId="14" fontId="16" fillId="11" borderId="5" xfId="0" applyNumberFormat="1" applyFont="1" applyFill="1" applyBorder="1" applyAlignment="1">
      <alignment vertical="center"/>
    </xf>
    <xf numFmtId="3" fontId="6" fillId="11" borderId="5" xfId="0" applyNumberFormat="1" applyFont="1" applyFill="1" applyBorder="1" applyAlignment="1">
      <alignment vertical="center" wrapText="1"/>
    </xf>
    <xf numFmtId="0" fontId="19" fillId="11" borderId="5" xfId="0" applyFont="1" applyFill="1" applyBorder="1" applyAlignment="1">
      <alignment horizontal="left" vertical="center"/>
    </xf>
    <xf numFmtId="14" fontId="41" fillId="11" borderId="5" xfId="0" applyNumberFormat="1" applyFont="1" applyFill="1" applyBorder="1" applyAlignment="1">
      <alignment vertical="center"/>
    </xf>
    <xf numFmtId="4" fontId="7" fillId="11" borderId="5" xfId="0" applyNumberFormat="1" applyFont="1" applyFill="1" applyBorder="1" applyAlignment="1">
      <alignment horizontal="right" vertical="center"/>
    </xf>
    <xf numFmtId="3" fontId="11" fillId="11" borderId="5" xfId="0" applyNumberFormat="1" applyFont="1" applyFill="1" applyBorder="1" applyAlignment="1">
      <alignment vertical="center" wrapText="1"/>
    </xf>
    <xf numFmtId="3" fontId="5" fillId="11" borderId="5" xfId="0" applyNumberFormat="1" applyFont="1" applyFill="1" applyBorder="1" applyAlignment="1">
      <alignment horizontal="right" vertical="center" wrapText="1"/>
    </xf>
    <xf numFmtId="0" fontId="10" fillId="11" borderId="2" xfId="0" applyFont="1" applyFill="1" applyBorder="1" applyAlignment="1">
      <alignment horizontal="center" vertical="center" wrapText="1"/>
    </xf>
    <xf numFmtId="14" fontId="44" fillId="11" borderId="5" xfId="0" applyNumberFormat="1" applyFont="1" applyFill="1" applyBorder="1" applyAlignment="1">
      <alignment vertical="center"/>
    </xf>
    <xf numFmtId="14" fontId="10" fillId="11" borderId="5" xfId="0" applyNumberFormat="1" applyFont="1" applyFill="1" applyBorder="1" applyAlignment="1">
      <alignment horizontal="left" vertical="center"/>
    </xf>
    <xf numFmtId="3" fontId="10" fillId="11" borderId="5" xfId="0" applyNumberFormat="1" applyFont="1" applyFill="1" applyBorder="1" applyAlignment="1">
      <alignment horizontal="center" vertical="center"/>
    </xf>
    <xf numFmtId="3" fontId="38" fillId="11" borderId="5" xfId="0" applyNumberFormat="1" applyFont="1" applyFill="1" applyBorder="1" applyAlignment="1">
      <alignment horizontal="right" vertical="center"/>
    </xf>
    <xf numFmtId="3" fontId="41" fillId="11" borderId="5" xfId="0" applyNumberFormat="1" applyFont="1" applyFill="1" applyBorder="1" applyAlignment="1">
      <alignment horizontal="right" vertical="center" wrapText="1"/>
    </xf>
    <xf numFmtId="0" fontId="5" fillId="11" borderId="5" xfId="0" quotePrefix="1" applyFont="1" applyFill="1" applyBorder="1" applyAlignment="1">
      <alignment horizontal="left" vertical="center"/>
    </xf>
    <xf numFmtId="4" fontId="5" fillId="20" borderId="1" xfId="0" applyNumberFormat="1" applyFont="1" applyFill="1" applyBorder="1" applyAlignment="1">
      <alignment horizontal="right" vertical="center"/>
    </xf>
    <xf numFmtId="0" fontId="49" fillId="11" borderId="1" xfId="0" applyFont="1" applyFill="1" applyBorder="1" applyAlignment="1">
      <alignment vertical="center"/>
    </xf>
    <xf numFmtId="0" fontId="49" fillId="11" borderId="1" xfId="0" applyFont="1" applyFill="1" applyBorder="1"/>
    <xf numFmtId="0" fontId="5" fillId="11" borderId="1" xfId="0" applyFont="1" applyFill="1" applyBorder="1" applyAlignment="1">
      <alignment horizontal="right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4" fontId="19" fillId="11" borderId="1" xfId="0" applyNumberFormat="1" applyFont="1" applyFill="1" applyBorder="1" applyAlignment="1">
      <alignment horizontal="right" vertical="center"/>
    </xf>
    <xf numFmtId="4" fontId="19" fillId="10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 wrapText="1"/>
    </xf>
    <xf numFmtId="3" fontId="16" fillId="8" borderId="1" xfId="0" applyNumberFormat="1" applyFont="1" applyFill="1" applyBorder="1" applyAlignment="1">
      <alignment horizontal="right" vertical="center"/>
    </xf>
    <xf numFmtId="0" fontId="41" fillId="11" borderId="5" xfId="0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vertical="top"/>
    </xf>
    <xf numFmtId="4" fontId="11" fillId="8" borderId="1" xfId="0" applyNumberFormat="1" applyFont="1" applyFill="1" applyBorder="1" applyAlignment="1">
      <alignment horizontal="right" vertical="center"/>
    </xf>
    <xf numFmtId="14" fontId="10" fillId="11" borderId="1" xfId="0" applyNumberFormat="1" applyFont="1" applyFill="1" applyBorder="1" applyAlignment="1">
      <alignment horizontal="left" vertical="center"/>
    </xf>
    <xf numFmtId="3" fontId="10" fillId="11" borderId="1" xfId="0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vertical="center"/>
    </xf>
    <xf numFmtId="14" fontId="6" fillId="8" borderId="5" xfId="0" applyNumberFormat="1" applyFont="1" applyFill="1" applyBorder="1" applyAlignment="1">
      <alignment horizontal="center" vertical="center"/>
    </xf>
    <xf numFmtId="184" fontId="43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17" borderId="11" xfId="0" applyFont="1" applyFill="1" applyBorder="1" applyAlignment="1">
      <alignment vertical="center"/>
    </xf>
    <xf numFmtId="0" fontId="20" fillId="17" borderId="20" xfId="0" applyFont="1" applyFill="1" applyBorder="1" applyAlignment="1">
      <alignment vertical="center"/>
    </xf>
    <xf numFmtId="11" fontId="20" fillId="17" borderId="11" xfId="0" applyNumberFormat="1" applyFont="1" applyFill="1" applyBorder="1" applyAlignment="1">
      <alignment vertical="center"/>
    </xf>
    <xf numFmtId="0" fontId="20" fillId="8" borderId="11" xfId="0" applyFont="1" applyFill="1" applyBorder="1" applyAlignment="1">
      <alignment vertical="center"/>
    </xf>
    <xf numFmtId="0" fontId="20" fillId="8" borderId="20" xfId="0" applyFont="1" applyFill="1" applyBorder="1" applyAlignment="1">
      <alignment vertical="center"/>
    </xf>
    <xf numFmtId="14" fontId="6" fillId="8" borderId="3" xfId="0" applyNumberFormat="1" applyFont="1" applyFill="1" applyBorder="1" applyAlignment="1">
      <alignment vertical="center"/>
    </xf>
    <xf numFmtId="0" fontId="6" fillId="11" borderId="3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vertical="center" wrapText="1"/>
    </xf>
    <xf numFmtId="0" fontId="9" fillId="11" borderId="5" xfId="0" applyFont="1" applyFill="1" applyBorder="1" applyAlignment="1">
      <alignment horizontal="right" vertical="center"/>
    </xf>
    <xf numFmtId="0" fontId="34" fillId="11" borderId="5" xfId="0" applyFont="1" applyFill="1" applyBorder="1" applyAlignment="1">
      <alignment horizontal="left" vertical="center"/>
    </xf>
    <xf numFmtId="0" fontId="50" fillId="11" borderId="5" xfId="0" applyFont="1" applyFill="1" applyBorder="1" applyAlignment="1">
      <alignment horizontal="center" vertical="center" wrapText="1"/>
    </xf>
    <xf numFmtId="186" fontId="6" fillId="11" borderId="5" xfId="0" applyNumberFormat="1" applyFont="1" applyFill="1" applyBorder="1" applyAlignment="1">
      <alignment horizontal="right" vertical="center"/>
    </xf>
    <xf numFmtId="187" fontId="5" fillId="11" borderId="5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vertical="center"/>
    </xf>
    <xf numFmtId="14" fontId="34" fillId="11" borderId="5" xfId="0" applyNumberFormat="1" applyFont="1" applyFill="1" applyBorder="1" applyAlignment="1">
      <alignment vertical="center"/>
    </xf>
    <xf numFmtId="3" fontId="34" fillId="11" borderId="5" xfId="0" applyNumberFormat="1" applyFont="1" applyFill="1" applyBorder="1" applyAlignment="1">
      <alignment horizontal="center" vertical="center"/>
    </xf>
    <xf numFmtId="0" fontId="34" fillId="11" borderId="5" xfId="0" applyFont="1" applyFill="1" applyBorder="1" applyAlignment="1">
      <alignment horizontal="center" vertical="center"/>
    </xf>
    <xf numFmtId="188" fontId="5" fillId="11" borderId="5" xfId="0" applyNumberFormat="1" applyFon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right" vertical="center"/>
    </xf>
    <xf numFmtId="189" fontId="6" fillId="11" borderId="5" xfId="0" applyNumberFormat="1" applyFont="1" applyFill="1" applyBorder="1" applyAlignment="1">
      <alignment horizontal="right" vertical="center"/>
    </xf>
    <xf numFmtId="190" fontId="6" fillId="11" borderId="5" xfId="0" applyNumberFormat="1" applyFont="1" applyFill="1" applyBorder="1" applyAlignment="1">
      <alignment horizontal="right" vertical="center"/>
    </xf>
    <xf numFmtId="14" fontId="19" fillId="11" borderId="5" xfId="0" applyNumberFormat="1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right" vertical="center"/>
    </xf>
    <xf numFmtId="190" fontId="5" fillId="11" borderId="5" xfId="0" applyNumberFormat="1" applyFont="1" applyFill="1" applyBorder="1" applyAlignment="1">
      <alignment horizontal="right" vertical="center"/>
    </xf>
    <xf numFmtId="189" fontId="5" fillId="11" borderId="5" xfId="0" applyNumberFormat="1" applyFont="1" applyFill="1" applyBorder="1" applyAlignment="1">
      <alignment horizontal="right" vertical="center"/>
    </xf>
    <xf numFmtId="191" fontId="5" fillId="11" borderId="5" xfId="0" applyNumberFormat="1" applyFont="1" applyFill="1" applyBorder="1" applyAlignment="1">
      <alignment horizontal="right" vertical="center"/>
    </xf>
    <xf numFmtId="1" fontId="6" fillId="11" borderId="5" xfId="0" applyNumberFormat="1" applyFont="1" applyFill="1" applyBorder="1" applyAlignment="1">
      <alignment horizontal="right" vertical="center"/>
    </xf>
    <xf numFmtId="0" fontId="51" fillId="11" borderId="5" xfId="0" applyFont="1" applyFill="1" applyBorder="1" applyAlignment="1">
      <alignment horizontal="center" vertical="center" wrapText="1"/>
    </xf>
    <xf numFmtId="0" fontId="51" fillId="11" borderId="5" xfId="0" applyFont="1" applyFill="1" applyBorder="1" applyAlignment="1">
      <alignment vertical="center"/>
    </xf>
    <xf numFmtId="182" fontId="6" fillId="11" borderId="5" xfId="0" applyNumberFormat="1" applyFont="1" applyFill="1" applyBorder="1" applyAlignment="1">
      <alignment horizontal="right" vertical="center"/>
    </xf>
    <xf numFmtId="0" fontId="9" fillId="11" borderId="5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/>
    </xf>
    <xf numFmtId="187" fontId="5" fillId="8" borderId="5" xfId="0" applyNumberFormat="1" applyFont="1" applyFill="1" applyBorder="1" applyAlignment="1">
      <alignment horizontal="right" vertical="center"/>
    </xf>
    <xf numFmtId="0" fontId="7" fillId="21" borderId="5" xfId="0" applyFont="1" applyFill="1" applyBorder="1" applyAlignment="1">
      <alignment horizontal="left" vertical="center"/>
    </xf>
    <xf numFmtId="14" fontId="34" fillId="11" borderId="5" xfId="0" applyNumberFormat="1" applyFont="1" applyFill="1" applyBorder="1" applyAlignment="1">
      <alignment horizontal="right" vertical="center"/>
    </xf>
    <xf numFmtId="187" fontId="6" fillId="11" borderId="5" xfId="0" applyNumberFormat="1" applyFont="1" applyFill="1" applyBorder="1" applyAlignment="1">
      <alignment horizontal="right" vertical="center"/>
    </xf>
    <xf numFmtId="192" fontId="5" fillId="11" borderId="5" xfId="0" applyNumberFormat="1" applyFont="1" applyFill="1" applyBorder="1" applyAlignment="1">
      <alignment horizontal="right" vertical="center"/>
    </xf>
    <xf numFmtId="190" fontId="11" fillId="11" borderId="5" xfId="0" applyNumberFormat="1" applyFont="1" applyFill="1" applyBorder="1" applyAlignment="1">
      <alignment horizontal="right" vertical="center"/>
    </xf>
    <xf numFmtId="0" fontId="11" fillId="11" borderId="5" xfId="0" applyFont="1" applyFill="1" applyBorder="1" applyAlignment="1">
      <alignment horizontal="right" vertical="center"/>
    </xf>
    <xf numFmtId="0" fontId="41" fillId="11" borderId="5" xfId="0" applyFont="1" applyFill="1" applyBorder="1" applyAlignment="1">
      <alignment vertical="center"/>
    </xf>
    <xf numFmtId="0" fontId="41" fillId="11" borderId="5" xfId="0" applyFont="1" applyFill="1" applyBorder="1" applyAlignment="1">
      <alignment horizontal="center" vertical="center"/>
    </xf>
    <xf numFmtId="3" fontId="6" fillId="11" borderId="5" xfId="0" applyNumberFormat="1" applyFont="1" applyFill="1" applyBorder="1" applyAlignment="1">
      <alignment horizontal="left" vertical="center"/>
    </xf>
    <xf numFmtId="191" fontId="6" fillId="11" borderId="5" xfId="0" applyNumberFormat="1" applyFont="1" applyFill="1" applyBorder="1" applyAlignment="1">
      <alignment horizontal="center" vertical="center"/>
    </xf>
    <xf numFmtId="1" fontId="26" fillId="11" borderId="5" xfId="0" applyNumberFormat="1" applyFont="1" applyFill="1" applyBorder="1" applyAlignment="1">
      <alignment horizontal="right" vertical="center"/>
    </xf>
    <xf numFmtId="2" fontId="10" fillId="11" borderId="5" xfId="0" applyNumberFormat="1" applyFont="1" applyFill="1" applyBorder="1" applyAlignment="1">
      <alignment horizontal="right" vertical="center"/>
    </xf>
    <xf numFmtId="14" fontId="9" fillId="11" borderId="5" xfId="0" applyNumberFormat="1" applyFont="1" applyFill="1" applyBorder="1" applyAlignment="1">
      <alignment horizontal="left" vertical="center"/>
    </xf>
    <xf numFmtId="14" fontId="9" fillId="11" borderId="5" xfId="0" applyNumberFormat="1" applyFont="1" applyFill="1" applyBorder="1" applyAlignment="1">
      <alignment horizontal="right" vertical="center"/>
    </xf>
    <xf numFmtId="3" fontId="9" fillId="11" borderId="5" xfId="0" applyNumberFormat="1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 wrapText="1"/>
    </xf>
    <xf numFmtId="187" fontId="9" fillId="11" borderId="5" xfId="0" applyNumberFormat="1" applyFont="1" applyFill="1" applyBorder="1" applyAlignment="1">
      <alignment horizontal="right" vertical="center"/>
    </xf>
    <xf numFmtId="187" fontId="6" fillId="11" borderId="5" xfId="0" applyNumberFormat="1" applyFont="1" applyFill="1" applyBorder="1" applyAlignment="1">
      <alignment vertical="center"/>
    </xf>
    <xf numFmtId="14" fontId="36" fillId="11" borderId="5" xfId="0" applyNumberFormat="1" applyFont="1" applyFill="1" applyBorder="1" applyAlignment="1">
      <alignment horizontal="left" vertical="center"/>
    </xf>
    <xf numFmtId="0" fontId="36" fillId="11" borderId="5" xfId="0" applyFont="1" applyFill="1" applyBorder="1" applyAlignment="1">
      <alignment horizontal="center" vertical="center"/>
    </xf>
    <xf numFmtId="0" fontId="36" fillId="11" borderId="5" xfId="0" applyFont="1" applyFill="1" applyBorder="1" applyAlignment="1">
      <alignment horizontal="right" vertical="center"/>
    </xf>
    <xf numFmtId="2" fontId="6" fillId="11" borderId="5" xfId="0" applyNumberFormat="1" applyFont="1" applyFill="1" applyBorder="1" applyAlignment="1">
      <alignment vertical="center"/>
    </xf>
    <xf numFmtId="0" fontId="6" fillId="11" borderId="5" xfId="0" applyFont="1" applyFill="1" applyBorder="1"/>
    <xf numFmtId="0" fontId="6" fillId="11" borderId="5" xfId="0" applyFont="1" applyFill="1" applyBorder="1" applyAlignment="1">
      <alignment horizontal="right"/>
    </xf>
    <xf numFmtId="188" fontId="5" fillId="11" borderId="5" xfId="0" applyNumberFormat="1" applyFont="1" applyFill="1" applyBorder="1" applyAlignment="1">
      <alignment horizontal="right" vertical="center"/>
    </xf>
    <xf numFmtId="0" fontId="6" fillId="0" borderId="7" xfId="0" applyFont="1" applyBorder="1"/>
    <xf numFmtId="0" fontId="6" fillId="0" borderId="9" xfId="0" applyFont="1" applyBorder="1" applyAlignment="1">
      <alignment horizontal="center" vertical="center"/>
    </xf>
    <xf numFmtId="193" fontId="4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4" fontId="6" fillId="11" borderId="4" xfId="0" applyNumberFormat="1" applyFont="1" applyFill="1" applyBorder="1" applyAlignment="1">
      <alignment horizontal="left" vertical="center"/>
    </xf>
    <xf numFmtId="4" fontId="5" fillId="11" borderId="16" xfId="0" applyNumberFormat="1" applyFont="1" applyFill="1" applyBorder="1" applyAlignment="1">
      <alignment horizontal="right" vertical="center"/>
    </xf>
    <xf numFmtId="14" fontId="5" fillId="11" borderId="16" xfId="0" applyNumberFormat="1" applyFont="1" applyFill="1" applyBorder="1" applyAlignment="1">
      <alignment horizontal="right" vertical="center"/>
    </xf>
    <xf numFmtId="3" fontId="5" fillId="11" borderId="16" xfId="0" applyNumberFormat="1" applyFont="1" applyFill="1" applyBorder="1" applyAlignment="1">
      <alignment horizontal="right" vertical="center"/>
    </xf>
    <xf numFmtId="0" fontId="5" fillId="11" borderId="16" xfId="0" applyFont="1" applyFill="1" applyBorder="1" applyAlignment="1">
      <alignment vertical="center"/>
    </xf>
    <xf numFmtId="0" fontId="5" fillId="11" borderId="16" xfId="0" applyFont="1" applyFill="1" applyBorder="1" applyAlignment="1">
      <alignment horizontal="right" vertical="center"/>
    </xf>
    <xf numFmtId="4" fontId="6" fillId="11" borderId="16" xfId="0" applyNumberFormat="1" applyFont="1" applyFill="1" applyBorder="1" applyAlignment="1">
      <alignment horizontal="right" vertical="center"/>
    </xf>
    <xf numFmtId="0" fontId="6" fillId="11" borderId="16" xfId="0" applyFont="1" applyFill="1" applyBorder="1" applyAlignment="1">
      <alignment vertical="center"/>
    </xf>
    <xf numFmtId="0" fontId="6" fillId="11" borderId="16" xfId="0" applyFont="1" applyFill="1" applyBorder="1" applyAlignment="1">
      <alignment horizontal="center" vertical="center"/>
    </xf>
    <xf numFmtId="14" fontId="6" fillId="11" borderId="16" xfId="0" applyNumberFormat="1" applyFont="1" applyFill="1" applyBorder="1" applyAlignment="1">
      <alignment horizontal="right" vertical="center"/>
    </xf>
    <xf numFmtId="3" fontId="6" fillId="11" borderId="16" xfId="0" applyNumberFormat="1" applyFont="1" applyFill="1" applyBorder="1" applyAlignment="1">
      <alignment horizontal="right" vertical="center"/>
    </xf>
    <xf numFmtId="192" fontId="6" fillId="11" borderId="5" xfId="0" applyNumberFormat="1" applyFont="1" applyFill="1" applyBorder="1" applyAlignment="1">
      <alignment vertical="center"/>
    </xf>
    <xf numFmtId="0" fontId="5" fillId="11" borderId="16" xfId="0" applyFont="1" applyFill="1" applyBorder="1" applyAlignment="1">
      <alignment horizontal="left" vertical="center"/>
    </xf>
    <xf numFmtId="0" fontId="5" fillId="11" borderId="5" xfId="0" quotePrefix="1" applyFont="1" applyFill="1" applyBorder="1" applyAlignment="1">
      <alignment vertical="center" wrapText="1"/>
    </xf>
    <xf numFmtId="14" fontId="5" fillId="11" borderId="16" xfId="0" applyNumberFormat="1" applyFont="1" applyFill="1" applyBorder="1" applyAlignment="1">
      <alignment horizontal="center" vertical="center"/>
    </xf>
    <xf numFmtId="14" fontId="6" fillId="11" borderId="16" xfId="0" applyNumberFormat="1" applyFont="1" applyFill="1" applyBorder="1" applyAlignment="1">
      <alignment horizontal="center" vertical="center"/>
    </xf>
    <xf numFmtId="4" fontId="34" fillId="11" borderId="5" xfId="0" applyNumberFormat="1" applyFont="1" applyFill="1" applyBorder="1" applyAlignment="1">
      <alignment horizontal="right" vertical="center"/>
    </xf>
    <xf numFmtId="4" fontId="16" fillId="11" borderId="5" xfId="0" applyNumberFormat="1" applyFont="1" applyFill="1" applyBorder="1" applyAlignment="1">
      <alignment horizontal="right" vertical="center"/>
    </xf>
    <xf numFmtId="14" fontId="5" fillId="11" borderId="4" xfId="0" applyNumberFormat="1" applyFont="1" applyFill="1" applyBorder="1" applyAlignment="1">
      <alignment horizontal="left" vertical="center"/>
    </xf>
    <xf numFmtId="0" fontId="6" fillId="11" borderId="16" xfId="0" applyFont="1" applyFill="1" applyBorder="1" applyAlignment="1">
      <alignment horizontal="right" vertical="center"/>
    </xf>
    <xf numFmtId="4" fontId="5" fillId="11" borderId="5" xfId="0" applyNumberFormat="1" applyFont="1" applyFill="1" applyBorder="1" applyAlignment="1">
      <alignment horizontal="center" vertical="center"/>
    </xf>
    <xf numFmtId="192" fontId="5" fillId="11" borderId="16" xfId="0" applyNumberFormat="1" applyFont="1" applyFill="1" applyBorder="1" applyAlignment="1">
      <alignment horizontal="right" vertical="center"/>
    </xf>
    <xf numFmtId="0" fontId="5" fillId="11" borderId="16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14" fontId="5" fillId="8" borderId="4" xfId="0" applyNumberFormat="1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right" vertical="center"/>
    </xf>
    <xf numFmtId="14" fontId="5" fillId="0" borderId="22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6" fillId="8" borderId="16" xfId="0" applyFont="1" applyFill="1" applyBorder="1" applyAlignment="1">
      <alignment vertical="center"/>
    </xf>
    <xf numFmtId="192" fontId="6" fillId="8" borderId="5" xfId="0" applyNumberFormat="1" applyFont="1" applyFill="1" applyBorder="1" applyAlignment="1">
      <alignment vertical="center"/>
    </xf>
    <xf numFmtId="188" fontId="5" fillId="8" borderId="5" xfId="0" applyNumberFormat="1" applyFont="1" applyFill="1" applyBorder="1" applyAlignment="1">
      <alignment horizontal="center" vertical="center"/>
    </xf>
    <xf numFmtId="192" fontId="5" fillId="8" borderId="5" xfId="0" applyNumberFormat="1" applyFont="1" applyFill="1" applyBorder="1" applyAlignment="1">
      <alignment vertical="center"/>
    </xf>
    <xf numFmtId="14" fontId="6" fillId="8" borderId="4" xfId="0" applyNumberFormat="1" applyFont="1" applyFill="1" applyBorder="1" applyAlignment="1">
      <alignment horizontal="left" vertical="center"/>
    </xf>
    <xf numFmtId="3" fontId="6" fillId="0" borderId="7" xfId="0" applyNumberFormat="1" applyFont="1" applyBorder="1" applyAlignment="1">
      <alignment horizontal="right" vertical="center"/>
    </xf>
    <xf numFmtId="14" fontId="6" fillId="0" borderId="7" xfId="0" applyNumberFormat="1" applyFont="1" applyBorder="1" applyAlignment="1">
      <alignment horizontal="right" vertical="center"/>
    </xf>
    <xf numFmtId="192" fontId="6" fillId="8" borderId="5" xfId="0" applyNumberFormat="1" applyFont="1" applyFill="1" applyBorder="1" applyAlignment="1">
      <alignment horizontal="right" vertical="center"/>
    </xf>
    <xf numFmtId="3" fontId="6" fillId="8" borderId="5" xfId="0" applyNumberFormat="1" applyFont="1" applyFill="1" applyBorder="1" applyAlignment="1">
      <alignment horizontal="right" vertical="center"/>
    </xf>
    <xf numFmtId="14" fontId="6" fillId="8" borderId="5" xfId="0" applyNumberFormat="1" applyFont="1" applyFill="1" applyBorder="1" applyAlignment="1">
      <alignment horizontal="right" vertical="center"/>
    </xf>
    <xf numFmtId="0" fontId="26" fillId="8" borderId="5" xfId="0" applyFont="1" applyFill="1" applyBorder="1" applyAlignment="1">
      <alignment vertical="center"/>
    </xf>
    <xf numFmtId="14" fontId="5" fillId="8" borderId="5" xfId="0" applyNumberFormat="1" applyFont="1" applyFill="1" applyBorder="1" applyAlignment="1">
      <alignment horizontal="right" vertical="center"/>
    </xf>
    <xf numFmtId="3" fontId="6" fillId="8" borderId="5" xfId="0" applyNumberFormat="1" applyFont="1" applyFill="1" applyBorder="1" applyAlignment="1">
      <alignment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5" xfId="0" applyFont="1" applyFill="1" applyBorder="1" applyAlignment="1">
      <alignment vertical="center"/>
    </xf>
    <xf numFmtId="192" fontId="6" fillId="17" borderId="5" xfId="0" applyNumberFormat="1" applyFont="1" applyFill="1" applyBorder="1" applyAlignment="1">
      <alignment vertical="center"/>
    </xf>
    <xf numFmtId="3" fontId="6" fillId="17" borderId="5" xfId="0" applyNumberFormat="1" applyFont="1" applyFill="1" applyBorder="1" applyAlignment="1">
      <alignment vertical="center"/>
    </xf>
    <xf numFmtId="14" fontId="6" fillId="0" borderId="9" xfId="0" applyNumberFormat="1" applyFont="1" applyBorder="1" applyAlignment="1">
      <alignment horizontal="left" vertical="center"/>
    </xf>
    <xf numFmtId="0" fontId="26" fillId="0" borderId="7" xfId="0" applyFont="1" applyBorder="1" applyAlignment="1">
      <alignment vertical="center"/>
    </xf>
    <xf numFmtId="192" fontId="6" fillId="0" borderId="7" xfId="0" applyNumberFormat="1" applyFont="1" applyBorder="1" applyAlignment="1">
      <alignment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92" fontId="5" fillId="0" borderId="7" xfId="0" applyNumberFormat="1" applyFont="1" applyBorder="1" applyAlignment="1">
      <alignment vertical="center"/>
    </xf>
    <xf numFmtId="0" fontId="16" fillId="8" borderId="5" xfId="0" applyFont="1" applyFill="1" applyBorder="1" applyAlignment="1">
      <alignment horizontal="right" vertical="center"/>
    </xf>
    <xf numFmtId="3" fontId="6" fillId="0" borderId="0" xfId="0" applyNumberFormat="1" applyFont="1" applyAlignment="1">
      <alignment vertical="center"/>
    </xf>
    <xf numFmtId="30" fontId="26" fillId="0" borderId="9" xfId="0" applyNumberFormat="1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7" xfId="0" applyFont="1" applyBorder="1" applyAlignment="1">
      <alignment horizontal="right" vertical="center"/>
    </xf>
    <xf numFmtId="195" fontId="26" fillId="0" borderId="7" xfId="0" applyNumberFormat="1" applyFont="1" applyBorder="1" applyAlignment="1">
      <alignment horizontal="right" vertical="center"/>
    </xf>
    <xf numFmtId="179" fontId="26" fillId="0" borderId="7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3" fontId="26" fillId="0" borderId="7" xfId="0" applyNumberFormat="1" applyFont="1" applyBorder="1" applyAlignment="1">
      <alignment horizontal="right" vertical="center"/>
    </xf>
    <xf numFmtId="30" fontId="26" fillId="0" borderId="7" xfId="0" applyNumberFormat="1" applyFont="1" applyBorder="1" applyAlignment="1">
      <alignment horizontal="right" vertical="center"/>
    </xf>
    <xf numFmtId="194" fontId="6" fillId="0" borderId="7" xfId="0" applyNumberFormat="1" applyFont="1" applyBorder="1" applyAlignment="1">
      <alignment vertical="center"/>
    </xf>
    <xf numFmtId="185" fontId="6" fillId="0" borderId="7" xfId="0" applyNumberFormat="1" applyFont="1" applyBorder="1" applyAlignment="1">
      <alignment vertical="center"/>
    </xf>
    <xf numFmtId="196" fontId="6" fillId="0" borderId="7" xfId="0" applyNumberFormat="1" applyFont="1" applyBorder="1" applyAlignment="1">
      <alignment vertical="center"/>
    </xf>
    <xf numFmtId="0" fontId="53" fillId="0" borderId="7" xfId="0" applyFont="1" applyBorder="1" applyAlignment="1">
      <alignment horizontal="left" vertical="center"/>
    </xf>
    <xf numFmtId="196" fontId="26" fillId="0" borderId="7" xfId="0" applyNumberFormat="1" applyFont="1" applyBorder="1" applyAlignment="1">
      <alignment horizontal="right" vertical="center"/>
    </xf>
    <xf numFmtId="185" fontId="26" fillId="0" borderId="7" xfId="0" applyNumberFormat="1" applyFont="1" applyBorder="1" applyAlignment="1">
      <alignment horizontal="center" vertical="center"/>
    </xf>
    <xf numFmtId="179" fontId="54" fillId="0" borderId="7" xfId="0" applyNumberFormat="1" applyFont="1" applyBorder="1" applyAlignment="1">
      <alignment horizontal="center" vertical="center"/>
    </xf>
    <xf numFmtId="0" fontId="53" fillId="0" borderId="7" xfId="0" applyFont="1" applyBorder="1" applyAlignment="1">
      <alignment vertical="center"/>
    </xf>
    <xf numFmtId="14" fontId="26" fillId="0" borderId="7" xfId="0" applyNumberFormat="1" applyFont="1" applyBorder="1" applyAlignment="1">
      <alignment horizontal="right" vertical="center"/>
    </xf>
    <xf numFmtId="196" fontId="53" fillId="0" borderId="7" xfId="0" applyNumberFormat="1" applyFont="1" applyBorder="1" applyAlignment="1">
      <alignment horizontal="right" vertical="center"/>
    </xf>
    <xf numFmtId="3" fontId="26" fillId="8" borderId="5" xfId="0" applyNumberFormat="1" applyFont="1" applyFill="1" applyBorder="1" applyAlignment="1">
      <alignment horizontal="right" vertical="center"/>
    </xf>
    <xf numFmtId="1" fontId="26" fillId="0" borderId="7" xfId="0" applyNumberFormat="1" applyFont="1" applyBorder="1" applyAlignment="1">
      <alignment horizontal="left" vertical="center"/>
    </xf>
    <xf numFmtId="14" fontId="26" fillId="0" borderId="9" xfId="0" applyNumberFormat="1" applyFont="1" applyBorder="1" applyAlignment="1">
      <alignment horizontal="left" vertical="center"/>
    </xf>
    <xf numFmtId="196" fontId="26" fillId="0" borderId="7" xfId="0" applyNumberFormat="1" applyFont="1" applyBorder="1" applyAlignment="1">
      <alignment horizontal="left" vertical="center"/>
    </xf>
    <xf numFmtId="179" fontId="54" fillId="8" borderId="5" xfId="0" applyNumberFormat="1" applyFont="1" applyFill="1" applyBorder="1" applyAlignment="1">
      <alignment horizontal="center" vertical="center"/>
    </xf>
    <xf numFmtId="191" fontId="26" fillId="0" borderId="7" xfId="0" applyNumberFormat="1" applyFont="1" applyBorder="1" applyAlignment="1">
      <alignment horizontal="left" vertical="center"/>
    </xf>
    <xf numFmtId="189" fontId="26" fillId="0" borderId="7" xfId="0" applyNumberFormat="1" applyFont="1" applyBorder="1" applyAlignment="1">
      <alignment horizontal="right" vertical="center"/>
    </xf>
    <xf numFmtId="187" fontId="26" fillId="0" borderId="7" xfId="0" applyNumberFormat="1" applyFont="1" applyBorder="1" applyAlignment="1">
      <alignment horizontal="right" vertical="center"/>
    </xf>
    <xf numFmtId="0" fontId="12" fillId="8" borderId="5" xfId="0" applyFont="1" applyFill="1" applyBorder="1" applyAlignment="1">
      <alignment vertical="center"/>
    </xf>
    <xf numFmtId="196" fontId="26" fillId="0" borderId="7" xfId="0" applyNumberFormat="1" applyFont="1" applyBorder="1" applyAlignment="1">
      <alignment vertical="center"/>
    </xf>
    <xf numFmtId="0" fontId="54" fillId="0" borderId="7" xfId="0" applyFont="1" applyBorder="1" applyAlignment="1">
      <alignment horizontal="left" vertical="center"/>
    </xf>
    <xf numFmtId="0" fontId="26" fillId="25" borderId="5" xfId="0" applyFont="1" applyFill="1" applyBorder="1" applyAlignment="1">
      <alignment horizontal="right" vertical="center"/>
    </xf>
    <xf numFmtId="179" fontId="26" fillId="8" borderId="5" xfId="0" applyNumberFormat="1" applyFont="1" applyFill="1" applyBorder="1" applyAlignment="1">
      <alignment horizontal="center" vertical="center"/>
    </xf>
    <xf numFmtId="0" fontId="51" fillId="0" borderId="7" xfId="0" applyFont="1" applyBorder="1" applyAlignment="1">
      <alignment vertical="center"/>
    </xf>
    <xf numFmtId="0" fontId="51" fillId="0" borderId="7" xfId="0" applyFont="1" applyBorder="1" applyAlignment="1">
      <alignment horizontal="center" vertical="center"/>
    </xf>
    <xf numFmtId="14" fontId="26" fillId="0" borderId="7" xfId="0" applyNumberFormat="1" applyFont="1" applyBorder="1" applyAlignment="1">
      <alignment horizontal="center" vertical="center"/>
    </xf>
    <xf numFmtId="0" fontId="54" fillId="0" borderId="7" xfId="0" applyFont="1" applyBorder="1" applyAlignment="1">
      <alignment horizontal="right" vertical="center"/>
    </xf>
    <xf numFmtId="0" fontId="26" fillId="8" borderId="5" xfId="0" applyFont="1" applyFill="1" applyBorder="1" applyAlignment="1">
      <alignment horizontal="left" vertical="center"/>
    </xf>
    <xf numFmtId="0" fontId="26" fillId="8" borderId="5" xfId="0" applyFont="1" applyFill="1" applyBorder="1" applyAlignment="1">
      <alignment horizontal="right" vertical="center"/>
    </xf>
    <xf numFmtId="14" fontId="26" fillId="8" borderId="5" xfId="0" applyNumberFormat="1" applyFont="1" applyFill="1" applyBorder="1" applyAlignment="1">
      <alignment horizontal="center" vertical="center"/>
    </xf>
    <xf numFmtId="185" fontId="26" fillId="8" borderId="5" xfId="0" applyNumberFormat="1" applyFont="1" applyFill="1" applyBorder="1" applyAlignment="1">
      <alignment horizontal="center" vertical="center"/>
    </xf>
    <xf numFmtId="0" fontId="54" fillId="0" borderId="7" xfId="0" applyFont="1" applyBorder="1" applyAlignment="1">
      <alignment vertical="center"/>
    </xf>
    <xf numFmtId="0" fontId="54" fillId="8" borderId="5" xfId="0" applyFont="1" applyFill="1" applyBorder="1" applyAlignment="1">
      <alignment vertical="center"/>
    </xf>
    <xf numFmtId="0" fontId="12" fillId="8" borderId="5" xfId="0" applyFont="1" applyFill="1" applyBorder="1" applyAlignment="1">
      <alignment horizontal="left" vertical="center"/>
    </xf>
    <xf numFmtId="185" fontId="54" fillId="8" borderId="5" xfId="0" applyNumberFormat="1" applyFont="1" applyFill="1" applyBorder="1" applyAlignment="1">
      <alignment horizontal="center" vertical="center"/>
    </xf>
    <xf numFmtId="3" fontId="26" fillId="0" borderId="7" xfId="0" applyNumberFormat="1" applyFont="1" applyBorder="1" applyAlignment="1">
      <alignment vertical="center"/>
    </xf>
    <xf numFmtId="3" fontId="51" fillId="0" borderId="7" xfId="0" applyNumberFormat="1" applyFont="1" applyBorder="1" applyAlignment="1">
      <alignment horizontal="right" vertical="center"/>
    </xf>
    <xf numFmtId="0" fontId="2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26" fillId="25" borderId="5" xfId="0" applyFont="1" applyFill="1" applyBorder="1" applyAlignment="1">
      <alignment vertical="center"/>
    </xf>
    <xf numFmtId="0" fontId="26" fillId="8" borderId="5" xfId="0" applyFont="1" applyFill="1" applyBorder="1" applyAlignment="1">
      <alignment horizontal="center" vertical="center"/>
    </xf>
    <xf numFmtId="0" fontId="55" fillId="0" borderId="7" xfId="0" applyFont="1" applyBorder="1" applyAlignment="1">
      <alignment vertical="center"/>
    </xf>
    <xf numFmtId="188" fontId="26" fillId="0" borderId="7" xfId="0" applyNumberFormat="1" applyFont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0" fontId="16" fillId="17" borderId="2" xfId="0" applyFont="1" applyFill="1" applyBorder="1" applyAlignment="1">
      <alignment horizontal="left" vertical="center"/>
    </xf>
    <xf numFmtId="3" fontId="16" fillId="17" borderId="2" xfId="0" applyNumberFormat="1" applyFont="1" applyFill="1" applyBorder="1" applyAlignment="1">
      <alignment horizontal="left" vertical="center"/>
    </xf>
    <xf numFmtId="14" fontId="6" fillId="27" borderId="4" xfId="0" applyNumberFormat="1" applyFont="1" applyFill="1" applyBorder="1" applyAlignment="1">
      <alignment horizontal="left" vertical="center"/>
    </xf>
    <xf numFmtId="0" fontId="13" fillId="27" borderId="5" xfId="0" applyFont="1" applyFill="1" applyBorder="1" applyAlignment="1">
      <alignment horizontal="left" vertical="center"/>
    </xf>
    <xf numFmtId="0" fontId="6" fillId="27" borderId="5" xfId="0" applyFont="1" applyFill="1" applyBorder="1" applyAlignment="1">
      <alignment horizontal="left" vertical="center"/>
    </xf>
    <xf numFmtId="3" fontId="6" fillId="27" borderId="5" xfId="0" applyNumberFormat="1" applyFont="1" applyFill="1" applyBorder="1" applyAlignment="1">
      <alignment horizontal="right" vertical="center"/>
    </xf>
    <xf numFmtId="0" fontId="5" fillId="27" borderId="5" xfId="0" applyFont="1" applyFill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7" fillId="27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/>
    </xf>
    <xf numFmtId="3" fontId="14" fillId="8" borderId="5" xfId="0" applyNumberFormat="1" applyFont="1" applyFill="1" applyBorder="1" applyAlignment="1">
      <alignment horizontal="right" vertical="center"/>
    </xf>
    <xf numFmtId="0" fontId="13" fillId="0" borderId="7" xfId="0" applyFont="1" applyBorder="1" applyAlignment="1">
      <alignment horizontal="left" vertical="center" wrapText="1"/>
    </xf>
    <xf numFmtId="3" fontId="14" fillId="8" borderId="5" xfId="0" applyNumberFormat="1" applyFont="1" applyFill="1" applyBorder="1" applyAlignment="1">
      <alignment vertical="center"/>
    </xf>
    <xf numFmtId="0" fontId="13" fillId="8" borderId="5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 wrapText="1"/>
    </xf>
    <xf numFmtId="0" fontId="24" fillId="8" borderId="1" xfId="0" applyFont="1" applyFill="1" applyBorder="1"/>
    <xf numFmtId="176" fontId="6" fillId="0" borderId="9" xfId="0" applyNumberFormat="1" applyFont="1" applyBorder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14" fontId="5" fillId="0" borderId="9" xfId="0" applyNumberFormat="1" applyFont="1" applyBorder="1" applyAlignment="1">
      <alignment horizontal="left" vertical="center"/>
    </xf>
    <xf numFmtId="187" fontId="5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41" fillId="0" borderId="7" xfId="0" applyFont="1" applyBorder="1" applyAlignment="1">
      <alignment horizontal="right" vertical="center"/>
    </xf>
    <xf numFmtId="187" fontId="41" fillId="0" borderId="7" xfId="0" applyNumberFormat="1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4" fillId="5" borderId="27" xfId="0" applyFont="1" applyFill="1" applyBorder="1" applyAlignment="1">
      <alignment horizontal="center" vertical="center" wrapText="1"/>
    </xf>
    <xf numFmtId="3" fontId="4" fillId="5" borderId="27" xfId="0" applyNumberFormat="1" applyFont="1" applyFill="1" applyBorder="1" applyAlignment="1">
      <alignment horizontal="center" vertical="center" wrapText="1"/>
    </xf>
    <xf numFmtId="1" fontId="4" fillId="5" borderId="27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1" fontId="3" fillId="2" borderId="27" xfId="0" applyNumberFormat="1" applyFont="1" applyFill="1" applyBorder="1" applyAlignment="1">
      <alignment horizontal="center" vertical="center" wrapText="1"/>
    </xf>
    <xf numFmtId="4" fontId="3" fillId="2" borderId="27" xfId="0" applyNumberFormat="1" applyFont="1" applyFill="1" applyBorder="1" applyAlignment="1">
      <alignment horizontal="center" vertical="center" wrapText="1"/>
    </xf>
    <xf numFmtId="14" fontId="1" fillId="2" borderId="27" xfId="0" applyNumberFormat="1" applyFont="1" applyFill="1" applyBorder="1" applyAlignment="1">
      <alignment horizontal="center" vertical="center" wrapText="1"/>
    </xf>
    <xf numFmtId="14" fontId="1" fillId="4" borderId="27" xfId="0" applyNumberFormat="1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/>
    </xf>
    <xf numFmtId="4" fontId="3" fillId="4" borderId="27" xfId="0" applyNumberFormat="1" applyFont="1" applyFill="1" applyBorder="1" applyAlignment="1">
      <alignment horizontal="center" vertical="center" wrapText="1"/>
    </xf>
    <xf numFmtId="1" fontId="2" fillId="4" borderId="27" xfId="0" applyNumberFormat="1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center"/>
    </xf>
    <xf numFmtId="0" fontId="5" fillId="11" borderId="25" xfId="0" applyFont="1" applyFill="1" applyBorder="1" applyAlignment="1">
      <alignment vertical="center"/>
    </xf>
    <xf numFmtId="3" fontId="7" fillId="0" borderId="25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5" xfId="0" applyFont="1" applyBorder="1" applyAlignment="1">
      <alignment horizontal="right" vertical="center"/>
    </xf>
    <xf numFmtId="4" fontId="7" fillId="0" borderId="25" xfId="0" applyNumberFormat="1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4" fontId="5" fillId="11" borderId="27" xfId="0" applyNumberFormat="1" applyFont="1" applyFill="1" applyBorder="1" applyAlignment="1">
      <alignment vertical="center"/>
    </xf>
    <xf numFmtId="4" fontId="5" fillId="11" borderId="6" xfId="0" applyNumberFormat="1" applyFont="1" applyFill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25" xfId="0" applyFont="1" applyBorder="1" applyAlignment="1">
      <alignment horizontal="right" vertical="center"/>
    </xf>
    <xf numFmtId="0" fontId="7" fillId="0" borderId="25" xfId="0" applyFont="1" applyBorder="1" applyAlignment="1">
      <alignment horizontal="right"/>
    </xf>
    <xf numFmtId="4" fontId="5" fillId="0" borderId="25" xfId="0" applyNumberFormat="1" applyFont="1" applyBorder="1" applyAlignment="1">
      <alignment horizontal="right" vertical="center"/>
    </xf>
    <xf numFmtId="3" fontId="5" fillId="0" borderId="25" xfId="0" applyNumberFormat="1" applyFont="1" applyBorder="1" applyAlignment="1">
      <alignment horizontal="right" vertical="center"/>
    </xf>
    <xf numFmtId="3" fontId="7" fillId="11" borderId="27" xfId="0" applyNumberFormat="1" applyFont="1" applyFill="1" applyBorder="1" applyAlignment="1">
      <alignment vertical="center"/>
    </xf>
    <xf numFmtId="0" fontId="5" fillId="11" borderId="27" xfId="0" applyFont="1" applyFill="1" applyBorder="1" applyAlignment="1">
      <alignment horizontal="right" vertical="center"/>
    </xf>
    <xf numFmtId="4" fontId="7" fillId="11" borderId="27" xfId="0" applyNumberFormat="1" applyFont="1" applyFill="1" applyBorder="1" applyAlignment="1">
      <alignment vertical="center"/>
    </xf>
    <xf numFmtId="0" fontId="6" fillId="11" borderId="27" xfId="0" applyFont="1" applyFill="1" applyBorder="1" applyAlignment="1">
      <alignment vertical="center"/>
    </xf>
    <xf numFmtId="4" fontId="11" fillId="11" borderId="27" xfId="0" applyNumberFormat="1" applyFont="1" applyFill="1" applyBorder="1" applyAlignment="1">
      <alignment vertical="center"/>
    </xf>
    <xf numFmtId="4" fontId="5" fillId="11" borderId="27" xfId="0" applyNumberFormat="1" applyFont="1" applyFill="1" applyBorder="1" applyAlignment="1">
      <alignment horizontal="left" vertical="center"/>
    </xf>
    <xf numFmtId="0" fontId="5" fillId="11" borderId="27" xfId="0" applyFont="1" applyFill="1" applyBorder="1" applyAlignment="1">
      <alignment vertical="center"/>
    </xf>
    <xf numFmtId="4" fontId="5" fillId="11" borderId="27" xfId="0" applyNumberFormat="1" applyFont="1" applyFill="1" applyBorder="1" applyAlignment="1">
      <alignment horizontal="right" vertical="center"/>
    </xf>
    <xf numFmtId="4" fontId="10" fillId="11" borderId="27" xfId="0" applyNumberFormat="1" applyFont="1" applyFill="1" applyBorder="1" applyAlignment="1">
      <alignment vertical="center"/>
    </xf>
    <xf numFmtId="3" fontId="5" fillId="11" borderId="27" xfId="0" applyNumberFormat="1" applyFont="1" applyFill="1" applyBorder="1" applyAlignment="1">
      <alignment vertical="center"/>
    </xf>
    <xf numFmtId="177" fontId="5" fillId="11" borderId="27" xfId="0" applyNumberFormat="1" applyFont="1" applyFill="1" applyBorder="1" applyAlignment="1">
      <alignment horizontal="right" vertical="center"/>
    </xf>
    <xf numFmtId="3" fontId="5" fillId="11" borderId="27" xfId="0" applyNumberFormat="1" applyFont="1" applyFill="1" applyBorder="1" applyAlignment="1">
      <alignment horizontal="right" vertical="center"/>
    </xf>
    <xf numFmtId="0" fontId="7" fillId="11" borderId="27" xfId="0" applyFont="1" applyFill="1" applyBorder="1" applyAlignment="1">
      <alignment horizontal="right" vertical="center"/>
    </xf>
    <xf numFmtId="177" fontId="5" fillId="11" borderId="27" xfId="0" applyNumberFormat="1" applyFont="1" applyFill="1" applyBorder="1" applyAlignment="1">
      <alignment vertical="center"/>
    </xf>
    <xf numFmtId="0" fontId="7" fillId="11" borderId="27" xfId="0" applyFont="1" applyFill="1" applyBorder="1" applyAlignment="1">
      <alignment vertical="center"/>
    </xf>
    <xf numFmtId="4" fontId="7" fillId="11" borderId="27" xfId="0" applyNumberFormat="1" applyFont="1" applyFill="1" applyBorder="1" applyAlignment="1">
      <alignment horizontal="right" vertical="center"/>
    </xf>
    <xf numFmtId="4" fontId="6" fillId="11" borderId="27" xfId="0" applyNumberFormat="1" applyFont="1" applyFill="1" applyBorder="1" applyAlignment="1">
      <alignment vertical="center"/>
    </xf>
    <xf numFmtId="181" fontId="5" fillId="11" borderId="27" xfId="0" applyNumberFormat="1" applyFont="1" applyFill="1" applyBorder="1" applyAlignment="1">
      <alignment vertical="center"/>
    </xf>
    <xf numFmtId="3" fontId="5" fillId="8" borderId="27" xfId="0" applyNumberFormat="1" applyFont="1" applyFill="1" applyBorder="1" applyAlignment="1">
      <alignment horizontal="right" vertical="center"/>
    </xf>
    <xf numFmtId="0" fontId="5" fillId="8" borderId="27" xfId="0" applyFont="1" applyFill="1" applyBorder="1" applyAlignment="1">
      <alignment vertical="center"/>
    </xf>
    <xf numFmtId="0" fontId="41" fillId="8" borderId="27" xfId="0" applyFont="1" applyFill="1" applyBorder="1" applyAlignment="1">
      <alignment horizontal="right" vertical="center"/>
    </xf>
    <xf numFmtId="3" fontId="5" fillId="11" borderId="27" xfId="0" applyNumberFormat="1" applyFont="1" applyFill="1" applyBorder="1" applyAlignment="1">
      <alignment horizontal="right"/>
    </xf>
    <xf numFmtId="3" fontId="5" fillId="11" borderId="27" xfId="0" applyNumberFormat="1" applyFont="1" applyFill="1" applyBorder="1"/>
    <xf numFmtId="0" fontId="7" fillId="11" borderId="27" xfId="0" applyFont="1" applyFill="1" applyBorder="1" applyAlignment="1">
      <alignment vertical="center" wrapText="1"/>
    </xf>
    <xf numFmtId="3" fontId="5" fillId="11" borderId="27" xfId="0" applyNumberFormat="1" applyFont="1" applyFill="1" applyBorder="1" applyAlignment="1">
      <alignment vertical="center" wrapText="1"/>
    </xf>
    <xf numFmtId="3" fontId="10" fillId="11" borderId="27" xfId="0" applyNumberFormat="1" applyFont="1" applyFill="1" applyBorder="1" applyAlignment="1">
      <alignment vertical="center" wrapText="1"/>
    </xf>
    <xf numFmtId="0" fontId="11" fillId="11" borderId="27" xfId="0" applyFont="1" applyFill="1" applyBorder="1" applyAlignment="1">
      <alignment vertical="center" wrapText="1"/>
    </xf>
    <xf numFmtId="0" fontId="10" fillId="11" borderId="27" xfId="0" applyFont="1" applyFill="1" applyBorder="1" applyAlignment="1">
      <alignment horizontal="right" vertical="center" wrapText="1"/>
    </xf>
    <xf numFmtId="0" fontId="6" fillId="11" borderId="27" xfId="0" applyFont="1" applyFill="1" applyBorder="1" applyAlignment="1">
      <alignment horizontal="center" vertical="center"/>
    </xf>
    <xf numFmtId="0" fontId="45" fillId="11" borderId="27" xfId="0" applyFont="1" applyFill="1" applyBorder="1" applyAlignment="1">
      <alignment vertical="center"/>
    </xf>
    <xf numFmtId="3" fontId="6" fillId="11" borderId="27" xfId="0" applyNumberFormat="1" applyFont="1" applyFill="1" applyBorder="1" applyAlignment="1">
      <alignment horizontal="right" vertical="center"/>
    </xf>
    <xf numFmtId="3" fontId="7" fillId="11" borderId="27" xfId="0" applyNumberFormat="1" applyFont="1" applyFill="1" applyBorder="1" applyAlignment="1">
      <alignment horizontal="right" vertical="center"/>
    </xf>
    <xf numFmtId="0" fontId="9" fillId="11" borderId="27" xfId="0" applyFont="1" applyFill="1" applyBorder="1" applyAlignment="1">
      <alignment horizontal="center" vertical="center"/>
    </xf>
    <xf numFmtId="177" fontId="7" fillId="11" borderId="27" xfId="0" applyNumberFormat="1" applyFont="1" applyFill="1" applyBorder="1" applyAlignment="1">
      <alignment horizontal="right" vertical="center"/>
    </xf>
    <xf numFmtId="3" fontId="19" fillId="11" borderId="27" xfId="0" applyNumberFormat="1" applyFont="1" applyFill="1" applyBorder="1" applyAlignment="1">
      <alignment horizontal="right" vertical="center"/>
    </xf>
    <xf numFmtId="3" fontId="11" fillId="11" borderId="27" xfId="0" applyNumberFormat="1" applyFont="1" applyFill="1" applyBorder="1" applyAlignment="1">
      <alignment vertical="center" wrapText="1"/>
    </xf>
    <xf numFmtId="3" fontId="37" fillId="11" borderId="27" xfId="0" applyNumberFormat="1" applyFont="1" applyFill="1" applyBorder="1" applyAlignment="1">
      <alignment vertical="center"/>
    </xf>
    <xf numFmtId="3" fontId="20" fillId="11" borderId="27" xfId="0" applyNumberFormat="1" applyFont="1" applyFill="1" applyBorder="1" applyAlignment="1">
      <alignment vertical="center"/>
    </xf>
    <xf numFmtId="0" fontId="6" fillId="11" borderId="27" xfId="0" applyFont="1" applyFill="1" applyBorder="1" applyAlignment="1">
      <alignment horizontal="right" vertical="center"/>
    </xf>
    <xf numFmtId="0" fontId="6" fillId="11" borderId="27" xfId="0" applyFont="1" applyFill="1" applyBorder="1" applyAlignment="1">
      <alignment horizontal="left" vertical="center"/>
    </xf>
    <xf numFmtId="3" fontId="11" fillId="11" borderId="27" xfId="0" applyNumberFormat="1" applyFont="1" applyFill="1" applyBorder="1" applyAlignment="1">
      <alignment horizontal="right" vertical="center"/>
    </xf>
    <xf numFmtId="3" fontId="10" fillId="11" borderId="27" xfId="0" applyNumberFormat="1" applyFont="1" applyFill="1" applyBorder="1" applyAlignment="1">
      <alignment horizontal="right" vertical="center"/>
    </xf>
    <xf numFmtId="0" fontId="6" fillId="11" borderId="27" xfId="0" applyFont="1" applyFill="1" applyBorder="1" applyAlignment="1">
      <alignment vertical="center" wrapText="1"/>
    </xf>
    <xf numFmtId="3" fontId="6" fillId="11" borderId="27" xfId="0" applyNumberFormat="1" applyFont="1" applyFill="1" applyBorder="1" applyAlignment="1">
      <alignment vertical="center"/>
    </xf>
    <xf numFmtId="0" fontId="9" fillId="11" borderId="27" xfId="0" applyFont="1" applyFill="1" applyBorder="1" applyAlignment="1">
      <alignment vertical="center"/>
    </xf>
    <xf numFmtId="4" fontId="37" fillId="11" borderId="27" xfId="0" applyNumberFormat="1" applyFont="1" applyFill="1" applyBorder="1" applyAlignment="1">
      <alignment vertical="center"/>
    </xf>
    <xf numFmtId="0" fontId="37" fillId="11" borderId="27" xfId="0" applyFont="1" applyFill="1" applyBorder="1" applyAlignment="1">
      <alignment vertical="center"/>
    </xf>
    <xf numFmtId="180" fontId="5" fillId="11" borderId="27" xfId="0" applyNumberFormat="1" applyFont="1" applyFill="1" applyBorder="1" applyAlignment="1">
      <alignment horizontal="right" vertical="center"/>
    </xf>
    <xf numFmtId="0" fontId="6" fillId="8" borderId="27" xfId="0" applyFont="1" applyFill="1" applyBorder="1" applyAlignment="1">
      <alignment vertical="center"/>
    </xf>
    <xf numFmtId="3" fontId="5" fillId="10" borderId="27" xfId="0" applyNumberFormat="1" applyFont="1" applyFill="1" applyBorder="1" applyAlignment="1">
      <alignment vertical="center"/>
    </xf>
    <xf numFmtId="1" fontId="5" fillId="11" borderId="27" xfId="0" applyNumberFormat="1" applyFont="1" applyFill="1" applyBorder="1" applyAlignment="1">
      <alignment vertical="center"/>
    </xf>
    <xf numFmtId="1" fontId="5" fillId="11" borderId="27" xfId="0" applyNumberFormat="1" applyFont="1" applyFill="1" applyBorder="1" applyAlignment="1">
      <alignment horizontal="right" vertical="center"/>
    </xf>
    <xf numFmtId="182" fontId="10" fillId="11" borderId="27" xfId="0" applyNumberFormat="1" applyFont="1" applyFill="1" applyBorder="1" applyAlignment="1">
      <alignment vertical="center"/>
    </xf>
    <xf numFmtId="0" fontId="11" fillId="11" borderId="27" xfId="0" applyFont="1" applyFill="1" applyBorder="1" applyAlignment="1">
      <alignment vertical="center"/>
    </xf>
    <xf numFmtId="0" fontId="5" fillId="11" borderId="27" xfId="0" applyFont="1" applyFill="1" applyBorder="1" applyAlignment="1">
      <alignment vertical="center" wrapText="1"/>
    </xf>
    <xf numFmtId="177" fontId="6" fillId="11" borderId="27" xfId="0" applyNumberFormat="1" applyFont="1" applyFill="1" applyBorder="1" applyAlignment="1">
      <alignment vertical="center"/>
    </xf>
    <xf numFmtId="3" fontId="6" fillId="11" borderId="27" xfId="0" applyNumberFormat="1" applyFont="1" applyFill="1" applyBorder="1" applyAlignment="1">
      <alignment vertical="center" wrapText="1"/>
    </xf>
    <xf numFmtId="3" fontId="5" fillId="11" borderId="27" xfId="0" applyNumberFormat="1" applyFont="1" applyFill="1" applyBorder="1" applyAlignment="1">
      <alignment horizontal="right" vertical="center" wrapText="1"/>
    </xf>
    <xf numFmtId="0" fontId="10" fillId="11" borderId="27" xfId="0" applyFont="1" applyFill="1" applyBorder="1" applyAlignment="1">
      <alignment vertical="center" wrapText="1"/>
    </xf>
    <xf numFmtId="3" fontId="41" fillId="11" borderId="27" xfId="0" applyNumberFormat="1" applyFont="1" applyFill="1" applyBorder="1" applyAlignment="1">
      <alignment horizontal="right" vertical="center" wrapText="1"/>
    </xf>
    <xf numFmtId="0" fontId="6" fillId="11" borderId="27" xfId="0" applyFont="1" applyFill="1" applyBorder="1"/>
    <xf numFmtId="0" fontId="5" fillId="11" borderId="27" xfId="0" applyFont="1" applyFill="1" applyBorder="1" applyAlignment="1">
      <alignment horizontal="right" vertical="center" wrapText="1"/>
    </xf>
    <xf numFmtId="3" fontId="5" fillId="8" borderId="27" xfId="0" applyNumberFormat="1" applyFont="1" applyFill="1" applyBorder="1" applyAlignment="1">
      <alignment horizontal="right" vertical="center" wrapText="1"/>
    </xf>
    <xf numFmtId="0" fontId="41" fillId="11" borderId="27" xfId="0" applyFont="1" applyFill="1" applyBorder="1" applyAlignment="1">
      <alignment horizontal="right" vertical="center" wrapText="1"/>
    </xf>
    <xf numFmtId="3" fontId="7" fillId="11" borderId="27" xfId="0" applyNumberFormat="1" applyFont="1" applyFill="1" applyBorder="1" applyAlignment="1">
      <alignment vertical="center" wrapText="1"/>
    </xf>
    <xf numFmtId="4" fontId="7" fillId="8" borderId="27" xfId="0" applyNumberFormat="1" applyFont="1" applyFill="1" applyBorder="1" applyAlignment="1">
      <alignment vertical="center"/>
    </xf>
    <xf numFmtId="176" fontId="7" fillId="0" borderId="25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14" fontId="5" fillId="11" borderId="27" xfId="0" applyNumberFormat="1" applyFont="1" applyFill="1" applyBorder="1" applyAlignment="1">
      <alignment horizontal="center" vertical="center"/>
    </xf>
    <xf numFmtId="14" fontId="5" fillId="8" borderId="27" xfId="0" applyNumberFormat="1" applyFont="1" applyFill="1" applyBorder="1" applyAlignment="1">
      <alignment horizontal="center" vertical="center"/>
    </xf>
    <xf numFmtId="14" fontId="5" fillId="8" borderId="25" xfId="0" applyNumberFormat="1" applyFont="1" applyFill="1" applyBorder="1" applyAlignment="1">
      <alignment horizontal="center" vertical="center"/>
    </xf>
    <xf numFmtId="178" fontId="5" fillId="11" borderId="25" xfId="0" applyNumberFormat="1" applyFont="1" applyFill="1" applyBorder="1" applyAlignment="1">
      <alignment horizontal="center" vertical="center"/>
    </xf>
    <xf numFmtId="14" fontId="5" fillId="11" borderId="25" xfId="0" applyNumberFormat="1" applyFont="1" applyFill="1" applyBorder="1" applyAlignment="1">
      <alignment horizontal="center" vertical="center"/>
    </xf>
    <xf numFmtId="14" fontId="10" fillId="11" borderId="25" xfId="0" applyNumberFormat="1" applyFont="1" applyFill="1" applyBorder="1" applyAlignment="1">
      <alignment horizontal="center" vertical="center"/>
    </xf>
    <xf numFmtId="14" fontId="5" fillId="11" borderId="25" xfId="0" applyNumberFormat="1" applyFont="1" applyFill="1" applyBorder="1" applyAlignment="1">
      <alignment horizontal="center" vertical="center" wrapText="1"/>
    </xf>
    <xf numFmtId="14" fontId="5" fillId="11" borderId="9" xfId="0" applyNumberFormat="1" applyFont="1" applyFill="1" applyBorder="1" applyAlignment="1">
      <alignment horizontal="center" vertical="center"/>
    </xf>
    <xf numFmtId="14" fontId="7" fillId="8" borderId="25" xfId="0" applyNumberFormat="1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4" fontId="7" fillId="11" borderId="25" xfId="0" applyNumberFormat="1" applyFont="1" applyFill="1" applyBorder="1" applyAlignment="1">
      <alignment horizontal="center" vertical="center"/>
    </xf>
    <xf numFmtId="14" fontId="6" fillId="11" borderId="25" xfId="0" applyNumberFormat="1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188" fontId="5" fillId="11" borderId="25" xfId="0" applyNumberFormat="1" applyFont="1" applyFill="1" applyBorder="1" applyAlignment="1">
      <alignment horizontal="center" vertical="center"/>
    </xf>
    <xf numFmtId="14" fontId="19" fillId="11" borderId="25" xfId="0" applyNumberFormat="1" applyFont="1" applyFill="1" applyBorder="1" applyAlignment="1">
      <alignment horizontal="center" vertical="center"/>
    </xf>
    <xf numFmtId="0" fontId="9" fillId="11" borderId="2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4" fontId="6" fillId="8" borderId="27" xfId="0" applyNumberFormat="1" applyFont="1" applyFill="1" applyBorder="1" applyAlignment="1">
      <alignment vertical="center"/>
    </xf>
    <xf numFmtId="14" fontId="7" fillId="8" borderId="27" xfId="0" applyNumberFormat="1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left" vertical="center"/>
    </xf>
    <xf numFmtId="0" fontId="6" fillId="0" borderId="25" xfId="0" applyFont="1" applyBorder="1" applyAlignment="1">
      <alignment vertical="center" wrapText="1"/>
    </xf>
    <xf numFmtId="192" fontId="6" fillId="8" borderId="23" xfId="0" applyNumberFormat="1" applyFont="1" applyFill="1" applyBorder="1" applyAlignment="1">
      <alignment vertical="center"/>
    </xf>
    <xf numFmtId="0" fontId="52" fillId="0" borderId="24" xfId="0" applyFont="1" applyBorder="1"/>
    <xf numFmtId="0" fontId="52" fillId="0" borderId="25" xfId="0" applyFont="1" applyBorder="1"/>
    <xf numFmtId="14" fontId="5" fillId="0" borderId="22" xfId="0" applyNumberFormat="1" applyFont="1" applyBorder="1" applyAlignment="1">
      <alignment horizontal="right" vertical="center"/>
    </xf>
    <xf numFmtId="0" fontId="52" fillId="0" borderId="22" xfId="0" applyFont="1" applyBorder="1"/>
    <xf numFmtId="0" fontId="52" fillId="0" borderId="7" xfId="0" applyFont="1" applyBorder="1"/>
    <xf numFmtId="3" fontId="6" fillId="8" borderId="23" xfId="0" applyNumberFormat="1" applyFont="1" applyFill="1" applyBorder="1" applyAlignment="1">
      <alignment horizontal="right" vertical="center"/>
    </xf>
    <xf numFmtId="192" fontId="6" fillId="8" borderId="23" xfId="0" applyNumberFormat="1" applyFont="1" applyFill="1" applyBorder="1" applyAlignment="1">
      <alignment horizontal="right" vertical="center"/>
    </xf>
    <xf numFmtId="0" fontId="6" fillId="8" borderId="23" xfId="0" applyFont="1" applyFill="1" applyBorder="1" applyAlignment="1">
      <alignment horizontal="right" vertical="center"/>
    </xf>
    <xf numFmtId="14" fontId="6" fillId="8" borderId="23" xfId="0" applyNumberFormat="1" applyFont="1" applyFill="1" applyBorder="1" applyAlignment="1">
      <alignment horizontal="right" vertical="center"/>
    </xf>
    <xf numFmtId="192" fontId="6" fillId="0" borderId="22" xfId="0" applyNumberFormat="1" applyFont="1" applyBorder="1" applyAlignment="1">
      <alignment vertical="center"/>
    </xf>
    <xf numFmtId="0" fontId="6" fillId="0" borderId="22" xfId="0" applyFont="1" applyBorder="1" applyAlignment="1">
      <alignment horizontal="right" vertical="center"/>
    </xf>
    <xf numFmtId="14" fontId="5" fillId="8" borderId="23" xfId="0" applyNumberFormat="1" applyFont="1" applyFill="1" applyBorder="1" applyAlignment="1">
      <alignment horizontal="right" vertical="center"/>
    </xf>
    <xf numFmtId="14" fontId="6" fillId="0" borderId="22" xfId="0" applyNumberFormat="1" applyFont="1" applyBorder="1" applyAlignment="1">
      <alignment horizontal="right" vertical="center"/>
    </xf>
    <xf numFmtId="188" fontId="5" fillId="0" borderId="22" xfId="0" applyNumberFormat="1" applyFont="1" applyBorder="1" applyAlignment="1">
      <alignment horizontal="right" vertical="center"/>
    </xf>
    <xf numFmtId="0" fontId="5" fillId="8" borderId="23" xfId="0" applyFont="1" applyFill="1" applyBorder="1" applyAlignment="1">
      <alignment horizontal="center" vertical="center"/>
    </xf>
    <xf numFmtId="3" fontId="6" fillId="0" borderId="22" xfId="0" applyNumberFormat="1" applyFont="1" applyBorder="1" applyAlignment="1">
      <alignment horizontal="right" vertical="center"/>
    </xf>
    <xf numFmtId="0" fontId="6" fillId="0" borderId="22" xfId="0" applyFont="1" applyBorder="1" applyAlignment="1">
      <alignment horizontal="left" vertical="center"/>
    </xf>
    <xf numFmtId="3" fontId="5" fillId="8" borderId="23" xfId="0" applyNumberFormat="1" applyFont="1" applyFill="1" applyBorder="1" applyAlignment="1">
      <alignment horizontal="right" vertical="center"/>
    </xf>
    <xf numFmtId="3" fontId="5" fillId="0" borderId="22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6" fillId="8" borderId="23" xfId="0" applyFont="1" applyFill="1" applyBorder="1" applyAlignment="1">
      <alignment vertical="center"/>
    </xf>
    <xf numFmtId="0" fontId="5" fillId="8" borderId="23" xfId="0" applyFont="1" applyFill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/>
    </xf>
    <xf numFmtId="192" fontId="5" fillId="0" borderId="22" xfId="0" applyNumberFormat="1" applyFont="1" applyBorder="1" applyAlignment="1">
      <alignment vertical="center"/>
    </xf>
    <xf numFmtId="192" fontId="5" fillId="8" borderId="23" xfId="0" applyNumberFormat="1" applyFont="1" applyFill="1" applyBorder="1" applyAlignment="1">
      <alignment vertical="center"/>
    </xf>
    <xf numFmtId="0" fontId="6" fillId="0" borderId="22" xfId="0" applyFont="1" applyBorder="1" applyAlignment="1">
      <alignment vertical="center"/>
    </xf>
    <xf numFmtId="3" fontId="26" fillId="0" borderId="22" xfId="0" applyNumberFormat="1" applyFont="1" applyBorder="1" applyAlignment="1">
      <alignment horizontal="right" vertical="center"/>
    </xf>
    <xf numFmtId="0" fontId="12" fillId="0" borderId="22" xfId="0" applyFont="1" applyBorder="1" applyAlignment="1">
      <alignment vertical="center"/>
    </xf>
    <xf numFmtId="14" fontId="26" fillId="0" borderId="22" xfId="0" applyNumberFormat="1" applyFont="1" applyBorder="1" applyAlignment="1">
      <alignment horizontal="right" vertical="center"/>
    </xf>
    <xf numFmtId="0" fontId="26" fillId="0" borderId="22" xfId="0" applyFont="1" applyBorder="1" applyAlignment="1">
      <alignment horizontal="left" vertical="center"/>
    </xf>
    <xf numFmtId="0" fontId="26" fillId="0" borderId="22" xfId="0" applyFont="1" applyBorder="1" applyAlignment="1">
      <alignment horizontal="right" vertical="center"/>
    </xf>
    <xf numFmtId="0" fontId="56" fillId="26" borderId="26" xfId="0" applyFont="1" applyFill="1" applyBorder="1" applyAlignment="1">
      <alignment horizontal="center" vertical="center"/>
    </xf>
    <xf numFmtId="0" fontId="52" fillId="0" borderId="2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6606"/>
  <sheetViews>
    <sheetView tabSelected="1" topLeftCell="A5514" zoomScale="115" workbookViewId="0">
      <selection activeCell="G5543" sqref="G5529:G5543"/>
    </sheetView>
  </sheetViews>
  <sheetFormatPr baseColWidth="10" defaultColWidth="14.3984375" defaultRowHeight="15" customHeight="1" outlineLevelRow="1"/>
  <cols>
    <col min="1" max="1" width="16" customWidth="1"/>
    <col min="2" max="2" width="18.3984375" customWidth="1"/>
    <col min="3" max="3" width="21.19921875" customWidth="1"/>
    <col min="4" max="4" width="18.3984375" customWidth="1"/>
    <col min="5" max="5" width="24.19921875" customWidth="1"/>
    <col min="6" max="6" width="7.19921875" customWidth="1"/>
    <col min="7" max="7" width="10.19921875" customWidth="1"/>
    <col min="8" max="8" width="19.19921875" customWidth="1"/>
    <col min="9" max="9" width="13.3984375" customWidth="1"/>
    <col min="10" max="10" width="13.19921875" customWidth="1"/>
    <col min="11" max="12" width="17.19921875" customWidth="1"/>
    <col min="13" max="13" width="15.19921875" customWidth="1"/>
    <col min="14" max="14" width="13.3984375" customWidth="1"/>
    <col min="15" max="15" width="17.3984375" customWidth="1"/>
    <col min="16" max="16" width="30.59765625" customWidth="1"/>
    <col min="17" max="19" width="14" customWidth="1"/>
    <col min="20" max="20" width="27.19921875" customWidth="1"/>
    <col min="21" max="21" width="13.3984375" customWidth="1"/>
    <col min="22" max="22" width="26.3984375" customWidth="1"/>
    <col min="23" max="23" width="15" customWidth="1"/>
    <col min="24" max="24" width="15.19921875" customWidth="1"/>
    <col min="25" max="25" width="18.3984375" customWidth="1"/>
    <col min="26" max="26" width="18.19921875" customWidth="1"/>
    <col min="27" max="27" width="17.19921875" customWidth="1"/>
    <col min="28" max="28" width="18.3984375" customWidth="1"/>
    <col min="29" max="29" width="18.59765625" customWidth="1"/>
    <col min="30" max="30" width="15.59765625" customWidth="1"/>
    <col min="31" max="31" width="17" customWidth="1"/>
    <col min="32" max="32" width="18.796875" customWidth="1"/>
    <col min="33" max="38" width="12.19921875" customWidth="1"/>
    <col min="39" max="39" width="13.796875" customWidth="1"/>
    <col min="40" max="43" width="12.19921875" customWidth="1"/>
  </cols>
  <sheetData>
    <row r="1" spans="1:43" ht="36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14263</v>
      </c>
      <c r="I1" s="3" t="s">
        <v>7</v>
      </c>
      <c r="J1" s="3" t="s">
        <v>8</v>
      </c>
      <c r="K1" s="6" t="s">
        <v>9</v>
      </c>
      <c r="L1" s="742" t="s">
        <v>14264</v>
      </c>
      <c r="M1" s="7" t="s">
        <v>10</v>
      </c>
      <c r="N1" s="8" t="s">
        <v>11</v>
      </c>
      <c r="O1" s="9" t="s">
        <v>12</v>
      </c>
      <c r="P1" s="10" t="s">
        <v>13</v>
      </c>
      <c r="Q1" s="11" t="s">
        <v>14</v>
      </c>
      <c r="R1" s="1384" t="s">
        <v>14261</v>
      </c>
      <c r="S1" s="1384" t="s">
        <v>14262</v>
      </c>
      <c r="T1" s="12" t="s">
        <v>15</v>
      </c>
      <c r="U1" s="11" t="s">
        <v>16</v>
      </c>
      <c r="V1" s="9" t="s">
        <v>17</v>
      </c>
      <c r="W1" s="13" t="s">
        <v>18</v>
      </c>
      <c r="X1" s="13" t="s">
        <v>19</v>
      </c>
      <c r="Y1" s="13" t="s">
        <v>20</v>
      </c>
      <c r="Z1" s="13" t="s">
        <v>21</v>
      </c>
      <c r="AA1" s="13" t="s">
        <v>22</v>
      </c>
      <c r="AB1" s="14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3" t="s">
        <v>28</v>
      </c>
      <c r="AH1" s="13" t="s">
        <v>29</v>
      </c>
      <c r="AI1" s="16" t="s">
        <v>30</v>
      </c>
      <c r="AJ1" s="17" t="s">
        <v>31</v>
      </c>
      <c r="AK1" s="16" t="s">
        <v>32</v>
      </c>
      <c r="AL1" s="16" t="s">
        <v>33</v>
      </c>
      <c r="AM1" s="13" t="s">
        <v>34</v>
      </c>
      <c r="AN1" s="13" t="s">
        <v>35</v>
      </c>
      <c r="AO1" s="13" t="s">
        <v>36</v>
      </c>
      <c r="AP1" s="13" t="s">
        <v>37</v>
      </c>
      <c r="AQ1" s="18" t="s">
        <v>38</v>
      </c>
    </row>
    <row r="2" spans="1:43" ht="41.25" customHeight="1">
      <c r="A2" s="19">
        <v>43523</v>
      </c>
      <c r="B2" s="51" t="s">
        <v>14265</v>
      </c>
      <c r="C2" s="21">
        <v>2027739</v>
      </c>
      <c r="D2" s="22" t="s">
        <v>40</v>
      </c>
      <c r="E2" s="23" t="s">
        <v>41</v>
      </c>
      <c r="F2" s="24">
        <v>10</v>
      </c>
      <c r="G2" s="25">
        <v>273</v>
      </c>
      <c r="H2" s="26">
        <f t="shared" ref="H2:H44" si="0">G2*F2</f>
        <v>2730</v>
      </c>
      <c r="I2" s="27" t="s">
        <v>42</v>
      </c>
      <c r="J2" s="28" t="s">
        <v>43</v>
      </c>
      <c r="K2" s="29">
        <v>43836</v>
      </c>
      <c r="L2" s="29"/>
      <c r="M2" s="30">
        <v>43819</v>
      </c>
      <c r="N2" s="31" t="s">
        <v>44</v>
      </c>
      <c r="O2" s="32" t="s">
        <v>45</v>
      </c>
      <c r="P2" s="33"/>
      <c r="Q2" s="33">
        <v>2100</v>
      </c>
      <c r="R2" s="33"/>
      <c r="S2" s="33"/>
      <c r="T2" s="34"/>
      <c r="U2" s="34"/>
      <c r="V2" s="35" t="s">
        <v>46</v>
      </c>
      <c r="W2" s="36"/>
      <c r="X2" s="37"/>
      <c r="Y2" s="37"/>
      <c r="Z2" s="37"/>
      <c r="AA2" s="37"/>
      <c r="AB2" s="37" t="s">
        <v>47</v>
      </c>
      <c r="AC2" s="37" t="s">
        <v>48</v>
      </c>
      <c r="AD2" s="37">
        <v>30.04</v>
      </c>
      <c r="AE2" s="37"/>
      <c r="AF2" s="37"/>
      <c r="AG2" s="24"/>
      <c r="AH2" s="24"/>
      <c r="AI2" s="38"/>
      <c r="AJ2" s="39">
        <v>43852</v>
      </c>
      <c r="AK2" s="38">
        <f>8493.32*29.93</f>
        <v>254205.06759999998</v>
      </c>
      <c r="AL2" s="38">
        <f>(8500-8493.32)*29.93</f>
        <v>199.9324000000087</v>
      </c>
      <c r="AM2" s="24" t="s">
        <v>49</v>
      </c>
      <c r="AN2" s="24" t="s">
        <v>0</v>
      </c>
      <c r="AO2" s="24" t="s">
        <v>50</v>
      </c>
      <c r="AP2" s="24" t="s">
        <v>51</v>
      </c>
      <c r="AQ2" s="40"/>
    </row>
    <row r="3" spans="1:43" ht="45.75" customHeight="1">
      <c r="A3" s="19">
        <v>43523</v>
      </c>
      <c r="B3" s="20" t="s">
        <v>39</v>
      </c>
      <c r="C3" s="21">
        <v>2027739</v>
      </c>
      <c r="D3" s="22" t="s">
        <v>40</v>
      </c>
      <c r="E3" s="23" t="s">
        <v>52</v>
      </c>
      <c r="F3" s="24">
        <v>10</v>
      </c>
      <c r="G3" s="25">
        <v>31</v>
      </c>
      <c r="H3" s="26">
        <f t="shared" si="0"/>
        <v>310</v>
      </c>
      <c r="I3" s="27" t="s">
        <v>42</v>
      </c>
      <c r="J3" s="28" t="s">
        <v>43</v>
      </c>
      <c r="K3" s="29">
        <v>43836</v>
      </c>
      <c r="L3" s="29"/>
      <c r="M3" s="30">
        <v>43825</v>
      </c>
      <c r="N3" s="31" t="s">
        <v>53</v>
      </c>
      <c r="O3" s="32" t="s">
        <v>54</v>
      </c>
      <c r="P3" s="41"/>
      <c r="Q3" s="41">
        <v>226.8</v>
      </c>
      <c r="R3" s="41"/>
      <c r="S3" s="41"/>
      <c r="T3" s="41"/>
      <c r="U3" s="41"/>
      <c r="V3" s="32" t="s">
        <v>55</v>
      </c>
      <c r="W3" s="36"/>
      <c r="X3" s="37"/>
      <c r="Y3" s="37"/>
      <c r="Z3" s="37"/>
      <c r="AA3" s="37"/>
      <c r="AB3" s="37" t="s">
        <v>47</v>
      </c>
      <c r="AC3" s="37" t="s">
        <v>48</v>
      </c>
      <c r="AD3" s="37">
        <v>30.04</v>
      </c>
      <c r="AE3" s="37"/>
      <c r="AF3" s="37"/>
      <c r="AG3" s="24"/>
      <c r="AH3" s="24"/>
      <c r="AI3" s="38"/>
      <c r="AJ3" s="39">
        <v>43852</v>
      </c>
      <c r="AK3" s="38" t="s">
        <v>56</v>
      </c>
      <c r="AL3" s="38" t="s">
        <v>57</v>
      </c>
      <c r="AM3" s="24" t="s">
        <v>49</v>
      </c>
      <c r="AN3" s="24" t="s">
        <v>0</v>
      </c>
      <c r="AO3" s="24" t="s">
        <v>50</v>
      </c>
      <c r="AP3" s="24" t="s">
        <v>51</v>
      </c>
      <c r="AQ3" s="40"/>
    </row>
    <row r="4" spans="1:43" ht="28.5" customHeight="1">
      <c r="A4" s="19">
        <v>43523</v>
      </c>
      <c r="B4" s="20" t="s">
        <v>39</v>
      </c>
      <c r="C4" s="21">
        <v>2027739</v>
      </c>
      <c r="D4" s="22" t="s">
        <v>40</v>
      </c>
      <c r="E4" s="23" t="s">
        <v>58</v>
      </c>
      <c r="F4" s="24">
        <v>10</v>
      </c>
      <c r="G4" s="25">
        <v>4</v>
      </c>
      <c r="H4" s="26">
        <f t="shared" si="0"/>
        <v>40</v>
      </c>
      <c r="I4" s="27" t="s">
        <v>42</v>
      </c>
      <c r="J4" s="28" t="s">
        <v>43</v>
      </c>
      <c r="K4" s="29">
        <v>43836</v>
      </c>
      <c r="L4" s="29"/>
      <c r="M4" s="30">
        <v>43825</v>
      </c>
      <c r="N4" s="31" t="s">
        <v>53</v>
      </c>
      <c r="O4" s="32" t="s">
        <v>54</v>
      </c>
      <c r="P4" s="41"/>
      <c r="Q4" s="41">
        <v>21</v>
      </c>
      <c r="R4" s="41"/>
      <c r="S4" s="41"/>
      <c r="T4" s="41"/>
      <c r="U4" s="41"/>
      <c r="V4" s="32" t="s">
        <v>55</v>
      </c>
      <c r="W4" s="36"/>
      <c r="X4" s="37"/>
      <c r="Y4" s="37"/>
      <c r="Z4" s="37"/>
      <c r="AA4" s="37"/>
      <c r="AB4" s="37" t="s">
        <v>47</v>
      </c>
      <c r="AC4" s="37" t="s">
        <v>48</v>
      </c>
      <c r="AD4" s="37">
        <v>30.04</v>
      </c>
      <c r="AE4" s="37"/>
      <c r="AF4" s="37"/>
      <c r="AG4" s="24"/>
      <c r="AH4" s="24"/>
      <c r="AI4" s="38"/>
      <c r="AJ4" s="39">
        <v>43852</v>
      </c>
      <c r="AK4" s="38" t="s">
        <v>56</v>
      </c>
      <c r="AL4" s="38" t="s">
        <v>57</v>
      </c>
      <c r="AM4" s="24" t="s">
        <v>49</v>
      </c>
      <c r="AN4" s="24" t="s">
        <v>0</v>
      </c>
      <c r="AO4" s="24" t="s">
        <v>50</v>
      </c>
      <c r="AP4" s="24" t="s">
        <v>51</v>
      </c>
      <c r="AQ4" s="40"/>
    </row>
    <row r="5" spans="1:43" ht="45" customHeight="1">
      <c r="A5" s="19">
        <v>43523</v>
      </c>
      <c r="B5" s="20" t="s">
        <v>39</v>
      </c>
      <c r="C5" s="21">
        <v>2027739</v>
      </c>
      <c r="D5" s="22" t="s">
        <v>59</v>
      </c>
      <c r="E5" s="23" t="s">
        <v>60</v>
      </c>
      <c r="F5" s="24">
        <v>10</v>
      </c>
      <c r="G5" s="25">
        <v>542</v>
      </c>
      <c r="H5" s="26">
        <f t="shared" si="0"/>
        <v>5420</v>
      </c>
      <c r="I5" s="27" t="s">
        <v>42</v>
      </c>
      <c r="J5" s="28" t="s">
        <v>43</v>
      </c>
      <c r="K5" s="29">
        <v>43836</v>
      </c>
      <c r="L5" s="29"/>
      <c r="M5" s="30">
        <v>43825</v>
      </c>
      <c r="N5" s="31" t="s">
        <v>53</v>
      </c>
      <c r="O5" s="32" t="s">
        <v>54</v>
      </c>
      <c r="P5" s="41"/>
      <c r="Q5" s="41">
        <v>5040</v>
      </c>
      <c r="R5" s="41"/>
      <c r="S5" s="41"/>
      <c r="T5" s="41"/>
      <c r="U5" s="41"/>
      <c r="V5" s="42" t="s">
        <v>55</v>
      </c>
      <c r="W5" s="36"/>
      <c r="X5" s="37"/>
      <c r="Y5" s="37"/>
      <c r="Z5" s="37"/>
      <c r="AA5" s="37"/>
      <c r="AB5" s="37" t="s">
        <v>47</v>
      </c>
      <c r="AC5" s="37" t="s">
        <v>48</v>
      </c>
      <c r="AD5" s="37">
        <v>30.04</v>
      </c>
      <c r="AE5" s="37"/>
      <c r="AF5" s="37"/>
      <c r="AG5" s="24"/>
      <c r="AH5" s="24"/>
      <c r="AI5" s="38"/>
      <c r="AJ5" s="39">
        <v>43852</v>
      </c>
      <c r="AK5" s="38" t="s">
        <v>56</v>
      </c>
      <c r="AL5" s="38" t="s">
        <v>57</v>
      </c>
      <c r="AM5" s="24" t="s">
        <v>49</v>
      </c>
      <c r="AN5" s="24" t="s">
        <v>0</v>
      </c>
      <c r="AO5" s="24" t="s">
        <v>50</v>
      </c>
      <c r="AP5" s="24" t="s">
        <v>51</v>
      </c>
      <c r="AQ5" s="40"/>
    </row>
    <row r="6" spans="1:43" ht="50.25" customHeight="1">
      <c r="A6" s="19">
        <v>43523</v>
      </c>
      <c r="B6" s="20" t="s">
        <v>39</v>
      </c>
      <c r="C6" s="21">
        <v>2027739</v>
      </c>
      <c r="D6" s="22" t="s">
        <v>61</v>
      </c>
      <c r="E6" s="23" t="s">
        <v>41</v>
      </c>
      <c r="F6" s="24">
        <v>5</v>
      </c>
      <c r="G6" s="25">
        <v>273</v>
      </c>
      <c r="H6" s="26">
        <f t="shared" si="0"/>
        <v>1365</v>
      </c>
      <c r="I6" s="27" t="s">
        <v>42</v>
      </c>
      <c r="J6" s="28" t="s">
        <v>43</v>
      </c>
      <c r="K6" s="43">
        <v>43860</v>
      </c>
      <c r="L6" s="43"/>
      <c r="M6" s="44">
        <v>43833</v>
      </c>
      <c r="N6" s="31" t="s">
        <v>44</v>
      </c>
      <c r="O6" s="32" t="s">
        <v>62</v>
      </c>
      <c r="P6" s="33"/>
      <c r="Q6" s="33">
        <v>1050</v>
      </c>
      <c r="R6" s="33"/>
      <c r="S6" s="33"/>
      <c r="T6" s="34"/>
      <c r="U6" s="34">
        <v>32215</v>
      </c>
      <c r="V6" s="35" t="s">
        <v>46</v>
      </c>
      <c r="W6" s="45">
        <v>43786</v>
      </c>
      <c r="X6" s="46">
        <v>43756</v>
      </c>
      <c r="Y6" s="37" t="s">
        <v>63</v>
      </c>
      <c r="Z6" s="37" t="s">
        <v>64</v>
      </c>
      <c r="AA6" s="37"/>
      <c r="AB6" s="37"/>
      <c r="AC6" s="37"/>
      <c r="AD6" s="37"/>
      <c r="AE6" s="37"/>
      <c r="AF6" s="37"/>
      <c r="AG6" s="24"/>
      <c r="AH6" s="24"/>
      <c r="AI6" s="38"/>
      <c r="AJ6" s="39">
        <v>43875</v>
      </c>
      <c r="AK6" s="38">
        <f>4243.32*29.941</f>
        <v>127049.24411999999</v>
      </c>
      <c r="AL6" s="38">
        <f>6.68*29.941</f>
        <v>200.00587999999999</v>
      </c>
      <c r="AM6" s="24" t="s">
        <v>49</v>
      </c>
      <c r="AN6" s="24" t="s">
        <v>0</v>
      </c>
      <c r="AO6" s="24" t="s">
        <v>50</v>
      </c>
      <c r="AP6" s="24" t="s">
        <v>51</v>
      </c>
      <c r="AQ6" s="40"/>
    </row>
    <row r="7" spans="1:43" ht="39" customHeight="1">
      <c r="A7" s="19">
        <v>43523</v>
      </c>
      <c r="B7" s="20" t="s">
        <v>39</v>
      </c>
      <c r="C7" s="21">
        <v>2027739</v>
      </c>
      <c r="D7" s="22" t="s">
        <v>61</v>
      </c>
      <c r="E7" s="23" t="s">
        <v>52</v>
      </c>
      <c r="F7" s="24">
        <v>5</v>
      </c>
      <c r="G7" s="25">
        <v>31</v>
      </c>
      <c r="H7" s="47">
        <f t="shared" si="0"/>
        <v>155</v>
      </c>
      <c r="I7" s="27" t="s">
        <v>42</v>
      </c>
      <c r="J7" s="28" t="s">
        <v>43</v>
      </c>
      <c r="K7" s="43">
        <v>43860</v>
      </c>
      <c r="L7" s="43"/>
      <c r="M7" s="44">
        <v>43843</v>
      </c>
      <c r="N7" s="31" t="s">
        <v>53</v>
      </c>
      <c r="O7" s="32" t="s">
        <v>65</v>
      </c>
      <c r="P7" s="41"/>
      <c r="Q7" s="41">
        <v>113.4</v>
      </c>
      <c r="R7" s="41"/>
      <c r="S7" s="41"/>
      <c r="T7" s="41"/>
      <c r="U7" s="41"/>
      <c r="V7" s="32" t="s">
        <v>55</v>
      </c>
      <c r="W7" s="36"/>
      <c r="X7" s="37"/>
      <c r="Y7" s="37"/>
      <c r="Z7" s="37"/>
      <c r="AA7" s="37"/>
      <c r="AB7" s="37"/>
      <c r="AC7" s="37"/>
      <c r="AD7" s="37"/>
      <c r="AE7" s="37"/>
      <c r="AF7" s="37"/>
      <c r="AG7" s="24"/>
      <c r="AH7" s="24"/>
      <c r="AI7" s="38"/>
      <c r="AJ7" s="39">
        <v>43875</v>
      </c>
      <c r="AK7" s="38" t="s">
        <v>66</v>
      </c>
      <c r="AL7" s="38" t="s">
        <v>67</v>
      </c>
      <c r="AM7" s="24" t="s">
        <v>49</v>
      </c>
      <c r="AN7" s="24" t="s">
        <v>0</v>
      </c>
      <c r="AO7" s="24" t="s">
        <v>50</v>
      </c>
      <c r="AP7" s="24" t="s">
        <v>51</v>
      </c>
      <c r="AQ7" s="40"/>
    </row>
    <row r="8" spans="1:43" ht="48.75" customHeight="1">
      <c r="A8" s="19">
        <v>43523</v>
      </c>
      <c r="B8" s="20" t="s">
        <v>39</v>
      </c>
      <c r="C8" s="21">
        <v>2027739</v>
      </c>
      <c r="D8" s="22" t="s">
        <v>61</v>
      </c>
      <c r="E8" s="23" t="s">
        <v>58</v>
      </c>
      <c r="F8" s="24">
        <v>5</v>
      </c>
      <c r="G8" s="25">
        <v>4</v>
      </c>
      <c r="H8" s="26">
        <f t="shared" si="0"/>
        <v>20</v>
      </c>
      <c r="I8" s="27" t="s">
        <v>42</v>
      </c>
      <c r="J8" s="28" t="s">
        <v>43</v>
      </c>
      <c r="K8" s="43">
        <v>43860</v>
      </c>
      <c r="L8" s="43"/>
      <c r="M8" s="44">
        <v>43843</v>
      </c>
      <c r="N8" s="31" t="s">
        <v>53</v>
      </c>
      <c r="O8" s="32" t="s">
        <v>65</v>
      </c>
      <c r="P8" s="41"/>
      <c r="Q8" s="41">
        <v>10.5</v>
      </c>
      <c r="R8" s="41"/>
      <c r="S8" s="41"/>
      <c r="T8" s="41"/>
      <c r="U8" s="41"/>
      <c r="V8" s="32" t="s">
        <v>55</v>
      </c>
      <c r="W8" s="36"/>
      <c r="X8" s="37"/>
      <c r="Y8" s="37"/>
      <c r="Z8" s="37"/>
      <c r="AA8" s="37"/>
      <c r="AB8" s="37"/>
      <c r="AC8" s="37"/>
      <c r="AD8" s="37"/>
      <c r="AE8" s="37"/>
      <c r="AF8" s="37"/>
      <c r="AG8" s="24"/>
      <c r="AH8" s="24"/>
      <c r="AI8" s="38"/>
      <c r="AJ8" s="39">
        <v>43875</v>
      </c>
      <c r="AK8" s="38" t="s">
        <v>66</v>
      </c>
      <c r="AL8" s="38" t="s">
        <v>67</v>
      </c>
      <c r="AM8" s="24" t="s">
        <v>49</v>
      </c>
      <c r="AN8" s="24" t="s">
        <v>0</v>
      </c>
      <c r="AO8" s="24" t="s">
        <v>50</v>
      </c>
      <c r="AP8" s="24" t="s">
        <v>51</v>
      </c>
      <c r="AQ8" s="40"/>
    </row>
    <row r="9" spans="1:43" ht="35.25" customHeight="1">
      <c r="A9" s="19">
        <v>43523</v>
      </c>
      <c r="B9" s="22" t="s">
        <v>39</v>
      </c>
      <c r="C9" s="21">
        <v>2027739</v>
      </c>
      <c r="D9" s="22" t="s">
        <v>68</v>
      </c>
      <c r="E9" s="23" t="s">
        <v>60</v>
      </c>
      <c r="F9" s="24">
        <v>5</v>
      </c>
      <c r="G9" s="25">
        <v>542</v>
      </c>
      <c r="H9" s="26">
        <f t="shared" si="0"/>
        <v>2710</v>
      </c>
      <c r="I9" s="27" t="s">
        <v>42</v>
      </c>
      <c r="J9" s="28" t="s">
        <v>43</v>
      </c>
      <c r="K9" s="43">
        <v>43860</v>
      </c>
      <c r="L9" s="43"/>
      <c r="M9" s="44">
        <v>43843</v>
      </c>
      <c r="N9" s="31" t="s">
        <v>53</v>
      </c>
      <c r="O9" s="32" t="s">
        <v>65</v>
      </c>
      <c r="P9" s="41"/>
      <c r="Q9" s="41">
        <v>2520</v>
      </c>
      <c r="R9" s="41"/>
      <c r="S9" s="41"/>
      <c r="T9" s="41"/>
      <c r="U9" s="41"/>
      <c r="V9" s="42" t="s">
        <v>55</v>
      </c>
      <c r="W9" s="36"/>
      <c r="X9" s="37"/>
      <c r="Y9" s="37"/>
      <c r="Z9" s="37"/>
      <c r="AA9" s="37"/>
      <c r="AB9" s="37"/>
      <c r="AC9" s="37"/>
      <c r="AD9" s="37"/>
      <c r="AE9" s="37"/>
      <c r="AF9" s="37"/>
      <c r="AG9" s="24"/>
      <c r="AH9" s="24"/>
      <c r="AI9" s="38"/>
      <c r="AJ9" s="39">
        <v>43875</v>
      </c>
      <c r="AK9" s="38" t="s">
        <v>66</v>
      </c>
      <c r="AL9" s="38" t="s">
        <v>67</v>
      </c>
      <c r="AM9" s="24" t="s">
        <v>49</v>
      </c>
      <c r="AN9" s="24" t="s">
        <v>0</v>
      </c>
      <c r="AO9" s="24" t="s">
        <v>50</v>
      </c>
      <c r="AP9" s="24" t="s">
        <v>51</v>
      </c>
      <c r="AQ9" s="40"/>
    </row>
    <row r="10" spans="1:43" ht="49.5" customHeight="1">
      <c r="A10" s="19">
        <v>43663</v>
      </c>
      <c r="B10" s="20" t="s">
        <v>39</v>
      </c>
      <c r="C10" s="21">
        <v>2029844</v>
      </c>
      <c r="D10" s="22" t="s">
        <v>69</v>
      </c>
      <c r="E10" s="23" t="s">
        <v>41</v>
      </c>
      <c r="F10" s="24">
        <v>63</v>
      </c>
      <c r="G10" s="48">
        <v>273</v>
      </c>
      <c r="H10" s="47">
        <f t="shared" si="0"/>
        <v>17199</v>
      </c>
      <c r="I10" s="27" t="s">
        <v>42</v>
      </c>
      <c r="J10" s="49" t="s">
        <v>70</v>
      </c>
      <c r="K10" s="43">
        <v>43860</v>
      </c>
      <c r="L10" s="43"/>
      <c r="M10" s="30">
        <v>43832</v>
      </c>
      <c r="N10" s="50" t="s">
        <v>44</v>
      </c>
      <c r="O10" s="32" t="s">
        <v>71</v>
      </c>
      <c r="P10" s="34">
        <v>200</v>
      </c>
      <c r="Q10" s="34">
        <f>(P10*F10)*1.05</f>
        <v>13230</v>
      </c>
      <c r="R10" s="34"/>
      <c r="S10" s="34"/>
      <c r="T10" s="34"/>
      <c r="U10" s="34">
        <f>(T10*F10)*1.05</f>
        <v>0</v>
      </c>
      <c r="V10" s="51" t="s">
        <v>46</v>
      </c>
      <c r="W10" s="52"/>
      <c r="X10" s="53"/>
      <c r="Y10" s="53"/>
      <c r="Z10" s="53"/>
      <c r="AA10" s="53"/>
      <c r="AB10" s="53"/>
      <c r="AC10" s="53"/>
      <c r="AD10" s="53"/>
      <c r="AE10" s="53"/>
      <c r="AF10" s="53"/>
      <c r="AG10" s="54"/>
      <c r="AH10" s="54"/>
      <c r="AI10" s="55"/>
      <c r="AJ10" s="56">
        <v>43868</v>
      </c>
      <c r="AK10" s="55">
        <f>52893.55*30.052</f>
        <v>1589556.9646000001</v>
      </c>
      <c r="AL10" s="55">
        <f>26.45*30.052</f>
        <v>794.87540000000001</v>
      </c>
      <c r="AM10" s="54" t="s">
        <v>49</v>
      </c>
      <c r="AN10" s="54"/>
      <c r="AO10" s="54" t="s">
        <v>50</v>
      </c>
      <c r="AP10" s="54" t="s">
        <v>51</v>
      </c>
      <c r="AQ10" s="57"/>
    </row>
    <row r="11" spans="1:43" ht="15.75" customHeight="1">
      <c r="A11" s="19">
        <v>43663</v>
      </c>
      <c r="B11" s="20" t="s">
        <v>39</v>
      </c>
      <c r="C11" s="21">
        <v>2029844</v>
      </c>
      <c r="D11" s="22" t="s">
        <v>69</v>
      </c>
      <c r="E11" s="23" t="s">
        <v>52</v>
      </c>
      <c r="F11" s="24">
        <v>63</v>
      </c>
      <c r="G11" s="48">
        <v>31</v>
      </c>
      <c r="H11" s="26">
        <f t="shared" si="0"/>
        <v>1953</v>
      </c>
      <c r="I11" s="27" t="s">
        <v>42</v>
      </c>
      <c r="J11" s="49" t="s">
        <v>70</v>
      </c>
      <c r="K11" s="43">
        <v>43860</v>
      </c>
      <c r="L11" s="43"/>
      <c r="M11" s="44">
        <v>43844</v>
      </c>
      <c r="N11" s="58" t="s">
        <v>53</v>
      </c>
      <c r="O11" s="32" t="s">
        <v>72</v>
      </c>
      <c r="P11" s="34">
        <v>28</v>
      </c>
      <c r="Q11" s="34">
        <f>(P11*F11)*1.05</f>
        <v>1852.2</v>
      </c>
      <c r="R11" s="34"/>
      <c r="S11" s="34"/>
      <c r="T11" s="34"/>
      <c r="U11" s="34">
        <f>(T11*F11)*1.05</f>
        <v>0</v>
      </c>
      <c r="V11" s="23" t="s">
        <v>55</v>
      </c>
      <c r="W11" s="52"/>
      <c r="X11" s="53"/>
      <c r="Y11" s="53"/>
      <c r="Z11" s="53"/>
      <c r="AA11" s="53"/>
      <c r="AB11" s="53"/>
      <c r="AC11" s="53"/>
      <c r="AD11" s="53"/>
      <c r="AE11" s="53"/>
      <c r="AF11" s="53"/>
      <c r="AG11" s="54"/>
      <c r="AH11" s="54"/>
      <c r="AI11" s="55"/>
      <c r="AJ11" s="56">
        <v>43868</v>
      </c>
      <c r="AK11" s="55" t="s">
        <v>73</v>
      </c>
      <c r="AL11" s="55" t="s">
        <v>74</v>
      </c>
      <c r="AM11" s="54" t="s">
        <v>49</v>
      </c>
      <c r="AN11" s="54"/>
      <c r="AO11" s="54" t="s">
        <v>50</v>
      </c>
      <c r="AP11" s="54" t="s">
        <v>51</v>
      </c>
      <c r="AQ11" s="57"/>
    </row>
    <row r="12" spans="1:43" ht="15.75" customHeight="1">
      <c r="A12" s="19">
        <v>43663</v>
      </c>
      <c r="B12" s="20" t="s">
        <v>39</v>
      </c>
      <c r="C12" s="21">
        <v>2029844</v>
      </c>
      <c r="D12" s="22" t="s">
        <v>69</v>
      </c>
      <c r="E12" s="23" t="s">
        <v>58</v>
      </c>
      <c r="F12" s="24">
        <v>63</v>
      </c>
      <c r="G12" s="25">
        <v>4</v>
      </c>
      <c r="H12" s="26">
        <f t="shared" si="0"/>
        <v>252</v>
      </c>
      <c r="I12" s="27" t="s">
        <v>42</v>
      </c>
      <c r="J12" s="49" t="s">
        <v>70</v>
      </c>
      <c r="K12" s="43">
        <v>43860</v>
      </c>
      <c r="L12" s="43"/>
      <c r="M12" s="44">
        <v>43844</v>
      </c>
      <c r="N12" s="58" t="s">
        <v>53</v>
      </c>
      <c r="O12" s="32" t="s">
        <v>72</v>
      </c>
      <c r="P12" s="34">
        <v>2.5</v>
      </c>
      <c r="Q12" s="34">
        <f>(P12*F12)*1.05</f>
        <v>165.375</v>
      </c>
      <c r="R12" s="34"/>
      <c r="S12" s="34"/>
      <c r="T12" s="34"/>
      <c r="U12" s="34">
        <f>(T12*F12)*1.05</f>
        <v>0</v>
      </c>
      <c r="V12" s="23" t="s">
        <v>55</v>
      </c>
      <c r="W12" s="52"/>
      <c r="X12" s="53"/>
      <c r="Y12" s="53"/>
      <c r="Z12" s="53"/>
      <c r="AA12" s="53"/>
      <c r="AB12" s="53"/>
      <c r="AC12" s="53"/>
      <c r="AD12" s="53"/>
      <c r="AE12" s="53"/>
      <c r="AF12" s="53"/>
      <c r="AG12" s="54"/>
      <c r="AH12" s="54"/>
      <c r="AI12" s="55"/>
      <c r="AJ12" s="56">
        <v>43868</v>
      </c>
      <c r="AK12" s="55" t="s">
        <v>73</v>
      </c>
      <c r="AL12" s="55" t="s">
        <v>74</v>
      </c>
      <c r="AM12" s="54" t="s">
        <v>49</v>
      </c>
      <c r="AN12" s="54"/>
      <c r="AO12" s="54" t="s">
        <v>50</v>
      </c>
      <c r="AP12" s="54" t="s">
        <v>51</v>
      </c>
      <c r="AQ12" s="57"/>
    </row>
    <row r="13" spans="1:43" ht="15.75" customHeight="1">
      <c r="A13" s="19">
        <v>43663</v>
      </c>
      <c r="B13" s="20" t="s">
        <v>39</v>
      </c>
      <c r="C13" s="21">
        <v>2029844</v>
      </c>
      <c r="D13" s="22" t="s">
        <v>75</v>
      </c>
      <c r="E13" s="23" t="s">
        <v>60</v>
      </c>
      <c r="F13" s="24">
        <v>63</v>
      </c>
      <c r="G13" s="25">
        <v>532</v>
      </c>
      <c r="H13" s="26">
        <f t="shared" si="0"/>
        <v>33516</v>
      </c>
      <c r="I13" s="27" t="s">
        <v>42</v>
      </c>
      <c r="J13" s="49" t="s">
        <v>70</v>
      </c>
      <c r="K13" s="43">
        <v>43860</v>
      </c>
      <c r="L13" s="43"/>
      <c r="M13" s="44">
        <v>43844</v>
      </c>
      <c r="N13" s="58" t="s">
        <v>53</v>
      </c>
      <c r="O13" s="32" t="s">
        <v>72</v>
      </c>
      <c r="P13" s="34">
        <v>468</v>
      </c>
      <c r="Q13" s="34">
        <f>(P13*F13)*1.05</f>
        <v>30958.2</v>
      </c>
      <c r="R13" s="34"/>
      <c r="S13" s="34"/>
      <c r="T13" s="34"/>
      <c r="U13" s="34">
        <f>(T13*F13)*1.05</f>
        <v>0</v>
      </c>
      <c r="V13" s="23" t="s">
        <v>55</v>
      </c>
      <c r="W13" s="52"/>
      <c r="X13" s="53"/>
      <c r="Y13" s="53"/>
      <c r="Z13" s="53"/>
      <c r="AA13" s="53"/>
      <c r="AB13" s="53"/>
      <c r="AC13" s="53"/>
      <c r="AD13" s="53"/>
      <c r="AE13" s="53"/>
      <c r="AF13" s="53"/>
      <c r="AG13" s="54"/>
      <c r="AH13" s="54"/>
      <c r="AI13" s="55"/>
      <c r="AJ13" s="56">
        <v>43868</v>
      </c>
      <c r="AK13" s="55" t="s">
        <v>73</v>
      </c>
      <c r="AL13" s="55" t="s">
        <v>74</v>
      </c>
      <c r="AM13" s="54" t="s">
        <v>49</v>
      </c>
      <c r="AN13" s="54"/>
      <c r="AO13" s="54" t="s">
        <v>50</v>
      </c>
      <c r="AP13" s="54" t="s">
        <v>51</v>
      </c>
      <c r="AQ13" s="57"/>
    </row>
    <row r="14" spans="1:43" ht="15.75" customHeight="1">
      <c r="A14" s="19">
        <v>43752</v>
      </c>
      <c r="B14" s="51" t="s">
        <v>76</v>
      </c>
      <c r="C14" s="21">
        <v>745</v>
      </c>
      <c r="D14" s="59" t="s">
        <v>77</v>
      </c>
      <c r="E14" s="22" t="s">
        <v>78</v>
      </c>
      <c r="F14" s="24">
        <v>100</v>
      </c>
      <c r="G14" s="48">
        <v>28</v>
      </c>
      <c r="H14" s="60">
        <f t="shared" si="0"/>
        <v>2800</v>
      </c>
      <c r="I14" s="61" t="s">
        <v>42</v>
      </c>
      <c r="J14" s="62" t="s">
        <v>79</v>
      </c>
      <c r="K14" s="44">
        <v>43844</v>
      </c>
      <c r="L14" s="44"/>
      <c r="M14" s="44">
        <v>43840</v>
      </c>
      <c r="N14" s="63" t="s">
        <v>80</v>
      </c>
      <c r="O14" s="64" t="s">
        <v>81</v>
      </c>
      <c r="P14" s="34"/>
      <c r="Q14" s="34"/>
      <c r="R14" s="34"/>
      <c r="S14" s="34"/>
      <c r="T14" s="34">
        <v>761</v>
      </c>
      <c r="U14" s="65">
        <f>(T14*F14)*1.05</f>
        <v>79905</v>
      </c>
      <c r="V14" s="66"/>
      <c r="W14" s="52"/>
      <c r="X14" s="53"/>
      <c r="Y14" s="53"/>
      <c r="Z14" s="53"/>
      <c r="AA14" s="53"/>
      <c r="AB14" s="53"/>
      <c r="AC14" s="53"/>
      <c r="AD14" s="67"/>
      <c r="AE14" s="53"/>
      <c r="AF14" s="53"/>
      <c r="AG14" s="54"/>
      <c r="AH14" s="53"/>
      <c r="AI14" s="55"/>
      <c r="AJ14" s="68"/>
      <c r="AK14" s="55"/>
      <c r="AL14" s="55"/>
      <c r="AM14" s="55" t="s">
        <v>49</v>
      </c>
      <c r="AN14" s="54"/>
      <c r="AO14" s="54"/>
      <c r="AP14" s="54"/>
      <c r="AQ14" s="57"/>
    </row>
    <row r="15" spans="1:43" ht="15.75" customHeight="1">
      <c r="A15" s="69">
        <v>43768</v>
      </c>
      <c r="B15" s="70" t="s">
        <v>82</v>
      </c>
      <c r="C15" s="21" t="s">
        <v>83</v>
      </c>
      <c r="D15" s="71" t="s">
        <v>84</v>
      </c>
      <c r="E15" s="32" t="s">
        <v>85</v>
      </c>
      <c r="F15" s="24">
        <v>4</v>
      </c>
      <c r="G15" s="48">
        <v>90</v>
      </c>
      <c r="H15" s="60">
        <f t="shared" si="0"/>
        <v>360</v>
      </c>
      <c r="I15" s="61" t="s">
        <v>86</v>
      </c>
      <c r="J15" s="28" t="s">
        <v>87</v>
      </c>
      <c r="K15" s="49" t="s">
        <v>88</v>
      </c>
      <c r="L15" s="49"/>
      <c r="M15" s="44">
        <v>43863</v>
      </c>
      <c r="N15" s="63" t="s">
        <v>89</v>
      </c>
      <c r="O15" s="32" t="s">
        <v>90</v>
      </c>
      <c r="P15" s="52" t="s">
        <v>91</v>
      </c>
      <c r="Q15" s="52" t="s">
        <v>92</v>
      </c>
      <c r="R15" s="52"/>
      <c r="S15" s="52"/>
      <c r="T15" s="34"/>
      <c r="U15" s="34">
        <f>(T15*F16)*1.05</f>
        <v>0</v>
      </c>
      <c r="V15" s="51" t="s">
        <v>93</v>
      </c>
      <c r="W15" s="52"/>
      <c r="X15" s="53"/>
      <c r="Y15" s="53"/>
      <c r="Z15" s="53"/>
      <c r="AA15" s="53"/>
      <c r="AB15" s="53"/>
      <c r="AC15" s="53"/>
      <c r="AD15" s="67"/>
      <c r="AE15" s="53"/>
      <c r="AF15" s="53"/>
      <c r="AG15" s="54"/>
      <c r="AH15" s="53"/>
      <c r="AI15" s="55"/>
      <c r="AJ15" s="56">
        <v>43776</v>
      </c>
      <c r="AK15" s="55" t="s">
        <v>94</v>
      </c>
      <c r="AL15" s="55" t="s">
        <v>95</v>
      </c>
      <c r="AM15" s="54" t="s">
        <v>49</v>
      </c>
      <c r="AN15" s="54"/>
      <c r="AO15" s="54"/>
      <c r="AP15" s="54"/>
      <c r="AQ15" s="57"/>
    </row>
    <row r="16" spans="1:43" ht="15.75" customHeight="1">
      <c r="A16" s="69">
        <v>43768</v>
      </c>
      <c r="B16" s="70" t="s">
        <v>82</v>
      </c>
      <c r="C16" s="21" t="s">
        <v>83</v>
      </c>
      <c r="D16" s="71" t="s">
        <v>84</v>
      </c>
      <c r="E16" s="32" t="s">
        <v>96</v>
      </c>
      <c r="F16" s="24">
        <v>4</v>
      </c>
      <c r="G16" s="48">
        <v>15</v>
      </c>
      <c r="H16" s="60">
        <f t="shared" si="0"/>
        <v>60</v>
      </c>
      <c r="I16" s="61" t="s">
        <v>86</v>
      </c>
      <c r="J16" s="28" t="s">
        <v>87</v>
      </c>
      <c r="K16" s="49" t="s">
        <v>88</v>
      </c>
      <c r="L16" s="49"/>
      <c r="M16" s="44">
        <v>43863</v>
      </c>
      <c r="N16" s="63" t="s">
        <v>89</v>
      </c>
      <c r="O16" s="32" t="s">
        <v>90</v>
      </c>
      <c r="P16" s="34">
        <v>11.5</v>
      </c>
      <c r="Q16" s="34">
        <f>(P16*F16)*1.05</f>
        <v>48.300000000000004</v>
      </c>
      <c r="R16" s="34"/>
      <c r="S16" s="34"/>
      <c r="T16" s="34"/>
      <c r="U16" s="34">
        <f>(T16*F17)*1.05</f>
        <v>0</v>
      </c>
      <c r="V16" s="51" t="s">
        <v>93</v>
      </c>
      <c r="W16" s="52"/>
      <c r="X16" s="53"/>
      <c r="Y16" s="53"/>
      <c r="Z16" s="53"/>
      <c r="AA16" s="53"/>
      <c r="AB16" s="53"/>
      <c r="AC16" s="53"/>
      <c r="AD16" s="67"/>
      <c r="AE16" s="53"/>
      <c r="AF16" s="53"/>
      <c r="AG16" s="54"/>
      <c r="AH16" s="53"/>
      <c r="AI16" s="55"/>
      <c r="AJ16" s="56">
        <v>43776</v>
      </c>
      <c r="AK16" s="55" t="s">
        <v>94</v>
      </c>
      <c r="AL16" s="55" t="s">
        <v>95</v>
      </c>
      <c r="AM16" s="54" t="s">
        <v>49</v>
      </c>
      <c r="AN16" s="54"/>
      <c r="AO16" s="54"/>
      <c r="AP16" s="54"/>
      <c r="AQ16" s="57"/>
    </row>
    <row r="17" spans="1:43" ht="15.75" customHeight="1">
      <c r="A17" s="69">
        <v>43768</v>
      </c>
      <c r="B17" s="70" t="s">
        <v>82</v>
      </c>
      <c r="C17" s="21" t="s">
        <v>83</v>
      </c>
      <c r="D17" s="71" t="s">
        <v>84</v>
      </c>
      <c r="E17" s="32" t="s">
        <v>97</v>
      </c>
      <c r="F17" s="24">
        <v>4</v>
      </c>
      <c r="G17" s="48">
        <v>200</v>
      </c>
      <c r="H17" s="60">
        <f t="shared" si="0"/>
        <v>800</v>
      </c>
      <c r="I17" s="61" t="s">
        <v>86</v>
      </c>
      <c r="J17" s="28" t="s">
        <v>87</v>
      </c>
      <c r="K17" s="49" t="s">
        <v>88</v>
      </c>
      <c r="L17" s="49"/>
      <c r="M17" s="44">
        <v>43863</v>
      </c>
      <c r="N17" s="63" t="s">
        <v>89</v>
      </c>
      <c r="O17" s="32" t="s">
        <v>90</v>
      </c>
      <c r="P17" s="34">
        <v>169</v>
      </c>
      <c r="Q17" s="34">
        <f>(P17*F17)*1.05</f>
        <v>709.80000000000007</v>
      </c>
      <c r="R17" s="34"/>
      <c r="S17" s="34"/>
      <c r="T17" s="34"/>
      <c r="U17" s="34">
        <f>(T17*F18)*1.05</f>
        <v>0</v>
      </c>
      <c r="V17" s="51" t="s">
        <v>93</v>
      </c>
      <c r="W17" s="52"/>
      <c r="X17" s="53"/>
      <c r="Y17" s="53"/>
      <c r="Z17" s="53"/>
      <c r="AA17" s="53"/>
      <c r="AB17" s="53"/>
      <c r="AC17" s="53"/>
      <c r="AD17" s="67"/>
      <c r="AE17" s="53"/>
      <c r="AF17" s="53"/>
      <c r="AG17" s="54"/>
      <c r="AH17" s="53"/>
      <c r="AI17" s="55"/>
      <c r="AJ17" s="56">
        <v>43776</v>
      </c>
      <c r="AK17" s="55" t="s">
        <v>94</v>
      </c>
      <c r="AL17" s="55" t="s">
        <v>95</v>
      </c>
      <c r="AM17" s="54" t="s">
        <v>49</v>
      </c>
      <c r="AN17" s="54"/>
      <c r="AO17" s="54"/>
      <c r="AP17" s="54"/>
      <c r="AQ17" s="57"/>
    </row>
    <row r="18" spans="1:43" ht="15.75" customHeight="1">
      <c r="A18" s="69">
        <v>43768</v>
      </c>
      <c r="B18" s="70" t="s">
        <v>82</v>
      </c>
      <c r="C18" s="21" t="s">
        <v>83</v>
      </c>
      <c r="D18" s="72" t="s">
        <v>98</v>
      </c>
      <c r="E18" s="32" t="s">
        <v>99</v>
      </c>
      <c r="F18" s="24">
        <v>4</v>
      </c>
      <c r="G18" s="48">
        <v>1676</v>
      </c>
      <c r="H18" s="60">
        <f t="shared" si="0"/>
        <v>6704</v>
      </c>
      <c r="I18" s="61" t="s">
        <v>86</v>
      </c>
      <c r="J18" s="28" t="s">
        <v>87</v>
      </c>
      <c r="K18" s="49" t="s">
        <v>88</v>
      </c>
      <c r="L18" s="49"/>
      <c r="M18" s="44">
        <v>43863</v>
      </c>
      <c r="N18" s="63" t="s">
        <v>89</v>
      </c>
      <c r="O18" s="32" t="s">
        <v>90</v>
      </c>
      <c r="P18" s="34">
        <v>1481.4</v>
      </c>
      <c r="Q18" s="34">
        <f>(P18*F18)*1.05</f>
        <v>6221.880000000001</v>
      </c>
      <c r="R18" s="34"/>
      <c r="S18" s="34"/>
      <c r="T18" s="34"/>
      <c r="U18" s="34" t="e">
        <f>(T18*#REF!)*1.05</f>
        <v>#REF!</v>
      </c>
      <c r="V18" s="35" t="s">
        <v>93</v>
      </c>
      <c r="W18" s="52"/>
      <c r="X18" s="53"/>
      <c r="Y18" s="53"/>
      <c r="Z18" s="53"/>
      <c r="AA18" s="53"/>
      <c r="AB18" s="53"/>
      <c r="AC18" s="53"/>
      <c r="AD18" s="67"/>
      <c r="AE18" s="53"/>
      <c r="AF18" s="53"/>
      <c r="AG18" s="54"/>
      <c r="AH18" s="53"/>
      <c r="AI18" s="55"/>
      <c r="AJ18" s="56">
        <v>43776</v>
      </c>
      <c r="AK18" s="55">
        <f>7879.41*30.35</f>
        <v>239140.09350000002</v>
      </c>
      <c r="AL18" s="55">
        <f>(7924-7879.41)*30.35</f>
        <v>1353.3065000000045</v>
      </c>
      <c r="AM18" s="54" t="s">
        <v>49</v>
      </c>
      <c r="AN18" s="54"/>
      <c r="AO18" s="54"/>
      <c r="AP18" s="54"/>
      <c r="AQ18" s="57"/>
    </row>
    <row r="19" spans="1:43" ht="15.75" customHeight="1">
      <c r="A19" s="69">
        <v>43770</v>
      </c>
      <c r="B19" s="70" t="s">
        <v>100</v>
      </c>
      <c r="C19" s="21" t="s">
        <v>101</v>
      </c>
      <c r="D19" s="73" t="s">
        <v>102</v>
      </c>
      <c r="E19" s="32" t="s">
        <v>103</v>
      </c>
      <c r="F19" s="24">
        <v>1</v>
      </c>
      <c r="G19" s="74">
        <v>1308</v>
      </c>
      <c r="H19" s="60">
        <f t="shared" si="0"/>
        <v>1308</v>
      </c>
      <c r="I19" s="61" t="s">
        <v>104</v>
      </c>
      <c r="J19" s="63" t="s">
        <v>105</v>
      </c>
      <c r="K19" s="43">
        <v>43843</v>
      </c>
      <c r="L19" s="43"/>
      <c r="M19" s="44">
        <v>43840</v>
      </c>
      <c r="N19" s="63" t="s">
        <v>106</v>
      </c>
      <c r="O19" s="64" t="s">
        <v>107</v>
      </c>
      <c r="P19" s="34"/>
      <c r="Q19" s="34"/>
      <c r="R19" s="34"/>
      <c r="S19" s="34"/>
      <c r="T19" s="34">
        <f t="shared" ref="T19:T25" si="1">(Q19*F19)*1.05</f>
        <v>0</v>
      </c>
      <c r="U19" s="34"/>
      <c r="V19" s="75">
        <f>(U19*F20)*1.05</f>
        <v>0</v>
      </c>
      <c r="W19" s="76"/>
      <c r="X19" s="52"/>
      <c r="Y19" s="53"/>
      <c r="Z19" s="53"/>
      <c r="AA19" s="53"/>
      <c r="AB19" s="53"/>
      <c r="AC19" s="53"/>
      <c r="AD19" s="53"/>
      <c r="AE19" s="67"/>
      <c r="AF19" s="53"/>
      <c r="AG19" s="53"/>
      <c r="AH19" s="54"/>
      <c r="AI19" s="53"/>
      <c r="AJ19" s="56">
        <v>43885</v>
      </c>
      <c r="AK19" s="68"/>
      <c r="AL19" s="55"/>
      <c r="AM19" s="55" t="s">
        <v>49</v>
      </c>
      <c r="AN19" s="54"/>
      <c r="AO19" s="54"/>
      <c r="AP19" s="54"/>
      <c r="AQ19" s="57"/>
    </row>
    <row r="20" spans="1:43" ht="15.75" customHeight="1">
      <c r="A20" s="69">
        <v>43770</v>
      </c>
      <c r="B20" s="70" t="s">
        <v>100</v>
      </c>
      <c r="C20" s="21" t="s">
        <v>101</v>
      </c>
      <c r="D20" s="73" t="s">
        <v>102</v>
      </c>
      <c r="E20" s="32" t="s">
        <v>108</v>
      </c>
      <c r="F20" s="24">
        <v>1</v>
      </c>
      <c r="G20" s="74">
        <v>54</v>
      </c>
      <c r="H20" s="60">
        <f t="shared" si="0"/>
        <v>54</v>
      </c>
      <c r="I20" s="61" t="s">
        <v>104</v>
      </c>
      <c r="J20" s="63" t="s">
        <v>105</v>
      </c>
      <c r="K20" s="43">
        <v>43843</v>
      </c>
      <c r="L20" s="43"/>
      <c r="M20" s="30">
        <v>43783</v>
      </c>
      <c r="N20" s="50" t="s">
        <v>109</v>
      </c>
      <c r="O20" s="64" t="s">
        <v>110</v>
      </c>
      <c r="P20" s="34"/>
      <c r="Q20" s="34"/>
      <c r="R20" s="34"/>
      <c r="S20" s="34"/>
      <c r="T20" s="34">
        <f t="shared" si="1"/>
        <v>0</v>
      </c>
      <c r="U20" s="34">
        <v>1339</v>
      </c>
      <c r="V20" s="75">
        <v>1406</v>
      </c>
      <c r="W20" s="76"/>
      <c r="X20" s="77">
        <v>43804</v>
      </c>
      <c r="Y20" s="78">
        <v>43783</v>
      </c>
      <c r="Z20" s="53" t="s">
        <v>111</v>
      </c>
      <c r="AA20" s="53">
        <v>7506</v>
      </c>
      <c r="AB20" s="53"/>
      <c r="AC20" s="53"/>
      <c r="AD20" s="53"/>
      <c r="AE20" s="67"/>
      <c r="AF20" s="53"/>
      <c r="AG20" s="53"/>
      <c r="AH20" s="54"/>
      <c r="AI20" s="53"/>
      <c r="AJ20" s="56">
        <v>43885</v>
      </c>
      <c r="AK20" s="68"/>
      <c r="AL20" s="55"/>
      <c r="AM20" s="55" t="s">
        <v>49</v>
      </c>
      <c r="AN20" s="54"/>
      <c r="AO20" s="54"/>
      <c r="AP20" s="54"/>
      <c r="AQ20" s="57"/>
    </row>
    <row r="21" spans="1:43" ht="15.75" customHeight="1">
      <c r="A21" s="69">
        <v>43770</v>
      </c>
      <c r="B21" s="70" t="s">
        <v>100</v>
      </c>
      <c r="C21" s="21" t="s">
        <v>101</v>
      </c>
      <c r="D21" s="73" t="s">
        <v>102</v>
      </c>
      <c r="E21" s="32" t="s">
        <v>112</v>
      </c>
      <c r="F21" s="24">
        <v>1</v>
      </c>
      <c r="G21" s="74">
        <v>232</v>
      </c>
      <c r="H21" s="60">
        <f t="shared" si="0"/>
        <v>232</v>
      </c>
      <c r="I21" s="61" t="s">
        <v>104</v>
      </c>
      <c r="J21" s="63" t="s">
        <v>105</v>
      </c>
      <c r="K21" s="43">
        <v>43843</v>
      </c>
      <c r="L21" s="43"/>
      <c r="M21" s="30">
        <v>43783</v>
      </c>
      <c r="N21" s="50" t="s">
        <v>109</v>
      </c>
      <c r="O21" s="64" t="s">
        <v>110</v>
      </c>
      <c r="P21" s="34"/>
      <c r="Q21" s="34"/>
      <c r="R21" s="34"/>
      <c r="S21" s="34"/>
      <c r="T21" s="34">
        <f t="shared" si="1"/>
        <v>0</v>
      </c>
      <c r="U21" s="34">
        <v>5810</v>
      </c>
      <c r="V21" s="75">
        <v>6100</v>
      </c>
      <c r="W21" s="76"/>
      <c r="X21" s="77">
        <v>43804</v>
      </c>
      <c r="Y21" s="78">
        <v>43783</v>
      </c>
      <c r="Z21" s="53" t="s">
        <v>111</v>
      </c>
      <c r="AA21" s="53" t="s">
        <v>113</v>
      </c>
      <c r="AB21" s="53"/>
      <c r="AC21" s="53"/>
      <c r="AD21" s="53"/>
      <c r="AE21" s="67"/>
      <c r="AF21" s="53"/>
      <c r="AG21" s="53"/>
      <c r="AH21" s="54"/>
      <c r="AI21" s="53"/>
      <c r="AJ21" s="56">
        <v>43885</v>
      </c>
      <c r="AK21" s="68"/>
      <c r="AL21" s="55"/>
      <c r="AM21" s="55" t="s">
        <v>49</v>
      </c>
      <c r="AN21" s="54"/>
      <c r="AO21" s="54"/>
      <c r="AP21" s="54"/>
      <c r="AQ21" s="57"/>
    </row>
    <row r="22" spans="1:43" ht="15.75" customHeight="1">
      <c r="A22" s="69">
        <v>43770</v>
      </c>
      <c r="B22" s="70" t="s">
        <v>100</v>
      </c>
      <c r="C22" s="21" t="s">
        <v>101</v>
      </c>
      <c r="D22" s="73" t="s">
        <v>102</v>
      </c>
      <c r="E22" s="32" t="s">
        <v>114</v>
      </c>
      <c r="F22" s="24">
        <v>1</v>
      </c>
      <c r="G22" s="74">
        <v>165</v>
      </c>
      <c r="H22" s="60">
        <f t="shared" si="0"/>
        <v>165</v>
      </c>
      <c r="I22" s="61" t="s">
        <v>104</v>
      </c>
      <c r="J22" s="79" t="s">
        <v>105</v>
      </c>
      <c r="K22" s="43">
        <v>43843</v>
      </c>
      <c r="L22" s="43"/>
      <c r="M22" s="44">
        <v>43840</v>
      </c>
      <c r="N22" s="63" t="s">
        <v>106</v>
      </c>
      <c r="O22" s="64" t="s">
        <v>107</v>
      </c>
      <c r="P22" s="34"/>
      <c r="Q22" s="34"/>
      <c r="R22" s="34"/>
      <c r="S22" s="34"/>
      <c r="T22" s="34">
        <f t="shared" si="1"/>
        <v>0</v>
      </c>
      <c r="U22" s="34"/>
      <c r="V22" s="75">
        <f>(U22*F22)*1.05</f>
        <v>0</v>
      </c>
      <c r="W22" s="76"/>
      <c r="X22" s="52"/>
      <c r="Y22" s="53"/>
      <c r="Z22" s="53"/>
      <c r="AA22" s="53"/>
      <c r="AB22" s="53"/>
      <c r="AC22" s="53"/>
      <c r="AD22" s="53"/>
      <c r="AE22" s="67"/>
      <c r="AF22" s="53"/>
      <c r="AG22" s="53"/>
      <c r="AH22" s="54"/>
      <c r="AI22" s="53"/>
      <c r="AJ22" s="56">
        <v>43885</v>
      </c>
      <c r="AK22" s="68"/>
      <c r="AL22" s="55"/>
      <c r="AM22" s="55" t="s">
        <v>49</v>
      </c>
      <c r="AN22" s="54"/>
      <c r="AO22" s="54"/>
      <c r="AP22" s="54"/>
      <c r="AQ22" s="57"/>
    </row>
    <row r="23" spans="1:43" ht="15.75" customHeight="1">
      <c r="A23" s="69">
        <v>43770</v>
      </c>
      <c r="B23" s="70" t="s">
        <v>100</v>
      </c>
      <c r="C23" s="21" t="s">
        <v>101</v>
      </c>
      <c r="D23" s="73" t="s">
        <v>102</v>
      </c>
      <c r="E23" s="32" t="s">
        <v>115</v>
      </c>
      <c r="F23" s="24">
        <v>1</v>
      </c>
      <c r="G23" s="74">
        <v>70</v>
      </c>
      <c r="H23" s="60">
        <f t="shared" si="0"/>
        <v>70</v>
      </c>
      <c r="I23" s="61" t="s">
        <v>104</v>
      </c>
      <c r="J23" s="79" t="s">
        <v>105</v>
      </c>
      <c r="K23" s="43">
        <v>43843</v>
      </c>
      <c r="L23" s="43"/>
      <c r="M23" s="44">
        <v>43840</v>
      </c>
      <c r="N23" s="63" t="s">
        <v>106</v>
      </c>
      <c r="O23" s="64" t="s">
        <v>107</v>
      </c>
      <c r="P23" s="34"/>
      <c r="Q23" s="34"/>
      <c r="R23" s="34"/>
      <c r="S23" s="34"/>
      <c r="T23" s="34">
        <f t="shared" si="1"/>
        <v>0</v>
      </c>
      <c r="U23" s="34"/>
      <c r="V23" s="34">
        <f>(U23*F24)*1.05</f>
        <v>0</v>
      </c>
      <c r="W23" s="76"/>
      <c r="X23" s="52"/>
      <c r="Y23" s="53"/>
      <c r="Z23" s="53"/>
      <c r="AA23" s="53"/>
      <c r="AB23" s="53"/>
      <c r="AC23" s="53"/>
      <c r="AD23" s="53"/>
      <c r="AE23" s="67"/>
      <c r="AF23" s="53"/>
      <c r="AG23" s="53"/>
      <c r="AH23" s="54"/>
      <c r="AI23" s="53"/>
      <c r="AJ23" s="56">
        <v>43885</v>
      </c>
      <c r="AK23" s="68"/>
      <c r="AL23" s="55"/>
      <c r="AM23" s="55" t="s">
        <v>49</v>
      </c>
      <c r="AN23" s="54"/>
      <c r="AO23" s="54"/>
      <c r="AP23" s="54"/>
      <c r="AQ23" s="57"/>
    </row>
    <row r="24" spans="1:43" ht="15.75" customHeight="1">
      <c r="A24" s="69">
        <v>43770</v>
      </c>
      <c r="B24" s="70" t="s">
        <v>100</v>
      </c>
      <c r="C24" s="21" t="s">
        <v>101</v>
      </c>
      <c r="D24" s="80" t="s">
        <v>102</v>
      </c>
      <c r="E24" s="32" t="s">
        <v>116</v>
      </c>
      <c r="F24" s="24">
        <v>1</v>
      </c>
      <c r="G24" s="74">
        <v>115</v>
      </c>
      <c r="H24" s="60">
        <f t="shared" si="0"/>
        <v>115</v>
      </c>
      <c r="I24" s="61" t="s">
        <v>104</v>
      </c>
      <c r="J24" s="63" t="s">
        <v>105</v>
      </c>
      <c r="K24" s="43">
        <v>43843</v>
      </c>
      <c r="L24" s="43"/>
      <c r="M24" s="44">
        <v>43840</v>
      </c>
      <c r="N24" s="63" t="s">
        <v>106</v>
      </c>
      <c r="O24" s="64" t="s">
        <v>107</v>
      </c>
      <c r="P24" s="34"/>
      <c r="Q24" s="34"/>
      <c r="R24" s="34"/>
      <c r="S24" s="34"/>
      <c r="T24" s="34">
        <f t="shared" si="1"/>
        <v>0</v>
      </c>
      <c r="U24" s="34"/>
      <c r="V24" s="34">
        <f>(U24*F25)*1.05</f>
        <v>0</v>
      </c>
      <c r="W24" s="76"/>
      <c r="X24" s="52"/>
      <c r="Y24" s="53"/>
      <c r="Z24" s="53"/>
      <c r="AA24" s="53"/>
      <c r="AB24" s="53"/>
      <c r="AC24" s="53"/>
      <c r="AD24" s="53"/>
      <c r="AE24" s="67"/>
      <c r="AF24" s="53"/>
      <c r="AG24" s="53"/>
      <c r="AH24" s="54"/>
      <c r="AI24" s="53"/>
      <c r="AJ24" s="56">
        <v>43885</v>
      </c>
      <c r="AK24" s="68"/>
      <c r="AL24" s="55"/>
      <c r="AM24" s="55" t="s">
        <v>49</v>
      </c>
      <c r="AN24" s="54"/>
      <c r="AO24" s="54"/>
      <c r="AP24" s="54"/>
      <c r="AQ24" s="57"/>
    </row>
    <row r="25" spans="1:43" ht="15.75" customHeight="1">
      <c r="A25" s="69">
        <v>43770</v>
      </c>
      <c r="B25" s="70" t="s">
        <v>100</v>
      </c>
      <c r="C25" s="21" t="s">
        <v>101</v>
      </c>
      <c r="D25" s="73" t="s">
        <v>102</v>
      </c>
      <c r="E25" s="32" t="s">
        <v>117</v>
      </c>
      <c r="F25" s="24">
        <v>1</v>
      </c>
      <c r="G25" s="74">
        <v>70</v>
      </c>
      <c r="H25" s="60">
        <f t="shared" si="0"/>
        <v>70</v>
      </c>
      <c r="I25" s="61" t="s">
        <v>104</v>
      </c>
      <c r="J25" s="63" t="s">
        <v>105</v>
      </c>
      <c r="K25" s="43">
        <v>43843</v>
      </c>
      <c r="L25" s="43"/>
      <c r="M25" s="44">
        <v>43840</v>
      </c>
      <c r="N25" s="63" t="s">
        <v>106</v>
      </c>
      <c r="O25" s="64" t="s">
        <v>107</v>
      </c>
      <c r="P25" s="34"/>
      <c r="Q25" s="34"/>
      <c r="R25" s="34"/>
      <c r="S25" s="34"/>
      <c r="T25" s="34">
        <f t="shared" si="1"/>
        <v>0</v>
      </c>
      <c r="U25" s="34"/>
      <c r="V25" s="34" t="e">
        <f>(U25*#REF!)*1.05</f>
        <v>#REF!</v>
      </c>
      <c r="W25" s="76"/>
      <c r="X25" s="52"/>
      <c r="Y25" s="53"/>
      <c r="Z25" s="53"/>
      <c r="AA25" s="53"/>
      <c r="AB25" s="53"/>
      <c r="AC25" s="53"/>
      <c r="AD25" s="53"/>
      <c r="AE25" s="67"/>
      <c r="AF25" s="53"/>
      <c r="AG25" s="53"/>
      <c r="AH25" s="54"/>
      <c r="AI25" s="53"/>
      <c r="AJ25" s="56">
        <v>43885</v>
      </c>
      <c r="AK25" s="68"/>
      <c r="AL25" s="55"/>
      <c r="AM25" s="55" t="s">
        <v>49</v>
      </c>
      <c r="AN25" s="54"/>
      <c r="AO25" s="54"/>
      <c r="AP25" s="54"/>
      <c r="AQ25" s="57"/>
    </row>
    <row r="26" spans="1:43" ht="15.75" customHeight="1">
      <c r="A26" s="69">
        <v>43777</v>
      </c>
      <c r="B26" s="21" t="s">
        <v>118</v>
      </c>
      <c r="C26" s="21">
        <v>1672019</v>
      </c>
      <c r="D26" s="71" t="s">
        <v>119</v>
      </c>
      <c r="E26" s="32" t="s">
        <v>120</v>
      </c>
      <c r="F26" s="24">
        <v>24</v>
      </c>
      <c r="G26" s="48">
        <v>359</v>
      </c>
      <c r="H26" s="81">
        <f t="shared" si="0"/>
        <v>8616</v>
      </c>
      <c r="I26" s="61" t="s">
        <v>86</v>
      </c>
      <c r="J26" s="82" t="s">
        <v>121</v>
      </c>
      <c r="K26" s="83">
        <v>43888</v>
      </c>
      <c r="L26" s="83"/>
      <c r="M26" s="84">
        <v>43826</v>
      </c>
      <c r="N26" s="63" t="s">
        <v>89</v>
      </c>
      <c r="O26" s="32" t="s">
        <v>122</v>
      </c>
      <c r="P26" s="41">
        <v>332</v>
      </c>
      <c r="Q26" s="85">
        <v>332</v>
      </c>
      <c r="R26" s="85"/>
      <c r="S26" s="85"/>
      <c r="T26" s="85">
        <f>(Q26*G26)*1.05</f>
        <v>125147.40000000001</v>
      </c>
      <c r="U26" s="34"/>
      <c r="V26" s="86">
        <f>(U26*F26)*1.05</f>
        <v>0</v>
      </c>
      <c r="W26" s="35" t="s">
        <v>93</v>
      </c>
      <c r="X26" s="53"/>
      <c r="Y26" s="53"/>
      <c r="Z26" s="53"/>
      <c r="AA26" s="53"/>
      <c r="AB26" s="53"/>
      <c r="AC26" s="53"/>
      <c r="AD26" s="67"/>
      <c r="AE26" s="53"/>
      <c r="AF26" s="53"/>
      <c r="AG26" s="54"/>
      <c r="AH26" s="53"/>
      <c r="AI26" s="55"/>
      <c r="AJ26" s="68"/>
      <c r="AK26" s="55"/>
      <c r="AL26" s="55"/>
      <c r="AM26" s="54"/>
      <c r="AN26" s="54"/>
      <c r="AO26" s="54"/>
      <c r="AP26" s="54"/>
      <c r="AQ26" s="57"/>
    </row>
    <row r="27" spans="1:43" ht="15.75" customHeight="1">
      <c r="A27" s="19">
        <v>43781</v>
      </c>
      <c r="B27" s="22" t="s">
        <v>39</v>
      </c>
      <c r="C27" s="22" t="s">
        <v>123</v>
      </c>
      <c r="D27" s="59" t="s">
        <v>124</v>
      </c>
      <c r="E27" s="35" t="s">
        <v>125</v>
      </c>
      <c r="F27" s="24">
        <v>25</v>
      </c>
      <c r="G27" s="48">
        <v>634</v>
      </c>
      <c r="H27" s="26">
        <f t="shared" si="0"/>
        <v>15850</v>
      </c>
      <c r="I27" s="61" t="s">
        <v>42</v>
      </c>
      <c r="J27" s="87" t="s">
        <v>70</v>
      </c>
      <c r="K27" s="43">
        <v>43879</v>
      </c>
      <c r="L27" s="43"/>
      <c r="M27" s="88">
        <v>43875</v>
      </c>
      <c r="N27" s="24" t="s">
        <v>126</v>
      </c>
      <c r="O27" s="64" t="s">
        <v>127</v>
      </c>
      <c r="P27" s="76"/>
      <c r="Q27" s="76"/>
      <c r="R27" s="76"/>
      <c r="S27" s="76"/>
      <c r="T27" s="86">
        <f>(Q27*F27)*1.05</f>
        <v>0</v>
      </c>
      <c r="U27" s="89"/>
      <c r="V27" s="52">
        <f>(U27*F28)*1.05</f>
        <v>0</v>
      </c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89"/>
      <c r="AJ27" s="89"/>
      <c r="AK27" s="90"/>
      <c r="AL27" s="89"/>
      <c r="AM27" s="55" t="s">
        <v>49</v>
      </c>
      <c r="AN27" s="76"/>
      <c r="AO27" s="76"/>
      <c r="AP27" s="76"/>
      <c r="AQ27" s="91"/>
    </row>
    <row r="28" spans="1:43" ht="15.75" customHeight="1">
      <c r="A28" s="19">
        <v>43781</v>
      </c>
      <c r="B28" s="22" t="s">
        <v>39</v>
      </c>
      <c r="C28" s="22" t="s">
        <v>123</v>
      </c>
      <c r="D28" s="59" t="s">
        <v>124</v>
      </c>
      <c r="E28" s="35" t="s">
        <v>128</v>
      </c>
      <c r="F28" s="24">
        <v>75</v>
      </c>
      <c r="G28" s="48">
        <v>250</v>
      </c>
      <c r="H28" s="26">
        <f t="shared" si="0"/>
        <v>18750</v>
      </c>
      <c r="I28" s="61" t="s">
        <v>42</v>
      </c>
      <c r="J28" s="49" t="s">
        <v>70</v>
      </c>
      <c r="K28" s="87" t="s">
        <v>70</v>
      </c>
      <c r="L28" s="87"/>
      <c r="M28" s="88">
        <v>43875</v>
      </c>
      <c r="N28" s="24" t="s">
        <v>126</v>
      </c>
      <c r="O28" s="64" t="s">
        <v>127</v>
      </c>
      <c r="P28" s="76"/>
      <c r="Q28" s="76"/>
      <c r="R28" s="76"/>
      <c r="S28" s="76"/>
      <c r="T28" s="86">
        <f>(Q28*F28)*1.05</f>
        <v>0</v>
      </c>
      <c r="U28" s="89"/>
      <c r="V28" s="52">
        <f>(U28*F29)*1.05</f>
        <v>0</v>
      </c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89"/>
      <c r="AJ28" s="89"/>
      <c r="AK28" s="90"/>
      <c r="AL28" s="89"/>
      <c r="AM28" s="55" t="s">
        <v>49</v>
      </c>
      <c r="AN28" s="76"/>
      <c r="AO28" s="76"/>
      <c r="AP28" s="76"/>
      <c r="AQ28" s="91"/>
    </row>
    <row r="29" spans="1:43" ht="15.75" customHeight="1">
      <c r="A29" s="69">
        <v>43788</v>
      </c>
      <c r="B29" s="21" t="s">
        <v>129</v>
      </c>
      <c r="C29" s="92" t="s">
        <v>130</v>
      </c>
      <c r="D29" s="71" t="s">
        <v>131</v>
      </c>
      <c r="E29" s="32" t="s">
        <v>132</v>
      </c>
      <c r="F29" s="24">
        <v>16</v>
      </c>
      <c r="G29" s="48">
        <v>103</v>
      </c>
      <c r="H29" s="60">
        <f t="shared" si="0"/>
        <v>1648</v>
      </c>
      <c r="I29" s="61" t="s">
        <v>86</v>
      </c>
      <c r="J29" s="63" t="s">
        <v>133</v>
      </c>
      <c r="K29" s="84">
        <v>43832</v>
      </c>
      <c r="L29" s="84"/>
      <c r="M29" s="30">
        <v>43826</v>
      </c>
      <c r="N29" s="63" t="s">
        <v>89</v>
      </c>
      <c r="O29" s="93" t="s">
        <v>134</v>
      </c>
      <c r="P29" s="34">
        <v>96</v>
      </c>
      <c r="Q29" s="34">
        <f>(P29*F29)*1.05</f>
        <v>1612.8000000000002</v>
      </c>
      <c r="R29" s="34"/>
      <c r="S29" s="34"/>
      <c r="T29" s="65"/>
      <c r="U29" s="65">
        <f>(T29*F29)*1.05</f>
        <v>0</v>
      </c>
      <c r="V29" s="35" t="s">
        <v>93</v>
      </c>
      <c r="W29" s="52"/>
      <c r="X29" s="53"/>
      <c r="Y29" s="53"/>
      <c r="Z29" s="53"/>
      <c r="AA29" s="53"/>
      <c r="AB29" s="53" t="s">
        <v>135</v>
      </c>
      <c r="AC29" s="53">
        <v>3413145842</v>
      </c>
      <c r="AD29" s="53">
        <v>30.04</v>
      </c>
      <c r="AE29" s="53"/>
      <c r="AF29" s="53"/>
      <c r="AG29" s="54"/>
      <c r="AH29" s="54"/>
      <c r="AI29" s="55"/>
      <c r="AJ29" s="56">
        <v>43860</v>
      </c>
      <c r="AK29" s="55">
        <f>2095.38*30.213</f>
        <v>63307.715940000002</v>
      </c>
      <c r="AL29" s="55">
        <f>(2112-2095.38)*30.213</f>
        <v>502.14005999999671</v>
      </c>
      <c r="AM29" s="54" t="s">
        <v>49</v>
      </c>
      <c r="AN29" s="54"/>
      <c r="AO29" s="54"/>
      <c r="AP29" s="54"/>
      <c r="AQ29" s="57"/>
    </row>
    <row r="30" spans="1:43" ht="15.75" customHeight="1">
      <c r="A30" s="69">
        <v>43788</v>
      </c>
      <c r="B30" s="21" t="s">
        <v>129</v>
      </c>
      <c r="C30" s="92" t="s">
        <v>130</v>
      </c>
      <c r="D30" s="71" t="s">
        <v>131</v>
      </c>
      <c r="E30" s="94" t="s">
        <v>136</v>
      </c>
      <c r="F30" s="24">
        <v>16</v>
      </c>
      <c r="G30" s="48">
        <v>29</v>
      </c>
      <c r="H30" s="60">
        <f t="shared" si="0"/>
        <v>464</v>
      </c>
      <c r="I30" s="61" t="s">
        <v>86</v>
      </c>
      <c r="J30" s="63" t="s">
        <v>133</v>
      </c>
      <c r="K30" s="84">
        <v>43832</v>
      </c>
      <c r="L30" s="84"/>
      <c r="M30" s="30">
        <v>43826</v>
      </c>
      <c r="N30" s="63" t="s">
        <v>89</v>
      </c>
      <c r="O30" s="93" t="s">
        <v>134</v>
      </c>
      <c r="P30" s="34">
        <v>27</v>
      </c>
      <c r="Q30" s="34">
        <f>(P30*F30)*1.05</f>
        <v>453.6</v>
      </c>
      <c r="R30" s="34"/>
      <c r="S30" s="34"/>
      <c r="T30" s="65"/>
      <c r="U30" s="65">
        <f>(T30*F30)*1.05</f>
        <v>0</v>
      </c>
      <c r="V30" s="35" t="s">
        <v>93</v>
      </c>
      <c r="W30" s="52"/>
      <c r="X30" s="53"/>
      <c r="Y30" s="53"/>
      <c r="Z30" s="53"/>
      <c r="AA30" s="53"/>
      <c r="AB30" s="53" t="s">
        <v>135</v>
      </c>
      <c r="AC30" s="53">
        <v>3413145842</v>
      </c>
      <c r="AD30" s="53">
        <v>30.04</v>
      </c>
      <c r="AE30" s="53"/>
      <c r="AF30" s="53"/>
      <c r="AG30" s="54"/>
      <c r="AH30" s="54"/>
      <c r="AI30" s="55"/>
      <c r="AJ30" s="56">
        <v>43860</v>
      </c>
      <c r="AK30" s="55" t="s">
        <v>137</v>
      </c>
      <c r="AL30" s="55" t="s">
        <v>138</v>
      </c>
      <c r="AM30" s="54" t="s">
        <v>49</v>
      </c>
      <c r="AN30" s="54"/>
      <c r="AO30" s="54"/>
      <c r="AP30" s="54"/>
      <c r="AQ30" s="57"/>
    </row>
    <row r="31" spans="1:43" ht="15.75" customHeight="1">
      <c r="A31" s="95">
        <v>43789</v>
      </c>
      <c r="B31" s="96" t="s">
        <v>139</v>
      </c>
      <c r="C31" s="97" t="s">
        <v>140</v>
      </c>
      <c r="D31" s="98" t="s">
        <v>141</v>
      </c>
      <c r="E31" s="99" t="s">
        <v>142</v>
      </c>
      <c r="F31" s="100">
        <v>1</v>
      </c>
      <c r="G31" s="101">
        <v>220</v>
      </c>
      <c r="H31" s="102">
        <f t="shared" si="0"/>
        <v>220</v>
      </c>
      <c r="I31" s="61" t="s">
        <v>143</v>
      </c>
      <c r="J31" s="103" t="s">
        <v>144</v>
      </c>
      <c r="K31" s="104">
        <v>43829</v>
      </c>
      <c r="L31" s="104"/>
      <c r="M31" s="105"/>
      <c r="N31" s="67"/>
      <c r="O31" s="67"/>
      <c r="P31" s="67"/>
      <c r="Q31" s="67"/>
      <c r="R31" s="67"/>
      <c r="S31" s="67"/>
      <c r="T31" s="106">
        <f>(Q31*F31)*1.05</f>
        <v>0</v>
      </c>
      <c r="U31" s="107"/>
      <c r="V31" s="106">
        <f>(U31*F31)*1.05</f>
        <v>0</v>
      </c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7"/>
      <c r="AJ31" s="108">
        <v>43860</v>
      </c>
      <c r="AK31" s="107">
        <f>3319.38*30.213</f>
        <v>100288.42794000001</v>
      </c>
      <c r="AL31" s="107">
        <f>(3356-3319.38)*30.213</f>
        <v>1106.4000599999968</v>
      </c>
      <c r="AM31" s="107" t="s">
        <v>49</v>
      </c>
      <c r="AN31" s="67"/>
      <c r="AO31" s="67"/>
      <c r="AP31" s="67"/>
      <c r="AQ31" s="109"/>
    </row>
    <row r="32" spans="1:43" ht="15.75" customHeight="1">
      <c r="A32" s="95">
        <v>43789</v>
      </c>
      <c r="B32" s="96" t="s">
        <v>139</v>
      </c>
      <c r="C32" s="97" t="s">
        <v>140</v>
      </c>
      <c r="D32" s="98" t="s">
        <v>141</v>
      </c>
      <c r="E32" s="99" t="s">
        <v>145</v>
      </c>
      <c r="F32" s="100">
        <v>1</v>
      </c>
      <c r="G32" s="101">
        <v>260</v>
      </c>
      <c r="H32" s="102">
        <f t="shared" si="0"/>
        <v>260</v>
      </c>
      <c r="I32" s="61" t="s">
        <v>143</v>
      </c>
      <c r="J32" s="103" t="s">
        <v>144</v>
      </c>
      <c r="K32" s="104">
        <v>43829</v>
      </c>
      <c r="L32" s="104"/>
      <c r="M32" s="105"/>
      <c r="N32" s="67"/>
      <c r="O32" s="67"/>
      <c r="P32" s="67"/>
      <c r="Q32" s="67"/>
      <c r="R32" s="67"/>
      <c r="S32" s="67"/>
      <c r="T32" s="106">
        <f>(Q32*F32)*1.05</f>
        <v>0</v>
      </c>
      <c r="U32" s="107"/>
      <c r="V32" s="106">
        <f>(U32*F32)*1.05</f>
        <v>0</v>
      </c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7"/>
      <c r="AJ32" s="108">
        <v>43860</v>
      </c>
      <c r="AK32" s="107" t="s">
        <v>146</v>
      </c>
      <c r="AL32" s="107" t="s">
        <v>147</v>
      </c>
      <c r="AM32" s="107" t="s">
        <v>49</v>
      </c>
      <c r="AN32" s="67"/>
      <c r="AO32" s="67"/>
      <c r="AP32" s="67"/>
      <c r="AQ32" s="109"/>
    </row>
    <row r="33" spans="1:43" ht="15.75" customHeight="1">
      <c r="A33" s="110">
        <v>43794</v>
      </c>
      <c r="B33" s="71" t="s">
        <v>118</v>
      </c>
      <c r="C33" s="111">
        <v>1802019</v>
      </c>
      <c r="D33" s="112" t="s">
        <v>148</v>
      </c>
      <c r="E33" s="113" t="s">
        <v>120</v>
      </c>
      <c r="F33" s="114">
        <v>30</v>
      </c>
      <c r="G33" s="115">
        <v>359</v>
      </c>
      <c r="H33" s="81">
        <f t="shared" si="0"/>
        <v>10770</v>
      </c>
      <c r="I33" s="116" t="s">
        <v>149</v>
      </c>
      <c r="J33" s="117" t="s">
        <v>70</v>
      </c>
      <c r="K33" s="83">
        <v>43888</v>
      </c>
      <c r="L33" s="1470"/>
      <c r="M33" s="118">
        <v>43864</v>
      </c>
      <c r="N33" s="119" t="s">
        <v>89</v>
      </c>
      <c r="O33" s="93" t="s">
        <v>150</v>
      </c>
      <c r="P33" s="120">
        <v>332</v>
      </c>
      <c r="Q33" s="120">
        <f t="shared" ref="Q33:Q76" si="2">(P33*F33)*1.05</f>
        <v>10458</v>
      </c>
      <c r="R33" s="120"/>
      <c r="S33" s="120"/>
      <c r="T33" s="121"/>
      <c r="U33" s="121">
        <f t="shared" ref="U33:U76" si="3">(T33*F33)*1.05</f>
        <v>0</v>
      </c>
      <c r="V33" s="122" t="s">
        <v>93</v>
      </c>
      <c r="W33" s="123"/>
      <c r="X33" s="124"/>
      <c r="Y33" s="124"/>
      <c r="Z33" s="124"/>
      <c r="AA33" s="124"/>
      <c r="AB33" s="124"/>
      <c r="AC33" s="124"/>
      <c r="AD33" s="124"/>
      <c r="AE33" s="124"/>
      <c r="AF33" s="124"/>
      <c r="AG33" s="125"/>
      <c r="AH33" s="125"/>
      <c r="AI33" s="126"/>
      <c r="AJ33" s="127">
        <v>43896</v>
      </c>
      <c r="AK33" s="126">
        <f>44965.52*29.933</f>
        <v>1345952.91016</v>
      </c>
      <c r="AL33" s="126">
        <f>34.48*29.933</f>
        <v>1032.0898399999999</v>
      </c>
      <c r="AM33" s="125"/>
      <c r="AN33" s="125"/>
      <c r="AO33" s="125"/>
      <c r="AP33" s="125"/>
      <c r="AQ33" s="125"/>
    </row>
    <row r="34" spans="1:43" ht="15.75" customHeight="1">
      <c r="A34" s="69">
        <v>43794</v>
      </c>
      <c r="B34" s="70" t="s">
        <v>118</v>
      </c>
      <c r="C34" s="128">
        <v>1802019</v>
      </c>
      <c r="D34" s="129" t="s">
        <v>148</v>
      </c>
      <c r="E34" s="23" t="s">
        <v>151</v>
      </c>
      <c r="F34" s="130">
        <v>30</v>
      </c>
      <c r="G34" s="25">
        <v>1045</v>
      </c>
      <c r="H34" s="131">
        <f t="shared" si="0"/>
        <v>31350</v>
      </c>
      <c r="I34" s="132" t="s">
        <v>149</v>
      </c>
      <c r="J34" s="133" t="s">
        <v>70</v>
      </c>
      <c r="K34" s="83">
        <v>43888</v>
      </c>
      <c r="L34" s="1470"/>
      <c r="M34" s="118">
        <v>43864</v>
      </c>
      <c r="N34" s="31" t="s">
        <v>89</v>
      </c>
      <c r="O34" s="93" t="s">
        <v>152</v>
      </c>
      <c r="P34" s="75">
        <v>920</v>
      </c>
      <c r="Q34" s="134">
        <f t="shared" si="2"/>
        <v>28980</v>
      </c>
      <c r="R34" s="1389"/>
      <c r="S34" s="1389"/>
      <c r="T34" s="134"/>
      <c r="U34" s="134">
        <f t="shared" si="3"/>
        <v>0</v>
      </c>
      <c r="V34" s="51" t="s">
        <v>93</v>
      </c>
      <c r="W34" s="135"/>
      <c r="X34" s="136"/>
      <c r="Y34" s="136"/>
      <c r="Z34" s="136"/>
      <c r="AA34" s="136"/>
      <c r="AB34" s="136"/>
      <c r="AC34" s="136"/>
      <c r="AD34" s="136"/>
      <c r="AE34" s="136"/>
      <c r="AF34" s="136"/>
      <c r="AG34" s="137"/>
      <c r="AH34" s="137"/>
      <c r="AI34" s="138"/>
      <c r="AJ34" s="127">
        <v>43896</v>
      </c>
      <c r="AK34" s="138" t="s">
        <v>153</v>
      </c>
      <c r="AL34" s="138" t="s">
        <v>154</v>
      </c>
      <c r="AM34" s="137"/>
      <c r="AN34" s="137"/>
      <c r="AO34" s="137"/>
      <c r="AP34" s="137"/>
      <c r="AQ34" s="137"/>
    </row>
    <row r="35" spans="1:43" ht="15.75" customHeight="1">
      <c r="A35" s="69">
        <v>43794</v>
      </c>
      <c r="B35" s="70" t="s">
        <v>118</v>
      </c>
      <c r="C35" s="92">
        <v>1802019</v>
      </c>
      <c r="D35" s="112" t="s">
        <v>148</v>
      </c>
      <c r="E35" s="23" t="s">
        <v>155</v>
      </c>
      <c r="F35" s="24">
        <v>40</v>
      </c>
      <c r="G35" s="48">
        <v>335</v>
      </c>
      <c r="H35" s="81">
        <f t="shared" si="0"/>
        <v>13400</v>
      </c>
      <c r="I35" s="132" t="s">
        <v>149</v>
      </c>
      <c r="J35" s="28" t="s">
        <v>70</v>
      </c>
      <c r="K35" s="83">
        <v>43888</v>
      </c>
      <c r="L35" s="1470"/>
      <c r="M35" s="118">
        <v>43864</v>
      </c>
      <c r="N35" s="58" t="s">
        <v>89</v>
      </c>
      <c r="O35" s="93" t="s">
        <v>152</v>
      </c>
      <c r="P35" s="34">
        <v>290</v>
      </c>
      <c r="Q35" s="65">
        <f t="shared" si="2"/>
        <v>12180</v>
      </c>
      <c r="R35" s="65"/>
      <c r="S35" s="65"/>
      <c r="T35" s="65"/>
      <c r="U35" s="65">
        <f t="shared" si="3"/>
        <v>0</v>
      </c>
      <c r="V35" s="35" t="s">
        <v>93</v>
      </c>
      <c r="W35" s="52"/>
      <c r="X35" s="53"/>
      <c r="Y35" s="53"/>
      <c r="Z35" s="53"/>
      <c r="AA35" s="53"/>
      <c r="AB35" s="53"/>
      <c r="AC35" s="53"/>
      <c r="AD35" s="53"/>
      <c r="AE35" s="53"/>
      <c r="AF35" s="53"/>
      <c r="AG35" s="54"/>
      <c r="AH35" s="54"/>
      <c r="AI35" s="55"/>
      <c r="AJ35" s="127">
        <v>43896</v>
      </c>
      <c r="AK35" s="138" t="s">
        <v>153</v>
      </c>
      <c r="AL35" s="138" t="s">
        <v>154</v>
      </c>
      <c r="AM35" s="54"/>
      <c r="AN35" s="54"/>
      <c r="AO35" s="54"/>
      <c r="AP35" s="54"/>
      <c r="AQ35" s="57"/>
    </row>
    <row r="36" spans="1:43" ht="15.75" customHeight="1">
      <c r="A36" s="69">
        <v>43794</v>
      </c>
      <c r="B36" s="70" t="s">
        <v>118</v>
      </c>
      <c r="C36" s="92">
        <v>1802019</v>
      </c>
      <c r="D36" s="112" t="s">
        <v>148</v>
      </c>
      <c r="E36" s="32" t="s">
        <v>156</v>
      </c>
      <c r="F36" s="24">
        <v>10</v>
      </c>
      <c r="G36" s="48">
        <v>118</v>
      </c>
      <c r="H36" s="81">
        <f t="shared" si="0"/>
        <v>1180</v>
      </c>
      <c r="I36" s="132" t="s">
        <v>149</v>
      </c>
      <c r="J36" s="28" t="s">
        <v>70</v>
      </c>
      <c r="K36" s="83">
        <v>43888</v>
      </c>
      <c r="L36" s="1470"/>
      <c r="M36" s="118">
        <v>43864</v>
      </c>
      <c r="N36" s="58" t="s">
        <v>89</v>
      </c>
      <c r="O36" s="93" t="s">
        <v>152</v>
      </c>
      <c r="P36" s="65">
        <v>95</v>
      </c>
      <c r="Q36" s="65">
        <f t="shared" si="2"/>
        <v>997.5</v>
      </c>
      <c r="R36" s="65"/>
      <c r="S36" s="65"/>
      <c r="T36" s="65"/>
      <c r="U36" s="65">
        <f t="shared" si="3"/>
        <v>0</v>
      </c>
      <c r="V36" s="35" t="s">
        <v>93</v>
      </c>
      <c r="W36" s="52"/>
      <c r="X36" s="53"/>
      <c r="Y36" s="53"/>
      <c r="Z36" s="53"/>
      <c r="AA36" s="53"/>
      <c r="AB36" s="53"/>
      <c r="AC36" s="53"/>
      <c r="AD36" s="53"/>
      <c r="AE36" s="53"/>
      <c r="AF36" s="53"/>
      <c r="AG36" s="54"/>
      <c r="AH36" s="54"/>
      <c r="AI36" s="55"/>
      <c r="AJ36" s="68"/>
      <c r="AK36" s="55"/>
      <c r="AL36" s="55"/>
      <c r="AM36" s="54"/>
      <c r="AN36" s="54"/>
      <c r="AO36" s="54"/>
      <c r="AP36" s="54"/>
      <c r="AQ36" s="57"/>
    </row>
    <row r="37" spans="1:43" ht="15.75" customHeight="1">
      <c r="A37" s="69">
        <v>43794</v>
      </c>
      <c r="B37" s="70" t="s">
        <v>118</v>
      </c>
      <c r="C37" s="92">
        <v>1802019</v>
      </c>
      <c r="D37" s="112" t="s">
        <v>148</v>
      </c>
      <c r="E37" s="23" t="s">
        <v>157</v>
      </c>
      <c r="F37" s="24">
        <v>15</v>
      </c>
      <c r="G37" s="48">
        <v>979</v>
      </c>
      <c r="H37" s="81">
        <f t="shared" si="0"/>
        <v>14685</v>
      </c>
      <c r="I37" s="132" t="s">
        <v>149</v>
      </c>
      <c r="J37" s="28" t="s">
        <v>70</v>
      </c>
      <c r="K37" s="83">
        <v>43909</v>
      </c>
      <c r="L37" s="83"/>
      <c r="M37" s="44">
        <v>43876</v>
      </c>
      <c r="N37" s="58" t="s">
        <v>89</v>
      </c>
      <c r="O37" s="93" t="s">
        <v>158</v>
      </c>
      <c r="P37" s="34">
        <v>926.9</v>
      </c>
      <c r="Q37" s="34">
        <f t="shared" si="2"/>
        <v>14598.675000000001</v>
      </c>
      <c r="R37" s="34"/>
      <c r="S37" s="34"/>
      <c r="T37" s="65"/>
      <c r="U37" s="65">
        <f t="shared" si="3"/>
        <v>0</v>
      </c>
      <c r="V37" s="35" t="s">
        <v>93</v>
      </c>
      <c r="W37" s="52"/>
      <c r="X37" s="53"/>
      <c r="Y37" s="53"/>
      <c r="Z37" s="53"/>
      <c r="AA37" s="53"/>
      <c r="AB37" s="53"/>
      <c r="AC37" s="53"/>
      <c r="AD37" s="53"/>
      <c r="AE37" s="53"/>
      <c r="AF37" s="53"/>
      <c r="AG37" s="54"/>
      <c r="AH37" s="54"/>
      <c r="AI37" s="55"/>
      <c r="AJ37" s="68"/>
      <c r="AK37" s="55"/>
      <c r="AL37" s="55"/>
      <c r="AM37" s="54"/>
      <c r="AN37" s="54"/>
      <c r="AO37" s="54"/>
      <c r="AP37" s="54"/>
      <c r="AQ37" s="57"/>
    </row>
    <row r="38" spans="1:43" ht="15.75" customHeight="1">
      <c r="A38" s="69">
        <v>43794</v>
      </c>
      <c r="B38" s="70" t="s">
        <v>118</v>
      </c>
      <c r="C38" s="92">
        <v>1802019</v>
      </c>
      <c r="D38" s="112" t="s">
        <v>148</v>
      </c>
      <c r="E38" s="23" t="s">
        <v>159</v>
      </c>
      <c r="F38" s="24">
        <v>12</v>
      </c>
      <c r="G38" s="48">
        <v>880</v>
      </c>
      <c r="H38" s="81">
        <f t="shared" si="0"/>
        <v>10560</v>
      </c>
      <c r="I38" s="132" t="s">
        <v>149</v>
      </c>
      <c r="J38" s="28" t="s">
        <v>70</v>
      </c>
      <c r="K38" s="83">
        <v>43888</v>
      </c>
      <c r="L38" s="1470"/>
      <c r="M38" s="118">
        <v>43864</v>
      </c>
      <c r="N38" s="58" t="s">
        <v>89</v>
      </c>
      <c r="O38" s="93" t="s">
        <v>150</v>
      </c>
      <c r="P38" s="34">
        <v>665</v>
      </c>
      <c r="Q38" s="34">
        <f t="shared" si="2"/>
        <v>8379</v>
      </c>
      <c r="R38" s="34"/>
      <c r="S38" s="34"/>
      <c r="T38" s="65"/>
      <c r="U38" s="65">
        <f t="shared" si="3"/>
        <v>0</v>
      </c>
      <c r="V38" s="35" t="s">
        <v>93</v>
      </c>
      <c r="W38" s="52"/>
      <c r="X38" s="53"/>
      <c r="Y38" s="53"/>
      <c r="Z38" s="53"/>
      <c r="AA38" s="53"/>
      <c r="AB38" s="53"/>
      <c r="AC38" s="53"/>
      <c r="AD38" s="53"/>
      <c r="AE38" s="53"/>
      <c r="AF38" s="53"/>
      <c r="AG38" s="54"/>
      <c r="AH38" s="54"/>
      <c r="AI38" s="55"/>
      <c r="AJ38" s="68"/>
      <c r="AK38" s="55"/>
      <c r="AL38" s="55"/>
      <c r="AM38" s="54"/>
      <c r="AN38" s="54"/>
      <c r="AO38" s="54"/>
      <c r="AP38" s="54"/>
      <c r="AQ38" s="57"/>
    </row>
    <row r="39" spans="1:43" ht="15.75" customHeight="1">
      <c r="A39" s="69">
        <v>43794</v>
      </c>
      <c r="B39" s="70" t="s">
        <v>118</v>
      </c>
      <c r="C39" s="92">
        <v>1802019</v>
      </c>
      <c r="D39" s="112" t="s">
        <v>148</v>
      </c>
      <c r="E39" s="32" t="s">
        <v>160</v>
      </c>
      <c r="F39" s="24">
        <v>15</v>
      </c>
      <c r="G39" s="48">
        <v>485</v>
      </c>
      <c r="H39" s="81">
        <f t="shared" si="0"/>
        <v>7275</v>
      </c>
      <c r="I39" s="132" t="s">
        <v>149</v>
      </c>
      <c r="J39" s="28" t="s">
        <v>70</v>
      </c>
      <c r="K39" s="83">
        <v>43888</v>
      </c>
      <c r="L39" s="1470"/>
      <c r="M39" s="118">
        <v>43864</v>
      </c>
      <c r="N39" s="58" t="s">
        <v>89</v>
      </c>
      <c r="O39" s="93" t="s">
        <v>150</v>
      </c>
      <c r="P39" s="34">
        <v>425</v>
      </c>
      <c r="Q39" s="34">
        <f t="shared" si="2"/>
        <v>6693.75</v>
      </c>
      <c r="R39" s="34"/>
      <c r="S39" s="34"/>
      <c r="T39" s="65"/>
      <c r="U39" s="65">
        <f t="shared" si="3"/>
        <v>0</v>
      </c>
      <c r="V39" s="35" t="s">
        <v>93</v>
      </c>
      <c r="W39" s="52"/>
      <c r="X39" s="53"/>
      <c r="Y39" s="53"/>
      <c r="Z39" s="53"/>
      <c r="AA39" s="53"/>
      <c r="AB39" s="53"/>
      <c r="AC39" s="53"/>
      <c r="AD39" s="53"/>
      <c r="AE39" s="53"/>
      <c r="AF39" s="53"/>
      <c r="AG39" s="54"/>
      <c r="AH39" s="54"/>
      <c r="AI39" s="55"/>
      <c r="AJ39" s="68"/>
      <c r="AK39" s="55"/>
      <c r="AL39" s="55"/>
      <c r="AM39" s="54"/>
      <c r="AN39" s="54"/>
      <c r="AO39" s="54"/>
      <c r="AP39" s="54"/>
      <c r="AQ39" s="57"/>
    </row>
    <row r="40" spans="1:43" ht="15.75" customHeight="1">
      <c r="A40" s="110">
        <v>43794</v>
      </c>
      <c r="B40" s="21" t="s">
        <v>118</v>
      </c>
      <c r="C40" s="92">
        <v>1802019</v>
      </c>
      <c r="D40" s="112" t="s">
        <v>148</v>
      </c>
      <c r="E40" s="23" t="s">
        <v>161</v>
      </c>
      <c r="F40" s="24">
        <v>10</v>
      </c>
      <c r="G40" s="48">
        <v>738</v>
      </c>
      <c r="H40" s="81">
        <f t="shared" si="0"/>
        <v>7380</v>
      </c>
      <c r="I40" s="132" t="s">
        <v>149</v>
      </c>
      <c r="J40" s="28" t="s">
        <v>70</v>
      </c>
      <c r="K40" s="83">
        <v>43888</v>
      </c>
      <c r="L40" s="1470"/>
      <c r="M40" s="118">
        <v>43864</v>
      </c>
      <c r="N40" s="58" t="s">
        <v>89</v>
      </c>
      <c r="O40" s="93" t="s">
        <v>150</v>
      </c>
      <c r="P40" s="65">
        <v>638</v>
      </c>
      <c r="Q40" s="65">
        <f t="shared" si="2"/>
        <v>6699</v>
      </c>
      <c r="R40" s="65"/>
      <c r="S40" s="65"/>
      <c r="T40" s="65"/>
      <c r="U40" s="65">
        <f t="shared" si="3"/>
        <v>0</v>
      </c>
      <c r="V40" s="35" t="s">
        <v>93</v>
      </c>
      <c r="W40" s="52"/>
      <c r="X40" s="53"/>
      <c r="Y40" s="53"/>
      <c r="Z40" s="53"/>
      <c r="AA40" s="53"/>
      <c r="AB40" s="53"/>
      <c r="AC40" s="53"/>
      <c r="AD40" s="53"/>
      <c r="AE40" s="53"/>
      <c r="AF40" s="53"/>
      <c r="AG40" s="54"/>
      <c r="AH40" s="54"/>
      <c r="AI40" s="55"/>
      <c r="AJ40" s="68"/>
      <c r="AK40" s="55"/>
      <c r="AL40" s="55"/>
      <c r="AM40" s="54"/>
      <c r="AN40" s="54"/>
      <c r="AO40" s="54"/>
      <c r="AP40" s="54"/>
      <c r="AQ40" s="57"/>
    </row>
    <row r="41" spans="1:43" ht="15.75" customHeight="1">
      <c r="A41" s="69">
        <v>43794</v>
      </c>
      <c r="B41" s="70" t="s">
        <v>118</v>
      </c>
      <c r="C41" s="92">
        <v>1802019</v>
      </c>
      <c r="D41" s="139" t="s">
        <v>148</v>
      </c>
      <c r="E41" s="140" t="s">
        <v>162</v>
      </c>
      <c r="F41" s="24">
        <v>5</v>
      </c>
      <c r="G41" s="48">
        <v>190</v>
      </c>
      <c r="H41" s="81">
        <f t="shared" si="0"/>
        <v>950</v>
      </c>
      <c r="I41" s="132" t="s">
        <v>149</v>
      </c>
      <c r="J41" s="28" t="s">
        <v>70</v>
      </c>
      <c r="K41" s="83">
        <v>43888</v>
      </c>
      <c r="L41" s="1470"/>
      <c r="M41" s="118">
        <v>43864</v>
      </c>
      <c r="N41" s="58" t="s">
        <v>89</v>
      </c>
      <c r="O41" s="93" t="s">
        <v>150</v>
      </c>
      <c r="P41" s="34">
        <v>148</v>
      </c>
      <c r="Q41" s="34">
        <f t="shared" si="2"/>
        <v>777</v>
      </c>
      <c r="R41" s="34"/>
      <c r="S41" s="34"/>
      <c r="T41" s="65"/>
      <c r="U41" s="65">
        <f t="shared" si="3"/>
        <v>0</v>
      </c>
      <c r="V41" s="51" t="s">
        <v>93</v>
      </c>
      <c r="W41" s="52"/>
      <c r="X41" s="53"/>
      <c r="Y41" s="53"/>
      <c r="Z41" s="53"/>
      <c r="AA41" s="53"/>
      <c r="AB41" s="53"/>
      <c r="AC41" s="53"/>
      <c r="AD41" s="53"/>
      <c r="AE41" s="53"/>
      <c r="AF41" s="53"/>
      <c r="AG41" s="54"/>
      <c r="AH41" s="54"/>
      <c r="AI41" s="55"/>
      <c r="AJ41" s="68"/>
      <c r="AK41" s="55"/>
      <c r="AL41" s="55"/>
      <c r="AM41" s="54"/>
      <c r="AN41" s="54"/>
      <c r="AO41" s="54"/>
      <c r="AP41" s="54"/>
      <c r="AQ41" s="57"/>
    </row>
    <row r="42" spans="1:43" ht="15.75" customHeight="1">
      <c r="A42" s="69">
        <v>43794</v>
      </c>
      <c r="B42" s="70" t="s">
        <v>118</v>
      </c>
      <c r="C42" s="92">
        <v>1802019</v>
      </c>
      <c r="D42" s="112" t="s">
        <v>148</v>
      </c>
      <c r="E42" s="141" t="s">
        <v>163</v>
      </c>
      <c r="F42" s="24">
        <v>15</v>
      </c>
      <c r="G42" s="48">
        <v>44</v>
      </c>
      <c r="H42" s="81">
        <f t="shared" si="0"/>
        <v>660</v>
      </c>
      <c r="I42" s="132" t="s">
        <v>149</v>
      </c>
      <c r="J42" s="28" t="s">
        <v>70</v>
      </c>
      <c r="K42" s="83">
        <v>43888</v>
      </c>
      <c r="L42" s="1470"/>
      <c r="M42" s="118">
        <v>43864</v>
      </c>
      <c r="N42" s="58" t="s">
        <v>89</v>
      </c>
      <c r="O42" s="93" t="s">
        <v>150</v>
      </c>
      <c r="P42" s="34">
        <v>36</v>
      </c>
      <c r="Q42" s="142">
        <f t="shared" si="2"/>
        <v>567</v>
      </c>
      <c r="R42" s="1390"/>
      <c r="S42" s="1390"/>
      <c r="T42" s="134"/>
      <c r="U42" s="134">
        <f t="shared" si="3"/>
        <v>0</v>
      </c>
      <c r="V42" s="35" t="s">
        <v>93</v>
      </c>
      <c r="W42" s="52"/>
      <c r="X42" s="53"/>
      <c r="Y42" s="53"/>
      <c r="Z42" s="53"/>
      <c r="AA42" s="53"/>
      <c r="AB42" s="53"/>
      <c r="AC42" s="53"/>
      <c r="AD42" s="53"/>
      <c r="AE42" s="53"/>
      <c r="AF42" s="53"/>
      <c r="AG42" s="54"/>
      <c r="AH42" s="54"/>
      <c r="AI42" s="55"/>
      <c r="AJ42" s="68"/>
      <c r="AK42" s="55"/>
      <c r="AL42" s="55"/>
      <c r="AM42" s="54"/>
      <c r="AN42" s="54"/>
      <c r="AO42" s="54"/>
      <c r="AP42" s="54"/>
      <c r="AQ42" s="57"/>
    </row>
    <row r="43" spans="1:43" ht="15.75" customHeight="1">
      <c r="A43" s="69">
        <v>43794</v>
      </c>
      <c r="B43" s="70" t="s">
        <v>118</v>
      </c>
      <c r="C43" s="128">
        <v>1802019</v>
      </c>
      <c r="D43" s="112" t="s">
        <v>148</v>
      </c>
      <c r="E43" s="23" t="s">
        <v>164</v>
      </c>
      <c r="F43" s="130">
        <v>80</v>
      </c>
      <c r="G43" s="25">
        <v>105</v>
      </c>
      <c r="H43" s="81">
        <f t="shared" si="0"/>
        <v>8400</v>
      </c>
      <c r="I43" s="132" t="s">
        <v>149</v>
      </c>
      <c r="J43" s="28" t="s">
        <v>70</v>
      </c>
      <c r="K43" s="83">
        <v>43888</v>
      </c>
      <c r="L43" s="1470"/>
      <c r="M43" s="118">
        <v>43864</v>
      </c>
      <c r="N43" s="58" t="s">
        <v>89</v>
      </c>
      <c r="O43" s="93" t="s">
        <v>150</v>
      </c>
      <c r="P43" s="34">
        <v>82</v>
      </c>
      <c r="Q43" s="142">
        <f t="shared" si="2"/>
        <v>6888</v>
      </c>
      <c r="R43" s="1390"/>
      <c r="S43" s="1390"/>
      <c r="T43" s="134"/>
      <c r="U43" s="134">
        <f t="shared" si="3"/>
        <v>0</v>
      </c>
      <c r="V43" s="35" t="s">
        <v>93</v>
      </c>
      <c r="W43" s="52"/>
      <c r="X43" s="53"/>
      <c r="Y43" s="53"/>
      <c r="Z43" s="53"/>
      <c r="AA43" s="53"/>
      <c r="AB43" s="53"/>
      <c r="AC43" s="53"/>
      <c r="AD43" s="53"/>
      <c r="AE43" s="53"/>
      <c r="AF43" s="53"/>
      <c r="AG43" s="54"/>
      <c r="AH43" s="54"/>
      <c r="AI43" s="55"/>
      <c r="AJ43" s="68"/>
      <c r="AK43" s="55"/>
      <c r="AL43" s="55"/>
      <c r="AM43" s="54"/>
      <c r="AN43" s="54"/>
      <c r="AO43" s="54"/>
      <c r="AP43" s="54"/>
      <c r="AQ43" s="57"/>
    </row>
    <row r="44" spans="1:43" ht="15.75" customHeight="1">
      <c r="A44" s="69">
        <v>43794</v>
      </c>
      <c r="B44" s="70" t="s">
        <v>118</v>
      </c>
      <c r="C44" s="128">
        <v>1802019</v>
      </c>
      <c r="D44" s="112" t="s">
        <v>148</v>
      </c>
      <c r="E44" s="23" t="s">
        <v>165</v>
      </c>
      <c r="F44" s="137">
        <v>8</v>
      </c>
      <c r="G44" s="143">
        <v>934</v>
      </c>
      <c r="H44" s="81">
        <f t="shared" si="0"/>
        <v>7472</v>
      </c>
      <c r="I44" s="132" t="s">
        <v>149</v>
      </c>
      <c r="J44" s="28" t="s">
        <v>70</v>
      </c>
      <c r="K44" s="83">
        <v>43888</v>
      </c>
      <c r="L44" s="83"/>
      <c r="M44" s="44">
        <v>43881</v>
      </c>
      <c r="N44" s="58" t="s">
        <v>89</v>
      </c>
      <c r="O44" s="93" t="s">
        <v>150</v>
      </c>
      <c r="P44" s="34">
        <v>747.5</v>
      </c>
      <c r="Q44" s="142">
        <f t="shared" si="2"/>
        <v>6279</v>
      </c>
      <c r="R44" s="1390"/>
      <c r="S44" s="1390"/>
      <c r="T44" s="134"/>
      <c r="U44" s="134">
        <f t="shared" si="3"/>
        <v>0</v>
      </c>
      <c r="V44" s="51" t="s">
        <v>93</v>
      </c>
      <c r="W44" s="52"/>
      <c r="X44" s="53"/>
      <c r="Y44" s="53"/>
      <c r="Z44" s="53"/>
      <c r="AA44" s="53"/>
      <c r="AB44" s="53"/>
      <c r="AC44" s="53"/>
      <c r="AD44" s="53"/>
      <c r="AE44" s="53"/>
      <c r="AF44" s="53"/>
      <c r="AG44" s="54"/>
      <c r="AH44" s="54"/>
      <c r="AI44" s="55"/>
      <c r="AJ44" s="68"/>
      <c r="AK44" s="55"/>
      <c r="AL44" s="55"/>
      <c r="AM44" s="54"/>
      <c r="AN44" s="54"/>
      <c r="AO44" s="54"/>
      <c r="AP44" s="54"/>
      <c r="AQ44" s="57"/>
    </row>
    <row r="45" spans="1:43" ht="15.75" customHeight="1">
      <c r="A45" s="69">
        <v>43796</v>
      </c>
      <c r="B45" s="144" t="s">
        <v>166</v>
      </c>
      <c r="C45" s="70" t="s">
        <v>167</v>
      </c>
      <c r="D45" s="71" t="s">
        <v>168</v>
      </c>
      <c r="E45" s="23" t="s">
        <v>169</v>
      </c>
      <c r="F45" s="24">
        <v>3</v>
      </c>
      <c r="G45" s="48">
        <v>1429</v>
      </c>
      <c r="H45" s="60">
        <f t="shared" ref="H45:H50" si="4">F45*G45</f>
        <v>4287</v>
      </c>
      <c r="I45" s="61" t="s">
        <v>170</v>
      </c>
      <c r="J45" s="58" t="s">
        <v>171</v>
      </c>
      <c r="K45" s="145">
        <v>43832</v>
      </c>
      <c r="L45" s="145"/>
      <c r="M45" s="44">
        <v>43840</v>
      </c>
      <c r="N45" s="63"/>
      <c r="O45" s="64">
        <v>2019120200002</v>
      </c>
      <c r="P45" s="34"/>
      <c r="Q45" s="34">
        <f t="shared" si="2"/>
        <v>0</v>
      </c>
      <c r="R45" s="34"/>
      <c r="S45" s="34"/>
      <c r="T45" s="34"/>
      <c r="U45" s="34">
        <f t="shared" si="3"/>
        <v>0</v>
      </c>
      <c r="V45" s="76"/>
      <c r="W45" s="52"/>
      <c r="X45" s="53"/>
      <c r="Y45" s="53"/>
      <c r="Z45" s="53"/>
      <c r="AA45" s="53"/>
      <c r="AB45" s="53" t="s">
        <v>172</v>
      </c>
      <c r="AC45" s="53">
        <v>6610305100</v>
      </c>
      <c r="AD45" s="53">
        <v>30.04</v>
      </c>
      <c r="AE45" s="53"/>
      <c r="AF45" s="53"/>
      <c r="AG45" s="54"/>
      <c r="AH45" s="54"/>
      <c r="AI45" s="55"/>
      <c r="AJ45" s="146">
        <v>43819</v>
      </c>
      <c r="AK45" s="55">
        <f>20251.38*30.133</f>
        <v>610234.83354000002</v>
      </c>
      <c r="AL45" s="55">
        <f>(20306-54.62)</f>
        <v>20251.38</v>
      </c>
      <c r="AM45" s="54" t="s">
        <v>49</v>
      </c>
      <c r="AN45" s="54"/>
      <c r="AO45" s="54"/>
      <c r="AP45" s="54"/>
      <c r="AQ45" s="57"/>
    </row>
    <row r="46" spans="1:43" ht="15.75" customHeight="1">
      <c r="A46" s="69">
        <v>43796</v>
      </c>
      <c r="B46" s="144" t="s">
        <v>166</v>
      </c>
      <c r="C46" s="70" t="s">
        <v>167</v>
      </c>
      <c r="D46" s="71" t="s">
        <v>168</v>
      </c>
      <c r="E46" s="32" t="s">
        <v>173</v>
      </c>
      <c r="F46" s="24">
        <v>3</v>
      </c>
      <c r="G46" s="48">
        <v>72</v>
      </c>
      <c r="H46" s="60">
        <f t="shared" si="4"/>
        <v>216</v>
      </c>
      <c r="I46" s="61" t="s">
        <v>170</v>
      </c>
      <c r="J46" s="58" t="s">
        <v>171</v>
      </c>
      <c r="K46" s="145">
        <v>43832</v>
      </c>
      <c r="L46" s="145"/>
      <c r="M46" s="44">
        <v>43840</v>
      </c>
      <c r="N46" s="63"/>
      <c r="O46" s="64"/>
      <c r="P46" s="34"/>
      <c r="Q46" s="34">
        <f t="shared" si="2"/>
        <v>0</v>
      </c>
      <c r="R46" s="34"/>
      <c r="S46" s="34"/>
      <c r="T46" s="34"/>
      <c r="U46" s="34">
        <f t="shared" si="3"/>
        <v>0</v>
      </c>
      <c r="V46" s="76"/>
      <c r="W46" s="52"/>
      <c r="X46" s="53"/>
      <c r="Y46" s="53"/>
      <c r="Z46" s="53"/>
      <c r="AA46" s="53"/>
      <c r="AB46" s="53" t="s">
        <v>172</v>
      </c>
      <c r="AC46" s="53">
        <v>6610305100</v>
      </c>
      <c r="AD46" s="53">
        <v>30.04</v>
      </c>
      <c r="AE46" s="53"/>
      <c r="AF46" s="53"/>
      <c r="AG46" s="54"/>
      <c r="AH46" s="54"/>
      <c r="AI46" s="55"/>
      <c r="AJ46" s="146">
        <v>43819</v>
      </c>
      <c r="AK46" s="55" t="s">
        <v>174</v>
      </c>
      <c r="AL46" s="55" t="s">
        <v>175</v>
      </c>
      <c r="AM46" s="54" t="s">
        <v>49</v>
      </c>
      <c r="AN46" s="54"/>
      <c r="AO46" s="54"/>
      <c r="AP46" s="54"/>
      <c r="AQ46" s="57"/>
    </row>
    <row r="47" spans="1:43" ht="15.75" customHeight="1">
      <c r="A47" s="69">
        <v>43796</v>
      </c>
      <c r="B47" s="147" t="s">
        <v>166</v>
      </c>
      <c r="C47" s="70" t="s">
        <v>167</v>
      </c>
      <c r="D47" s="71" t="s">
        <v>168</v>
      </c>
      <c r="E47" s="23" t="s">
        <v>176</v>
      </c>
      <c r="F47" s="24">
        <v>3</v>
      </c>
      <c r="G47" s="48">
        <v>61</v>
      </c>
      <c r="H47" s="60">
        <f t="shared" si="4"/>
        <v>183</v>
      </c>
      <c r="I47" s="61" t="s">
        <v>170</v>
      </c>
      <c r="J47" s="58" t="s">
        <v>171</v>
      </c>
      <c r="K47" s="145">
        <v>43832</v>
      </c>
      <c r="L47" s="145"/>
      <c r="M47" s="44">
        <v>43840</v>
      </c>
      <c r="N47" s="63" t="s">
        <v>177</v>
      </c>
      <c r="O47" s="148" t="s">
        <v>178</v>
      </c>
      <c r="P47" s="34"/>
      <c r="Q47" s="142">
        <f t="shared" si="2"/>
        <v>0</v>
      </c>
      <c r="R47" s="1390"/>
      <c r="S47" s="1390"/>
      <c r="T47" s="75"/>
      <c r="U47" s="75">
        <f t="shared" si="3"/>
        <v>0</v>
      </c>
      <c r="V47" s="76"/>
      <c r="W47" s="52"/>
      <c r="X47" s="53"/>
      <c r="Y47" s="53"/>
      <c r="Z47" s="53"/>
      <c r="AA47" s="53"/>
      <c r="AB47" s="53" t="s">
        <v>172</v>
      </c>
      <c r="AC47" s="53">
        <v>6610305100</v>
      </c>
      <c r="AD47" s="53">
        <v>30.04</v>
      </c>
      <c r="AE47" s="53"/>
      <c r="AF47" s="53"/>
      <c r="AG47" s="54"/>
      <c r="AH47" s="54"/>
      <c r="AI47" s="55"/>
      <c r="AJ47" s="146">
        <v>43819</v>
      </c>
      <c r="AK47" s="55" t="s">
        <v>174</v>
      </c>
      <c r="AL47" s="55" t="s">
        <v>175</v>
      </c>
      <c r="AM47" s="54" t="s">
        <v>49</v>
      </c>
      <c r="AN47" s="54"/>
      <c r="AO47" s="54"/>
      <c r="AP47" s="54"/>
      <c r="AQ47" s="57"/>
    </row>
    <row r="48" spans="1:43" ht="15.75" customHeight="1">
      <c r="A48" s="69">
        <v>43796</v>
      </c>
      <c r="B48" s="144" t="s">
        <v>166</v>
      </c>
      <c r="C48" s="21" t="s">
        <v>167</v>
      </c>
      <c r="D48" s="71" t="s">
        <v>179</v>
      </c>
      <c r="E48" s="23" t="s">
        <v>169</v>
      </c>
      <c r="F48" s="24">
        <v>7</v>
      </c>
      <c r="G48" s="48">
        <v>1429</v>
      </c>
      <c r="H48" s="60">
        <f t="shared" si="4"/>
        <v>10003</v>
      </c>
      <c r="I48" s="61" t="s">
        <v>170</v>
      </c>
      <c r="J48" s="58" t="s">
        <v>171</v>
      </c>
      <c r="K48" s="149">
        <v>43865</v>
      </c>
      <c r="L48" s="149"/>
      <c r="M48" s="43">
        <v>43864</v>
      </c>
      <c r="N48" s="63"/>
      <c r="O48" s="64">
        <v>2019120200002</v>
      </c>
      <c r="P48" s="34"/>
      <c r="Q48" s="34">
        <f t="shared" si="2"/>
        <v>0</v>
      </c>
      <c r="R48" s="142"/>
      <c r="S48" s="142"/>
      <c r="T48" s="142"/>
      <c r="U48" s="75">
        <f t="shared" si="3"/>
        <v>0</v>
      </c>
      <c r="V48" s="76"/>
      <c r="W48" s="135"/>
      <c r="X48" s="53"/>
      <c r="Y48" s="53"/>
      <c r="Z48" s="53"/>
      <c r="AA48" s="53"/>
      <c r="AB48" s="53"/>
      <c r="AC48" s="53"/>
      <c r="AD48" s="53"/>
      <c r="AE48" s="53"/>
      <c r="AF48" s="53"/>
      <c r="AG48" s="54"/>
      <c r="AH48" s="54"/>
      <c r="AI48" s="55"/>
      <c r="AJ48" s="146">
        <v>43819</v>
      </c>
      <c r="AK48" s="55" t="s">
        <v>174</v>
      </c>
      <c r="AL48" s="55" t="s">
        <v>175</v>
      </c>
      <c r="AM48" s="54" t="s">
        <v>49</v>
      </c>
      <c r="AN48" s="54"/>
      <c r="AO48" s="54"/>
      <c r="AP48" s="54"/>
      <c r="AQ48" s="54"/>
    </row>
    <row r="49" spans="1:43" ht="15.75" customHeight="1">
      <c r="A49" s="69">
        <v>43796</v>
      </c>
      <c r="B49" s="144" t="s">
        <v>166</v>
      </c>
      <c r="C49" s="21" t="s">
        <v>167</v>
      </c>
      <c r="D49" s="21" t="s">
        <v>179</v>
      </c>
      <c r="E49" s="141" t="s">
        <v>173</v>
      </c>
      <c r="F49" s="24">
        <v>7</v>
      </c>
      <c r="G49" s="48">
        <v>72</v>
      </c>
      <c r="H49" s="60">
        <f t="shared" si="4"/>
        <v>504</v>
      </c>
      <c r="I49" s="61" t="s">
        <v>170</v>
      </c>
      <c r="J49" s="58" t="s">
        <v>171</v>
      </c>
      <c r="K49" s="149">
        <v>43865</v>
      </c>
      <c r="L49" s="149"/>
      <c r="M49" s="43">
        <v>43864</v>
      </c>
      <c r="N49" s="63"/>
      <c r="O49" s="64"/>
      <c r="P49" s="34"/>
      <c r="Q49" s="142">
        <f t="shared" si="2"/>
        <v>0</v>
      </c>
      <c r="R49" s="1390"/>
      <c r="S49" s="1390"/>
      <c r="T49" s="75"/>
      <c r="U49" s="75">
        <f t="shared" si="3"/>
        <v>0</v>
      </c>
      <c r="V49" s="66"/>
      <c r="W49" s="52"/>
      <c r="X49" s="53"/>
      <c r="Y49" s="53"/>
      <c r="Z49" s="53"/>
      <c r="AA49" s="53"/>
      <c r="AB49" s="53"/>
      <c r="AC49" s="53"/>
      <c r="AD49" s="53"/>
      <c r="AE49" s="53"/>
      <c r="AF49" s="53"/>
      <c r="AG49" s="54"/>
      <c r="AH49" s="54"/>
      <c r="AI49" s="55"/>
      <c r="AJ49" s="146">
        <v>43819</v>
      </c>
      <c r="AK49" s="55" t="s">
        <v>174</v>
      </c>
      <c r="AL49" s="55" t="s">
        <v>175</v>
      </c>
      <c r="AM49" s="54" t="s">
        <v>49</v>
      </c>
      <c r="AN49" s="54"/>
      <c r="AO49" s="54"/>
      <c r="AP49" s="54"/>
      <c r="AQ49" s="57"/>
    </row>
    <row r="50" spans="1:43" ht="15.75" customHeight="1">
      <c r="A50" s="69">
        <v>43796</v>
      </c>
      <c r="B50" s="147" t="s">
        <v>166</v>
      </c>
      <c r="C50" s="70" t="s">
        <v>167</v>
      </c>
      <c r="D50" s="71" t="s">
        <v>179</v>
      </c>
      <c r="E50" s="23" t="s">
        <v>176</v>
      </c>
      <c r="F50" s="130">
        <v>7</v>
      </c>
      <c r="G50" s="25">
        <v>61</v>
      </c>
      <c r="H50" s="60">
        <f t="shared" si="4"/>
        <v>427</v>
      </c>
      <c r="I50" s="61" t="s">
        <v>170</v>
      </c>
      <c r="J50" s="31" t="s">
        <v>171</v>
      </c>
      <c r="K50" s="149">
        <v>43865</v>
      </c>
      <c r="L50" s="149"/>
      <c r="M50" s="43">
        <v>43864</v>
      </c>
      <c r="N50" s="63" t="s">
        <v>177</v>
      </c>
      <c r="O50" s="148" t="s">
        <v>178</v>
      </c>
      <c r="P50" s="34"/>
      <c r="Q50" s="142">
        <f t="shared" si="2"/>
        <v>0</v>
      </c>
      <c r="R50" s="1390"/>
      <c r="S50" s="1390"/>
      <c r="T50" s="75"/>
      <c r="U50" s="75">
        <f t="shared" si="3"/>
        <v>0</v>
      </c>
      <c r="V50" s="76"/>
      <c r="W50" s="52"/>
      <c r="X50" s="53"/>
      <c r="Y50" s="53"/>
      <c r="Z50" s="53"/>
      <c r="AA50" s="53"/>
      <c r="AB50" s="53"/>
      <c r="AC50" s="53"/>
      <c r="AD50" s="53"/>
      <c r="AE50" s="53"/>
      <c r="AF50" s="53"/>
      <c r="AG50" s="54"/>
      <c r="AH50" s="54"/>
      <c r="AI50" s="55"/>
      <c r="AJ50" s="146">
        <v>43819</v>
      </c>
      <c r="AK50" s="55" t="s">
        <v>174</v>
      </c>
      <c r="AL50" s="55" t="s">
        <v>175</v>
      </c>
      <c r="AM50" s="54" t="s">
        <v>49</v>
      </c>
      <c r="AN50" s="54"/>
      <c r="AO50" s="54"/>
      <c r="AP50" s="54"/>
      <c r="AQ50" s="57"/>
    </row>
    <row r="51" spans="1:43" ht="15.75" customHeight="1">
      <c r="A51" s="69">
        <v>43802</v>
      </c>
      <c r="B51" s="32" t="s">
        <v>76</v>
      </c>
      <c r="C51" s="21">
        <v>913</v>
      </c>
      <c r="D51" s="21" t="s">
        <v>180</v>
      </c>
      <c r="E51" s="23" t="s">
        <v>181</v>
      </c>
      <c r="F51" s="130">
        <v>50</v>
      </c>
      <c r="G51" s="25">
        <v>2.7</v>
      </c>
      <c r="H51" s="26">
        <f t="shared" ref="H51:H53" si="5">G51*F51</f>
        <v>135</v>
      </c>
      <c r="I51" s="61" t="s">
        <v>42</v>
      </c>
      <c r="J51" s="62" t="s">
        <v>182</v>
      </c>
      <c r="K51" s="44">
        <v>43839</v>
      </c>
      <c r="L51" s="44"/>
      <c r="M51" s="29">
        <v>43829</v>
      </c>
      <c r="N51" s="54" t="s">
        <v>183</v>
      </c>
      <c r="O51" s="64" t="s">
        <v>184</v>
      </c>
      <c r="P51" s="34"/>
      <c r="Q51" s="142">
        <f t="shared" si="2"/>
        <v>0</v>
      </c>
      <c r="R51" s="1390"/>
      <c r="S51" s="1390"/>
      <c r="T51" s="75">
        <v>60</v>
      </c>
      <c r="U51" s="75">
        <f t="shared" si="3"/>
        <v>3150</v>
      </c>
      <c r="V51" s="150" t="s">
        <v>185</v>
      </c>
      <c r="W51" s="52"/>
      <c r="X51" s="53"/>
      <c r="Y51" s="53"/>
      <c r="Z51" s="53"/>
      <c r="AA51" s="53"/>
      <c r="AB51" s="53"/>
      <c r="AC51" s="53"/>
      <c r="AD51" s="53"/>
      <c r="AE51" s="53"/>
      <c r="AF51" s="53"/>
      <c r="AG51" s="54"/>
      <c r="AH51" s="54"/>
      <c r="AI51" s="55"/>
      <c r="AJ51" s="56">
        <v>43872</v>
      </c>
      <c r="AK51" s="55">
        <f>392*29.96</f>
        <v>11744.32</v>
      </c>
      <c r="AL51" s="55">
        <v>0</v>
      </c>
      <c r="AM51" s="54" t="s">
        <v>49</v>
      </c>
      <c r="AN51" s="54"/>
      <c r="AO51" s="54"/>
      <c r="AP51" s="54"/>
      <c r="AQ51" s="57"/>
    </row>
    <row r="52" spans="1:43" ht="15.75" customHeight="1">
      <c r="A52" s="19">
        <v>43803</v>
      </c>
      <c r="B52" s="22" t="s">
        <v>39</v>
      </c>
      <c r="C52" s="21">
        <v>2032210</v>
      </c>
      <c r="D52" s="22" t="s">
        <v>186</v>
      </c>
      <c r="E52" s="151" t="s">
        <v>187</v>
      </c>
      <c r="F52" s="130">
        <v>50</v>
      </c>
      <c r="G52" s="25">
        <v>278</v>
      </c>
      <c r="H52" s="60">
        <f t="shared" si="5"/>
        <v>13900</v>
      </c>
      <c r="I52" s="61" t="s">
        <v>42</v>
      </c>
      <c r="J52" s="132" t="s">
        <v>79</v>
      </c>
      <c r="K52" s="43">
        <v>43864</v>
      </c>
      <c r="L52" s="43"/>
      <c r="M52" s="146"/>
      <c r="N52" s="63" t="s">
        <v>126</v>
      </c>
      <c r="O52" s="64"/>
      <c r="P52" s="34"/>
      <c r="Q52" s="152">
        <f t="shared" si="2"/>
        <v>0</v>
      </c>
      <c r="R52" s="152"/>
      <c r="S52" s="152"/>
      <c r="T52" s="107"/>
      <c r="U52" s="106">
        <f t="shared" si="3"/>
        <v>0</v>
      </c>
      <c r="V52" s="76"/>
      <c r="W52" s="52"/>
      <c r="X52" s="53"/>
      <c r="Y52" s="53"/>
      <c r="Z52" s="53"/>
      <c r="AA52" s="53"/>
      <c r="AB52" s="53"/>
      <c r="AC52" s="53"/>
      <c r="AD52" s="53"/>
      <c r="AE52" s="53"/>
      <c r="AF52" s="53"/>
      <c r="AG52" s="54"/>
      <c r="AH52" s="54"/>
      <c r="AI52" s="55"/>
      <c r="AJ52" s="56">
        <v>43892</v>
      </c>
      <c r="AK52" s="55">
        <f>13893.04*30.043</f>
        <v>417388.60071999999</v>
      </c>
      <c r="AL52" s="55">
        <f>6.96*30.043</f>
        <v>209.09927999999999</v>
      </c>
      <c r="AM52" s="54" t="s">
        <v>49</v>
      </c>
      <c r="AN52" s="54"/>
      <c r="AO52" s="54"/>
      <c r="AP52" s="54"/>
      <c r="AQ52" s="57"/>
    </row>
    <row r="53" spans="1:43" ht="15.75" customHeight="1">
      <c r="A53" s="19">
        <v>43803</v>
      </c>
      <c r="B53" s="22" t="s">
        <v>39</v>
      </c>
      <c r="C53" s="21">
        <v>2032210</v>
      </c>
      <c r="D53" s="21" t="s">
        <v>188</v>
      </c>
      <c r="E53" s="151" t="s">
        <v>187</v>
      </c>
      <c r="F53" s="130">
        <v>50</v>
      </c>
      <c r="G53" s="25">
        <v>278</v>
      </c>
      <c r="H53" s="81">
        <f t="shared" si="5"/>
        <v>13900</v>
      </c>
      <c r="I53" s="61" t="s">
        <v>42</v>
      </c>
      <c r="J53" s="62" t="s">
        <v>79</v>
      </c>
      <c r="K53" s="43">
        <v>43983</v>
      </c>
      <c r="L53" s="1471"/>
      <c r="M53" s="153"/>
      <c r="N53" s="63" t="s">
        <v>126</v>
      </c>
      <c r="O53" s="64"/>
      <c r="P53" s="34"/>
      <c r="Q53" s="152">
        <f t="shared" si="2"/>
        <v>0</v>
      </c>
      <c r="R53" s="152"/>
      <c r="S53" s="152"/>
      <c r="T53" s="107"/>
      <c r="U53" s="106">
        <f t="shared" si="3"/>
        <v>0</v>
      </c>
      <c r="V53" s="76"/>
      <c r="W53" s="52"/>
      <c r="X53" s="53"/>
      <c r="Y53" s="53"/>
      <c r="Z53" s="53"/>
      <c r="AA53" s="53"/>
      <c r="AB53" s="53"/>
      <c r="AC53" s="53"/>
      <c r="AD53" s="53"/>
      <c r="AE53" s="53"/>
      <c r="AF53" s="53"/>
      <c r="AG53" s="54"/>
      <c r="AH53" s="54"/>
      <c r="AI53" s="55"/>
      <c r="AJ53" s="68"/>
      <c r="AK53" s="55"/>
      <c r="AL53" s="55"/>
      <c r="AM53" s="54"/>
      <c r="AN53" s="54"/>
      <c r="AO53" s="54"/>
      <c r="AP53" s="54"/>
      <c r="AQ53" s="57"/>
    </row>
    <row r="54" spans="1:43" ht="15.75" customHeight="1">
      <c r="A54" s="110">
        <v>43808</v>
      </c>
      <c r="B54" s="144" t="s">
        <v>166</v>
      </c>
      <c r="C54" s="71" t="s">
        <v>189</v>
      </c>
      <c r="D54" s="71" t="s">
        <v>190</v>
      </c>
      <c r="E54" s="72" t="s">
        <v>169</v>
      </c>
      <c r="F54" s="114">
        <v>3</v>
      </c>
      <c r="G54" s="115">
        <v>1429</v>
      </c>
      <c r="H54" s="60">
        <f t="shared" ref="H54:H56" si="6">F54*G54</f>
        <v>4287</v>
      </c>
      <c r="I54" s="154" t="s">
        <v>170</v>
      </c>
      <c r="J54" s="58" t="s">
        <v>171</v>
      </c>
      <c r="K54" s="149">
        <v>43865</v>
      </c>
      <c r="L54" s="149"/>
      <c r="M54" s="43">
        <v>43864</v>
      </c>
      <c r="N54" s="63"/>
      <c r="O54" s="64">
        <v>2019120900001</v>
      </c>
      <c r="P54" s="34"/>
      <c r="Q54" s="34">
        <f t="shared" si="2"/>
        <v>0</v>
      </c>
      <c r="R54" s="34"/>
      <c r="S54" s="34"/>
      <c r="T54" s="34"/>
      <c r="U54" s="34">
        <f t="shared" si="3"/>
        <v>0</v>
      </c>
      <c r="V54" s="76"/>
      <c r="W54" s="52"/>
      <c r="X54" s="53"/>
      <c r="Y54" s="53"/>
      <c r="Z54" s="53"/>
      <c r="AA54" s="53"/>
      <c r="AB54" s="53"/>
      <c r="AC54" s="53"/>
      <c r="AD54" s="53"/>
      <c r="AE54" s="53"/>
      <c r="AF54" s="53"/>
      <c r="AG54" s="54"/>
      <c r="AH54" s="54"/>
      <c r="AI54" s="55"/>
      <c r="AJ54" s="146">
        <v>43819</v>
      </c>
      <c r="AK54" s="55" t="s">
        <v>174</v>
      </c>
      <c r="AL54" s="55" t="s">
        <v>175</v>
      </c>
      <c r="AM54" s="54" t="s">
        <v>49</v>
      </c>
      <c r="AN54" s="54"/>
      <c r="AO54" s="54"/>
      <c r="AP54" s="54"/>
      <c r="AQ54" s="54"/>
    </row>
    <row r="55" spans="1:43" ht="15.75" customHeight="1">
      <c r="A55" s="69">
        <v>43808</v>
      </c>
      <c r="B55" s="144" t="s">
        <v>166</v>
      </c>
      <c r="C55" s="21" t="s">
        <v>189</v>
      </c>
      <c r="D55" s="71" t="s">
        <v>190</v>
      </c>
      <c r="E55" s="32" t="s">
        <v>173</v>
      </c>
      <c r="F55" s="24">
        <v>3</v>
      </c>
      <c r="G55" s="48">
        <v>72</v>
      </c>
      <c r="H55" s="60">
        <f t="shared" si="6"/>
        <v>216</v>
      </c>
      <c r="I55" s="61" t="s">
        <v>170</v>
      </c>
      <c r="J55" s="58" t="s">
        <v>171</v>
      </c>
      <c r="K55" s="149">
        <v>43865</v>
      </c>
      <c r="L55" s="149"/>
      <c r="M55" s="43">
        <v>43864</v>
      </c>
      <c r="N55" s="63"/>
      <c r="O55" s="64"/>
      <c r="P55" s="34"/>
      <c r="Q55" s="34">
        <f t="shared" si="2"/>
        <v>0</v>
      </c>
      <c r="R55" s="34"/>
      <c r="S55" s="34"/>
      <c r="T55" s="34"/>
      <c r="U55" s="34">
        <f t="shared" si="3"/>
        <v>0</v>
      </c>
      <c r="V55" s="76"/>
      <c r="W55" s="52"/>
      <c r="X55" s="53"/>
      <c r="Y55" s="53"/>
      <c r="Z55" s="53"/>
      <c r="AA55" s="53"/>
      <c r="AB55" s="53"/>
      <c r="AC55" s="53"/>
      <c r="AD55" s="53"/>
      <c r="AE55" s="53"/>
      <c r="AF55" s="53"/>
      <c r="AG55" s="54"/>
      <c r="AH55" s="54"/>
      <c r="AI55" s="55"/>
      <c r="AJ55" s="146">
        <v>43819</v>
      </c>
      <c r="AK55" s="55" t="s">
        <v>174</v>
      </c>
      <c r="AL55" s="55" t="s">
        <v>175</v>
      </c>
      <c r="AM55" s="54" t="s">
        <v>49</v>
      </c>
      <c r="AN55" s="54"/>
      <c r="AO55" s="54"/>
      <c r="AP55" s="54"/>
      <c r="AQ55" s="54"/>
    </row>
    <row r="56" spans="1:43" ht="15.75" customHeight="1">
      <c r="A56" s="69">
        <v>43808</v>
      </c>
      <c r="B56" s="144" t="s">
        <v>166</v>
      </c>
      <c r="C56" s="21" t="s">
        <v>189</v>
      </c>
      <c r="D56" s="71" t="s">
        <v>190</v>
      </c>
      <c r="E56" s="32" t="s">
        <v>176</v>
      </c>
      <c r="F56" s="24">
        <v>3</v>
      </c>
      <c r="G56" s="48">
        <v>61</v>
      </c>
      <c r="H56" s="60">
        <f t="shared" si="6"/>
        <v>183</v>
      </c>
      <c r="I56" s="61" t="s">
        <v>170</v>
      </c>
      <c r="J56" s="58" t="s">
        <v>171</v>
      </c>
      <c r="K56" s="149">
        <v>43865</v>
      </c>
      <c r="L56" s="149"/>
      <c r="M56" s="43">
        <v>43864</v>
      </c>
      <c r="N56" s="63" t="s">
        <v>177</v>
      </c>
      <c r="O56" s="148" t="s">
        <v>178</v>
      </c>
      <c r="P56" s="34"/>
      <c r="Q56" s="152">
        <f t="shared" si="2"/>
        <v>0</v>
      </c>
      <c r="R56" s="152"/>
      <c r="S56" s="152"/>
      <c r="T56" s="107"/>
      <c r="U56" s="106">
        <f t="shared" si="3"/>
        <v>0</v>
      </c>
      <c r="V56" s="76"/>
      <c r="W56" s="52"/>
      <c r="X56" s="53"/>
      <c r="Y56" s="53"/>
      <c r="Z56" s="53"/>
      <c r="AA56" s="53"/>
      <c r="AB56" s="53"/>
      <c r="AC56" s="53"/>
      <c r="AD56" s="53"/>
      <c r="AE56" s="53"/>
      <c r="AF56" s="53"/>
      <c r="AG56" s="54"/>
      <c r="AH56" s="54"/>
      <c r="AI56" s="55"/>
      <c r="AJ56" s="146">
        <v>43819</v>
      </c>
      <c r="AK56" s="55" t="s">
        <v>174</v>
      </c>
      <c r="AL56" s="55" t="s">
        <v>175</v>
      </c>
      <c r="AM56" s="54" t="s">
        <v>49</v>
      </c>
      <c r="AN56" s="54"/>
      <c r="AO56" s="54"/>
      <c r="AP56" s="54"/>
      <c r="AQ56" s="54"/>
    </row>
    <row r="57" spans="1:43" ht="15.75" customHeight="1">
      <c r="A57" s="69">
        <v>43810</v>
      </c>
      <c r="B57" s="23" t="s">
        <v>76</v>
      </c>
      <c r="C57" s="21">
        <v>959</v>
      </c>
      <c r="D57" s="71" t="s">
        <v>191</v>
      </c>
      <c r="E57" s="32" t="s">
        <v>192</v>
      </c>
      <c r="F57" s="24">
        <v>1</v>
      </c>
      <c r="G57" s="48">
        <v>257</v>
      </c>
      <c r="H57" s="26">
        <f t="shared" ref="H57:H75" si="7">G57*F57</f>
        <v>257</v>
      </c>
      <c r="I57" s="61" t="s">
        <v>42</v>
      </c>
      <c r="J57" s="62" t="s">
        <v>182</v>
      </c>
      <c r="K57" s="43">
        <v>43839</v>
      </c>
      <c r="L57" s="43"/>
      <c r="M57" s="43"/>
      <c r="N57" s="54"/>
      <c r="O57" s="64"/>
      <c r="P57" s="34"/>
      <c r="Q57" s="152">
        <f t="shared" si="2"/>
        <v>0</v>
      </c>
      <c r="R57" s="152"/>
      <c r="S57" s="152"/>
      <c r="T57" s="107"/>
      <c r="U57" s="106">
        <f t="shared" si="3"/>
        <v>0</v>
      </c>
      <c r="V57" s="150"/>
      <c r="W57" s="52"/>
      <c r="X57" s="53"/>
      <c r="Y57" s="53"/>
      <c r="Z57" s="53"/>
      <c r="AA57" s="53"/>
      <c r="AB57" s="53"/>
      <c r="AC57" s="53"/>
      <c r="AD57" s="53"/>
      <c r="AE57" s="53"/>
      <c r="AF57" s="53"/>
      <c r="AG57" s="54"/>
      <c r="AH57" s="54"/>
      <c r="AI57" s="55"/>
      <c r="AJ57" s="56">
        <v>43872</v>
      </c>
      <c r="AK57" s="55" t="s">
        <v>193</v>
      </c>
      <c r="AL57" s="55" t="s">
        <v>194</v>
      </c>
      <c r="AM57" s="54" t="s">
        <v>49</v>
      </c>
      <c r="AN57" s="54"/>
      <c r="AO57" s="54"/>
      <c r="AP57" s="54"/>
      <c r="AQ57" s="54"/>
    </row>
    <row r="58" spans="1:43" ht="15.75" customHeight="1">
      <c r="A58" s="69">
        <v>43815</v>
      </c>
      <c r="B58" s="70" t="s">
        <v>139</v>
      </c>
      <c r="C58" s="21" t="s">
        <v>195</v>
      </c>
      <c r="D58" s="71" t="s">
        <v>196</v>
      </c>
      <c r="E58" s="32" t="s">
        <v>197</v>
      </c>
      <c r="F58" s="24">
        <v>2</v>
      </c>
      <c r="G58" s="48">
        <v>140</v>
      </c>
      <c r="H58" s="26">
        <f t="shared" si="7"/>
        <v>280</v>
      </c>
      <c r="I58" s="61" t="s">
        <v>143</v>
      </c>
      <c r="J58" s="63" t="s">
        <v>198</v>
      </c>
      <c r="K58" s="44">
        <v>43868</v>
      </c>
      <c r="L58" s="44"/>
      <c r="M58" s="44">
        <v>43865</v>
      </c>
      <c r="N58" s="63" t="s">
        <v>89</v>
      </c>
      <c r="O58" s="64" t="s">
        <v>199</v>
      </c>
      <c r="P58" s="34">
        <v>128</v>
      </c>
      <c r="Q58" s="155">
        <f t="shared" si="2"/>
        <v>268.8</v>
      </c>
      <c r="R58" s="155"/>
      <c r="S58" s="155"/>
      <c r="T58" s="89"/>
      <c r="U58" s="86">
        <f t="shared" si="3"/>
        <v>0</v>
      </c>
      <c r="V58" s="35" t="s">
        <v>93</v>
      </c>
      <c r="W58" s="52"/>
      <c r="X58" s="53"/>
      <c r="Y58" s="53"/>
      <c r="Z58" s="53"/>
      <c r="AA58" s="53"/>
      <c r="AB58" s="53"/>
      <c r="AC58" s="53"/>
      <c r="AD58" s="53"/>
      <c r="AE58" s="53"/>
      <c r="AF58" s="53"/>
      <c r="AG58" s="54"/>
      <c r="AH58" s="54"/>
      <c r="AI58" s="55"/>
      <c r="AJ58" s="108">
        <v>43860</v>
      </c>
      <c r="AK58" s="107" t="s">
        <v>146</v>
      </c>
      <c r="AL58" s="107" t="s">
        <v>147</v>
      </c>
      <c r="AM58" s="107" t="s">
        <v>49</v>
      </c>
      <c r="AN58" s="54"/>
      <c r="AO58" s="54"/>
      <c r="AP58" s="54"/>
      <c r="AQ58" s="54"/>
    </row>
    <row r="59" spans="1:43" ht="15.75" customHeight="1">
      <c r="A59" s="69">
        <v>43815</v>
      </c>
      <c r="B59" s="70" t="s">
        <v>139</v>
      </c>
      <c r="C59" s="21" t="s">
        <v>195</v>
      </c>
      <c r="D59" s="71" t="s">
        <v>196</v>
      </c>
      <c r="E59" s="32" t="s">
        <v>200</v>
      </c>
      <c r="F59" s="24">
        <v>1</v>
      </c>
      <c r="G59" s="48">
        <v>189</v>
      </c>
      <c r="H59" s="26">
        <f t="shared" si="7"/>
        <v>189</v>
      </c>
      <c r="I59" s="61" t="s">
        <v>143</v>
      </c>
      <c r="J59" s="63" t="s">
        <v>198</v>
      </c>
      <c r="K59" s="44">
        <v>43868</v>
      </c>
      <c r="L59" s="44"/>
      <c r="M59" s="44">
        <v>43865</v>
      </c>
      <c r="N59" s="63" t="s">
        <v>89</v>
      </c>
      <c r="O59" s="64" t="s">
        <v>199</v>
      </c>
      <c r="P59" s="34">
        <v>182</v>
      </c>
      <c r="Q59" s="155">
        <f t="shared" si="2"/>
        <v>191.1</v>
      </c>
      <c r="R59" s="155"/>
      <c r="S59" s="155"/>
      <c r="T59" s="89"/>
      <c r="U59" s="86">
        <f t="shared" si="3"/>
        <v>0</v>
      </c>
      <c r="V59" s="35" t="s">
        <v>93</v>
      </c>
      <c r="W59" s="52"/>
      <c r="X59" s="53"/>
      <c r="Y59" s="53"/>
      <c r="Z59" s="53"/>
      <c r="AA59" s="53"/>
      <c r="AB59" s="53"/>
      <c r="AC59" s="53"/>
      <c r="AD59" s="53"/>
      <c r="AE59" s="53"/>
      <c r="AF59" s="53"/>
      <c r="AG59" s="54"/>
      <c r="AH59" s="54"/>
      <c r="AI59" s="55"/>
      <c r="AJ59" s="108">
        <v>43860</v>
      </c>
      <c r="AK59" s="107" t="s">
        <v>146</v>
      </c>
      <c r="AL59" s="107" t="s">
        <v>147</v>
      </c>
      <c r="AM59" s="107" t="s">
        <v>49</v>
      </c>
      <c r="AN59" s="54"/>
      <c r="AO59" s="54"/>
      <c r="AP59" s="54"/>
      <c r="AQ59" s="54"/>
    </row>
    <row r="60" spans="1:43" ht="15.75" customHeight="1">
      <c r="A60" s="69">
        <v>43815</v>
      </c>
      <c r="B60" s="70" t="s">
        <v>139</v>
      </c>
      <c r="C60" s="21" t="s">
        <v>201</v>
      </c>
      <c r="D60" s="71" t="s">
        <v>196</v>
      </c>
      <c r="E60" s="32" t="s">
        <v>202</v>
      </c>
      <c r="F60" s="49">
        <v>32</v>
      </c>
      <c r="G60" s="48">
        <v>124</v>
      </c>
      <c r="H60" s="26">
        <f t="shared" si="7"/>
        <v>3968</v>
      </c>
      <c r="I60" s="61" t="s">
        <v>143</v>
      </c>
      <c r="J60" s="63" t="s">
        <v>198</v>
      </c>
      <c r="K60" s="49" t="s">
        <v>203</v>
      </c>
      <c r="L60" s="49"/>
      <c r="M60" s="49" t="s">
        <v>204</v>
      </c>
      <c r="N60" s="63" t="s">
        <v>89</v>
      </c>
      <c r="O60" s="64" t="s">
        <v>205</v>
      </c>
      <c r="P60" s="34">
        <v>120</v>
      </c>
      <c r="Q60" s="155">
        <f t="shared" si="2"/>
        <v>4032</v>
      </c>
      <c r="R60" s="155"/>
      <c r="S60" s="155"/>
      <c r="T60" s="89"/>
      <c r="U60" s="86">
        <f t="shared" si="3"/>
        <v>0</v>
      </c>
      <c r="V60" s="35" t="s">
        <v>93</v>
      </c>
      <c r="W60" s="52"/>
      <c r="X60" s="53"/>
      <c r="Y60" s="53"/>
      <c r="Z60" s="53"/>
      <c r="AA60" s="53"/>
      <c r="AB60" s="53"/>
      <c r="AC60" s="53"/>
      <c r="AD60" s="53"/>
      <c r="AE60" s="53"/>
      <c r="AF60" s="53"/>
      <c r="AG60" s="54"/>
      <c r="AH60" s="54"/>
      <c r="AI60" s="55"/>
      <c r="AJ60" s="156" t="s">
        <v>206</v>
      </c>
      <c r="AK60" s="107" t="s">
        <v>146</v>
      </c>
      <c r="AL60" s="107" t="s">
        <v>147</v>
      </c>
      <c r="AM60" s="54"/>
      <c r="AN60" s="54"/>
      <c r="AO60" s="54"/>
      <c r="AP60" s="54"/>
      <c r="AQ60" s="54"/>
    </row>
    <row r="61" spans="1:43" ht="15.75" customHeight="1">
      <c r="A61" s="69">
        <v>43815</v>
      </c>
      <c r="B61" s="70" t="s">
        <v>139</v>
      </c>
      <c r="C61" s="66" t="s">
        <v>207</v>
      </c>
      <c r="D61" s="71" t="s">
        <v>208</v>
      </c>
      <c r="E61" s="23" t="s">
        <v>209</v>
      </c>
      <c r="F61" s="130">
        <v>3</v>
      </c>
      <c r="G61" s="25">
        <v>127</v>
      </c>
      <c r="H61" s="26">
        <f t="shared" si="7"/>
        <v>381</v>
      </c>
      <c r="I61" s="61" t="s">
        <v>143</v>
      </c>
      <c r="J61" s="63" t="s">
        <v>198</v>
      </c>
      <c r="K61" s="44">
        <v>43868</v>
      </c>
      <c r="L61" s="44"/>
      <c r="M61" s="44">
        <v>43865</v>
      </c>
      <c r="N61" s="63" t="s">
        <v>89</v>
      </c>
      <c r="O61" s="64" t="s">
        <v>199</v>
      </c>
      <c r="P61" s="34">
        <v>118</v>
      </c>
      <c r="Q61" s="157">
        <f t="shared" si="2"/>
        <v>371.7</v>
      </c>
      <c r="R61" s="157"/>
      <c r="S61" s="157"/>
      <c r="T61" s="34"/>
      <c r="U61" s="34">
        <f t="shared" si="3"/>
        <v>0</v>
      </c>
      <c r="V61" s="35" t="s">
        <v>93</v>
      </c>
      <c r="W61" s="52"/>
      <c r="X61" s="53"/>
      <c r="Y61" s="53"/>
      <c r="Z61" s="53"/>
      <c r="AA61" s="53"/>
      <c r="AB61" s="53"/>
      <c r="AC61" s="53"/>
      <c r="AD61" s="53"/>
      <c r="AE61" s="53"/>
      <c r="AF61" s="53"/>
      <c r="AG61" s="54"/>
      <c r="AH61" s="54"/>
      <c r="AI61" s="55"/>
      <c r="AJ61" s="108">
        <v>43860</v>
      </c>
      <c r="AK61" s="107" t="s">
        <v>146</v>
      </c>
      <c r="AL61" s="107" t="s">
        <v>147</v>
      </c>
      <c r="AM61" s="107" t="s">
        <v>49</v>
      </c>
      <c r="AN61" s="54"/>
      <c r="AO61" s="54"/>
      <c r="AP61" s="54"/>
      <c r="AQ61" s="57"/>
    </row>
    <row r="62" spans="1:43" ht="15.75" customHeight="1">
      <c r="A62" s="69">
        <v>43815</v>
      </c>
      <c r="B62" s="70" t="s">
        <v>139</v>
      </c>
      <c r="C62" s="66" t="s">
        <v>207</v>
      </c>
      <c r="D62" s="71" t="s">
        <v>208</v>
      </c>
      <c r="E62" s="23" t="s">
        <v>210</v>
      </c>
      <c r="F62" s="130">
        <v>10</v>
      </c>
      <c r="G62" s="25">
        <v>102</v>
      </c>
      <c r="H62" s="26">
        <f t="shared" si="7"/>
        <v>1020</v>
      </c>
      <c r="I62" s="61" t="s">
        <v>143</v>
      </c>
      <c r="J62" s="63" t="s">
        <v>198</v>
      </c>
      <c r="K62" s="44">
        <v>43893</v>
      </c>
      <c r="L62" s="44"/>
      <c r="M62" s="44">
        <v>43887</v>
      </c>
      <c r="N62" s="63" t="s">
        <v>89</v>
      </c>
      <c r="O62" s="64" t="s">
        <v>199</v>
      </c>
      <c r="P62" s="34">
        <v>96</v>
      </c>
      <c r="Q62" s="157">
        <f t="shared" si="2"/>
        <v>1008</v>
      </c>
      <c r="R62" s="157"/>
      <c r="S62" s="157"/>
      <c r="T62" s="34"/>
      <c r="U62" s="34">
        <f t="shared" si="3"/>
        <v>0</v>
      </c>
      <c r="V62" s="35" t="s">
        <v>93</v>
      </c>
      <c r="W62" s="52"/>
      <c r="X62" s="53"/>
      <c r="Y62" s="53"/>
      <c r="Z62" s="53"/>
      <c r="AA62" s="53"/>
      <c r="AB62" s="53"/>
      <c r="AC62" s="53"/>
      <c r="AD62" s="53"/>
      <c r="AE62" s="53"/>
      <c r="AF62" s="53"/>
      <c r="AG62" s="54"/>
      <c r="AH62" s="54"/>
      <c r="AI62" s="55"/>
      <c r="AJ62" s="56">
        <v>43882</v>
      </c>
      <c r="AK62" s="55"/>
      <c r="AL62" s="55"/>
      <c r="AM62" s="54"/>
      <c r="AN62" s="54"/>
      <c r="AO62" s="54"/>
      <c r="AP62" s="54"/>
      <c r="AQ62" s="57"/>
    </row>
    <row r="63" spans="1:43" ht="15.75" customHeight="1">
      <c r="A63" s="69">
        <v>43815</v>
      </c>
      <c r="B63" s="70" t="s">
        <v>139</v>
      </c>
      <c r="C63" s="66" t="s">
        <v>207</v>
      </c>
      <c r="D63" s="71" t="s">
        <v>208</v>
      </c>
      <c r="E63" s="23" t="s">
        <v>211</v>
      </c>
      <c r="F63" s="130">
        <v>10</v>
      </c>
      <c r="G63" s="25">
        <v>29</v>
      </c>
      <c r="H63" s="26">
        <f t="shared" si="7"/>
        <v>290</v>
      </c>
      <c r="I63" s="61" t="s">
        <v>143</v>
      </c>
      <c r="J63" s="63" t="s">
        <v>198</v>
      </c>
      <c r="K63" s="44">
        <v>43868</v>
      </c>
      <c r="L63" s="44"/>
      <c r="M63" s="44">
        <v>43865</v>
      </c>
      <c r="N63" s="63" t="s">
        <v>89</v>
      </c>
      <c r="O63" s="64" t="s">
        <v>199</v>
      </c>
      <c r="P63" s="34">
        <v>27</v>
      </c>
      <c r="Q63" s="158">
        <f t="shared" si="2"/>
        <v>283.5</v>
      </c>
      <c r="R63" s="1391"/>
      <c r="S63" s="1391"/>
      <c r="T63" s="159"/>
      <c r="U63" s="160">
        <f t="shared" si="3"/>
        <v>0</v>
      </c>
      <c r="V63" s="35" t="s">
        <v>93</v>
      </c>
      <c r="W63" s="52"/>
      <c r="X63" s="53"/>
      <c r="Y63" s="53"/>
      <c r="Z63" s="53"/>
      <c r="AA63" s="53"/>
      <c r="AB63" s="53"/>
      <c r="AC63" s="53"/>
      <c r="AD63" s="53"/>
      <c r="AE63" s="53"/>
      <c r="AF63" s="53"/>
      <c r="AG63" s="54"/>
      <c r="AH63" s="54"/>
      <c r="AI63" s="55"/>
      <c r="AJ63" s="108">
        <v>43860</v>
      </c>
      <c r="AK63" s="107" t="s">
        <v>146</v>
      </c>
      <c r="AL63" s="107" t="s">
        <v>147</v>
      </c>
      <c r="AM63" s="107" t="s">
        <v>49</v>
      </c>
      <c r="AN63" s="54"/>
      <c r="AO63" s="54"/>
      <c r="AP63" s="54"/>
      <c r="AQ63" s="57"/>
    </row>
    <row r="64" spans="1:43" ht="15.75" customHeight="1">
      <c r="A64" s="69">
        <v>43818</v>
      </c>
      <c r="B64" s="23" t="s">
        <v>212</v>
      </c>
      <c r="C64" s="21" t="s">
        <v>213</v>
      </c>
      <c r="D64" s="71" t="s">
        <v>214</v>
      </c>
      <c r="E64" s="32" t="s">
        <v>215</v>
      </c>
      <c r="F64" s="130">
        <v>5</v>
      </c>
      <c r="G64" s="48">
        <v>109</v>
      </c>
      <c r="H64" s="60">
        <f t="shared" si="7"/>
        <v>545</v>
      </c>
      <c r="I64" s="132" t="s">
        <v>143</v>
      </c>
      <c r="J64" s="161" t="s">
        <v>216</v>
      </c>
      <c r="K64" s="44">
        <v>43893</v>
      </c>
      <c r="L64" s="44"/>
      <c r="M64" s="44">
        <v>43892</v>
      </c>
      <c r="N64" s="63" t="s">
        <v>89</v>
      </c>
      <c r="O64" s="64" t="s">
        <v>217</v>
      </c>
      <c r="P64" s="34">
        <v>96</v>
      </c>
      <c r="Q64" s="142">
        <f t="shared" si="2"/>
        <v>504</v>
      </c>
      <c r="R64" s="1390"/>
      <c r="S64" s="1390"/>
      <c r="T64" s="75"/>
      <c r="U64" s="75">
        <f t="shared" si="3"/>
        <v>0</v>
      </c>
      <c r="V64" s="35" t="s">
        <v>93</v>
      </c>
      <c r="W64" s="52"/>
      <c r="X64" s="53"/>
      <c r="Y64" s="53"/>
      <c r="Z64" s="53"/>
      <c r="AA64" s="53"/>
      <c r="AB64" s="53"/>
      <c r="AC64" s="53"/>
      <c r="AD64" s="53"/>
      <c r="AE64" s="53"/>
      <c r="AF64" s="53"/>
      <c r="AG64" s="54"/>
      <c r="AH64" s="54"/>
      <c r="AI64" s="55"/>
      <c r="AJ64" s="56">
        <v>43845</v>
      </c>
      <c r="AK64" s="55">
        <f>585*29.852</f>
        <v>17463.420000000002</v>
      </c>
      <c r="AL64" s="55">
        <v>0</v>
      </c>
      <c r="AM64" s="54" t="s">
        <v>49</v>
      </c>
      <c r="AN64" s="54"/>
      <c r="AO64" s="54"/>
      <c r="AP64" s="54"/>
      <c r="AQ64" s="57"/>
    </row>
    <row r="65" spans="1:43" ht="15.75" customHeight="1">
      <c r="A65" s="69">
        <v>43818</v>
      </c>
      <c r="B65" s="23" t="s">
        <v>212</v>
      </c>
      <c r="C65" s="70" t="s">
        <v>213</v>
      </c>
      <c r="D65" s="71" t="s">
        <v>214</v>
      </c>
      <c r="E65" s="23" t="s">
        <v>218</v>
      </c>
      <c r="F65" s="130">
        <v>1</v>
      </c>
      <c r="G65" s="25">
        <v>40</v>
      </c>
      <c r="H65" s="60">
        <f t="shared" si="7"/>
        <v>40</v>
      </c>
      <c r="I65" s="132" t="s">
        <v>143</v>
      </c>
      <c r="J65" s="161" t="s">
        <v>216</v>
      </c>
      <c r="K65" s="44">
        <v>43893</v>
      </c>
      <c r="L65" s="44"/>
      <c r="M65" s="146"/>
      <c r="N65" s="54" t="s">
        <v>219</v>
      </c>
      <c r="O65" s="64"/>
      <c r="P65" s="34"/>
      <c r="Q65" s="142">
        <f t="shared" si="2"/>
        <v>0</v>
      </c>
      <c r="R65" s="1390"/>
      <c r="S65" s="1390"/>
      <c r="T65" s="75"/>
      <c r="U65" s="75">
        <f t="shared" si="3"/>
        <v>0</v>
      </c>
      <c r="V65" s="35" t="s">
        <v>93</v>
      </c>
      <c r="W65" s="52"/>
      <c r="X65" s="53"/>
      <c r="Y65" s="53"/>
      <c r="Z65" s="53"/>
      <c r="AA65" s="53"/>
      <c r="AB65" s="53"/>
      <c r="AC65" s="53"/>
      <c r="AD65" s="53"/>
      <c r="AE65" s="53"/>
      <c r="AF65" s="53"/>
      <c r="AG65" s="54"/>
      <c r="AH65" s="54"/>
      <c r="AI65" s="55"/>
      <c r="AJ65" s="56">
        <v>43845</v>
      </c>
      <c r="AK65" s="55" t="s">
        <v>220</v>
      </c>
      <c r="AL65" s="55" t="s">
        <v>221</v>
      </c>
      <c r="AM65" s="54" t="s">
        <v>49</v>
      </c>
      <c r="AN65" s="54"/>
      <c r="AO65" s="54"/>
      <c r="AP65" s="54"/>
      <c r="AQ65" s="57"/>
    </row>
    <row r="66" spans="1:43" ht="15.75" customHeight="1">
      <c r="A66" s="69">
        <v>43819</v>
      </c>
      <c r="B66" s="70" t="s">
        <v>222</v>
      </c>
      <c r="C66" s="70" t="s">
        <v>223</v>
      </c>
      <c r="D66" s="112" t="s">
        <v>224</v>
      </c>
      <c r="E66" s="32" t="s">
        <v>225</v>
      </c>
      <c r="F66" s="130">
        <v>2</v>
      </c>
      <c r="G66" s="25">
        <v>90.3</v>
      </c>
      <c r="H66" s="60">
        <f t="shared" si="7"/>
        <v>180.6</v>
      </c>
      <c r="I66" s="132" t="s">
        <v>86</v>
      </c>
      <c r="J66" s="63" t="s">
        <v>226</v>
      </c>
      <c r="K66" s="43">
        <v>43860</v>
      </c>
      <c r="L66" s="43"/>
      <c r="M66" s="44">
        <v>43846</v>
      </c>
      <c r="N66" s="63" t="s">
        <v>89</v>
      </c>
      <c r="O66" s="64" t="s">
        <v>227</v>
      </c>
      <c r="P66" s="34">
        <v>78</v>
      </c>
      <c r="Q66" s="158">
        <f t="shared" si="2"/>
        <v>163.80000000000001</v>
      </c>
      <c r="R66" s="1391"/>
      <c r="S66" s="1391"/>
      <c r="T66" s="159"/>
      <c r="U66" s="160">
        <f t="shared" si="3"/>
        <v>0</v>
      </c>
      <c r="V66" s="35" t="s">
        <v>93</v>
      </c>
      <c r="W66" s="52"/>
      <c r="X66" s="53"/>
      <c r="Y66" s="53"/>
      <c r="Z66" s="53"/>
      <c r="AA66" s="53"/>
      <c r="AB66" s="53"/>
      <c r="AC66" s="53"/>
      <c r="AD66" s="53"/>
      <c r="AE66" s="53"/>
      <c r="AF66" s="53"/>
      <c r="AG66" s="54"/>
      <c r="AH66" s="54"/>
      <c r="AI66" s="55"/>
      <c r="AJ66" s="56">
        <v>43871</v>
      </c>
      <c r="AK66" s="55">
        <v>5387</v>
      </c>
      <c r="AL66" s="55">
        <v>15</v>
      </c>
      <c r="AM66" s="54" t="s">
        <v>49</v>
      </c>
      <c r="AN66" s="54"/>
      <c r="AO66" s="54"/>
      <c r="AP66" s="54"/>
      <c r="AQ66" s="57"/>
    </row>
    <row r="67" spans="1:43" ht="15.75" customHeight="1">
      <c r="A67" s="69">
        <v>43823</v>
      </c>
      <c r="B67" s="70" t="s">
        <v>228</v>
      </c>
      <c r="C67" s="70" t="s">
        <v>229</v>
      </c>
      <c r="D67" s="71" t="s">
        <v>230</v>
      </c>
      <c r="E67" s="23" t="s">
        <v>231</v>
      </c>
      <c r="F67" s="130">
        <v>30</v>
      </c>
      <c r="G67" s="25">
        <v>407.4</v>
      </c>
      <c r="H67" s="162">
        <f t="shared" si="7"/>
        <v>12222</v>
      </c>
      <c r="I67" s="61" t="s">
        <v>170</v>
      </c>
      <c r="J67" s="63" t="s">
        <v>232</v>
      </c>
      <c r="K67" s="163" t="s">
        <v>70</v>
      </c>
      <c r="L67" s="163"/>
      <c r="M67" s="44">
        <v>43923</v>
      </c>
      <c r="N67" s="63" t="s">
        <v>89</v>
      </c>
      <c r="O67" s="93" t="s">
        <v>233</v>
      </c>
      <c r="P67" s="34">
        <v>355</v>
      </c>
      <c r="Q67" s="164">
        <f t="shared" si="2"/>
        <v>11182.5</v>
      </c>
      <c r="R67" s="1392"/>
      <c r="S67" s="1392"/>
      <c r="T67" s="159"/>
      <c r="U67" s="160">
        <f t="shared" si="3"/>
        <v>0</v>
      </c>
      <c r="V67" s="35" t="s">
        <v>93</v>
      </c>
      <c r="W67" s="52"/>
      <c r="X67" s="53"/>
      <c r="Y67" s="53"/>
      <c r="Z67" s="53"/>
      <c r="AA67" s="53"/>
      <c r="AB67" s="53"/>
      <c r="AC67" s="53"/>
      <c r="AD67" s="53"/>
      <c r="AE67" s="53"/>
      <c r="AF67" s="53"/>
      <c r="AG67" s="54"/>
      <c r="AH67" s="54"/>
      <c r="AI67" s="55"/>
      <c r="AJ67" s="56">
        <v>43837</v>
      </c>
      <c r="AK67" s="55">
        <v>21784</v>
      </c>
      <c r="AL67" s="55">
        <v>0</v>
      </c>
      <c r="AM67" s="54"/>
      <c r="AN67" s="54"/>
      <c r="AO67" s="54"/>
      <c r="AP67" s="54"/>
      <c r="AQ67" s="57"/>
    </row>
    <row r="68" spans="1:43" ht="15.75" customHeight="1">
      <c r="A68" s="69">
        <v>43823</v>
      </c>
      <c r="B68" s="70" t="s">
        <v>129</v>
      </c>
      <c r="C68" s="128" t="s">
        <v>234</v>
      </c>
      <c r="D68" s="112" t="s">
        <v>235</v>
      </c>
      <c r="E68" s="23" t="s">
        <v>236</v>
      </c>
      <c r="F68" s="130">
        <v>2</v>
      </c>
      <c r="G68" s="25">
        <v>62</v>
      </c>
      <c r="H68" s="165">
        <f t="shared" si="7"/>
        <v>124</v>
      </c>
      <c r="I68" s="132" t="s">
        <v>86</v>
      </c>
      <c r="J68" s="63" t="s">
        <v>133</v>
      </c>
      <c r="K68" s="43">
        <v>43879</v>
      </c>
      <c r="L68" s="43"/>
      <c r="M68" s="44">
        <v>43874</v>
      </c>
      <c r="N68" s="63" t="s">
        <v>89</v>
      </c>
      <c r="O68" s="93" t="s">
        <v>237</v>
      </c>
      <c r="P68" s="34">
        <v>58</v>
      </c>
      <c r="Q68" s="52">
        <f t="shared" si="2"/>
        <v>121.80000000000001</v>
      </c>
      <c r="R68" s="52"/>
      <c r="S68" s="52"/>
      <c r="T68" s="89"/>
      <c r="U68" s="86">
        <f t="shared" si="3"/>
        <v>0</v>
      </c>
      <c r="V68" s="35" t="s">
        <v>93</v>
      </c>
      <c r="W68" s="52"/>
      <c r="X68" s="53"/>
      <c r="Y68" s="53"/>
      <c r="Z68" s="53"/>
      <c r="AA68" s="53"/>
      <c r="AB68" s="53"/>
      <c r="AC68" s="53"/>
      <c r="AD68" s="53"/>
      <c r="AE68" s="53"/>
      <c r="AF68" s="53"/>
      <c r="AG68" s="54"/>
      <c r="AH68" s="54"/>
      <c r="AI68" s="55"/>
      <c r="AJ68" s="56">
        <v>43902</v>
      </c>
      <c r="AK68" s="55"/>
      <c r="AL68" s="55"/>
      <c r="AM68" s="54" t="s">
        <v>49</v>
      </c>
      <c r="AN68" s="54"/>
      <c r="AO68" s="54"/>
      <c r="AP68" s="54"/>
      <c r="AQ68" s="57"/>
    </row>
    <row r="69" spans="1:43" ht="15.75" customHeight="1">
      <c r="A69" s="69">
        <v>43823</v>
      </c>
      <c r="B69" s="167" t="s">
        <v>129</v>
      </c>
      <c r="C69" s="168" t="s">
        <v>234</v>
      </c>
      <c r="D69" s="169" t="s">
        <v>235</v>
      </c>
      <c r="E69" s="170" t="s">
        <v>238</v>
      </c>
      <c r="F69" s="38">
        <v>5</v>
      </c>
      <c r="G69" s="171">
        <v>58</v>
      </c>
      <c r="H69" s="172">
        <f t="shared" si="7"/>
        <v>290</v>
      </c>
      <c r="I69" s="173" t="s">
        <v>86</v>
      </c>
      <c r="J69" s="174" t="s">
        <v>133</v>
      </c>
      <c r="K69" s="43">
        <v>43879</v>
      </c>
      <c r="L69" s="43"/>
      <c r="M69" s="44">
        <v>43874</v>
      </c>
      <c r="N69" s="174" t="s">
        <v>89</v>
      </c>
      <c r="O69" s="175" t="s">
        <v>239</v>
      </c>
      <c r="P69" s="176">
        <v>44</v>
      </c>
      <c r="Q69" s="177">
        <f t="shared" si="2"/>
        <v>231</v>
      </c>
      <c r="R69" s="177"/>
      <c r="S69" s="177"/>
      <c r="T69" s="178"/>
      <c r="U69" s="177">
        <f t="shared" si="3"/>
        <v>0</v>
      </c>
      <c r="V69" s="179" t="s">
        <v>93</v>
      </c>
      <c r="W69" s="177"/>
      <c r="X69" s="180"/>
      <c r="Y69" s="180"/>
      <c r="Z69" s="180"/>
      <c r="AA69" s="180"/>
      <c r="AB69" s="180"/>
      <c r="AC69" s="180"/>
      <c r="AD69" s="180"/>
      <c r="AE69" s="180"/>
      <c r="AF69" s="180"/>
      <c r="AG69" s="181"/>
      <c r="AH69" s="181"/>
      <c r="AI69" s="181"/>
      <c r="AJ69" s="56">
        <v>43902</v>
      </c>
      <c r="AK69" s="55"/>
      <c r="AL69" s="55"/>
      <c r="AM69" s="54" t="s">
        <v>49</v>
      </c>
      <c r="AN69" s="181"/>
      <c r="AO69" s="181"/>
      <c r="AP69" s="181"/>
      <c r="AQ69" s="166"/>
    </row>
    <row r="70" spans="1:43" ht="15.75" customHeight="1">
      <c r="A70" s="69">
        <v>43823</v>
      </c>
      <c r="B70" s="70" t="s">
        <v>129</v>
      </c>
      <c r="C70" s="92" t="s">
        <v>234</v>
      </c>
      <c r="D70" s="112" t="s">
        <v>235</v>
      </c>
      <c r="E70" s="23" t="s">
        <v>240</v>
      </c>
      <c r="F70" s="24">
        <v>10</v>
      </c>
      <c r="G70" s="48">
        <v>90</v>
      </c>
      <c r="H70" s="165">
        <f t="shared" si="7"/>
        <v>900</v>
      </c>
      <c r="I70" s="132" t="s">
        <v>86</v>
      </c>
      <c r="J70" s="63" t="s">
        <v>133</v>
      </c>
      <c r="K70" s="43">
        <v>43879</v>
      </c>
      <c r="L70" s="43"/>
      <c r="M70" s="44">
        <v>43874</v>
      </c>
      <c r="N70" s="63" t="s">
        <v>89</v>
      </c>
      <c r="O70" s="64" t="s">
        <v>239</v>
      </c>
      <c r="P70" s="34">
        <v>77</v>
      </c>
      <c r="Q70" s="158">
        <f t="shared" si="2"/>
        <v>808.5</v>
      </c>
      <c r="R70" s="1391"/>
      <c r="S70" s="1391"/>
      <c r="T70" s="159"/>
      <c r="U70" s="160">
        <f t="shared" si="3"/>
        <v>0</v>
      </c>
      <c r="V70" s="35" t="s">
        <v>93</v>
      </c>
      <c r="W70" s="52"/>
      <c r="X70" s="53"/>
      <c r="Y70" s="53"/>
      <c r="Z70" s="53"/>
      <c r="AA70" s="53"/>
      <c r="AB70" s="53"/>
      <c r="AC70" s="53"/>
      <c r="AD70" s="53"/>
      <c r="AE70" s="53"/>
      <c r="AF70" s="53"/>
      <c r="AG70" s="54"/>
      <c r="AH70" s="54"/>
      <c r="AI70" s="55"/>
      <c r="AJ70" s="56">
        <v>43902</v>
      </c>
      <c r="AK70" s="55"/>
      <c r="AL70" s="55"/>
      <c r="AM70" s="54" t="s">
        <v>49</v>
      </c>
      <c r="AN70" s="54"/>
      <c r="AO70" s="54"/>
      <c r="AP70" s="54"/>
      <c r="AQ70" s="57"/>
    </row>
    <row r="71" spans="1:43" ht="15.75" customHeight="1">
      <c r="A71" s="69">
        <v>43823</v>
      </c>
      <c r="B71" s="70" t="s">
        <v>129</v>
      </c>
      <c r="C71" s="92" t="s">
        <v>234</v>
      </c>
      <c r="D71" s="112" t="s">
        <v>235</v>
      </c>
      <c r="E71" s="23" t="s">
        <v>241</v>
      </c>
      <c r="F71" s="24">
        <v>2</v>
      </c>
      <c r="G71" s="48">
        <v>66</v>
      </c>
      <c r="H71" s="165">
        <f t="shared" si="7"/>
        <v>132</v>
      </c>
      <c r="I71" s="132" t="s">
        <v>86</v>
      </c>
      <c r="J71" s="63" t="s">
        <v>133</v>
      </c>
      <c r="K71" s="43">
        <v>43879</v>
      </c>
      <c r="L71" s="43"/>
      <c r="M71" s="44">
        <v>43874</v>
      </c>
      <c r="N71" s="63" t="s">
        <v>89</v>
      </c>
      <c r="O71" s="93" t="s">
        <v>242</v>
      </c>
      <c r="P71" s="34">
        <v>60</v>
      </c>
      <c r="Q71" s="142">
        <f t="shared" si="2"/>
        <v>126</v>
      </c>
      <c r="R71" s="1390"/>
      <c r="S71" s="1390"/>
      <c r="T71" s="75"/>
      <c r="U71" s="75">
        <f t="shared" si="3"/>
        <v>0</v>
      </c>
      <c r="V71" s="35" t="s">
        <v>93</v>
      </c>
      <c r="W71" s="52"/>
      <c r="X71" s="53"/>
      <c r="Y71" s="53"/>
      <c r="Z71" s="53"/>
      <c r="AA71" s="53"/>
      <c r="AB71" s="53"/>
      <c r="AC71" s="53"/>
      <c r="AD71" s="53"/>
      <c r="AE71" s="53"/>
      <c r="AF71" s="53"/>
      <c r="AG71" s="54"/>
      <c r="AH71" s="54"/>
      <c r="AI71" s="55"/>
      <c r="AJ71" s="56">
        <v>43902</v>
      </c>
      <c r="AK71" s="55"/>
      <c r="AL71" s="55"/>
      <c r="AM71" s="54" t="s">
        <v>49</v>
      </c>
      <c r="AN71" s="54"/>
      <c r="AO71" s="54"/>
      <c r="AP71" s="54"/>
      <c r="AQ71" s="57"/>
    </row>
    <row r="72" spans="1:43" ht="15.75" customHeight="1">
      <c r="A72" s="69">
        <v>43823</v>
      </c>
      <c r="B72" s="21" t="s">
        <v>129</v>
      </c>
      <c r="C72" s="92" t="s">
        <v>234</v>
      </c>
      <c r="D72" s="139" t="s">
        <v>235</v>
      </c>
      <c r="E72" s="32" t="s">
        <v>243</v>
      </c>
      <c r="F72" s="24">
        <v>10</v>
      </c>
      <c r="G72" s="48">
        <v>50</v>
      </c>
      <c r="H72" s="165">
        <f t="shared" si="7"/>
        <v>500</v>
      </c>
      <c r="I72" s="132" t="s">
        <v>86</v>
      </c>
      <c r="J72" s="63" t="s">
        <v>133</v>
      </c>
      <c r="K72" s="43">
        <v>43879</v>
      </c>
      <c r="L72" s="43"/>
      <c r="M72" s="44">
        <v>43874</v>
      </c>
      <c r="N72" s="63" t="s">
        <v>89</v>
      </c>
      <c r="O72" s="64" t="s">
        <v>239</v>
      </c>
      <c r="P72" s="34">
        <v>43</v>
      </c>
      <c r="Q72" s="34">
        <f t="shared" si="2"/>
        <v>451.5</v>
      </c>
      <c r="R72" s="142"/>
      <c r="S72" s="142"/>
      <c r="T72" s="142"/>
      <c r="U72" s="75">
        <f t="shared" si="3"/>
        <v>0</v>
      </c>
      <c r="V72" s="51" t="s">
        <v>93</v>
      </c>
      <c r="W72" s="52"/>
      <c r="X72" s="53"/>
      <c r="Y72" s="53"/>
      <c r="Z72" s="53"/>
      <c r="AA72" s="53"/>
      <c r="AB72" s="53"/>
      <c r="AC72" s="53"/>
      <c r="AD72" s="53"/>
      <c r="AE72" s="53"/>
      <c r="AF72" s="53"/>
      <c r="AG72" s="54"/>
      <c r="AH72" s="54"/>
      <c r="AI72" s="55"/>
      <c r="AJ72" s="56">
        <v>43902</v>
      </c>
      <c r="AK72" s="55"/>
      <c r="AL72" s="55"/>
      <c r="AM72" s="54" t="s">
        <v>49</v>
      </c>
      <c r="AN72" s="54"/>
      <c r="AO72" s="54"/>
      <c r="AP72" s="54"/>
      <c r="AQ72" s="54"/>
    </row>
    <row r="73" spans="1:43" ht="15.75" customHeight="1">
      <c r="A73" s="182">
        <v>43826</v>
      </c>
      <c r="B73" s="183" t="s">
        <v>139</v>
      </c>
      <c r="C73" s="183" t="s">
        <v>244</v>
      </c>
      <c r="D73" s="184" t="s">
        <v>245</v>
      </c>
      <c r="E73" s="185" t="s">
        <v>246</v>
      </c>
      <c r="F73" s="186">
        <v>20</v>
      </c>
      <c r="G73" s="187">
        <v>388</v>
      </c>
      <c r="H73" s="188">
        <f t="shared" si="7"/>
        <v>7760</v>
      </c>
      <c r="I73" s="189" t="s">
        <v>247</v>
      </c>
      <c r="J73" s="190" t="s">
        <v>198</v>
      </c>
      <c r="K73" s="191">
        <v>43872</v>
      </c>
      <c r="L73" s="191"/>
      <c r="M73" s="192">
        <v>43867</v>
      </c>
      <c r="N73" s="190" t="s">
        <v>89</v>
      </c>
      <c r="O73" s="193" t="s">
        <v>248</v>
      </c>
      <c r="P73" s="194"/>
      <c r="Q73" s="195">
        <f t="shared" si="2"/>
        <v>0</v>
      </c>
      <c r="R73" s="1393"/>
      <c r="S73" s="1393"/>
      <c r="T73" s="196"/>
      <c r="U73" s="197">
        <f t="shared" si="3"/>
        <v>0</v>
      </c>
      <c r="V73" s="198" t="s">
        <v>93</v>
      </c>
      <c r="W73" s="195"/>
      <c r="X73" s="199"/>
      <c r="Y73" s="199"/>
      <c r="Z73" s="199"/>
      <c r="AA73" s="199"/>
      <c r="AB73" s="199"/>
      <c r="AC73" s="199"/>
      <c r="AD73" s="199"/>
      <c r="AE73" s="199"/>
      <c r="AF73" s="199"/>
      <c r="AG73" s="200"/>
      <c r="AH73" s="200"/>
      <c r="AI73" s="201"/>
      <c r="AJ73" s="202"/>
      <c r="AK73" s="201"/>
      <c r="AL73" s="201"/>
      <c r="AM73" s="200"/>
      <c r="AN73" s="200"/>
      <c r="AO73" s="200"/>
      <c r="AP73" s="200"/>
      <c r="AQ73" s="203"/>
    </row>
    <row r="74" spans="1:43" ht="15.75" customHeight="1">
      <c r="A74" s="204">
        <v>43826</v>
      </c>
      <c r="B74" s="70" t="s">
        <v>249</v>
      </c>
      <c r="C74" s="92" t="s">
        <v>250</v>
      </c>
      <c r="D74" s="71" t="s">
        <v>251</v>
      </c>
      <c r="E74" s="23" t="s">
        <v>252</v>
      </c>
      <c r="F74" s="24">
        <v>1</v>
      </c>
      <c r="G74" s="48">
        <v>97</v>
      </c>
      <c r="H74" s="81">
        <f t="shared" si="7"/>
        <v>97</v>
      </c>
      <c r="I74" s="132" t="s">
        <v>170</v>
      </c>
      <c r="J74" s="63" t="s">
        <v>253</v>
      </c>
      <c r="K74" s="43">
        <v>43832</v>
      </c>
      <c r="L74" s="43"/>
      <c r="M74" s="44">
        <v>43838</v>
      </c>
      <c r="N74" s="63" t="s">
        <v>254</v>
      </c>
      <c r="O74" s="64" t="s">
        <v>255</v>
      </c>
      <c r="P74" s="34">
        <v>66</v>
      </c>
      <c r="Q74" s="158">
        <f t="shared" si="2"/>
        <v>69.3</v>
      </c>
      <c r="R74" s="1391"/>
      <c r="S74" s="1391"/>
      <c r="T74" s="134">
        <f>66*30</f>
        <v>1980</v>
      </c>
      <c r="U74" s="160">
        <f t="shared" si="3"/>
        <v>2079</v>
      </c>
      <c r="V74" s="21" t="s">
        <v>256</v>
      </c>
      <c r="W74" s="52"/>
      <c r="X74" s="53"/>
      <c r="Y74" s="53"/>
      <c r="Z74" s="53"/>
      <c r="AA74" s="53"/>
      <c r="AB74" s="53"/>
      <c r="AC74" s="53"/>
      <c r="AD74" s="53"/>
      <c r="AE74" s="53"/>
      <c r="AF74" s="53"/>
      <c r="AG74" s="54"/>
      <c r="AH74" s="54"/>
      <c r="AI74" s="55"/>
      <c r="AJ74" s="68"/>
      <c r="AK74" s="55"/>
      <c r="AL74" s="55"/>
      <c r="AM74" s="54"/>
      <c r="AN74" s="54"/>
      <c r="AO74" s="54"/>
      <c r="AP74" s="54"/>
      <c r="AQ74" s="57"/>
    </row>
    <row r="75" spans="1:43" ht="15.75" customHeight="1">
      <c r="A75" s="205">
        <v>43829</v>
      </c>
      <c r="B75" s="71" t="s">
        <v>118</v>
      </c>
      <c r="C75" s="71">
        <v>1902019</v>
      </c>
      <c r="D75" s="112" t="s">
        <v>257</v>
      </c>
      <c r="E75" s="72" t="s">
        <v>164</v>
      </c>
      <c r="F75" s="114">
        <v>150</v>
      </c>
      <c r="G75" s="115">
        <v>105</v>
      </c>
      <c r="H75" s="81">
        <f t="shared" si="7"/>
        <v>15750</v>
      </c>
      <c r="I75" s="154" t="s">
        <v>86</v>
      </c>
      <c r="J75" s="206" t="s">
        <v>258</v>
      </c>
      <c r="K75" s="207">
        <v>43864</v>
      </c>
      <c r="L75" s="207"/>
      <c r="M75" s="43">
        <v>43864</v>
      </c>
      <c r="N75" s="206" t="s">
        <v>89</v>
      </c>
      <c r="O75" s="208" t="s">
        <v>259</v>
      </c>
      <c r="P75" s="120">
        <v>82</v>
      </c>
      <c r="Q75" s="123">
        <f t="shared" si="2"/>
        <v>12915</v>
      </c>
      <c r="R75" s="123"/>
      <c r="S75" s="123"/>
      <c r="T75" s="209"/>
      <c r="U75" s="210">
        <f t="shared" si="3"/>
        <v>0</v>
      </c>
      <c r="V75" s="122" t="s">
        <v>93</v>
      </c>
      <c r="W75" s="113"/>
      <c r="X75" s="123"/>
      <c r="Y75" s="124"/>
      <c r="Z75" s="124"/>
      <c r="AA75" s="124"/>
      <c r="AB75" s="124"/>
      <c r="AC75" s="124"/>
      <c r="AD75" s="124"/>
      <c r="AE75" s="124"/>
      <c r="AF75" s="124"/>
      <c r="AG75" s="124"/>
      <c r="AH75" s="125"/>
      <c r="AI75" s="125"/>
      <c r="AJ75" s="126"/>
      <c r="AK75" s="211"/>
      <c r="AL75" s="126"/>
      <c r="AM75" s="126"/>
      <c r="AN75" s="125"/>
      <c r="AO75" s="125"/>
      <c r="AP75" s="125"/>
      <c r="AQ75" s="125"/>
    </row>
    <row r="76" spans="1:43" ht="15.75" customHeight="1">
      <c r="A76" s="204">
        <v>43830</v>
      </c>
      <c r="B76" s="70" t="s">
        <v>100</v>
      </c>
      <c r="C76" s="128"/>
      <c r="D76" s="70" t="s">
        <v>260</v>
      </c>
      <c r="E76" s="23" t="s">
        <v>261</v>
      </c>
      <c r="F76" s="130">
        <v>1</v>
      </c>
      <c r="G76" s="25">
        <v>585</v>
      </c>
      <c r="H76" s="212">
        <v>585</v>
      </c>
      <c r="I76" s="61" t="s">
        <v>86</v>
      </c>
      <c r="J76" s="79"/>
      <c r="K76" s="213">
        <v>43833</v>
      </c>
      <c r="L76" s="1472"/>
      <c r="M76" s="213">
        <v>43833</v>
      </c>
      <c r="N76" s="79" t="s">
        <v>262</v>
      </c>
      <c r="O76" s="214"/>
      <c r="P76" s="75"/>
      <c r="Q76" s="135">
        <f t="shared" si="2"/>
        <v>0</v>
      </c>
      <c r="R76" s="1391"/>
      <c r="S76" s="1391"/>
      <c r="T76" s="159"/>
      <c r="U76" s="160">
        <f t="shared" si="3"/>
        <v>0</v>
      </c>
      <c r="V76" s="66"/>
      <c r="W76" s="135"/>
      <c r="X76" s="136"/>
      <c r="Y76" s="136"/>
      <c r="Z76" s="136"/>
      <c r="AA76" s="136"/>
      <c r="AB76" s="136"/>
      <c r="AC76" s="136"/>
      <c r="AD76" s="136"/>
      <c r="AE76" s="136"/>
      <c r="AF76" s="136"/>
      <c r="AG76" s="137"/>
      <c r="AH76" s="137"/>
      <c r="AI76" s="138"/>
      <c r="AJ76" s="215"/>
      <c r="AK76" s="138"/>
      <c r="AL76" s="138"/>
      <c r="AM76" s="137" t="s">
        <v>49</v>
      </c>
      <c r="AN76" s="137"/>
      <c r="AO76" s="137"/>
      <c r="AP76" s="137"/>
      <c r="AQ76" s="137"/>
    </row>
    <row r="77" spans="1:43" ht="15.75" customHeight="1">
      <c r="A77" s="69">
        <v>43334</v>
      </c>
      <c r="B77" s="144" t="s">
        <v>100</v>
      </c>
      <c r="C77" s="250"/>
      <c r="D77" s="250" t="s">
        <v>279</v>
      </c>
      <c r="E77" s="246" t="s">
        <v>280</v>
      </c>
      <c r="F77" s="251">
        <v>90</v>
      </c>
      <c r="G77" s="252">
        <v>2.6</v>
      </c>
      <c r="H77" s="253">
        <f t="shared" ref="H77:H94" si="8">G77*F77</f>
        <v>234</v>
      </c>
      <c r="I77" s="254" t="s">
        <v>170</v>
      </c>
      <c r="J77" s="401" t="s">
        <v>281</v>
      </c>
      <c r="K77" s="256" t="s">
        <v>1941</v>
      </c>
      <c r="L77" s="256"/>
      <c r="M77" s="256">
        <v>43354</v>
      </c>
      <c r="N77" s="331" t="s">
        <v>1942</v>
      </c>
      <c r="O77" s="420" t="s">
        <v>1943</v>
      </c>
      <c r="P77" s="571"/>
      <c r="Q77" s="571"/>
      <c r="R77" s="571"/>
      <c r="S77" s="571"/>
      <c r="T77" s="572"/>
      <c r="U77" s="572">
        <v>3780</v>
      </c>
      <c r="V77" s="308" t="s">
        <v>1944</v>
      </c>
      <c r="W77" s="257"/>
      <c r="X77" s="258">
        <v>43350</v>
      </c>
      <c r="Y77" s="259" t="s">
        <v>282</v>
      </c>
      <c r="Z77" s="259" t="s">
        <v>1945</v>
      </c>
      <c r="AA77" s="258">
        <v>43348</v>
      </c>
      <c r="AB77" s="573"/>
      <c r="AC77" s="329"/>
      <c r="AD77" s="329"/>
      <c r="AE77" s="329"/>
      <c r="AF77" s="329"/>
      <c r="AG77" s="251" t="s">
        <v>283</v>
      </c>
      <c r="AH77" s="251"/>
      <c r="AI77" s="260"/>
      <c r="AJ77" s="261">
        <v>43469</v>
      </c>
      <c r="AK77" s="260"/>
      <c r="AL77" s="260"/>
      <c r="AM77" s="251" t="s">
        <v>49</v>
      </c>
      <c r="AN77" s="251" t="s">
        <v>284</v>
      </c>
      <c r="AO77" s="251" t="s">
        <v>285</v>
      </c>
      <c r="AP77" s="251" t="s">
        <v>51</v>
      </c>
      <c r="AQ77" s="262"/>
    </row>
    <row r="78" spans="1:43" ht="15.75" customHeight="1">
      <c r="A78" s="69">
        <v>43349</v>
      </c>
      <c r="B78" s="263" t="s">
        <v>100</v>
      </c>
      <c r="C78" s="250" t="s">
        <v>286</v>
      </c>
      <c r="D78" s="250" t="s">
        <v>287</v>
      </c>
      <c r="E78" s="32" t="s">
        <v>288</v>
      </c>
      <c r="F78" s="264">
        <v>3</v>
      </c>
      <c r="G78" s="265">
        <v>847</v>
      </c>
      <c r="H78" s="266">
        <f t="shared" si="8"/>
        <v>2541</v>
      </c>
      <c r="I78" s="254" t="s">
        <v>170</v>
      </c>
      <c r="J78" s="267" t="s">
        <v>289</v>
      </c>
      <c r="K78" s="256">
        <v>43482</v>
      </c>
      <c r="L78" s="256"/>
      <c r="M78" s="256">
        <v>43476</v>
      </c>
      <c r="N78" s="331" t="s">
        <v>1414</v>
      </c>
      <c r="O78" s="420" t="s">
        <v>1946</v>
      </c>
      <c r="P78" s="266"/>
      <c r="Q78" s="266">
        <v>2583</v>
      </c>
      <c r="R78" s="266"/>
      <c r="S78" s="266"/>
      <c r="T78" s="328"/>
      <c r="U78" s="328">
        <f>79911-484</f>
        <v>79427</v>
      </c>
      <c r="V78" s="318" t="s">
        <v>1947</v>
      </c>
      <c r="W78" s="268">
        <v>43524</v>
      </c>
      <c r="X78" s="269">
        <v>43475</v>
      </c>
      <c r="Y78" s="259" t="s">
        <v>290</v>
      </c>
      <c r="Z78" s="270">
        <v>79911</v>
      </c>
      <c r="AA78" s="258">
        <v>43524</v>
      </c>
      <c r="AB78" s="574" t="s">
        <v>1948</v>
      </c>
      <c r="AC78" s="574">
        <v>3393663825</v>
      </c>
      <c r="AD78" s="329"/>
      <c r="AE78" s="329"/>
      <c r="AF78" s="329"/>
      <c r="AG78" s="251" t="s">
        <v>283</v>
      </c>
      <c r="AH78" s="251"/>
      <c r="AI78" s="260"/>
      <c r="AJ78" s="261">
        <v>43530</v>
      </c>
      <c r="AK78" s="260"/>
      <c r="AL78" s="260"/>
      <c r="AM78" s="251" t="s">
        <v>49</v>
      </c>
      <c r="AN78" s="251" t="s">
        <v>284</v>
      </c>
      <c r="AO78" s="251" t="s">
        <v>50</v>
      </c>
      <c r="AP78" s="251" t="s">
        <v>51</v>
      </c>
      <c r="AQ78" s="262"/>
    </row>
    <row r="79" spans="1:43" ht="15.75" customHeight="1">
      <c r="A79" s="69">
        <v>43349</v>
      </c>
      <c r="B79" s="263" t="s">
        <v>100</v>
      </c>
      <c r="C79" s="250" t="s">
        <v>286</v>
      </c>
      <c r="D79" s="250" t="s">
        <v>287</v>
      </c>
      <c r="E79" s="35" t="s">
        <v>291</v>
      </c>
      <c r="F79" s="264">
        <v>3</v>
      </c>
      <c r="G79" s="265">
        <v>2</v>
      </c>
      <c r="H79" s="266">
        <f t="shared" si="8"/>
        <v>6</v>
      </c>
      <c r="I79" s="254" t="s">
        <v>170</v>
      </c>
      <c r="J79" s="267" t="s">
        <v>289</v>
      </c>
      <c r="K79" s="256">
        <v>43482</v>
      </c>
      <c r="L79" s="256"/>
      <c r="M79" s="256">
        <v>43476</v>
      </c>
      <c r="N79" s="331" t="s">
        <v>1414</v>
      </c>
      <c r="O79" s="420" t="s">
        <v>1946</v>
      </c>
      <c r="P79" s="266"/>
      <c r="Q79" s="266">
        <v>15.75</v>
      </c>
      <c r="R79" s="266"/>
      <c r="S79" s="266"/>
      <c r="T79" s="328"/>
      <c r="U79" s="328">
        <v>484</v>
      </c>
      <c r="V79" s="318" t="s">
        <v>1947</v>
      </c>
      <c r="W79" s="268">
        <v>43524</v>
      </c>
      <c r="X79" s="269">
        <v>43475</v>
      </c>
      <c r="Y79" s="259" t="s">
        <v>290</v>
      </c>
      <c r="Z79" s="259" t="s">
        <v>1949</v>
      </c>
      <c r="AA79" s="258">
        <v>43524</v>
      </c>
      <c r="AB79" s="574" t="s">
        <v>1948</v>
      </c>
      <c r="AC79" s="574">
        <v>3393663825</v>
      </c>
      <c r="AD79" s="329"/>
      <c r="AE79" s="329"/>
      <c r="AF79" s="329"/>
      <c r="AG79" s="251" t="s">
        <v>283</v>
      </c>
      <c r="AH79" s="251"/>
      <c r="AI79" s="260"/>
      <c r="AJ79" s="261">
        <v>43530</v>
      </c>
      <c r="AK79" s="260"/>
      <c r="AL79" s="260"/>
      <c r="AM79" s="251" t="s">
        <v>49</v>
      </c>
      <c r="AN79" s="251" t="s">
        <v>284</v>
      </c>
      <c r="AO79" s="251" t="s">
        <v>50</v>
      </c>
      <c r="AP79" s="251" t="s">
        <v>51</v>
      </c>
      <c r="AQ79" s="262"/>
    </row>
    <row r="80" spans="1:43" ht="15.75" customHeight="1">
      <c r="A80" s="271">
        <v>429</v>
      </c>
      <c r="B80" s="263" t="s">
        <v>100</v>
      </c>
      <c r="C80" s="250" t="s">
        <v>286</v>
      </c>
      <c r="D80" s="250" t="s">
        <v>287</v>
      </c>
      <c r="E80" s="32" t="s">
        <v>292</v>
      </c>
      <c r="F80" s="264">
        <v>3</v>
      </c>
      <c r="G80" s="265">
        <v>84.7</v>
      </c>
      <c r="H80" s="266">
        <f t="shared" si="8"/>
        <v>254.10000000000002</v>
      </c>
      <c r="I80" s="254" t="s">
        <v>170</v>
      </c>
      <c r="J80" s="267" t="s">
        <v>289</v>
      </c>
      <c r="K80" s="256">
        <v>43482</v>
      </c>
      <c r="L80" s="256"/>
      <c r="M80" s="256">
        <v>43476</v>
      </c>
      <c r="N80" s="331" t="s">
        <v>1414</v>
      </c>
      <c r="O80" s="420" t="s">
        <v>1946</v>
      </c>
      <c r="P80" s="265"/>
      <c r="Q80" s="265" t="s">
        <v>1950</v>
      </c>
      <c r="R80" s="265"/>
      <c r="S80" s="265"/>
      <c r="T80" s="328"/>
      <c r="U80" s="328">
        <v>0</v>
      </c>
      <c r="V80" s="318" t="s">
        <v>1947</v>
      </c>
      <c r="W80" s="268">
        <v>43524</v>
      </c>
      <c r="X80" s="269">
        <v>43475</v>
      </c>
      <c r="Y80" s="259" t="s">
        <v>290</v>
      </c>
      <c r="Z80" s="259" t="s">
        <v>1949</v>
      </c>
      <c r="AA80" s="258">
        <v>43524</v>
      </c>
      <c r="AB80" s="574" t="s">
        <v>1948</v>
      </c>
      <c r="AC80" s="574">
        <v>3393663825</v>
      </c>
      <c r="AD80" s="329"/>
      <c r="AE80" s="329"/>
      <c r="AF80" s="329"/>
      <c r="AG80" s="251" t="s">
        <v>283</v>
      </c>
      <c r="AH80" s="251"/>
      <c r="AI80" s="260"/>
      <c r="AJ80" s="261">
        <v>43530</v>
      </c>
      <c r="AK80" s="260"/>
      <c r="AL80" s="260"/>
      <c r="AM80" s="251" t="s">
        <v>49</v>
      </c>
      <c r="AN80" s="251" t="s">
        <v>284</v>
      </c>
      <c r="AO80" s="251" t="s">
        <v>50</v>
      </c>
      <c r="AP80" s="251" t="s">
        <v>51</v>
      </c>
      <c r="AQ80" s="262"/>
    </row>
    <row r="81" spans="1:43" ht="15.75" customHeight="1">
      <c r="A81" s="272">
        <v>43390</v>
      </c>
      <c r="B81" s="273" t="s">
        <v>76</v>
      </c>
      <c r="C81" s="274">
        <v>1042</v>
      </c>
      <c r="D81" s="275" t="s">
        <v>293</v>
      </c>
      <c r="E81" s="276" t="s">
        <v>294</v>
      </c>
      <c r="F81" s="277"/>
      <c r="G81" s="278">
        <v>503</v>
      </c>
      <c r="H81" s="279">
        <f t="shared" si="8"/>
        <v>0</v>
      </c>
      <c r="I81" s="280" t="s">
        <v>42</v>
      </c>
      <c r="J81" s="281" t="s">
        <v>70</v>
      </c>
      <c r="K81" s="282" t="s">
        <v>70</v>
      </c>
      <c r="L81" s="282"/>
      <c r="M81" s="289"/>
      <c r="N81" s="281"/>
      <c r="O81" s="274"/>
      <c r="P81" s="575"/>
      <c r="Q81" s="575"/>
      <c r="R81" s="575"/>
      <c r="S81" s="575"/>
      <c r="T81" s="576"/>
      <c r="U81" s="576"/>
      <c r="V81" s="577"/>
      <c r="W81" s="283"/>
      <c r="X81" s="284"/>
      <c r="Y81" s="284"/>
      <c r="Z81" s="284"/>
      <c r="AA81" s="284"/>
      <c r="AB81" s="578"/>
      <c r="AC81" s="284"/>
      <c r="AD81" s="284"/>
      <c r="AE81" s="284"/>
      <c r="AF81" s="284"/>
      <c r="AG81" s="277"/>
      <c r="AH81" s="277"/>
      <c r="AI81" s="285"/>
      <c r="AJ81" s="277" t="s">
        <v>1212</v>
      </c>
      <c r="AK81" s="285"/>
      <c r="AL81" s="285"/>
      <c r="AM81" s="277" t="s">
        <v>49</v>
      </c>
      <c r="AN81" s="277" t="s">
        <v>295</v>
      </c>
      <c r="AO81" s="277" t="s">
        <v>285</v>
      </c>
      <c r="AP81" s="277" t="s">
        <v>51</v>
      </c>
      <c r="AQ81" s="286"/>
    </row>
    <row r="82" spans="1:43" ht="15.75" customHeight="1">
      <c r="A82" s="272">
        <v>43390</v>
      </c>
      <c r="B82" s="273" t="s">
        <v>76</v>
      </c>
      <c r="C82" s="274">
        <v>1042</v>
      </c>
      <c r="D82" s="275" t="s">
        <v>293</v>
      </c>
      <c r="E82" s="276" t="s">
        <v>296</v>
      </c>
      <c r="F82" s="277"/>
      <c r="G82" s="278">
        <v>20</v>
      </c>
      <c r="H82" s="287">
        <f t="shared" si="8"/>
        <v>0</v>
      </c>
      <c r="I82" s="280" t="s">
        <v>42</v>
      </c>
      <c r="J82" s="288" t="s">
        <v>70</v>
      </c>
      <c r="K82" s="282" t="s">
        <v>70</v>
      </c>
      <c r="L82" s="282"/>
      <c r="M82" s="289"/>
      <c r="N82" s="281"/>
      <c r="O82" s="274"/>
      <c r="P82" s="575"/>
      <c r="Q82" s="575"/>
      <c r="R82" s="575"/>
      <c r="S82" s="575"/>
      <c r="T82" s="576"/>
      <c r="U82" s="576"/>
      <c r="V82" s="579"/>
      <c r="W82" s="275"/>
      <c r="X82" s="284"/>
      <c r="Y82" s="284"/>
      <c r="Z82" s="284"/>
      <c r="AA82" s="284"/>
      <c r="AB82" s="578"/>
      <c r="AC82" s="284"/>
      <c r="AD82" s="284"/>
      <c r="AE82" s="284"/>
      <c r="AF82" s="284"/>
      <c r="AG82" s="277"/>
      <c r="AH82" s="277"/>
      <c r="AI82" s="285"/>
      <c r="AJ82" s="277" t="s">
        <v>1212</v>
      </c>
      <c r="AK82" s="285"/>
      <c r="AL82" s="285"/>
      <c r="AM82" s="277" t="s">
        <v>49</v>
      </c>
      <c r="AN82" s="277" t="s">
        <v>295</v>
      </c>
      <c r="AO82" s="277" t="s">
        <v>285</v>
      </c>
      <c r="AP82" s="277" t="s">
        <v>51</v>
      </c>
      <c r="AQ82" s="286"/>
    </row>
    <row r="83" spans="1:43" ht="15.75" customHeight="1">
      <c r="A83" s="272">
        <v>43390</v>
      </c>
      <c r="B83" s="273" t="s">
        <v>76</v>
      </c>
      <c r="C83" s="274">
        <v>1042</v>
      </c>
      <c r="D83" s="275" t="s">
        <v>297</v>
      </c>
      <c r="E83" s="276" t="s">
        <v>294</v>
      </c>
      <c r="F83" s="277"/>
      <c r="G83" s="278">
        <v>503</v>
      </c>
      <c r="H83" s="287">
        <f t="shared" si="8"/>
        <v>0</v>
      </c>
      <c r="I83" s="280" t="s">
        <v>42</v>
      </c>
      <c r="J83" s="288" t="s">
        <v>298</v>
      </c>
      <c r="K83" s="289" t="s">
        <v>70</v>
      </c>
      <c r="L83" s="289"/>
      <c r="M83" s="289"/>
      <c r="N83" s="281"/>
      <c r="O83" s="274"/>
      <c r="P83" s="575"/>
      <c r="Q83" s="575"/>
      <c r="R83" s="575"/>
      <c r="S83" s="575"/>
      <c r="T83" s="576"/>
      <c r="U83" s="576"/>
      <c r="V83" s="579"/>
      <c r="W83" s="275"/>
      <c r="X83" s="284"/>
      <c r="Y83" s="284"/>
      <c r="Z83" s="284"/>
      <c r="AA83" s="284"/>
      <c r="AB83" s="578"/>
      <c r="AC83" s="284"/>
      <c r="AD83" s="284"/>
      <c r="AE83" s="284"/>
      <c r="AF83" s="284"/>
      <c r="AG83" s="277"/>
      <c r="AH83" s="277"/>
      <c r="AI83" s="285"/>
      <c r="AJ83" s="277" t="s">
        <v>1212</v>
      </c>
      <c r="AK83" s="285"/>
      <c r="AL83" s="285"/>
      <c r="AM83" s="277" t="s">
        <v>49</v>
      </c>
      <c r="AN83" s="277" t="s">
        <v>295</v>
      </c>
      <c r="AO83" s="277" t="s">
        <v>285</v>
      </c>
      <c r="AP83" s="277" t="s">
        <v>51</v>
      </c>
      <c r="AQ83" s="286"/>
    </row>
    <row r="84" spans="1:43" ht="15.75" customHeight="1">
      <c r="A84" s="272">
        <v>43390</v>
      </c>
      <c r="B84" s="273" t="s">
        <v>76</v>
      </c>
      <c r="C84" s="274">
        <v>1042</v>
      </c>
      <c r="D84" s="275" t="s">
        <v>297</v>
      </c>
      <c r="E84" s="276" t="s">
        <v>296</v>
      </c>
      <c r="F84" s="277"/>
      <c r="G84" s="278">
        <v>20</v>
      </c>
      <c r="H84" s="287">
        <f t="shared" si="8"/>
        <v>0</v>
      </c>
      <c r="I84" s="280" t="s">
        <v>42</v>
      </c>
      <c r="J84" s="288" t="s">
        <v>70</v>
      </c>
      <c r="K84" s="289" t="s">
        <v>70</v>
      </c>
      <c r="L84" s="289"/>
      <c r="M84" s="289"/>
      <c r="N84" s="281"/>
      <c r="O84" s="274"/>
      <c r="P84" s="575"/>
      <c r="Q84" s="575"/>
      <c r="R84" s="575"/>
      <c r="S84" s="575"/>
      <c r="T84" s="576"/>
      <c r="U84" s="576"/>
      <c r="V84" s="579"/>
      <c r="W84" s="275"/>
      <c r="X84" s="284"/>
      <c r="Y84" s="284"/>
      <c r="Z84" s="284"/>
      <c r="AA84" s="284"/>
      <c r="AB84" s="578"/>
      <c r="AC84" s="284"/>
      <c r="AD84" s="284"/>
      <c r="AE84" s="284"/>
      <c r="AF84" s="284"/>
      <c r="AG84" s="277"/>
      <c r="AH84" s="277"/>
      <c r="AI84" s="285"/>
      <c r="AJ84" s="277" t="s">
        <v>1212</v>
      </c>
      <c r="AK84" s="285"/>
      <c r="AL84" s="285"/>
      <c r="AM84" s="277" t="s">
        <v>49</v>
      </c>
      <c r="AN84" s="277" t="s">
        <v>295</v>
      </c>
      <c r="AO84" s="277" t="s">
        <v>285</v>
      </c>
      <c r="AP84" s="277" t="s">
        <v>51</v>
      </c>
      <c r="AQ84" s="286"/>
    </row>
    <row r="85" spans="1:43" ht="15.75" customHeight="1">
      <c r="A85" s="69">
        <v>43395</v>
      </c>
      <c r="B85" s="70" t="s">
        <v>100</v>
      </c>
      <c r="C85" s="290" t="s">
        <v>299</v>
      </c>
      <c r="D85" s="21" t="s">
        <v>1951</v>
      </c>
      <c r="E85" s="246" t="s">
        <v>301</v>
      </c>
      <c r="F85" s="54">
        <v>10</v>
      </c>
      <c r="G85" s="48">
        <v>85</v>
      </c>
      <c r="H85" s="26">
        <f t="shared" si="8"/>
        <v>850</v>
      </c>
      <c r="I85" s="61" t="s">
        <v>302</v>
      </c>
      <c r="J85" s="291" t="s">
        <v>70</v>
      </c>
      <c r="K85" s="30">
        <v>43536</v>
      </c>
      <c r="L85" s="30"/>
      <c r="M85" s="30">
        <v>43430</v>
      </c>
      <c r="N85" s="429" t="s">
        <v>1952</v>
      </c>
      <c r="O85" s="32" t="s">
        <v>1953</v>
      </c>
      <c r="P85" s="580"/>
      <c r="Q85" s="580"/>
      <c r="R85" s="580"/>
      <c r="S85" s="580"/>
      <c r="T85" s="581"/>
      <c r="U85" s="581">
        <v>50221</v>
      </c>
      <c r="V85" s="35" t="s">
        <v>1954</v>
      </c>
      <c r="W85" s="292">
        <v>43450</v>
      </c>
      <c r="X85" s="293">
        <v>43420</v>
      </c>
      <c r="Y85" s="294" t="s">
        <v>303</v>
      </c>
      <c r="Z85" s="295">
        <v>62685</v>
      </c>
      <c r="AA85" s="293">
        <v>43445</v>
      </c>
      <c r="AB85" s="304" t="s">
        <v>1955</v>
      </c>
      <c r="AC85" s="304">
        <v>3455779600</v>
      </c>
      <c r="AD85" s="304"/>
      <c r="AE85" s="304"/>
      <c r="AF85" s="304"/>
      <c r="AG85" s="296"/>
      <c r="AH85" s="296">
        <v>30.79</v>
      </c>
      <c r="AI85" s="297"/>
      <c r="AJ85" s="298">
        <v>43587</v>
      </c>
      <c r="AK85" s="297">
        <f>21441.77*30.84</f>
        <v>661264.18680000002</v>
      </c>
      <c r="AL85" s="297">
        <f>(10+10.73)*30.84</f>
        <v>639.31320000000005</v>
      </c>
      <c r="AM85" s="296" t="s">
        <v>49</v>
      </c>
      <c r="AN85" s="24" t="s">
        <v>284</v>
      </c>
      <c r="AO85" s="296" t="s">
        <v>285</v>
      </c>
      <c r="AP85" s="296" t="s">
        <v>51</v>
      </c>
      <c r="AQ85" s="234" t="s">
        <v>304</v>
      </c>
    </row>
    <row r="86" spans="1:43" ht="15.75" customHeight="1">
      <c r="A86" s="69">
        <v>43395</v>
      </c>
      <c r="B86" s="70" t="s">
        <v>100</v>
      </c>
      <c r="C86" s="290" t="s">
        <v>299</v>
      </c>
      <c r="D86" s="301" t="s">
        <v>1951</v>
      </c>
      <c r="E86" s="246" t="s">
        <v>306</v>
      </c>
      <c r="F86" s="54">
        <v>10</v>
      </c>
      <c r="G86" s="48">
        <v>847</v>
      </c>
      <c r="H86" s="26">
        <f t="shared" si="8"/>
        <v>8470</v>
      </c>
      <c r="I86" s="61" t="s">
        <v>302</v>
      </c>
      <c r="J86" s="291" t="s">
        <v>70</v>
      </c>
      <c r="K86" s="30">
        <v>43536</v>
      </c>
      <c r="L86" s="30"/>
      <c r="M86" s="30">
        <v>43532</v>
      </c>
      <c r="N86" s="31" t="s">
        <v>1414</v>
      </c>
      <c r="O86" s="32" t="s">
        <v>1956</v>
      </c>
      <c r="P86" s="580"/>
      <c r="Q86" s="580">
        <v>8610</v>
      </c>
      <c r="R86" s="580"/>
      <c r="S86" s="580"/>
      <c r="T86" s="581"/>
      <c r="U86" s="581">
        <v>265188</v>
      </c>
      <c r="V86" s="20" t="s">
        <v>1947</v>
      </c>
      <c r="W86" s="292">
        <v>43585</v>
      </c>
      <c r="X86" s="293">
        <v>43531</v>
      </c>
      <c r="Y86" s="294" t="s">
        <v>307</v>
      </c>
      <c r="Z86" s="295">
        <v>266805</v>
      </c>
      <c r="AA86" s="300">
        <v>43586</v>
      </c>
      <c r="AB86" s="304" t="s">
        <v>1955</v>
      </c>
      <c r="AC86" s="304">
        <v>3455779600</v>
      </c>
      <c r="AD86" s="304"/>
      <c r="AE86" s="304"/>
      <c r="AF86" s="304"/>
      <c r="AG86" s="296"/>
      <c r="AH86" s="296">
        <v>30.79</v>
      </c>
      <c r="AI86" s="297"/>
      <c r="AJ86" s="298">
        <v>43587</v>
      </c>
      <c r="AK86" s="297" t="s">
        <v>1957</v>
      </c>
      <c r="AL86" s="297" t="s">
        <v>1958</v>
      </c>
      <c r="AM86" s="296" t="s">
        <v>49</v>
      </c>
      <c r="AN86" s="24" t="s">
        <v>284</v>
      </c>
      <c r="AO86" s="296" t="s">
        <v>285</v>
      </c>
      <c r="AP86" s="296" t="s">
        <v>51</v>
      </c>
      <c r="AQ86" s="234" t="s">
        <v>304</v>
      </c>
    </row>
    <row r="87" spans="1:43" ht="15.75" customHeight="1">
      <c r="A87" s="69">
        <v>43395</v>
      </c>
      <c r="B87" s="70" t="s">
        <v>100</v>
      </c>
      <c r="C87" s="290" t="s">
        <v>299</v>
      </c>
      <c r="D87" s="21" t="s">
        <v>308</v>
      </c>
      <c r="E87" s="246" t="s">
        <v>309</v>
      </c>
      <c r="F87" s="54">
        <v>10</v>
      </c>
      <c r="G87" s="48">
        <v>6</v>
      </c>
      <c r="H87" s="26">
        <f t="shared" si="8"/>
        <v>60</v>
      </c>
      <c r="I87" s="61" t="s">
        <v>302</v>
      </c>
      <c r="J87" s="291" t="s">
        <v>70</v>
      </c>
      <c r="K87" s="30">
        <v>43536</v>
      </c>
      <c r="L87" s="30"/>
      <c r="M87" s="30">
        <v>43532</v>
      </c>
      <c r="N87" s="31" t="s">
        <v>1414</v>
      </c>
      <c r="O87" s="23" t="s">
        <v>1956</v>
      </c>
      <c r="P87" s="582"/>
      <c r="Q87" s="580">
        <v>52.5</v>
      </c>
      <c r="R87" s="580"/>
      <c r="S87" s="580"/>
      <c r="T87" s="581"/>
      <c r="U87" s="581">
        <v>1617</v>
      </c>
      <c r="V87" s="22" t="s">
        <v>1947</v>
      </c>
      <c r="W87" s="292">
        <v>43585</v>
      </c>
      <c r="X87" s="293">
        <v>43531</v>
      </c>
      <c r="Y87" s="294" t="s">
        <v>307</v>
      </c>
      <c r="Z87" s="294" t="s">
        <v>1959</v>
      </c>
      <c r="AA87" s="300">
        <v>43586</v>
      </c>
      <c r="AB87" s="304" t="s">
        <v>1955</v>
      </c>
      <c r="AC87" s="304">
        <v>3455779600</v>
      </c>
      <c r="AD87" s="304"/>
      <c r="AE87" s="304"/>
      <c r="AF87" s="304"/>
      <c r="AG87" s="296"/>
      <c r="AH87" s="296">
        <v>30.79</v>
      </c>
      <c r="AI87" s="297"/>
      <c r="AJ87" s="298">
        <v>43587</v>
      </c>
      <c r="AK87" s="297" t="s">
        <v>1957</v>
      </c>
      <c r="AL87" s="297" t="s">
        <v>1958</v>
      </c>
      <c r="AM87" s="296" t="s">
        <v>49</v>
      </c>
      <c r="AN87" s="24" t="s">
        <v>284</v>
      </c>
      <c r="AO87" s="296" t="s">
        <v>285</v>
      </c>
      <c r="AP87" s="296" t="s">
        <v>51</v>
      </c>
      <c r="AQ87" s="234" t="s">
        <v>304</v>
      </c>
    </row>
    <row r="88" spans="1:43" ht="15.75" customHeight="1">
      <c r="A88" s="69">
        <v>43395</v>
      </c>
      <c r="B88" s="70" t="s">
        <v>100</v>
      </c>
      <c r="C88" s="290" t="s">
        <v>299</v>
      </c>
      <c r="D88" s="21" t="s">
        <v>308</v>
      </c>
      <c r="E88" s="246" t="s">
        <v>292</v>
      </c>
      <c r="F88" s="54">
        <v>10</v>
      </c>
      <c r="G88" s="48">
        <v>84.7</v>
      </c>
      <c r="H88" s="26">
        <f t="shared" si="8"/>
        <v>847</v>
      </c>
      <c r="I88" s="61" t="s">
        <v>302</v>
      </c>
      <c r="J88" s="291" t="s">
        <v>70</v>
      </c>
      <c r="K88" s="30">
        <v>43536</v>
      </c>
      <c r="L88" s="30"/>
      <c r="M88" s="30">
        <v>43532</v>
      </c>
      <c r="N88" s="31" t="s">
        <v>1414</v>
      </c>
      <c r="O88" s="32" t="s">
        <v>1956</v>
      </c>
      <c r="P88" s="47"/>
      <c r="Q88" s="47" t="s">
        <v>1960</v>
      </c>
      <c r="R88" s="47"/>
      <c r="S88" s="47"/>
      <c r="T88" s="581"/>
      <c r="U88" s="581">
        <v>0</v>
      </c>
      <c r="V88" s="20" t="s">
        <v>1947</v>
      </c>
      <c r="W88" s="292">
        <v>43585</v>
      </c>
      <c r="X88" s="293">
        <v>43531</v>
      </c>
      <c r="Y88" s="294" t="s">
        <v>307</v>
      </c>
      <c r="Z88" s="294" t="s">
        <v>1959</v>
      </c>
      <c r="AA88" s="300">
        <v>43586</v>
      </c>
      <c r="AB88" s="304" t="s">
        <v>1955</v>
      </c>
      <c r="AC88" s="304">
        <v>3455779600</v>
      </c>
      <c r="AD88" s="304"/>
      <c r="AE88" s="304"/>
      <c r="AF88" s="304"/>
      <c r="AG88" s="296"/>
      <c r="AH88" s="296">
        <v>30.79</v>
      </c>
      <c r="AI88" s="297"/>
      <c r="AJ88" s="298">
        <v>43587</v>
      </c>
      <c r="AK88" s="297" t="s">
        <v>1957</v>
      </c>
      <c r="AL88" s="297" t="s">
        <v>1958</v>
      </c>
      <c r="AM88" s="296" t="s">
        <v>49</v>
      </c>
      <c r="AN88" s="24" t="s">
        <v>284</v>
      </c>
      <c r="AO88" s="296" t="s">
        <v>285</v>
      </c>
      <c r="AP88" s="296" t="s">
        <v>51</v>
      </c>
      <c r="AQ88" s="234" t="s">
        <v>304</v>
      </c>
    </row>
    <row r="89" spans="1:43" ht="15.75" customHeight="1">
      <c r="A89" s="69">
        <v>43395</v>
      </c>
      <c r="B89" s="70" t="s">
        <v>100</v>
      </c>
      <c r="C89" s="290" t="s">
        <v>299</v>
      </c>
      <c r="D89" s="21" t="s">
        <v>310</v>
      </c>
      <c r="E89" s="246" t="s">
        <v>301</v>
      </c>
      <c r="F89" s="54">
        <v>10</v>
      </c>
      <c r="G89" s="48">
        <v>85</v>
      </c>
      <c r="H89" s="26">
        <f t="shared" si="8"/>
        <v>850</v>
      </c>
      <c r="I89" s="61" t="s">
        <v>302</v>
      </c>
      <c r="J89" s="291" t="s">
        <v>70</v>
      </c>
      <c r="K89" s="30">
        <v>43566</v>
      </c>
      <c r="L89" s="30"/>
      <c r="M89" s="30">
        <v>43430</v>
      </c>
      <c r="N89" s="429" t="s">
        <v>1952</v>
      </c>
      <c r="O89" s="32" t="s">
        <v>1953</v>
      </c>
      <c r="P89" s="580"/>
      <c r="Q89" s="580"/>
      <c r="R89" s="580"/>
      <c r="S89" s="580"/>
      <c r="T89" s="47"/>
      <c r="U89" s="47">
        <v>0</v>
      </c>
      <c r="V89" s="51" t="s">
        <v>1954</v>
      </c>
      <c r="W89" s="292">
        <v>43450</v>
      </c>
      <c r="X89" s="293">
        <v>43420</v>
      </c>
      <c r="Y89" s="294" t="s">
        <v>303</v>
      </c>
      <c r="Z89" s="295" t="s">
        <v>1961</v>
      </c>
      <c r="AA89" s="293">
        <v>43445</v>
      </c>
      <c r="AB89" s="304" t="s">
        <v>1962</v>
      </c>
      <c r="AC89" s="304">
        <v>4168589110</v>
      </c>
      <c r="AD89" s="304"/>
      <c r="AE89" s="304"/>
      <c r="AF89" s="304"/>
      <c r="AG89" s="296"/>
      <c r="AH89" s="296">
        <v>30.77</v>
      </c>
      <c r="AI89" s="297">
        <f>AH89*H89</f>
        <v>26154.5</v>
      </c>
      <c r="AJ89" s="298">
        <v>43602</v>
      </c>
      <c r="AK89" s="297" t="s">
        <v>1963</v>
      </c>
      <c r="AL89" s="297" t="s">
        <v>1964</v>
      </c>
      <c r="AM89" s="296" t="s">
        <v>49</v>
      </c>
      <c r="AN89" s="24" t="s">
        <v>284</v>
      </c>
      <c r="AO89" s="296" t="s">
        <v>285</v>
      </c>
      <c r="AP89" s="296" t="s">
        <v>51</v>
      </c>
      <c r="AQ89" s="234" t="s">
        <v>304</v>
      </c>
    </row>
    <row r="90" spans="1:43" ht="15.75" customHeight="1">
      <c r="A90" s="69">
        <v>43395</v>
      </c>
      <c r="B90" s="70" t="s">
        <v>100</v>
      </c>
      <c r="C90" s="290" t="s">
        <v>299</v>
      </c>
      <c r="D90" s="301" t="s">
        <v>310</v>
      </c>
      <c r="E90" s="246" t="s">
        <v>311</v>
      </c>
      <c r="F90" s="54">
        <v>10</v>
      </c>
      <c r="G90" s="48">
        <v>847</v>
      </c>
      <c r="H90" s="26">
        <f t="shared" si="8"/>
        <v>8470</v>
      </c>
      <c r="I90" s="61" t="s">
        <v>302</v>
      </c>
      <c r="J90" s="58" t="s">
        <v>70</v>
      </c>
      <c r="K90" s="30">
        <v>43566</v>
      </c>
      <c r="L90" s="30"/>
      <c r="M90" s="30">
        <v>43564</v>
      </c>
      <c r="N90" s="31" t="s">
        <v>1414</v>
      </c>
      <c r="O90" s="32" t="s">
        <v>1956</v>
      </c>
      <c r="P90" s="580"/>
      <c r="Q90" s="580">
        <v>8610</v>
      </c>
      <c r="R90" s="580"/>
      <c r="S90" s="580"/>
      <c r="T90" s="406"/>
      <c r="U90" s="406">
        <v>265188</v>
      </c>
      <c r="V90" s="20" t="s">
        <v>1947</v>
      </c>
      <c r="W90" s="302">
        <v>43616</v>
      </c>
      <c r="X90" s="303">
        <v>43563</v>
      </c>
      <c r="Y90" s="304" t="s">
        <v>312</v>
      </c>
      <c r="Z90" s="304">
        <v>266805</v>
      </c>
      <c r="AA90" s="303">
        <v>43616</v>
      </c>
      <c r="AB90" s="304" t="s">
        <v>1962</v>
      </c>
      <c r="AC90" s="304">
        <v>4168589110</v>
      </c>
      <c r="AD90" s="460">
        <v>43616</v>
      </c>
      <c r="AE90" s="304"/>
      <c r="AF90" s="304"/>
      <c r="AG90" s="296"/>
      <c r="AH90" s="296">
        <v>30.77</v>
      </c>
      <c r="AI90" s="297">
        <f>AH90*H90</f>
        <v>260621.9</v>
      </c>
      <c r="AJ90" s="298">
        <v>43602</v>
      </c>
      <c r="AK90" s="297">
        <f>19748.12*31.16</f>
        <v>615351.4192</v>
      </c>
      <c r="AL90" s="297">
        <f>(19768-19748.12)*31.16</f>
        <v>619.46080000003178</v>
      </c>
      <c r="AM90" s="296" t="s">
        <v>49</v>
      </c>
      <c r="AN90" s="24" t="s">
        <v>284</v>
      </c>
      <c r="AO90" s="296" t="s">
        <v>285</v>
      </c>
      <c r="AP90" s="296" t="s">
        <v>51</v>
      </c>
      <c r="AQ90" s="234" t="s">
        <v>304</v>
      </c>
    </row>
    <row r="91" spans="1:43" ht="15.75" customHeight="1">
      <c r="A91" s="69">
        <v>43395</v>
      </c>
      <c r="B91" s="70" t="s">
        <v>100</v>
      </c>
      <c r="C91" s="290" t="s">
        <v>299</v>
      </c>
      <c r="D91" s="21" t="s">
        <v>310</v>
      </c>
      <c r="E91" s="246" t="s">
        <v>309</v>
      </c>
      <c r="F91" s="54">
        <v>10</v>
      </c>
      <c r="G91" s="48">
        <v>6</v>
      </c>
      <c r="H91" s="26">
        <f t="shared" si="8"/>
        <v>60</v>
      </c>
      <c r="I91" s="61" t="s">
        <v>302</v>
      </c>
      <c r="J91" s="291" t="s">
        <v>70</v>
      </c>
      <c r="K91" s="30">
        <v>43566</v>
      </c>
      <c r="L91" s="30"/>
      <c r="M91" s="30">
        <v>43564</v>
      </c>
      <c r="N91" s="31" t="s">
        <v>1414</v>
      </c>
      <c r="O91" s="32" t="s">
        <v>1956</v>
      </c>
      <c r="P91" s="580"/>
      <c r="Q91" s="580">
        <v>52.5</v>
      </c>
      <c r="R91" s="580"/>
      <c r="S91" s="580"/>
      <c r="T91" s="406"/>
      <c r="U91" s="406">
        <v>1617</v>
      </c>
      <c r="V91" s="20" t="s">
        <v>1947</v>
      </c>
      <c r="W91" s="302">
        <v>43616</v>
      </c>
      <c r="X91" s="303">
        <v>43563</v>
      </c>
      <c r="Y91" s="304" t="s">
        <v>312</v>
      </c>
      <c r="Z91" s="304" t="s">
        <v>1965</v>
      </c>
      <c r="AA91" s="303">
        <v>43616</v>
      </c>
      <c r="AB91" s="304" t="s">
        <v>1962</v>
      </c>
      <c r="AC91" s="304">
        <v>4168589110</v>
      </c>
      <c r="AD91" s="460">
        <v>43616</v>
      </c>
      <c r="AE91" s="304"/>
      <c r="AF91" s="304"/>
      <c r="AG91" s="296"/>
      <c r="AH91" s="296">
        <v>30.77</v>
      </c>
      <c r="AI91" s="297">
        <f>AH91*H91</f>
        <v>1846.2</v>
      </c>
      <c r="AJ91" s="298">
        <v>43602</v>
      </c>
      <c r="AK91" s="297" t="s">
        <v>1963</v>
      </c>
      <c r="AL91" s="297" t="s">
        <v>1964</v>
      </c>
      <c r="AM91" s="296" t="s">
        <v>49</v>
      </c>
      <c r="AN91" s="24" t="s">
        <v>284</v>
      </c>
      <c r="AO91" s="296" t="s">
        <v>285</v>
      </c>
      <c r="AP91" s="296" t="s">
        <v>51</v>
      </c>
      <c r="AQ91" s="234" t="s">
        <v>304</v>
      </c>
    </row>
    <row r="92" spans="1:43" ht="15.75" customHeight="1">
      <c r="A92" s="69">
        <v>43395</v>
      </c>
      <c r="B92" s="70" t="s">
        <v>100</v>
      </c>
      <c r="C92" s="290" t="s">
        <v>299</v>
      </c>
      <c r="D92" s="21" t="s">
        <v>310</v>
      </c>
      <c r="E92" s="246" t="s">
        <v>292</v>
      </c>
      <c r="F92" s="54">
        <v>10</v>
      </c>
      <c r="G92" s="48">
        <v>84.7</v>
      </c>
      <c r="H92" s="26">
        <f t="shared" si="8"/>
        <v>847</v>
      </c>
      <c r="I92" s="61" t="s">
        <v>302</v>
      </c>
      <c r="J92" s="291" t="s">
        <v>70</v>
      </c>
      <c r="K92" s="30">
        <v>43566</v>
      </c>
      <c r="L92" s="30"/>
      <c r="M92" s="30">
        <v>43564</v>
      </c>
      <c r="N92" s="31" t="s">
        <v>1414</v>
      </c>
      <c r="O92" s="23" t="s">
        <v>1956</v>
      </c>
      <c r="P92" s="583"/>
      <c r="Q92" s="584" t="s">
        <v>1966</v>
      </c>
      <c r="R92" s="584"/>
      <c r="S92" s="584"/>
      <c r="T92" s="406"/>
      <c r="U92" s="406">
        <v>0</v>
      </c>
      <c r="V92" s="22" t="s">
        <v>1947</v>
      </c>
      <c r="W92" s="302">
        <v>43616</v>
      </c>
      <c r="X92" s="303">
        <v>43563</v>
      </c>
      <c r="Y92" s="304" t="s">
        <v>312</v>
      </c>
      <c r="Z92" s="304" t="s">
        <v>1965</v>
      </c>
      <c r="AA92" s="303">
        <v>43616</v>
      </c>
      <c r="AB92" s="304" t="s">
        <v>1962</v>
      </c>
      <c r="AC92" s="304">
        <v>4168589110</v>
      </c>
      <c r="AD92" s="460">
        <v>43616</v>
      </c>
      <c r="AE92" s="304"/>
      <c r="AF92" s="304"/>
      <c r="AG92" s="296"/>
      <c r="AH92" s="296">
        <v>30.77</v>
      </c>
      <c r="AI92" s="297">
        <f>AH92*H92</f>
        <v>26062.19</v>
      </c>
      <c r="AJ92" s="298">
        <v>43602</v>
      </c>
      <c r="AK92" s="297" t="s">
        <v>1963</v>
      </c>
      <c r="AL92" s="297" t="s">
        <v>1964</v>
      </c>
      <c r="AM92" s="296" t="s">
        <v>49</v>
      </c>
      <c r="AN92" s="24" t="s">
        <v>284</v>
      </c>
      <c r="AO92" s="296" t="s">
        <v>285</v>
      </c>
      <c r="AP92" s="296" t="s">
        <v>51</v>
      </c>
      <c r="AQ92" s="234" t="s">
        <v>304</v>
      </c>
    </row>
    <row r="93" spans="1:43" ht="15.75" customHeight="1">
      <c r="A93" s="69">
        <v>43399</v>
      </c>
      <c r="B93" s="263" t="s">
        <v>76</v>
      </c>
      <c r="C93" s="250">
        <v>1069</v>
      </c>
      <c r="D93" s="250" t="s">
        <v>313</v>
      </c>
      <c r="E93" s="246" t="s">
        <v>314</v>
      </c>
      <c r="F93" s="251">
        <v>20</v>
      </c>
      <c r="G93" s="252">
        <v>285</v>
      </c>
      <c r="H93" s="253">
        <f t="shared" si="8"/>
        <v>5700</v>
      </c>
      <c r="I93" s="254" t="s">
        <v>42</v>
      </c>
      <c r="J93" s="255" t="s">
        <v>315</v>
      </c>
      <c r="K93" s="256">
        <v>43475</v>
      </c>
      <c r="L93" s="256"/>
      <c r="M93" s="256">
        <v>43473</v>
      </c>
      <c r="N93" s="331" t="s">
        <v>1967</v>
      </c>
      <c r="O93" s="250" t="s">
        <v>1968</v>
      </c>
      <c r="P93" s="266"/>
      <c r="Q93" s="266">
        <v>5250</v>
      </c>
      <c r="R93" s="266"/>
      <c r="S93" s="266"/>
      <c r="T93" s="308"/>
      <c r="U93" s="308"/>
      <c r="V93" s="318" t="s">
        <v>1969</v>
      </c>
      <c r="W93" s="258">
        <v>43555</v>
      </c>
      <c r="X93" s="258">
        <v>43472</v>
      </c>
      <c r="Y93" s="259" t="s">
        <v>316</v>
      </c>
      <c r="Z93" s="270">
        <v>375144</v>
      </c>
      <c r="AA93" s="258">
        <v>43564</v>
      </c>
      <c r="AB93" s="329" t="s">
        <v>1970</v>
      </c>
      <c r="AC93" s="574">
        <v>613848793</v>
      </c>
      <c r="AD93" s="329"/>
      <c r="AE93" s="329"/>
      <c r="AF93" s="329"/>
      <c r="AG93" s="251" t="s">
        <v>283</v>
      </c>
      <c r="AH93" s="251"/>
      <c r="AI93" s="260"/>
      <c r="AJ93" s="251"/>
      <c r="AK93" s="260">
        <f>14150*30.76</f>
        <v>435254</v>
      </c>
      <c r="AL93" s="260">
        <v>0</v>
      </c>
      <c r="AM93" s="251" t="s">
        <v>49</v>
      </c>
      <c r="AN93" s="251" t="s">
        <v>284</v>
      </c>
      <c r="AO93" s="251" t="s">
        <v>50</v>
      </c>
      <c r="AP93" s="251" t="s">
        <v>51</v>
      </c>
      <c r="AQ93" s="262"/>
    </row>
    <row r="94" spans="1:43" ht="15.75" customHeight="1">
      <c r="A94" s="69">
        <v>43399</v>
      </c>
      <c r="B94" s="263" t="s">
        <v>76</v>
      </c>
      <c r="C94" s="250">
        <v>1069</v>
      </c>
      <c r="D94" s="250" t="s">
        <v>313</v>
      </c>
      <c r="E94" s="246" t="s">
        <v>317</v>
      </c>
      <c r="F94" s="305">
        <v>30</v>
      </c>
      <c r="G94" s="252">
        <v>255</v>
      </c>
      <c r="H94" s="253">
        <f t="shared" si="8"/>
        <v>7650</v>
      </c>
      <c r="I94" s="254" t="s">
        <v>42</v>
      </c>
      <c r="J94" s="255" t="s">
        <v>315</v>
      </c>
      <c r="K94" s="256">
        <v>43475</v>
      </c>
      <c r="L94" s="256"/>
      <c r="M94" s="256">
        <v>43473</v>
      </c>
      <c r="N94" s="331" t="s">
        <v>1967</v>
      </c>
      <c r="O94" s="250" t="s">
        <v>1968</v>
      </c>
      <c r="P94" s="266"/>
      <c r="Q94" s="266" t="s">
        <v>1971</v>
      </c>
      <c r="R94" s="266"/>
      <c r="S94" s="266"/>
      <c r="T94" s="572"/>
      <c r="U94" s="572">
        <v>-213444</v>
      </c>
      <c r="V94" s="318" t="s">
        <v>1969</v>
      </c>
      <c r="W94" s="258">
        <v>43555</v>
      </c>
      <c r="X94" s="258">
        <v>43472</v>
      </c>
      <c r="Y94" s="259" t="s">
        <v>316</v>
      </c>
      <c r="Z94" s="259" t="s">
        <v>1972</v>
      </c>
      <c r="AA94" s="258">
        <v>43564</v>
      </c>
      <c r="AB94" s="329" t="s">
        <v>1970</v>
      </c>
      <c r="AC94" s="574">
        <v>613848793</v>
      </c>
      <c r="AD94" s="329"/>
      <c r="AE94" s="329"/>
      <c r="AF94" s="329"/>
      <c r="AG94" s="251" t="s">
        <v>283</v>
      </c>
      <c r="AH94" s="251"/>
      <c r="AI94" s="260"/>
      <c r="AJ94" s="251"/>
      <c r="AK94" s="260" t="s">
        <v>1973</v>
      </c>
      <c r="AL94" s="260" t="s">
        <v>1974</v>
      </c>
      <c r="AM94" s="251" t="s">
        <v>49</v>
      </c>
      <c r="AN94" s="251" t="s">
        <v>284</v>
      </c>
      <c r="AO94" s="251" t="s">
        <v>50</v>
      </c>
      <c r="AP94" s="251" t="s">
        <v>51</v>
      </c>
      <c r="AQ94" s="262"/>
    </row>
    <row r="95" spans="1:43" ht="15.75" customHeight="1">
      <c r="A95" s="306">
        <v>43404</v>
      </c>
      <c r="B95" s="307" t="s">
        <v>100</v>
      </c>
      <c r="C95" s="308" t="s">
        <v>0</v>
      </c>
      <c r="D95" s="250" t="s">
        <v>318</v>
      </c>
      <c r="E95" s="35" t="s">
        <v>319</v>
      </c>
      <c r="F95" s="264">
        <v>100</v>
      </c>
      <c r="G95" s="265">
        <v>20</v>
      </c>
      <c r="H95" s="253">
        <f>F95*G95</f>
        <v>2000</v>
      </c>
      <c r="I95" s="254" t="s">
        <v>302</v>
      </c>
      <c r="J95" s="255" t="s">
        <v>281</v>
      </c>
      <c r="K95" s="256" t="s">
        <v>1941</v>
      </c>
      <c r="L95" s="256"/>
      <c r="M95" s="256">
        <v>43522</v>
      </c>
      <c r="N95" s="585" t="s">
        <v>1975</v>
      </c>
      <c r="O95" s="420" t="s">
        <v>1976</v>
      </c>
      <c r="P95" s="586"/>
      <c r="Q95" s="586"/>
      <c r="R95" s="586"/>
      <c r="S95" s="586"/>
      <c r="T95" s="266"/>
      <c r="U95" s="266">
        <v>52500</v>
      </c>
      <c r="V95" s="386" t="s">
        <v>1977</v>
      </c>
      <c r="W95" s="309">
        <v>43560</v>
      </c>
      <c r="X95" s="258">
        <v>43522</v>
      </c>
      <c r="Y95" s="259" t="s">
        <v>320</v>
      </c>
      <c r="Z95" s="270">
        <v>52500</v>
      </c>
      <c r="AA95" s="258">
        <v>43564</v>
      </c>
      <c r="AB95" s="329"/>
      <c r="AC95" s="329"/>
      <c r="AD95" s="329"/>
      <c r="AE95" s="329"/>
      <c r="AF95" s="329"/>
      <c r="AG95" s="251"/>
      <c r="AH95" s="251"/>
      <c r="AI95" s="260"/>
      <c r="AJ95" s="261">
        <v>43509</v>
      </c>
      <c r="AK95" s="260">
        <f>1983.5*30.77</f>
        <v>61032.294999999998</v>
      </c>
      <c r="AL95" s="260">
        <f>(10+6.5)*30.77</f>
        <v>507.70499999999998</v>
      </c>
      <c r="AM95" s="251" t="s">
        <v>49</v>
      </c>
      <c r="AN95" s="251" t="s">
        <v>284</v>
      </c>
      <c r="AO95" s="251" t="s">
        <v>285</v>
      </c>
      <c r="AP95" s="251" t="s">
        <v>51</v>
      </c>
      <c r="AQ95" s="262"/>
    </row>
    <row r="96" spans="1:43" ht="15.75" customHeight="1">
      <c r="A96" s="69">
        <v>43441</v>
      </c>
      <c r="B96" s="263" t="s">
        <v>118</v>
      </c>
      <c r="C96" s="250" t="s">
        <v>321</v>
      </c>
      <c r="D96" s="250" t="s">
        <v>322</v>
      </c>
      <c r="E96" s="246" t="s">
        <v>151</v>
      </c>
      <c r="F96" s="262">
        <v>4</v>
      </c>
      <c r="G96" s="252">
        <v>1045</v>
      </c>
      <c r="H96" s="253">
        <f t="shared" ref="H96:H118" si="9">G96*F96</f>
        <v>4180</v>
      </c>
      <c r="I96" s="254" t="s">
        <v>170</v>
      </c>
      <c r="J96" s="254" t="s">
        <v>121</v>
      </c>
      <c r="K96" s="256">
        <v>43479</v>
      </c>
      <c r="L96" s="256"/>
      <c r="M96" s="256">
        <v>43475</v>
      </c>
      <c r="N96" s="401" t="s">
        <v>89</v>
      </c>
      <c r="O96" s="250" t="s">
        <v>1978</v>
      </c>
      <c r="P96" s="266"/>
      <c r="Q96" s="266">
        <v>3864</v>
      </c>
      <c r="R96" s="1394"/>
      <c r="S96" s="1394"/>
      <c r="T96" s="587"/>
      <c r="U96" s="587">
        <v>118818</v>
      </c>
      <c r="V96" s="571" t="s">
        <v>93</v>
      </c>
      <c r="W96" s="310">
        <v>43524</v>
      </c>
      <c r="X96" s="258">
        <v>43474</v>
      </c>
      <c r="Y96" s="259" t="s">
        <v>323</v>
      </c>
      <c r="Z96" s="270">
        <v>291492</v>
      </c>
      <c r="AA96" s="258">
        <v>43522</v>
      </c>
      <c r="AB96" s="329" t="s">
        <v>1979</v>
      </c>
      <c r="AC96" s="329" t="s">
        <v>1980</v>
      </c>
      <c r="AD96" s="329"/>
      <c r="AE96" s="329"/>
      <c r="AF96" s="329"/>
      <c r="AG96" s="251" t="s">
        <v>283</v>
      </c>
      <c r="AH96" s="251"/>
      <c r="AI96" s="260"/>
      <c r="AJ96" s="305"/>
      <c r="AK96" s="260"/>
      <c r="AL96" s="260"/>
      <c r="AM96" s="251" t="s">
        <v>49</v>
      </c>
      <c r="AN96" s="251" t="s">
        <v>284</v>
      </c>
      <c r="AO96" s="251" t="s">
        <v>50</v>
      </c>
      <c r="AP96" s="251" t="s">
        <v>51</v>
      </c>
      <c r="AQ96" s="262"/>
    </row>
    <row r="97" spans="1:43" ht="15.75" customHeight="1">
      <c r="A97" s="69">
        <v>43441</v>
      </c>
      <c r="B97" s="263" t="s">
        <v>118</v>
      </c>
      <c r="C97" s="250" t="s">
        <v>321</v>
      </c>
      <c r="D97" s="250" t="s">
        <v>322</v>
      </c>
      <c r="E97" s="246" t="s">
        <v>120</v>
      </c>
      <c r="F97" s="251">
        <v>10</v>
      </c>
      <c r="G97" s="252">
        <v>359</v>
      </c>
      <c r="H97" s="253">
        <f t="shared" si="9"/>
        <v>3590</v>
      </c>
      <c r="I97" s="254" t="s">
        <v>170</v>
      </c>
      <c r="J97" s="254" t="s">
        <v>121</v>
      </c>
      <c r="K97" s="256">
        <v>43479</v>
      </c>
      <c r="L97" s="256"/>
      <c r="M97" s="256">
        <v>43475</v>
      </c>
      <c r="N97" s="401" t="s">
        <v>89</v>
      </c>
      <c r="O97" s="250" t="s">
        <v>1978</v>
      </c>
      <c r="P97" s="266"/>
      <c r="Q97" s="266">
        <v>3486</v>
      </c>
      <c r="R97" s="266"/>
      <c r="S97" s="266"/>
      <c r="T97" s="266"/>
      <c r="U97" s="266">
        <v>107195</v>
      </c>
      <c r="V97" s="571" t="s">
        <v>93</v>
      </c>
      <c r="W97" s="310">
        <v>43524</v>
      </c>
      <c r="X97" s="258">
        <v>43474</v>
      </c>
      <c r="Y97" s="259" t="s">
        <v>323</v>
      </c>
      <c r="Z97" s="259" t="s">
        <v>1981</v>
      </c>
      <c r="AA97" s="258">
        <v>43522</v>
      </c>
      <c r="AB97" s="329" t="s">
        <v>1979</v>
      </c>
      <c r="AC97" s="329" t="s">
        <v>1980</v>
      </c>
      <c r="AD97" s="329"/>
      <c r="AE97" s="329"/>
      <c r="AF97" s="329"/>
      <c r="AG97" s="251" t="s">
        <v>283</v>
      </c>
      <c r="AH97" s="251"/>
      <c r="AI97" s="260"/>
      <c r="AJ97" s="305"/>
      <c r="AK97" s="260"/>
      <c r="AL97" s="260"/>
      <c r="AM97" s="251" t="s">
        <v>49</v>
      </c>
      <c r="AN97" s="251" t="s">
        <v>284</v>
      </c>
      <c r="AO97" s="251" t="s">
        <v>50</v>
      </c>
      <c r="AP97" s="251" t="s">
        <v>51</v>
      </c>
      <c r="AQ97" s="262"/>
    </row>
    <row r="98" spans="1:43" ht="15.75" customHeight="1">
      <c r="A98" s="311">
        <v>43441</v>
      </c>
      <c r="B98" s="312" t="s">
        <v>118</v>
      </c>
      <c r="C98" s="312" t="s">
        <v>321</v>
      </c>
      <c r="D98" s="250" t="s">
        <v>322</v>
      </c>
      <c r="E98" s="313" t="s">
        <v>324</v>
      </c>
      <c r="F98" s="251">
        <v>4</v>
      </c>
      <c r="G98" s="314">
        <v>577</v>
      </c>
      <c r="H98" s="253">
        <f t="shared" si="9"/>
        <v>2308</v>
      </c>
      <c r="I98" s="264" t="s">
        <v>170</v>
      </c>
      <c r="J98" s="264" t="s">
        <v>121</v>
      </c>
      <c r="K98" s="256">
        <v>43479</v>
      </c>
      <c r="L98" s="256"/>
      <c r="M98" s="256">
        <v>43475</v>
      </c>
      <c r="N98" s="331" t="s">
        <v>89</v>
      </c>
      <c r="O98" s="366" t="s">
        <v>1978</v>
      </c>
      <c r="P98" s="334"/>
      <c r="Q98" s="334">
        <v>2129.4</v>
      </c>
      <c r="R98" s="1395"/>
      <c r="S98" s="1395"/>
      <c r="T98" s="334"/>
      <c r="U98" s="334">
        <v>65479</v>
      </c>
      <c r="V98" s="588" t="s">
        <v>93</v>
      </c>
      <c r="W98" s="315">
        <v>43524</v>
      </c>
      <c r="X98" s="316">
        <v>43474</v>
      </c>
      <c r="Y98" s="317" t="s">
        <v>323</v>
      </c>
      <c r="Z98" s="317" t="s">
        <v>1981</v>
      </c>
      <c r="AA98" s="258">
        <v>43522</v>
      </c>
      <c r="AB98" s="329" t="s">
        <v>1979</v>
      </c>
      <c r="AC98" s="329" t="s">
        <v>1980</v>
      </c>
      <c r="AD98" s="329"/>
      <c r="AE98" s="329"/>
      <c r="AF98" s="329"/>
      <c r="AG98" s="251" t="s">
        <v>283</v>
      </c>
      <c r="AH98" s="251"/>
      <c r="AI98" s="260"/>
      <c r="AJ98" s="305"/>
      <c r="AK98" s="260"/>
      <c r="AL98" s="260"/>
      <c r="AM98" s="251" t="s">
        <v>49</v>
      </c>
      <c r="AN98" s="251" t="s">
        <v>284</v>
      </c>
      <c r="AO98" s="251" t="s">
        <v>50</v>
      </c>
      <c r="AP98" s="251" t="s">
        <v>51</v>
      </c>
      <c r="AQ98" s="262"/>
    </row>
    <row r="99" spans="1:43" ht="15.75" customHeight="1">
      <c r="A99" s="19">
        <v>43444</v>
      </c>
      <c r="B99" s="318" t="s">
        <v>325</v>
      </c>
      <c r="C99" s="250">
        <v>2026605</v>
      </c>
      <c r="D99" s="308" t="s">
        <v>326</v>
      </c>
      <c r="E99" s="246" t="s">
        <v>327</v>
      </c>
      <c r="F99" s="251">
        <v>5</v>
      </c>
      <c r="G99" s="252">
        <v>607</v>
      </c>
      <c r="H99" s="253">
        <f t="shared" si="9"/>
        <v>3035</v>
      </c>
      <c r="I99" s="254" t="s">
        <v>42</v>
      </c>
      <c r="J99" s="319" t="s">
        <v>328</v>
      </c>
      <c r="K99" s="256">
        <v>43475</v>
      </c>
      <c r="L99" s="256"/>
      <c r="M99" s="256">
        <v>43475</v>
      </c>
      <c r="N99" s="331" t="s">
        <v>53</v>
      </c>
      <c r="O99" s="250" t="s">
        <v>1982</v>
      </c>
      <c r="P99" s="266"/>
      <c r="Q99" s="266">
        <v>2966.25</v>
      </c>
      <c r="R99" s="266"/>
      <c r="S99" s="266"/>
      <c r="T99" s="589"/>
      <c r="U99" s="589">
        <v>91301</v>
      </c>
      <c r="V99" s="590" t="s">
        <v>55</v>
      </c>
      <c r="W99" s="320">
        <v>43524</v>
      </c>
      <c r="X99" s="258">
        <v>43479</v>
      </c>
      <c r="Y99" s="259" t="s">
        <v>329</v>
      </c>
      <c r="Z99" s="270">
        <v>267795</v>
      </c>
      <c r="AA99" s="258">
        <v>43525</v>
      </c>
      <c r="AB99" s="329" t="s">
        <v>1983</v>
      </c>
      <c r="AC99" s="329" t="s">
        <v>1984</v>
      </c>
      <c r="AD99" s="329"/>
      <c r="AE99" s="329"/>
      <c r="AF99" s="329"/>
      <c r="AG99" s="251" t="s">
        <v>283</v>
      </c>
      <c r="AH99" s="251"/>
      <c r="AI99" s="260"/>
      <c r="AJ99" s="251"/>
      <c r="AK99" s="260"/>
      <c r="AL99" s="260"/>
      <c r="AM99" s="251" t="s">
        <v>49</v>
      </c>
      <c r="AN99" s="251" t="s">
        <v>284</v>
      </c>
      <c r="AO99" s="251" t="s">
        <v>50</v>
      </c>
      <c r="AP99" s="251" t="s">
        <v>51</v>
      </c>
      <c r="AQ99" s="262"/>
    </row>
    <row r="100" spans="1:43" ht="15.75" customHeight="1">
      <c r="A100" s="19">
        <v>43444</v>
      </c>
      <c r="B100" s="318" t="s">
        <v>325</v>
      </c>
      <c r="C100" s="250">
        <v>2026605</v>
      </c>
      <c r="D100" s="308" t="s">
        <v>326</v>
      </c>
      <c r="E100" s="246" t="s">
        <v>330</v>
      </c>
      <c r="F100" s="251">
        <v>5</v>
      </c>
      <c r="G100" s="252">
        <v>27</v>
      </c>
      <c r="H100" s="253">
        <f t="shared" si="9"/>
        <v>135</v>
      </c>
      <c r="I100" s="254" t="s">
        <v>42</v>
      </c>
      <c r="J100" s="319" t="s">
        <v>328</v>
      </c>
      <c r="K100" s="256">
        <v>43475</v>
      </c>
      <c r="L100" s="256"/>
      <c r="M100" s="256">
        <v>43475</v>
      </c>
      <c r="N100" s="331" t="s">
        <v>53</v>
      </c>
      <c r="O100" s="250" t="s">
        <v>1982</v>
      </c>
      <c r="P100" s="266"/>
      <c r="Q100" s="266">
        <v>131.25</v>
      </c>
      <c r="R100" s="266"/>
      <c r="S100" s="266"/>
      <c r="T100" s="589"/>
      <c r="U100" s="589">
        <v>4040</v>
      </c>
      <c r="V100" s="590" t="s">
        <v>55</v>
      </c>
      <c r="W100" s="320">
        <v>43524</v>
      </c>
      <c r="X100" s="258">
        <v>43479</v>
      </c>
      <c r="Y100" s="259" t="s">
        <v>329</v>
      </c>
      <c r="Z100" s="259" t="s">
        <v>1985</v>
      </c>
      <c r="AA100" s="258">
        <v>43525</v>
      </c>
      <c r="AB100" s="329" t="s">
        <v>1983</v>
      </c>
      <c r="AC100" s="329" t="s">
        <v>1984</v>
      </c>
      <c r="AD100" s="329"/>
      <c r="AE100" s="329"/>
      <c r="AF100" s="329"/>
      <c r="AG100" s="251" t="s">
        <v>283</v>
      </c>
      <c r="AH100" s="251"/>
      <c r="AI100" s="260"/>
      <c r="AJ100" s="251"/>
      <c r="AK100" s="260"/>
      <c r="AL100" s="260"/>
      <c r="AM100" s="251" t="s">
        <v>49</v>
      </c>
      <c r="AN100" s="251" t="s">
        <v>284</v>
      </c>
      <c r="AO100" s="251" t="s">
        <v>50</v>
      </c>
      <c r="AP100" s="251" t="s">
        <v>51</v>
      </c>
      <c r="AQ100" s="262"/>
    </row>
    <row r="101" spans="1:43" ht="15.75" customHeight="1">
      <c r="A101" s="19">
        <v>43444</v>
      </c>
      <c r="B101" s="318" t="s">
        <v>325</v>
      </c>
      <c r="C101" s="250">
        <v>2026605</v>
      </c>
      <c r="D101" s="308" t="s">
        <v>326</v>
      </c>
      <c r="E101" s="246" t="s">
        <v>52</v>
      </c>
      <c r="F101" s="251">
        <v>10</v>
      </c>
      <c r="G101" s="252">
        <v>31</v>
      </c>
      <c r="H101" s="253">
        <f t="shared" si="9"/>
        <v>310</v>
      </c>
      <c r="I101" s="254" t="s">
        <v>42</v>
      </c>
      <c r="J101" s="319" t="s">
        <v>328</v>
      </c>
      <c r="K101" s="256">
        <v>43475</v>
      </c>
      <c r="L101" s="256"/>
      <c r="M101" s="256">
        <v>43475</v>
      </c>
      <c r="N101" s="331" t="s">
        <v>53</v>
      </c>
      <c r="O101" s="250" t="s">
        <v>1982</v>
      </c>
      <c r="P101" s="266"/>
      <c r="Q101" s="266">
        <v>226.8</v>
      </c>
      <c r="R101" s="266"/>
      <c r="S101" s="266"/>
      <c r="T101" s="589"/>
      <c r="U101" s="589">
        <v>6981</v>
      </c>
      <c r="V101" s="590" t="s">
        <v>55</v>
      </c>
      <c r="W101" s="320">
        <v>43524</v>
      </c>
      <c r="X101" s="258">
        <v>43479</v>
      </c>
      <c r="Y101" s="259" t="s">
        <v>329</v>
      </c>
      <c r="Z101" s="259" t="s">
        <v>1985</v>
      </c>
      <c r="AA101" s="258">
        <v>43525</v>
      </c>
      <c r="AB101" s="574" t="s">
        <v>1983</v>
      </c>
      <c r="AC101" s="329" t="s">
        <v>1984</v>
      </c>
      <c r="AD101" s="329"/>
      <c r="AE101" s="329"/>
      <c r="AF101" s="329"/>
      <c r="AG101" s="251" t="s">
        <v>283</v>
      </c>
      <c r="AH101" s="251"/>
      <c r="AI101" s="260"/>
      <c r="AJ101" s="251"/>
      <c r="AK101" s="260"/>
      <c r="AL101" s="260"/>
      <c r="AM101" s="251" t="s">
        <v>49</v>
      </c>
      <c r="AN101" s="251" t="s">
        <v>284</v>
      </c>
      <c r="AO101" s="251" t="s">
        <v>50</v>
      </c>
      <c r="AP101" s="251" t="s">
        <v>51</v>
      </c>
      <c r="AQ101" s="262"/>
    </row>
    <row r="102" spans="1:43" ht="15.75" customHeight="1">
      <c r="A102" s="19">
        <v>43444</v>
      </c>
      <c r="B102" s="318" t="s">
        <v>325</v>
      </c>
      <c r="C102" s="250">
        <v>2026605</v>
      </c>
      <c r="D102" s="308" t="s">
        <v>326</v>
      </c>
      <c r="E102" s="246" t="s">
        <v>58</v>
      </c>
      <c r="F102" s="251">
        <v>10</v>
      </c>
      <c r="G102" s="252">
        <v>4</v>
      </c>
      <c r="H102" s="253">
        <f t="shared" si="9"/>
        <v>40</v>
      </c>
      <c r="I102" s="254" t="s">
        <v>42</v>
      </c>
      <c r="J102" s="267" t="s">
        <v>328</v>
      </c>
      <c r="K102" s="256">
        <v>43475</v>
      </c>
      <c r="L102" s="256"/>
      <c r="M102" s="256">
        <v>43475</v>
      </c>
      <c r="N102" s="331" t="s">
        <v>53</v>
      </c>
      <c r="O102" s="250" t="s">
        <v>1982</v>
      </c>
      <c r="P102" s="266"/>
      <c r="Q102" s="266">
        <v>21</v>
      </c>
      <c r="R102" s="266"/>
      <c r="S102" s="266"/>
      <c r="T102" s="589"/>
      <c r="U102" s="589">
        <v>646</v>
      </c>
      <c r="V102" s="420" t="s">
        <v>55</v>
      </c>
      <c r="W102" s="320">
        <v>43524</v>
      </c>
      <c r="X102" s="258">
        <v>43479</v>
      </c>
      <c r="Y102" s="259" t="s">
        <v>329</v>
      </c>
      <c r="Z102" s="259" t="s">
        <v>1985</v>
      </c>
      <c r="AA102" s="258">
        <v>43525</v>
      </c>
      <c r="AB102" s="574" t="s">
        <v>1983</v>
      </c>
      <c r="AC102" s="329" t="s">
        <v>1984</v>
      </c>
      <c r="AD102" s="329"/>
      <c r="AE102" s="329"/>
      <c r="AF102" s="329"/>
      <c r="AG102" s="251" t="s">
        <v>283</v>
      </c>
      <c r="AH102" s="251"/>
      <c r="AI102" s="260"/>
      <c r="AJ102" s="251"/>
      <c r="AK102" s="260"/>
      <c r="AL102" s="260"/>
      <c r="AM102" s="251" t="s">
        <v>49</v>
      </c>
      <c r="AN102" s="251" t="s">
        <v>284</v>
      </c>
      <c r="AO102" s="251" t="s">
        <v>50</v>
      </c>
      <c r="AP102" s="251" t="s">
        <v>51</v>
      </c>
      <c r="AQ102" s="262"/>
    </row>
    <row r="103" spans="1:43" ht="15.75" customHeight="1">
      <c r="A103" s="19">
        <v>43444</v>
      </c>
      <c r="B103" s="318" t="s">
        <v>325</v>
      </c>
      <c r="C103" s="250">
        <v>2026605</v>
      </c>
      <c r="D103" s="308" t="s">
        <v>326</v>
      </c>
      <c r="E103" s="246" t="s">
        <v>41</v>
      </c>
      <c r="F103" s="251">
        <v>10</v>
      </c>
      <c r="G103" s="252">
        <v>273</v>
      </c>
      <c r="H103" s="253">
        <f t="shared" si="9"/>
        <v>2730</v>
      </c>
      <c r="I103" s="254" t="s">
        <v>42</v>
      </c>
      <c r="J103" s="267" t="s">
        <v>328</v>
      </c>
      <c r="K103" s="256">
        <v>43475</v>
      </c>
      <c r="L103" s="256"/>
      <c r="M103" s="256">
        <v>43467</v>
      </c>
      <c r="N103" s="331" t="s">
        <v>44</v>
      </c>
      <c r="O103" s="250" t="s">
        <v>1986</v>
      </c>
      <c r="P103" s="265"/>
      <c r="Q103" s="265">
        <v>2184</v>
      </c>
      <c r="R103" s="265"/>
      <c r="S103" s="265"/>
      <c r="T103" s="572"/>
      <c r="U103" s="572">
        <v>67121</v>
      </c>
      <c r="V103" s="571" t="s">
        <v>46</v>
      </c>
      <c r="W103" s="321">
        <v>43497</v>
      </c>
      <c r="X103" s="258">
        <v>43467</v>
      </c>
      <c r="Y103" s="259" t="s">
        <v>331</v>
      </c>
      <c r="Z103" s="270">
        <v>67121</v>
      </c>
      <c r="AA103" s="258">
        <v>43523</v>
      </c>
      <c r="AB103" s="574" t="s">
        <v>1983</v>
      </c>
      <c r="AC103" s="329" t="s">
        <v>1984</v>
      </c>
      <c r="AD103" s="329"/>
      <c r="AE103" s="329"/>
      <c r="AF103" s="329"/>
      <c r="AG103" s="251" t="s">
        <v>283</v>
      </c>
      <c r="AH103" s="251"/>
      <c r="AI103" s="260"/>
      <c r="AJ103" s="251"/>
      <c r="AK103" s="260"/>
      <c r="AL103" s="260"/>
      <c r="AM103" s="251" t="s">
        <v>49</v>
      </c>
      <c r="AN103" s="251" t="s">
        <v>284</v>
      </c>
      <c r="AO103" s="251" t="s">
        <v>50</v>
      </c>
      <c r="AP103" s="251" t="s">
        <v>51</v>
      </c>
      <c r="AQ103" s="262"/>
    </row>
    <row r="104" spans="1:43" ht="15.75" customHeight="1">
      <c r="A104" s="19">
        <v>43444</v>
      </c>
      <c r="B104" s="318" t="s">
        <v>325</v>
      </c>
      <c r="C104" s="250">
        <v>2026605</v>
      </c>
      <c r="D104" s="308" t="s">
        <v>332</v>
      </c>
      <c r="E104" s="322" t="s">
        <v>60</v>
      </c>
      <c r="F104" s="251">
        <v>10</v>
      </c>
      <c r="G104" s="323">
        <v>567</v>
      </c>
      <c r="H104" s="253">
        <f t="shared" si="9"/>
        <v>5670</v>
      </c>
      <c r="I104" s="254" t="s">
        <v>42</v>
      </c>
      <c r="J104" s="267" t="s">
        <v>328</v>
      </c>
      <c r="K104" s="256">
        <v>43475</v>
      </c>
      <c r="L104" s="256"/>
      <c r="M104" s="256">
        <v>43475</v>
      </c>
      <c r="N104" s="331" t="s">
        <v>53</v>
      </c>
      <c r="O104" s="250" t="s">
        <v>1982</v>
      </c>
      <c r="P104" s="266"/>
      <c r="Q104" s="266">
        <v>5355</v>
      </c>
      <c r="R104" s="266"/>
      <c r="S104" s="266"/>
      <c r="T104" s="589"/>
      <c r="U104" s="589">
        <v>164827</v>
      </c>
      <c r="V104" s="420" t="s">
        <v>55</v>
      </c>
      <c r="W104" s="320">
        <v>43524</v>
      </c>
      <c r="X104" s="258">
        <v>43479</v>
      </c>
      <c r="Y104" s="259" t="s">
        <v>329</v>
      </c>
      <c r="Z104" s="259" t="s">
        <v>1985</v>
      </c>
      <c r="AA104" s="258">
        <v>43525</v>
      </c>
      <c r="AB104" s="574" t="s">
        <v>1983</v>
      </c>
      <c r="AC104" s="329" t="s">
        <v>1984</v>
      </c>
      <c r="AD104" s="329"/>
      <c r="AE104" s="329"/>
      <c r="AF104" s="329"/>
      <c r="AG104" s="251" t="s">
        <v>283</v>
      </c>
      <c r="AH104" s="251"/>
      <c r="AI104" s="260"/>
      <c r="AJ104" s="251"/>
      <c r="AK104" s="260"/>
      <c r="AL104" s="260"/>
      <c r="AM104" s="251" t="s">
        <v>49</v>
      </c>
      <c r="AN104" s="251" t="s">
        <v>284</v>
      </c>
      <c r="AO104" s="251" t="s">
        <v>50</v>
      </c>
      <c r="AP104" s="251" t="s">
        <v>51</v>
      </c>
      <c r="AQ104" s="262"/>
    </row>
    <row r="105" spans="1:43" ht="15.75" customHeight="1">
      <c r="A105" s="69">
        <v>43446</v>
      </c>
      <c r="B105" s="263" t="s">
        <v>100</v>
      </c>
      <c r="C105" s="250" t="s">
        <v>333</v>
      </c>
      <c r="D105" s="250" t="s">
        <v>334</v>
      </c>
      <c r="E105" s="322" t="s">
        <v>335</v>
      </c>
      <c r="F105" s="251">
        <v>1</v>
      </c>
      <c r="G105" s="323">
        <v>178</v>
      </c>
      <c r="H105" s="253">
        <f t="shared" si="9"/>
        <v>178</v>
      </c>
      <c r="I105" s="254" t="s">
        <v>302</v>
      </c>
      <c r="J105" s="267" t="s">
        <v>289</v>
      </c>
      <c r="K105" s="256">
        <v>43475</v>
      </c>
      <c r="L105" s="256"/>
      <c r="M105" s="256">
        <v>43454</v>
      </c>
      <c r="N105" s="585" t="s">
        <v>1987</v>
      </c>
      <c r="O105" s="420" t="s">
        <v>1988</v>
      </c>
      <c r="P105" s="591"/>
      <c r="Q105" s="591"/>
      <c r="R105" s="591"/>
      <c r="S105" s="591"/>
      <c r="T105" s="572"/>
      <c r="U105" s="572">
        <v>4589</v>
      </c>
      <c r="V105" s="592" t="s">
        <v>1954</v>
      </c>
      <c r="W105" s="324">
        <v>43120</v>
      </c>
      <c r="X105" s="258">
        <v>43454</v>
      </c>
      <c r="Y105" s="259" t="s">
        <v>336</v>
      </c>
      <c r="Z105" s="270">
        <v>42305</v>
      </c>
      <c r="AA105" s="258">
        <v>43528</v>
      </c>
      <c r="AB105" s="329" t="s">
        <v>1989</v>
      </c>
      <c r="AC105" s="329">
        <v>2268650241</v>
      </c>
      <c r="AD105" s="329"/>
      <c r="AE105" s="329"/>
      <c r="AF105" s="329"/>
      <c r="AG105" s="251" t="s">
        <v>283</v>
      </c>
      <c r="AH105" s="251"/>
      <c r="AI105" s="260"/>
      <c r="AJ105" s="261">
        <v>43521</v>
      </c>
      <c r="AK105" s="260" t="s">
        <v>1990</v>
      </c>
      <c r="AL105" s="260" t="s">
        <v>1991</v>
      </c>
      <c r="AM105" s="251" t="s">
        <v>49</v>
      </c>
      <c r="AN105" s="251" t="s">
        <v>284</v>
      </c>
      <c r="AO105" s="251" t="s">
        <v>50</v>
      </c>
      <c r="AP105" s="251" t="s">
        <v>51</v>
      </c>
      <c r="AQ105" s="262"/>
    </row>
    <row r="106" spans="1:43" ht="15.75" customHeight="1">
      <c r="A106" s="69">
        <v>43446</v>
      </c>
      <c r="B106" s="263" t="s">
        <v>100</v>
      </c>
      <c r="C106" s="250" t="s">
        <v>333</v>
      </c>
      <c r="D106" s="250" t="s">
        <v>334</v>
      </c>
      <c r="E106" s="325" t="s">
        <v>337</v>
      </c>
      <c r="F106" s="251">
        <v>1</v>
      </c>
      <c r="G106" s="323">
        <v>42</v>
      </c>
      <c r="H106" s="253">
        <f t="shared" si="9"/>
        <v>42</v>
      </c>
      <c r="I106" s="254" t="s">
        <v>302</v>
      </c>
      <c r="J106" s="267" t="s">
        <v>289</v>
      </c>
      <c r="K106" s="256">
        <v>43475</v>
      </c>
      <c r="L106" s="256"/>
      <c r="M106" s="256">
        <v>43455</v>
      </c>
      <c r="N106" s="585" t="s">
        <v>1414</v>
      </c>
      <c r="O106" s="420" t="s">
        <v>1992</v>
      </c>
      <c r="P106" s="308"/>
      <c r="Q106" s="308">
        <v>36.75</v>
      </c>
      <c r="R106" s="308"/>
      <c r="S106" s="308"/>
      <c r="T106" s="593"/>
      <c r="U106" s="593">
        <v>1134</v>
      </c>
      <c r="V106" s="308" t="s">
        <v>1947</v>
      </c>
      <c r="W106" s="321">
        <v>43496</v>
      </c>
      <c r="X106" s="258">
        <v>43454</v>
      </c>
      <c r="Y106" s="259" t="s">
        <v>338</v>
      </c>
      <c r="Z106" s="270">
        <v>1134</v>
      </c>
      <c r="AA106" s="258">
        <v>43495</v>
      </c>
      <c r="AB106" s="329" t="s">
        <v>1989</v>
      </c>
      <c r="AC106" s="329">
        <v>2268650241</v>
      </c>
      <c r="AD106" s="329"/>
      <c r="AE106" s="329"/>
      <c r="AF106" s="329"/>
      <c r="AG106" s="251" t="s">
        <v>283</v>
      </c>
      <c r="AH106" s="251"/>
      <c r="AI106" s="260"/>
      <c r="AJ106" s="261">
        <v>43521</v>
      </c>
      <c r="AK106" s="260" t="s">
        <v>1990</v>
      </c>
      <c r="AL106" s="260" t="s">
        <v>1991</v>
      </c>
      <c r="AM106" s="251" t="s">
        <v>49</v>
      </c>
      <c r="AN106" s="251" t="s">
        <v>284</v>
      </c>
      <c r="AO106" s="251" t="s">
        <v>50</v>
      </c>
      <c r="AP106" s="251" t="s">
        <v>51</v>
      </c>
      <c r="AQ106" s="262"/>
    </row>
    <row r="107" spans="1:43" ht="15.75" customHeight="1">
      <c r="A107" s="69">
        <v>43446</v>
      </c>
      <c r="B107" s="263" t="s">
        <v>100</v>
      </c>
      <c r="C107" s="250" t="s">
        <v>333</v>
      </c>
      <c r="D107" s="250" t="s">
        <v>334</v>
      </c>
      <c r="E107" s="322" t="s">
        <v>339</v>
      </c>
      <c r="F107" s="251">
        <v>1</v>
      </c>
      <c r="G107" s="323">
        <v>341</v>
      </c>
      <c r="H107" s="253">
        <f t="shared" si="9"/>
        <v>341</v>
      </c>
      <c r="I107" s="254" t="s">
        <v>302</v>
      </c>
      <c r="J107" s="267" t="s">
        <v>289</v>
      </c>
      <c r="K107" s="256">
        <v>43475</v>
      </c>
      <c r="L107" s="256"/>
      <c r="M107" s="256">
        <v>43454</v>
      </c>
      <c r="N107" s="331" t="s">
        <v>1993</v>
      </c>
      <c r="O107" s="420" t="s">
        <v>1994</v>
      </c>
      <c r="P107" s="265"/>
      <c r="Q107" s="265">
        <v>304.5</v>
      </c>
      <c r="R107" s="265"/>
      <c r="S107" s="265"/>
      <c r="T107" s="308"/>
      <c r="U107" s="308">
        <v>9400</v>
      </c>
      <c r="V107" s="571" t="s">
        <v>46</v>
      </c>
      <c r="W107" s="321">
        <v>43118</v>
      </c>
      <c r="X107" s="258">
        <v>43453</v>
      </c>
      <c r="Y107" s="259" t="s">
        <v>340</v>
      </c>
      <c r="Z107" s="270">
        <v>9400</v>
      </c>
      <c r="AA107" s="258">
        <v>43483</v>
      </c>
      <c r="AB107" s="329" t="s">
        <v>1989</v>
      </c>
      <c r="AC107" s="329">
        <v>2268650241</v>
      </c>
      <c r="AD107" s="329"/>
      <c r="AE107" s="329"/>
      <c r="AF107" s="329"/>
      <c r="AG107" s="251" t="s">
        <v>283</v>
      </c>
      <c r="AH107" s="251"/>
      <c r="AI107" s="260"/>
      <c r="AJ107" s="261">
        <v>43521</v>
      </c>
      <c r="AK107" s="260" t="s">
        <v>1990</v>
      </c>
      <c r="AL107" s="260" t="s">
        <v>1991</v>
      </c>
      <c r="AM107" s="251" t="s">
        <v>49</v>
      </c>
      <c r="AN107" s="251" t="s">
        <v>284</v>
      </c>
      <c r="AO107" s="251" t="s">
        <v>50</v>
      </c>
      <c r="AP107" s="251" t="s">
        <v>51</v>
      </c>
      <c r="AQ107" s="262"/>
    </row>
    <row r="108" spans="1:43" ht="15.75" customHeight="1">
      <c r="A108" s="69">
        <v>43446</v>
      </c>
      <c r="B108" s="263" t="s">
        <v>100</v>
      </c>
      <c r="C108" s="250" t="s">
        <v>333</v>
      </c>
      <c r="D108" s="250" t="s">
        <v>334</v>
      </c>
      <c r="E108" s="246" t="s">
        <v>341</v>
      </c>
      <c r="F108" s="251">
        <v>1</v>
      </c>
      <c r="G108" s="252">
        <v>45</v>
      </c>
      <c r="H108" s="253">
        <f t="shared" si="9"/>
        <v>45</v>
      </c>
      <c r="I108" s="254" t="s">
        <v>302</v>
      </c>
      <c r="J108" s="267" t="s">
        <v>289</v>
      </c>
      <c r="K108" s="256">
        <v>43475</v>
      </c>
      <c r="L108" s="256"/>
      <c r="M108" s="256">
        <v>43473</v>
      </c>
      <c r="N108" s="401" t="s">
        <v>1995</v>
      </c>
      <c r="O108" s="420" t="s">
        <v>1996</v>
      </c>
      <c r="P108" s="591"/>
      <c r="Q108" s="591"/>
      <c r="R108" s="591"/>
      <c r="S108" s="591"/>
      <c r="T108" s="572"/>
      <c r="U108" s="572">
        <v>1295</v>
      </c>
      <c r="V108" s="571" t="s">
        <v>1997</v>
      </c>
      <c r="W108" s="324">
        <v>43524</v>
      </c>
      <c r="X108" s="258">
        <v>43472</v>
      </c>
      <c r="Y108" s="259" t="s">
        <v>342</v>
      </c>
      <c r="Z108" s="259" t="s">
        <v>1998</v>
      </c>
      <c r="AA108" s="258">
        <v>43524</v>
      </c>
      <c r="AB108" s="329" t="s">
        <v>1989</v>
      </c>
      <c r="AC108" s="329">
        <v>2268650241</v>
      </c>
      <c r="AD108" s="329"/>
      <c r="AE108" s="329"/>
      <c r="AF108" s="329"/>
      <c r="AG108" s="251" t="s">
        <v>283</v>
      </c>
      <c r="AH108" s="251"/>
      <c r="AI108" s="260"/>
      <c r="AJ108" s="261">
        <v>43521</v>
      </c>
      <c r="AK108" s="260" t="s">
        <v>1990</v>
      </c>
      <c r="AL108" s="260" t="s">
        <v>1991</v>
      </c>
      <c r="AM108" s="251" t="s">
        <v>49</v>
      </c>
      <c r="AN108" s="251" t="s">
        <v>284</v>
      </c>
      <c r="AO108" s="251" t="s">
        <v>50</v>
      </c>
      <c r="AP108" s="251" t="s">
        <v>51</v>
      </c>
      <c r="AQ108" s="262"/>
    </row>
    <row r="109" spans="1:43" ht="15.75" customHeight="1">
      <c r="A109" s="69">
        <v>43446</v>
      </c>
      <c r="B109" s="263" t="s">
        <v>100</v>
      </c>
      <c r="C109" s="250" t="s">
        <v>333</v>
      </c>
      <c r="D109" s="326" t="s">
        <v>343</v>
      </c>
      <c r="E109" s="246" t="s">
        <v>344</v>
      </c>
      <c r="F109" s="251">
        <v>1</v>
      </c>
      <c r="G109" s="252">
        <v>592</v>
      </c>
      <c r="H109" s="253">
        <f t="shared" si="9"/>
        <v>592</v>
      </c>
      <c r="I109" s="254" t="s">
        <v>302</v>
      </c>
      <c r="J109" s="267" t="s">
        <v>289</v>
      </c>
      <c r="K109" s="256">
        <v>43475</v>
      </c>
      <c r="L109" s="256"/>
      <c r="M109" s="256">
        <v>43473</v>
      </c>
      <c r="N109" s="401" t="s">
        <v>1995</v>
      </c>
      <c r="O109" s="420" t="s">
        <v>1996</v>
      </c>
      <c r="P109" s="591"/>
      <c r="Q109" s="591" t="s">
        <v>0</v>
      </c>
      <c r="R109" s="591"/>
      <c r="S109" s="591"/>
      <c r="T109" s="572"/>
      <c r="U109" s="572">
        <v>17174</v>
      </c>
      <c r="V109" s="571" t="s">
        <v>1997</v>
      </c>
      <c r="W109" s="324">
        <v>43524</v>
      </c>
      <c r="X109" s="258">
        <v>43472</v>
      </c>
      <c r="Y109" s="259" t="s">
        <v>342</v>
      </c>
      <c r="Z109" s="270">
        <v>18468</v>
      </c>
      <c r="AA109" s="258">
        <v>43524</v>
      </c>
      <c r="AB109" s="329" t="s">
        <v>1989</v>
      </c>
      <c r="AC109" s="329">
        <v>2268650241</v>
      </c>
      <c r="AD109" s="329"/>
      <c r="AE109" s="329"/>
      <c r="AF109" s="329"/>
      <c r="AG109" s="251" t="s">
        <v>283</v>
      </c>
      <c r="AH109" s="251"/>
      <c r="AI109" s="260"/>
      <c r="AJ109" s="261">
        <v>43521</v>
      </c>
      <c r="AK109" s="260">
        <f>5931.5*30.76</f>
        <v>182452.94</v>
      </c>
      <c r="AL109" s="260">
        <f>(5938-5931.5)*30.76+(5949-5938)*30.76</f>
        <v>538.29999999999995</v>
      </c>
      <c r="AM109" s="251" t="s">
        <v>49</v>
      </c>
      <c r="AN109" s="251" t="s">
        <v>284</v>
      </c>
      <c r="AO109" s="251" t="s">
        <v>50</v>
      </c>
      <c r="AP109" s="251" t="s">
        <v>51</v>
      </c>
      <c r="AQ109" s="262"/>
    </row>
    <row r="110" spans="1:43" ht="15.75" customHeight="1">
      <c r="A110" s="69">
        <v>43446</v>
      </c>
      <c r="B110" s="263" t="s">
        <v>100</v>
      </c>
      <c r="C110" s="250" t="s">
        <v>333</v>
      </c>
      <c r="D110" s="250" t="s">
        <v>345</v>
      </c>
      <c r="E110" s="35" t="s">
        <v>346</v>
      </c>
      <c r="F110" s="251">
        <v>1</v>
      </c>
      <c r="G110" s="252">
        <v>1500</v>
      </c>
      <c r="H110" s="253">
        <f t="shared" si="9"/>
        <v>1500</v>
      </c>
      <c r="I110" s="254" t="s">
        <v>302</v>
      </c>
      <c r="J110" s="267" t="s">
        <v>289</v>
      </c>
      <c r="K110" s="256">
        <v>43475</v>
      </c>
      <c r="L110" s="256"/>
      <c r="M110" s="256"/>
      <c r="N110" s="585" t="s">
        <v>1999</v>
      </c>
      <c r="O110" s="420"/>
      <c r="P110" s="589"/>
      <c r="Q110" s="589"/>
      <c r="R110" s="589"/>
      <c r="S110" s="589"/>
      <c r="T110" s="308"/>
      <c r="U110" s="308">
        <v>40646</v>
      </c>
      <c r="V110" s="318" t="s">
        <v>2000</v>
      </c>
      <c r="W110" s="324">
        <v>43513</v>
      </c>
      <c r="X110" s="258">
        <v>43483</v>
      </c>
      <c r="Y110" s="259" t="s">
        <v>347</v>
      </c>
      <c r="Z110" s="270">
        <v>40646</v>
      </c>
      <c r="AA110" s="258">
        <v>43526</v>
      </c>
      <c r="AB110" s="329" t="s">
        <v>1989</v>
      </c>
      <c r="AC110" s="329">
        <v>2268650241</v>
      </c>
      <c r="AD110" s="329"/>
      <c r="AE110" s="329"/>
      <c r="AF110" s="329"/>
      <c r="AG110" s="251" t="s">
        <v>283</v>
      </c>
      <c r="AH110" s="251"/>
      <c r="AI110" s="260"/>
      <c r="AJ110" s="261">
        <v>43521</v>
      </c>
      <c r="AK110" s="260" t="s">
        <v>1990</v>
      </c>
      <c r="AL110" s="260" t="s">
        <v>1991</v>
      </c>
      <c r="AM110" s="251" t="s">
        <v>49</v>
      </c>
      <c r="AN110" s="251" t="s">
        <v>284</v>
      </c>
      <c r="AO110" s="251" t="s">
        <v>50</v>
      </c>
      <c r="AP110" s="251" t="s">
        <v>51</v>
      </c>
      <c r="AQ110" s="262"/>
    </row>
    <row r="111" spans="1:43" ht="15.75" customHeight="1">
      <c r="A111" s="69">
        <v>43446</v>
      </c>
      <c r="B111" s="263" t="s">
        <v>100</v>
      </c>
      <c r="C111" s="250" t="s">
        <v>348</v>
      </c>
      <c r="D111" s="326" t="s">
        <v>349</v>
      </c>
      <c r="E111" s="246" t="s">
        <v>350</v>
      </c>
      <c r="F111" s="251">
        <v>10</v>
      </c>
      <c r="G111" s="252">
        <v>93</v>
      </c>
      <c r="H111" s="253">
        <f t="shared" si="9"/>
        <v>930</v>
      </c>
      <c r="I111" s="254" t="s">
        <v>302</v>
      </c>
      <c r="J111" s="267" t="s">
        <v>289</v>
      </c>
      <c r="K111" s="256">
        <v>43475</v>
      </c>
      <c r="L111" s="256"/>
      <c r="M111" s="256">
        <v>43460</v>
      </c>
      <c r="N111" s="251" t="s">
        <v>2001</v>
      </c>
      <c r="O111" s="420" t="s">
        <v>2002</v>
      </c>
      <c r="P111" s="572"/>
      <c r="Q111" s="572">
        <v>924</v>
      </c>
      <c r="R111" s="572"/>
      <c r="S111" s="572"/>
      <c r="T111" s="593"/>
      <c r="U111" s="593">
        <v>28464</v>
      </c>
      <c r="V111" s="308" t="s">
        <v>2003</v>
      </c>
      <c r="W111" s="324">
        <v>43521</v>
      </c>
      <c r="X111" s="258">
        <v>43459</v>
      </c>
      <c r="Y111" s="259" t="s">
        <v>351</v>
      </c>
      <c r="Z111" s="270">
        <v>94772</v>
      </c>
      <c r="AA111" s="258">
        <v>43524</v>
      </c>
      <c r="AB111" s="329" t="s">
        <v>1989</v>
      </c>
      <c r="AC111" s="329">
        <v>2268650241</v>
      </c>
      <c r="AD111" s="329"/>
      <c r="AE111" s="329"/>
      <c r="AF111" s="329"/>
      <c r="AG111" s="251" t="s">
        <v>283</v>
      </c>
      <c r="AH111" s="251"/>
      <c r="AI111" s="260"/>
      <c r="AJ111" s="261">
        <v>43521</v>
      </c>
      <c r="AK111" s="260" t="s">
        <v>1990</v>
      </c>
      <c r="AL111" s="260" t="s">
        <v>1991</v>
      </c>
      <c r="AM111" s="251" t="s">
        <v>49</v>
      </c>
      <c r="AN111" s="251" t="s">
        <v>284</v>
      </c>
      <c r="AO111" s="251" t="s">
        <v>50</v>
      </c>
      <c r="AP111" s="251" t="s">
        <v>51</v>
      </c>
      <c r="AQ111" s="262"/>
    </row>
    <row r="112" spans="1:43" ht="15.75" customHeight="1">
      <c r="A112" s="69">
        <v>43446</v>
      </c>
      <c r="B112" s="263" t="s">
        <v>100</v>
      </c>
      <c r="C112" s="250" t="s">
        <v>348</v>
      </c>
      <c r="D112" s="326" t="s">
        <v>349</v>
      </c>
      <c r="E112" s="327" t="s">
        <v>352</v>
      </c>
      <c r="F112" s="251">
        <v>10</v>
      </c>
      <c r="G112" s="252">
        <v>73</v>
      </c>
      <c r="H112" s="253">
        <f t="shared" si="9"/>
        <v>730</v>
      </c>
      <c r="I112" s="254" t="s">
        <v>302</v>
      </c>
      <c r="J112" s="267" t="s">
        <v>289</v>
      </c>
      <c r="K112" s="256">
        <v>43475</v>
      </c>
      <c r="L112" s="256"/>
      <c r="M112" s="256">
        <v>43460</v>
      </c>
      <c r="N112" s="585" t="s">
        <v>2001</v>
      </c>
      <c r="O112" s="420" t="s">
        <v>2002</v>
      </c>
      <c r="P112" s="266"/>
      <c r="Q112" s="266">
        <v>724.5</v>
      </c>
      <c r="R112" s="266"/>
      <c r="S112" s="266"/>
      <c r="T112" s="593"/>
      <c r="U112" s="593">
        <v>22318</v>
      </c>
      <c r="V112" s="318" t="s">
        <v>2003</v>
      </c>
      <c r="W112" s="324">
        <v>43521</v>
      </c>
      <c r="X112" s="258">
        <v>43459</v>
      </c>
      <c r="Y112" s="259" t="s">
        <v>351</v>
      </c>
      <c r="Z112" s="259" t="s">
        <v>2004</v>
      </c>
      <c r="AA112" s="258">
        <v>43524</v>
      </c>
      <c r="AB112" s="329" t="s">
        <v>1989</v>
      </c>
      <c r="AC112" s="329">
        <v>2268650241</v>
      </c>
      <c r="AD112" s="329"/>
      <c r="AE112" s="329"/>
      <c r="AF112" s="329"/>
      <c r="AG112" s="251" t="s">
        <v>283</v>
      </c>
      <c r="AH112" s="251"/>
      <c r="AI112" s="260"/>
      <c r="AJ112" s="261">
        <v>43521</v>
      </c>
      <c r="AK112" s="260" t="s">
        <v>1990</v>
      </c>
      <c r="AL112" s="260" t="s">
        <v>1991</v>
      </c>
      <c r="AM112" s="251" t="s">
        <v>49</v>
      </c>
      <c r="AN112" s="251" t="s">
        <v>284</v>
      </c>
      <c r="AO112" s="251" t="s">
        <v>50</v>
      </c>
      <c r="AP112" s="251" t="s">
        <v>51</v>
      </c>
      <c r="AQ112" s="262"/>
    </row>
    <row r="113" spans="1:43" ht="15.75" customHeight="1">
      <c r="A113" s="69">
        <v>43446</v>
      </c>
      <c r="B113" s="263" t="s">
        <v>100</v>
      </c>
      <c r="C113" s="250" t="s">
        <v>348</v>
      </c>
      <c r="D113" s="326" t="s">
        <v>349</v>
      </c>
      <c r="E113" s="246" t="s">
        <v>353</v>
      </c>
      <c r="F113" s="251">
        <v>10</v>
      </c>
      <c r="G113" s="252">
        <v>140</v>
      </c>
      <c r="H113" s="253">
        <f t="shared" si="9"/>
        <v>1400</v>
      </c>
      <c r="I113" s="254" t="s">
        <v>302</v>
      </c>
      <c r="J113" s="267" t="s">
        <v>289</v>
      </c>
      <c r="K113" s="256">
        <v>43475</v>
      </c>
      <c r="L113" s="256"/>
      <c r="M113" s="256">
        <v>43460</v>
      </c>
      <c r="N113" s="585" t="s">
        <v>2001</v>
      </c>
      <c r="O113" s="420" t="s">
        <v>2002</v>
      </c>
      <c r="P113" s="266"/>
      <c r="Q113" s="266">
        <v>1396.5</v>
      </c>
      <c r="R113" s="266"/>
      <c r="S113" s="266"/>
      <c r="T113" s="593"/>
      <c r="U113" s="593">
        <v>43020</v>
      </c>
      <c r="V113" s="318" t="s">
        <v>2003</v>
      </c>
      <c r="W113" s="324">
        <v>43521</v>
      </c>
      <c r="X113" s="258">
        <v>43459</v>
      </c>
      <c r="Y113" s="259" t="s">
        <v>351</v>
      </c>
      <c r="Z113" s="259" t="s">
        <v>2004</v>
      </c>
      <c r="AA113" s="258">
        <v>43524</v>
      </c>
      <c r="AB113" s="329" t="s">
        <v>1989</v>
      </c>
      <c r="AC113" s="329">
        <v>2268650241</v>
      </c>
      <c r="AD113" s="329"/>
      <c r="AE113" s="329"/>
      <c r="AF113" s="329"/>
      <c r="AG113" s="251" t="s">
        <v>283</v>
      </c>
      <c r="AH113" s="251"/>
      <c r="AI113" s="260"/>
      <c r="AJ113" s="261">
        <v>43521</v>
      </c>
      <c r="AK113" s="260" t="s">
        <v>1990</v>
      </c>
      <c r="AL113" s="260" t="s">
        <v>1991</v>
      </c>
      <c r="AM113" s="251" t="s">
        <v>49</v>
      </c>
      <c r="AN113" s="251" t="s">
        <v>284</v>
      </c>
      <c r="AO113" s="251" t="s">
        <v>50</v>
      </c>
      <c r="AP113" s="251" t="s">
        <v>51</v>
      </c>
      <c r="AQ113" s="262"/>
    </row>
    <row r="114" spans="1:43" ht="15.75" customHeight="1">
      <c r="A114" s="69">
        <v>43446</v>
      </c>
      <c r="B114" s="263" t="s">
        <v>100</v>
      </c>
      <c r="C114" s="250" t="s">
        <v>348</v>
      </c>
      <c r="D114" s="326" t="s">
        <v>349</v>
      </c>
      <c r="E114" s="246" t="s">
        <v>354</v>
      </c>
      <c r="F114" s="251">
        <v>10</v>
      </c>
      <c r="G114" s="252">
        <v>4</v>
      </c>
      <c r="H114" s="253">
        <f t="shared" si="9"/>
        <v>40</v>
      </c>
      <c r="I114" s="254" t="s">
        <v>302</v>
      </c>
      <c r="J114" s="267" t="s">
        <v>289</v>
      </c>
      <c r="K114" s="256">
        <v>43475</v>
      </c>
      <c r="L114" s="256"/>
      <c r="M114" s="256">
        <v>43460</v>
      </c>
      <c r="N114" s="251" t="s">
        <v>2001</v>
      </c>
      <c r="O114" s="420" t="s">
        <v>2002</v>
      </c>
      <c r="P114" s="266"/>
      <c r="Q114" s="266">
        <v>31.5</v>
      </c>
      <c r="R114" s="266"/>
      <c r="S114" s="266"/>
      <c r="T114" s="593"/>
      <c r="U114" s="593">
        <v>970</v>
      </c>
      <c r="V114" s="318" t="s">
        <v>2003</v>
      </c>
      <c r="W114" s="324">
        <v>43521</v>
      </c>
      <c r="X114" s="258">
        <v>43459</v>
      </c>
      <c r="Y114" s="259" t="s">
        <v>351</v>
      </c>
      <c r="Z114" s="259" t="s">
        <v>2004</v>
      </c>
      <c r="AA114" s="258">
        <v>43524</v>
      </c>
      <c r="AB114" s="329" t="s">
        <v>1989</v>
      </c>
      <c r="AC114" s="329">
        <v>2268650241</v>
      </c>
      <c r="AD114" s="329"/>
      <c r="AE114" s="329"/>
      <c r="AF114" s="329"/>
      <c r="AG114" s="251" t="s">
        <v>283</v>
      </c>
      <c r="AH114" s="251"/>
      <c r="AI114" s="260"/>
      <c r="AJ114" s="261">
        <v>43521</v>
      </c>
      <c r="AK114" s="260" t="s">
        <v>1990</v>
      </c>
      <c r="AL114" s="260" t="s">
        <v>1991</v>
      </c>
      <c r="AM114" s="251" t="s">
        <v>49</v>
      </c>
      <c r="AN114" s="251" t="s">
        <v>284</v>
      </c>
      <c r="AO114" s="251" t="s">
        <v>50</v>
      </c>
      <c r="AP114" s="251" t="s">
        <v>51</v>
      </c>
      <c r="AQ114" s="262"/>
    </row>
    <row r="115" spans="1:43" ht="15.75" customHeight="1">
      <c r="A115" s="69">
        <v>43446</v>
      </c>
      <c r="B115" s="263" t="s">
        <v>100</v>
      </c>
      <c r="C115" s="250" t="s">
        <v>348</v>
      </c>
      <c r="D115" s="326" t="s">
        <v>349</v>
      </c>
      <c r="E115" s="246" t="s">
        <v>355</v>
      </c>
      <c r="F115" s="251">
        <v>10</v>
      </c>
      <c r="G115" s="252">
        <v>2</v>
      </c>
      <c r="H115" s="253">
        <f t="shared" si="9"/>
        <v>20</v>
      </c>
      <c r="I115" s="254" t="s">
        <v>302</v>
      </c>
      <c r="J115" s="267" t="s">
        <v>289</v>
      </c>
      <c r="K115" s="256">
        <v>43475</v>
      </c>
      <c r="L115" s="256"/>
      <c r="M115" s="594">
        <v>43454</v>
      </c>
      <c r="N115" s="251" t="s">
        <v>178</v>
      </c>
      <c r="O115" s="595"/>
      <c r="P115" s="593"/>
      <c r="Q115" s="593"/>
      <c r="R115" s="593"/>
      <c r="S115" s="593"/>
      <c r="T115" s="308"/>
      <c r="U115" s="308">
        <f>(63*F115)*1.05</f>
        <v>661.5</v>
      </c>
      <c r="V115" s="386"/>
      <c r="W115" s="328"/>
      <c r="X115" s="329"/>
      <c r="Y115" s="329"/>
      <c r="Z115" s="329"/>
      <c r="AA115" s="329"/>
      <c r="AB115" s="329" t="s">
        <v>1989</v>
      </c>
      <c r="AC115" s="329">
        <v>2268650241</v>
      </c>
      <c r="AD115" s="329"/>
      <c r="AE115" s="329"/>
      <c r="AF115" s="329"/>
      <c r="AG115" s="251" t="s">
        <v>283</v>
      </c>
      <c r="AH115" s="251"/>
      <c r="AI115" s="260"/>
      <c r="AJ115" s="261">
        <v>43521</v>
      </c>
      <c r="AK115" s="260" t="s">
        <v>1990</v>
      </c>
      <c r="AL115" s="260" t="s">
        <v>1991</v>
      </c>
      <c r="AM115" s="251" t="s">
        <v>49</v>
      </c>
      <c r="AN115" s="251" t="s">
        <v>284</v>
      </c>
      <c r="AO115" s="251" t="s">
        <v>50</v>
      </c>
      <c r="AP115" s="251" t="s">
        <v>51</v>
      </c>
      <c r="AQ115" s="262"/>
    </row>
    <row r="116" spans="1:43" ht="15.75" customHeight="1">
      <c r="A116" s="69">
        <v>43446</v>
      </c>
      <c r="B116" s="263" t="s">
        <v>100</v>
      </c>
      <c r="C116" s="250" t="s">
        <v>348</v>
      </c>
      <c r="D116" s="326" t="s">
        <v>349</v>
      </c>
      <c r="E116" s="246" t="s">
        <v>356</v>
      </c>
      <c r="F116" s="251">
        <v>10</v>
      </c>
      <c r="G116" s="252">
        <v>2.5</v>
      </c>
      <c r="H116" s="253">
        <f t="shared" si="9"/>
        <v>25</v>
      </c>
      <c r="I116" s="254" t="s">
        <v>302</v>
      </c>
      <c r="J116" s="267" t="s">
        <v>289</v>
      </c>
      <c r="K116" s="256">
        <v>43475</v>
      </c>
      <c r="L116" s="256"/>
      <c r="M116" s="594">
        <v>43454</v>
      </c>
      <c r="N116" s="251" t="s">
        <v>178</v>
      </c>
      <c r="O116" s="595"/>
      <c r="P116" s="593"/>
      <c r="Q116" s="593"/>
      <c r="R116" s="593"/>
      <c r="S116" s="593"/>
      <c r="T116" s="308"/>
      <c r="U116" s="308">
        <f>(35*F116)*1.05</f>
        <v>367.5</v>
      </c>
      <c r="V116" s="386"/>
      <c r="W116" s="328"/>
      <c r="X116" s="329"/>
      <c r="Y116" s="329"/>
      <c r="Z116" s="329"/>
      <c r="AA116" s="329"/>
      <c r="AB116" s="329" t="s">
        <v>1989</v>
      </c>
      <c r="AC116" s="329">
        <v>2268650241</v>
      </c>
      <c r="AD116" s="329"/>
      <c r="AE116" s="329"/>
      <c r="AF116" s="329"/>
      <c r="AG116" s="251" t="s">
        <v>283</v>
      </c>
      <c r="AH116" s="251"/>
      <c r="AI116" s="260"/>
      <c r="AJ116" s="261">
        <v>43521</v>
      </c>
      <c r="AK116" s="260" t="s">
        <v>1990</v>
      </c>
      <c r="AL116" s="260" t="s">
        <v>1991</v>
      </c>
      <c r="AM116" s="251" t="s">
        <v>49</v>
      </c>
      <c r="AN116" s="251" t="s">
        <v>284</v>
      </c>
      <c r="AO116" s="251" t="s">
        <v>50</v>
      </c>
      <c r="AP116" s="251" t="s">
        <v>51</v>
      </c>
      <c r="AQ116" s="262"/>
    </row>
    <row r="117" spans="1:43" ht="15.75" customHeight="1">
      <c r="A117" s="69">
        <v>43446</v>
      </c>
      <c r="B117" s="263" t="s">
        <v>100</v>
      </c>
      <c r="C117" s="250" t="s">
        <v>348</v>
      </c>
      <c r="D117" s="326" t="s">
        <v>349</v>
      </c>
      <c r="E117" s="246" t="s">
        <v>357</v>
      </c>
      <c r="F117" s="251">
        <v>10</v>
      </c>
      <c r="G117" s="252">
        <v>2.6</v>
      </c>
      <c r="H117" s="330">
        <f t="shared" si="9"/>
        <v>26</v>
      </c>
      <c r="I117" s="254" t="s">
        <v>302</v>
      </c>
      <c r="J117" s="267" t="s">
        <v>289</v>
      </c>
      <c r="K117" s="256">
        <v>43475</v>
      </c>
      <c r="L117" s="256"/>
      <c r="M117" s="594">
        <v>43454</v>
      </c>
      <c r="N117" s="251" t="s">
        <v>178</v>
      </c>
      <c r="O117" s="595"/>
      <c r="P117" s="593"/>
      <c r="Q117" s="593"/>
      <c r="R117" s="593"/>
      <c r="S117" s="593"/>
      <c r="T117" s="593"/>
      <c r="U117" s="593"/>
      <c r="V117" s="328"/>
      <c r="W117" s="328"/>
      <c r="X117" s="329"/>
      <c r="Y117" s="329"/>
      <c r="Z117" s="329"/>
      <c r="AA117" s="329"/>
      <c r="AB117" s="329" t="s">
        <v>1989</v>
      </c>
      <c r="AC117" s="329">
        <v>2268650241</v>
      </c>
      <c r="AD117" s="329"/>
      <c r="AE117" s="329"/>
      <c r="AF117" s="329"/>
      <c r="AG117" s="251" t="s">
        <v>283</v>
      </c>
      <c r="AH117" s="251"/>
      <c r="AI117" s="260"/>
      <c r="AJ117" s="261">
        <v>43521</v>
      </c>
      <c r="AK117" s="260" t="s">
        <v>1990</v>
      </c>
      <c r="AL117" s="260" t="s">
        <v>1991</v>
      </c>
      <c r="AM117" s="251" t="s">
        <v>49</v>
      </c>
      <c r="AN117" s="251" t="s">
        <v>284</v>
      </c>
      <c r="AO117" s="251" t="s">
        <v>50</v>
      </c>
      <c r="AP117" s="251" t="s">
        <v>51</v>
      </c>
      <c r="AQ117" s="262"/>
    </row>
    <row r="118" spans="1:43" ht="15.75" customHeight="1">
      <c r="A118" s="69">
        <v>43446</v>
      </c>
      <c r="B118" s="263" t="s">
        <v>100</v>
      </c>
      <c r="C118" s="250" t="s">
        <v>348</v>
      </c>
      <c r="D118" s="326" t="s">
        <v>349</v>
      </c>
      <c r="E118" s="246" t="s">
        <v>358</v>
      </c>
      <c r="F118" s="251">
        <v>10</v>
      </c>
      <c r="G118" s="252">
        <v>8</v>
      </c>
      <c r="H118" s="253">
        <f t="shared" si="9"/>
        <v>80</v>
      </c>
      <c r="I118" s="254" t="s">
        <v>302</v>
      </c>
      <c r="J118" s="267" t="s">
        <v>289</v>
      </c>
      <c r="K118" s="256">
        <v>43475</v>
      </c>
      <c r="L118" s="256"/>
      <c r="M118" s="256">
        <v>43479</v>
      </c>
      <c r="N118" s="251" t="s">
        <v>2005</v>
      </c>
      <c r="O118" s="595"/>
      <c r="P118" s="593"/>
      <c r="Q118" s="593"/>
      <c r="R118" s="593"/>
      <c r="S118" s="593"/>
      <c r="T118" s="593"/>
      <c r="U118" s="593"/>
      <c r="V118" s="328"/>
      <c r="W118" s="328"/>
      <c r="X118" s="329"/>
      <c r="Y118" s="329"/>
      <c r="Z118" s="329"/>
      <c r="AA118" s="329"/>
      <c r="AB118" s="329" t="s">
        <v>1989</v>
      </c>
      <c r="AC118" s="329">
        <v>2268650241</v>
      </c>
      <c r="AD118" s="329"/>
      <c r="AE118" s="329"/>
      <c r="AF118" s="329"/>
      <c r="AG118" s="251" t="s">
        <v>283</v>
      </c>
      <c r="AH118" s="251"/>
      <c r="AI118" s="260"/>
      <c r="AJ118" s="261">
        <v>43521</v>
      </c>
      <c r="AK118" s="260" t="s">
        <v>1990</v>
      </c>
      <c r="AL118" s="260" t="s">
        <v>1991</v>
      </c>
      <c r="AM118" s="251" t="s">
        <v>49</v>
      </c>
      <c r="AN118" s="251" t="s">
        <v>284</v>
      </c>
      <c r="AO118" s="251" t="s">
        <v>50</v>
      </c>
      <c r="AP118" s="251" t="s">
        <v>51</v>
      </c>
      <c r="AQ118" s="262"/>
    </row>
    <row r="119" spans="1:43" ht="15.75" customHeight="1">
      <c r="A119" s="69">
        <v>43446</v>
      </c>
      <c r="B119" s="263" t="s">
        <v>76</v>
      </c>
      <c r="C119" s="250"/>
      <c r="D119" s="250" t="s">
        <v>359</v>
      </c>
      <c r="E119" s="246" t="s">
        <v>360</v>
      </c>
      <c r="F119" s="251">
        <v>1</v>
      </c>
      <c r="G119" s="252">
        <v>0</v>
      </c>
      <c r="H119" s="253">
        <v>0</v>
      </c>
      <c r="I119" s="254" t="s">
        <v>42</v>
      </c>
      <c r="J119" s="331" t="s">
        <v>315</v>
      </c>
      <c r="K119" s="256">
        <v>43469</v>
      </c>
      <c r="L119" s="256"/>
      <c r="M119" s="256">
        <v>43458</v>
      </c>
      <c r="N119" s="264" t="s">
        <v>2006</v>
      </c>
      <c r="O119" s="250" t="s">
        <v>576</v>
      </c>
      <c r="P119" s="593"/>
      <c r="Q119" s="593"/>
      <c r="R119" s="593"/>
      <c r="S119" s="593"/>
      <c r="T119" s="574"/>
      <c r="U119" s="574" t="s">
        <v>576</v>
      </c>
      <c r="V119" s="338"/>
      <c r="W119" s="332"/>
      <c r="X119" s="329" t="s">
        <v>576</v>
      </c>
      <c r="Y119" s="329" t="s">
        <v>576</v>
      </c>
      <c r="Z119" s="329" t="s">
        <v>576</v>
      </c>
      <c r="AA119" s="329"/>
      <c r="AB119" s="329" t="s">
        <v>2007</v>
      </c>
      <c r="AC119" s="329">
        <v>603969170</v>
      </c>
      <c r="AD119" s="329"/>
      <c r="AE119" s="329"/>
      <c r="AF119" s="329"/>
      <c r="AG119" s="251"/>
      <c r="AH119" s="251"/>
      <c r="AI119" s="260"/>
      <c r="AJ119" s="251"/>
      <c r="AK119" s="260" t="s">
        <v>1973</v>
      </c>
      <c r="AL119" s="260" t="s">
        <v>1974</v>
      </c>
      <c r="AM119" s="251" t="s">
        <v>49</v>
      </c>
      <c r="AN119" s="251" t="s">
        <v>284</v>
      </c>
      <c r="AO119" s="251" t="s">
        <v>50</v>
      </c>
      <c r="AP119" s="251" t="s">
        <v>51</v>
      </c>
      <c r="AQ119" s="262"/>
    </row>
    <row r="120" spans="1:43" ht="15.75" customHeight="1">
      <c r="A120" s="69">
        <v>43446</v>
      </c>
      <c r="B120" s="263" t="s">
        <v>76</v>
      </c>
      <c r="C120" s="250">
        <v>1314</v>
      </c>
      <c r="D120" s="250" t="s">
        <v>359</v>
      </c>
      <c r="E120" s="246" t="s">
        <v>361</v>
      </c>
      <c r="F120" s="305">
        <v>40</v>
      </c>
      <c r="G120" s="252">
        <v>20</v>
      </c>
      <c r="H120" s="253">
        <f t="shared" ref="H120:H141" si="10">G120*F120</f>
        <v>800</v>
      </c>
      <c r="I120" s="254" t="s">
        <v>42</v>
      </c>
      <c r="J120" s="331" t="s">
        <v>315</v>
      </c>
      <c r="K120" s="256">
        <v>43469</v>
      </c>
      <c r="L120" s="256"/>
      <c r="M120" s="256">
        <v>43448</v>
      </c>
      <c r="N120" s="401" t="s">
        <v>2008</v>
      </c>
      <c r="O120" s="250" t="s">
        <v>2009</v>
      </c>
      <c r="P120" s="266"/>
      <c r="Q120" s="266">
        <v>730.8</v>
      </c>
      <c r="R120" s="266"/>
      <c r="S120" s="266"/>
      <c r="T120" s="589"/>
      <c r="U120" s="589">
        <v>22546</v>
      </c>
      <c r="V120" s="308" t="s">
        <v>2010</v>
      </c>
      <c r="W120" s="258">
        <v>43460</v>
      </c>
      <c r="X120" s="269">
        <v>43448</v>
      </c>
      <c r="Y120" s="259" t="s">
        <v>362</v>
      </c>
      <c r="Z120" s="270">
        <v>22546</v>
      </c>
      <c r="AA120" s="258">
        <v>43472</v>
      </c>
      <c r="AB120" s="329" t="s">
        <v>2007</v>
      </c>
      <c r="AC120" s="329">
        <v>603969170</v>
      </c>
      <c r="AD120" s="329"/>
      <c r="AE120" s="329"/>
      <c r="AF120" s="329"/>
      <c r="AG120" s="251"/>
      <c r="AH120" s="251"/>
      <c r="AI120" s="260"/>
      <c r="AJ120" s="251"/>
      <c r="AK120" s="260" t="s">
        <v>1973</v>
      </c>
      <c r="AL120" s="260" t="s">
        <v>1974</v>
      </c>
      <c r="AM120" s="251" t="s">
        <v>49</v>
      </c>
      <c r="AN120" s="251" t="s">
        <v>284</v>
      </c>
      <c r="AO120" s="251" t="s">
        <v>50</v>
      </c>
      <c r="AP120" s="251" t="s">
        <v>51</v>
      </c>
      <c r="AQ120" s="262"/>
    </row>
    <row r="121" spans="1:43" ht="15.75" customHeight="1">
      <c r="A121" s="69">
        <v>43446</v>
      </c>
      <c r="B121" s="263" t="s">
        <v>100</v>
      </c>
      <c r="C121" s="250" t="s">
        <v>363</v>
      </c>
      <c r="D121" s="250" t="s">
        <v>364</v>
      </c>
      <c r="E121" s="246" t="s">
        <v>365</v>
      </c>
      <c r="F121" s="305">
        <v>22</v>
      </c>
      <c r="G121" s="252">
        <v>140</v>
      </c>
      <c r="H121" s="253">
        <f t="shared" si="10"/>
        <v>3080</v>
      </c>
      <c r="I121" s="254" t="s">
        <v>302</v>
      </c>
      <c r="J121" s="267" t="s">
        <v>289</v>
      </c>
      <c r="K121" s="256">
        <v>43482</v>
      </c>
      <c r="L121" s="256"/>
      <c r="M121" s="256">
        <v>43475</v>
      </c>
      <c r="N121" s="596" t="s">
        <v>89</v>
      </c>
      <c r="O121" s="420" t="s">
        <v>2011</v>
      </c>
      <c r="P121" s="266"/>
      <c r="Q121" s="266">
        <v>2541</v>
      </c>
      <c r="R121" s="266"/>
      <c r="S121" s="266"/>
      <c r="T121" s="308"/>
      <c r="U121" s="308">
        <v>78136</v>
      </c>
      <c r="V121" s="571" t="s">
        <v>93</v>
      </c>
      <c r="W121" s="324">
        <v>43524</v>
      </c>
      <c r="X121" s="258">
        <v>43474</v>
      </c>
      <c r="Y121" s="259" t="s">
        <v>366</v>
      </c>
      <c r="Z121" s="270">
        <v>78136</v>
      </c>
      <c r="AA121" s="258">
        <v>43522</v>
      </c>
      <c r="AB121" s="329" t="s">
        <v>1948</v>
      </c>
      <c r="AC121" s="574">
        <v>3393663825</v>
      </c>
      <c r="AD121" s="329"/>
      <c r="AE121" s="329"/>
      <c r="AF121" s="329"/>
      <c r="AG121" s="251" t="s">
        <v>283</v>
      </c>
      <c r="AH121" s="251"/>
      <c r="AI121" s="260"/>
      <c r="AJ121" s="261">
        <v>43530</v>
      </c>
      <c r="AK121" s="260"/>
      <c r="AL121" s="260"/>
      <c r="AM121" s="251" t="s">
        <v>49</v>
      </c>
      <c r="AN121" s="251" t="s">
        <v>284</v>
      </c>
      <c r="AO121" s="251" t="s">
        <v>50</v>
      </c>
      <c r="AP121" s="251" t="s">
        <v>51</v>
      </c>
      <c r="AQ121" s="262"/>
    </row>
    <row r="122" spans="1:43" ht="15.75" customHeight="1">
      <c r="A122" s="69">
        <v>43446</v>
      </c>
      <c r="B122" s="263" t="s">
        <v>100</v>
      </c>
      <c r="C122" s="250" t="s">
        <v>363</v>
      </c>
      <c r="D122" s="326" t="s">
        <v>367</v>
      </c>
      <c r="E122" s="246" t="s">
        <v>368</v>
      </c>
      <c r="F122" s="305">
        <v>20</v>
      </c>
      <c r="G122" s="252">
        <v>76</v>
      </c>
      <c r="H122" s="253">
        <f t="shared" si="10"/>
        <v>1520</v>
      </c>
      <c r="I122" s="254" t="s">
        <v>302</v>
      </c>
      <c r="J122" s="267" t="s">
        <v>289</v>
      </c>
      <c r="K122" s="256">
        <v>43482</v>
      </c>
      <c r="L122" s="256"/>
      <c r="M122" s="256">
        <v>43454</v>
      </c>
      <c r="N122" s="585" t="s">
        <v>1987</v>
      </c>
      <c r="O122" s="420" t="s">
        <v>2012</v>
      </c>
      <c r="P122" s="593"/>
      <c r="Q122" s="593"/>
      <c r="R122" s="593"/>
      <c r="S122" s="593"/>
      <c r="T122" s="572"/>
      <c r="U122" s="572">
        <v>37716</v>
      </c>
      <c r="V122" s="597" t="s">
        <v>1954</v>
      </c>
      <c r="W122" s="324">
        <v>43120</v>
      </c>
      <c r="X122" s="258">
        <v>43454</v>
      </c>
      <c r="Y122" s="259" t="s">
        <v>336</v>
      </c>
      <c r="Z122" s="259" t="s">
        <v>2013</v>
      </c>
      <c r="AA122" s="258">
        <v>43528</v>
      </c>
      <c r="AB122" s="329" t="s">
        <v>1948</v>
      </c>
      <c r="AC122" s="574">
        <v>3393663825</v>
      </c>
      <c r="AD122" s="329"/>
      <c r="AE122" s="329"/>
      <c r="AF122" s="329"/>
      <c r="AG122" s="251" t="s">
        <v>283</v>
      </c>
      <c r="AH122" s="251"/>
      <c r="AI122" s="260"/>
      <c r="AJ122" s="261">
        <v>43530</v>
      </c>
      <c r="AK122" s="260"/>
      <c r="AL122" s="260"/>
      <c r="AM122" s="251" t="s">
        <v>49</v>
      </c>
      <c r="AN122" s="251" t="s">
        <v>284</v>
      </c>
      <c r="AO122" s="251" t="s">
        <v>50</v>
      </c>
      <c r="AP122" s="251" t="s">
        <v>51</v>
      </c>
      <c r="AQ122" s="262"/>
    </row>
    <row r="123" spans="1:43" ht="15.75" customHeight="1">
      <c r="A123" s="69">
        <v>43446</v>
      </c>
      <c r="B123" s="263" t="s">
        <v>100</v>
      </c>
      <c r="C123" s="250" t="s">
        <v>363</v>
      </c>
      <c r="D123" s="326" t="s">
        <v>367</v>
      </c>
      <c r="E123" s="246" t="s">
        <v>370</v>
      </c>
      <c r="F123" s="251">
        <v>20</v>
      </c>
      <c r="G123" s="252">
        <v>331</v>
      </c>
      <c r="H123" s="253">
        <f t="shared" si="10"/>
        <v>6620</v>
      </c>
      <c r="I123" s="254" t="s">
        <v>302</v>
      </c>
      <c r="J123" s="267" t="s">
        <v>289</v>
      </c>
      <c r="K123" s="256">
        <v>43482</v>
      </c>
      <c r="L123" s="256"/>
      <c r="M123" s="256">
        <v>43480</v>
      </c>
      <c r="N123" s="386" t="s">
        <v>2014</v>
      </c>
      <c r="O123" s="420" t="s">
        <v>2015</v>
      </c>
      <c r="P123" s="593"/>
      <c r="Q123" s="593"/>
      <c r="R123" s="593"/>
      <c r="S123" s="593"/>
      <c r="T123" s="572"/>
      <c r="U123" s="572">
        <v>170780</v>
      </c>
      <c r="V123" s="571" t="s">
        <v>1997</v>
      </c>
      <c r="W123" s="324">
        <v>43524</v>
      </c>
      <c r="X123" s="258">
        <v>43479</v>
      </c>
      <c r="Y123" s="259" t="s">
        <v>371</v>
      </c>
      <c r="Z123" s="270">
        <v>175443</v>
      </c>
      <c r="AA123" s="258">
        <v>43524</v>
      </c>
      <c r="AB123" s="329" t="s">
        <v>1948</v>
      </c>
      <c r="AC123" s="574">
        <v>3393663825</v>
      </c>
      <c r="AD123" s="329"/>
      <c r="AE123" s="329"/>
      <c r="AF123" s="329"/>
      <c r="AG123" s="251" t="s">
        <v>283</v>
      </c>
      <c r="AH123" s="251"/>
      <c r="AI123" s="260"/>
      <c r="AJ123" s="261">
        <v>43530</v>
      </c>
      <c r="AK123" s="260"/>
      <c r="AL123" s="260"/>
      <c r="AM123" s="251" t="s">
        <v>49</v>
      </c>
      <c r="AN123" s="251" t="s">
        <v>284</v>
      </c>
      <c r="AO123" s="251" t="s">
        <v>50</v>
      </c>
      <c r="AP123" s="251" t="s">
        <v>51</v>
      </c>
      <c r="AQ123" s="262"/>
    </row>
    <row r="124" spans="1:43" ht="15.75" customHeight="1">
      <c r="A124" s="69">
        <v>43446</v>
      </c>
      <c r="B124" s="263" t="s">
        <v>100</v>
      </c>
      <c r="C124" s="250" t="s">
        <v>363</v>
      </c>
      <c r="D124" s="326" t="s">
        <v>367</v>
      </c>
      <c r="E124" s="246" t="s">
        <v>291</v>
      </c>
      <c r="F124" s="251">
        <v>20</v>
      </c>
      <c r="G124" s="252">
        <v>9</v>
      </c>
      <c r="H124" s="253">
        <f t="shared" si="10"/>
        <v>180</v>
      </c>
      <c r="I124" s="254" t="s">
        <v>302</v>
      </c>
      <c r="J124" s="267" t="s">
        <v>289</v>
      </c>
      <c r="K124" s="256">
        <v>43482</v>
      </c>
      <c r="L124" s="256"/>
      <c r="M124" s="256">
        <v>43480</v>
      </c>
      <c r="N124" s="328" t="s">
        <v>2014</v>
      </c>
      <c r="O124" s="420" t="s">
        <v>2015</v>
      </c>
      <c r="P124" s="593"/>
      <c r="Q124" s="593"/>
      <c r="R124" s="593"/>
      <c r="S124" s="593"/>
      <c r="T124" s="572"/>
      <c r="U124" s="572">
        <v>4663.0079999999998</v>
      </c>
      <c r="V124" s="571" t="s">
        <v>1997</v>
      </c>
      <c r="W124" s="324">
        <v>43524</v>
      </c>
      <c r="X124" s="258">
        <v>43479</v>
      </c>
      <c r="Y124" s="259" t="s">
        <v>371</v>
      </c>
      <c r="Z124" s="259" t="s">
        <v>2016</v>
      </c>
      <c r="AA124" s="258">
        <v>43524</v>
      </c>
      <c r="AB124" s="329" t="s">
        <v>1948</v>
      </c>
      <c r="AC124" s="574">
        <v>3393663825</v>
      </c>
      <c r="AD124" s="329"/>
      <c r="AE124" s="329"/>
      <c r="AF124" s="329"/>
      <c r="AG124" s="251" t="s">
        <v>283</v>
      </c>
      <c r="AH124" s="251"/>
      <c r="AI124" s="260"/>
      <c r="AJ124" s="261">
        <v>43530</v>
      </c>
      <c r="AK124" s="260"/>
      <c r="AL124" s="260"/>
      <c r="AM124" s="251" t="s">
        <v>49</v>
      </c>
      <c r="AN124" s="251" t="s">
        <v>284</v>
      </c>
      <c r="AO124" s="251" t="s">
        <v>50</v>
      </c>
      <c r="AP124" s="251" t="s">
        <v>51</v>
      </c>
      <c r="AQ124" s="262"/>
    </row>
    <row r="125" spans="1:43" ht="15.75" customHeight="1">
      <c r="A125" s="69">
        <v>43452</v>
      </c>
      <c r="B125" s="263" t="s">
        <v>372</v>
      </c>
      <c r="C125" s="250">
        <v>201812170017</v>
      </c>
      <c r="D125" s="250" t="s">
        <v>373</v>
      </c>
      <c r="E125" s="246" t="s">
        <v>374</v>
      </c>
      <c r="F125" s="305">
        <v>40</v>
      </c>
      <c r="G125" s="252">
        <v>63</v>
      </c>
      <c r="H125" s="334">
        <f t="shared" si="10"/>
        <v>2520</v>
      </c>
      <c r="I125" s="254" t="s">
        <v>42</v>
      </c>
      <c r="J125" s="254" t="s">
        <v>89</v>
      </c>
      <c r="K125" s="335">
        <v>43469</v>
      </c>
      <c r="L125" s="335"/>
      <c r="M125" s="256">
        <v>43468</v>
      </c>
      <c r="N125" s="401" t="s">
        <v>89</v>
      </c>
      <c r="O125" s="250" t="s">
        <v>2017</v>
      </c>
      <c r="P125" s="266"/>
      <c r="Q125" s="266">
        <v>2352</v>
      </c>
      <c r="R125" s="1394"/>
      <c r="S125" s="1394"/>
      <c r="T125" s="598"/>
      <c r="U125" s="598">
        <v>72324</v>
      </c>
      <c r="V125" s="571" t="s">
        <v>93</v>
      </c>
      <c r="W125" s="324">
        <v>43524</v>
      </c>
      <c r="X125" s="258">
        <v>43468</v>
      </c>
      <c r="Y125" s="259" t="s">
        <v>375</v>
      </c>
      <c r="Z125" s="270">
        <v>72324</v>
      </c>
      <c r="AA125" s="258">
        <v>43522</v>
      </c>
      <c r="AB125" s="329" t="s">
        <v>2018</v>
      </c>
      <c r="AC125" s="329" t="s">
        <v>2019</v>
      </c>
      <c r="AD125" s="329" t="s">
        <v>2020</v>
      </c>
      <c r="AE125" s="402">
        <v>77591</v>
      </c>
      <c r="AF125" s="599">
        <v>43468</v>
      </c>
      <c r="AG125" s="251" t="s">
        <v>376</v>
      </c>
      <c r="AH125" s="251"/>
      <c r="AI125" s="260"/>
      <c r="AJ125" s="251"/>
      <c r="AK125" s="260"/>
      <c r="AL125" s="260"/>
      <c r="AM125" s="251" t="s">
        <v>49</v>
      </c>
      <c r="AN125" s="251" t="s">
        <v>284</v>
      </c>
      <c r="AO125" s="251" t="s">
        <v>50</v>
      </c>
      <c r="AP125" s="251" t="s">
        <v>376</v>
      </c>
      <c r="AQ125" s="262"/>
    </row>
    <row r="126" spans="1:43" ht="15.75" customHeight="1">
      <c r="A126" s="69">
        <v>43452</v>
      </c>
      <c r="B126" s="144" t="s">
        <v>377</v>
      </c>
      <c r="C126" s="250">
        <v>8730</v>
      </c>
      <c r="D126" s="250" t="s">
        <v>378</v>
      </c>
      <c r="E126" s="23" t="s">
        <v>379</v>
      </c>
      <c r="F126" s="305">
        <v>187</v>
      </c>
      <c r="G126" s="336">
        <v>62</v>
      </c>
      <c r="H126" s="253">
        <f t="shared" si="10"/>
        <v>11594</v>
      </c>
      <c r="I126" s="254" t="s">
        <v>170</v>
      </c>
      <c r="J126" s="267" t="s">
        <v>380</v>
      </c>
      <c r="K126" s="256">
        <v>43514</v>
      </c>
      <c r="L126" s="256"/>
      <c r="M126" s="256">
        <v>43508</v>
      </c>
      <c r="N126" s="264" t="s">
        <v>2021</v>
      </c>
      <c r="O126" s="250" t="s">
        <v>2022</v>
      </c>
      <c r="P126" s="591"/>
      <c r="Q126" s="591"/>
      <c r="R126" s="591"/>
      <c r="S126" s="591"/>
      <c r="T126" s="572"/>
      <c r="U126" s="572">
        <v>266643</v>
      </c>
      <c r="V126" s="250" t="s">
        <v>2023</v>
      </c>
      <c r="W126" s="258">
        <v>43529</v>
      </c>
      <c r="X126" s="258">
        <v>43508</v>
      </c>
      <c r="Y126" s="259" t="s">
        <v>381</v>
      </c>
      <c r="Z126" s="270">
        <v>266643</v>
      </c>
      <c r="AA126" s="258">
        <v>43531</v>
      </c>
      <c r="AB126" s="329" t="s">
        <v>2024</v>
      </c>
      <c r="AC126" s="329" t="s">
        <v>2025</v>
      </c>
      <c r="AD126" s="329"/>
      <c r="AE126" s="329"/>
      <c r="AF126" s="329"/>
      <c r="AG126" s="251" t="s">
        <v>283</v>
      </c>
      <c r="AH126" s="251"/>
      <c r="AI126" s="260"/>
      <c r="AJ126" s="251"/>
      <c r="AK126" s="260">
        <f>(11584-6.5)*30.79</f>
        <v>356471.22499999998</v>
      </c>
      <c r="AL126" s="260">
        <f>6.5*30.79+10*30.79</f>
        <v>508.03499999999997</v>
      </c>
      <c r="AM126" s="251" t="s">
        <v>49</v>
      </c>
      <c r="AN126" s="251" t="s">
        <v>284</v>
      </c>
      <c r="AO126" s="251" t="s">
        <v>285</v>
      </c>
      <c r="AP126" s="251" t="s">
        <v>51</v>
      </c>
      <c r="AQ126" s="262"/>
    </row>
    <row r="127" spans="1:43" ht="15.75" customHeight="1">
      <c r="A127" s="69">
        <v>43452</v>
      </c>
      <c r="B127" s="144" t="s">
        <v>377</v>
      </c>
      <c r="C127" s="250">
        <v>8730</v>
      </c>
      <c r="D127" s="250" t="s">
        <v>378</v>
      </c>
      <c r="E127" s="23" t="s">
        <v>382</v>
      </c>
      <c r="F127" s="305">
        <v>187</v>
      </c>
      <c r="G127" s="336">
        <v>0</v>
      </c>
      <c r="H127" s="253">
        <f t="shared" si="10"/>
        <v>0</v>
      </c>
      <c r="I127" s="254" t="s">
        <v>170</v>
      </c>
      <c r="J127" s="267" t="s">
        <v>380</v>
      </c>
      <c r="K127" s="256">
        <v>43514</v>
      </c>
      <c r="L127" s="256"/>
      <c r="M127" s="256">
        <v>43469</v>
      </c>
      <c r="N127" s="264" t="s">
        <v>1941</v>
      </c>
      <c r="O127" s="250"/>
      <c r="P127" s="591"/>
      <c r="Q127" s="591"/>
      <c r="R127" s="591"/>
      <c r="S127" s="591"/>
      <c r="T127" s="589"/>
      <c r="U127" s="589"/>
      <c r="V127" s="263"/>
      <c r="W127" s="337"/>
      <c r="X127" s="329"/>
      <c r="Y127" s="329"/>
      <c r="Z127" s="329"/>
      <c r="AA127" s="329"/>
      <c r="AB127" s="329" t="s">
        <v>2026</v>
      </c>
      <c r="AC127" s="329" t="s">
        <v>2027</v>
      </c>
      <c r="AD127" s="329"/>
      <c r="AE127" s="329"/>
      <c r="AF127" s="329"/>
      <c r="AG127" s="251" t="s">
        <v>283</v>
      </c>
      <c r="AH127" s="251"/>
      <c r="AI127" s="260"/>
      <c r="AJ127" s="251"/>
      <c r="AK127" s="260" t="s">
        <v>2028</v>
      </c>
      <c r="AL127" s="260" t="s">
        <v>2028</v>
      </c>
      <c r="AM127" s="251" t="s">
        <v>49</v>
      </c>
      <c r="AN127" s="251" t="s">
        <v>284</v>
      </c>
      <c r="AO127" s="251" t="s">
        <v>285</v>
      </c>
      <c r="AP127" s="251" t="s">
        <v>51</v>
      </c>
      <c r="AQ127" s="262"/>
    </row>
    <row r="128" spans="1:43" ht="15.75" customHeight="1">
      <c r="A128" s="19">
        <v>43453</v>
      </c>
      <c r="B128" s="338" t="s">
        <v>53</v>
      </c>
      <c r="C128" s="250" t="s">
        <v>383</v>
      </c>
      <c r="D128" s="308" t="s">
        <v>384</v>
      </c>
      <c r="E128" s="23" t="s">
        <v>385</v>
      </c>
      <c r="F128" s="251">
        <v>10</v>
      </c>
      <c r="G128" s="252">
        <v>150.15</v>
      </c>
      <c r="H128" s="265">
        <f t="shared" si="10"/>
        <v>1501.5</v>
      </c>
      <c r="I128" s="264" t="s">
        <v>42</v>
      </c>
      <c r="J128" s="267" t="s">
        <v>89</v>
      </c>
      <c r="K128" s="256">
        <v>43479</v>
      </c>
      <c r="L128" s="256"/>
      <c r="M128" s="256">
        <v>43479</v>
      </c>
      <c r="N128" s="596" t="s">
        <v>89</v>
      </c>
      <c r="O128" s="250" t="s">
        <v>2029</v>
      </c>
      <c r="P128" s="572"/>
      <c r="Q128" s="572">
        <v>1344</v>
      </c>
      <c r="R128" s="572"/>
      <c r="S128" s="572"/>
      <c r="T128" s="308"/>
      <c r="U128" s="308">
        <v>41402</v>
      </c>
      <c r="V128" s="338" t="s">
        <v>93</v>
      </c>
      <c r="W128" s="324">
        <v>43524</v>
      </c>
      <c r="X128" s="258">
        <v>43479</v>
      </c>
      <c r="Y128" s="259" t="s">
        <v>386</v>
      </c>
      <c r="Z128" s="270">
        <v>41402</v>
      </c>
      <c r="AA128" s="258">
        <v>43522</v>
      </c>
      <c r="AB128" s="329" t="s">
        <v>2030</v>
      </c>
      <c r="AC128" s="329" t="s">
        <v>2031</v>
      </c>
      <c r="AD128" s="329">
        <v>30.802</v>
      </c>
      <c r="AE128" s="329">
        <v>46249</v>
      </c>
      <c r="AF128" s="599">
        <v>43480</v>
      </c>
      <c r="AG128" s="251"/>
      <c r="AH128" s="251"/>
      <c r="AI128" s="260"/>
      <c r="AJ128" s="251"/>
      <c r="AK128" s="260"/>
      <c r="AL128" s="260"/>
      <c r="AM128" s="251" t="s">
        <v>49</v>
      </c>
      <c r="AN128" s="251" t="s">
        <v>284</v>
      </c>
      <c r="AO128" s="251" t="s">
        <v>50</v>
      </c>
      <c r="AP128" s="251" t="s">
        <v>376</v>
      </c>
      <c r="AQ128" s="262"/>
    </row>
    <row r="129" spans="1:43" ht="15.75" customHeight="1">
      <c r="A129" s="19">
        <v>43455</v>
      </c>
      <c r="B129" s="51" t="s">
        <v>100</v>
      </c>
      <c r="C129" s="22" t="s">
        <v>387</v>
      </c>
      <c r="D129" s="600" t="s">
        <v>391</v>
      </c>
      <c r="E129" s="23" t="s">
        <v>389</v>
      </c>
      <c r="F129" s="82">
        <v>3</v>
      </c>
      <c r="G129" s="47">
        <v>620</v>
      </c>
      <c r="H129" s="26">
        <f t="shared" si="10"/>
        <v>1860</v>
      </c>
      <c r="I129" s="61" t="s">
        <v>302</v>
      </c>
      <c r="J129" s="58" t="s">
        <v>289</v>
      </c>
      <c r="K129" s="30">
        <v>43522</v>
      </c>
      <c r="L129" s="30"/>
      <c r="M129" s="30">
        <v>43521</v>
      </c>
      <c r="N129" s="58" t="s">
        <v>1414</v>
      </c>
      <c r="O129" s="93" t="s">
        <v>2032</v>
      </c>
      <c r="P129" s="580"/>
      <c r="Q129" s="580">
        <v>1779.75</v>
      </c>
      <c r="R129" s="580"/>
      <c r="S129" s="580"/>
      <c r="T129" s="406"/>
      <c r="U129" s="406">
        <v>54825</v>
      </c>
      <c r="V129" s="20" t="s">
        <v>1947</v>
      </c>
      <c r="W129" s="292">
        <v>43555</v>
      </c>
      <c r="X129" s="293">
        <v>43519</v>
      </c>
      <c r="Y129" s="294" t="s">
        <v>390</v>
      </c>
      <c r="Z129" s="295">
        <v>73747</v>
      </c>
      <c r="AA129" s="293">
        <v>43557</v>
      </c>
      <c r="AB129" s="304" t="s">
        <v>2033</v>
      </c>
      <c r="AC129" s="304">
        <v>2371347893</v>
      </c>
      <c r="AD129" s="304"/>
      <c r="AE129" s="304"/>
      <c r="AF129" s="304"/>
      <c r="AG129" s="296"/>
      <c r="AH129" s="296"/>
      <c r="AI129" s="297"/>
      <c r="AJ129" s="298">
        <v>43602</v>
      </c>
      <c r="AK129" s="297" t="s">
        <v>1963</v>
      </c>
      <c r="AL129" s="297" t="s">
        <v>1964</v>
      </c>
      <c r="AM129" s="296" t="s">
        <v>49</v>
      </c>
      <c r="AN129" s="24" t="s">
        <v>284</v>
      </c>
      <c r="AO129" s="296" t="s">
        <v>50</v>
      </c>
      <c r="AP129" s="296" t="s">
        <v>51</v>
      </c>
      <c r="AQ129" s="234" t="s">
        <v>304</v>
      </c>
    </row>
    <row r="130" spans="1:43" ht="15.75" customHeight="1">
      <c r="A130" s="19">
        <v>43455</v>
      </c>
      <c r="B130" s="51" t="s">
        <v>100</v>
      </c>
      <c r="C130" s="22" t="s">
        <v>387</v>
      </c>
      <c r="D130" s="22" t="s">
        <v>391</v>
      </c>
      <c r="E130" s="23" t="s">
        <v>392</v>
      </c>
      <c r="F130" s="82">
        <v>3</v>
      </c>
      <c r="G130" s="47">
        <v>219</v>
      </c>
      <c r="H130" s="26">
        <f t="shared" si="10"/>
        <v>657</v>
      </c>
      <c r="I130" s="61" t="s">
        <v>302</v>
      </c>
      <c r="J130" s="58" t="s">
        <v>289</v>
      </c>
      <c r="K130" s="30">
        <v>43522</v>
      </c>
      <c r="L130" s="30"/>
      <c r="M130" s="30">
        <v>43521</v>
      </c>
      <c r="N130" s="58" t="s">
        <v>1414</v>
      </c>
      <c r="O130" s="93" t="s">
        <v>2032</v>
      </c>
      <c r="P130" s="406"/>
      <c r="Q130" s="406">
        <v>614.25</v>
      </c>
      <c r="R130" s="406"/>
      <c r="S130" s="406"/>
      <c r="T130" s="406"/>
      <c r="U130" s="406">
        <v>18922</v>
      </c>
      <c r="V130" s="20" t="s">
        <v>1947</v>
      </c>
      <c r="W130" s="292">
        <v>43555</v>
      </c>
      <c r="X130" s="293">
        <v>43519</v>
      </c>
      <c r="Y130" s="294" t="s">
        <v>390</v>
      </c>
      <c r="Z130" s="294" t="s">
        <v>2034</v>
      </c>
      <c r="AA130" s="293">
        <v>43557</v>
      </c>
      <c r="AB130" s="304" t="s">
        <v>2033</v>
      </c>
      <c r="AC130" s="304">
        <v>2371347893</v>
      </c>
      <c r="AD130" s="304"/>
      <c r="AE130" s="304"/>
      <c r="AF130" s="304"/>
      <c r="AG130" s="296"/>
      <c r="AH130" s="296"/>
      <c r="AI130" s="297"/>
      <c r="AJ130" s="298">
        <v>43602</v>
      </c>
      <c r="AK130" s="297" t="s">
        <v>1963</v>
      </c>
      <c r="AL130" s="297" t="s">
        <v>1964</v>
      </c>
      <c r="AM130" s="296" t="s">
        <v>49</v>
      </c>
      <c r="AN130" s="24" t="s">
        <v>284</v>
      </c>
      <c r="AO130" s="296" t="s">
        <v>50</v>
      </c>
      <c r="AP130" s="296" t="s">
        <v>51</v>
      </c>
      <c r="AQ130" s="234" t="s">
        <v>304</v>
      </c>
    </row>
    <row r="131" spans="1:43" ht="15.75" customHeight="1">
      <c r="A131" s="19">
        <v>43455</v>
      </c>
      <c r="B131" s="51" t="s">
        <v>100</v>
      </c>
      <c r="C131" s="22" t="s">
        <v>387</v>
      </c>
      <c r="D131" s="22" t="s">
        <v>391</v>
      </c>
      <c r="E131" s="23" t="s">
        <v>393</v>
      </c>
      <c r="F131" s="82">
        <v>3</v>
      </c>
      <c r="G131" s="47">
        <v>85</v>
      </c>
      <c r="H131" s="47">
        <f t="shared" si="10"/>
        <v>255</v>
      </c>
      <c r="I131" s="87" t="s">
        <v>302</v>
      </c>
      <c r="J131" s="31" t="s">
        <v>289</v>
      </c>
      <c r="K131" s="30">
        <v>43522</v>
      </c>
      <c r="L131" s="30"/>
      <c r="M131" s="29">
        <v>43460</v>
      </c>
      <c r="N131" s="601" t="s">
        <v>2035</v>
      </c>
      <c r="O131" s="290" t="s">
        <v>2036</v>
      </c>
      <c r="P131" s="304"/>
      <c r="Q131" s="304"/>
      <c r="R131" s="304"/>
      <c r="S131" s="304"/>
      <c r="T131" s="602"/>
      <c r="U131" s="602">
        <f>(2348*F131)*1.05</f>
        <v>7396.2000000000007</v>
      </c>
      <c r="V131" s="51" t="s">
        <v>1954</v>
      </c>
      <c r="W131" s="340" t="s">
        <v>394</v>
      </c>
      <c r="X131" s="340" t="s">
        <v>394</v>
      </c>
      <c r="Y131" s="340" t="s">
        <v>394</v>
      </c>
      <c r="Z131" s="340" t="s">
        <v>394</v>
      </c>
      <c r="AA131" s="340" t="s">
        <v>394</v>
      </c>
      <c r="AB131" s="304" t="s">
        <v>2033</v>
      </c>
      <c r="AC131" s="304">
        <v>2371347893</v>
      </c>
      <c r="AD131" s="304"/>
      <c r="AE131" s="304"/>
      <c r="AF131" s="296"/>
      <c r="AG131" s="296"/>
      <c r="AH131" s="296"/>
      <c r="AI131" s="297"/>
      <c r="AJ131" s="298">
        <v>43602</v>
      </c>
      <c r="AK131" s="297" t="s">
        <v>1963</v>
      </c>
      <c r="AL131" s="297" t="s">
        <v>1964</v>
      </c>
      <c r="AM131" s="296" t="s">
        <v>49</v>
      </c>
      <c r="AN131" s="24" t="s">
        <v>284</v>
      </c>
      <c r="AO131" s="296" t="s">
        <v>50</v>
      </c>
      <c r="AP131" s="296" t="s">
        <v>51</v>
      </c>
      <c r="AQ131" s="234" t="s">
        <v>304</v>
      </c>
    </row>
    <row r="132" spans="1:43" ht="15.75" customHeight="1">
      <c r="A132" s="341">
        <v>43455</v>
      </c>
      <c r="B132" s="342" t="s">
        <v>100</v>
      </c>
      <c r="C132" s="343" t="s">
        <v>387</v>
      </c>
      <c r="D132" s="343" t="s">
        <v>395</v>
      </c>
      <c r="E132" s="23" t="s">
        <v>392</v>
      </c>
      <c r="F132" s="344">
        <v>3</v>
      </c>
      <c r="G132" s="345">
        <v>219</v>
      </c>
      <c r="H132" s="26">
        <f t="shared" si="10"/>
        <v>657</v>
      </c>
      <c r="I132" s="346" t="s">
        <v>302</v>
      </c>
      <c r="J132" s="347" t="s">
        <v>289</v>
      </c>
      <c r="K132" s="30">
        <v>43563</v>
      </c>
      <c r="L132" s="30"/>
      <c r="M132" s="30">
        <v>43558</v>
      </c>
      <c r="N132" s="58" t="s">
        <v>1414</v>
      </c>
      <c r="O132" s="21" t="s">
        <v>2032</v>
      </c>
      <c r="P132" s="34"/>
      <c r="Q132" s="34">
        <v>614.25</v>
      </c>
      <c r="R132" s="34"/>
      <c r="S132" s="34"/>
      <c r="T132" s="41"/>
      <c r="U132" s="41">
        <v>18922</v>
      </c>
      <c r="V132" s="20" t="s">
        <v>1947</v>
      </c>
      <c r="W132" s="348">
        <v>43616</v>
      </c>
      <c r="X132" s="349">
        <v>43557</v>
      </c>
      <c r="Y132" s="350" t="s">
        <v>396</v>
      </c>
      <c r="Z132" s="350" t="s">
        <v>2037</v>
      </c>
      <c r="AA132" s="303">
        <v>43616</v>
      </c>
      <c r="AB132" s="37" t="s">
        <v>2038</v>
      </c>
      <c r="AC132" s="22">
        <v>1022758925</v>
      </c>
      <c r="AD132" s="603">
        <v>43616</v>
      </c>
      <c r="AE132" s="37"/>
      <c r="AF132" s="37"/>
      <c r="AG132" s="24"/>
      <c r="AH132" s="24">
        <v>30.77</v>
      </c>
      <c r="AI132" s="55">
        <f>H132*AH132</f>
        <v>20215.89</v>
      </c>
      <c r="AJ132" s="56">
        <v>43565</v>
      </c>
      <c r="AK132" s="38">
        <f>11409.5*30.78</f>
        <v>351184.41000000003</v>
      </c>
      <c r="AL132" s="38">
        <f>(11426-11409.5)*30.78</f>
        <v>507.87</v>
      </c>
      <c r="AM132" s="24" t="s">
        <v>49</v>
      </c>
      <c r="AN132" s="24" t="s">
        <v>284</v>
      </c>
      <c r="AO132" s="24" t="s">
        <v>50</v>
      </c>
      <c r="AP132" s="54" t="s">
        <v>51</v>
      </c>
      <c r="AQ132" s="57" t="s">
        <v>397</v>
      </c>
    </row>
    <row r="133" spans="1:43" ht="15.75" customHeight="1">
      <c r="A133" s="341">
        <v>43455</v>
      </c>
      <c r="B133" s="342" t="s">
        <v>100</v>
      </c>
      <c r="C133" s="343" t="s">
        <v>387</v>
      </c>
      <c r="D133" s="351" t="s">
        <v>395</v>
      </c>
      <c r="E133" s="23" t="s">
        <v>398</v>
      </c>
      <c r="F133" s="344">
        <v>3</v>
      </c>
      <c r="G133" s="345">
        <v>620</v>
      </c>
      <c r="H133" s="26">
        <f t="shared" si="10"/>
        <v>1860</v>
      </c>
      <c r="I133" s="346" t="s">
        <v>302</v>
      </c>
      <c r="J133" s="347" t="s">
        <v>289</v>
      </c>
      <c r="K133" s="30">
        <v>43563</v>
      </c>
      <c r="L133" s="30"/>
      <c r="M133" s="30">
        <v>43558</v>
      </c>
      <c r="N133" s="58" t="s">
        <v>1414</v>
      </c>
      <c r="O133" s="93" t="s">
        <v>2032</v>
      </c>
      <c r="P133" s="604"/>
      <c r="Q133" s="604">
        <v>1779.75</v>
      </c>
      <c r="R133" s="604"/>
      <c r="S133" s="604"/>
      <c r="T133" s="41"/>
      <c r="U133" s="41">
        <v>54825</v>
      </c>
      <c r="V133" s="20" t="s">
        <v>1947</v>
      </c>
      <c r="W133" s="352">
        <v>43616</v>
      </c>
      <c r="X133" s="349">
        <v>43557</v>
      </c>
      <c r="Y133" s="350" t="s">
        <v>396</v>
      </c>
      <c r="Z133" s="350">
        <v>73747</v>
      </c>
      <c r="AA133" s="303">
        <v>43616</v>
      </c>
      <c r="AB133" s="37" t="s">
        <v>2038</v>
      </c>
      <c r="AC133" s="22">
        <v>1022758925</v>
      </c>
      <c r="AD133" s="603">
        <v>43616</v>
      </c>
      <c r="AE133" s="37"/>
      <c r="AF133" s="37"/>
      <c r="AG133" s="24"/>
      <c r="AH133" s="24">
        <v>30.77</v>
      </c>
      <c r="AI133" s="55">
        <f>H133*AH133</f>
        <v>57232.2</v>
      </c>
      <c r="AJ133" s="56">
        <v>43565</v>
      </c>
      <c r="AK133" s="38" t="s">
        <v>2039</v>
      </c>
      <c r="AL133" s="38" t="s">
        <v>2040</v>
      </c>
      <c r="AM133" s="24" t="s">
        <v>49</v>
      </c>
      <c r="AN133" s="24" t="s">
        <v>284</v>
      </c>
      <c r="AO133" s="24" t="s">
        <v>50</v>
      </c>
      <c r="AP133" s="54" t="s">
        <v>51</v>
      </c>
      <c r="AQ133" s="57" t="s">
        <v>397</v>
      </c>
    </row>
    <row r="134" spans="1:43" ht="15.75" customHeight="1">
      <c r="A134" s="341">
        <v>43455</v>
      </c>
      <c r="B134" s="342" t="s">
        <v>100</v>
      </c>
      <c r="C134" s="343" t="s">
        <v>387</v>
      </c>
      <c r="D134" s="343" t="s">
        <v>395</v>
      </c>
      <c r="E134" s="23" t="s">
        <v>393</v>
      </c>
      <c r="F134" s="344">
        <v>3</v>
      </c>
      <c r="G134" s="345">
        <v>85</v>
      </c>
      <c r="H134" s="26">
        <f t="shared" si="10"/>
        <v>255</v>
      </c>
      <c r="I134" s="346" t="s">
        <v>302</v>
      </c>
      <c r="J134" s="347" t="s">
        <v>289</v>
      </c>
      <c r="K134" s="30">
        <v>43563</v>
      </c>
      <c r="L134" s="30"/>
      <c r="M134" s="29">
        <v>43460</v>
      </c>
      <c r="N134" s="35" t="s">
        <v>2035</v>
      </c>
      <c r="O134" s="290" t="s">
        <v>2036</v>
      </c>
      <c r="P134" s="41"/>
      <c r="Q134" s="41"/>
      <c r="R134" s="41"/>
      <c r="S134" s="41"/>
      <c r="T134" s="605"/>
      <c r="U134" s="605">
        <v>7392</v>
      </c>
      <c r="V134" s="553" t="s">
        <v>1954</v>
      </c>
      <c r="W134" s="353"/>
      <c r="X134" s="46"/>
      <c r="Y134" s="37"/>
      <c r="Z134" s="354"/>
      <c r="AA134" s="37"/>
      <c r="AB134" s="37" t="s">
        <v>2038</v>
      </c>
      <c r="AC134" s="22">
        <v>1022758925</v>
      </c>
      <c r="AD134" s="37"/>
      <c r="AE134" s="37"/>
      <c r="AF134" s="37"/>
      <c r="AG134" s="24"/>
      <c r="AH134" s="24">
        <v>30.77</v>
      </c>
      <c r="AI134" s="55">
        <f>H134*AH134</f>
        <v>7846.3499999999995</v>
      </c>
      <c r="AJ134" s="56">
        <v>43565</v>
      </c>
      <c r="AK134" s="38" t="s">
        <v>2039</v>
      </c>
      <c r="AL134" s="38" t="s">
        <v>2040</v>
      </c>
      <c r="AM134" s="24" t="s">
        <v>49</v>
      </c>
      <c r="AN134" s="24" t="s">
        <v>284</v>
      </c>
      <c r="AO134" s="24" t="s">
        <v>50</v>
      </c>
      <c r="AP134" s="24" t="s">
        <v>51</v>
      </c>
      <c r="AQ134" s="40" t="s">
        <v>397</v>
      </c>
    </row>
    <row r="135" spans="1:43" ht="15.75" customHeight="1">
      <c r="A135" s="110">
        <v>43458</v>
      </c>
      <c r="B135" s="355" t="s">
        <v>399</v>
      </c>
      <c r="C135" s="356" t="s">
        <v>400</v>
      </c>
      <c r="D135" s="356" t="s">
        <v>401</v>
      </c>
      <c r="E135" s="23" t="s">
        <v>402</v>
      </c>
      <c r="F135" s="357">
        <v>5</v>
      </c>
      <c r="G135" s="355">
        <v>231</v>
      </c>
      <c r="H135" s="253">
        <f t="shared" si="10"/>
        <v>1155</v>
      </c>
      <c r="I135" s="264" t="s">
        <v>302</v>
      </c>
      <c r="J135" s="267" t="s">
        <v>403</v>
      </c>
      <c r="K135" s="256">
        <v>43482</v>
      </c>
      <c r="L135" s="256"/>
      <c r="M135" s="256">
        <v>43469</v>
      </c>
      <c r="N135" s="264" t="s">
        <v>89</v>
      </c>
      <c r="O135" s="250" t="s">
        <v>2041</v>
      </c>
      <c r="P135" s="308"/>
      <c r="Q135" s="308">
        <v>892.5</v>
      </c>
      <c r="R135" s="308"/>
      <c r="S135" s="308"/>
      <c r="T135" s="308"/>
      <c r="U135" s="308">
        <v>27493</v>
      </c>
      <c r="V135" s="338" t="s">
        <v>93</v>
      </c>
      <c r="W135" s="324">
        <v>43524</v>
      </c>
      <c r="X135" s="258">
        <v>43479</v>
      </c>
      <c r="Y135" s="259" t="s">
        <v>404</v>
      </c>
      <c r="Z135" s="270">
        <v>27493</v>
      </c>
      <c r="AA135" s="258">
        <v>43522</v>
      </c>
      <c r="AB135" s="329" t="s">
        <v>2042</v>
      </c>
      <c r="AC135" s="308">
        <v>611842162</v>
      </c>
      <c r="AD135" s="329"/>
      <c r="AE135" s="329"/>
      <c r="AF135" s="329"/>
      <c r="AG135" s="251" t="s">
        <v>283</v>
      </c>
      <c r="AH135" s="251"/>
      <c r="AI135" s="260"/>
      <c r="AJ135" s="251"/>
      <c r="AK135" s="260"/>
      <c r="AL135" s="260"/>
      <c r="AM135" s="251" t="s">
        <v>49</v>
      </c>
      <c r="AN135" s="251" t="s">
        <v>284</v>
      </c>
      <c r="AO135" s="251" t="s">
        <v>50</v>
      </c>
      <c r="AP135" s="251" t="s">
        <v>51</v>
      </c>
      <c r="AQ135" s="262"/>
    </row>
    <row r="136" spans="1:43" ht="15.75" customHeight="1">
      <c r="A136" s="110">
        <v>43458</v>
      </c>
      <c r="B136" s="358" t="s">
        <v>405</v>
      </c>
      <c r="C136" s="358">
        <v>7000143878</v>
      </c>
      <c r="D136" s="358" t="s">
        <v>406</v>
      </c>
      <c r="E136" s="23" t="s">
        <v>407</v>
      </c>
      <c r="F136" s="359">
        <v>1</v>
      </c>
      <c r="G136" s="360">
        <v>54</v>
      </c>
      <c r="H136" s="253">
        <f t="shared" si="10"/>
        <v>54</v>
      </c>
      <c r="I136" s="254" t="s">
        <v>42</v>
      </c>
      <c r="J136" s="254" t="s">
        <v>408</v>
      </c>
      <c r="K136" s="256">
        <v>43472</v>
      </c>
      <c r="L136" s="256"/>
      <c r="M136" s="256">
        <v>43493</v>
      </c>
      <c r="N136" s="401" t="s">
        <v>2043</v>
      </c>
      <c r="O136" s="250" t="s">
        <v>2044</v>
      </c>
      <c r="P136" s="593"/>
      <c r="Q136" s="593"/>
      <c r="R136" s="593"/>
      <c r="S136" s="593"/>
      <c r="T136" s="572"/>
      <c r="U136" s="572">
        <v>1491</v>
      </c>
      <c r="V136" s="318" t="s">
        <v>2045</v>
      </c>
      <c r="W136" s="258">
        <v>43524</v>
      </c>
      <c r="X136" s="258">
        <v>43468</v>
      </c>
      <c r="Y136" s="259" t="s">
        <v>409</v>
      </c>
      <c r="Z136" s="270">
        <v>1491</v>
      </c>
      <c r="AA136" s="258">
        <v>43523</v>
      </c>
      <c r="AB136" s="329" t="s">
        <v>2046</v>
      </c>
      <c r="AC136" s="329">
        <v>8211042475</v>
      </c>
      <c r="AD136" s="329"/>
      <c r="AE136" s="329"/>
      <c r="AF136" s="329"/>
      <c r="AG136" s="251" t="s">
        <v>283</v>
      </c>
      <c r="AH136" s="251"/>
      <c r="AI136" s="260"/>
      <c r="AJ136" s="251"/>
      <c r="AK136" s="260"/>
      <c r="AL136" s="260"/>
      <c r="AM136" s="251" t="s">
        <v>49</v>
      </c>
      <c r="AN136" s="251" t="s">
        <v>284</v>
      </c>
      <c r="AO136" s="251" t="s">
        <v>50</v>
      </c>
      <c r="AP136" s="251" t="s">
        <v>51</v>
      </c>
      <c r="AQ136" s="262"/>
    </row>
    <row r="137" spans="1:43" ht="15.75" customHeight="1">
      <c r="A137" s="110">
        <v>43458</v>
      </c>
      <c r="B137" s="358" t="s">
        <v>118</v>
      </c>
      <c r="C137" s="358" t="s">
        <v>410</v>
      </c>
      <c r="D137" s="358" t="s">
        <v>411</v>
      </c>
      <c r="E137" s="23" t="s">
        <v>160</v>
      </c>
      <c r="F137" s="361">
        <v>4</v>
      </c>
      <c r="G137" s="360">
        <v>485</v>
      </c>
      <c r="H137" s="362">
        <f t="shared" si="10"/>
        <v>1940</v>
      </c>
      <c r="I137" s="254" t="s">
        <v>170</v>
      </c>
      <c r="J137" s="254" t="s">
        <v>121</v>
      </c>
      <c r="K137" s="256">
        <v>43494</v>
      </c>
      <c r="L137" s="1473"/>
      <c r="N137" s="596" t="s">
        <v>89</v>
      </c>
      <c r="O137" s="250" t="s">
        <v>2047</v>
      </c>
      <c r="P137" s="308"/>
      <c r="Q137" s="308">
        <v>1680</v>
      </c>
      <c r="R137" s="308"/>
      <c r="S137" s="308"/>
      <c r="T137" s="593"/>
      <c r="U137" s="593"/>
      <c r="V137" s="338" t="s">
        <v>93</v>
      </c>
      <c r="W137" s="324">
        <v>43555</v>
      </c>
      <c r="X137" s="258">
        <v>43493</v>
      </c>
      <c r="Y137" s="259" t="s">
        <v>412</v>
      </c>
      <c r="Z137" s="270">
        <v>985443</v>
      </c>
      <c r="AA137" s="258">
        <v>43532</v>
      </c>
      <c r="AB137" s="329" t="s">
        <v>2048</v>
      </c>
      <c r="AC137" s="329" t="s">
        <v>2049</v>
      </c>
      <c r="AD137" s="329"/>
      <c r="AE137" s="329"/>
      <c r="AF137" s="329"/>
      <c r="AG137" s="251" t="s">
        <v>283</v>
      </c>
      <c r="AH137" s="251"/>
      <c r="AI137" s="260"/>
      <c r="AJ137" s="305"/>
      <c r="AK137" s="260"/>
      <c r="AL137" s="260"/>
      <c r="AM137" s="251" t="s">
        <v>49</v>
      </c>
      <c r="AN137" s="251" t="s">
        <v>284</v>
      </c>
      <c r="AO137" s="251" t="s">
        <v>50</v>
      </c>
      <c r="AP137" s="251" t="s">
        <v>51</v>
      </c>
      <c r="AQ137" s="262"/>
    </row>
    <row r="138" spans="1:43" ht="15.75" customHeight="1">
      <c r="A138" s="110">
        <v>43458</v>
      </c>
      <c r="B138" s="358" t="s">
        <v>118</v>
      </c>
      <c r="C138" s="358" t="s">
        <v>410</v>
      </c>
      <c r="D138" s="358" t="s">
        <v>411</v>
      </c>
      <c r="E138" s="23" t="s">
        <v>161</v>
      </c>
      <c r="F138" s="363">
        <v>15</v>
      </c>
      <c r="G138" s="364">
        <v>738</v>
      </c>
      <c r="H138" s="362">
        <f t="shared" si="10"/>
        <v>11070</v>
      </c>
      <c r="I138" s="254" t="s">
        <v>170</v>
      </c>
      <c r="J138" s="254" t="s">
        <v>121</v>
      </c>
      <c r="K138" s="256">
        <v>43494</v>
      </c>
      <c r="L138" s="256"/>
      <c r="M138" s="256">
        <v>43493</v>
      </c>
      <c r="N138" s="596" t="s">
        <v>89</v>
      </c>
      <c r="O138" s="250" t="s">
        <v>2047</v>
      </c>
      <c r="P138" s="308"/>
      <c r="Q138" s="308">
        <v>10048.5</v>
      </c>
      <c r="R138" s="308"/>
      <c r="S138" s="308"/>
      <c r="T138" s="593"/>
      <c r="U138" s="593"/>
      <c r="V138" s="571" t="s">
        <v>93</v>
      </c>
      <c r="W138" s="324">
        <v>43555</v>
      </c>
      <c r="X138" s="258">
        <v>43493</v>
      </c>
      <c r="Y138" s="259" t="s">
        <v>412</v>
      </c>
      <c r="Z138" s="270" t="s">
        <v>2050</v>
      </c>
      <c r="AA138" s="258">
        <v>43532</v>
      </c>
      <c r="AB138" s="329" t="s">
        <v>2048</v>
      </c>
      <c r="AC138" s="329" t="s">
        <v>2049</v>
      </c>
      <c r="AD138" s="329"/>
      <c r="AE138" s="329"/>
      <c r="AF138" s="329"/>
      <c r="AG138" s="251" t="s">
        <v>283</v>
      </c>
      <c r="AH138" s="251"/>
      <c r="AI138" s="260"/>
      <c r="AJ138" s="305"/>
      <c r="AK138" s="260"/>
      <c r="AL138" s="260"/>
      <c r="AM138" s="251" t="s">
        <v>49</v>
      </c>
      <c r="AN138" s="251" t="s">
        <v>284</v>
      </c>
      <c r="AO138" s="251" t="s">
        <v>50</v>
      </c>
      <c r="AP138" s="251" t="s">
        <v>51</v>
      </c>
      <c r="AQ138" s="262"/>
    </row>
    <row r="139" spans="1:43" ht="15.75" customHeight="1">
      <c r="A139" s="69">
        <v>43458</v>
      </c>
      <c r="B139" s="358" t="s">
        <v>118</v>
      </c>
      <c r="C139" s="358" t="s">
        <v>410</v>
      </c>
      <c r="D139" s="358" t="s">
        <v>411</v>
      </c>
      <c r="E139" s="23" t="s">
        <v>120</v>
      </c>
      <c r="F139" s="359">
        <v>50</v>
      </c>
      <c r="G139" s="365">
        <v>359</v>
      </c>
      <c r="H139" s="362">
        <f t="shared" si="10"/>
        <v>17950</v>
      </c>
      <c r="I139" s="264" t="s">
        <v>170</v>
      </c>
      <c r="J139" s="254" t="s">
        <v>121</v>
      </c>
      <c r="K139" s="256">
        <v>43494</v>
      </c>
      <c r="L139" s="256"/>
      <c r="M139" s="256">
        <v>43493</v>
      </c>
      <c r="N139" s="596" t="s">
        <v>89</v>
      </c>
      <c r="O139" s="250" t="s">
        <v>2047</v>
      </c>
      <c r="P139" s="308"/>
      <c r="Q139" s="308">
        <v>17430</v>
      </c>
      <c r="R139" s="308"/>
      <c r="S139" s="308"/>
      <c r="T139" s="593"/>
      <c r="U139" s="593"/>
      <c r="V139" s="338" t="s">
        <v>93</v>
      </c>
      <c r="W139" s="324">
        <v>43555</v>
      </c>
      <c r="X139" s="258">
        <v>43493</v>
      </c>
      <c r="Y139" s="259" t="s">
        <v>412</v>
      </c>
      <c r="Z139" s="270" t="s">
        <v>2050</v>
      </c>
      <c r="AA139" s="258">
        <v>43532</v>
      </c>
      <c r="AB139" s="329" t="s">
        <v>2048</v>
      </c>
      <c r="AC139" s="329" t="s">
        <v>2049</v>
      </c>
      <c r="AD139" s="329"/>
      <c r="AE139" s="329"/>
      <c r="AF139" s="329"/>
      <c r="AG139" s="251" t="s">
        <v>283</v>
      </c>
      <c r="AH139" s="251"/>
      <c r="AI139" s="260"/>
      <c r="AJ139" s="305"/>
      <c r="AK139" s="260"/>
      <c r="AL139" s="260"/>
      <c r="AM139" s="251" t="s">
        <v>49</v>
      </c>
      <c r="AN139" s="251" t="s">
        <v>284</v>
      </c>
      <c r="AO139" s="251" t="s">
        <v>50</v>
      </c>
      <c r="AP139" s="251" t="s">
        <v>51</v>
      </c>
      <c r="AQ139" s="262"/>
    </row>
    <row r="140" spans="1:43" ht="15.75" customHeight="1">
      <c r="A140" s="69">
        <v>43458</v>
      </c>
      <c r="B140" s="366" t="s">
        <v>118</v>
      </c>
      <c r="C140" s="366" t="s">
        <v>410</v>
      </c>
      <c r="D140" s="366" t="s">
        <v>411</v>
      </c>
      <c r="E140" s="23" t="s">
        <v>413</v>
      </c>
      <c r="F140" s="359">
        <v>4</v>
      </c>
      <c r="G140" s="365">
        <v>118</v>
      </c>
      <c r="H140" s="362">
        <f t="shared" si="10"/>
        <v>472</v>
      </c>
      <c r="I140" s="254" t="s">
        <v>170</v>
      </c>
      <c r="J140" s="254" t="s">
        <v>121</v>
      </c>
      <c r="K140" s="256">
        <v>43494</v>
      </c>
      <c r="L140" s="256"/>
      <c r="M140" s="256">
        <v>43493</v>
      </c>
      <c r="N140" s="596" t="s">
        <v>89</v>
      </c>
      <c r="O140" s="250" t="s">
        <v>2047</v>
      </c>
      <c r="P140" s="308"/>
      <c r="Q140" s="308">
        <v>436.8</v>
      </c>
      <c r="R140" s="308"/>
      <c r="S140" s="308"/>
      <c r="T140" s="593"/>
      <c r="U140" s="593"/>
      <c r="V140" s="338" t="s">
        <v>93</v>
      </c>
      <c r="W140" s="324">
        <v>43555</v>
      </c>
      <c r="X140" s="258">
        <v>43493</v>
      </c>
      <c r="Y140" s="259" t="s">
        <v>412</v>
      </c>
      <c r="Z140" s="270" t="s">
        <v>2050</v>
      </c>
      <c r="AA140" s="258">
        <v>43532</v>
      </c>
      <c r="AB140" s="329" t="s">
        <v>2048</v>
      </c>
      <c r="AC140" s="329" t="s">
        <v>2049</v>
      </c>
      <c r="AD140" s="329"/>
      <c r="AE140" s="329"/>
      <c r="AF140" s="329"/>
      <c r="AG140" s="251" t="s">
        <v>283</v>
      </c>
      <c r="AH140" s="251"/>
      <c r="AI140" s="260"/>
      <c r="AJ140" s="305"/>
      <c r="AK140" s="260"/>
      <c r="AL140" s="260"/>
      <c r="AM140" s="251" t="s">
        <v>49</v>
      </c>
      <c r="AN140" s="251" t="s">
        <v>284</v>
      </c>
      <c r="AO140" s="251" t="s">
        <v>50</v>
      </c>
      <c r="AP140" s="251" t="s">
        <v>51</v>
      </c>
      <c r="AQ140" s="262"/>
    </row>
    <row r="141" spans="1:43" ht="15.75" customHeight="1">
      <c r="A141" s="69">
        <v>43458</v>
      </c>
      <c r="B141" s="263" t="s">
        <v>118</v>
      </c>
      <c r="C141" s="250" t="s">
        <v>410</v>
      </c>
      <c r="D141" s="250" t="s">
        <v>411</v>
      </c>
      <c r="E141" s="23" t="s">
        <v>414</v>
      </c>
      <c r="F141" s="251">
        <v>8</v>
      </c>
      <c r="G141" s="252">
        <v>335</v>
      </c>
      <c r="H141" s="362">
        <f t="shared" si="10"/>
        <v>2680</v>
      </c>
      <c r="I141" s="254" t="s">
        <v>170</v>
      </c>
      <c r="J141" s="254" t="s">
        <v>121</v>
      </c>
      <c r="K141" s="256">
        <v>43494</v>
      </c>
      <c r="L141" s="256"/>
      <c r="M141" s="256">
        <v>43493</v>
      </c>
      <c r="N141" s="596" t="s">
        <v>89</v>
      </c>
      <c r="O141" s="250" t="s">
        <v>2047</v>
      </c>
      <c r="P141" s="308"/>
      <c r="Q141" s="308">
        <v>2436</v>
      </c>
      <c r="R141" s="308"/>
      <c r="S141" s="308"/>
      <c r="T141" s="593"/>
      <c r="U141" s="593"/>
      <c r="V141" s="571" t="s">
        <v>93</v>
      </c>
      <c r="W141" s="324">
        <v>43555</v>
      </c>
      <c r="X141" s="258">
        <v>43493</v>
      </c>
      <c r="Y141" s="259" t="s">
        <v>412</v>
      </c>
      <c r="Z141" s="270" t="s">
        <v>2050</v>
      </c>
      <c r="AA141" s="258">
        <v>43532</v>
      </c>
      <c r="AB141" s="329" t="s">
        <v>2048</v>
      </c>
      <c r="AC141" s="329" t="s">
        <v>2049</v>
      </c>
      <c r="AD141" s="329"/>
      <c r="AE141" s="329"/>
      <c r="AF141" s="329"/>
      <c r="AG141" s="251" t="s">
        <v>283</v>
      </c>
      <c r="AH141" s="251"/>
      <c r="AI141" s="260"/>
      <c r="AJ141" s="305"/>
      <c r="AK141" s="260"/>
      <c r="AL141" s="260"/>
      <c r="AM141" s="251" t="s">
        <v>49</v>
      </c>
      <c r="AN141" s="251" t="s">
        <v>284</v>
      </c>
      <c r="AO141" s="251" t="s">
        <v>50</v>
      </c>
      <c r="AP141" s="251" t="s">
        <v>51</v>
      </c>
      <c r="AQ141" s="262"/>
    </row>
    <row r="142" spans="1:43" ht="15.75" customHeight="1">
      <c r="A142" s="69">
        <v>43458</v>
      </c>
      <c r="B142" s="263" t="s">
        <v>415</v>
      </c>
      <c r="C142" s="250" t="s">
        <v>416</v>
      </c>
      <c r="D142" s="250" t="s">
        <v>417</v>
      </c>
      <c r="E142" s="23" t="s">
        <v>418</v>
      </c>
      <c r="F142" s="251">
        <v>4</v>
      </c>
      <c r="G142" s="252">
        <v>55</v>
      </c>
      <c r="H142" s="253">
        <v>220</v>
      </c>
      <c r="I142" s="254" t="s">
        <v>419</v>
      </c>
      <c r="J142" s="255" t="s">
        <v>420</v>
      </c>
      <c r="K142" s="256">
        <v>43489</v>
      </c>
      <c r="L142" s="256"/>
      <c r="M142" s="256">
        <v>43487</v>
      </c>
      <c r="N142" s="251" t="s">
        <v>2051</v>
      </c>
      <c r="O142" s="250" t="s">
        <v>2052</v>
      </c>
      <c r="P142" s="593"/>
      <c r="Q142" s="593"/>
      <c r="R142" s="593"/>
      <c r="S142" s="593"/>
      <c r="T142" s="572"/>
      <c r="U142" s="572">
        <v>5040</v>
      </c>
      <c r="V142" s="592" t="s">
        <v>2053</v>
      </c>
      <c r="W142" s="259" t="s">
        <v>421</v>
      </c>
      <c r="X142" s="258">
        <v>43486</v>
      </c>
      <c r="Y142" s="259" t="s">
        <v>422</v>
      </c>
      <c r="Z142" s="270">
        <v>5040</v>
      </c>
      <c r="AA142" s="258">
        <v>43494</v>
      </c>
      <c r="AB142" s="329" t="s">
        <v>2054</v>
      </c>
      <c r="AC142" s="329" t="s">
        <v>2055</v>
      </c>
      <c r="AD142" s="329"/>
      <c r="AE142" s="329"/>
      <c r="AF142" s="329"/>
      <c r="AG142" s="251" t="s">
        <v>283</v>
      </c>
      <c r="AH142" s="251"/>
      <c r="AI142" s="260"/>
      <c r="AJ142" s="251"/>
      <c r="AK142" s="260"/>
      <c r="AL142" s="260"/>
      <c r="AM142" s="251" t="s">
        <v>49</v>
      </c>
      <c r="AN142" s="251" t="s">
        <v>284</v>
      </c>
      <c r="AO142" s="251" t="s">
        <v>50</v>
      </c>
      <c r="AP142" s="251" t="s">
        <v>51</v>
      </c>
      <c r="AQ142" s="262"/>
    </row>
    <row r="143" spans="1:43" ht="15.75" customHeight="1">
      <c r="A143" s="69">
        <v>43458</v>
      </c>
      <c r="B143" s="263" t="s">
        <v>415</v>
      </c>
      <c r="C143" s="250" t="s">
        <v>416</v>
      </c>
      <c r="D143" s="250" t="s">
        <v>417</v>
      </c>
      <c r="E143" s="23" t="s">
        <v>423</v>
      </c>
      <c r="F143" s="251">
        <v>4</v>
      </c>
      <c r="G143" s="252">
        <v>352</v>
      </c>
      <c r="H143" s="253">
        <v>1408</v>
      </c>
      <c r="I143" s="254" t="s">
        <v>419</v>
      </c>
      <c r="J143" s="255" t="s">
        <v>420</v>
      </c>
      <c r="K143" s="256">
        <v>43489</v>
      </c>
      <c r="L143" s="256"/>
      <c r="M143" s="256">
        <v>43481</v>
      </c>
      <c r="N143" s="401" t="s">
        <v>2056</v>
      </c>
      <c r="O143" s="250" t="s">
        <v>2057</v>
      </c>
      <c r="P143" s="593"/>
      <c r="Q143" s="593"/>
      <c r="R143" s="593"/>
      <c r="S143" s="593"/>
      <c r="T143" s="572"/>
      <c r="U143" s="572">
        <v>42672</v>
      </c>
      <c r="V143" s="318" t="s">
        <v>2045</v>
      </c>
      <c r="W143" s="269">
        <v>43524</v>
      </c>
      <c r="X143" s="269">
        <v>43480</v>
      </c>
      <c r="Y143" s="259" t="s">
        <v>424</v>
      </c>
      <c r="Z143" s="270">
        <v>42672</v>
      </c>
      <c r="AA143" s="258">
        <v>43523</v>
      </c>
      <c r="AB143" s="574" t="s">
        <v>2054</v>
      </c>
      <c r="AC143" s="329" t="s">
        <v>2055</v>
      </c>
      <c r="AD143" s="329"/>
      <c r="AE143" s="329"/>
      <c r="AF143" s="329"/>
      <c r="AG143" s="251" t="s">
        <v>283</v>
      </c>
      <c r="AH143" s="251"/>
      <c r="AI143" s="260"/>
      <c r="AJ143" s="251"/>
      <c r="AK143" s="260"/>
      <c r="AL143" s="260"/>
      <c r="AM143" s="251" t="s">
        <v>49</v>
      </c>
      <c r="AN143" s="251" t="s">
        <v>284</v>
      </c>
      <c r="AO143" s="251" t="s">
        <v>50</v>
      </c>
      <c r="AP143" s="251" t="s">
        <v>51</v>
      </c>
      <c r="AQ143" s="262"/>
    </row>
    <row r="144" spans="1:43" ht="15.75" customHeight="1">
      <c r="A144" s="69">
        <v>43458</v>
      </c>
      <c r="B144" s="263" t="s">
        <v>415</v>
      </c>
      <c r="C144" s="250" t="s">
        <v>416</v>
      </c>
      <c r="D144" s="250" t="s">
        <v>417</v>
      </c>
      <c r="E144" s="23" t="s">
        <v>425</v>
      </c>
      <c r="F144" s="251">
        <v>1</v>
      </c>
      <c r="G144" s="252">
        <v>264</v>
      </c>
      <c r="H144" s="253">
        <v>264</v>
      </c>
      <c r="I144" s="254" t="s">
        <v>419</v>
      </c>
      <c r="J144" s="255" t="s">
        <v>420</v>
      </c>
      <c r="K144" s="256">
        <v>43489</v>
      </c>
      <c r="L144" s="256"/>
      <c r="M144" s="256">
        <v>43475</v>
      </c>
      <c r="N144" s="596" t="s">
        <v>89</v>
      </c>
      <c r="O144" s="250" t="s">
        <v>2058</v>
      </c>
      <c r="P144" s="574"/>
      <c r="Q144" s="574">
        <v>239.4</v>
      </c>
      <c r="R144" s="574"/>
      <c r="S144" s="574"/>
      <c r="T144" s="308"/>
      <c r="U144" s="308">
        <v>7362</v>
      </c>
      <c r="V144" s="338" t="s">
        <v>93</v>
      </c>
      <c r="W144" s="258">
        <v>43524</v>
      </c>
      <c r="X144" s="258">
        <v>43474</v>
      </c>
      <c r="Y144" s="259" t="s">
        <v>426</v>
      </c>
      <c r="Z144" s="270">
        <v>7362</v>
      </c>
      <c r="AA144" s="258">
        <v>43522</v>
      </c>
      <c r="AB144" s="329" t="s">
        <v>2054</v>
      </c>
      <c r="AC144" s="329" t="s">
        <v>2055</v>
      </c>
      <c r="AD144" s="329"/>
      <c r="AE144" s="329"/>
      <c r="AF144" s="329"/>
      <c r="AG144" s="251" t="s">
        <v>283</v>
      </c>
      <c r="AH144" s="251"/>
      <c r="AI144" s="260"/>
      <c r="AJ144" s="251"/>
      <c r="AK144" s="260"/>
      <c r="AL144" s="260"/>
      <c r="AM144" s="251" t="s">
        <v>49</v>
      </c>
      <c r="AN144" s="251" t="s">
        <v>284</v>
      </c>
      <c r="AO144" s="251" t="s">
        <v>50</v>
      </c>
      <c r="AP144" s="251" t="s">
        <v>51</v>
      </c>
      <c r="AQ144" s="262"/>
    </row>
    <row r="145" spans="1:43" ht="15.75" customHeight="1">
      <c r="A145" s="69">
        <v>43467</v>
      </c>
      <c r="B145" s="70" t="s">
        <v>76</v>
      </c>
      <c r="C145" s="290">
        <v>1</v>
      </c>
      <c r="D145" s="290" t="s">
        <v>427</v>
      </c>
      <c r="E145" s="23" t="s">
        <v>428</v>
      </c>
      <c r="F145" s="54">
        <v>1</v>
      </c>
      <c r="G145" s="48">
        <v>133</v>
      </c>
      <c r="H145" s="26">
        <f t="shared" ref="H145:H149" si="11">G145*F145</f>
        <v>133</v>
      </c>
      <c r="I145" s="346" t="s">
        <v>42</v>
      </c>
      <c r="J145" s="291" t="s">
        <v>315</v>
      </c>
      <c r="K145" s="29">
        <v>43531</v>
      </c>
      <c r="L145" s="29"/>
      <c r="M145" s="30">
        <v>43529</v>
      </c>
      <c r="N145" s="58" t="s">
        <v>89</v>
      </c>
      <c r="O145" s="21" t="s">
        <v>2059</v>
      </c>
      <c r="P145" s="22"/>
      <c r="Q145" s="22">
        <v>122.85</v>
      </c>
      <c r="R145" s="22"/>
      <c r="S145" s="22"/>
      <c r="T145" s="406"/>
      <c r="U145" s="406">
        <v>3776</v>
      </c>
      <c r="V145" s="51" t="s">
        <v>93</v>
      </c>
      <c r="W145" s="293">
        <v>43585</v>
      </c>
      <c r="X145" s="293">
        <v>43528</v>
      </c>
      <c r="Y145" s="294" t="s">
        <v>429</v>
      </c>
      <c r="Z145" s="295">
        <v>3776</v>
      </c>
      <c r="AA145" s="293">
        <v>43557</v>
      </c>
      <c r="AB145" s="53" t="s">
        <v>2060</v>
      </c>
      <c r="AC145" s="53">
        <v>645361205</v>
      </c>
      <c r="AD145" s="53"/>
      <c r="AE145" s="53"/>
      <c r="AF145" s="53"/>
      <c r="AG145" s="54"/>
      <c r="AH145" s="54"/>
      <c r="AI145" s="55"/>
      <c r="AJ145" s="54"/>
      <c r="AK145" s="55"/>
      <c r="AL145" s="55"/>
      <c r="AM145" s="54" t="s">
        <v>49</v>
      </c>
      <c r="AN145" s="24" t="s">
        <v>284</v>
      </c>
      <c r="AO145" s="54" t="s">
        <v>50</v>
      </c>
      <c r="AP145" s="54" t="s">
        <v>51</v>
      </c>
      <c r="AQ145" s="57" t="s">
        <v>397</v>
      </c>
    </row>
    <row r="146" spans="1:43" ht="15.75" customHeight="1">
      <c r="A146" s="19">
        <v>43469</v>
      </c>
      <c r="B146" s="318" t="s">
        <v>325</v>
      </c>
      <c r="C146" s="250">
        <v>2026895</v>
      </c>
      <c r="D146" s="308" t="s">
        <v>430</v>
      </c>
      <c r="E146" s="23" t="s">
        <v>52</v>
      </c>
      <c r="F146" s="251">
        <v>10</v>
      </c>
      <c r="G146" s="252">
        <v>31</v>
      </c>
      <c r="H146" s="253">
        <f t="shared" si="11"/>
        <v>310</v>
      </c>
      <c r="I146" s="264" t="s">
        <v>42</v>
      </c>
      <c r="J146" s="367" t="s">
        <v>328</v>
      </c>
      <c r="K146" s="256">
        <v>43496</v>
      </c>
      <c r="L146" s="256"/>
      <c r="M146" s="256">
        <v>43490</v>
      </c>
      <c r="N146" s="401" t="s">
        <v>53</v>
      </c>
      <c r="O146" s="595" t="s">
        <v>2061</v>
      </c>
      <c r="P146" s="308"/>
      <c r="Q146" s="308">
        <v>226.8</v>
      </c>
      <c r="R146" s="308"/>
      <c r="S146" s="308"/>
      <c r="T146" s="593"/>
      <c r="U146" s="593"/>
      <c r="V146" s="590" t="s">
        <v>55</v>
      </c>
      <c r="W146" s="258">
        <v>43555</v>
      </c>
      <c r="X146" s="368">
        <v>43494</v>
      </c>
      <c r="Y146" s="259" t="s">
        <v>431</v>
      </c>
      <c r="Z146" s="270" t="s">
        <v>2062</v>
      </c>
      <c r="AA146" s="258">
        <v>43557</v>
      </c>
      <c r="AB146" s="329" t="s">
        <v>2063</v>
      </c>
      <c r="AC146" s="329">
        <v>621570</v>
      </c>
      <c r="AD146" s="329"/>
      <c r="AE146" s="329"/>
      <c r="AF146" s="329"/>
      <c r="AG146" s="251" t="s">
        <v>283</v>
      </c>
      <c r="AH146" s="251"/>
      <c r="AI146" s="260"/>
      <c r="AJ146" s="251"/>
      <c r="AK146" s="260"/>
      <c r="AL146" s="260"/>
      <c r="AM146" s="251" t="s">
        <v>49</v>
      </c>
      <c r="AN146" s="251" t="s">
        <v>284</v>
      </c>
      <c r="AO146" s="251" t="s">
        <v>50</v>
      </c>
      <c r="AP146" s="251" t="s">
        <v>51</v>
      </c>
      <c r="AQ146" s="262"/>
    </row>
    <row r="147" spans="1:43" ht="15.75" customHeight="1">
      <c r="A147" s="19">
        <v>43469</v>
      </c>
      <c r="B147" s="318" t="s">
        <v>325</v>
      </c>
      <c r="C147" s="263">
        <v>2026895</v>
      </c>
      <c r="D147" s="318" t="s">
        <v>430</v>
      </c>
      <c r="E147" s="23" t="s">
        <v>58</v>
      </c>
      <c r="F147" s="251">
        <v>10</v>
      </c>
      <c r="G147" s="252">
        <v>4</v>
      </c>
      <c r="H147" s="253">
        <f t="shared" si="11"/>
        <v>40</v>
      </c>
      <c r="I147" s="264" t="s">
        <v>42</v>
      </c>
      <c r="J147" s="367" t="s">
        <v>328</v>
      </c>
      <c r="K147" s="256">
        <v>43496</v>
      </c>
      <c r="L147" s="256"/>
      <c r="M147" s="256">
        <v>43490</v>
      </c>
      <c r="N147" s="401" t="s">
        <v>53</v>
      </c>
      <c r="O147" s="595" t="s">
        <v>2061</v>
      </c>
      <c r="P147" s="308"/>
      <c r="Q147" s="308">
        <v>21</v>
      </c>
      <c r="R147" s="308"/>
      <c r="S147" s="308"/>
      <c r="T147" s="593"/>
      <c r="U147" s="593"/>
      <c r="V147" s="420" t="s">
        <v>55</v>
      </c>
      <c r="W147" s="258">
        <v>43555</v>
      </c>
      <c r="X147" s="368">
        <v>43494</v>
      </c>
      <c r="Y147" s="259" t="s">
        <v>431</v>
      </c>
      <c r="Z147" s="270" t="s">
        <v>2062</v>
      </c>
      <c r="AA147" s="258">
        <v>43557</v>
      </c>
      <c r="AB147" s="329" t="s">
        <v>2063</v>
      </c>
      <c r="AC147" s="329">
        <v>621570</v>
      </c>
      <c r="AD147" s="329"/>
      <c r="AE147" s="329"/>
      <c r="AF147" s="329"/>
      <c r="AG147" s="251" t="s">
        <v>283</v>
      </c>
      <c r="AH147" s="251"/>
      <c r="AI147" s="260"/>
      <c r="AJ147" s="251"/>
      <c r="AK147" s="260"/>
      <c r="AL147" s="260"/>
      <c r="AM147" s="251" t="s">
        <v>49</v>
      </c>
      <c r="AN147" s="251" t="s">
        <v>284</v>
      </c>
      <c r="AO147" s="251" t="s">
        <v>50</v>
      </c>
      <c r="AP147" s="251" t="s">
        <v>51</v>
      </c>
      <c r="AQ147" s="262"/>
    </row>
    <row r="148" spans="1:43" ht="15.75" customHeight="1">
      <c r="A148" s="19">
        <v>43469</v>
      </c>
      <c r="B148" s="318" t="s">
        <v>325</v>
      </c>
      <c r="C148" s="263">
        <v>2026895</v>
      </c>
      <c r="D148" s="318" t="s">
        <v>432</v>
      </c>
      <c r="E148" s="23" t="s">
        <v>41</v>
      </c>
      <c r="F148" s="251">
        <v>10</v>
      </c>
      <c r="G148" s="252">
        <v>273</v>
      </c>
      <c r="H148" s="253">
        <f t="shared" si="11"/>
        <v>2730</v>
      </c>
      <c r="I148" s="264" t="s">
        <v>42</v>
      </c>
      <c r="J148" s="367" t="s">
        <v>328</v>
      </c>
      <c r="K148" s="256">
        <v>43496</v>
      </c>
      <c r="L148" s="256"/>
      <c r="M148" s="256">
        <v>43483</v>
      </c>
      <c r="N148" s="401" t="s">
        <v>44</v>
      </c>
      <c r="O148" s="595" t="s">
        <v>2064</v>
      </c>
      <c r="P148" s="265"/>
      <c r="Q148" s="265">
        <v>2184</v>
      </c>
      <c r="R148" s="265"/>
      <c r="S148" s="265"/>
      <c r="T148" s="572"/>
      <c r="U148" s="572">
        <v>67311</v>
      </c>
      <c r="V148" s="571" t="s">
        <v>46</v>
      </c>
      <c r="W148" s="258">
        <v>43514</v>
      </c>
      <c r="X148" s="269">
        <v>43481</v>
      </c>
      <c r="Y148" s="259" t="s">
        <v>433</v>
      </c>
      <c r="Z148" s="270">
        <v>67311</v>
      </c>
      <c r="AA148" s="258">
        <v>43523</v>
      </c>
      <c r="AB148" s="329" t="s">
        <v>2063</v>
      </c>
      <c r="AC148" s="329">
        <v>621570</v>
      </c>
      <c r="AD148" s="329"/>
      <c r="AE148" s="329"/>
      <c r="AF148" s="329"/>
      <c r="AG148" s="251" t="s">
        <v>283</v>
      </c>
      <c r="AH148" s="251"/>
      <c r="AI148" s="260"/>
      <c r="AJ148" s="251"/>
      <c r="AK148" s="260"/>
      <c r="AL148" s="260"/>
      <c r="AM148" s="251" t="s">
        <v>49</v>
      </c>
      <c r="AN148" s="251" t="s">
        <v>284</v>
      </c>
      <c r="AO148" s="251" t="s">
        <v>50</v>
      </c>
      <c r="AP148" s="251" t="s">
        <v>51</v>
      </c>
      <c r="AQ148" s="262"/>
    </row>
    <row r="149" spans="1:43" ht="15.75" customHeight="1">
      <c r="A149" s="19">
        <v>43469</v>
      </c>
      <c r="B149" s="318" t="s">
        <v>325</v>
      </c>
      <c r="C149" s="263">
        <v>2026895</v>
      </c>
      <c r="D149" s="318" t="s">
        <v>434</v>
      </c>
      <c r="E149" s="23" t="s">
        <v>60</v>
      </c>
      <c r="F149" s="251">
        <v>10</v>
      </c>
      <c r="G149" s="252">
        <v>567</v>
      </c>
      <c r="H149" s="253">
        <f t="shared" si="11"/>
        <v>5670</v>
      </c>
      <c r="I149" s="264" t="s">
        <v>42</v>
      </c>
      <c r="J149" s="367" t="s">
        <v>328</v>
      </c>
      <c r="K149" s="256">
        <v>43496</v>
      </c>
      <c r="L149" s="256"/>
      <c r="M149" s="256">
        <v>43490</v>
      </c>
      <c r="N149" s="401" t="s">
        <v>53</v>
      </c>
      <c r="O149" s="595" t="s">
        <v>2061</v>
      </c>
      <c r="P149" s="308"/>
      <c r="Q149" s="308">
        <v>5355</v>
      </c>
      <c r="R149" s="308"/>
      <c r="S149" s="308"/>
      <c r="T149" s="593"/>
      <c r="U149" s="593"/>
      <c r="V149" s="590" t="s">
        <v>55</v>
      </c>
      <c r="W149" s="258">
        <v>43555</v>
      </c>
      <c r="X149" s="368">
        <v>43494</v>
      </c>
      <c r="Y149" s="259" t="s">
        <v>431</v>
      </c>
      <c r="Z149" s="270">
        <v>172763</v>
      </c>
      <c r="AA149" s="258">
        <v>43557</v>
      </c>
      <c r="AB149" s="329" t="s">
        <v>2063</v>
      </c>
      <c r="AC149" s="329">
        <v>621570</v>
      </c>
      <c r="AD149" s="329"/>
      <c r="AE149" s="329"/>
      <c r="AF149" s="329"/>
      <c r="AG149" s="251" t="s">
        <v>283</v>
      </c>
      <c r="AH149" s="251"/>
      <c r="AI149" s="260"/>
      <c r="AJ149" s="251"/>
      <c r="AK149" s="260"/>
      <c r="AL149" s="260"/>
      <c r="AM149" s="251" t="s">
        <v>49</v>
      </c>
      <c r="AN149" s="251" t="s">
        <v>284</v>
      </c>
      <c r="AO149" s="251" t="s">
        <v>50</v>
      </c>
      <c r="AP149" s="251" t="s">
        <v>51</v>
      </c>
      <c r="AQ149" s="262"/>
    </row>
    <row r="150" spans="1:43" ht="15.75" customHeight="1">
      <c r="A150" s="19">
        <v>43472</v>
      </c>
      <c r="B150" s="144" t="s">
        <v>100</v>
      </c>
      <c r="C150" s="21"/>
      <c r="D150" s="21" t="s">
        <v>435</v>
      </c>
      <c r="E150" s="23" t="s">
        <v>436</v>
      </c>
      <c r="F150" s="296">
        <v>1</v>
      </c>
      <c r="G150" s="48">
        <v>92</v>
      </c>
      <c r="H150" s="26">
        <f t="shared" ref="H150:H155" si="12">F150*G150</f>
        <v>92</v>
      </c>
      <c r="I150" s="49" t="s">
        <v>302</v>
      </c>
      <c r="J150" s="347" t="s">
        <v>437</v>
      </c>
      <c r="K150" s="30">
        <v>43539</v>
      </c>
      <c r="L150" s="30"/>
      <c r="M150" s="606">
        <v>43518</v>
      </c>
      <c r="N150" s="607" t="s">
        <v>44</v>
      </c>
      <c r="O150" s="608" t="s">
        <v>2065</v>
      </c>
      <c r="P150" s="294"/>
      <c r="Q150" s="294">
        <v>37.799999999999997</v>
      </c>
      <c r="R150" s="294"/>
      <c r="S150" s="294"/>
      <c r="T150" s="609"/>
      <c r="U150" s="609">
        <v>1165</v>
      </c>
      <c r="V150" s="610" t="s">
        <v>46</v>
      </c>
      <c r="W150" s="293">
        <v>43547</v>
      </c>
      <c r="X150" s="293">
        <v>43517</v>
      </c>
      <c r="Y150" s="294" t="s">
        <v>438</v>
      </c>
      <c r="Z150" s="295">
        <v>1165</v>
      </c>
      <c r="AA150" s="293">
        <v>43558</v>
      </c>
      <c r="AB150" s="294" t="s">
        <v>2066</v>
      </c>
      <c r="AC150" s="294">
        <v>5410879250</v>
      </c>
      <c r="AD150" s="294"/>
      <c r="AE150" s="294"/>
      <c r="AF150" s="294"/>
      <c r="AG150" s="369"/>
      <c r="AH150" s="369">
        <v>30.79</v>
      </c>
      <c r="AI150" s="370"/>
      <c r="AJ150" s="371">
        <v>43636</v>
      </c>
      <c r="AK150" s="370" t="s">
        <v>2067</v>
      </c>
      <c r="AL150" s="370" t="s">
        <v>2068</v>
      </c>
      <c r="AM150" s="369" t="s">
        <v>49</v>
      </c>
      <c r="AN150" s="369" t="s">
        <v>284</v>
      </c>
      <c r="AO150" s="369" t="s">
        <v>285</v>
      </c>
      <c r="AP150" s="369" t="s">
        <v>51</v>
      </c>
      <c r="AQ150" s="372" t="s">
        <v>439</v>
      </c>
    </row>
    <row r="151" spans="1:43" ht="15.75" customHeight="1">
      <c r="A151" s="19">
        <v>43472</v>
      </c>
      <c r="B151" s="144" t="s">
        <v>100</v>
      </c>
      <c r="C151" s="21"/>
      <c r="D151" s="21" t="s">
        <v>435</v>
      </c>
      <c r="E151" s="23" t="s">
        <v>440</v>
      </c>
      <c r="F151" s="296">
        <v>1</v>
      </c>
      <c r="G151" s="25">
        <v>1357</v>
      </c>
      <c r="H151" s="26">
        <f t="shared" si="12"/>
        <v>1357</v>
      </c>
      <c r="I151" s="49" t="s">
        <v>302</v>
      </c>
      <c r="J151" s="347" t="s">
        <v>437</v>
      </c>
      <c r="K151" s="30">
        <v>43539</v>
      </c>
      <c r="L151" s="30"/>
      <c r="M151" s="606">
        <v>43539</v>
      </c>
      <c r="N151" s="611"/>
      <c r="O151" s="608" t="s">
        <v>2069</v>
      </c>
      <c r="P151" s="612"/>
      <c r="Q151" s="612"/>
      <c r="R151" s="612"/>
      <c r="S151" s="612"/>
      <c r="T151" s="612"/>
      <c r="U151" s="612">
        <v>29672</v>
      </c>
      <c r="V151" s="612"/>
      <c r="W151" s="294"/>
      <c r="X151" s="294"/>
      <c r="Y151" s="294"/>
      <c r="Z151" s="295"/>
      <c r="AA151" s="294"/>
      <c r="AB151" s="294" t="s">
        <v>2066</v>
      </c>
      <c r="AC151" s="294">
        <v>5410879250</v>
      </c>
      <c r="AD151" s="294"/>
      <c r="AE151" s="294"/>
      <c r="AF151" s="294"/>
      <c r="AG151" s="369"/>
      <c r="AH151" s="369">
        <v>30.79</v>
      </c>
      <c r="AI151" s="370"/>
      <c r="AJ151" s="371">
        <v>43636</v>
      </c>
      <c r="AK151" s="370" t="s">
        <v>2067</v>
      </c>
      <c r="AL151" s="370" t="s">
        <v>2068</v>
      </c>
      <c r="AM151" s="369" t="s">
        <v>49</v>
      </c>
      <c r="AN151" s="369" t="s">
        <v>284</v>
      </c>
      <c r="AO151" s="369" t="s">
        <v>285</v>
      </c>
      <c r="AP151" s="369" t="s">
        <v>51</v>
      </c>
      <c r="AQ151" s="372" t="s">
        <v>439</v>
      </c>
    </row>
    <row r="152" spans="1:43" ht="15.75" customHeight="1">
      <c r="A152" s="19">
        <v>43472</v>
      </c>
      <c r="B152" s="144" t="s">
        <v>100</v>
      </c>
      <c r="C152" s="21"/>
      <c r="D152" s="21" t="s">
        <v>435</v>
      </c>
      <c r="E152" s="23" t="s">
        <v>441</v>
      </c>
      <c r="F152" s="296">
        <v>1</v>
      </c>
      <c r="G152" s="25">
        <v>38</v>
      </c>
      <c r="H152" s="26">
        <f t="shared" si="12"/>
        <v>38</v>
      </c>
      <c r="I152" s="49" t="s">
        <v>302</v>
      </c>
      <c r="J152" s="347" t="s">
        <v>437</v>
      </c>
      <c r="K152" s="30">
        <v>43539</v>
      </c>
      <c r="L152" s="30"/>
      <c r="M152" s="292"/>
      <c r="N152" s="613" t="s">
        <v>178</v>
      </c>
      <c r="O152" s="608" t="s">
        <v>2070</v>
      </c>
      <c r="P152" s="612"/>
      <c r="Q152" s="612"/>
      <c r="R152" s="612"/>
      <c r="S152" s="612"/>
      <c r="T152" s="612"/>
      <c r="U152" s="612" t="s">
        <v>2071</v>
      </c>
      <c r="V152" s="611"/>
      <c r="W152" s="294"/>
      <c r="X152" s="294"/>
      <c r="Y152" s="294"/>
      <c r="Z152" s="295"/>
      <c r="AA152" s="294"/>
      <c r="AB152" s="294" t="s">
        <v>2066</v>
      </c>
      <c r="AC152" s="294">
        <v>5410879250</v>
      </c>
      <c r="AD152" s="294"/>
      <c r="AE152" s="294"/>
      <c r="AF152" s="294"/>
      <c r="AG152" s="369"/>
      <c r="AH152" s="369">
        <v>30.79</v>
      </c>
      <c r="AI152" s="370"/>
      <c r="AJ152" s="371">
        <v>43636</v>
      </c>
      <c r="AK152" s="370" t="s">
        <v>2067</v>
      </c>
      <c r="AL152" s="370" t="s">
        <v>2068</v>
      </c>
      <c r="AM152" s="369" t="s">
        <v>49</v>
      </c>
      <c r="AN152" s="369" t="s">
        <v>284</v>
      </c>
      <c r="AO152" s="369" t="s">
        <v>285</v>
      </c>
      <c r="AP152" s="369" t="s">
        <v>51</v>
      </c>
      <c r="AQ152" s="372" t="s">
        <v>439</v>
      </c>
    </row>
    <row r="153" spans="1:43" ht="15.75" customHeight="1">
      <c r="A153" s="19">
        <v>43472</v>
      </c>
      <c r="B153" s="144" t="s">
        <v>100</v>
      </c>
      <c r="C153" s="21"/>
      <c r="D153" s="21" t="s">
        <v>435</v>
      </c>
      <c r="E153" s="23" t="s">
        <v>442</v>
      </c>
      <c r="F153" s="296">
        <v>1</v>
      </c>
      <c r="G153" s="25">
        <v>85</v>
      </c>
      <c r="H153" s="26">
        <f t="shared" si="12"/>
        <v>85</v>
      </c>
      <c r="I153" s="49" t="s">
        <v>302</v>
      </c>
      <c r="J153" s="347" t="s">
        <v>437</v>
      </c>
      <c r="K153" s="30">
        <v>43539</v>
      </c>
      <c r="L153" s="30"/>
      <c r="M153" s="292"/>
      <c r="N153" s="613" t="s">
        <v>178</v>
      </c>
      <c r="O153" s="608" t="s">
        <v>2072</v>
      </c>
      <c r="P153" s="612"/>
      <c r="Q153" s="612"/>
      <c r="R153" s="612"/>
      <c r="S153" s="612"/>
      <c r="T153" s="612"/>
      <c r="U153" s="612">
        <v>2659</v>
      </c>
      <c r="V153" s="612"/>
      <c r="W153" s="294"/>
      <c r="X153" s="294"/>
      <c r="Y153" s="294"/>
      <c r="Z153" s="295"/>
      <c r="AA153" s="294"/>
      <c r="AB153" s="294" t="s">
        <v>2066</v>
      </c>
      <c r="AC153" s="294">
        <v>5410879250</v>
      </c>
      <c r="AD153" s="294"/>
      <c r="AE153" s="294"/>
      <c r="AF153" s="294"/>
      <c r="AG153" s="369"/>
      <c r="AH153" s="369">
        <v>30.79</v>
      </c>
      <c r="AI153" s="370"/>
      <c r="AJ153" s="371">
        <v>43636</v>
      </c>
      <c r="AK153" s="370" t="s">
        <v>2067</v>
      </c>
      <c r="AL153" s="370" t="s">
        <v>2068</v>
      </c>
      <c r="AM153" s="369" t="s">
        <v>49</v>
      </c>
      <c r="AN153" s="369" t="s">
        <v>284</v>
      </c>
      <c r="AO153" s="369" t="s">
        <v>285</v>
      </c>
      <c r="AP153" s="369" t="s">
        <v>51</v>
      </c>
      <c r="AQ153" s="372" t="s">
        <v>439</v>
      </c>
    </row>
    <row r="154" spans="1:43" ht="15.75" customHeight="1">
      <c r="A154" s="19">
        <v>43472</v>
      </c>
      <c r="B154" s="144" t="s">
        <v>100</v>
      </c>
      <c r="C154" s="21"/>
      <c r="D154" s="21" t="s">
        <v>435</v>
      </c>
      <c r="E154" s="23" t="s">
        <v>443</v>
      </c>
      <c r="F154" s="296">
        <v>1</v>
      </c>
      <c r="G154" s="25">
        <v>140</v>
      </c>
      <c r="H154" s="26">
        <f t="shared" si="12"/>
        <v>140</v>
      </c>
      <c r="I154" s="49" t="s">
        <v>302</v>
      </c>
      <c r="J154" s="347" t="s">
        <v>437</v>
      </c>
      <c r="K154" s="30">
        <v>43539</v>
      </c>
      <c r="L154" s="30"/>
      <c r="M154" s="292"/>
      <c r="N154" s="613" t="s">
        <v>178</v>
      </c>
      <c r="O154" s="608" t="s">
        <v>2073</v>
      </c>
      <c r="P154" s="612"/>
      <c r="Q154" s="612"/>
      <c r="R154" s="612"/>
      <c r="S154" s="612"/>
      <c r="T154" s="612"/>
      <c r="U154" s="612">
        <v>4095</v>
      </c>
      <c r="V154" s="612"/>
      <c r="W154" s="294"/>
      <c r="X154" s="294"/>
      <c r="Y154" s="294"/>
      <c r="Z154" s="295"/>
      <c r="AA154" s="294"/>
      <c r="AB154" s="294" t="s">
        <v>2066</v>
      </c>
      <c r="AC154" s="294">
        <v>5410879250</v>
      </c>
      <c r="AD154" s="294"/>
      <c r="AE154" s="294"/>
      <c r="AF154" s="294"/>
      <c r="AG154" s="369"/>
      <c r="AH154" s="369">
        <v>30.79</v>
      </c>
      <c r="AI154" s="370"/>
      <c r="AJ154" s="371">
        <v>43636</v>
      </c>
      <c r="AK154" s="370" t="s">
        <v>2067</v>
      </c>
      <c r="AL154" s="370" t="s">
        <v>2068</v>
      </c>
      <c r="AM154" s="369" t="s">
        <v>49</v>
      </c>
      <c r="AN154" s="369" t="s">
        <v>284</v>
      </c>
      <c r="AO154" s="369" t="s">
        <v>285</v>
      </c>
      <c r="AP154" s="369" t="s">
        <v>51</v>
      </c>
      <c r="AQ154" s="372" t="s">
        <v>439</v>
      </c>
    </row>
    <row r="155" spans="1:43" ht="15.75" customHeight="1">
      <c r="A155" s="19">
        <v>43472</v>
      </c>
      <c r="B155" s="144" t="s">
        <v>100</v>
      </c>
      <c r="C155" s="70"/>
      <c r="D155" s="70" t="s">
        <v>435</v>
      </c>
      <c r="E155" s="23" t="s">
        <v>444</v>
      </c>
      <c r="F155" s="373">
        <v>1</v>
      </c>
      <c r="G155" s="25">
        <v>10</v>
      </c>
      <c r="H155" s="26">
        <f t="shared" si="12"/>
        <v>10</v>
      </c>
      <c r="I155" s="49" t="s">
        <v>302</v>
      </c>
      <c r="J155" s="161" t="s">
        <v>437</v>
      </c>
      <c r="K155" s="30">
        <v>43539</v>
      </c>
      <c r="L155" s="30"/>
      <c r="M155" s="292"/>
      <c r="N155" s="611"/>
      <c r="O155" s="608" t="s">
        <v>2070</v>
      </c>
      <c r="P155" s="612"/>
      <c r="Q155" s="612"/>
      <c r="R155" s="612"/>
      <c r="S155" s="612"/>
      <c r="T155" s="612"/>
      <c r="U155" s="612">
        <v>79</v>
      </c>
      <c r="V155" s="612"/>
      <c r="W155" s="294"/>
      <c r="X155" s="294"/>
      <c r="Y155" s="294"/>
      <c r="Z155" s="295"/>
      <c r="AA155" s="294"/>
      <c r="AB155" s="294" t="s">
        <v>2066</v>
      </c>
      <c r="AC155" s="294">
        <v>5410879250</v>
      </c>
      <c r="AD155" s="294"/>
      <c r="AE155" s="294"/>
      <c r="AF155" s="294"/>
      <c r="AG155" s="369"/>
      <c r="AH155" s="369"/>
      <c r="AI155" s="370"/>
      <c r="AJ155" s="371">
        <v>43636</v>
      </c>
      <c r="AK155" s="370" t="s">
        <v>2067</v>
      </c>
      <c r="AL155" s="370" t="s">
        <v>2068</v>
      </c>
      <c r="AM155" s="369" t="s">
        <v>49</v>
      </c>
      <c r="AN155" s="369" t="s">
        <v>284</v>
      </c>
      <c r="AO155" s="369" t="s">
        <v>285</v>
      </c>
      <c r="AP155" s="369" t="s">
        <v>51</v>
      </c>
      <c r="AQ155" s="372" t="s">
        <v>439</v>
      </c>
    </row>
    <row r="156" spans="1:43" ht="15.75" customHeight="1">
      <c r="A156" s="374">
        <v>43472</v>
      </c>
      <c r="B156" s="273" t="s">
        <v>100</v>
      </c>
      <c r="C156" s="375"/>
      <c r="D156" s="375" t="s">
        <v>445</v>
      </c>
      <c r="E156" s="376" t="s">
        <v>446</v>
      </c>
      <c r="F156" s="377">
        <v>1</v>
      </c>
      <c r="G156" s="378">
        <v>0</v>
      </c>
      <c r="H156" s="379">
        <v>0</v>
      </c>
      <c r="I156" s="380" t="s">
        <v>302</v>
      </c>
      <c r="J156" s="381" t="s">
        <v>437</v>
      </c>
      <c r="K156" s="382">
        <v>43539</v>
      </c>
      <c r="L156" s="382"/>
      <c r="M156" s="614"/>
      <c r="N156" s="615"/>
      <c r="O156" s="616" t="s">
        <v>2070</v>
      </c>
      <c r="P156" s="194"/>
      <c r="Q156" s="194"/>
      <c r="R156" s="194"/>
      <c r="S156" s="194"/>
      <c r="T156" s="617"/>
      <c r="U156" s="617">
        <v>0</v>
      </c>
      <c r="V156" s="618"/>
      <c r="W156" s="195"/>
      <c r="X156" s="199"/>
      <c r="Y156" s="199"/>
      <c r="Z156" s="383"/>
      <c r="AA156" s="199"/>
      <c r="AB156" s="199"/>
      <c r="AC156" s="199" t="s">
        <v>0</v>
      </c>
      <c r="AD156" s="199"/>
      <c r="AE156" s="199"/>
      <c r="AF156" s="199"/>
      <c r="AG156" s="200"/>
      <c r="AH156" s="200"/>
      <c r="AI156" s="201"/>
      <c r="AJ156" s="200"/>
      <c r="AK156" s="201"/>
      <c r="AL156" s="201"/>
      <c r="AM156" s="200" t="s">
        <v>49</v>
      </c>
      <c r="AN156" s="200" t="s">
        <v>284</v>
      </c>
      <c r="AO156" s="200" t="s">
        <v>285</v>
      </c>
      <c r="AP156" s="200" t="s">
        <v>51</v>
      </c>
      <c r="AQ156" s="203"/>
    </row>
    <row r="157" spans="1:43" ht="15.75" customHeight="1">
      <c r="A157" s="19">
        <v>43472</v>
      </c>
      <c r="B157" s="144" t="s">
        <v>100</v>
      </c>
      <c r="C157" s="70"/>
      <c r="D157" s="70" t="s">
        <v>447</v>
      </c>
      <c r="E157" s="23" t="s">
        <v>448</v>
      </c>
      <c r="F157" s="373">
        <v>2</v>
      </c>
      <c r="G157" s="143">
        <v>892</v>
      </c>
      <c r="H157" s="26">
        <f t="shared" ref="H157:H171" si="13">F157*G157</f>
        <v>1784</v>
      </c>
      <c r="I157" s="49" t="s">
        <v>302</v>
      </c>
      <c r="J157" s="161" t="s">
        <v>437</v>
      </c>
      <c r="K157" s="30">
        <v>43522</v>
      </c>
      <c r="L157" s="30"/>
      <c r="M157" s="30">
        <v>43522</v>
      </c>
      <c r="N157" s="619" t="s">
        <v>2074</v>
      </c>
      <c r="O157" s="64" t="s">
        <v>2075</v>
      </c>
      <c r="P157" s="34"/>
      <c r="Q157" s="34"/>
      <c r="R157" s="34"/>
      <c r="S157" s="34"/>
      <c r="T157" s="620"/>
      <c r="U157" s="620">
        <v>54255</v>
      </c>
      <c r="V157" s="76"/>
      <c r="W157" s="52"/>
      <c r="X157" s="53"/>
      <c r="Y157" s="53"/>
      <c r="Z157" s="384"/>
      <c r="AA157" s="53"/>
      <c r="AB157" s="53" t="s">
        <v>2033</v>
      </c>
      <c r="AC157" s="53">
        <v>2371347893</v>
      </c>
      <c r="AD157" s="53"/>
      <c r="AE157" s="53"/>
      <c r="AF157" s="53"/>
      <c r="AG157" s="54"/>
      <c r="AH157" s="54">
        <v>30.8</v>
      </c>
      <c r="AI157" s="55"/>
      <c r="AJ157" s="56">
        <v>43565</v>
      </c>
      <c r="AK157" s="38" t="s">
        <v>2039</v>
      </c>
      <c r="AL157" s="38" t="s">
        <v>2040</v>
      </c>
      <c r="AM157" s="54" t="s">
        <v>49</v>
      </c>
      <c r="AN157" s="24" t="s">
        <v>284</v>
      </c>
      <c r="AO157" s="54" t="s">
        <v>285</v>
      </c>
      <c r="AP157" s="54" t="s">
        <v>51</v>
      </c>
      <c r="AQ157" s="57" t="s">
        <v>397</v>
      </c>
    </row>
    <row r="158" spans="1:43" ht="15.75" customHeight="1">
      <c r="A158" s="19">
        <v>43472</v>
      </c>
      <c r="B158" s="144" t="s">
        <v>100</v>
      </c>
      <c r="C158" s="70"/>
      <c r="D158" s="70" t="s">
        <v>447</v>
      </c>
      <c r="E158" s="23" t="s">
        <v>441</v>
      </c>
      <c r="F158" s="373">
        <v>2</v>
      </c>
      <c r="G158" s="143">
        <v>38</v>
      </c>
      <c r="H158" s="26">
        <f t="shared" si="13"/>
        <v>76</v>
      </c>
      <c r="I158" s="49" t="s">
        <v>302</v>
      </c>
      <c r="J158" s="161" t="s">
        <v>437</v>
      </c>
      <c r="K158" s="30">
        <v>43522</v>
      </c>
      <c r="L158" s="30"/>
      <c r="M158" s="30">
        <v>43522</v>
      </c>
      <c r="N158" s="619" t="s">
        <v>2074</v>
      </c>
      <c r="O158" s="64" t="s">
        <v>2075</v>
      </c>
      <c r="P158" s="34"/>
      <c r="Q158" s="34"/>
      <c r="R158" s="34"/>
      <c r="S158" s="34"/>
      <c r="T158" s="621"/>
      <c r="U158" s="621" t="s">
        <v>2076</v>
      </c>
      <c r="V158" s="76"/>
      <c r="W158" s="52"/>
      <c r="X158" s="53"/>
      <c r="Y158" s="53"/>
      <c r="Z158" s="384"/>
      <c r="AA158" s="53"/>
      <c r="AB158" s="53" t="s">
        <v>2033</v>
      </c>
      <c r="AC158" s="53">
        <v>2371347893</v>
      </c>
      <c r="AD158" s="53"/>
      <c r="AE158" s="53"/>
      <c r="AF158" s="53"/>
      <c r="AG158" s="54"/>
      <c r="AH158" s="54">
        <v>30.8</v>
      </c>
      <c r="AI158" s="55"/>
      <c r="AJ158" s="56">
        <v>43565</v>
      </c>
      <c r="AK158" s="38" t="s">
        <v>2039</v>
      </c>
      <c r="AL158" s="38" t="s">
        <v>2040</v>
      </c>
      <c r="AM158" s="54" t="s">
        <v>49</v>
      </c>
      <c r="AN158" s="24" t="s">
        <v>284</v>
      </c>
      <c r="AO158" s="54" t="s">
        <v>285</v>
      </c>
      <c r="AP158" s="54" t="s">
        <v>51</v>
      </c>
      <c r="AQ158" s="57" t="s">
        <v>397</v>
      </c>
    </row>
    <row r="159" spans="1:43" ht="15.75" customHeight="1">
      <c r="A159" s="19">
        <v>43472</v>
      </c>
      <c r="B159" s="144" t="s">
        <v>100</v>
      </c>
      <c r="C159" s="70"/>
      <c r="D159" s="70" t="s">
        <v>447</v>
      </c>
      <c r="E159" s="23" t="s">
        <v>449</v>
      </c>
      <c r="F159" s="373">
        <v>2</v>
      </c>
      <c r="G159" s="143">
        <v>79</v>
      </c>
      <c r="H159" s="26">
        <f t="shared" si="13"/>
        <v>158</v>
      </c>
      <c r="I159" s="49" t="s">
        <v>302</v>
      </c>
      <c r="J159" s="161" t="s">
        <v>437</v>
      </c>
      <c r="K159" s="30">
        <v>43522</v>
      </c>
      <c r="L159" s="30"/>
      <c r="M159" s="30">
        <v>43522</v>
      </c>
      <c r="N159" s="622" t="s">
        <v>2074</v>
      </c>
      <c r="O159" s="64" t="s">
        <v>2075</v>
      </c>
      <c r="P159" s="34"/>
      <c r="Q159" s="34"/>
      <c r="R159" s="34"/>
      <c r="S159" s="34"/>
      <c r="T159" s="304"/>
      <c r="U159" s="304">
        <v>3291</v>
      </c>
      <c r="V159" s="66"/>
      <c r="W159" s="52"/>
      <c r="X159" s="53"/>
      <c r="Y159" s="53"/>
      <c r="Z159" s="384"/>
      <c r="AA159" s="53"/>
      <c r="AB159" s="53" t="s">
        <v>2033</v>
      </c>
      <c r="AC159" s="53">
        <v>2371347893</v>
      </c>
      <c r="AD159" s="53"/>
      <c r="AE159" s="53"/>
      <c r="AF159" s="53"/>
      <c r="AG159" s="54"/>
      <c r="AH159" s="54">
        <v>30.8</v>
      </c>
      <c r="AI159" s="55"/>
      <c r="AJ159" s="56">
        <v>43565</v>
      </c>
      <c r="AK159" s="38" t="s">
        <v>2039</v>
      </c>
      <c r="AL159" s="38" t="s">
        <v>2040</v>
      </c>
      <c r="AM159" s="54" t="s">
        <v>49</v>
      </c>
      <c r="AN159" s="24" t="s">
        <v>284</v>
      </c>
      <c r="AO159" s="54" t="s">
        <v>285</v>
      </c>
      <c r="AP159" s="54" t="s">
        <v>51</v>
      </c>
      <c r="AQ159" s="57" t="s">
        <v>397</v>
      </c>
    </row>
    <row r="160" spans="1:43" ht="15.75" customHeight="1">
      <c r="A160" s="19">
        <v>43472</v>
      </c>
      <c r="B160" s="144" t="s">
        <v>100</v>
      </c>
      <c r="C160" s="70"/>
      <c r="D160" s="70" t="s">
        <v>447</v>
      </c>
      <c r="E160" s="23" t="s">
        <v>443</v>
      </c>
      <c r="F160" s="373">
        <v>2</v>
      </c>
      <c r="G160" s="143">
        <v>140</v>
      </c>
      <c r="H160" s="26">
        <f t="shared" si="13"/>
        <v>280</v>
      </c>
      <c r="I160" s="49" t="s">
        <v>302</v>
      </c>
      <c r="J160" s="161" t="s">
        <v>437</v>
      </c>
      <c r="K160" s="30">
        <v>43522</v>
      </c>
      <c r="L160" s="30"/>
      <c r="M160" s="30">
        <v>43522</v>
      </c>
      <c r="N160" s="619" t="s">
        <v>2074</v>
      </c>
      <c r="O160" s="64" t="s">
        <v>2075</v>
      </c>
      <c r="P160" s="34"/>
      <c r="Q160" s="34"/>
      <c r="R160" s="34"/>
      <c r="S160" s="34"/>
      <c r="T160" s="304"/>
      <c r="U160" s="304">
        <v>7791</v>
      </c>
      <c r="V160" s="76"/>
      <c r="W160" s="52"/>
      <c r="X160" s="53"/>
      <c r="Y160" s="53"/>
      <c r="Z160" s="384"/>
      <c r="AA160" s="53"/>
      <c r="AB160" s="53" t="s">
        <v>2033</v>
      </c>
      <c r="AC160" s="53">
        <v>2371347893</v>
      </c>
      <c r="AD160" s="53"/>
      <c r="AE160" s="53"/>
      <c r="AF160" s="53"/>
      <c r="AG160" s="54"/>
      <c r="AH160" s="54">
        <v>30.8</v>
      </c>
      <c r="AI160" s="55"/>
      <c r="AJ160" s="56">
        <v>43565</v>
      </c>
      <c r="AK160" s="38" t="s">
        <v>2039</v>
      </c>
      <c r="AL160" s="38" t="s">
        <v>2040</v>
      </c>
      <c r="AM160" s="54" t="s">
        <v>49</v>
      </c>
      <c r="AN160" s="24" t="s">
        <v>284</v>
      </c>
      <c r="AO160" s="54" t="s">
        <v>285</v>
      </c>
      <c r="AP160" s="54" t="s">
        <v>51</v>
      </c>
      <c r="AQ160" s="57" t="s">
        <v>397</v>
      </c>
    </row>
    <row r="161" spans="1:43" ht="15.75" customHeight="1">
      <c r="A161" s="19">
        <v>43472</v>
      </c>
      <c r="B161" s="144" t="s">
        <v>100</v>
      </c>
      <c r="C161" s="70"/>
      <c r="D161" s="70" t="s">
        <v>447</v>
      </c>
      <c r="E161" s="23" t="s">
        <v>436</v>
      </c>
      <c r="F161" s="373">
        <v>2</v>
      </c>
      <c r="G161" s="143">
        <v>92</v>
      </c>
      <c r="H161" s="26">
        <f t="shared" si="13"/>
        <v>184</v>
      </c>
      <c r="I161" s="49" t="s">
        <v>302</v>
      </c>
      <c r="J161" s="161" t="s">
        <v>437</v>
      </c>
      <c r="K161" s="30">
        <v>43522</v>
      </c>
      <c r="L161" s="30"/>
      <c r="M161" s="30">
        <v>43522</v>
      </c>
      <c r="N161" s="619" t="s">
        <v>2074</v>
      </c>
      <c r="O161" s="64" t="s">
        <v>2075</v>
      </c>
      <c r="P161" s="34"/>
      <c r="Q161" s="34"/>
      <c r="R161" s="34"/>
      <c r="S161" s="34"/>
      <c r="T161" s="304"/>
      <c r="U161" s="304" t="s">
        <v>2076</v>
      </c>
      <c r="V161" s="66"/>
      <c r="W161" s="52"/>
      <c r="X161" s="53"/>
      <c r="Y161" s="53"/>
      <c r="Z161" s="384"/>
      <c r="AA161" s="53"/>
      <c r="AB161" s="53" t="s">
        <v>2033</v>
      </c>
      <c r="AC161" s="53">
        <v>2371347893</v>
      </c>
      <c r="AD161" s="53"/>
      <c r="AE161" s="53"/>
      <c r="AF161" s="53"/>
      <c r="AG161" s="54"/>
      <c r="AH161" s="54">
        <v>30.8</v>
      </c>
      <c r="AI161" s="55"/>
      <c r="AJ161" s="56">
        <v>43565</v>
      </c>
      <c r="AK161" s="38" t="s">
        <v>2039</v>
      </c>
      <c r="AL161" s="38" t="s">
        <v>2040</v>
      </c>
      <c r="AM161" s="54" t="s">
        <v>49</v>
      </c>
      <c r="AN161" s="24" t="s">
        <v>284</v>
      </c>
      <c r="AO161" s="54" t="s">
        <v>285</v>
      </c>
      <c r="AP161" s="54" t="s">
        <v>51</v>
      </c>
      <c r="AQ161" s="57" t="s">
        <v>397</v>
      </c>
    </row>
    <row r="162" spans="1:43" ht="15.75" customHeight="1">
      <c r="A162" s="19">
        <v>43472</v>
      </c>
      <c r="B162" s="144" t="s">
        <v>100</v>
      </c>
      <c r="C162" s="70"/>
      <c r="D162" s="70" t="s">
        <v>447</v>
      </c>
      <c r="E162" s="23" t="s">
        <v>444</v>
      </c>
      <c r="F162" s="373">
        <v>2</v>
      </c>
      <c r="G162" s="385">
        <v>10</v>
      </c>
      <c r="H162" s="26">
        <f t="shared" si="13"/>
        <v>20</v>
      </c>
      <c r="I162" s="49" t="s">
        <v>302</v>
      </c>
      <c r="J162" s="161" t="s">
        <v>437</v>
      </c>
      <c r="K162" s="30">
        <v>43522</v>
      </c>
      <c r="L162" s="30"/>
      <c r="M162" s="30">
        <v>43522</v>
      </c>
      <c r="N162" s="619" t="s">
        <v>2074</v>
      </c>
      <c r="O162" s="64" t="s">
        <v>2075</v>
      </c>
      <c r="P162" s="34"/>
      <c r="Q162" s="34"/>
      <c r="R162" s="34"/>
      <c r="S162" s="34"/>
      <c r="T162" s="621"/>
      <c r="U162" s="621" t="s">
        <v>2076</v>
      </c>
      <c r="V162" s="76"/>
      <c r="W162" s="52"/>
      <c r="X162" s="53"/>
      <c r="Y162" s="53"/>
      <c r="Z162" s="384"/>
      <c r="AA162" s="53"/>
      <c r="AB162" s="53" t="s">
        <v>2033</v>
      </c>
      <c r="AC162" s="53">
        <v>2371347893</v>
      </c>
      <c r="AD162" s="53"/>
      <c r="AE162" s="53"/>
      <c r="AF162" s="53"/>
      <c r="AG162" s="54"/>
      <c r="AH162" s="54">
        <v>30.8</v>
      </c>
      <c r="AI162" s="55"/>
      <c r="AJ162" s="56">
        <v>43565</v>
      </c>
      <c r="AK162" s="38" t="s">
        <v>2039</v>
      </c>
      <c r="AL162" s="38" t="s">
        <v>2040</v>
      </c>
      <c r="AM162" s="54" t="s">
        <v>49</v>
      </c>
      <c r="AN162" s="24" t="s">
        <v>284</v>
      </c>
      <c r="AO162" s="54" t="s">
        <v>285</v>
      </c>
      <c r="AP162" s="54" t="s">
        <v>51</v>
      </c>
      <c r="AQ162" s="57" t="s">
        <v>397</v>
      </c>
    </row>
    <row r="163" spans="1:43" ht="15.75" customHeight="1">
      <c r="A163" s="69">
        <v>43472</v>
      </c>
      <c r="B163" s="386" t="s">
        <v>129</v>
      </c>
      <c r="C163" s="387" t="s">
        <v>450</v>
      </c>
      <c r="D163" s="263" t="s">
        <v>451</v>
      </c>
      <c r="E163" s="23" t="s">
        <v>452</v>
      </c>
      <c r="F163" s="388">
        <v>20</v>
      </c>
      <c r="G163" s="389">
        <v>58</v>
      </c>
      <c r="H163" s="253">
        <f t="shared" si="13"/>
        <v>1160</v>
      </c>
      <c r="I163" s="264" t="s">
        <v>419</v>
      </c>
      <c r="J163" s="257" t="s">
        <v>453</v>
      </c>
      <c r="K163" s="256">
        <v>43494</v>
      </c>
      <c r="L163" s="256"/>
      <c r="M163" s="256">
        <v>43493</v>
      </c>
      <c r="N163" s="401" t="s">
        <v>89</v>
      </c>
      <c r="O163" s="250" t="s">
        <v>2077</v>
      </c>
      <c r="P163" s="308">
        <v>52</v>
      </c>
      <c r="Q163" s="308">
        <v>1092</v>
      </c>
      <c r="R163" s="308"/>
      <c r="S163" s="308"/>
      <c r="T163" s="593"/>
      <c r="U163" s="593"/>
      <c r="V163" s="571" t="s">
        <v>93</v>
      </c>
      <c r="W163" s="258">
        <v>43524</v>
      </c>
      <c r="X163" s="258">
        <v>43490</v>
      </c>
      <c r="Y163" s="259" t="s">
        <v>454</v>
      </c>
      <c r="Z163" s="270">
        <v>33595</v>
      </c>
      <c r="AA163" s="258">
        <v>43522</v>
      </c>
      <c r="AB163" s="329" t="s">
        <v>2078</v>
      </c>
      <c r="AC163" s="264">
        <v>8005896592</v>
      </c>
      <c r="AD163" s="329"/>
      <c r="AE163" s="329"/>
      <c r="AF163" s="329"/>
      <c r="AG163" s="251" t="s">
        <v>283</v>
      </c>
      <c r="AH163" s="251"/>
      <c r="AI163" s="260"/>
      <c r="AJ163" s="251"/>
      <c r="AK163" s="260"/>
      <c r="AL163" s="260"/>
      <c r="AM163" s="251" t="s">
        <v>49</v>
      </c>
      <c r="AN163" s="251" t="s">
        <v>284</v>
      </c>
      <c r="AO163" s="251" t="s">
        <v>50</v>
      </c>
      <c r="AP163" s="251" t="s">
        <v>51</v>
      </c>
      <c r="AQ163" s="262"/>
    </row>
    <row r="164" spans="1:43" ht="15.75" customHeight="1">
      <c r="A164" s="69">
        <v>43473</v>
      </c>
      <c r="B164" s="263" t="s">
        <v>118</v>
      </c>
      <c r="C164" s="263" t="s">
        <v>455</v>
      </c>
      <c r="D164" s="263" t="s">
        <v>456</v>
      </c>
      <c r="E164" s="23" t="s">
        <v>457</v>
      </c>
      <c r="F164" s="390">
        <v>3</v>
      </c>
      <c r="G164" s="389">
        <v>1209</v>
      </c>
      <c r="H164" s="362">
        <f t="shared" si="13"/>
        <v>3627</v>
      </c>
      <c r="I164" s="264" t="s">
        <v>170</v>
      </c>
      <c r="J164" s="264" t="s">
        <v>121</v>
      </c>
      <c r="K164" s="256">
        <v>43494</v>
      </c>
      <c r="L164" s="256"/>
      <c r="M164" s="256">
        <v>43493</v>
      </c>
      <c r="N164" s="401" t="s">
        <v>89</v>
      </c>
      <c r="O164" s="420" t="s">
        <v>2079</v>
      </c>
      <c r="P164" s="308"/>
      <c r="Q164" s="308">
        <v>2986.2</v>
      </c>
      <c r="R164" s="308"/>
      <c r="S164" s="308"/>
      <c r="T164" s="593"/>
      <c r="U164" s="593"/>
      <c r="V164" s="571" t="s">
        <v>93</v>
      </c>
      <c r="W164" s="258">
        <v>43555</v>
      </c>
      <c r="X164" s="258">
        <v>43493</v>
      </c>
      <c r="Y164" s="259" t="s">
        <v>458</v>
      </c>
      <c r="Z164" s="270">
        <v>401013</v>
      </c>
      <c r="AA164" s="258">
        <v>43536</v>
      </c>
      <c r="AB164" s="329" t="s">
        <v>2048</v>
      </c>
      <c r="AC164" s="329" t="s">
        <v>2049</v>
      </c>
      <c r="AD164" s="329"/>
      <c r="AE164" s="329"/>
      <c r="AF164" s="329"/>
      <c r="AG164" s="251" t="s">
        <v>283</v>
      </c>
      <c r="AH164" s="251"/>
      <c r="AI164" s="260"/>
      <c r="AJ164" s="305"/>
      <c r="AK164" s="260"/>
      <c r="AL164" s="260"/>
      <c r="AM164" s="251" t="s">
        <v>49</v>
      </c>
      <c r="AN164" s="251" t="s">
        <v>284</v>
      </c>
      <c r="AO164" s="251" t="s">
        <v>50</v>
      </c>
      <c r="AP164" s="251" t="s">
        <v>51</v>
      </c>
      <c r="AQ164" s="262"/>
    </row>
    <row r="165" spans="1:43" ht="15.75" customHeight="1">
      <c r="A165" s="69">
        <v>43473</v>
      </c>
      <c r="B165" s="263" t="s">
        <v>118</v>
      </c>
      <c r="C165" s="263" t="s">
        <v>455</v>
      </c>
      <c r="D165" s="263" t="s">
        <v>456</v>
      </c>
      <c r="E165" s="23" t="s">
        <v>161</v>
      </c>
      <c r="F165" s="390">
        <v>15</v>
      </c>
      <c r="G165" s="389">
        <v>738</v>
      </c>
      <c r="H165" s="362">
        <f t="shared" si="13"/>
        <v>11070</v>
      </c>
      <c r="I165" s="264" t="s">
        <v>170</v>
      </c>
      <c r="J165" s="264" t="s">
        <v>121</v>
      </c>
      <c r="K165" s="256">
        <v>43494</v>
      </c>
      <c r="L165" s="256"/>
      <c r="M165" s="256">
        <v>43493</v>
      </c>
      <c r="N165" s="401" t="s">
        <v>89</v>
      </c>
      <c r="O165" s="420" t="s">
        <v>2079</v>
      </c>
      <c r="P165" s="308"/>
      <c r="Q165" s="308">
        <v>10048.5</v>
      </c>
      <c r="R165" s="308"/>
      <c r="S165" s="308"/>
      <c r="T165" s="593"/>
      <c r="U165" s="593"/>
      <c r="V165" s="571" t="s">
        <v>93</v>
      </c>
      <c r="W165" s="258">
        <v>43555</v>
      </c>
      <c r="X165" s="258">
        <v>43493</v>
      </c>
      <c r="Y165" s="259" t="s">
        <v>458</v>
      </c>
      <c r="Z165" s="270" t="s">
        <v>2080</v>
      </c>
      <c r="AA165" s="258">
        <v>43536</v>
      </c>
      <c r="AB165" s="329" t="s">
        <v>2048</v>
      </c>
      <c r="AC165" s="329" t="s">
        <v>2049</v>
      </c>
      <c r="AD165" s="329"/>
      <c r="AE165" s="329"/>
      <c r="AF165" s="329"/>
      <c r="AG165" s="251" t="s">
        <v>283</v>
      </c>
      <c r="AH165" s="251"/>
      <c r="AI165" s="260"/>
      <c r="AJ165" s="305"/>
      <c r="AK165" s="260"/>
      <c r="AL165" s="260"/>
      <c r="AM165" s="251" t="s">
        <v>49</v>
      </c>
      <c r="AN165" s="251" t="s">
        <v>284</v>
      </c>
      <c r="AO165" s="251" t="s">
        <v>50</v>
      </c>
      <c r="AP165" s="251" t="s">
        <v>51</v>
      </c>
      <c r="AQ165" s="262"/>
    </row>
    <row r="166" spans="1:43" ht="15.75" customHeight="1">
      <c r="A166" s="69">
        <v>43473</v>
      </c>
      <c r="B166" s="263" t="s">
        <v>228</v>
      </c>
      <c r="C166" s="263" t="s">
        <v>459</v>
      </c>
      <c r="D166" s="263" t="s">
        <v>460</v>
      </c>
      <c r="E166" s="23" t="s">
        <v>461</v>
      </c>
      <c r="F166" s="391">
        <v>35</v>
      </c>
      <c r="G166" s="389">
        <v>407.4</v>
      </c>
      <c r="H166" s="253">
        <f t="shared" si="13"/>
        <v>14259</v>
      </c>
      <c r="I166" s="264" t="s">
        <v>170</v>
      </c>
      <c r="J166" s="251" t="s">
        <v>89</v>
      </c>
      <c r="K166" s="256">
        <v>43487</v>
      </c>
      <c r="L166" s="256"/>
      <c r="M166" s="256">
        <v>43487</v>
      </c>
      <c r="N166" s="401" t="s">
        <v>89</v>
      </c>
      <c r="O166" s="420" t="s">
        <v>2081</v>
      </c>
      <c r="P166" s="308"/>
      <c r="Q166" s="308">
        <v>13046.25</v>
      </c>
      <c r="R166" s="308"/>
      <c r="S166" s="308"/>
      <c r="T166" s="593"/>
      <c r="U166" s="593"/>
      <c r="V166" s="571" t="s">
        <v>93</v>
      </c>
      <c r="W166" s="258">
        <v>43524</v>
      </c>
      <c r="X166" s="258">
        <v>43487</v>
      </c>
      <c r="Y166" s="259" t="s">
        <v>462</v>
      </c>
      <c r="Z166" s="270">
        <v>401368</v>
      </c>
      <c r="AA166" s="258">
        <v>43522</v>
      </c>
      <c r="AB166" s="329" t="s">
        <v>2082</v>
      </c>
      <c r="AC166" s="329"/>
      <c r="AD166" s="329">
        <v>30.835000000000001</v>
      </c>
      <c r="AE166" s="329">
        <v>439676</v>
      </c>
      <c r="AF166" s="599">
        <v>43486</v>
      </c>
      <c r="AG166" s="251"/>
      <c r="AH166" s="251"/>
      <c r="AI166" s="260"/>
      <c r="AJ166" s="251"/>
      <c r="AK166" s="260"/>
      <c r="AL166" s="260"/>
      <c r="AM166" s="251" t="s">
        <v>49</v>
      </c>
      <c r="AN166" s="251" t="s">
        <v>284</v>
      </c>
      <c r="AO166" s="251" t="s">
        <v>50</v>
      </c>
      <c r="AP166" s="251" t="s">
        <v>376</v>
      </c>
      <c r="AQ166" s="262"/>
    </row>
    <row r="167" spans="1:43" ht="15.75" customHeight="1">
      <c r="A167" s="69">
        <v>43476</v>
      </c>
      <c r="B167" s="263" t="s">
        <v>463</v>
      </c>
      <c r="C167" s="263">
        <v>503704</v>
      </c>
      <c r="D167" s="392" t="s">
        <v>464</v>
      </c>
      <c r="E167" s="23" t="s">
        <v>465</v>
      </c>
      <c r="F167" s="391">
        <v>1</v>
      </c>
      <c r="G167" s="389">
        <v>100</v>
      </c>
      <c r="H167" s="253">
        <f t="shared" si="13"/>
        <v>100</v>
      </c>
      <c r="I167" s="264" t="s">
        <v>170</v>
      </c>
      <c r="J167" s="251" t="s">
        <v>466</v>
      </c>
      <c r="K167" s="256">
        <v>43539</v>
      </c>
      <c r="L167" s="256"/>
      <c r="M167" s="256">
        <v>43519</v>
      </c>
      <c r="N167" s="401" t="s">
        <v>89</v>
      </c>
      <c r="O167" s="420" t="s">
        <v>2083</v>
      </c>
      <c r="P167" s="308"/>
      <c r="Q167" s="308">
        <v>89.25</v>
      </c>
      <c r="R167" s="308"/>
      <c r="S167" s="308"/>
      <c r="T167" s="593"/>
      <c r="U167" s="593"/>
      <c r="V167" s="571" t="s">
        <v>93</v>
      </c>
      <c r="W167" s="258">
        <v>43555</v>
      </c>
      <c r="X167" s="258">
        <v>43518</v>
      </c>
      <c r="Y167" s="259" t="s">
        <v>467</v>
      </c>
      <c r="Z167" s="270" t="s">
        <v>2084</v>
      </c>
      <c r="AA167" s="258">
        <v>43557</v>
      </c>
      <c r="AB167" s="329" t="s">
        <v>2085</v>
      </c>
      <c r="AC167" s="329">
        <v>252696603</v>
      </c>
      <c r="AD167" s="329"/>
      <c r="AE167" s="329"/>
      <c r="AF167" s="329"/>
      <c r="AG167" s="251"/>
      <c r="AH167" s="251">
        <v>30.79</v>
      </c>
      <c r="AI167" s="260"/>
      <c r="AJ167" s="251"/>
      <c r="AK167" s="260" t="s">
        <v>2086</v>
      </c>
      <c r="AL167" s="260" t="s">
        <v>2086</v>
      </c>
      <c r="AM167" s="251" t="s">
        <v>49</v>
      </c>
      <c r="AN167" s="251" t="s">
        <v>284</v>
      </c>
      <c r="AO167" s="251" t="s">
        <v>50</v>
      </c>
      <c r="AP167" s="251" t="s">
        <v>51</v>
      </c>
      <c r="AQ167" s="262"/>
    </row>
    <row r="168" spans="1:43" ht="15.75" customHeight="1">
      <c r="A168" s="69">
        <v>43476</v>
      </c>
      <c r="B168" s="263" t="s">
        <v>463</v>
      </c>
      <c r="C168" s="263">
        <v>503704</v>
      </c>
      <c r="D168" s="392" t="s">
        <v>468</v>
      </c>
      <c r="E168" s="23" t="s">
        <v>469</v>
      </c>
      <c r="F168" s="391">
        <v>1</v>
      </c>
      <c r="G168" s="389">
        <v>80</v>
      </c>
      <c r="H168" s="253">
        <f t="shared" si="13"/>
        <v>80</v>
      </c>
      <c r="I168" s="264" t="s">
        <v>170</v>
      </c>
      <c r="J168" s="251" t="s">
        <v>466</v>
      </c>
      <c r="K168" s="256">
        <v>43539</v>
      </c>
      <c r="L168" s="256"/>
      <c r="M168" s="256">
        <v>43515</v>
      </c>
      <c r="N168" s="401" t="s">
        <v>2087</v>
      </c>
      <c r="O168" s="420" t="s">
        <v>2088</v>
      </c>
      <c r="P168" s="593"/>
      <c r="Q168" s="593"/>
      <c r="R168" s="593"/>
      <c r="S168" s="593"/>
      <c r="T168" s="572"/>
      <c r="U168" s="572">
        <v>1628</v>
      </c>
      <c r="V168" s="308" t="s">
        <v>2089</v>
      </c>
      <c r="W168" s="259" t="s">
        <v>421</v>
      </c>
      <c r="X168" s="258">
        <v>43510</v>
      </c>
      <c r="Y168" s="259" t="s">
        <v>470</v>
      </c>
      <c r="Z168" s="270">
        <v>3766</v>
      </c>
      <c r="AA168" s="258">
        <v>43512</v>
      </c>
      <c r="AB168" s="329" t="s">
        <v>2085</v>
      </c>
      <c r="AC168" s="329">
        <v>252696603</v>
      </c>
      <c r="AD168" s="329"/>
      <c r="AE168" s="329"/>
      <c r="AF168" s="329"/>
      <c r="AG168" s="251"/>
      <c r="AH168" s="251">
        <v>30.79</v>
      </c>
      <c r="AI168" s="260"/>
      <c r="AJ168" s="251"/>
      <c r="AK168" s="260" t="s">
        <v>2086</v>
      </c>
      <c r="AL168" s="260" t="s">
        <v>2086</v>
      </c>
      <c r="AM168" s="251" t="s">
        <v>49</v>
      </c>
      <c r="AN168" s="251" t="s">
        <v>284</v>
      </c>
      <c r="AO168" s="251" t="s">
        <v>50</v>
      </c>
      <c r="AP168" s="251" t="s">
        <v>51</v>
      </c>
      <c r="AQ168" s="262"/>
    </row>
    <row r="169" spans="1:43" ht="15.75" customHeight="1">
      <c r="A169" s="110">
        <v>43476</v>
      </c>
      <c r="B169" s="250" t="s">
        <v>463</v>
      </c>
      <c r="C169" s="250">
        <v>503704</v>
      </c>
      <c r="D169" s="326" t="s">
        <v>468</v>
      </c>
      <c r="E169" s="23" t="s">
        <v>471</v>
      </c>
      <c r="F169" s="251">
        <v>1</v>
      </c>
      <c r="G169" s="265">
        <v>118</v>
      </c>
      <c r="H169" s="253">
        <f t="shared" si="13"/>
        <v>118</v>
      </c>
      <c r="I169" s="264" t="s">
        <v>170</v>
      </c>
      <c r="J169" s="251" t="s">
        <v>466</v>
      </c>
      <c r="K169" s="256">
        <v>43539</v>
      </c>
      <c r="L169" s="256"/>
      <c r="M169" s="256">
        <v>43515</v>
      </c>
      <c r="N169" s="401" t="s">
        <v>2087</v>
      </c>
      <c r="O169" s="420" t="s">
        <v>2088</v>
      </c>
      <c r="P169" s="593"/>
      <c r="Q169" s="593"/>
      <c r="R169" s="593"/>
      <c r="S169" s="593"/>
      <c r="T169" s="572"/>
      <c r="U169" s="572">
        <v>2138</v>
      </c>
      <c r="V169" s="318" t="s">
        <v>2089</v>
      </c>
      <c r="W169" s="259" t="s">
        <v>421</v>
      </c>
      <c r="X169" s="258">
        <v>43510</v>
      </c>
      <c r="Y169" s="259" t="s">
        <v>470</v>
      </c>
      <c r="Z169" s="270" t="s">
        <v>2090</v>
      </c>
      <c r="AA169" s="258">
        <v>43512</v>
      </c>
      <c r="AB169" s="329" t="s">
        <v>2085</v>
      </c>
      <c r="AC169" s="403">
        <v>252696603</v>
      </c>
      <c r="AD169" s="329"/>
      <c r="AE169" s="329"/>
      <c r="AF169" s="329"/>
      <c r="AG169" s="251"/>
      <c r="AH169" s="251">
        <v>30.79</v>
      </c>
      <c r="AI169" s="260"/>
      <c r="AJ169" s="251"/>
      <c r="AK169" s="260" t="s">
        <v>2086</v>
      </c>
      <c r="AL169" s="260" t="s">
        <v>2086</v>
      </c>
      <c r="AM169" s="251" t="s">
        <v>49</v>
      </c>
      <c r="AN169" s="251" t="s">
        <v>284</v>
      </c>
      <c r="AO169" s="251" t="s">
        <v>50</v>
      </c>
      <c r="AP169" s="251" t="s">
        <v>51</v>
      </c>
      <c r="AQ169" s="262"/>
    </row>
    <row r="170" spans="1:43" ht="15.75" customHeight="1">
      <c r="A170" s="110">
        <v>43476</v>
      </c>
      <c r="B170" s="263" t="s">
        <v>463</v>
      </c>
      <c r="C170" s="250">
        <v>503704</v>
      </c>
      <c r="D170" s="326" t="s">
        <v>468</v>
      </c>
      <c r="E170" s="23" t="s">
        <v>472</v>
      </c>
      <c r="F170" s="251">
        <v>1</v>
      </c>
      <c r="G170" s="265">
        <v>160</v>
      </c>
      <c r="H170" s="253">
        <f t="shared" si="13"/>
        <v>160</v>
      </c>
      <c r="I170" s="264" t="s">
        <v>170</v>
      </c>
      <c r="J170" s="251" t="s">
        <v>466</v>
      </c>
      <c r="K170" s="256">
        <v>43539</v>
      </c>
      <c r="L170" s="256"/>
      <c r="M170" s="256">
        <v>43514</v>
      </c>
      <c r="N170" s="401" t="s">
        <v>2091</v>
      </c>
      <c r="O170" s="420" t="s">
        <v>2092</v>
      </c>
      <c r="P170" s="574"/>
      <c r="Q170" s="574">
        <v>135.44999999999999</v>
      </c>
      <c r="R170" s="574"/>
      <c r="S170" s="574"/>
      <c r="T170" s="266"/>
      <c r="U170" s="266">
        <v>4176</v>
      </c>
      <c r="V170" s="338" t="s">
        <v>46</v>
      </c>
      <c r="W170" s="258">
        <v>43541</v>
      </c>
      <c r="X170" s="258">
        <v>43511</v>
      </c>
      <c r="Y170" s="259" t="s">
        <v>473</v>
      </c>
      <c r="Z170" s="270">
        <v>4176</v>
      </c>
      <c r="AA170" s="258">
        <v>43558</v>
      </c>
      <c r="AB170" s="329" t="s">
        <v>2085</v>
      </c>
      <c r="AC170" s="329">
        <v>252696603</v>
      </c>
      <c r="AD170" s="329"/>
      <c r="AE170" s="329"/>
      <c r="AF170" s="329"/>
      <c r="AG170" s="251"/>
      <c r="AH170" s="251">
        <v>30.79</v>
      </c>
      <c r="AI170" s="260"/>
      <c r="AJ170" s="251"/>
      <c r="AK170" s="260" t="s">
        <v>2086</v>
      </c>
      <c r="AL170" s="260" t="s">
        <v>2086</v>
      </c>
      <c r="AM170" s="251" t="s">
        <v>49</v>
      </c>
      <c r="AN170" s="251" t="s">
        <v>284</v>
      </c>
      <c r="AO170" s="251" t="s">
        <v>50</v>
      </c>
      <c r="AP170" s="251" t="s">
        <v>51</v>
      </c>
      <c r="AQ170" s="262"/>
    </row>
    <row r="171" spans="1:43" ht="15.75" customHeight="1">
      <c r="A171" s="110">
        <v>43476</v>
      </c>
      <c r="B171" s="263" t="s">
        <v>463</v>
      </c>
      <c r="C171" s="250">
        <v>503704</v>
      </c>
      <c r="D171" s="326" t="s">
        <v>474</v>
      </c>
      <c r="E171" s="23" t="s">
        <v>475</v>
      </c>
      <c r="F171" s="251">
        <v>1</v>
      </c>
      <c r="G171" s="265">
        <v>4120</v>
      </c>
      <c r="H171" s="253">
        <f t="shared" si="13"/>
        <v>4120</v>
      </c>
      <c r="I171" s="264" t="s">
        <v>170</v>
      </c>
      <c r="J171" s="393" t="s">
        <v>466</v>
      </c>
      <c r="K171" s="256">
        <v>43539</v>
      </c>
      <c r="L171" s="256"/>
      <c r="M171" s="256">
        <v>43539</v>
      </c>
      <c r="N171" s="401" t="s">
        <v>89</v>
      </c>
      <c r="O171" s="420" t="s">
        <v>2083</v>
      </c>
      <c r="P171" s="308"/>
      <c r="Q171" s="308">
        <v>3863.16</v>
      </c>
      <c r="R171" s="308"/>
      <c r="S171" s="308"/>
      <c r="T171" s="593"/>
      <c r="U171" s="593"/>
      <c r="V171" s="338" t="s">
        <v>93</v>
      </c>
      <c r="W171" s="258">
        <v>43555</v>
      </c>
      <c r="X171" s="258">
        <v>43518</v>
      </c>
      <c r="Y171" s="259" t="s">
        <v>467</v>
      </c>
      <c r="Z171" s="270">
        <v>121734</v>
      </c>
      <c r="AA171" s="258">
        <v>43557</v>
      </c>
      <c r="AB171" s="329" t="s">
        <v>2085</v>
      </c>
      <c r="AC171" s="329">
        <v>252696603</v>
      </c>
      <c r="AD171" s="329"/>
      <c r="AE171" s="329"/>
      <c r="AF171" s="329"/>
      <c r="AG171" s="251"/>
      <c r="AH171" s="251">
        <v>30.79</v>
      </c>
      <c r="AI171" s="260"/>
      <c r="AJ171" s="305"/>
      <c r="AK171" s="260">
        <f>4578*30.73-200</f>
        <v>140481.94</v>
      </c>
      <c r="AL171" s="260">
        <v>200</v>
      </c>
      <c r="AM171" s="251" t="s">
        <v>49</v>
      </c>
      <c r="AN171" s="251" t="s">
        <v>284</v>
      </c>
      <c r="AO171" s="251" t="s">
        <v>50</v>
      </c>
      <c r="AP171" s="251" t="s">
        <v>51</v>
      </c>
      <c r="AQ171" s="262"/>
    </row>
    <row r="172" spans="1:43" ht="15.75" customHeight="1">
      <c r="A172" s="110">
        <v>43479</v>
      </c>
      <c r="B172" s="70" t="s">
        <v>76</v>
      </c>
      <c r="C172" s="21">
        <v>14</v>
      </c>
      <c r="D172" s="21" t="s">
        <v>476</v>
      </c>
      <c r="E172" s="23" t="s">
        <v>477</v>
      </c>
      <c r="F172" s="82">
        <v>30</v>
      </c>
      <c r="G172" s="48">
        <v>2.25</v>
      </c>
      <c r="H172" s="60">
        <f t="shared" ref="H172:H177" si="14">G172*F172</f>
        <v>67.5</v>
      </c>
      <c r="I172" s="346" t="s">
        <v>42</v>
      </c>
      <c r="J172" s="58" t="s">
        <v>478</v>
      </c>
      <c r="K172" s="29">
        <v>43522</v>
      </c>
      <c r="L172" s="29"/>
      <c r="M172" s="29">
        <v>43482</v>
      </c>
      <c r="N172" s="58" t="s">
        <v>178</v>
      </c>
      <c r="O172" s="139"/>
      <c r="P172" s="41"/>
      <c r="Q172" s="41"/>
      <c r="R172" s="41"/>
      <c r="S172" s="41"/>
      <c r="T172" s="41"/>
      <c r="U172" s="41"/>
      <c r="V172" s="519" t="s">
        <v>2093</v>
      </c>
      <c r="W172" s="52"/>
      <c r="X172" s="53"/>
      <c r="Y172" s="53"/>
      <c r="Z172" s="384"/>
      <c r="AA172" s="53"/>
      <c r="AB172" s="53" t="s">
        <v>2094</v>
      </c>
      <c r="AC172" s="53" t="s">
        <v>2095</v>
      </c>
      <c r="AD172" s="53"/>
      <c r="AE172" s="53"/>
      <c r="AF172" s="53"/>
      <c r="AG172" s="54"/>
      <c r="AH172" s="54"/>
      <c r="AI172" s="55"/>
      <c r="AJ172" s="54"/>
      <c r="AK172" s="55"/>
      <c r="AL172" s="55"/>
      <c r="AM172" s="54" t="s">
        <v>49</v>
      </c>
      <c r="AN172" s="24" t="s">
        <v>284</v>
      </c>
      <c r="AO172" s="54" t="s">
        <v>50</v>
      </c>
      <c r="AP172" s="54" t="s">
        <v>51</v>
      </c>
      <c r="AQ172" s="57" t="s">
        <v>397</v>
      </c>
    </row>
    <row r="173" spans="1:43" ht="15.75" customHeight="1">
      <c r="A173" s="110">
        <v>43479</v>
      </c>
      <c r="B173" s="70" t="s">
        <v>76</v>
      </c>
      <c r="C173" s="21">
        <v>14</v>
      </c>
      <c r="D173" s="21" t="s">
        <v>476</v>
      </c>
      <c r="E173" s="23" t="s">
        <v>477</v>
      </c>
      <c r="F173" s="82">
        <v>20</v>
      </c>
      <c r="G173" s="48">
        <v>2.25</v>
      </c>
      <c r="H173" s="60">
        <f t="shared" si="14"/>
        <v>45</v>
      </c>
      <c r="I173" s="346" t="s">
        <v>42</v>
      </c>
      <c r="J173" s="58" t="s">
        <v>478</v>
      </c>
      <c r="K173" s="29">
        <v>43522</v>
      </c>
      <c r="L173" s="29"/>
      <c r="M173" s="30">
        <v>43515</v>
      </c>
      <c r="N173" s="58" t="s">
        <v>178</v>
      </c>
      <c r="O173" s="139"/>
      <c r="P173" s="41"/>
      <c r="Q173" s="41"/>
      <c r="R173" s="41"/>
      <c r="S173" s="41"/>
      <c r="T173" s="41"/>
      <c r="U173" s="41"/>
      <c r="V173" s="519" t="s">
        <v>2093</v>
      </c>
      <c r="W173" s="52"/>
      <c r="X173" s="53"/>
      <c r="Y173" s="53"/>
      <c r="Z173" s="384"/>
      <c r="AA173" s="53"/>
      <c r="AB173" s="53" t="s">
        <v>2094</v>
      </c>
      <c r="AC173" s="53" t="s">
        <v>2095</v>
      </c>
      <c r="AD173" s="53"/>
      <c r="AE173" s="53"/>
      <c r="AF173" s="53"/>
      <c r="AG173" s="54"/>
      <c r="AH173" s="54"/>
      <c r="AI173" s="55"/>
      <c r="AJ173" s="54"/>
      <c r="AK173" s="55"/>
      <c r="AL173" s="55"/>
      <c r="AM173" s="54" t="s">
        <v>49</v>
      </c>
      <c r="AN173" s="24" t="s">
        <v>284</v>
      </c>
      <c r="AO173" s="54" t="s">
        <v>50</v>
      </c>
      <c r="AP173" s="54" t="s">
        <v>51</v>
      </c>
      <c r="AQ173" s="57" t="s">
        <v>397</v>
      </c>
    </row>
    <row r="174" spans="1:43" ht="15.75" customHeight="1">
      <c r="A174" s="110">
        <v>43481</v>
      </c>
      <c r="B174" s="263" t="s">
        <v>405</v>
      </c>
      <c r="C174" s="250">
        <v>7000144298</v>
      </c>
      <c r="D174" s="250" t="s">
        <v>479</v>
      </c>
      <c r="E174" s="23" t="s">
        <v>480</v>
      </c>
      <c r="F174" s="264">
        <v>2</v>
      </c>
      <c r="G174" s="328">
        <v>137</v>
      </c>
      <c r="H174" s="334">
        <f t="shared" si="14"/>
        <v>274</v>
      </c>
      <c r="I174" s="254" t="s">
        <v>42</v>
      </c>
      <c r="J174" s="264" t="s">
        <v>481</v>
      </c>
      <c r="K174" s="256">
        <v>43489</v>
      </c>
      <c r="L174" s="256"/>
      <c r="M174" s="256">
        <v>43488</v>
      </c>
      <c r="N174" s="331" t="s">
        <v>2043</v>
      </c>
      <c r="O174" s="250" t="s">
        <v>2096</v>
      </c>
      <c r="P174" s="593"/>
      <c r="Q174" s="593"/>
      <c r="R174" s="593"/>
      <c r="S174" s="593"/>
      <c r="T174" s="308"/>
      <c r="U174" s="308">
        <v>7558</v>
      </c>
      <c r="V174" s="318" t="s">
        <v>2045</v>
      </c>
      <c r="W174" s="258">
        <v>43524</v>
      </c>
      <c r="X174" s="368">
        <v>43487</v>
      </c>
      <c r="Y174" s="259" t="s">
        <v>482</v>
      </c>
      <c r="Z174" s="270">
        <v>14867</v>
      </c>
      <c r="AA174" s="258">
        <v>43523</v>
      </c>
      <c r="AB174" s="329" t="s">
        <v>2097</v>
      </c>
      <c r="AC174" s="329">
        <v>2943373694</v>
      </c>
      <c r="AD174" s="329"/>
      <c r="AE174" s="329"/>
      <c r="AF174" s="329"/>
      <c r="AG174" s="251" t="s">
        <v>283</v>
      </c>
      <c r="AH174" s="251"/>
      <c r="AI174" s="260"/>
      <c r="AJ174" s="251"/>
      <c r="AK174" s="260"/>
      <c r="AL174" s="260"/>
      <c r="AM174" s="251" t="s">
        <v>49</v>
      </c>
      <c r="AN174" s="251" t="s">
        <v>284</v>
      </c>
      <c r="AO174" s="251" t="s">
        <v>50</v>
      </c>
      <c r="AP174" s="251" t="s">
        <v>51</v>
      </c>
      <c r="AQ174" s="262"/>
    </row>
    <row r="175" spans="1:43" ht="15.75" customHeight="1">
      <c r="A175" s="110">
        <v>43481</v>
      </c>
      <c r="B175" s="263" t="s">
        <v>405</v>
      </c>
      <c r="C175" s="250">
        <v>7000144298</v>
      </c>
      <c r="D175" s="250" t="s">
        <v>479</v>
      </c>
      <c r="E175" s="23" t="s">
        <v>483</v>
      </c>
      <c r="F175" s="264">
        <v>1</v>
      </c>
      <c r="G175" s="328">
        <v>87</v>
      </c>
      <c r="H175" s="334">
        <f t="shared" si="14"/>
        <v>87</v>
      </c>
      <c r="I175" s="254" t="s">
        <v>42</v>
      </c>
      <c r="J175" s="264" t="s">
        <v>481</v>
      </c>
      <c r="K175" s="256">
        <v>43489</v>
      </c>
      <c r="L175" s="256"/>
      <c r="M175" s="256">
        <v>43488</v>
      </c>
      <c r="N175" s="331" t="s">
        <v>2043</v>
      </c>
      <c r="O175" s="250" t="s">
        <v>2096</v>
      </c>
      <c r="P175" s="593"/>
      <c r="Q175" s="593"/>
      <c r="R175" s="593"/>
      <c r="S175" s="593"/>
      <c r="T175" s="308"/>
      <c r="U175" s="308">
        <v>2387</v>
      </c>
      <c r="V175" s="318" t="s">
        <v>2045</v>
      </c>
      <c r="W175" s="258">
        <v>43524</v>
      </c>
      <c r="X175" s="368">
        <v>43487</v>
      </c>
      <c r="Y175" s="259" t="s">
        <v>482</v>
      </c>
      <c r="Z175" s="259" t="s">
        <v>2098</v>
      </c>
      <c r="AA175" s="258">
        <v>43523</v>
      </c>
      <c r="AB175" s="329" t="s">
        <v>2097</v>
      </c>
      <c r="AC175" s="329">
        <v>2943373694</v>
      </c>
      <c r="AD175" s="329"/>
      <c r="AE175" s="329"/>
      <c r="AF175" s="329"/>
      <c r="AG175" s="251" t="s">
        <v>283</v>
      </c>
      <c r="AH175" s="251"/>
      <c r="AI175" s="260"/>
      <c r="AJ175" s="251"/>
      <c r="AK175" s="260"/>
      <c r="AL175" s="260"/>
      <c r="AM175" s="251" t="s">
        <v>49</v>
      </c>
      <c r="AN175" s="251" t="s">
        <v>284</v>
      </c>
      <c r="AO175" s="251" t="s">
        <v>50</v>
      </c>
      <c r="AP175" s="251" t="s">
        <v>51</v>
      </c>
      <c r="AQ175" s="262"/>
    </row>
    <row r="176" spans="1:43" ht="15.75" customHeight="1">
      <c r="A176" s="110">
        <v>43481</v>
      </c>
      <c r="B176" s="263" t="s">
        <v>405</v>
      </c>
      <c r="C176" s="250">
        <v>7000144298</v>
      </c>
      <c r="D176" s="250" t="s">
        <v>479</v>
      </c>
      <c r="E176" s="23" t="s">
        <v>484</v>
      </c>
      <c r="F176" s="264">
        <v>1</v>
      </c>
      <c r="G176" s="328">
        <v>178</v>
      </c>
      <c r="H176" s="334">
        <f t="shared" si="14"/>
        <v>178</v>
      </c>
      <c r="I176" s="254" t="s">
        <v>42</v>
      </c>
      <c r="J176" s="264" t="s">
        <v>481</v>
      </c>
      <c r="K176" s="256">
        <v>43489</v>
      </c>
      <c r="L176" s="256"/>
      <c r="M176" s="256">
        <v>43488</v>
      </c>
      <c r="N176" s="331" t="s">
        <v>2043</v>
      </c>
      <c r="O176" s="250" t="s">
        <v>2096</v>
      </c>
      <c r="P176" s="591"/>
      <c r="Q176" s="591"/>
      <c r="R176" s="591"/>
      <c r="S176" s="591"/>
      <c r="T176" s="572"/>
      <c r="U176" s="572">
        <v>4922</v>
      </c>
      <c r="V176" s="318" t="s">
        <v>2045</v>
      </c>
      <c r="W176" s="258">
        <v>43524</v>
      </c>
      <c r="X176" s="368">
        <v>43487</v>
      </c>
      <c r="Y176" s="259" t="s">
        <v>482</v>
      </c>
      <c r="Z176" s="259" t="s">
        <v>2098</v>
      </c>
      <c r="AA176" s="258">
        <v>43523</v>
      </c>
      <c r="AB176" s="329" t="s">
        <v>2097</v>
      </c>
      <c r="AC176" s="329">
        <v>2943373694</v>
      </c>
      <c r="AD176" s="329"/>
      <c r="AE176" s="329"/>
      <c r="AF176" s="329"/>
      <c r="AG176" s="251" t="s">
        <v>283</v>
      </c>
      <c r="AH176" s="251"/>
      <c r="AI176" s="260"/>
      <c r="AJ176" s="251"/>
      <c r="AK176" s="260"/>
      <c r="AL176" s="260"/>
      <c r="AM176" s="251" t="s">
        <v>49</v>
      </c>
      <c r="AN176" s="251" t="s">
        <v>284</v>
      </c>
      <c r="AO176" s="251" t="s">
        <v>50</v>
      </c>
      <c r="AP176" s="251" t="s">
        <v>51</v>
      </c>
      <c r="AQ176" s="262"/>
    </row>
    <row r="177" spans="1:43" ht="15.75" customHeight="1">
      <c r="A177" s="110">
        <v>43482</v>
      </c>
      <c r="B177" s="263" t="s">
        <v>100</v>
      </c>
      <c r="C177" s="250"/>
      <c r="D177" s="250" t="s">
        <v>485</v>
      </c>
      <c r="E177" s="23" t="s">
        <v>346</v>
      </c>
      <c r="F177" s="251">
        <v>1</v>
      </c>
      <c r="G177" s="252">
        <v>278</v>
      </c>
      <c r="H177" s="266">
        <f t="shared" si="14"/>
        <v>278</v>
      </c>
      <c r="I177" s="264" t="s">
        <v>104</v>
      </c>
      <c r="J177" s="367" t="s">
        <v>289</v>
      </c>
      <c r="K177" s="256">
        <v>43482</v>
      </c>
      <c r="L177" s="256"/>
      <c r="M177" s="623"/>
      <c r="N177" s="251" t="s">
        <v>1999</v>
      </c>
      <c r="O177" s="250"/>
      <c r="P177" s="328"/>
      <c r="Q177" s="328"/>
      <c r="R177" s="328"/>
      <c r="S177" s="328"/>
      <c r="T177" s="572"/>
      <c r="U177" s="572">
        <v>8224</v>
      </c>
      <c r="V177" s="308" t="s">
        <v>2000</v>
      </c>
      <c r="W177" s="394">
        <v>43520</v>
      </c>
      <c r="X177" s="269">
        <v>43490</v>
      </c>
      <c r="Y177" s="259" t="s">
        <v>486</v>
      </c>
      <c r="Z177" s="270">
        <v>9218</v>
      </c>
      <c r="AA177" s="258">
        <v>43526</v>
      </c>
      <c r="AB177" s="337"/>
      <c r="AC177" s="574" t="s">
        <v>0</v>
      </c>
      <c r="AD177" s="329"/>
      <c r="AE177" s="329"/>
      <c r="AF177" s="329"/>
      <c r="AG177" s="251" t="s">
        <v>283</v>
      </c>
      <c r="AH177" s="251"/>
      <c r="AI177" s="260"/>
      <c r="AJ177" s="261">
        <v>43530</v>
      </c>
      <c r="AK177" s="260"/>
      <c r="AL177" s="260"/>
      <c r="AM177" s="251" t="s">
        <v>49</v>
      </c>
      <c r="AN177" s="251" t="s">
        <v>284</v>
      </c>
      <c r="AO177" s="251" t="s">
        <v>50</v>
      </c>
      <c r="AP177" s="251" t="s">
        <v>51</v>
      </c>
      <c r="AQ177" s="262"/>
    </row>
    <row r="178" spans="1:43" ht="15.75" customHeight="1">
      <c r="A178" s="69">
        <v>43483</v>
      </c>
      <c r="B178" s="70" t="s">
        <v>100</v>
      </c>
      <c r="C178" s="21" t="s">
        <v>487</v>
      </c>
      <c r="D178" s="21" t="s">
        <v>488</v>
      </c>
      <c r="E178" s="23" t="s">
        <v>489</v>
      </c>
      <c r="F178" s="58">
        <v>1</v>
      </c>
      <c r="G178" s="47">
        <v>650</v>
      </c>
      <c r="H178" s="48">
        <f t="shared" ref="H178:H186" si="15">F178*G178</f>
        <v>650</v>
      </c>
      <c r="I178" s="87" t="s">
        <v>104</v>
      </c>
      <c r="J178" s="31" t="s">
        <v>289</v>
      </c>
      <c r="K178" s="29">
        <v>43522</v>
      </c>
      <c r="L178" s="29"/>
      <c r="M178" s="30">
        <v>43521</v>
      </c>
      <c r="N178" s="346" t="s">
        <v>2099</v>
      </c>
      <c r="O178" s="21" t="s">
        <v>2100</v>
      </c>
      <c r="P178" s="406"/>
      <c r="Q178" s="406"/>
      <c r="R178" s="406"/>
      <c r="S178" s="406"/>
      <c r="T178" s="406"/>
      <c r="U178" s="406">
        <v>19237</v>
      </c>
      <c r="V178" s="23" t="s">
        <v>2101</v>
      </c>
      <c r="W178" s="395" t="s">
        <v>490</v>
      </c>
      <c r="X178" s="293">
        <v>43521</v>
      </c>
      <c r="Y178" s="294" t="s">
        <v>491</v>
      </c>
      <c r="Z178" s="295">
        <v>28294</v>
      </c>
      <c r="AA178" s="293">
        <v>43512</v>
      </c>
      <c r="AB178" s="304" t="s">
        <v>2102</v>
      </c>
      <c r="AC178" s="304">
        <v>2371245074</v>
      </c>
      <c r="AD178" s="304"/>
      <c r="AE178" s="304"/>
      <c r="AF178" s="304"/>
      <c r="AG178" s="296"/>
      <c r="AH178" s="296"/>
      <c r="AI178" s="297"/>
      <c r="AJ178" s="298">
        <v>43587</v>
      </c>
      <c r="AK178" s="297" t="s">
        <v>1957</v>
      </c>
      <c r="AL178" s="297" t="s">
        <v>1958</v>
      </c>
      <c r="AM178" s="296" t="s">
        <v>49</v>
      </c>
      <c r="AN178" s="24" t="s">
        <v>284</v>
      </c>
      <c r="AO178" s="296" t="s">
        <v>50</v>
      </c>
      <c r="AP178" s="296" t="s">
        <v>51</v>
      </c>
      <c r="AQ178" s="234" t="s">
        <v>304</v>
      </c>
    </row>
    <row r="179" spans="1:43" ht="15.75" customHeight="1">
      <c r="A179" s="69">
        <v>43483</v>
      </c>
      <c r="B179" s="70" t="s">
        <v>100</v>
      </c>
      <c r="C179" s="21" t="s">
        <v>487</v>
      </c>
      <c r="D179" s="396" t="s">
        <v>488</v>
      </c>
      <c r="E179" s="23" t="s">
        <v>492</v>
      </c>
      <c r="F179" s="58">
        <v>1</v>
      </c>
      <c r="G179" s="47">
        <v>309</v>
      </c>
      <c r="H179" s="48">
        <f t="shared" si="15"/>
        <v>309</v>
      </c>
      <c r="I179" s="87" t="s">
        <v>104</v>
      </c>
      <c r="J179" s="31" t="s">
        <v>289</v>
      </c>
      <c r="K179" s="29">
        <v>43522</v>
      </c>
      <c r="L179" s="29"/>
      <c r="M179" s="30">
        <v>43521</v>
      </c>
      <c r="N179" s="346" t="s">
        <v>2099</v>
      </c>
      <c r="O179" s="21" t="s">
        <v>2103</v>
      </c>
      <c r="P179" s="406"/>
      <c r="Q179" s="406"/>
      <c r="R179" s="406"/>
      <c r="S179" s="406"/>
      <c r="T179" s="406"/>
      <c r="U179" s="406">
        <v>9057</v>
      </c>
      <c r="V179" s="23" t="s">
        <v>2101</v>
      </c>
      <c r="W179" s="395" t="s">
        <v>490</v>
      </c>
      <c r="X179" s="293">
        <v>43521</v>
      </c>
      <c r="Y179" s="294" t="s">
        <v>491</v>
      </c>
      <c r="Z179" s="294" t="s">
        <v>2104</v>
      </c>
      <c r="AA179" s="293">
        <v>43512</v>
      </c>
      <c r="AB179" s="304" t="s">
        <v>2102</v>
      </c>
      <c r="AC179" s="304">
        <v>2371245074</v>
      </c>
      <c r="AD179" s="304"/>
      <c r="AE179" s="304"/>
      <c r="AF179" s="304"/>
      <c r="AG179" s="296"/>
      <c r="AH179" s="296"/>
      <c r="AI179" s="297"/>
      <c r="AJ179" s="298">
        <v>43587</v>
      </c>
      <c r="AK179" s="297" t="s">
        <v>1957</v>
      </c>
      <c r="AL179" s="297" t="s">
        <v>1958</v>
      </c>
      <c r="AM179" s="296" t="s">
        <v>49</v>
      </c>
      <c r="AN179" s="24" t="s">
        <v>284</v>
      </c>
      <c r="AO179" s="296" t="s">
        <v>50</v>
      </c>
      <c r="AP179" s="296" t="s">
        <v>51</v>
      </c>
      <c r="AQ179" s="234" t="s">
        <v>304</v>
      </c>
    </row>
    <row r="180" spans="1:43" ht="15.75" customHeight="1">
      <c r="A180" s="397">
        <v>43483</v>
      </c>
      <c r="B180" s="375" t="s">
        <v>100</v>
      </c>
      <c r="C180" s="183" t="s">
        <v>487</v>
      </c>
      <c r="D180" s="183" t="s">
        <v>488</v>
      </c>
      <c r="E180" s="23" t="s">
        <v>493</v>
      </c>
      <c r="F180" s="398">
        <v>0</v>
      </c>
      <c r="G180" s="399">
        <v>309</v>
      </c>
      <c r="H180" s="399">
        <f t="shared" si="15"/>
        <v>0</v>
      </c>
      <c r="I180" s="400" t="s">
        <v>104</v>
      </c>
      <c r="J180" s="381" t="s">
        <v>289</v>
      </c>
      <c r="K180" s="191">
        <v>43518</v>
      </c>
      <c r="L180" s="191"/>
      <c r="M180" s="192">
        <v>43517</v>
      </c>
      <c r="N180" s="200" t="s">
        <v>2099</v>
      </c>
      <c r="O180" s="183" t="s">
        <v>2100</v>
      </c>
      <c r="P180" s="194"/>
      <c r="Q180" s="194"/>
      <c r="R180" s="194"/>
      <c r="S180" s="194"/>
      <c r="T180" s="194"/>
      <c r="U180" s="194">
        <v>0</v>
      </c>
      <c r="V180" s="185" t="s">
        <v>2101</v>
      </c>
      <c r="W180" s="195"/>
      <c r="X180" s="199"/>
      <c r="Y180" s="199"/>
      <c r="Z180" s="383"/>
      <c r="AA180" s="199"/>
      <c r="AB180" s="199"/>
      <c r="AC180" s="199"/>
      <c r="AD180" s="199"/>
      <c r="AE180" s="199"/>
      <c r="AF180" s="199"/>
      <c r="AG180" s="200"/>
      <c r="AH180" s="200"/>
      <c r="AI180" s="201"/>
      <c r="AJ180" s="200" t="s">
        <v>1212</v>
      </c>
      <c r="AK180" s="201"/>
      <c r="AL180" s="201"/>
      <c r="AM180" s="200" t="s">
        <v>49</v>
      </c>
      <c r="AN180" s="200" t="s">
        <v>295</v>
      </c>
      <c r="AO180" s="200" t="s">
        <v>50</v>
      </c>
      <c r="AP180" s="200" t="s">
        <v>51</v>
      </c>
      <c r="AQ180" s="203"/>
    </row>
    <row r="181" spans="1:43" ht="15.75" customHeight="1">
      <c r="A181" s="69">
        <v>43484</v>
      </c>
      <c r="B181" s="144" t="s">
        <v>166</v>
      </c>
      <c r="C181" s="250"/>
      <c r="D181" s="250" t="s">
        <v>494</v>
      </c>
      <c r="E181" s="23" t="s">
        <v>495</v>
      </c>
      <c r="F181" s="401">
        <v>3</v>
      </c>
      <c r="G181" s="265">
        <v>1155</v>
      </c>
      <c r="H181" s="265">
        <f t="shared" si="15"/>
        <v>3465</v>
      </c>
      <c r="I181" s="264" t="s">
        <v>104</v>
      </c>
      <c r="J181" s="401" t="s">
        <v>171</v>
      </c>
      <c r="K181" s="256">
        <v>43517</v>
      </c>
      <c r="L181" s="256"/>
      <c r="M181" s="256">
        <v>43517</v>
      </c>
      <c r="N181" s="597" t="s">
        <v>2074</v>
      </c>
      <c r="O181" s="595" t="s">
        <v>2105</v>
      </c>
      <c r="P181" s="593"/>
      <c r="Q181" s="593"/>
      <c r="R181" s="593"/>
      <c r="S181" s="593"/>
      <c r="T181" s="266"/>
      <c r="U181" s="266">
        <v>112856</v>
      </c>
      <c r="V181" s="328"/>
      <c r="W181" s="337"/>
      <c r="X181" s="329"/>
      <c r="Y181" s="329"/>
      <c r="Z181" s="402"/>
      <c r="AA181" s="329"/>
      <c r="AB181" s="329" t="s">
        <v>2106</v>
      </c>
      <c r="AC181" s="329">
        <v>9247174230</v>
      </c>
      <c r="AD181" s="329"/>
      <c r="AE181" s="329"/>
      <c r="AF181" s="329"/>
      <c r="AG181" s="251" t="s">
        <v>283</v>
      </c>
      <c r="AH181" s="251">
        <v>30.8</v>
      </c>
      <c r="AI181" s="260"/>
      <c r="AJ181" s="251"/>
      <c r="AK181" s="260"/>
      <c r="AL181" s="260"/>
      <c r="AM181" s="251" t="s">
        <v>49</v>
      </c>
      <c r="AN181" s="251" t="s">
        <v>284</v>
      </c>
      <c r="AO181" s="251" t="s">
        <v>285</v>
      </c>
      <c r="AP181" s="251" t="s">
        <v>51</v>
      </c>
      <c r="AQ181" s="262"/>
    </row>
    <row r="182" spans="1:43" ht="15.75" customHeight="1">
      <c r="A182" s="69">
        <v>43484</v>
      </c>
      <c r="B182" s="144" t="s">
        <v>166</v>
      </c>
      <c r="C182" s="250"/>
      <c r="D182" s="250" t="s">
        <v>494</v>
      </c>
      <c r="E182" s="23" t="s">
        <v>496</v>
      </c>
      <c r="F182" s="401">
        <v>3</v>
      </c>
      <c r="G182" s="265">
        <v>132</v>
      </c>
      <c r="H182" s="265">
        <f t="shared" si="15"/>
        <v>396</v>
      </c>
      <c r="I182" s="264" t="s">
        <v>104</v>
      </c>
      <c r="J182" s="328"/>
      <c r="K182" s="256">
        <v>43517</v>
      </c>
      <c r="L182" s="256"/>
      <c r="M182" s="256">
        <v>43517</v>
      </c>
      <c r="N182" s="597" t="s">
        <v>2074</v>
      </c>
      <c r="O182" s="595" t="s">
        <v>2105</v>
      </c>
      <c r="P182" s="593"/>
      <c r="Q182" s="593"/>
      <c r="R182" s="593"/>
      <c r="S182" s="593"/>
      <c r="T182" s="574"/>
      <c r="U182" s="574" t="s">
        <v>2107</v>
      </c>
      <c r="V182" s="328"/>
      <c r="W182" s="337"/>
      <c r="X182" s="329"/>
      <c r="Y182" s="403"/>
      <c r="Z182" s="402"/>
      <c r="AA182" s="329"/>
      <c r="AB182" s="329" t="s">
        <v>2106</v>
      </c>
      <c r="AC182" s="329">
        <v>9247174230</v>
      </c>
      <c r="AD182" s="329"/>
      <c r="AE182" s="329"/>
      <c r="AF182" s="329"/>
      <c r="AG182" s="251" t="s">
        <v>283</v>
      </c>
      <c r="AH182" s="251">
        <v>30.8</v>
      </c>
      <c r="AI182" s="260"/>
      <c r="AJ182" s="251"/>
      <c r="AK182" s="260"/>
      <c r="AL182" s="260"/>
      <c r="AM182" s="251" t="s">
        <v>49</v>
      </c>
      <c r="AN182" s="251" t="s">
        <v>284</v>
      </c>
      <c r="AO182" s="251" t="s">
        <v>285</v>
      </c>
      <c r="AP182" s="251" t="s">
        <v>51</v>
      </c>
      <c r="AQ182" s="262"/>
    </row>
    <row r="183" spans="1:43" ht="15.75" customHeight="1">
      <c r="A183" s="110">
        <v>43484</v>
      </c>
      <c r="B183" s="147" t="s">
        <v>166</v>
      </c>
      <c r="C183" s="250"/>
      <c r="D183" s="250" t="s">
        <v>494</v>
      </c>
      <c r="E183" s="23" t="s">
        <v>497</v>
      </c>
      <c r="F183" s="401">
        <v>3</v>
      </c>
      <c r="G183" s="265">
        <v>28</v>
      </c>
      <c r="H183" s="253">
        <f t="shared" si="15"/>
        <v>84</v>
      </c>
      <c r="I183" s="264" t="s">
        <v>104</v>
      </c>
      <c r="J183" s="331" t="s">
        <v>171</v>
      </c>
      <c r="K183" s="256">
        <v>43517</v>
      </c>
      <c r="L183" s="256"/>
      <c r="M183" s="256">
        <v>43517</v>
      </c>
      <c r="N183" s="597" t="s">
        <v>2074</v>
      </c>
      <c r="O183" s="595" t="s">
        <v>2105</v>
      </c>
      <c r="P183" s="593"/>
      <c r="Q183" s="593"/>
      <c r="R183" s="593"/>
      <c r="S183" s="593"/>
      <c r="T183" s="574"/>
      <c r="U183" s="574" t="s">
        <v>2107</v>
      </c>
      <c r="V183" s="328"/>
      <c r="W183" s="337"/>
      <c r="X183" s="329"/>
      <c r="Y183" s="329"/>
      <c r="Z183" s="402"/>
      <c r="AA183" s="329"/>
      <c r="AB183" s="329" t="s">
        <v>2106</v>
      </c>
      <c r="AC183" s="329">
        <v>9247174230</v>
      </c>
      <c r="AD183" s="329"/>
      <c r="AE183" s="329"/>
      <c r="AF183" s="329"/>
      <c r="AG183" s="251" t="s">
        <v>283</v>
      </c>
      <c r="AH183" s="251">
        <v>30.8</v>
      </c>
      <c r="AI183" s="260"/>
      <c r="AJ183" s="251"/>
      <c r="AK183" s="260"/>
      <c r="AL183" s="260"/>
      <c r="AM183" s="251" t="s">
        <v>49</v>
      </c>
      <c r="AN183" s="251" t="s">
        <v>284</v>
      </c>
      <c r="AO183" s="251" t="s">
        <v>285</v>
      </c>
      <c r="AP183" s="251" t="s">
        <v>51</v>
      </c>
      <c r="AQ183" s="262"/>
    </row>
    <row r="184" spans="1:43" ht="15.75" customHeight="1">
      <c r="A184" s="110">
        <v>43484</v>
      </c>
      <c r="B184" s="147" t="s">
        <v>166</v>
      </c>
      <c r="C184" s="250"/>
      <c r="D184" s="250" t="s">
        <v>498</v>
      </c>
      <c r="E184" s="23" t="s">
        <v>499</v>
      </c>
      <c r="F184" s="401">
        <v>1</v>
      </c>
      <c r="G184" s="265">
        <v>1155</v>
      </c>
      <c r="H184" s="253">
        <f t="shared" si="15"/>
        <v>1155</v>
      </c>
      <c r="I184" s="264" t="s">
        <v>104</v>
      </c>
      <c r="J184" s="331" t="s">
        <v>171</v>
      </c>
      <c r="K184" s="256">
        <v>43517</v>
      </c>
      <c r="L184" s="256"/>
      <c r="M184" s="256">
        <v>43517</v>
      </c>
      <c r="N184" s="597" t="s">
        <v>2074</v>
      </c>
      <c r="O184" s="595" t="s">
        <v>2105</v>
      </c>
      <c r="P184" s="593"/>
      <c r="Q184" s="593"/>
      <c r="R184" s="593"/>
      <c r="S184" s="593"/>
      <c r="T184" s="574"/>
      <c r="U184" s="574" t="s">
        <v>2107</v>
      </c>
      <c r="V184" s="328"/>
      <c r="W184" s="337"/>
      <c r="X184" s="329"/>
      <c r="Y184" s="329"/>
      <c r="Z184" s="402"/>
      <c r="AA184" s="329"/>
      <c r="AB184" s="329" t="s">
        <v>2106</v>
      </c>
      <c r="AC184" s="329">
        <v>9247174230</v>
      </c>
      <c r="AD184" s="329"/>
      <c r="AE184" s="329"/>
      <c r="AF184" s="329"/>
      <c r="AG184" s="251" t="s">
        <v>283</v>
      </c>
      <c r="AH184" s="251">
        <v>30.8</v>
      </c>
      <c r="AI184" s="260"/>
      <c r="AJ184" s="251"/>
      <c r="AK184" s="260"/>
      <c r="AL184" s="260"/>
      <c r="AM184" s="251" t="s">
        <v>49</v>
      </c>
      <c r="AN184" s="251" t="s">
        <v>284</v>
      </c>
      <c r="AO184" s="251" t="s">
        <v>285</v>
      </c>
      <c r="AP184" s="251" t="s">
        <v>51</v>
      </c>
      <c r="AQ184" s="262"/>
    </row>
    <row r="185" spans="1:43" ht="15.75" customHeight="1">
      <c r="A185" s="110">
        <v>43484</v>
      </c>
      <c r="B185" s="147" t="s">
        <v>166</v>
      </c>
      <c r="C185" s="250"/>
      <c r="D185" s="250" t="s">
        <v>498</v>
      </c>
      <c r="E185" s="23" t="s">
        <v>500</v>
      </c>
      <c r="F185" s="401">
        <v>1</v>
      </c>
      <c r="G185" s="265">
        <v>132</v>
      </c>
      <c r="H185" s="253">
        <f t="shared" si="15"/>
        <v>132</v>
      </c>
      <c r="I185" s="264" t="s">
        <v>104</v>
      </c>
      <c r="J185" s="331" t="s">
        <v>171</v>
      </c>
      <c r="K185" s="256">
        <v>43517</v>
      </c>
      <c r="L185" s="256"/>
      <c r="M185" s="624"/>
      <c r="N185" s="597" t="s">
        <v>2074</v>
      </c>
      <c r="O185" s="595" t="s">
        <v>2105</v>
      </c>
      <c r="P185" s="593"/>
      <c r="Q185" s="593"/>
      <c r="R185" s="593"/>
      <c r="S185" s="593"/>
      <c r="T185" s="574"/>
      <c r="U185" s="574" t="s">
        <v>2107</v>
      </c>
      <c r="V185" s="328"/>
      <c r="W185" s="337"/>
      <c r="X185" s="329"/>
      <c r="Y185" s="329"/>
      <c r="Z185" s="402"/>
      <c r="AA185" s="329"/>
      <c r="AB185" s="329" t="s">
        <v>2106</v>
      </c>
      <c r="AC185" s="329">
        <v>9247174230</v>
      </c>
      <c r="AD185" s="329"/>
      <c r="AE185" s="329"/>
      <c r="AF185" s="329"/>
      <c r="AG185" s="251" t="s">
        <v>283</v>
      </c>
      <c r="AH185" s="251">
        <v>30.8</v>
      </c>
      <c r="AI185" s="260"/>
      <c r="AJ185" s="251"/>
      <c r="AK185" s="260"/>
      <c r="AL185" s="260"/>
      <c r="AM185" s="251" t="s">
        <v>49</v>
      </c>
      <c r="AN185" s="251" t="s">
        <v>284</v>
      </c>
      <c r="AO185" s="251" t="s">
        <v>285</v>
      </c>
      <c r="AP185" s="251" t="s">
        <v>51</v>
      </c>
      <c r="AQ185" s="262"/>
    </row>
    <row r="186" spans="1:43" ht="15.75" customHeight="1">
      <c r="A186" s="110">
        <v>43484</v>
      </c>
      <c r="B186" s="147" t="s">
        <v>166</v>
      </c>
      <c r="C186" s="250"/>
      <c r="D186" s="250" t="s">
        <v>498</v>
      </c>
      <c r="E186" s="23" t="s">
        <v>497</v>
      </c>
      <c r="F186" s="401">
        <v>1</v>
      </c>
      <c r="G186" s="265">
        <v>28</v>
      </c>
      <c r="H186" s="253">
        <f t="shared" si="15"/>
        <v>28</v>
      </c>
      <c r="I186" s="264" t="s">
        <v>104</v>
      </c>
      <c r="J186" s="331" t="s">
        <v>171</v>
      </c>
      <c r="K186" s="256">
        <v>43517</v>
      </c>
      <c r="L186" s="256"/>
      <c r="M186" s="624"/>
      <c r="N186" s="592" t="s">
        <v>2074</v>
      </c>
      <c r="O186" s="595" t="s">
        <v>2105</v>
      </c>
      <c r="P186" s="593"/>
      <c r="Q186" s="593"/>
      <c r="R186" s="593"/>
      <c r="S186" s="593"/>
      <c r="T186" s="574"/>
      <c r="U186" s="574" t="s">
        <v>2107</v>
      </c>
      <c r="V186" s="386"/>
      <c r="W186" s="337"/>
      <c r="X186" s="329"/>
      <c r="Y186" s="329"/>
      <c r="Z186" s="402"/>
      <c r="AA186" s="329"/>
      <c r="AB186" s="329" t="s">
        <v>2106</v>
      </c>
      <c r="AC186" s="329">
        <v>9247174230</v>
      </c>
      <c r="AD186" s="329"/>
      <c r="AE186" s="329"/>
      <c r="AF186" s="329"/>
      <c r="AG186" s="251" t="s">
        <v>283</v>
      </c>
      <c r="AH186" s="251">
        <v>30.8</v>
      </c>
      <c r="AI186" s="260"/>
      <c r="AJ186" s="251"/>
      <c r="AK186" s="260"/>
      <c r="AL186" s="260"/>
      <c r="AM186" s="251" t="s">
        <v>49</v>
      </c>
      <c r="AN186" s="251" t="s">
        <v>284</v>
      </c>
      <c r="AO186" s="251" t="s">
        <v>285</v>
      </c>
      <c r="AP186" s="251" t="s">
        <v>51</v>
      </c>
      <c r="AQ186" s="262"/>
    </row>
    <row r="187" spans="1:43" ht="15.75" customHeight="1">
      <c r="A187" s="110">
        <v>43486</v>
      </c>
      <c r="B187" s="147" t="s">
        <v>139</v>
      </c>
      <c r="C187" s="21" t="s">
        <v>501</v>
      </c>
      <c r="D187" s="21" t="s">
        <v>502</v>
      </c>
      <c r="E187" s="23" t="s">
        <v>503</v>
      </c>
      <c r="F187" s="58">
        <v>1</v>
      </c>
      <c r="G187" s="76">
        <v>63</v>
      </c>
      <c r="H187" s="26">
        <v>63</v>
      </c>
      <c r="I187" s="87" t="s">
        <v>104</v>
      </c>
      <c r="J187" s="31" t="s">
        <v>504</v>
      </c>
      <c r="K187" s="29">
        <v>43510</v>
      </c>
      <c r="L187" s="29"/>
      <c r="M187" s="29">
        <v>43508</v>
      </c>
      <c r="N187" s="50" t="s">
        <v>1512</v>
      </c>
      <c r="O187" s="93" t="s">
        <v>2108</v>
      </c>
      <c r="P187" s="406"/>
      <c r="Q187" s="406"/>
      <c r="R187" s="406"/>
      <c r="S187" s="406"/>
      <c r="T187" s="620"/>
      <c r="U187" s="620">
        <v>1386</v>
      </c>
      <c r="V187" s="21" t="s">
        <v>2109</v>
      </c>
      <c r="W187" s="303">
        <v>43529</v>
      </c>
      <c r="X187" s="303">
        <v>43507</v>
      </c>
      <c r="Y187" s="304" t="s">
        <v>505</v>
      </c>
      <c r="Z187" s="404">
        <v>6867</v>
      </c>
      <c r="AA187" s="303">
        <v>43557</v>
      </c>
      <c r="AB187" s="304" t="s">
        <v>2110</v>
      </c>
      <c r="AC187" s="350">
        <v>632243511</v>
      </c>
      <c r="AD187" s="304"/>
      <c r="AE187" s="304"/>
      <c r="AF187" s="304"/>
      <c r="AG187" s="296"/>
      <c r="AH187" s="296"/>
      <c r="AI187" s="297"/>
      <c r="AJ187" s="298">
        <v>43676</v>
      </c>
      <c r="AK187" s="297">
        <f>1074.55*31.03</f>
        <v>33343.286500000002</v>
      </c>
      <c r="AL187" s="297">
        <f>(1121-1074.55)*31.03</f>
        <v>1441.3435000000015</v>
      </c>
      <c r="AM187" s="296" t="s">
        <v>49</v>
      </c>
      <c r="AN187" s="296" t="s">
        <v>284</v>
      </c>
      <c r="AO187" s="296" t="s">
        <v>285</v>
      </c>
      <c r="AP187" s="296" t="s">
        <v>51</v>
      </c>
      <c r="AQ187" s="234" t="s">
        <v>506</v>
      </c>
    </row>
    <row r="188" spans="1:43" ht="15.75" customHeight="1">
      <c r="A188" s="110">
        <v>43486</v>
      </c>
      <c r="B188" s="147" t="s">
        <v>139</v>
      </c>
      <c r="C188" s="21" t="s">
        <v>501</v>
      </c>
      <c r="D188" s="21" t="s">
        <v>502</v>
      </c>
      <c r="E188" s="23" t="s">
        <v>507</v>
      </c>
      <c r="F188" s="58">
        <v>1</v>
      </c>
      <c r="G188" s="76">
        <v>93</v>
      </c>
      <c r="H188" s="26">
        <v>93</v>
      </c>
      <c r="I188" s="87" t="s">
        <v>104</v>
      </c>
      <c r="J188" s="58" t="s">
        <v>504</v>
      </c>
      <c r="K188" s="29">
        <v>43510</v>
      </c>
      <c r="L188" s="29"/>
      <c r="M188" s="29">
        <v>43508</v>
      </c>
      <c r="N188" s="50" t="s">
        <v>1512</v>
      </c>
      <c r="O188" s="93" t="s">
        <v>2108</v>
      </c>
      <c r="P188" s="406"/>
      <c r="Q188" s="406"/>
      <c r="R188" s="406"/>
      <c r="S188" s="406"/>
      <c r="T188" s="625"/>
      <c r="U188" s="625">
        <v>2047.5</v>
      </c>
      <c r="V188" s="21" t="s">
        <v>2109</v>
      </c>
      <c r="W188" s="303">
        <v>43529</v>
      </c>
      <c r="X188" s="303">
        <v>43507</v>
      </c>
      <c r="Y188" s="304" t="s">
        <v>505</v>
      </c>
      <c r="Z188" s="404" t="s">
        <v>2111</v>
      </c>
      <c r="AA188" s="303">
        <v>43557</v>
      </c>
      <c r="AB188" s="304" t="s">
        <v>2110</v>
      </c>
      <c r="AC188" s="350">
        <v>632243511</v>
      </c>
      <c r="AD188" s="304"/>
      <c r="AE188" s="304"/>
      <c r="AF188" s="304"/>
      <c r="AG188" s="296"/>
      <c r="AH188" s="296"/>
      <c r="AI188" s="297"/>
      <c r="AJ188" s="298">
        <v>43676</v>
      </c>
      <c r="AK188" s="297" t="s">
        <v>2112</v>
      </c>
      <c r="AL188" s="297" t="s">
        <v>2113</v>
      </c>
      <c r="AM188" s="296" t="s">
        <v>49</v>
      </c>
      <c r="AN188" s="296" t="s">
        <v>284</v>
      </c>
      <c r="AO188" s="296" t="s">
        <v>285</v>
      </c>
      <c r="AP188" s="296" t="s">
        <v>51</v>
      </c>
      <c r="AQ188" s="234" t="s">
        <v>506</v>
      </c>
    </row>
    <row r="189" spans="1:43" ht="15.75" customHeight="1">
      <c r="A189" s="110">
        <v>43486</v>
      </c>
      <c r="B189" s="147" t="s">
        <v>139</v>
      </c>
      <c r="C189" s="21" t="s">
        <v>501</v>
      </c>
      <c r="D189" s="21" t="s">
        <v>502</v>
      </c>
      <c r="E189" s="23" t="s">
        <v>508</v>
      </c>
      <c r="F189" s="58">
        <v>1</v>
      </c>
      <c r="G189" s="76">
        <v>93</v>
      </c>
      <c r="H189" s="26">
        <v>93</v>
      </c>
      <c r="I189" s="87" t="s">
        <v>104</v>
      </c>
      <c r="J189" s="31" t="s">
        <v>504</v>
      </c>
      <c r="K189" s="29">
        <v>43510</v>
      </c>
      <c r="L189" s="29"/>
      <c r="M189" s="29">
        <v>43508</v>
      </c>
      <c r="N189" s="50" t="s">
        <v>1512</v>
      </c>
      <c r="O189" s="93" t="s">
        <v>2108</v>
      </c>
      <c r="P189" s="406"/>
      <c r="Q189" s="406"/>
      <c r="R189" s="406"/>
      <c r="S189" s="406"/>
      <c r="T189" s="625"/>
      <c r="U189" s="625">
        <v>2047.5</v>
      </c>
      <c r="V189" s="21" t="s">
        <v>2109</v>
      </c>
      <c r="W189" s="303">
        <v>43529</v>
      </c>
      <c r="X189" s="303">
        <v>43507</v>
      </c>
      <c r="Y189" s="304" t="s">
        <v>505</v>
      </c>
      <c r="Z189" s="404" t="s">
        <v>2111</v>
      </c>
      <c r="AA189" s="303">
        <v>43557</v>
      </c>
      <c r="AB189" s="304" t="s">
        <v>2110</v>
      </c>
      <c r="AC189" s="350">
        <v>632243511</v>
      </c>
      <c r="AD189" s="304"/>
      <c r="AE189" s="304"/>
      <c r="AF189" s="304"/>
      <c r="AG189" s="296"/>
      <c r="AH189" s="296"/>
      <c r="AI189" s="297"/>
      <c r="AJ189" s="298">
        <v>43676</v>
      </c>
      <c r="AK189" s="297" t="s">
        <v>2112</v>
      </c>
      <c r="AL189" s="297" t="s">
        <v>2113</v>
      </c>
      <c r="AM189" s="296" t="s">
        <v>49</v>
      </c>
      <c r="AN189" s="296" t="s">
        <v>284</v>
      </c>
      <c r="AO189" s="296" t="s">
        <v>285</v>
      </c>
      <c r="AP189" s="296" t="s">
        <v>51</v>
      </c>
      <c r="AQ189" s="234" t="s">
        <v>506</v>
      </c>
    </row>
    <row r="190" spans="1:43" ht="15.75" customHeight="1">
      <c r="A190" s="110">
        <v>43486</v>
      </c>
      <c r="B190" s="147" t="s">
        <v>139</v>
      </c>
      <c r="C190" s="21" t="s">
        <v>501</v>
      </c>
      <c r="D190" s="21" t="s">
        <v>502</v>
      </c>
      <c r="E190" s="23" t="s">
        <v>509</v>
      </c>
      <c r="F190" s="58">
        <v>1</v>
      </c>
      <c r="G190" s="76">
        <v>63</v>
      </c>
      <c r="H190" s="26">
        <v>63</v>
      </c>
      <c r="I190" s="87" t="s">
        <v>104</v>
      </c>
      <c r="J190" s="31" t="s">
        <v>504</v>
      </c>
      <c r="K190" s="29">
        <v>43510</v>
      </c>
      <c r="L190" s="29"/>
      <c r="M190" s="29">
        <v>43508</v>
      </c>
      <c r="N190" s="50" t="s">
        <v>1512</v>
      </c>
      <c r="O190" s="93" t="s">
        <v>2108</v>
      </c>
      <c r="P190" s="406"/>
      <c r="Q190" s="406"/>
      <c r="R190" s="406"/>
      <c r="S190" s="406"/>
      <c r="T190" s="620"/>
      <c r="U190" s="620">
        <v>1386</v>
      </c>
      <c r="V190" s="21" t="s">
        <v>2109</v>
      </c>
      <c r="W190" s="303">
        <v>43529</v>
      </c>
      <c r="X190" s="303">
        <v>43507</v>
      </c>
      <c r="Y190" s="304" t="s">
        <v>505</v>
      </c>
      <c r="Z190" s="404" t="s">
        <v>2111</v>
      </c>
      <c r="AA190" s="303">
        <v>43557</v>
      </c>
      <c r="AB190" s="304" t="s">
        <v>2110</v>
      </c>
      <c r="AC190" s="350">
        <v>632243511</v>
      </c>
      <c r="AD190" s="304"/>
      <c r="AE190" s="304"/>
      <c r="AF190" s="304"/>
      <c r="AG190" s="296"/>
      <c r="AH190" s="296"/>
      <c r="AI190" s="297"/>
      <c r="AJ190" s="298">
        <v>43676</v>
      </c>
      <c r="AK190" s="297" t="s">
        <v>2112</v>
      </c>
      <c r="AL190" s="297" t="s">
        <v>2113</v>
      </c>
      <c r="AM190" s="296" t="s">
        <v>49</v>
      </c>
      <c r="AN190" s="296" t="s">
        <v>284</v>
      </c>
      <c r="AO190" s="296" t="s">
        <v>285</v>
      </c>
      <c r="AP190" s="296" t="s">
        <v>51</v>
      </c>
      <c r="AQ190" s="234" t="s">
        <v>506</v>
      </c>
    </row>
    <row r="191" spans="1:43" ht="15.75" customHeight="1">
      <c r="A191" s="341">
        <v>43486</v>
      </c>
      <c r="B191" s="147" t="s">
        <v>405</v>
      </c>
      <c r="C191" s="290">
        <v>7000144378</v>
      </c>
      <c r="D191" s="22" t="s">
        <v>513</v>
      </c>
      <c r="E191" s="23" t="s">
        <v>511</v>
      </c>
      <c r="F191" s="24">
        <v>5</v>
      </c>
      <c r="G191" s="48">
        <v>39</v>
      </c>
      <c r="H191" s="26">
        <f t="shared" ref="H191:H193" si="16">F191*G191</f>
        <v>195</v>
      </c>
      <c r="I191" s="82" t="s">
        <v>42</v>
      </c>
      <c r="J191" s="405" t="s">
        <v>512</v>
      </c>
      <c r="K191" s="29">
        <v>43529</v>
      </c>
      <c r="L191" s="29"/>
      <c r="M191" s="30">
        <v>43528</v>
      </c>
      <c r="N191" s="296" t="s">
        <v>1309</v>
      </c>
      <c r="O191" s="93" t="s">
        <v>2114</v>
      </c>
      <c r="P191" s="406"/>
      <c r="Q191" s="406"/>
      <c r="R191" s="406"/>
      <c r="S191" s="406"/>
      <c r="T191" s="406"/>
      <c r="U191" s="406">
        <v>4541</v>
      </c>
      <c r="V191" s="406"/>
      <c r="W191" s="304"/>
      <c r="X191" s="304"/>
      <c r="Y191" s="304"/>
      <c r="Z191" s="404"/>
      <c r="AA191" s="304"/>
      <c r="AB191" s="304" t="s">
        <v>2115</v>
      </c>
      <c r="AC191" s="304">
        <v>7476157080</v>
      </c>
      <c r="AD191" s="304"/>
      <c r="AE191" s="304"/>
      <c r="AF191" s="304"/>
      <c r="AG191" s="296"/>
      <c r="AH191" s="296">
        <v>30.74</v>
      </c>
      <c r="AI191" s="297"/>
      <c r="AJ191" s="145">
        <v>43588</v>
      </c>
      <c r="AK191" s="297" t="s">
        <v>2116</v>
      </c>
      <c r="AL191" s="297" t="s">
        <v>2117</v>
      </c>
      <c r="AM191" s="296" t="s">
        <v>49</v>
      </c>
      <c r="AN191" s="24" t="s">
        <v>284</v>
      </c>
      <c r="AO191" s="296" t="s">
        <v>285</v>
      </c>
      <c r="AP191" s="296" t="s">
        <v>51</v>
      </c>
      <c r="AQ191" s="234" t="s">
        <v>304</v>
      </c>
    </row>
    <row r="192" spans="1:43" ht="15.75" customHeight="1">
      <c r="A192" s="341">
        <v>43486</v>
      </c>
      <c r="B192" s="147" t="s">
        <v>405</v>
      </c>
      <c r="C192" s="290">
        <v>7000144378</v>
      </c>
      <c r="D192" s="22" t="s">
        <v>513</v>
      </c>
      <c r="E192" s="23" t="s">
        <v>514</v>
      </c>
      <c r="F192" s="24">
        <v>5</v>
      </c>
      <c r="G192" s="48">
        <v>43</v>
      </c>
      <c r="H192" s="26">
        <f t="shared" si="16"/>
        <v>215</v>
      </c>
      <c r="I192" s="82" t="s">
        <v>42</v>
      </c>
      <c r="J192" s="405" t="s">
        <v>512</v>
      </c>
      <c r="K192" s="29">
        <v>43529</v>
      </c>
      <c r="L192" s="29"/>
      <c r="M192" s="30">
        <v>43528</v>
      </c>
      <c r="N192" s="296" t="s">
        <v>1309</v>
      </c>
      <c r="O192" s="93" t="s">
        <v>2114</v>
      </c>
      <c r="P192" s="406"/>
      <c r="Q192" s="406"/>
      <c r="R192" s="406"/>
      <c r="S192" s="406"/>
      <c r="T192" s="406"/>
      <c r="U192" s="406">
        <v>4830</v>
      </c>
      <c r="V192" s="406"/>
      <c r="W192" s="304"/>
      <c r="X192" s="304"/>
      <c r="Y192" s="304"/>
      <c r="Z192" s="404"/>
      <c r="AA192" s="304"/>
      <c r="AB192" s="304" t="s">
        <v>2115</v>
      </c>
      <c r="AC192" s="304">
        <v>7476157080</v>
      </c>
      <c r="AD192" s="304"/>
      <c r="AE192" s="304"/>
      <c r="AF192" s="304"/>
      <c r="AG192" s="296"/>
      <c r="AH192" s="296">
        <v>30.74</v>
      </c>
      <c r="AI192" s="297"/>
      <c r="AJ192" s="145">
        <v>43588</v>
      </c>
      <c r="AK192" s="297" t="s">
        <v>2116</v>
      </c>
      <c r="AL192" s="297" t="s">
        <v>2117</v>
      </c>
      <c r="AM192" s="296" t="s">
        <v>49</v>
      </c>
      <c r="AN192" s="24" t="s">
        <v>284</v>
      </c>
      <c r="AO192" s="296" t="s">
        <v>285</v>
      </c>
      <c r="AP192" s="296" t="s">
        <v>51</v>
      </c>
      <c r="AQ192" s="234" t="s">
        <v>304</v>
      </c>
    </row>
    <row r="193" spans="1:43" ht="15.75" customHeight="1">
      <c r="A193" s="341">
        <v>43486</v>
      </c>
      <c r="B193" s="147" t="s">
        <v>405</v>
      </c>
      <c r="C193" s="290">
        <v>7000144378</v>
      </c>
      <c r="D193" s="22" t="s">
        <v>515</v>
      </c>
      <c r="E193" s="23" t="s">
        <v>516</v>
      </c>
      <c r="F193" s="24">
        <v>5</v>
      </c>
      <c r="G193" s="48">
        <v>685</v>
      </c>
      <c r="H193" s="26">
        <f t="shared" si="16"/>
        <v>3425</v>
      </c>
      <c r="I193" s="82" t="s">
        <v>42</v>
      </c>
      <c r="J193" s="50" t="s">
        <v>512</v>
      </c>
      <c r="K193" s="29">
        <v>43529</v>
      </c>
      <c r="L193" s="29"/>
      <c r="M193" s="30">
        <v>43528</v>
      </c>
      <c r="N193" s="296" t="s">
        <v>1309</v>
      </c>
      <c r="O193" s="93" t="s">
        <v>2114</v>
      </c>
      <c r="P193" s="406"/>
      <c r="Q193" s="406"/>
      <c r="R193" s="406"/>
      <c r="S193" s="406"/>
      <c r="T193" s="406"/>
      <c r="U193" s="406">
        <v>105042</v>
      </c>
      <c r="V193" s="406"/>
      <c r="W193" s="304"/>
      <c r="X193" s="304"/>
      <c r="Y193" s="304"/>
      <c r="Z193" s="404"/>
      <c r="AA193" s="304"/>
      <c r="AB193" s="304" t="s">
        <v>2115</v>
      </c>
      <c r="AC193" s="304">
        <v>7476157080</v>
      </c>
      <c r="AD193" s="304"/>
      <c r="AE193" s="304"/>
      <c r="AF193" s="304"/>
      <c r="AG193" s="296"/>
      <c r="AH193" s="296">
        <v>30.74</v>
      </c>
      <c r="AI193" s="297"/>
      <c r="AJ193" s="145">
        <v>43588</v>
      </c>
      <c r="AK193" s="297">
        <f>12939.02*30.87</f>
        <v>399427.54740000004</v>
      </c>
      <c r="AL193" s="297">
        <f>(20+6.48)*30.87</f>
        <v>817.43760000000009</v>
      </c>
      <c r="AM193" s="296" t="s">
        <v>49</v>
      </c>
      <c r="AN193" s="24" t="s">
        <v>284</v>
      </c>
      <c r="AO193" s="296" t="s">
        <v>285</v>
      </c>
      <c r="AP193" s="296" t="s">
        <v>51</v>
      </c>
      <c r="AQ193" s="234" t="s">
        <v>304</v>
      </c>
    </row>
    <row r="194" spans="1:43" ht="15.75" customHeight="1">
      <c r="A194" s="110">
        <v>43488</v>
      </c>
      <c r="B194" s="250" t="s">
        <v>405</v>
      </c>
      <c r="C194" s="250">
        <v>7000144486</v>
      </c>
      <c r="D194" s="250" t="s">
        <v>517</v>
      </c>
      <c r="E194" s="23" t="s">
        <v>518</v>
      </c>
      <c r="F194" s="251">
        <v>270</v>
      </c>
      <c r="G194" s="252">
        <v>141.80000000000001</v>
      </c>
      <c r="H194" s="253">
        <f>G194*F194</f>
        <v>38286</v>
      </c>
      <c r="I194" s="264" t="s">
        <v>42</v>
      </c>
      <c r="J194" s="264" t="s">
        <v>519</v>
      </c>
      <c r="K194" s="256">
        <v>43496</v>
      </c>
      <c r="L194" s="256"/>
      <c r="M194" s="256">
        <v>43495</v>
      </c>
      <c r="N194" s="401" t="s">
        <v>2043</v>
      </c>
      <c r="O194" s="250" t="s">
        <v>2118</v>
      </c>
      <c r="P194" s="593"/>
      <c r="Q194" s="593"/>
      <c r="R194" s="593"/>
      <c r="S194" s="593"/>
      <c r="T194" s="572"/>
      <c r="U194" s="572">
        <v>1109619</v>
      </c>
      <c r="V194" s="308" t="s">
        <v>2045</v>
      </c>
      <c r="W194" s="258">
        <v>43585</v>
      </c>
      <c r="X194" s="368">
        <v>43495</v>
      </c>
      <c r="Y194" s="259" t="s">
        <v>520</v>
      </c>
      <c r="Z194" s="270">
        <v>1109619</v>
      </c>
      <c r="AA194" s="368">
        <v>43588</v>
      </c>
      <c r="AB194" s="329" t="s">
        <v>2119</v>
      </c>
      <c r="AC194" s="329" t="s">
        <v>2120</v>
      </c>
      <c r="AD194" s="329"/>
      <c r="AE194" s="329"/>
      <c r="AF194" s="329"/>
      <c r="AG194" s="251" t="s">
        <v>283</v>
      </c>
      <c r="AH194" s="251"/>
      <c r="AI194" s="260"/>
      <c r="AJ194" s="261">
        <v>43497</v>
      </c>
      <c r="AK194" s="260">
        <f>38246.87*30.69</f>
        <v>1173796.4403000001</v>
      </c>
      <c r="AL194" s="260">
        <f>(19.13+20)*30.69</f>
        <v>1200.8996999999999</v>
      </c>
      <c r="AM194" s="251" t="s">
        <v>49</v>
      </c>
      <c r="AN194" s="251" t="s">
        <v>284</v>
      </c>
      <c r="AO194" s="251" t="s">
        <v>50</v>
      </c>
      <c r="AP194" s="251" t="s">
        <v>51</v>
      </c>
      <c r="AQ194" s="262"/>
    </row>
    <row r="195" spans="1:43" ht="15.75" customHeight="1">
      <c r="A195" s="341">
        <v>43488</v>
      </c>
      <c r="B195" s="22" t="s">
        <v>100</v>
      </c>
      <c r="C195" s="406" t="s">
        <v>521</v>
      </c>
      <c r="D195" s="407" t="s">
        <v>522</v>
      </c>
      <c r="E195" s="23" t="s">
        <v>523</v>
      </c>
      <c r="F195" s="58">
        <v>6</v>
      </c>
      <c r="G195" s="47">
        <v>48</v>
      </c>
      <c r="H195" s="26">
        <f t="shared" ref="H195:H213" si="17">F195*G195</f>
        <v>288</v>
      </c>
      <c r="I195" s="296" t="s">
        <v>104</v>
      </c>
      <c r="J195" s="161" t="s">
        <v>289</v>
      </c>
      <c r="K195" s="29">
        <v>43518</v>
      </c>
      <c r="L195" s="29"/>
      <c r="M195" s="30">
        <v>43511</v>
      </c>
      <c r="N195" s="619" t="s">
        <v>1995</v>
      </c>
      <c r="O195" s="93" t="s">
        <v>2121</v>
      </c>
      <c r="P195" s="34"/>
      <c r="Q195" s="34"/>
      <c r="R195" s="34"/>
      <c r="S195" s="34"/>
      <c r="T195" s="406"/>
      <c r="U195" s="406">
        <v>8259</v>
      </c>
      <c r="V195" s="35" t="s">
        <v>1997</v>
      </c>
      <c r="W195" s="408">
        <v>43555</v>
      </c>
      <c r="X195" s="293">
        <v>43510</v>
      </c>
      <c r="Y195" s="294" t="s">
        <v>524</v>
      </c>
      <c r="Z195" s="295" t="s">
        <v>2122</v>
      </c>
      <c r="AA195" s="293">
        <v>43564</v>
      </c>
      <c r="AB195" s="53" t="s">
        <v>2123</v>
      </c>
      <c r="AC195" s="53">
        <v>1836940674</v>
      </c>
      <c r="AD195" s="53"/>
      <c r="AE195" s="53"/>
      <c r="AF195" s="53"/>
      <c r="AG195" s="54"/>
      <c r="AH195" s="54"/>
      <c r="AI195" s="55"/>
      <c r="AJ195" s="56">
        <v>43565</v>
      </c>
      <c r="AK195" s="38" t="s">
        <v>2039</v>
      </c>
      <c r="AL195" s="38" t="s">
        <v>2040</v>
      </c>
      <c r="AM195" s="54" t="s">
        <v>49</v>
      </c>
      <c r="AN195" s="24" t="s">
        <v>284</v>
      </c>
      <c r="AO195" s="54" t="s">
        <v>50</v>
      </c>
      <c r="AP195" s="54" t="s">
        <v>51</v>
      </c>
      <c r="AQ195" s="57" t="s">
        <v>397</v>
      </c>
    </row>
    <row r="196" spans="1:43" ht="15.75" customHeight="1">
      <c r="A196" s="341">
        <v>43488</v>
      </c>
      <c r="B196" s="22" t="s">
        <v>100</v>
      </c>
      <c r="C196" s="406" t="s">
        <v>521</v>
      </c>
      <c r="D196" s="407" t="s">
        <v>525</v>
      </c>
      <c r="E196" s="23" t="s">
        <v>526</v>
      </c>
      <c r="F196" s="58">
        <v>6</v>
      </c>
      <c r="G196" s="47">
        <v>322</v>
      </c>
      <c r="H196" s="26">
        <f t="shared" si="17"/>
        <v>1932</v>
      </c>
      <c r="I196" s="296" t="s">
        <v>104</v>
      </c>
      <c r="J196" s="161" t="s">
        <v>289</v>
      </c>
      <c r="K196" s="29">
        <v>43518</v>
      </c>
      <c r="L196" s="29"/>
      <c r="M196" s="30">
        <v>43511</v>
      </c>
      <c r="N196" s="619" t="s">
        <v>1995</v>
      </c>
      <c r="O196" s="93" t="s">
        <v>2121</v>
      </c>
      <c r="P196" s="34"/>
      <c r="Q196" s="34"/>
      <c r="R196" s="34"/>
      <c r="S196" s="34"/>
      <c r="T196" s="406"/>
      <c r="U196" s="406">
        <v>55056</v>
      </c>
      <c r="V196" s="35" t="s">
        <v>1997</v>
      </c>
      <c r="W196" s="408">
        <v>43555</v>
      </c>
      <c r="X196" s="293">
        <v>43510</v>
      </c>
      <c r="Y196" s="294" t="s">
        <v>524</v>
      </c>
      <c r="Z196" s="295">
        <v>63315</v>
      </c>
      <c r="AA196" s="293">
        <v>43564</v>
      </c>
      <c r="AB196" s="53" t="s">
        <v>2123</v>
      </c>
      <c r="AC196" s="53">
        <v>1836940674</v>
      </c>
      <c r="AD196" s="53"/>
      <c r="AE196" s="53"/>
      <c r="AF196" s="53"/>
      <c r="AG196" s="54"/>
      <c r="AH196" s="54"/>
      <c r="AI196" s="55"/>
      <c r="AJ196" s="56">
        <v>43565</v>
      </c>
      <c r="AK196" s="38" t="s">
        <v>2039</v>
      </c>
      <c r="AL196" s="38" t="s">
        <v>2040</v>
      </c>
      <c r="AM196" s="54" t="s">
        <v>49</v>
      </c>
      <c r="AN196" s="24" t="s">
        <v>284</v>
      </c>
      <c r="AO196" s="54" t="s">
        <v>50</v>
      </c>
      <c r="AP196" s="54" t="s">
        <v>51</v>
      </c>
      <c r="AQ196" s="57" t="s">
        <v>397</v>
      </c>
    </row>
    <row r="197" spans="1:43" ht="15.75" customHeight="1">
      <c r="A197" s="341">
        <v>43488</v>
      </c>
      <c r="B197" s="20" t="s">
        <v>100</v>
      </c>
      <c r="C197" s="409" t="s">
        <v>521</v>
      </c>
      <c r="D197" s="410" t="s">
        <v>527</v>
      </c>
      <c r="E197" s="23" t="s">
        <v>528</v>
      </c>
      <c r="F197" s="58">
        <v>6</v>
      </c>
      <c r="G197" s="47">
        <v>56</v>
      </c>
      <c r="H197" s="47">
        <f t="shared" si="17"/>
        <v>336</v>
      </c>
      <c r="I197" s="296" t="s">
        <v>104</v>
      </c>
      <c r="J197" s="161" t="s">
        <v>289</v>
      </c>
      <c r="K197" s="29">
        <v>43518</v>
      </c>
      <c r="L197" s="29"/>
      <c r="M197" s="30">
        <v>43509</v>
      </c>
      <c r="N197" s="619" t="s">
        <v>2124</v>
      </c>
      <c r="O197" s="64" t="s">
        <v>2125</v>
      </c>
      <c r="P197" s="34"/>
      <c r="Q197" s="34"/>
      <c r="R197" s="34"/>
      <c r="S197" s="34"/>
      <c r="T197" s="620"/>
      <c r="U197" s="620">
        <v>3864</v>
      </c>
      <c r="V197" s="22" t="s">
        <v>2126</v>
      </c>
      <c r="W197" s="294" t="s">
        <v>421</v>
      </c>
      <c r="X197" s="411">
        <v>43508</v>
      </c>
      <c r="Y197" s="340" t="s">
        <v>529</v>
      </c>
      <c r="Z197" s="412">
        <v>17850</v>
      </c>
      <c r="AA197" s="293">
        <v>43495</v>
      </c>
      <c r="AB197" s="53" t="s">
        <v>2123</v>
      </c>
      <c r="AC197" s="53">
        <v>1836940674</v>
      </c>
      <c r="AD197" s="53"/>
      <c r="AE197" s="53"/>
      <c r="AF197" s="53"/>
      <c r="AG197" s="54"/>
      <c r="AH197" s="54"/>
      <c r="AI197" s="55"/>
      <c r="AJ197" s="56">
        <v>43565</v>
      </c>
      <c r="AK197" s="38" t="s">
        <v>2039</v>
      </c>
      <c r="AL197" s="38" t="s">
        <v>2040</v>
      </c>
      <c r="AM197" s="54" t="s">
        <v>49</v>
      </c>
      <c r="AN197" s="24" t="s">
        <v>284</v>
      </c>
      <c r="AO197" s="54" t="s">
        <v>50</v>
      </c>
      <c r="AP197" s="54" t="s">
        <v>51</v>
      </c>
      <c r="AQ197" s="57" t="s">
        <v>397</v>
      </c>
    </row>
    <row r="198" spans="1:43" ht="15.75" customHeight="1">
      <c r="A198" s="341">
        <v>43488</v>
      </c>
      <c r="B198" s="20" t="s">
        <v>100</v>
      </c>
      <c r="C198" s="409" t="s">
        <v>521</v>
      </c>
      <c r="D198" s="410" t="s">
        <v>527</v>
      </c>
      <c r="E198" s="23" t="s">
        <v>530</v>
      </c>
      <c r="F198" s="58">
        <v>6</v>
      </c>
      <c r="G198" s="47">
        <v>85</v>
      </c>
      <c r="H198" s="47">
        <f t="shared" si="17"/>
        <v>510</v>
      </c>
      <c r="I198" s="296" t="s">
        <v>104</v>
      </c>
      <c r="J198" s="161" t="s">
        <v>289</v>
      </c>
      <c r="K198" s="29">
        <v>43518</v>
      </c>
      <c r="L198" s="29"/>
      <c r="M198" s="30">
        <v>43509</v>
      </c>
      <c r="N198" s="619" t="s">
        <v>2124</v>
      </c>
      <c r="O198" s="64" t="s">
        <v>2127</v>
      </c>
      <c r="P198" s="34"/>
      <c r="Q198" s="34"/>
      <c r="R198" s="34"/>
      <c r="S198" s="34"/>
      <c r="T198" s="620"/>
      <c r="U198" s="620">
        <v>13986</v>
      </c>
      <c r="V198" s="22" t="s">
        <v>2126</v>
      </c>
      <c r="W198" s="294" t="s">
        <v>421</v>
      </c>
      <c r="X198" s="411">
        <v>43508</v>
      </c>
      <c r="Y198" s="340" t="s">
        <v>529</v>
      </c>
      <c r="Z198" s="412" t="s">
        <v>2128</v>
      </c>
      <c r="AA198" s="293">
        <v>43495</v>
      </c>
      <c r="AB198" s="53" t="s">
        <v>2129</v>
      </c>
      <c r="AC198" s="53">
        <v>1836940674</v>
      </c>
      <c r="AD198" s="53"/>
      <c r="AE198" s="53"/>
      <c r="AF198" s="53"/>
      <c r="AG198" s="54"/>
      <c r="AH198" s="54"/>
      <c r="AI198" s="55"/>
      <c r="AJ198" s="56">
        <v>43565</v>
      </c>
      <c r="AK198" s="38" t="s">
        <v>2039</v>
      </c>
      <c r="AL198" s="38" t="s">
        <v>2040</v>
      </c>
      <c r="AM198" s="54" t="s">
        <v>49</v>
      </c>
      <c r="AN198" s="24" t="s">
        <v>284</v>
      </c>
      <c r="AO198" s="54" t="s">
        <v>50</v>
      </c>
      <c r="AP198" s="54" t="s">
        <v>51</v>
      </c>
      <c r="AQ198" s="57" t="s">
        <v>397</v>
      </c>
    </row>
    <row r="199" spans="1:43" ht="15.75" customHeight="1">
      <c r="A199" s="341">
        <v>43488</v>
      </c>
      <c r="B199" s="20" t="s">
        <v>100</v>
      </c>
      <c r="C199" s="409" t="s">
        <v>521</v>
      </c>
      <c r="D199" s="410" t="s">
        <v>531</v>
      </c>
      <c r="E199" s="23" t="s">
        <v>346</v>
      </c>
      <c r="F199" s="58">
        <v>1</v>
      </c>
      <c r="G199" s="47">
        <v>103</v>
      </c>
      <c r="H199" s="47">
        <f t="shared" si="17"/>
        <v>103</v>
      </c>
      <c r="I199" s="296" t="s">
        <v>104</v>
      </c>
      <c r="J199" s="82" t="s">
        <v>532</v>
      </c>
      <c r="K199" s="29">
        <v>43518</v>
      </c>
      <c r="L199" s="29"/>
      <c r="M199" s="30">
        <v>43518</v>
      </c>
      <c r="N199" s="58" t="s">
        <v>1999</v>
      </c>
      <c r="O199" s="93" t="s">
        <v>2130</v>
      </c>
      <c r="P199" s="34"/>
      <c r="Q199" s="34"/>
      <c r="R199" s="34"/>
      <c r="S199" s="34"/>
      <c r="T199" s="406"/>
      <c r="U199" s="406">
        <v>929</v>
      </c>
      <c r="V199" s="22" t="s">
        <v>2000</v>
      </c>
      <c r="W199" s="293">
        <v>43554</v>
      </c>
      <c r="X199" s="293">
        <v>43524</v>
      </c>
      <c r="Y199" s="294" t="s">
        <v>533</v>
      </c>
      <c r="Z199" s="295">
        <v>9780</v>
      </c>
      <c r="AA199" s="411">
        <v>43557</v>
      </c>
      <c r="AB199" s="53"/>
      <c r="AC199" s="53">
        <v>1836940674</v>
      </c>
      <c r="AD199" s="53"/>
      <c r="AE199" s="53"/>
      <c r="AF199" s="53"/>
      <c r="AG199" s="54"/>
      <c r="AH199" s="54"/>
      <c r="AI199" s="55"/>
      <c r="AJ199" s="56">
        <v>43565</v>
      </c>
      <c r="AK199" s="38" t="s">
        <v>2039</v>
      </c>
      <c r="AL199" s="38" t="s">
        <v>2040</v>
      </c>
      <c r="AM199" s="54" t="s">
        <v>49</v>
      </c>
      <c r="AN199" s="24" t="s">
        <v>284</v>
      </c>
      <c r="AO199" s="54" t="s">
        <v>50</v>
      </c>
      <c r="AP199" s="54" t="s">
        <v>51</v>
      </c>
      <c r="AQ199" s="57" t="s">
        <v>397</v>
      </c>
    </row>
    <row r="200" spans="1:43" ht="15.75" customHeight="1">
      <c r="A200" s="69">
        <v>43488</v>
      </c>
      <c r="B200" s="263" t="s">
        <v>118</v>
      </c>
      <c r="C200" s="250" t="s">
        <v>534</v>
      </c>
      <c r="D200" s="250" t="s">
        <v>535</v>
      </c>
      <c r="E200" s="23" t="s">
        <v>536</v>
      </c>
      <c r="F200" s="251">
        <v>11</v>
      </c>
      <c r="G200" s="252">
        <v>44</v>
      </c>
      <c r="H200" s="265">
        <f t="shared" si="17"/>
        <v>484</v>
      </c>
      <c r="I200" s="264" t="s">
        <v>170</v>
      </c>
      <c r="J200" s="264" t="s">
        <v>121</v>
      </c>
      <c r="K200" s="256">
        <v>43510</v>
      </c>
      <c r="L200" s="256"/>
      <c r="M200" s="256">
        <v>43509</v>
      </c>
      <c r="N200" s="401" t="s">
        <v>89</v>
      </c>
      <c r="O200" s="626" t="s">
        <v>2131</v>
      </c>
      <c r="P200" s="598"/>
      <c r="Q200" s="308">
        <v>415.8</v>
      </c>
      <c r="R200" s="308"/>
      <c r="S200" s="308"/>
      <c r="T200" s="593"/>
      <c r="U200" s="593"/>
      <c r="V200" s="571" t="s">
        <v>93</v>
      </c>
      <c r="W200" s="258">
        <v>43555</v>
      </c>
      <c r="X200" s="258">
        <v>43509</v>
      </c>
      <c r="Y200" s="259" t="s">
        <v>537</v>
      </c>
      <c r="Z200" s="270">
        <v>784990</v>
      </c>
      <c r="AA200" s="258">
        <v>43536</v>
      </c>
      <c r="AB200" s="329" t="s">
        <v>2132</v>
      </c>
      <c r="AC200" s="329" t="s">
        <v>2133</v>
      </c>
      <c r="AD200" s="329"/>
      <c r="AE200" s="329"/>
      <c r="AF200" s="329"/>
      <c r="AG200" s="251" t="s">
        <v>538</v>
      </c>
      <c r="AH200" s="251"/>
      <c r="AI200" s="260"/>
      <c r="AJ200" s="261">
        <v>43511</v>
      </c>
      <c r="AK200" s="260">
        <f>21594.18*30.787+6983.5*30.784</f>
        <v>879800.08366</v>
      </c>
      <c r="AL200" s="260">
        <f>10.82*30.787+6.5*30.784+20*30.787</f>
        <v>1148.9513400000001</v>
      </c>
      <c r="AM200" s="251" t="s">
        <v>49</v>
      </c>
      <c r="AN200" s="251" t="s">
        <v>284</v>
      </c>
      <c r="AO200" s="251" t="s">
        <v>50</v>
      </c>
      <c r="AP200" s="251" t="s">
        <v>51</v>
      </c>
      <c r="AQ200" s="262"/>
    </row>
    <row r="201" spans="1:43" ht="15.75" customHeight="1">
      <c r="A201" s="110">
        <v>43488</v>
      </c>
      <c r="B201" s="366" t="s">
        <v>118</v>
      </c>
      <c r="C201" s="366" t="s">
        <v>534</v>
      </c>
      <c r="D201" s="366" t="s">
        <v>535</v>
      </c>
      <c r="E201" s="23" t="s">
        <v>160</v>
      </c>
      <c r="F201" s="367">
        <v>25</v>
      </c>
      <c r="G201" s="252">
        <v>485</v>
      </c>
      <c r="H201" s="253">
        <f t="shared" si="17"/>
        <v>12125</v>
      </c>
      <c r="I201" s="264" t="s">
        <v>170</v>
      </c>
      <c r="J201" s="264" t="s">
        <v>121</v>
      </c>
      <c r="K201" s="256">
        <v>43510</v>
      </c>
      <c r="L201" s="256"/>
      <c r="M201" s="256">
        <v>43509</v>
      </c>
      <c r="N201" s="401" t="s">
        <v>89</v>
      </c>
      <c r="O201" s="420" t="s">
        <v>2131</v>
      </c>
      <c r="P201" s="308"/>
      <c r="Q201" s="308">
        <v>10500</v>
      </c>
      <c r="R201" s="308"/>
      <c r="S201" s="308"/>
      <c r="T201" s="593"/>
      <c r="U201" s="593"/>
      <c r="V201" s="571" t="s">
        <v>93</v>
      </c>
      <c r="W201" s="258">
        <v>43555</v>
      </c>
      <c r="X201" s="258">
        <v>43509</v>
      </c>
      <c r="Y201" s="259" t="s">
        <v>537</v>
      </c>
      <c r="Z201" s="270" t="s">
        <v>2134</v>
      </c>
      <c r="AA201" s="258">
        <v>43536</v>
      </c>
      <c r="AB201" s="329" t="s">
        <v>2132</v>
      </c>
      <c r="AC201" s="329" t="s">
        <v>2133</v>
      </c>
      <c r="AD201" s="329"/>
      <c r="AE201" s="329"/>
      <c r="AF201" s="329"/>
      <c r="AG201" s="251" t="s">
        <v>538</v>
      </c>
      <c r="AH201" s="251"/>
      <c r="AI201" s="260"/>
      <c r="AJ201" s="261">
        <v>43511</v>
      </c>
      <c r="AK201" s="260" t="s">
        <v>2135</v>
      </c>
      <c r="AL201" s="260" t="s">
        <v>2136</v>
      </c>
      <c r="AM201" s="251" t="s">
        <v>49</v>
      </c>
      <c r="AN201" s="251" t="s">
        <v>284</v>
      </c>
      <c r="AO201" s="251" t="s">
        <v>50</v>
      </c>
      <c r="AP201" s="251" t="s">
        <v>51</v>
      </c>
      <c r="AQ201" s="262"/>
    </row>
    <row r="202" spans="1:43" ht="15.75" customHeight="1">
      <c r="A202" s="110">
        <v>43488</v>
      </c>
      <c r="B202" s="366" t="s">
        <v>118</v>
      </c>
      <c r="C202" s="366" t="s">
        <v>534</v>
      </c>
      <c r="D202" s="366" t="s">
        <v>535</v>
      </c>
      <c r="E202" s="23" t="s">
        <v>157</v>
      </c>
      <c r="F202" s="251">
        <v>6</v>
      </c>
      <c r="G202" s="265">
        <v>979</v>
      </c>
      <c r="H202" s="253">
        <f t="shared" si="17"/>
        <v>5874</v>
      </c>
      <c r="I202" s="264" t="s">
        <v>170</v>
      </c>
      <c r="J202" s="264" t="s">
        <v>121</v>
      </c>
      <c r="K202" s="256">
        <v>43510</v>
      </c>
      <c r="L202" s="256"/>
      <c r="M202" s="256">
        <v>43511</v>
      </c>
      <c r="N202" s="401" t="s">
        <v>89</v>
      </c>
      <c r="O202" s="420" t="s">
        <v>2131</v>
      </c>
      <c r="P202" s="308"/>
      <c r="Q202" s="308">
        <v>5014.8</v>
      </c>
      <c r="R202" s="308"/>
      <c r="S202" s="308"/>
      <c r="T202" s="593"/>
      <c r="U202" s="593"/>
      <c r="V202" s="571" t="s">
        <v>93</v>
      </c>
      <c r="W202" s="258">
        <v>43555</v>
      </c>
      <c r="X202" s="258">
        <v>43509</v>
      </c>
      <c r="Y202" s="259" t="s">
        <v>537</v>
      </c>
      <c r="Z202" s="270" t="s">
        <v>2134</v>
      </c>
      <c r="AA202" s="258">
        <v>43536</v>
      </c>
      <c r="AB202" s="329" t="s">
        <v>2132</v>
      </c>
      <c r="AC202" s="329" t="s">
        <v>2133</v>
      </c>
      <c r="AD202" s="329"/>
      <c r="AE202" s="329"/>
      <c r="AF202" s="329"/>
      <c r="AG202" s="251" t="s">
        <v>538</v>
      </c>
      <c r="AH202" s="251"/>
      <c r="AI202" s="260"/>
      <c r="AJ202" s="261">
        <v>43511</v>
      </c>
      <c r="AK202" s="260" t="s">
        <v>2135</v>
      </c>
      <c r="AL202" s="260" t="s">
        <v>2136</v>
      </c>
      <c r="AM202" s="251" t="s">
        <v>49</v>
      </c>
      <c r="AN202" s="251" t="s">
        <v>284</v>
      </c>
      <c r="AO202" s="251" t="s">
        <v>50</v>
      </c>
      <c r="AP202" s="251" t="s">
        <v>51</v>
      </c>
      <c r="AQ202" s="262"/>
    </row>
    <row r="203" spans="1:43" ht="15.75" customHeight="1">
      <c r="A203" s="110">
        <v>43488</v>
      </c>
      <c r="B203" s="366" t="s">
        <v>118</v>
      </c>
      <c r="C203" s="366" t="s">
        <v>534</v>
      </c>
      <c r="D203" s="366" t="s">
        <v>535</v>
      </c>
      <c r="E203" s="23" t="s">
        <v>161</v>
      </c>
      <c r="F203" s="367">
        <v>4</v>
      </c>
      <c r="G203" s="265">
        <v>738</v>
      </c>
      <c r="H203" s="253">
        <f t="shared" si="17"/>
        <v>2952</v>
      </c>
      <c r="I203" s="264" t="s">
        <v>170</v>
      </c>
      <c r="J203" s="264" t="s">
        <v>121</v>
      </c>
      <c r="K203" s="256">
        <v>43510</v>
      </c>
      <c r="L203" s="256"/>
      <c r="M203" s="256">
        <v>43509</v>
      </c>
      <c r="N203" s="401" t="s">
        <v>89</v>
      </c>
      <c r="O203" s="420" t="s">
        <v>2131</v>
      </c>
      <c r="P203" s="308"/>
      <c r="Q203" s="308">
        <v>2679.6</v>
      </c>
      <c r="R203" s="308"/>
      <c r="S203" s="308"/>
      <c r="T203" s="593"/>
      <c r="U203" s="593"/>
      <c r="V203" s="571" t="s">
        <v>93</v>
      </c>
      <c r="W203" s="258">
        <v>43555</v>
      </c>
      <c r="X203" s="258">
        <v>43509</v>
      </c>
      <c r="Y203" s="259" t="s">
        <v>537</v>
      </c>
      <c r="Z203" s="270" t="s">
        <v>2134</v>
      </c>
      <c r="AA203" s="258">
        <v>43536</v>
      </c>
      <c r="AB203" s="329" t="s">
        <v>2132</v>
      </c>
      <c r="AC203" s="329" t="s">
        <v>2133</v>
      </c>
      <c r="AD203" s="329"/>
      <c r="AE203" s="329"/>
      <c r="AF203" s="329"/>
      <c r="AG203" s="251" t="s">
        <v>538</v>
      </c>
      <c r="AH203" s="251"/>
      <c r="AI203" s="260"/>
      <c r="AJ203" s="261">
        <v>43511</v>
      </c>
      <c r="AK203" s="260" t="s">
        <v>2135</v>
      </c>
      <c r="AL203" s="260" t="s">
        <v>2136</v>
      </c>
      <c r="AM203" s="251" t="s">
        <v>49</v>
      </c>
      <c r="AN203" s="251" t="s">
        <v>284</v>
      </c>
      <c r="AO203" s="251" t="s">
        <v>50</v>
      </c>
      <c r="AP203" s="251" t="s">
        <v>51</v>
      </c>
      <c r="AQ203" s="262"/>
    </row>
    <row r="204" spans="1:43" ht="15.75" customHeight="1">
      <c r="A204" s="110">
        <v>43488</v>
      </c>
      <c r="B204" s="366" t="s">
        <v>118</v>
      </c>
      <c r="C204" s="366" t="s">
        <v>534</v>
      </c>
      <c r="D204" s="366" t="s">
        <v>535</v>
      </c>
      <c r="E204" s="23" t="s">
        <v>120</v>
      </c>
      <c r="F204" s="251">
        <v>20</v>
      </c>
      <c r="G204" s="328">
        <v>359</v>
      </c>
      <c r="H204" s="253">
        <f t="shared" si="17"/>
        <v>7180</v>
      </c>
      <c r="I204" s="264" t="s">
        <v>170</v>
      </c>
      <c r="J204" s="264" t="s">
        <v>121</v>
      </c>
      <c r="K204" s="256">
        <v>43510</v>
      </c>
      <c r="L204" s="256"/>
      <c r="M204" s="256">
        <v>43509</v>
      </c>
      <c r="N204" s="401" t="s">
        <v>89</v>
      </c>
      <c r="O204" s="420" t="s">
        <v>2131</v>
      </c>
      <c r="P204" s="308"/>
      <c r="Q204" s="308">
        <v>6972</v>
      </c>
      <c r="R204" s="308"/>
      <c r="S204" s="308"/>
      <c r="T204" s="593"/>
      <c r="U204" s="593"/>
      <c r="V204" s="571" t="s">
        <v>93</v>
      </c>
      <c r="W204" s="258">
        <v>43555</v>
      </c>
      <c r="X204" s="258">
        <v>43509</v>
      </c>
      <c r="Y204" s="259" t="s">
        <v>537</v>
      </c>
      <c r="Z204" s="270" t="s">
        <v>2134</v>
      </c>
      <c r="AA204" s="258">
        <v>43536</v>
      </c>
      <c r="AB204" s="329" t="s">
        <v>2132</v>
      </c>
      <c r="AC204" s="329" t="s">
        <v>2133</v>
      </c>
      <c r="AD204" s="329"/>
      <c r="AE204" s="329"/>
      <c r="AF204" s="329"/>
      <c r="AG204" s="251" t="s">
        <v>538</v>
      </c>
      <c r="AH204" s="251"/>
      <c r="AI204" s="260"/>
      <c r="AJ204" s="261">
        <v>43511</v>
      </c>
      <c r="AK204" s="260" t="s">
        <v>2135</v>
      </c>
      <c r="AL204" s="260" t="s">
        <v>2136</v>
      </c>
      <c r="AM204" s="251" t="s">
        <v>49</v>
      </c>
      <c r="AN204" s="251" t="s">
        <v>284</v>
      </c>
      <c r="AO204" s="251" t="s">
        <v>50</v>
      </c>
      <c r="AP204" s="251" t="s">
        <v>51</v>
      </c>
      <c r="AQ204" s="262"/>
    </row>
    <row r="205" spans="1:43" ht="15.75" customHeight="1">
      <c r="A205" s="110">
        <v>43488</v>
      </c>
      <c r="B205" s="71" t="s">
        <v>118</v>
      </c>
      <c r="C205" s="71" t="s">
        <v>534</v>
      </c>
      <c r="D205" s="71" t="s">
        <v>539</v>
      </c>
      <c r="E205" s="23" t="s">
        <v>120</v>
      </c>
      <c r="F205" s="24">
        <v>68</v>
      </c>
      <c r="G205" s="150">
        <v>359</v>
      </c>
      <c r="H205" s="26">
        <f t="shared" si="17"/>
        <v>24412</v>
      </c>
      <c r="I205" s="296" t="s">
        <v>170</v>
      </c>
      <c r="J205" s="82" t="s">
        <v>121</v>
      </c>
      <c r="K205" s="29">
        <v>43532</v>
      </c>
      <c r="L205" s="29"/>
      <c r="M205" s="30">
        <v>43531</v>
      </c>
      <c r="N205" s="58" t="s">
        <v>89</v>
      </c>
      <c r="O205" s="93" t="s">
        <v>2137</v>
      </c>
      <c r="P205" s="406"/>
      <c r="Q205" s="406">
        <v>23704.799999999999</v>
      </c>
      <c r="R205" s="406"/>
      <c r="S205" s="406"/>
      <c r="T205" s="406"/>
      <c r="U205" s="406">
        <v>728686</v>
      </c>
      <c r="V205" s="51" t="s">
        <v>93</v>
      </c>
      <c r="W205" s="293">
        <v>43585</v>
      </c>
      <c r="X205" s="293">
        <v>43531</v>
      </c>
      <c r="Y205" s="294" t="s">
        <v>540</v>
      </c>
      <c r="Z205" s="295">
        <v>728686</v>
      </c>
      <c r="AA205" s="293">
        <v>43557</v>
      </c>
      <c r="AB205" s="53" t="s">
        <v>2138</v>
      </c>
      <c r="AC205" s="53" t="s">
        <v>2139</v>
      </c>
      <c r="AD205" s="53"/>
      <c r="AE205" s="53"/>
      <c r="AF205" s="53"/>
      <c r="AG205" s="54" t="s">
        <v>538</v>
      </c>
      <c r="AH205" s="54">
        <v>30.74</v>
      </c>
      <c r="AI205" s="55"/>
      <c r="AJ205" s="56">
        <v>43551</v>
      </c>
      <c r="AK205" s="55" t="s">
        <v>2140</v>
      </c>
      <c r="AL205" s="55" t="s">
        <v>2141</v>
      </c>
      <c r="AM205" s="54" t="s">
        <v>49</v>
      </c>
      <c r="AN205" s="24" t="s">
        <v>284</v>
      </c>
      <c r="AO205" s="54" t="s">
        <v>50</v>
      </c>
      <c r="AP205" s="54" t="s">
        <v>51</v>
      </c>
      <c r="AQ205" s="57" t="s">
        <v>397</v>
      </c>
    </row>
    <row r="206" spans="1:43" ht="15.75" customHeight="1">
      <c r="A206" s="110">
        <v>43489</v>
      </c>
      <c r="B206" s="413" t="s">
        <v>100</v>
      </c>
      <c r="C206" s="406" t="s">
        <v>0</v>
      </c>
      <c r="D206" s="406" t="s">
        <v>541</v>
      </c>
      <c r="E206" s="23" t="s">
        <v>542</v>
      </c>
      <c r="F206" s="296">
        <v>8</v>
      </c>
      <c r="G206" s="47">
        <f>592</f>
        <v>592</v>
      </c>
      <c r="H206" s="26">
        <f t="shared" si="17"/>
        <v>4736</v>
      </c>
      <c r="I206" s="82" t="s">
        <v>302</v>
      </c>
      <c r="J206" s="58" t="s">
        <v>437</v>
      </c>
      <c r="K206" s="29">
        <v>43536</v>
      </c>
      <c r="L206" s="29"/>
      <c r="M206" s="30">
        <v>43532</v>
      </c>
      <c r="N206" s="296" t="s">
        <v>1309</v>
      </c>
      <c r="O206" s="93" t="s">
        <v>2142</v>
      </c>
      <c r="P206" s="406"/>
      <c r="Q206" s="406"/>
      <c r="R206" s="406"/>
      <c r="S206" s="406"/>
      <c r="T206" s="406"/>
      <c r="U206" s="406">
        <v>128629</v>
      </c>
      <c r="V206" s="501"/>
      <c r="W206" s="304"/>
      <c r="X206" s="304"/>
      <c r="Y206" s="304"/>
      <c r="Z206" s="404"/>
      <c r="AA206" s="304"/>
      <c r="AB206" s="304" t="s">
        <v>1955</v>
      </c>
      <c r="AC206" s="304">
        <v>3455779600</v>
      </c>
      <c r="AD206" s="304"/>
      <c r="AE206" s="304"/>
      <c r="AF206" s="304"/>
      <c r="AG206" s="296"/>
      <c r="AH206" s="296">
        <v>30.79</v>
      </c>
      <c r="AI206" s="297"/>
      <c r="AJ206" s="298">
        <v>43587</v>
      </c>
      <c r="AK206" s="297" t="s">
        <v>1957</v>
      </c>
      <c r="AL206" s="297" t="s">
        <v>1958</v>
      </c>
      <c r="AM206" s="296" t="s">
        <v>49</v>
      </c>
      <c r="AN206" s="24" t="s">
        <v>284</v>
      </c>
      <c r="AO206" s="296" t="s">
        <v>285</v>
      </c>
      <c r="AP206" s="296" t="s">
        <v>51</v>
      </c>
      <c r="AQ206" s="234" t="s">
        <v>304</v>
      </c>
    </row>
    <row r="207" spans="1:43" ht="15.75" customHeight="1">
      <c r="A207" s="110">
        <v>43489</v>
      </c>
      <c r="B207" s="413" t="s">
        <v>100</v>
      </c>
      <c r="C207" s="406" t="s">
        <v>0</v>
      </c>
      <c r="D207" s="406" t="s">
        <v>541</v>
      </c>
      <c r="E207" s="23" t="s">
        <v>441</v>
      </c>
      <c r="F207" s="296">
        <v>8</v>
      </c>
      <c r="G207" s="47">
        <v>38</v>
      </c>
      <c r="H207" s="26">
        <f t="shared" si="17"/>
        <v>304</v>
      </c>
      <c r="I207" s="82" t="s">
        <v>302</v>
      </c>
      <c r="J207" s="58" t="s">
        <v>437</v>
      </c>
      <c r="K207" s="29">
        <v>43536</v>
      </c>
      <c r="L207" s="29"/>
      <c r="M207" s="30"/>
      <c r="N207" s="296" t="s">
        <v>1309</v>
      </c>
      <c r="O207" s="93" t="s">
        <v>2142</v>
      </c>
      <c r="P207" s="406"/>
      <c r="Q207" s="406"/>
      <c r="R207" s="406"/>
      <c r="S207" s="406"/>
      <c r="T207" s="406"/>
      <c r="U207" s="627">
        <v>6938</v>
      </c>
      <c r="V207" s="501"/>
      <c r="W207" s="304"/>
      <c r="X207" s="304"/>
      <c r="Y207" s="304"/>
      <c r="Z207" s="404"/>
      <c r="AA207" s="304"/>
      <c r="AB207" s="304" t="s">
        <v>1955</v>
      </c>
      <c r="AC207" s="304">
        <v>3455779600</v>
      </c>
      <c r="AD207" s="304"/>
      <c r="AE207" s="304"/>
      <c r="AF207" s="304"/>
      <c r="AG207" s="296"/>
      <c r="AH207" s="296">
        <v>30.79</v>
      </c>
      <c r="AI207" s="297"/>
      <c r="AJ207" s="298">
        <v>43587</v>
      </c>
      <c r="AK207" s="297" t="s">
        <v>1957</v>
      </c>
      <c r="AL207" s="297" t="s">
        <v>1958</v>
      </c>
      <c r="AM207" s="296" t="s">
        <v>49</v>
      </c>
      <c r="AN207" s="24" t="s">
        <v>284</v>
      </c>
      <c r="AO207" s="296" t="s">
        <v>285</v>
      </c>
      <c r="AP207" s="296" t="s">
        <v>51</v>
      </c>
      <c r="AQ207" s="234" t="s">
        <v>304</v>
      </c>
    </row>
    <row r="208" spans="1:43" ht="15.75" customHeight="1">
      <c r="A208" s="110">
        <v>43489</v>
      </c>
      <c r="B208" s="413" t="s">
        <v>100</v>
      </c>
      <c r="C208" s="406" t="s">
        <v>0</v>
      </c>
      <c r="D208" s="406" t="s">
        <v>541</v>
      </c>
      <c r="E208" s="23" t="s">
        <v>543</v>
      </c>
      <c r="F208" s="296">
        <v>8</v>
      </c>
      <c r="G208" s="47">
        <v>76</v>
      </c>
      <c r="H208" s="26">
        <f t="shared" si="17"/>
        <v>608</v>
      </c>
      <c r="I208" s="82" t="s">
        <v>302</v>
      </c>
      <c r="J208" s="58" t="s">
        <v>437</v>
      </c>
      <c r="K208" s="29">
        <v>43536</v>
      </c>
      <c r="L208" s="29"/>
      <c r="M208" s="30"/>
      <c r="N208" s="296" t="s">
        <v>1309</v>
      </c>
      <c r="O208" s="93" t="s">
        <v>2142</v>
      </c>
      <c r="P208" s="406"/>
      <c r="Q208" s="406"/>
      <c r="R208" s="406"/>
      <c r="S208" s="406"/>
      <c r="T208" s="406"/>
      <c r="U208" s="406">
        <v>14557</v>
      </c>
      <c r="V208" s="501"/>
      <c r="W208" s="304"/>
      <c r="X208" s="304"/>
      <c r="Y208" s="304"/>
      <c r="Z208" s="404"/>
      <c r="AA208" s="304"/>
      <c r="AB208" s="304" t="s">
        <v>1955</v>
      </c>
      <c r="AC208" s="304">
        <v>3455779600</v>
      </c>
      <c r="AD208" s="304"/>
      <c r="AE208" s="304"/>
      <c r="AF208" s="304"/>
      <c r="AG208" s="296"/>
      <c r="AH208" s="296">
        <v>30.79</v>
      </c>
      <c r="AI208" s="297"/>
      <c r="AJ208" s="298">
        <v>43587</v>
      </c>
      <c r="AK208" s="297" t="s">
        <v>1957</v>
      </c>
      <c r="AL208" s="297" t="s">
        <v>1958</v>
      </c>
      <c r="AM208" s="296" t="s">
        <v>49</v>
      </c>
      <c r="AN208" s="24" t="s">
        <v>284</v>
      </c>
      <c r="AO208" s="296" t="s">
        <v>285</v>
      </c>
      <c r="AP208" s="296" t="s">
        <v>51</v>
      </c>
      <c r="AQ208" s="234" t="s">
        <v>304</v>
      </c>
    </row>
    <row r="209" spans="1:43" ht="15.75" customHeight="1">
      <c r="A209" s="110">
        <v>43489</v>
      </c>
      <c r="B209" s="413" t="s">
        <v>100</v>
      </c>
      <c r="C209" s="406" t="s">
        <v>0</v>
      </c>
      <c r="D209" s="406" t="s">
        <v>541</v>
      </c>
      <c r="E209" s="23" t="s">
        <v>443</v>
      </c>
      <c r="F209" s="296">
        <v>8</v>
      </c>
      <c r="G209" s="47">
        <v>140</v>
      </c>
      <c r="H209" s="26">
        <f t="shared" si="17"/>
        <v>1120</v>
      </c>
      <c r="I209" s="82" t="s">
        <v>302</v>
      </c>
      <c r="J209" s="58" t="s">
        <v>437</v>
      </c>
      <c r="K209" s="29">
        <v>43536</v>
      </c>
      <c r="L209" s="29"/>
      <c r="M209" s="30"/>
      <c r="N209" s="296" t="s">
        <v>1309</v>
      </c>
      <c r="O209" s="93" t="s">
        <v>2142</v>
      </c>
      <c r="P209" s="406"/>
      <c r="Q209" s="406"/>
      <c r="R209" s="406"/>
      <c r="S209" s="406"/>
      <c r="T209" s="406"/>
      <c r="U209" s="406">
        <v>31364</v>
      </c>
      <c r="V209" s="501"/>
      <c r="W209" s="304"/>
      <c r="X209" s="304"/>
      <c r="Y209" s="304"/>
      <c r="Z209" s="404"/>
      <c r="AA209" s="304"/>
      <c r="AB209" s="304" t="s">
        <v>1955</v>
      </c>
      <c r="AC209" s="304">
        <v>3455779600</v>
      </c>
      <c r="AD209" s="304"/>
      <c r="AE209" s="304"/>
      <c r="AF209" s="304"/>
      <c r="AG209" s="296"/>
      <c r="AH209" s="296">
        <v>30.79</v>
      </c>
      <c r="AI209" s="297"/>
      <c r="AJ209" s="298">
        <v>43587</v>
      </c>
      <c r="AK209" s="297" t="s">
        <v>1957</v>
      </c>
      <c r="AL209" s="297" t="s">
        <v>1958</v>
      </c>
      <c r="AM209" s="296" t="s">
        <v>49</v>
      </c>
      <c r="AN209" s="24" t="s">
        <v>284</v>
      </c>
      <c r="AO209" s="296" t="s">
        <v>285</v>
      </c>
      <c r="AP209" s="296" t="s">
        <v>51</v>
      </c>
      <c r="AQ209" s="234" t="s">
        <v>304</v>
      </c>
    </row>
    <row r="210" spans="1:43" ht="15.75" customHeight="1">
      <c r="A210" s="110">
        <v>43489</v>
      </c>
      <c r="B210" s="413" t="s">
        <v>100</v>
      </c>
      <c r="C210" s="406" t="s">
        <v>0</v>
      </c>
      <c r="D210" s="406" t="s">
        <v>541</v>
      </c>
      <c r="E210" s="23" t="s">
        <v>544</v>
      </c>
      <c r="F210" s="296">
        <v>8</v>
      </c>
      <c r="G210" s="47">
        <v>47</v>
      </c>
      <c r="H210" s="26">
        <f t="shared" si="17"/>
        <v>376</v>
      </c>
      <c r="I210" s="82" t="s">
        <v>302</v>
      </c>
      <c r="J210" s="58" t="s">
        <v>437</v>
      </c>
      <c r="K210" s="29">
        <v>43536</v>
      </c>
      <c r="L210" s="29"/>
      <c r="M210" s="30"/>
      <c r="N210" s="296" t="s">
        <v>1309</v>
      </c>
      <c r="O210" s="93" t="s">
        <v>2142</v>
      </c>
      <c r="P210" s="406"/>
      <c r="Q210" s="406"/>
      <c r="R210" s="406"/>
      <c r="S210" s="406"/>
      <c r="T210" s="406"/>
      <c r="U210" s="406">
        <v>10360</v>
      </c>
      <c r="V210" s="501"/>
      <c r="W210" s="304"/>
      <c r="X210" s="304"/>
      <c r="Y210" s="304"/>
      <c r="Z210" s="404"/>
      <c r="AA210" s="304"/>
      <c r="AB210" s="304" t="s">
        <v>1955</v>
      </c>
      <c r="AC210" s="304">
        <v>3455779600</v>
      </c>
      <c r="AD210" s="304"/>
      <c r="AE210" s="304"/>
      <c r="AF210" s="304"/>
      <c r="AG210" s="296"/>
      <c r="AH210" s="296">
        <v>30.79</v>
      </c>
      <c r="AI210" s="297"/>
      <c r="AJ210" s="298">
        <v>43587</v>
      </c>
      <c r="AK210" s="297" t="s">
        <v>1957</v>
      </c>
      <c r="AL210" s="297" t="s">
        <v>1958</v>
      </c>
      <c r="AM210" s="296" t="s">
        <v>49</v>
      </c>
      <c r="AN210" s="24" t="s">
        <v>284</v>
      </c>
      <c r="AO210" s="296" t="s">
        <v>285</v>
      </c>
      <c r="AP210" s="296" t="s">
        <v>51</v>
      </c>
      <c r="AQ210" s="234" t="s">
        <v>304</v>
      </c>
    </row>
    <row r="211" spans="1:43" ht="15.75" customHeight="1">
      <c r="A211" s="110">
        <v>43489</v>
      </c>
      <c r="B211" s="413" t="s">
        <v>100</v>
      </c>
      <c r="C211" s="406" t="s">
        <v>0</v>
      </c>
      <c r="D211" s="406" t="s">
        <v>541</v>
      </c>
      <c r="E211" s="23" t="s">
        <v>444</v>
      </c>
      <c r="F211" s="296">
        <v>8</v>
      </c>
      <c r="G211" s="47">
        <v>10</v>
      </c>
      <c r="H211" s="26">
        <f t="shared" si="17"/>
        <v>80</v>
      </c>
      <c r="I211" s="82" t="s">
        <v>302</v>
      </c>
      <c r="J211" s="58" t="s">
        <v>437</v>
      </c>
      <c r="K211" s="29">
        <v>43536</v>
      </c>
      <c r="L211" s="29"/>
      <c r="M211" s="30"/>
      <c r="N211" s="296" t="s">
        <v>1309</v>
      </c>
      <c r="O211" s="93" t="s">
        <v>2142</v>
      </c>
      <c r="P211" s="406"/>
      <c r="Q211" s="406"/>
      <c r="R211" s="406"/>
      <c r="S211" s="406"/>
      <c r="T211" s="406"/>
      <c r="U211" s="628">
        <v>631</v>
      </c>
      <c r="V211" s="501"/>
      <c r="W211" s="304"/>
      <c r="X211" s="304"/>
      <c r="Y211" s="304"/>
      <c r="Z211" s="404"/>
      <c r="AA211" s="304"/>
      <c r="AB211" s="304" t="s">
        <v>1955</v>
      </c>
      <c r="AC211" s="304">
        <v>3455779600</v>
      </c>
      <c r="AD211" s="304"/>
      <c r="AE211" s="304"/>
      <c r="AF211" s="304"/>
      <c r="AG211" s="296"/>
      <c r="AH211" s="296">
        <v>30.79</v>
      </c>
      <c r="AI211" s="297"/>
      <c r="AJ211" s="298">
        <v>43587</v>
      </c>
      <c r="AK211" s="297" t="s">
        <v>1957</v>
      </c>
      <c r="AL211" s="297" t="s">
        <v>1958</v>
      </c>
      <c r="AM211" s="296" t="s">
        <v>49</v>
      </c>
      <c r="AN211" s="24" t="s">
        <v>284</v>
      </c>
      <c r="AO211" s="296" t="s">
        <v>285</v>
      </c>
      <c r="AP211" s="296" t="s">
        <v>51</v>
      </c>
      <c r="AQ211" s="234" t="s">
        <v>304</v>
      </c>
    </row>
    <row r="212" spans="1:43" ht="15.75" customHeight="1">
      <c r="A212" s="110">
        <v>43489</v>
      </c>
      <c r="B212" s="414" t="s">
        <v>100</v>
      </c>
      <c r="C212" s="415" t="s">
        <v>0</v>
      </c>
      <c r="D212" s="415" t="s">
        <v>541</v>
      </c>
      <c r="E212" s="23" t="s">
        <v>545</v>
      </c>
      <c r="F212" s="373">
        <v>8</v>
      </c>
      <c r="G212" s="385">
        <v>29</v>
      </c>
      <c r="H212" s="26">
        <f t="shared" si="17"/>
        <v>232</v>
      </c>
      <c r="I212" s="82" t="s">
        <v>302</v>
      </c>
      <c r="J212" s="58" t="s">
        <v>437</v>
      </c>
      <c r="K212" s="29">
        <v>43536</v>
      </c>
      <c r="L212" s="29"/>
      <c r="M212" s="30"/>
      <c r="N212" s="296" t="s">
        <v>1309</v>
      </c>
      <c r="O212" s="93" t="s">
        <v>2142</v>
      </c>
      <c r="P212" s="406"/>
      <c r="Q212" s="406"/>
      <c r="R212" s="406"/>
      <c r="S212" s="406"/>
      <c r="T212" s="406"/>
      <c r="U212" s="406">
        <v>3150</v>
      </c>
      <c r="V212" s="406"/>
      <c r="W212" s="304"/>
      <c r="X212" s="304"/>
      <c r="Y212" s="304"/>
      <c r="Z212" s="404"/>
      <c r="AA212" s="304"/>
      <c r="AB212" s="304" t="s">
        <v>1955</v>
      </c>
      <c r="AC212" s="304">
        <v>3455779600</v>
      </c>
      <c r="AD212" s="304"/>
      <c r="AE212" s="304"/>
      <c r="AF212" s="304"/>
      <c r="AG212" s="296"/>
      <c r="AH212" s="296">
        <v>30.79</v>
      </c>
      <c r="AI212" s="297"/>
      <c r="AJ212" s="298">
        <v>43587</v>
      </c>
      <c r="AK212" s="297" t="s">
        <v>1957</v>
      </c>
      <c r="AL212" s="297" t="s">
        <v>1958</v>
      </c>
      <c r="AM212" s="296" t="s">
        <v>49</v>
      </c>
      <c r="AN212" s="24" t="s">
        <v>284</v>
      </c>
      <c r="AO212" s="296" t="s">
        <v>285</v>
      </c>
      <c r="AP212" s="296" t="s">
        <v>51</v>
      </c>
      <c r="AQ212" s="234" t="s">
        <v>304</v>
      </c>
    </row>
    <row r="213" spans="1:43" ht="15.75" customHeight="1">
      <c r="A213" s="110">
        <v>43489</v>
      </c>
      <c r="B213" s="312" t="s">
        <v>546</v>
      </c>
      <c r="C213" s="312" t="s">
        <v>547</v>
      </c>
      <c r="D213" s="312" t="s">
        <v>548</v>
      </c>
      <c r="E213" s="23" t="s">
        <v>549</v>
      </c>
      <c r="F213" s="388">
        <v>3</v>
      </c>
      <c r="G213" s="416">
        <v>2516</v>
      </c>
      <c r="H213" s="253">
        <f t="shared" si="17"/>
        <v>7548</v>
      </c>
      <c r="I213" s="264" t="s">
        <v>302</v>
      </c>
      <c r="J213" s="367" t="s">
        <v>550</v>
      </c>
      <c r="K213" s="256">
        <v>43515</v>
      </c>
      <c r="L213" s="256"/>
      <c r="M213" s="256">
        <v>43509</v>
      </c>
      <c r="N213" s="401" t="s">
        <v>2043</v>
      </c>
      <c r="O213" s="250" t="s">
        <v>2143</v>
      </c>
      <c r="P213" s="593"/>
      <c r="Q213" s="593"/>
      <c r="R213" s="593"/>
      <c r="S213" s="593"/>
      <c r="T213" s="572"/>
      <c r="U213" s="572">
        <v>214011</v>
      </c>
      <c r="V213" s="308" t="s">
        <v>2045</v>
      </c>
      <c r="W213" s="258">
        <v>43585</v>
      </c>
      <c r="X213" s="258">
        <v>43508</v>
      </c>
      <c r="Y213" s="259" t="s">
        <v>551</v>
      </c>
      <c r="Z213" s="270">
        <v>214011</v>
      </c>
      <c r="AA213" s="368">
        <v>43588</v>
      </c>
      <c r="AB213" s="329" t="s">
        <v>2144</v>
      </c>
      <c r="AC213" s="308">
        <v>6177661884</v>
      </c>
      <c r="AD213" s="329"/>
      <c r="AE213" s="329"/>
      <c r="AF213" s="329"/>
      <c r="AG213" s="251"/>
      <c r="AH213" s="251"/>
      <c r="AI213" s="260"/>
      <c r="AJ213" s="251"/>
      <c r="AK213" s="260"/>
      <c r="AL213" s="260"/>
      <c r="AM213" s="251" t="s">
        <v>49</v>
      </c>
      <c r="AN213" s="251" t="s">
        <v>284</v>
      </c>
      <c r="AO213" s="251" t="s">
        <v>50</v>
      </c>
      <c r="AP213" s="251" t="s">
        <v>51</v>
      </c>
      <c r="AQ213" s="262" t="s">
        <v>397</v>
      </c>
    </row>
    <row r="214" spans="1:43" ht="15.75" customHeight="1">
      <c r="A214" s="110">
        <v>43490</v>
      </c>
      <c r="B214" s="417" t="s">
        <v>76</v>
      </c>
      <c r="C214" s="417">
        <v>53</v>
      </c>
      <c r="D214" s="417" t="s">
        <v>552</v>
      </c>
      <c r="E214" s="23" t="s">
        <v>553</v>
      </c>
      <c r="F214" s="373">
        <v>50</v>
      </c>
      <c r="G214" s="418">
        <v>2.5</v>
      </c>
      <c r="H214" s="26">
        <f t="shared" ref="H214:H251" si="18">G214*F214</f>
        <v>125</v>
      </c>
      <c r="I214" s="296" t="s">
        <v>42</v>
      </c>
      <c r="J214" s="58" t="s">
        <v>315</v>
      </c>
      <c r="K214" s="29">
        <v>43550</v>
      </c>
      <c r="L214" s="29"/>
      <c r="M214" s="29">
        <v>43544</v>
      </c>
      <c r="N214" s="50" t="s">
        <v>2006</v>
      </c>
      <c r="O214" s="93" t="s">
        <v>2145</v>
      </c>
      <c r="P214" s="406"/>
      <c r="Q214" s="406"/>
      <c r="R214" s="406"/>
      <c r="S214" s="406"/>
      <c r="T214" s="620"/>
      <c r="U214" s="620">
        <v>2730</v>
      </c>
      <c r="V214" s="22" t="s">
        <v>2146</v>
      </c>
      <c r="W214" s="293">
        <v>43560</v>
      </c>
      <c r="X214" s="293">
        <v>43531</v>
      </c>
      <c r="Y214" s="294" t="s">
        <v>554</v>
      </c>
      <c r="Z214" s="295" t="s">
        <v>2147</v>
      </c>
      <c r="AA214" s="293">
        <v>43564</v>
      </c>
      <c r="AB214" s="304" t="s">
        <v>2148</v>
      </c>
      <c r="AC214" s="304">
        <v>258263250</v>
      </c>
      <c r="AD214" s="304"/>
      <c r="AE214" s="304"/>
      <c r="AF214" s="304"/>
      <c r="AG214" s="296"/>
      <c r="AH214" s="296">
        <v>30.824999999999999</v>
      </c>
      <c r="AI214" s="297"/>
      <c r="AJ214" s="298">
        <v>43580</v>
      </c>
      <c r="AK214" s="297">
        <f>1931*30.86</f>
        <v>59590.659999999996</v>
      </c>
      <c r="AL214" s="297">
        <v>0</v>
      </c>
      <c r="AM214" s="296" t="s">
        <v>49</v>
      </c>
      <c r="AN214" s="24" t="s">
        <v>284</v>
      </c>
      <c r="AO214" s="296" t="s">
        <v>50</v>
      </c>
      <c r="AP214" s="296" t="s">
        <v>51</v>
      </c>
      <c r="AQ214" s="234" t="s">
        <v>304</v>
      </c>
    </row>
    <row r="215" spans="1:43" ht="15.75" customHeight="1">
      <c r="A215" s="110">
        <v>43490</v>
      </c>
      <c r="B215" s="312" t="s">
        <v>405</v>
      </c>
      <c r="C215" s="312">
        <v>7000144555</v>
      </c>
      <c r="D215" s="312" t="s">
        <v>555</v>
      </c>
      <c r="E215" s="23" t="s">
        <v>556</v>
      </c>
      <c r="F215" s="388">
        <v>2</v>
      </c>
      <c r="G215" s="416">
        <v>148</v>
      </c>
      <c r="H215" s="253">
        <f t="shared" si="18"/>
        <v>296</v>
      </c>
      <c r="I215" s="264" t="s">
        <v>42</v>
      </c>
      <c r="J215" s="264" t="s">
        <v>519</v>
      </c>
      <c r="K215" s="256">
        <v>43496</v>
      </c>
      <c r="L215" s="256"/>
      <c r="M215" s="594">
        <v>43495</v>
      </c>
      <c r="N215" s="401" t="s">
        <v>2043</v>
      </c>
      <c r="O215" s="250" t="s">
        <v>2149</v>
      </c>
      <c r="P215" s="593"/>
      <c r="Q215" s="593"/>
      <c r="R215" s="593"/>
      <c r="S215" s="593"/>
      <c r="T215" s="572"/>
      <c r="U215" s="572">
        <v>8194</v>
      </c>
      <c r="V215" s="308" t="s">
        <v>2045</v>
      </c>
      <c r="W215" s="258">
        <v>43585</v>
      </c>
      <c r="X215" s="258">
        <v>43494</v>
      </c>
      <c r="Y215" s="259" t="s">
        <v>557</v>
      </c>
      <c r="Z215" s="270">
        <v>14955</v>
      </c>
      <c r="AA215" s="368">
        <v>43588</v>
      </c>
      <c r="AB215" s="329" t="s">
        <v>2119</v>
      </c>
      <c r="AC215" s="329" t="s">
        <v>2120</v>
      </c>
      <c r="AD215" s="329"/>
      <c r="AE215" s="329"/>
      <c r="AF215" s="329"/>
      <c r="AG215" s="251" t="s">
        <v>283</v>
      </c>
      <c r="AH215" s="251"/>
      <c r="AI215" s="260"/>
      <c r="AJ215" s="251"/>
      <c r="AK215" s="260"/>
      <c r="AL215" s="260"/>
      <c r="AM215" s="251" t="s">
        <v>49</v>
      </c>
      <c r="AN215" s="251" t="s">
        <v>284</v>
      </c>
      <c r="AO215" s="251" t="s">
        <v>50</v>
      </c>
      <c r="AP215" s="251" t="s">
        <v>51</v>
      </c>
      <c r="AQ215" s="262"/>
    </row>
    <row r="216" spans="1:43" ht="15.75" customHeight="1">
      <c r="A216" s="110">
        <v>43490</v>
      </c>
      <c r="B216" s="312" t="s">
        <v>405</v>
      </c>
      <c r="C216" s="312">
        <v>7000144555</v>
      </c>
      <c r="D216" s="312" t="s">
        <v>555</v>
      </c>
      <c r="E216" s="23" t="s">
        <v>480</v>
      </c>
      <c r="F216" s="388">
        <v>1</v>
      </c>
      <c r="G216" s="416">
        <v>137</v>
      </c>
      <c r="H216" s="253">
        <f t="shared" si="18"/>
        <v>137</v>
      </c>
      <c r="I216" s="264" t="s">
        <v>42</v>
      </c>
      <c r="J216" s="264" t="s">
        <v>519</v>
      </c>
      <c r="K216" s="256">
        <v>43496</v>
      </c>
      <c r="L216" s="256"/>
      <c r="M216" s="594">
        <v>43495</v>
      </c>
      <c r="N216" s="401" t="s">
        <v>2043</v>
      </c>
      <c r="O216" s="250" t="s">
        <v>2149</v>
      </c>
      <c r="P216" s="593"/>
      <c r="Q216" s="593"/>
      <c r="R216" s="593"/>
      <c r="S216" s="593"/>
      <c r="T216" s="572"/>
      <c r="U216" s="572">
        <v>3779</v>
      </c>
      <c r="V216" s="308" t="s">
        <v>2045</v>
      </c>
      <c r="W216" s="258">
        <v>43585</v>
      </c>
      <c r="X216" s="258">
        <v>43494</v>
      </c>
      <c r="Y216" s="259" t="s">
        <v>557</v>
      </c>
      <c r="Z216" s="270" t="s">
        <v>2150</v>
      </c>
      <c r="AA216" s="368">
        <v>43588</v>
      </c>
      <c r="AB216" s="329" t="s">
        <v>2119</v>
      </c>
      <c r="AC216" s="329" t="s">
        <v>2120</v>
      </c>
      <c r="AD216" s="329"/>
      <c r="AE216" s="329"/>
      <c r="AF216" s="329"/>
      <c r="AG216" s="251" t="s">
        <v>283</v>
      </c>
      <c r="AH216" s="251"/>
      <c r="AI216" s="260"/>
      <c r="AJ216" s="251"/>
      <c r="AK216" s="260"/>
      <c r="AL216" s="260"/>
      <c r="AM216" s="251" t="s">
        <v>49</v>
      </c>
      <c r="AN216" s="251" t="s">
        <v>284</v>
      </c>
      <c r="AO216" s="251" t="s">
        <v>50</v>
      </c>
      <c r="AP216" s="251" t="s">
        <v>51</v>
      </c>
      <c r="AQ216" s="262"/>
    </row>
    <row r="217" spans="1:43" ht="15.75" customHeight="1">
      <c r="A217" s="110">
        <v>43490</v>
      </c>
      <c r="B217" s="312" t="s">
        <v>405</v>
      </c>
      <c r="C217" s="312">
        <v>7000144555</v>
      </c>
      <c r="D217" s="312" t="s">
        <v>555</v>
      </c>
      <c r="E217" s="23" t="s">
        <v>407</v>
      </c>
      <c r="F217" s="388">
        <v>2</v>
      </c>
      <c r="G217" s="416">
        <v>54</v>
      </c>
      <c r="H217" s="253">
        <f t="shared" si="18"/>
        <v>108</v>
      </c>
      <c r="I217" s="264" t="s">
        <v>42</v>
      </c>
      <c r="J217" s="264" t="s">
        <v>519</v>
      </c>
      <c r="K217" s="256">
        <v>43496</v>
      </c>
      <c r="L217" s="256"/>
      <c r="M217" s="594">
        <v>43495</v>
      </c>
      <c r="N217" s="401" t="s">
        <v>2043</v>
      </c>
      <c r="O217" s="250" t="s">
        <v>2149</v>
      </c>
      <c r="P217" s="593"/>
      <c r="Q217" s="593"/>
      <c r="R217" s="593"/>
      <c r="S217" s="593"/>
      <c r="T217" s="572"/>
      <c r="U217" s="572">
        <v>2982</v>
      </c>
      <c r="V217" s="308" t="s">
        <v>2045</v>
      </c>
      <c r="W217" s="258">
        <v>43585</v>
      </c>
      <c r="X217" s="258">
        <v>43494</v>
      </c>
      <c r="Y217" s="259" t="s">
        <v>557</v>
      </c>
      <c r="Z217" s="270" t="s">
        <v>2150</v>
      </c>
      <c r="AA217" s="368">
        <v>43588</v>
      </c>
      <c r="AB217" s="329" t="s">
        <v>2119</v>
      </c>
      <c r="AC217" s="329" t="s">
        <v>2120</v>
      </c>
      <c r="AD217" s="329"/>
      <c r="AE217" s="329"/>
      <c r="AF217" s="329"/>
      <c r="AG217" s="251" t="s">
        <v>283</v>
      </c>
      <c r="AH217" s="251"/>
      <c r="AI217" s="260"/>
      <c r="AJ217" s="251"/>
      <c r="AK217" s="260"/>
      <c r="AL217" s="260"/>
      <c r="AM217" s="251" t="s">
        <v>49</v>
      </c>
      <c r="AN217" s="251" t="s">
        <v>284</v>
      </c>
      <c r="AO217" s="251" t="s">
        <v>50</v>
      </c>
      <c r="AP217" s="251" t="s">
        <v>51</v>
      </c>
      <c r="AQ217" s="262"/>
    </row>
    <row r="218" spans="1:43" ht="15.75" customHeight="1">
      <c r="A218" s="110">
        <v>43490</v>
      </c>
      <c r="B218" s="312" t="s">
        <v>558</v>
      </c>
      <c r="C218" s="312"/>
      <c r="D218" s="312" t="s">
        <v>559</v>
      </c>
      <c r="E218" s="23" t="s">
        <v>560</v>
      </c>
      <c r="F218" s="388">
        <v>1</v>
      </c>
      <c r="G218" s="416">
        <v>3497.6</v>
      </c>
      <c r="H218" s="253">
        <f t="shared" si="18"/>
        <v>3497.6</v>
      </c>
      <c r="I218" s="264" t="s">
        <v>302</v>
      </c>
      <c r="J218" s="401" t="s">
        <v>561</v>
      </c>
      <c r="K218" s="256">
        <v>43496</v>
      </c>
      <c r="L218" s="256"/>
      <c r="M218" s="624"/>
      <c r="N218" s="597"/>
      <c r="O218" s="595"/>
      <c r="P218" s="593"/>
      <c r="Q218" s="593"/>
      <c r="R218" s="593"/>
      <c r="S218" s="593"/>
      <c r="T218" s="593"/>
      <c r="U218" s="593"/>
      <c r="V218" s="328"/>
      <c r="W218" s="337"/>
      <c r="X218" s="329"/>
      <c r="Y218" s="329"/>
      <c r="Z218" s="402"/>
      <c r="AA218" s="329"/>
      <c r="AB218" s="329" t="s">
        <v>2151</v>
      </c>
      <c r="AC218" s="329" t="s">
        <v>2152</v>
      </c>
      <c r="AD218" s="329"/>
      <c r="AE218" s="329">
        <v>111130</v>
      </c>
      <c r="AF218" s="599">
        <v>43495</v>
      </c>
      <c r="AG218" s="251" t="s">
        <v>376</v>
      </c>
      <c r="AH218" s="251"/>
      <c r="AI218" s="260"/>
      <c r="AJ218" s="251"/>
      <c r="AK218" s="260"/>
      <c r="AL218" s="260"/>
      <c r="AM218" s="251" t="s">
        <v>49</v>
      </c>
      <c r="AN218" s="251" t="s">
        <v>284</v>
      </c>
      <c r="AO218" s="251" t="s">
        <v>50</v>
      </c>
      <c r="AP218" s="251" t="s">
        <v>376</v>
      </c>
      <c r="AQ218" s="262"/>
    </row>
    <row r="219" spans="1:43" ht="15.75" customHeight="1">
      <c r="A219" s="110">
        <v>43490</v>
      </c>
      <c r="B219" s="250" t="s">
        <v>118</v>
      </c>
      <c r="C219" s="250" t="s">
        <v>534</v>
      </c>
      <c r="D219" s="250" t="s">
        <v>562</v>
      </c>
      <c r="E219" s="23" t="s">
        <v>165</v>
      </c>
      <c r="F219" s="391">
        <v>4</v>
      </c>
      <c r="G219" s="252">
        <v>880</v>
      </c>
      <c r="H219" s="330">
        <f t="shared" si="18"/>
        <v>3520</v>
      </c>
      <c r="I219" s="264" t="s">
        <v>170</v>
      </c>
      <c r="J219" s="264" t="s">
        <v>121</v>
      </c>
      <c r="K219" s="256">
        <v>43521</v>
      </c>
      <c r="L219" s="256"/>
      <c r="M219" s="256">
        <v>43518</v>
      </c>
      <c r="N219" s="367" t="s">
        <v>89</v>
      </c>
      <c r="O219" s="420" t="s">
        <v>2153</v>
      </c>
      <c r="P219" s="308"/>
      <c r="Q219" s="308">
        <v>3139.5</v>
      </c>
      <c r="R219" s="308"/>
      <c r="S219" s="308"/>
      <c r="T219" s="593"/>
      <c r="U219" s="593"/>
      <c r="V219" s="571" t="s">
        <v>93</v>
      </c>
      <c r="W219" s="258">
        <v>43555</v>
      </c>
      <c r="X219" s="258">
        <v>43517</v>
      </c>
      <c r="Y219" s="259" t="s">
        <v>563</v>
      </c>
      <c r="Z219" s="270">
        <v>262277</v>
      </c>
      <c r="AA219" s="258">
        <v>43557</v>
      </c>
      <c r="AB219" s="329" t="s">
        <v>2154</v>
      </c>
      <c r="AC219" s="403" t="s">
        <v>2155</v>
      </c>
      <c r="AD219" s="329"/>
      <c r="AE219" s="329"/>
      <c r="AF219" s="329"/>
      <c r="AG219" s="251" t="s">
        <v>283</v>
      </c>
      <c r="AH219" s="251"/>
      <c r="AI219" s="260"/>
      <c r="AJ219" s="305"/>
      <c r="AK219" s="260"/>
      <c r="AL219" s="260"/>
      <c r="AM219" s="251" t="s">
        <v>49</v>
      </c>
      <c r="AN219" s="251" t="s">
        <v>284</v>
      </c>
      <c r="AO219" s="251" t="s">
        <v>50</v>
      </c>
      <c r="AP219" s="251" t="s">
        <v>51</v>
      </c>
      <c r="AQ219" s="262"/>
    </row>
    <row r="220" spans="1:43" ht="15.75" customHeight="1">
      <c r="A220" s="110">
        <v>43490</v>
      </c>
      <c r="B220" s="263" t="s">
        <v>118</v>
      </c>
      <c r="C220" s="250" t="s">
        <v>534</v>
      </c>
      <c r="D220" s="250" t="s">
        <v>562</v>
      </c>
      <c r="E220" s="23" t="s">
        <v>564</v>
      </c>
      <c r="F220" s="391">
        <v>40</v>
      </c>
      <c r="G220" s="252">
        <v>105</v>
      </c>
      <c r="H220" s="330">
        <f t="shared" si="18"/>
        <v>4200</v>
      </c>
      <c r="I220" s="264" t="s">
        <v>170</v>
      </c>
      <c r="J220" s="254" t="s">
        <v>121</v>
      </c>
      <c r="K220" s="256">
        <v>43521</v>
      </c>
      <c r="L220" s="256"/>
      <c r="M220" s="256">
        <v>43518</v>
      </c>
      <c r="N220" s="367" t="s">
        <v>89</v>
      </c>
      <c r="O220" s="420" t="s">
        <v>2153</v>
      </c>
      <c r="P220" s="308"/>
      <c r="Q220" s="308">
        <v>3444</v>
      </c>
      <c r="R220" s="308"/>
      <c r="S220" s="308"/>
      <c r="T220" s="593"/>
      <c r="U220" s="593"/>
      <c r="V220" s="629" t="s">
        <v>93</v>
      </c>
      <c r="W220" s="258">
        <v>43555</v>
      </c>
      <c r="X220" s="258">
        <v>43517</v>
      </c>
      <c r="Y220" s="259" t="s">
        <v>563</v>
      </c>
      <c r="Z220" s="270" t="s">
        <v>2156</v>
      </c>
      <c r="AA220" s="258">
        <v>43557</v>
      </c>
      <c r="AB220" s="329" t="s">
        <v>2154</v>
      </c>
      <c r="AC220" s="329" t="s">
        <v>2155</v>
      </c>
      <c r="AD220" s="329"/>
      <c r="AE220" s="329"/>
      <c r="AF220" s="329"/>
      <c r="AG220" s="251" t="s">
        <v>283</v>
      </c>
      <c r="AH220" s="251"/>
      <c r="AI220" s="260"/>
      <c r="AJ220" s="305"/>
      <c r="AK220" s="260"/>
      <c r="AL220" s="260"/>
      <c r="AM220" s="251" t="s">
        <v>49</v>
      </c>
      <c r="AN220" s="251" t="s">
        <v>284</v>
      </c>
      <c r="AO220" s="251" t="s">
        <v>50</v>
      </c>
      <c r="AP220" s="251" t="s">
        <v>51</v>
      </c>
      <c r="AQ220" s="262"/>
    </row>
    <row r="221" spans="1:43" ht="15.75" customHeight="1">
      <c r="A221" s="110">
        <v>43490</v>
      </c>
      <c r="B221" s="263" t="s">
        <v>118</v>
      </c>
      <c r="C221" s="250" t="s">
        <v>534</v>
      </c>
      <c r="D221" s="250" t="s">
        <v>562</v>
      </c>
      <c r="E221" s="23" t="s">
        <v>151</v>
      </c>
      <c r="F221" s="391">
        <v>2</v>
      </c>
      <c r="G221" s="252">
        <v>1045</v>
      </c>
      <c r="H221" s="330">
        <f t="shared" si="18"/>
        <v>2090</v>
      </c>
      <c r="I221" s="264" t="s">
        <v>170</v>
      </c>
      <c r="J221" s="264" t="s">
        <v>121</v>
      </c>
      <c r="K221" s="256">
        <v>43521</v>
      </c>
      <c r="L221" s="256"/>
      <c r="M221" s="256">
        <v>43518</v>
      </c>
      <c r="N221" s="367" t="s">
        <v>89</v>
      </c>
      <c r="O221" s="420" t="s">
        <v>2153</v>
      </c>
      <c r="P221" s="308"/>
      <c r="Q221" s="308">
        <v>1932</v>
      </c>
      <c r="R221" s="308"/>
      <c r="S221" s="308"/>
      <c r="T221" s="593"/>
      <c r="U221" s="593"/>
      <c r="V221" s="571" t="s">
        <v>93</v>
      </c>
      <c r="W221" s="258">
        <v>43555</v>
      </c>
      <c r="X221" s="258">
        <v>43517</v>
      </c>
      <c r="Y221" s="259" t="s">
        <v>563</v>
      </c>
      <c r="Z221" s="270" t="s">
        <v>2156</v>
      </c>
      <c r="AA221" s="258">
        <v>43557</v>
      </c>
      <c r="AB221" s="329" t="s">
        <v>2154</v>
      </c>
      <c r="AC221" s="329" t="s">
        <v>2155</v>
      </c>
      <c r="AD221" s="329"/>
      <c r="AE221" s="329"/>
      <c r="AF221" s="329"/>
      <c r="AG221" s="251" t="s">
        <v>283</v>
      </c>
      <c r="AH221" s="251"/>
      <c r="AI221" s="260"/>
      <c r="AJ221" s="305"/>
      <c r="AK221" s="260"/>
      <c r="AL221" s="260"/>
      <c r="AM221" s="251" t="s">
        <v>49</v>
      </c>
      <c r="AN221" s="251" t="s">
        <v>284</v>
      </c>
      <c r="AO221" s="251" t="s">
        <v>50</v>
      </c>
      <c r="AP221" s="251" t="s">
        <v>51</v>
      </c>
      <c r="AQ221" s="262"/>
    </row>
    <row r="222" spans="1:43" ht="15.75" customHeight="1">
      <c r="A222" s="110">
        <v>43490</v>
      </c>
      <c r="B222" s="70" t="s">
        <v>118</v>
      </c>
      <c r="C222" s="21" t="s">
        <v>534</v>
      </c>
      <c r="D222" s="21" t="s">
        <v>565</v>
      </c>
      <c r="E222" s="23" t="s">
        <v>151</v>
      </c>
      <c r="F222" s="419">
        <v>4</v>
      </c>
      <c r="G222" s="48">
        <v>1045</v>
      </c>
      <c r="H222" s="26">
        <f t="shared" si="18"/>
        <v>4180</v>
      </c>
      <c r="I222" s="296" t="s">
        <v>170</v>
      </c>
      <c r="J222" s="82" t="s">
        <v>121</v>
      </c>
      <c r="K222" s="29">
        <v>43532</v>
      </c>
      <c r="L222" s="29"/>
      <c r="M222" s="29">
        <v>43531</v>
      </c>
      <c r="N222" s="63" t="s">
        <v>89</v>
      </c>
      <c r="O222" s="93" t="s">
        <v>2157</v>
      </c>
      <c r="P222" s="406"/>
      <c r="Q222" s="406">
        <v>3864</v>
      </c>
      <c r="R222" s="406"/>
      <c r="S222" s="406"/>
      <c r="T222" s="406"/>
      <c r="U222" s="406">
        <v>118779</v>
      </c>
      <c r="V222" s="35" t="s">
        <v>93</v>
      </c>
      <c r="W222" s="293">
        <v>43585</v>
      </c>
      <c r="X222" s="293">
        <v>43531</v>
      </c>
      <c r="Y222" s="294" t="s">
        <v>566</v>
      </c>
      <c r="Z222" s="295">
        <v>118779</v>
      </c>
      <c r="AA222" s="300">
        <v>43586</v>
      </c>
      <c r="AB222" s="53" t="s">
        <v>2138</v>
      </c>
      <c r="AC222" s="53" t="s">
        <v>2139</v>
      </c>
      <c r="AD222" s="53"/>
      <c r="AE222" s="53"/>
      <c r="AF222" s="53"/>
      <c r="AG222" s="54" t="s">
        <v>538</v>
      </c>
      <c r="AH222" s="54">
        <v>30.74</v>
      </c>
      <c r="AI222" s="55"/>
      <c r="AJ222" s="68" t="s">
        <v>567</v>
      </c>
      <c r="AK222" s="55">
        <f>3931.5*30.783</f>
        <v>121023.36450000001</v>
      </c>
      <c r="AL222" s="55">
        <f>(3950-3931.5)*30.783</f>
        <v>569.4855</v>
      </c>
      <c r="AM222" s="54" t="s">
        <v>49</v>
      </c>
      <c r="AN222" s="24" t="s">
        <v>284</v>
      </c>
      <c r="AO222" s="54" t="s">
        <v>50</v>
      </c>
      <c r="AP222" s="54" t="s">
        <v>51</v>
      </c>
      <c r="AQ222" s="57" t="s">
        <v>397</v>
      </c>
    </row>
    <row r="223" spans="1:43" ht="15.75" customHeight="1">
      <c r="A223" s="110">
        <v>43490</v>
      </c>
      <c r="B223" s="263" t="s">
        <v>118</v>
      </c>
      <c r="C223" s="250" t="s">
        <v>534</v>
      </c>
      <c r="D223" s="250" t="s">
        <v>568</v>
      </c>
      <c r="E223" s="23" t="s">
        <v>569</v>
      </c>
      <c r="F223" s="391">
        <v>20</v>
      </c>
      <c r="G223" s="252">
        <v>350</v>
      </c>
      <c r="H223" s="330">
        <f t="shared" si="18"/>
        <v>7000</v>
      </c>
      <c r="I223" s="264" t="s">
        <v>170</v>
      </c>
      <c r="J223" s="264" t="s">
        <v>121</v>
      </c>
      <c r="K223" s="256">
        <v>43532</v>
      </c>
      <c r="L223" s="256"/>
      <c r="M223" s="256">
        <v>43532</v>
      </c>
      <c r="N223" s="401" t="s">
        <v>53</v>
      </c>
      <c r="O223" s="250" t="s">
        <v>2158</v>
      </c>
      <c r="P223" s="308"/>
      <c r="Q223" s="308">
        <v>6552</v>
      </c>
      <c r="R223" s="308"/>
      <c r="S223" s="308"/>
      <c r="T223" s="593"/>
      <c r="U223" s="593"/>
      <c r="V223" s="597" t="s">
        <v>2159</v>
      </c>
      <c r="W223" s="258">
        <v>43585</v>
      </c>
      <c r="X223" s="258">
        <v>43536</v>
      </c>
      <c r="Y223" s="259" t="s">
        <v>570</v>
      </c>
      <c r="Z223" s="270">
        <v>202424</v>
      </c>
      <c r="AA223" s="368">
        <v>43588</v>
      </c>
      <c r="AB223" s="329" t="s">
        <v>2138</v>
      </c>
      <c r="AC223" s="329" t="s">
        <v>2139</v>
      </c>
      <c r="AD223" s="329"/>
      <c r="AE223" s="329"/>
      <c r="AF223" s="329"/>
      <c r="AG223" s="251" t="s">
        <v>283</v>
      </c>
      <c r="AH223" s="251">
        <v>30.74</v>
      </c>
      <c r="AI223" s="260"/>
      <c r="AJ223" s="305"/>
      <c r="AK223" s="260"/>
      <c r="AL223" s="260"/>
      <c r="AM223" s="251" t="s">
        <v>49</v>
      </c>
      <c r="AN223" s="251" t="s">
        <v>284</v>
      </c>
      <c r="AO223" s="251" t="s">
        <v>50</v>
      </c>
      <c r="AP223" s="251" t="s">
        <v>51</v>
      </c>
      <c r="AQ223" s="262"/>
    </row>
    <row r="224" spans="1:43" ht="15.75" customHeight="1">
      <c r="A224" s="110">
        <v>43490</v>
      </c>
      <c r="B224" s="263" t="s">
        <v>118</v>
      </c>
      <c r="C224" s="250" t="s">
        <v>534</v>
      </c>
      <c r="D224" s="250" t="s">
        <v>571</v>
      </c>
      <c r="E224" s="23" t="s">
        <v>569</v>
      </c>
      <c r="F224" s="391">
        <v>20</v>
      </c>
      <c r="G224" s="252">
        <v>350</v>
      </c>
      <c r="H224" s="330">
        <f t="shared" si="18"/>
        <v>7000</v>
      </c>
      <c r="I224" s="264" t="s">
        <v>170</v>
      </c>
      <c r="J224" s="264" t="s">
        <v>121</v>
      </c>
      <c r="K224" s="256">
        <v>43532</v>
      </c>
      <c r="L224" s="256"/>
      <c r="M224" s="256">
        <v>43532</v>
      </c>
      <c r="N224" s="401" t="s">
        <v>53</v>
      </c>
      <c r="O224" s="250" t="s">
        <v>2160</v>
      </c>
      <c r="P224" s="308"/>
      <c r="Q224" s="308">
        <v>6552</v>
      </c>
      <c r="R224" s="308"/>
      <c r="S224" s="308"/>
      <c r="T224" s="593"/>
      <c r="U224" s="593"/>
      <c r="V224" s="597" t="s">
        <v>2159</v>
      </c>
      <c r="W224" s="258">
        <v>43585</v>
      </c>
      <c r="X224" s="258">
        <v>43536</v>
      </c>
      <c r="Y224" s="259" t="s">
        <v>572</v>
      </c>
      <c r="Z224" s="270">
        <v>202424</v>
      </c>
      <c r="AA224" s="368">
        <v>43588</v>
      </c>
      <c r="AB224" s="329" t="s">
        <v>2138</v>
      </c>
      <c r="AC224" s="329" t="s">
        <v>2139</v>
      </c>
      <c r="AD224" s="329"/>
      <c r="AE224" s="329"/>
      <c r="AF224" s="329"/>
      <c r="AG224" s="251" t="s">
        <v>283</v>
      </c>
      <c r="AH224" s="251">
        <v>30.74</v>
      </c>
      <c r="AI224" s="260"/>
      <c r="AJ224" s="305"/>
      <c r="AK224" s="260"/>
      <c r="AL224" s="260"/>
      <c r="AM224" s="251" t="s">
        <v>49</v>
      </c>
      <c r="AN224" s="251" t="s">
        <v>284</v>
      </c>
      <c r="AO224" s="251" t="s">
        <v>50</v>
      </c>
      <c r="AP224" s="251" t="s">
        <v>51</v>
      </c>
      <c r="AQ224" s="262"/>
    </row>
    <row r="225" spans="1:43" ht="15.75" customHeight="1">
      <c r="A225" s="110">
        <v>43492</v>
      </c>
      <c r="B225" s="250" t="s">
        <v>76</v>
      </c>
      <c r="C225" s="250"/>
      <c r="D225" s="250" t="s">
        <v>573</v>
      </c>
      <c r="E225" s="23" t="s">
        <v>317</v>
      </c>
      <c r="F225" s="251">
        <v>10</v>
      </c>
      <c r="G225" s="252">
        <v>0</v>
      </c>
      <c r="H225" s="253">
        <f t="shared" si="18"/>
        <v>0</v>
      </c>
      <c r="I225" s="264" t="s">
        <v>42</v>
      </c>
      <c r="J225" s="255" t="s">
        <v>574</v>
      </c>
      <c r="K225" s="256">
        <v>43496</v>
      </c>
      <c r="L225" s="256"/>
      <c r="M225" s="256">
        <v>43495</v>
      </c>
      <c r="N225" s="367" t="s">
        <v>1967</v>
      </c>
      <c r="O225" s="595" t="s">
        <v>2161</v>
      </c>
      <c r="P225" s="308"/>
      <c r="Q225" s="308">
        <v>2310</v>
      </c>
      <c r="R225" s="308"/>
      <c r="S225" s="308"/>
      <c r="T225" s="308"/>
      <c r="U225" s="308"/>
      <c r="V225" s="318" t="s">
        <v>1969</v>
      </c>
      <c r="W225" s="258">
        <v>43555</v>
      </c>
      <c r="X225" s="258">
        <v>43495</v>
      </c>
      <c r="Y225" s="259" t="s">
        <v>575</v>
      </c>
      <c r="Z225" s="270">
        <v>71125</v>
      </c>
      <c r="AA225" s="258">
        <v>43649</v>
      </c>
      <c r="AB225" s="329" t="s">
        <v>2162</v>
      </c>
      <c r="AC225" s="329">
        <v>623779052</v>
      </c>
      <c r="AD225" s="329"/>
      <c r="AE225" s="329"/>
      <c r="AF225" s="329"/>
      <c r="AG225" s="251" t="s">
        <v>576</v>
      </c>
      <c r="AH225" s="251"/>
      <c r="AI225" s="260"/>
      <c r="AJ225" s="251"/>
      <c r="AK225" s="260" t="s">
        <v>1973</v>
      </c>
      <c r="AL225" s="260" t="s">
        <v>1974</v>
      </c>
      <c r="AM225" s="251" t="s">
        <v>49</v>
      </c>
      <c r="AN225" s="251" t="s">
        <v>284</v>
      </c>
      <c r="AO225" s="251" t="s">
        <v>50</v>
      </c>
      <c r="AP225" s="251" t="s">
        <v>51</v>
      </c>
      <c r="AQ225" s="262"/>
    </row>
    <row r="226" spans="1:43" ht="15.75" customHeight="1">
      <c r="A226" s="110">
        <v>43493</v>
      </c>
      <c r="B226" s="250" t="s">
        <v>577</v>
      </c>
      <c r="C226" s="250">
        <v>20190128001</v>
      </c>
      <c r="D226" s="250" t="s">
        <v>578</v>
      </c>
      <c r="E226" s="23" t="s">
        <v>579</v>
      </c>
      <c r="F226" s="251">
        <v>4</v>
      </c>
      <c r="G226" s="323">
        <v>96.6</v>
      </c>
      <c r="H226" s="253">
        <f t="shared" si="18"/>
        <v>386.4</v>
      </c>
      <c r="I226" s="264" t="s">
        <v>170</v>
      </c>
      <c r="J226" s="319" t="s">
        <v>580</v>
      </c>
      <c r="K226" s="256">
        <v>43495</v>
      </c>
      <c r="L226" s="256"/>
      <c r="M226" s="594">
        <v>43495</v>
      </c>
      <c r="N226" s="367" t="s">
        <v>1414</v>
      </c>
      <c r="O226" s="595" t="s">
        <v>2163</v>
      </c>
      <c r="P226" s="308"/>
      <c r="Q226" s="308">
        <v>336</v>
      </c>
      <c r="R226" s="308"/>
      <c r="S226" s="308"/>
      <c r="T226" s="308"/>
      <c r="U226" s="308">
        <v>10346</v>
      </c>
      <c r="V226" s="386" t="s">
        <v>2164</v>
      </c>
      <c r="W226" s="394">
        <v>43555</v>
      </c>
      <c r="X226" s="368">
        <v>43494</v>
      </c>
      <c r="Y226" s="259" t="s">
        <v>581</v>
      </c>
      <c r="Z226" s="270">
        <v>10346</v>
      </c>
      <c r="AA226" s="258">
        <v>43557</v>
      </c>
      <c r="AB226" s="329" t="s">
        <v>2165</v>
      </c>
      <c r="AC226" s="329" t="s">
        <v>2166</v>
      </c>
      <c r="AD226" s="329">
        <v>30</v>
      </c>
      <c r="AE226" s="329">
        <v>11592</v>
      </c>
      <c r="AF226" s="599">
        <v>43494</v>
      </c>
      <c r="AG226" s="251"/>
      <c r="AH226" s="251"/>
      <c r="AI226" s="260"/>
      <c r="AJ226" s="251"/>
      <c r="AK226" s="260"/>
      <c r="AL226" s="260"/>
      <c r="AM226" s="251" t="s">
        <v>49</v>
      </c>
      <c r="AN226" s="251" t="s">
        <v>284</v>
      </c>
      <c r="AO226" s="251" t="s">
        <v>50</v>
      </c>
      <c r="AP226" s="251" t="s">
        <v>376</v>
      </c>
      <c r="AQ226" s="262"/>
    </row>
    <row r="227" spans="1:43" ht="15.75" customHeight="1">
      <c r="A227" s="110">
        <v>43493</v>
      </c>
      <c r="B227" s="250" t="s">
        <v>405</v>
      </c>
      <c r="C227" s="250">
        <v>7000144606</v>
      </c>
      <c r="D227" s="250" t="s">
        <v>582</v>
      </c>
      <c r="E227" s="23" t="s">
        <v>583</v>
      </c>
      <c r="F227" s="251">
        <v>3</v>
      </c>
      <c r="G227" s="252">
        <v>1069</v>
      </c>
      <c r="H227" s="253">
        <f t="shared" si="18"/>
        <v>3207</v>
      </c>
      <c r="I227" s="264" t="s">
        <v>42</v>
      </c>
      <c r="J227" s="255" t="s">
        <v>512</v>
      </c>
      <c r="K227" s="256">
        <v>43510</v>
      </c>
      <c r="L227" s="256"/>
      <c r="M227" s="594">
        <v>43509</v>
      </c>
      <c r="N227" s="401" t="s">
        <v>2043</v>
      </c>
      <c r="O227" s="420" t="s">
        <v>2167</v>
      </c>
      <c r="P227" s="593"/>
      <c r="Q227" s="593"/>
      <c r="R227" s="593"/>
      <c r="S227" s="593"/>
      <c r="T227" s="630"/>
      <c r="U227" s="630">
        <v>88855</v>
      </c>
      <c r="V227" s="318" t="s">
        <v>2045</v>
      </c>
      <c r="W227" s="258">
        <v>43585</v>
      </c>
      <c r="X227" s="258">
        <v>43508</v>
      </c>
      <c r="Y227" s="259" t="s">
        <v>584</v>
      </c>
      <c r="Z227" s="270">
        <v>89813</v>
      </c>
      <c r="AA227" s="368">
        <v>43588</v>
      </c>
      <c r="AB227" s="329" t="s">
        <v>2168</v>
      </c>
      <c r="AC227" s="329">
        <v>2730290404</v>
      </c>
      <c r="AD227" s="329"/>
      <c r="AE227" s="329"/>
      <c r="AF227" s="329"/>
      <c r="AG227" s="251" t="s">
        <v>283</v>
      </c>
      <c r="AH227" s="251"/>
      <c r="AI227" s="260"/>
      <c r="AJ227" s="251"/>
      <c r="AK227" s="260"/>
      <c r="AL227" s="260"/>
      <c r="AM227" s="251" t="s">
        <v>49</v>
      </c>
      <c r="AN227" s="251" t="s">
        <v>284</v>
      </c>
      <c r="AO227" s="251" t="s">
        <v>50</v>
      </c>
      <c r="AP227" s="251" t="s">
        <v>51</v>
      </c>
      <c r="AQ227" s="262"/>
    </row>
    <row r="228" spans="1:43" ht="15.75" customHeight="1">
      <c r="A228" s="110">
        <v>43493</v>
      </c>
      <c r="B228" s="250" t="s">
        <v>405</v>
      </c>
      <c r="C228" s="250">
        <v>7000144606</v>
      </c>
      <c r="D228" s="250" t="s">
        <v>582</v>
      </c>
      <c r="E228" s="23" t="s">
        <v>585</v>
      </c>
      <c r="F228" s="251">
        <v>3</v>
      </c>
      <c r="G228" s="252">
        <v>15</v>
      </c>
      <c r="H228" s="253">
        <f t="shared" si="18"/>
        <v>45</v>
      </c>
      <c r="I228" s="264" t="s">
        <v>42</v>
      </c>
      <c r="J228" s="255" t="s">
        <v>512</v>
      </c>
      <c r="K228" s="256">
        <v>43510</v>
      </c>
      <c r="L228" s="256"/>
      <c r="M228" s="594">
        <v>43509</v>
      </c>
      <c r="N228" s="331" t="s">
        <v>2043</v>
      </c>
      <c r="O228" s="420" t="s">
        <v>2167</v>
      </c>
      <c r="P228" s="593"/>
      <c r="Q228" s="593"/>
      <c r="R228" s="593"/>
      <c r="S228" s="593"/>
      <c r="T228" s="630"/>
      <c r="U228" s="630">
        <v>958</v>
      </c>
      <c r="V228" s="308" t="s">
        <v>2045</v>
      </c>
      <c r="W228" s="258">
        <v>43585</v>
      </c>
      <c r="X228" s="258">
        <v>43508</v>
      </c>
      <c r="Y228" s="259" t="s">
        <v>584</v>
      </c>
      <c r="Z228" s="270" t="s">
        <v>2169</v>
      </c>
      <c r="AA228" s="368">
        <v>43588</v>
      </c>
      <c r="AB228" s="329" t="s">
        <v>2168</v>
      </c>
      <c r="AC228" s="329">
        <v>2730290404</v>
      </c>
      <c r="AD228" s="329"/>
      <c r="AE228" s="329"/>
      <c r="AF228" s="329"/>
      <c r="AG228" s="251" t="s">
        <v>283</v>
      </c>
      <c r="AH228" s="251"/>
      <c r="AI228" s="260"/>
      <c r="AJ228" s="251"/>
      <c r="AK228" s="260"/>
      <c r="AL228" s="260"/>
      <c r="AM228" s="251" t="s">
        <v>49</v>
      </c>
      <c r="AN228" s="251" t="s">
        <v>284</v>
      </c>
      <c r="AO228" s="251" t="s">
        <v>50</v>
      </c>
      <c r="AP228" s="251" t="s">
        <v>51</v>
      </c>
      <c r="AQ228" s="262"/>
    </row>
    <row r="229" spans="1:43" ht="15.75" customHeight="1">
      <c r="A229" s="110">
        <v>43495</v>
      </c>
      <c r="B229" s="420" t="s">
        <v>76</v>
      </c>
      <c r="C229" s="250">
        <v>74</v>
      </c>
      <c r="D229" s="420" t="s">
        <v>586</v>
      </c>
      <c r="E229" s="23" t="s">
        <v>587</v>
      </c>
      <c r="F229" s="251">
        <v>2</v>
      </c>
      <c r="G229" s="252">
        <v>77</v>
      </c>
      <c r="H229" s="253">
        <f t="shared" si="18"/>
        <v>154</v>
      </c>
      <c r="I229" s="264" t="s">
        <v>42</v>
      </c>
      <c r="J229" s="255" t="s">
        <v>315</v>
      </c>
      <c r="K229" s="256">
        <v>43496</v>
      </c>
      <c r="L229" s="256"/>
      <c r="M229" s="256">
        <v>43468</v>
      </c>
      <c r="N229" s="267" t="s">
        <v>2170</v>
      </c>
      <c r="O229" s="595" t="s">
        <v>2171</v>
      </c>
      <c r="P229" s="337"/>
      <c r="Q229" s="337"/>
      <c r="R229" s="337"/>
      <c r="S229" s="337"/>
      <c r="T229" s="630"/>
      <c r="U229" s="630">
        <v>1785</v>
      </c>
      <c r="V229" s="597" t="s">
        <v>2172</v>
      </c>
      <c r="W229" s="258">
        <v>43524</v>
      </c>
      <c r="X229" s="258">
        <v>43495</v>
      </c>
      <c r="Y229" s="259" t="s">
        <v>588</v>
      </c>
      <c r="Z229" s="270">
        <v>1785</v>
      </c>
      <c r="AA229" s="258">
        <v>43531</v>
      </c>
      <c r="AB229" s="329" t="s">
        <v>2173</v>
      </c>
      <c r="AC229" s="329">
        <v>623766776</v>
      </c>
      <c r="AD229" s="329"/>
      <c r="AE229" s="329"/>
      <c r="AF229" s="329"/>
      <c r="AG229" s="251" t="s">
        <v>283</v>
      </c>
      <c r="AH229" s="251"/>
      <c r="AI229" s="260"/>
      <c r="AJ229" s="251"/>
      <c r="AK229" s="260"/>
      <c r="AL229" s="260"/>
      <c r="AM229" s="251" t="s">
        <v>49</v>
      </c>
      <c r="AN229" s="251" t="s">
        <v>284</v>
      </c>
      <c r="AO229" s="251" t="s">
        <v>50</v>
      </c>
      <c r="AP229" s="251" t="s">
        <v>51</v>
      </c>
      <c r="AQ229" s="262"/>
    </row>
    <row r="230" spans="1:43" ht="15.75" customHeight="1">
      <c r="A230" s="110">
        <v>43495</v>
      </c>
      <c r="B230" s="32" t="s">
        <v>589</v>
      </c>
      <c r="C230" s="21"/>
      <c r="D230" s="21" t="s">
        <v>590</v>
      </c>
      <c r="E230" s="23" t="s">
        <v>591</v>
      </c>
      <c r="F230" s="24">
        <v>2</v>
      </c>
      <c r="G230" s="48">
        <v>30</v>
      </c>
      <c r="H230" s="421">
        <f t="shared" si="18"/>
        <v>60</v>
      </c>
      <c r="I230" s="296" t="s">
        <v>302</v>
      </c>
      <c r="J230" s="422" t="s">
        <v>592</v>
      </c>
      <c r="K230" s="29">
        <v>43522</v>
      </c>
      <c r="L230" s="29"/>
      <c r="M230" s="606">
        <v>43157</v>
      </c>
      <c r="N230" s="607" t="s">
        <v>2008</v>
      </c>
      <c r="O230" s="608" t="s">
        <v>2174</v>
      </c>
      <c r="P230" s="612"/>
      <c r="Q230" s="612" t="s">
        <v>2175</v>
      </c>
      <c r="R230" s="612"/>
      <c r="S230" s="612"/>
      <c r="T230" s="612"/>
      <c r="U230" s="612">
        <v>1648</v>
      </c>
      <c r="V230" s="631" t="s">
        <v>2010</v>
      </c>
      <c r="W230" s="293">
        <v>43534</v>
      </c>
      <c r="X230" s="293">
        <v>43522</v>
      </c>
      <c r="Y230" s="294" t="s">
        <v>593</v>
      </c>
      <c r="Z230" s="295">
        <v>1648</v>
      </c>
      <c r="AA230" s="293">
        <v>43531</v>
      </c>
      <c r="AB230" s="294" t="s">
        <v>2176</v>
      </c>
      <c r="AC230" s="294" t="s">
        <v>2177</v>
      </c>
      <c r="AD230" s="294"/>
      <c r="AE230" s="294"/>
      <c r="AF230" s="294"/>
      <c r="AG230" s="369"/>
      <c r="AH230" s="369"/>
      <c r="AI230" s="370"/>
      <c r="AJ230" s="371">
        <v>43630</v>
      </c>
      <c r="AK230" s="370">
        <f>1314.64*31.47</f>
        <v>41371.720800000003</v>
      </c>
      <c r="AL230" s="370">
        <f>(1346-1314.64)*31.47</f>
        <v>986.89919999999677</v>
      </c>
      <c r="AM230" s="369" t="s">
        <v>49</v>
      </c>
      <c r="AN230" s="369" t="s">
        <v>284</v>
      </c>
      <c r="AO230" s="369" t="s">
        <v>50</v>
      </c>
      <c r="AP230" s="369" t="s">
        <v>51</v>
      </c>
      <c r="AQ230" s="372" t="s">
        <v>439</v>
      </c>
    </row>
    <row r="231" spans="1:43" ht="15.75" customHeight="1">
      <c r="A231" s="110">
        <v>43496</v>
      </c>
      <c r="B231" s="21" t="s">
        <v>118</v>
      </c>
      <c r="C231" s="21" t="s">
        <v>594</v>
      </c>
      <c r="D231" s="21" t="s">
        <v>595</v>
      </c>
      <c r="E231" s="23" t="s">
        <v>120</v>
      </c>
      <c r="F231" s="24">
        <v>50</v>
      </c>
      <c r="G231" s="48">
        <v>359</v>
      </c>
      <c r="H231" s="26">
        <f t="shared" si="18"/>
        <v>17950</v>
      </c>
      <c r="I231" s="296" t="s">
        <v>170</v>
      </c>
      <c r="J231" s="82" t="s">
        <v>121</v>
      </c>
      <c r="K231" s="29">
        <v>43539</v>
      </c>
      <c r="L231" s="29"/>
      <c r="M231" s="29">
        <v>43539</v>
      </c>
      <c r="N231" s="63" t="s">
        <v>89</v>
      </c>
      <c r="O231" s="93" t="s">
        <v>2178</v>
      </c>
      <c r="P231" s="406"/>
      <c r="Q231" s="406">
        <v>17430</v>
      </c>
      <c r="R231" s="406"/>
      <c r="S231" s="406"/>
      <c r="T231" s="406"/>
      <c r="U231" s="406">
        <v>536670</v>
      </c>
      <c r="V231" s="35" t="s">
        <v>93</v>
      </c>
      <c r="W231" s="293">
        <v>43585</v>
      </c>
      <c r="X231" s="293">
        <v>43538</v>
      </c>
      <c r="Y231" s="294" t="s">
        <v>596</v>
      </c>
      <c r="Z231" s="295">
        <v>536670</v>
      </c>
      <c r="AA231" s="300">
        <v>43586</v>
      </c>
      <c r="AB231" s="53" t="s">
        <v>2179</v>
      </c>
      <c r="AC231" s="53" t="s">
        <v>2180</v>
      </c>
      <c r="AD231" s="53"/>
      <c r="AE231" s="53"/>
      <c r="AF231" s="53"/>
      <c r="AG231" s="54" t="s">
        <v>538</v>
      </c>
      <c r="AH231" s="54">
        <v>30.79</v>
      </c>
      <c r="AI231" s="55"/>
      <c r="AJ231" s="56">
        <v>43551</v>
      </c>
      <c r="AK231" s="55">
        <f>42560.7*30.798</f>
        <v>1310784.4385999998</v>
      </c>
      <c r="AL231" s="55">
        <f>(42592-42560.7)*30.798</f>
        <v>963.97740000008957</v>
      </c>
      <c r="AM231" s="54" t="s">
        <v>49</v>
      </c>
      <c r="AN231" s="24" t="s">
        <v>284</v>
      </c>
      <c r="AO231" s="54" t="s">
        <v>50</v>
      </c>
      <c r="AP231" s="54" t="s">
        <v>51</v>
      </c>
      <c r="AQ231" s="57" t="s">
        <v>397</v>
      </c>
    </row>
    <row r="232" spans="1:43" ht="15.75" customHeight="1">
      <c r="A232" s="110">
        <v>43496</v>
      </c>
      <c r="B232" s="250" t="s">
        <v>118</v>
      </c>
      <c r="C232" s="250" t="s">
        <v>594</v>
      </c>
      <c r="D232" s="250" t="s">
        <v>597</v>
      </c>
      <c r="E232" s="23" t="s">
        <v>155</v>
      </c>
      <c r="F232" s="251">
        <v>3</v>
      </c>
      <c r="G232" s="252">
        <v>335</v>
      </c>
      <c r="H232" s="330">
        <f t="shared" si="18"/>
        <v>1005</v>
      </c>
      <c r="I232" s="264" t="s">
        <v>170</v>
      </c>
      <c r="J232" s="254" t="s">
        <v>121</v>
      </c>
      <c r="K232" s="256">
        <v>43521</v>
      </c>
      <c r="L232" s="256"/>
      <c r="M232" s="256">
        <v>43517</v>
      </c>
      <c r="N232" s="367" t="s">
        <v>89</v>
      </c>
      <c r="O232" s="420" t="s">
        <v>2181</v>
      </c>
      <c r="P232" s="308"/>
      <c r="Q232" s="308">
        <v>913.5</v>
      </c>
      <c r="R232" s="308"/>
      <c r="S232" s="308"/>
      <c r="T232" s="593"/>
      <c r="U232" s="593"/>
      <c r="V232" s="571" t="s">
        <v>93</v>
      </c>
      <c r="W232" s="258">
        <v>43555</v>
      </c>
      <c r="X232" s="258">
        <v>43516</v>
      </c>
      <c r="Y232" s="259" t="s">
        <v>598</v>
      </c>
      <c r="Z232" s="270" t="s">
        <v>2182</v>
      </c>
      <c r="AA232" s="258">
        <v>43532</v>
      </c>
      <c r="AB232" s="329" t="s">
        <v>2154</v>
      </c>
      <c r="AC232" s="329" t="s">
        <v>2155</v>
      </c>
      <c r="AD232" s="329"/>
      <c r="AE232" s="329"/>
      <c r="AF232" s="329"/>
      <c r="AG232" s="251" t="s">
        <v>283</v>
      </c>
      <c r="AH232" s="251"/>
      <c r="AI232" s="260"/>
      <c r="AJ232" s="305"/>
      <c r="AK232" s="260"/>
      <c r="AL232" s="260"/>
      <c r="AM232" s="251" t="s">
        <v>49</v>
      </c>
      <c r="AN232" s="251" t="s">
        <v>284</v>
      </c>
      <c r="AO232" s="251" t="s">
        <v>50</v>
      </c>
      <c r="AP232" s="251" t="s">
        <v>51</v>
      </c>
      <c r="AQ232" s="262"/>
    </row>
    <row r="233" spans="1:43" ht="15.75" customHeight="1">
      <c r="A233" s="110">
        <v>43496</v>
      </c>
      <c r="B233" s="250" t="s">
        <v>118</v>
      </c>
      <c r="C233" s="250" t="s">
        <v>594</v>
      </c>
      <c r="D233" s="250" t="s">
        <v>597</v>
      </c>
      <c r="E233" s="23" t="s">
        <v>413</v>
      </c>
      <c r="F233" s="251">
        <v>3</v>
      </c>
      <c r="G233" s="252">
        <v>118</v>
      </c>
      <c r="H233" s="330">
        <f t="shared" si="18"/>
        <v>354</v>
      </c>
      <c r="I233" s="264" t="s">
        <v>170</v>
      </c>
      <c r="J233" s="264" t="s">
        <v>121</v>
      </c>
      <c r="K233" s="256">
        <v>43521</v>
      </c>
      <c r="L233" s="256"/>
      <c r="M233" s="256">
        <v>43501</v>
      </c>
      <c r="N233" s="367" t="s">
        <v>89</v>
      </c>
      <c r="O233" s="420" t="s">
        <v>2181</v>
      </c>
      <c r="P233" s="308"/>
      <c r="Q233" s="308">
        <v>327.60000000000002</v>
      </c>
      <c r="R233" s="308"/>
      <c r="S233" s="308"/>
      <c r="T233" s="593"/>
      <c r="U233" s="593"/>
      <c r="V233" s="571" t="s">
        <v>93</v>
      </c>
      <c r="W233" s="423">
        <v>43555</v>
      </c>
      <c r="X233" s="424">
        <v>43516</v>
      </c>
      <c r="Y233" s="259" t="s">
        <v>598</v>
      </c>
      <c r="Z233" s="270" t="s">
        <v>2182</v>
      </c>
      <c r="AA233" s="258">
        <v>43532</v>
      </c>
      <c r="AB233" s="329" t="s">
        <v>2154</v>
      </c>
      <c r="AC233" s="329" t="s">
        <v>2155</v>
      </c>
      <c r="AD233" s="329"/>
      <c r="AE233" s="329"/>
      <c r="AF233" s="329"/>
      <c r="AG233" s="251" t="s">
        <v>283</v>
      </c>
      <c r="AH233" s="251"/>
      <c r="AI233" s="260"/>
      <c r="AJ233" s="305"/>
      <c r="AK233" s="260"/>
      <c r="AL233" s="260"/>
      <c r="AM233" s="251" t="s">
        <v>49</v>
      </c>
      <c r="AN233" s="251" t="s">
        <v>284</v>
      </c>
      <c r="AO233" s="251" t="s">
        <v>50</v>
      </c>
      <c r="AP233" s="251" t="s">
        <v>51</v>
      </c>
      <c r="AQ233" s="262"/>
    </row>
    <row r="234" spans="1:43" ht="15.75" customHeight="1">
      <c r="A234" s="110">
        <v>43496</v>
      </c>
      <c r="B234" s="263" t="s">
        <v>118</v>
      </c>
      <c r="C234" s="250" t="s">
        <v>594</v>
      </c>
      <c r="D234" s="250" t="s">
        <v>597</v>
      </c>
      <c r="E234" s="23" t="s">
        <v>160</v>
      </c>
      <c r="F234" s="251">
        <v>5</v>
      </c>
      <c r="G234" s="252">
        <v>485</v>
      </c>
      <c r="H234" s="330">
        <f t="shared" si="18"/>
        <v>2425</v>
      </c>
      <c r="I234" s="264" t="s">
        <v>170</v>
      </c>
      <c r="J234" s="264" t="s">
        <v>121</v>
      </c>
      <c r="K234" s="256">
        <v>43521</v>
      </c>
      <c r="L234" s="256"/>
      <c r="M234" s="256">
        <v>43517</v>
      </c>
      <c r="N234" s="367" t="s">
        <v>89</v>
      </c>
      <c r="O234" s="420" t="s">
        <v>2181</v>
      </c>
      <c r="P234" s="308"/>
      <c r="Q234" s="308">
        <v>2100</v>
      </c>
      <c r="R234" s="308"/>
      <c r="S234" s="308"/>
      <c r="T234" s="593"/>
      <c r="U234" s="593"/>
      <c r="V234" s="571" t="s">
        <v>93</v>
      </c>
      <c r="W234" s="258">
        <v>43555</v>
      </c>
      <c r="X234" s="258">
        <v>43516</v>
      </c>
      <c r="Y234" s="259" t="s">
        <v>598</v>
      </c>
      <c r="Z234" s="270" t="s">
        <v>2182</v>
      </c>
      <c r="AA234" s="258">
        <v>43532</v>
      </c>
      <c r="AB234" s="329" t="s">
        <v>2154</v>
      </c>
      <c r="AC234" s="329" t="s">
        <v>2155</v>
      </c>
      <c r="AD234" s="329"/>
      <c r="AE234" s="329"/>
      <c r="AF234" s="329"/>
      <c r="AG234" s="251" t="s">
        <v>283</v>
      </c>
      <c r="AH234" s="251"/>
      <c r="AI234" s="260"/>
      <c r="AJ234" s="305"/>
      <c r="AK234" s="260"/>
      <c r="AL234" s="260"/>
      <c r="AM234" s="251" t="s">
        <v>49</v>
      </c>
      <c r="AN234" s="251" t="s">
        <v>284</v>
      </c>
      <c r="AO234" s="251" t="s">
        <v>50</v>
      </c>
      <c r="AP234" s="251" t="s">
        <v>51</v>
      </c>
      <c r="AQ234" s="262"/>
    </row>
    <row r="235" spans="1:43" ht="15.75" customHeight="1">
      <c r="A235" s="110">
        <v>43496</v>
      </c>
      <c r="B235" s="263" t="s">
        <v>118</v>
      </c>
      <c r="C235" s="250" t="s">
        <v>594</v>
      </c>
      <c r="D235" s="250" t="s">
        <v>597</v>
      </c>
      <c r="E235" s="23" t="s">
        <v>161</v>
      </c>
      <c r="F235" s="251">
        <v>10</v>
      </c>
      <c r="G235" s="252">
        <v>738</v>
      </c>
      <c r="H235" s="330">
        <f t="shared" si="18"/>
        <v>7380</v>
      </c>
      <c r="I235" s="264" t="s">
        <v>170</v>
      </c>
      <c r="J235" s="264" t="s">
        <v>121</v>
      </c>
      <c r="K235" s="256">
        <v>43521</v>
      </c>
      <c r="L235" s="256"/>
      <c r="M235" s="256">
        <v>43517</v>
      </c>
      <c r="N235" s="367" t="s">
        <v>89</v>
      </c>
      <c r="O235" s="420" t="s">
        <v>2181</v>
      </c>
      <c r="P235" s="308"/>
      <c r="Q235" s="308">
        <v>6699</v>
      </c>
      <c r="R235" s="308"/>
      <c r="S235" s="308"/>
      <c r="T235" s="593"/>
      <c r="U235" s="593"/>
      <c r="V235" s="571" t="s">
        <v>93</v>
      </c>
      <c r="W235" s="258">
        <v>43555</v>
      </c>
      <c r="X235" s="258">
        <v>43516</v>
      </c>
      <c r="Y235" s="259" t="s">
        <v>598</v>
      </c>
      <c r="Z235" s="270" t="s">
        <v>2182</v>
      </c>
      <c r="AA235" s="258">
        <v>43532</v>
      </c>
      <c r="AB235" s="329" t="s">
        <v>2154</v>
      </c>
      <c r="AC235" s="329" t="s">
        <v>2155</v>
      </c>
      <c r="AD235" s="329"/>
      <c r="AE235" s="329"/>
      <c r="AF235" s="329"/>
      <c r="AG235" s="251" t="s">
        <v>283</v>
      </c>
      <c r="AH235" s="251"/>
      <c r="AI235" s="260"/>
      <c r="AJ235" s="305"/>
      <c r="AK235" s="260"/>
      <c r="AL235" s="260"/>
      <c r="AM235" s="251" t="s">
        <v>49</v>
      </c>
      <c r="AN235" s="251" t="s">
        <v>284</v>
      </c>
      <c r="AO235" s="251" t="s">
        <v>50</v>
      </c>
      <c r="AP235" s="251" t="s">
        <v>51</v>
      </c>
      <c r="AQ235" s="262"/>
    </row>
    <row r="236" spans="1:43" ht="15.75" customHeight="1">
      <c r="A236" s="110">
        <v>43496</v>
      </c>
      <c r="B236" s="263" t="s">
        <v>599</v>
      </c>
      <c r="C236" s="250" t="s">
        <v>600</v>
      </c>
      <c r="D236" s="250" t="s">
        <v>601</v>
      </c>
      <c r="E236" s="23" t="s">
        <v>602</v>
      </c>
      <c r="F236" s="251">
        <v>5</v>
      </c>
      <c r="G236" s="252">
        <v>241.5</v>
      </c>
      <c r="H236" s="253">
        <f t="shared" si="18"/>
        <v>1207.5</v>
      </c>
      <c r="I236" s="264" t="s">
        <v>42</v>
      </c>
      <c r="J236" s="331" t="s">
        <v>603</v>
      </c>
      <c r="K236" s="256">
        <v>43515</v>
      </c>
      <c r="L236" s="256"/>
      <c r="M236" s="256">
        <v>43511</v>
      </c>
      <c r="N236" s="250" t="s">
        <v>2183</v>
      </c>
      <c r="O236" s="595">
        <v>20190211001</v>
      </c>
      <c r="P236" s="308"/>
      <c r="Q236" s="308">
        <v>1102.5</v>
      </c>
      <c r="R236" s="308"/>
      <c r="S236" s="308"/>
      <c r="T236" s="593"/>
      <c r="U236" s="593"/>
      <c r="V236" s="308" t="s">
        <v>2184</v>
      </c>
      <c r="W236" s="259" t="s">
        <v>421</v>
      </c>
      <c r="X236" s="269">
        <v>43510</v>
      </c>
      <c r="Y236" s="259" t="s">
        <v>604</v>
      </c>
      <c r="Z236" s="270">
        <v>43384</v>
      </c>
      <c r="AA236" s="258">
        <v>43531</v>
      </c>
      <c r="AB236" s="329" t="s">
        <v>2185</v>
      </c>
      <c r="AC236" s="329" t="s">
        <v>2186</v>
      </c>
      <c r="AD236" s="329">
        <v>30.905000000000001</v>
      </c>
      <c r="AE236" s="329">
        <v>48676</v>
      </c>
      <c r="AF236" s="599">
        <v>43516</v>
      </c>
      <c r="AG236" s="251"/>
      <c r="AH236" s="251"/>
      <c r="AI236" s="260"/>
      <c r="AJ236" s="251"/>
      <c r="AK236" s="260"/>
      <c r="AL236" s="260"/>
      <c r="AM236" s="251" t="s">
        <v>49</v>
      </c>
      <c r="AN236" s="251" t="s">
        <v>284</v>
      </c>
      <c r="AO236" s="251" t="s">
        <v>50</v>
      </c>
      <c r="AP236" s="251" t="s">
        <v>376</v>
      </c>
      <c r="AQ236" s="262"/>
    </row>
    <row r="237" spans="1:43" ht="15.75" customHeight="1">
      <c r="A237" s="110">
        <v>43496</v>
      </c>
      <c r="B237" s="263" t="s">
        <v>599</v>
      </c>
      <c r="C237" s="250" t="s">
        <v>600</v>
      </c>
      <c r="D237" s="250" t="s">
        <v>601</v>
      </c>
      <c r="E237" s="23" t="s">
        <v>605</v>
      </c>
      <c r="F237" s="251">
        <v>5</v>
      </c>
      <c r="G237" s="252">
        <v>73.5</v>
      </c>
      <c r="H237" s="253">
        <f t="shared" si="18"/>
        <v>367.5</v>
      </c>
      <c r="I237" s="264" t="s">
        <v>42</v>
      </c>
      <c r="J237" s="401" t="s">
        <v>603</v>
      </c>
      <c r="K237" s="256">
        <v>43515</v>
      </c>
      <c r="L237" s="256"/>
      <c r="M237" s="256">
        <v>43511</v>
      </c>
      <c r="N237" s="263" t="s">
        <v>2183</v>
      </c>
      <c r="O237" s="595">
        <v>20190211001</v>
      </c>
      <c r="P237" s="308"/>
      <c r="Q237" s="308">
        <v>325.5</v>
      </c>
      <c r="R237" s="308"/>
      <c r="S237" s="308"/>
      <c r="T237" s="593"/>
      <c r="U237" s="593"/>
      <c r="V237" s="308" t="s">
        <v>2184</v>
      </c>
      <c r="W237" s="259" t="s">
        <v>421</v>
      </c>
      <c r="X237" s="269">
        <v>43510</v>
      </c>
      <c r="Y237" s="259" t="s">
        <v>604</v>
      </c>
      <c r="Z237" s="259" t="s">
        <v>2187</v>
      </c>
      <c r="AA237" s="258">
        <v>43531</v>
      </c>
      <c r="AB237" s="329" t="s">
        <v>2185</v>
      </c>
      <c r="AC237" s="329" t="s">
        <v>2186</v>
      </c>
      <c r="AD237" s="329">
        <v>30.905000000000001</v>
      </c>
      <c r="AE237" s="329" t="s">
        <v>2188</v>
      </c>
      <c r="AF237" s="599">
        <v>43516</v>
      </c>
      <c r="AG237" s="251"/>
      <c r="AH237" s="251"/>
      <c r="AI237" s="260"/>
      <c r="AJ237" s="251"/>
      <c r="AK237" s="260"/>
      <c r="AL237" s="260"/>
      <c r="AM237" s="251" t="s">
        <v>49</v>
      </c>
      <c r="AN237" s="251" t="s">
        <v>284</v>
      </c>
      <c r="AO237" s="251" t="s">
        <v>50</v>
      </c>
      <c r="AP237" s="251" t="s">
        <v>376</v>
      </c>
      <c r="AQ237" s="262"/>
    </row>
    <row r="238" spans="1:43" ht="15.75" customHeight="1">
      <c r="A238" s="110">
        <v>43496</v>
      </c>
      <c r="B238" s="147" t="s">
        <v>405</v>
      </c>
      <c r="C238" s="21">
        <v>7000145102</v>
      </c>
      <c r="D238" s="139" t="s">
        <v>606</v>
      </c>
      <c r="E238" s="23" t="s">
        <v>607</v>
      </c>
      <c r="F238" s="24">
        <v>5</v>
      </c>
      <c r="G238" s="48">
        <v>775</v>
      </c>
      <c r="H238" s="26">
        <f t="shared" si="18"/>
        <v>3875</v>
      </c>
      <c r="I238" s="296" t="s">
        <v>42</v>
      </c>
      <c r="J238" s="425" t="s">
        <v>519</v>
      </c>
      <c r="K238" s="29">
        <v>43546</v>
      </c>
      <c r="L238" s="29"/>
      <c r="M238" s="30">
        <v>43544</v>
      </c>
      <c r="N238" s="50" t="s">
        <v>1512</v>
      </c>
      <c r="O238" s="93" t="s">
        <v>2189</v>
      </c>
      <c r="P238" s="406"/>
      <c r="Q238" s="406"/>
      <c r="R238" s="406"/>
      <c r="S238" s="406"/>
      <c r="T238" s="406"/>
      <c r="U238" s="406">
        <v>120325</v>
      </c>
      <c r="V238" s="501"/>
      <c r="W238" s="304"/>
      <c r="X238" s="304"/>
      <c r="Y238" s="304"/>
      <c r="Z238" s="404"/>
      <c r="AA238" s="304"/>
      <c r="AB238" s="304" t="s">
        <v>2190</v>
      </c>
      <c r="AC238" s="304" t="s">
        <v>2191</v>
      </c>
      <c r="AD238" s="304"/>
      <c r="AE238" s="304"/>
      <c r="AF238" s="304"/>
      <c r="AG238" s="296"/>
      <c r="AH238" s="296">
        <v>30.824999999999999</v>
      </c>
      <c r="AI238" s="297"/>
      <c r="AJ238" s="145">
        <v>43588</v>
      </c>
      <c r="AK238" s="297" t="s">
        <v>2116</v>
      </c>
      <c r="AL238" s="297" t="s">
        <v>2117</v>
      </c>
      <c r="AM238" s="296" t="s">
        <v>49</v>
      </c>
      <c r="AN238" s="24" t="s">
        <v>284</v>
      </c>
      <c r="AO238" s="296" t="s">
        <v>285</v>
      </c>
      <c r="AP238" s="296" t="s">
        <v>51</v>
      </c>
      <c r="AQ238" s="234" t="s">
        <v>304</v>
      </c>
    </row>
    <row r="239" spans="1:43" ht="15.75" customHeight="1">
      <c r="A239" s="110">
        <v>43496</v>
      </c>
      <c r="B239" s="250" t="s">
        <v>118</v>
      </c>
      <c r="C239" s="250" t="s">
        <v>594</v>
      </c>
      <c r="D239" s="250"/>
      <c r="E239" s="23" t="s">
        <v>157</v>
      </c>
      <c r="F239" s="251">
        <v>5</v>
      </c>
      <c r="G239" s="252">
        <v>979</v>
      </c>
      <c r="H239" s="330">
        <f t="shared" si="18"/>
        <v>4895</v>
      </c>
      <c r="I239" s="264" t="s">
        <v>170</v>
      </c>
      <c r="J239" s="426" t="s">
        <v>121</v>
      </c>
      <c r="K239" s="256">
        <v>43521</v>
      </c>
      <c r="L239" s="256"/>
      <c r="M239" s="256">
        <v>43517</v>
      </c>
      <c r="N239" s="367" t="s">
        <v>89</v>
      </c>
      <c r="O239" s="420" t="s">
        <v>2181</v>
      </c>
      <c r="P239" s="308"/>
      <c r="Q239" s="308">
        <v>4179</v>
      </c>
      <c r="R239" s="308"/>
      <c r="S239" s="308"/>
      <c r="T239" s="593"/>
      <c r="U239" s="593"/>
      <c r="V239" s="338" t="s">
        <v>93</v>
      </c>
      <c r="W239" s="258">
        <v>43555</v>
      </c>
      <c r="X239" s="258">
        <v>43516</v>
      </c>
      <c r="Y239" s="259" t="s">
        <v>598</v>
      </c>
      <c r="Z239" s="270">
        <v>436313</v>
      </c>
      <c r="AA239" s="258">
        <v>43532</v>
      </c>
      <c r="AB239" s="329" t="s">
        <v>2154</v>
      </c>
      <c r="AC239" s="329" t="s">
        <v>2155</v>
      </c>
      <c r="AD239" s="329"/>
      <c r="AE239" s="329"/>
      <c r="AF239" s="329"/>
      <c r="AG239" s="251" t="s">
        <v>283</v>
      </c>
      <c r="AH239" s="251"/>
      <c r="AI239" s="260"/>
      <c r="AJ239" s="305"/>
      <c r="AK239" s="260"/>
      <c r="AL239" s="260"/>
      <c r="AM239" s="251" t="s">
        <v>49</v>
      </c>
      <c r="AN239" s="251" t="s">
        <v>284</v>
      </c>
      <c r="AO239" s="251" t="s">
        <v>50</v>
      </c>
      <c r="AP239" s="251" t="s">
        <v>51</v>
      </c>
      <c r="AQ239" s="262"/>
    </row>
    <row r="240" spans="1:43" ht="15.75" customHeight="1">
      <c r="A240" s="110">
        <v>43497</v>
      </c>
      <c r="B240" s="250" t="s">
        <v>405</v>
      </c>
      <c r="C240" s="250">
        <v>7000144687</v>
      </c>
      <c r="D240" s="250" t="s">
        <v>608</v>
      </c>
      <c r="E240" s="23" t="s">
        <v>609</v>
      </c>
      <c r="F240" s="251">
        <v>4</v>
      </c>
      <c r="G240" s="252">
        <v>148</v>
      </c>
      <c r="H240" s="253">
        <f t="shared" si="18"/>
        <v>592</v>
      </c>
      <c r="I240" s="264" t="s">
        <v>42</v>
      </c>
      <c r="J240" s="255" t="s">
        <v>512</v>
      </c>
      <c r="K240" s="256">
        <v>43510</v>
      </c>
      <c r="L240" s="256"/>
      <c r="M240" s="594">
        <v>43509</v>
      </c>
      <c r="N240" s="401" t="s">
        <v>2043</v>
      </c>
      <c r="O240" s="420" t="s">
        <v>2192</v>
      </c>
      <c r="P240" s="308"/>
      <c r="Q240" s="308"/>
      <c r="R240" s="308"/>
      <c r="S240" s="308"/>
      <c r="T240" s="572"/>
      <c r="U240" s="572">
        <v>16388</v>
      </c>
      <c r="V240" s="318" t="s">
        <v>2045</v>
      </c>
      <c r="W240" s="258">
        <v>43585</v>
      </c>
      <c r="X240" s="258">
        <v>43508</v>
      </c>
      <c r="Y240" s="259" t="s">
        <v>610</v>
      </c>
      <c r="Z240" s="270">
        <v>16388</v>
      </c>
      <c r="AA240" s="368">
        <v>43588</v>
      </c>
      <c r="AB240" s="329" t="s">
        <v>2168</v>
      </c>
      <c r="AC240" s="329">
        <v>2730290404</v>
      </c>
      <c r="AD240" s="329"/>
      <c r="AE240" s="329"/>
      <c r="AF240" s="329"/>
      <c r="AG240" s="251" t="s">
        <v>283</v>
      </c>
      <c r="AH240" s="251"/>
      <c r="AI240" s="260"/>
      <c r="AJ240" s="251"/>
      <c r="AK240" s="260"/>
      <c r="AL240" s="260"/>
      <c r="AM240" s="251" t="s">
        <v>49</v>
      </c>
      <c r="AN240" s="251" t="s">
        <v>284</v>
      </c>
      <c r="AO240" s="251" t="s">
        <v>50</v>
      </c>
      <c r="AP240" s="251" t="s">
        <v>51</v>
      </c>
      <c r="AQ240" s="262"/>
    </row>
    <row r="241" spans="1:43" ht="15.75" customHeight="1">
      <c r="A241" s="110">
        <v>43497</v>
      </c>
      <c r="B241" s="250" t="s">
        <v>405</v>
      </c>
      <c r="C241" s="250">
        <v>7000144687</v>
      </c>
      <c r="D241" s="250" t="s">
        <v>611</v>
      </c>
      <c r="E241" s="23" t="s">
        <v>612</v>
      </c>
      <c r="F241" s="251">
        <v>1</v>
      </c>
      <c r="G241" s="252">
        <v>298</v>
      </c>
      <c r="H241" s="253">
        <f t="shared" si="18"/>
        <v>298</v>
      </c>
      <c r="I241" s="264" t="s">
        <v>42</v>
      </c>
      <c r="J241" s="255" t="s">
        <v>512</v>
      </c>
      <c r="K241" s="256">
        <v>43510</v>
      </c>
      <c r="L241" s="256"/>
      <c r="M241" s="594">
        <v>43509</v>
      </c>
      <c r="N241" s="401" t="s">
        <v>2043</v>
      </c>
      <c r="O241" s="250" t="s">
        <v>2193</v>
      </c>
      <c r="P241" s="308"/>
      <c r="Q241" s="308"/>
      <c r="R241" s="308"/>
      <c r="S241" s="308"/>
      <c r="T241" s="572"/>
      <c r="U241" s="572">
        <v>8430</v>
      </c>
      <c r="V241" s="318" t="s">
        <v>2045</v>
      </c>
      <c r="W241" s="258">
        <v>43585</v>
      </c>
      <c r="X241" s="258">
        <v>43508</v>
      </c>
      <c r="Y241" s="259" t="s">
        <v>613</v>
      </c>
      <c r="Z241" s="270">
        <v>9074</v>
      </c>
      <c r="AA241" s="368">
        <v>43588</v>
      </c>
      <c r="AB241" s="329" t="s">
        <v>2194</v>
      </c>
      <c r="AC241" s="329">
        <v>2730383401</v>
      </c>
      <c r="AD241" s="329"/>
      <c r="AE241" s="329"/>
      <c r="AF241" s="329"/>
      <c r="AG241" s="251" t="s">
        <v>283</v>
      </c>
      <c r="AH241" s="251"/>
      <c r="AI241" s="260"/>
      <c r="AJ241" s="251"/>
      <c r="AK241" s="260"/>
      <c r="AL241" s="260"/>
      <c r="AM241" s="251" t="s">
        <v>49</v>
      </c>
      <c r="AN241" s="251" t="s">
        <v>284</v>
      </c>
      <c r="AO241" s="251" t="s">
        <v>50</v>
      </c>
      <c r="AP241" s="251" t="s">
        <v>51</v>
      </c>
      <c r="AQ241" s="262"/>
    </row>
    <row r="242" spans="1:43" ht="15.75" customHeight="1">
      <c r="A242" s="110">
        <v>43497</v>
      </c>
      <c r="B242" s="250" t="s">
        <v>405</v>
      </c>
      <c r="C242" s="250">
        <v>7000144687</v>
      </c>
      <c r="D242" s="250" t="s">
        <v>611</v>
      </c>
      <c r="E242" s="23" t="s">
        <v>614</v>
      </c>
      <c r="F242" s="251">
        <v>1</v>
      </c>
      <c r="G242" s="252">
        <v>23</v>
      </c>
      <c r="H242" s="253">
        <f t="shared" si="18"/>
        <v>23</v>
      </c>
      <c r="I242" s="264" t="s">
        <v>42</v>
      </c>
      <c r="J242" s="255" t="s">
        <v>512</v>
      </c>
      <c r="K242" s="256">
        <v>43510</v>
      </c>
      <c r="L242" s="256"/>
      <c r="M242" s="594">
        <v>43509</v>
      </c>
      <c r="N242" s="401" t="s">
        <v>2043</v>
      </c>
      <c r="O242" s="250" t="s">
        <v>2193</v>
      </c>
      <c r="P242" s="308"/>
      <c r="Q242" s="308"/>
      <c r="R242" s="308"/>
      <c r="S242" s="308"/>
      <c r="T242" s="572"/>
      <c r="U242" s="572">
        <v>644</v>
      </c>
      <c r="V242" s="318" t="s">
        <v>2045</v>
      </c>
      <c r="W242" s="258">
        <v>43585</v>
      </c>
      <c r="X242" s="258">
        <v>43508</v>
      </c>
      <c r="Y242" s="259" t="s">
        <v>613</v>
      </c>
      <c r="Z242" s="270" t="s">
        <v>2195</v>
      </c>
      <c r="AA242" s="368">
        <v>43588</v>
      </c>
      <c r="AB242" s="329" t="s">
        <v>2194</v>
      </c>
      <c r="AC242" s="329">
        <v>2730383401</v>
      </c>
      <c r="AD242" s="329"/>
      <c r="AE242" s="329"/>
      <c r="AF242" s="329"/>
      <c r="AG242" s="251" t="s">
        <v>283</v>
      </c>
      <c r="AH242" s="251"/>
      <c r="AI242" s="260"/>
      <c r="AJ242" s="251"/>
      <c r="AK242" s="260"/>
      <c r="AL242" s="260"/>
      <c r="AM242" s="251" t="s">
        <v>49</v>
      </c>
      <c r="AN242" s="251" t="s">
        <v>284</v>
      </c>
      <c r="AO242" s="251" t="s">
        <v>50</v>
      </c>
      <c r="AP242" s="251" t="s">
        <v>51</v>
      </c>
      <c r="AQ242" s="262"/>
    </row>
    <row r="243" spans="1:43" ht="15.75" customHeight="1">
      <c r="A243" s="341">
        <v>43502</v>
      </c>
      <c r="B243" s="308" t="s">
        <v>325</v>
      </c>
      <c r="C243" s="250">
        <v>2027408</v>
      </c>
      <c r="D243" s="308" t="s">
        <v>615</v>
      </c>
      <c r="E243" s="23" t="s">
        <v>41</v>
      </c>
      <c r="F243" s="251">
        <v>10</v>
      </c>
      <c r="G243" s="252">
        <v>273</v>
      </c>
      <c r="H243" s="253">
        <f t="shared" si="18"/>
        <v>2730</v>
      </c>
      <c r="I243" s="264" t="s">
        <v>42</v>
      </c>
      <c r="J243" s="319" t="s">
        <v>328</v>
      </c>
      <c r="K243" s="256">
        <v>43531</v>
      </c>
      <c r="L243" s="256"/>
      <c r="M243" s="256">
        <v>43517</v>
      </c>
      <c r="N243" s="401" t="s">
        <v>44</v>
      </c>
      <c r="O243" s="420" t="s">
        <v>2196</v>
      </c>
      <c r="P243" s="265"/>
      <c r="Q243" s="265">
        <v>2184</v>
      </c>
      <c r="R243" s="265"/>
      <c r="S243" s="265"/>
      <c r="T243" s="308"/>
      <c r="U243" s="308">
        <v>67368</v>
      </c>
      <c r="V243" s="338" t="s">
        <v>46</v>
      </c>
      <c r="W243" s="258">
        <v>43546</v>
      </c>
      <c r="X243" s="258">
        <v>43516</v>
      </c>
      <c r="Y243" s="259" t="s">
        <v>616</v>
      </c>
      <c r="Z243" s="270">
        <v>67368</v>
      </c>
      <c r="AA243" s="258">
        <v>43558</v>
      </c>
      <c r="AB243" s="329" t="s">
        <v>2197</v>
      </c>
      <c r="AC243" s="329">
        <v>623644</v>
      </c>
      <c r="AD243" s="329"/>
      <c r="AE243" s="329"/>
      <c r="AF243" s="329"/>
      <c r="AG243" s="251" t="s">
        <v>283</v>
      </c>
      <c r="AH243" s="251"/>
      <c r="AI243" s="260"/>
      <c r="AJ243" s="251"/>
      <c r="AK243" s="260"/>
      <c r="AL243" s="260"/>
      <c r="AM243" s="251" t="s">
        <v>49</v>
      </c>
      <c r="AN243" s="251" t="s">
        <v>284</v>
      </c>
      <c r="AO243" s="251" t="s">
        <v>50</v>
      </c>
      <c r="AP243" s="251" t="s">
        <v>51</v>
      </c>
      <c r="AQ243" s="262"/>
    </row>
    <row r="244" spans="1:43" ht="15.75" customHeight="1">
      <c r="A244" s="341">
        <v>43502</v>
      </c>
      <c r="B244" s="308" t="s">
        <v>325</v>
      </c>
      <c r="C244" s="250">
        <v>2027408</v>
      </c>
      <c r="D244" s="308" t="s">
        <v>615</v>
      </c>
      <c r="E244" s="23" t="s">
        <v>52</v>
      </c>
      <c r="F244" s="251">
        <v>10</v>
      </c>
      <c r="G244" s="252">
        <v>31</v>
      </c>
      <c r="H244" s="253">
        <f t="shared" si="18"/>
        <v>310</v>
      </c>
      <c r="I244" s="264" t="s">
        <v>42</v>
      </c>
      <c r="J244" s="367" t="s">
        <v>328</v>
      </c>
      <c r="K244" s="256">
        <v>43531</v>
      </c>
      <c r="L244" s="256"/>
      <c r="M244" s="256">
        <v>43522</v>
      </c>
      <c r="N244" s="331" t="s">
        <v>53</v>
      </c>
      <c r="O244" s="420" t="s">
        <v>2198</v>
      </c>
      <c r="P244" s="308"/>
      <c r="Q244" s="308">
        <v>226.8</v>
      </c>
      <c r="R244" s="308"/>
      <c r="S244" s="308"/>
      <c r="T244" s="308"/>
      <c r="U244" s="308"/>
      <c r="V244" s="420" t="s">
        <v>55</v>
      </c>
      <c r="W244" s="258">
        <v>43585</v>
      </c>
      <c r="X244" s="258">
        <v>43528</v>
      </c>
      <c r="Y244" s="259" t="s">
        <v>617</v>
      </c>
      <c r="Z244" s="259" t="s">
        <v>2199</v>
      </c>
      <c r="AA244" s="368">
        <v>43588</v>
      </c>
      <c r="AB244" s="329" t="s">
        <v>2197</v>
      </c>
      <c r="AC244" s="329">
        <v>623644</v>
      </c>
      <c r="AD244" s="329"/>
      <c r="AE244" s="329"/>
      <c r="AF244" s="329"/>
      <c r="AG244" s="251" t="s">
        <v>283</v>
      </c>
      <c r="AH244" s="251"/>
      <c r="AI244" s="260"/>
      <c r="AJ244" s="251"/>
      <c r="AK244" s="260"/>
      <c r="AL244" s="260"/>
      <c r="AM244" s="251" t="s">
        <v>49</v>
      </c>
      <c r="AN244" s="251" t="s">
        <v>284</v>
      </c>
      <c r="AO244" s="251" t="s">
        <v>50</v>
      </c>
      <c r="AP244" s="251" t="s">
        <v>51</v>
      </c>
      <c r="AQ244" s="262"/>
    </row>
    <row r="245" spans="1:43" ht="15.75" customHeight="1">
      <c r="A245" s="341">
        <v>43502</v>
      </c>
      <c r="B245" s="308" t="s">
        <v>325</v>
      </c>
      <c r="C245" s="250">
        <v>2027408</v>
      </c>
      <c r="D245" s="308" t="s">
        <v>615</v>
      </c>
      <c r="E245" s="23" t="s">
        <v>58</v>
      </c>
      <c r="F245" s="251">
        <v>10</v>
      </c>
      <c r="G245" s="252">
        <v>4</v>
      </c>
      <c r="H245" s="253">
        <f t="shared" si="18"/>
        <v>40</v>
      </c>
      <c r="I245" s="264" t="s">
        <v>42</v>
      </c>
      <c r="J245" s="367" t="s">
        <v>328</v>
      </c>
      <c r="K245" s="256">
        <v>43531</v>
      </c>
      <c r="L245" s="256"/>
      <c r="M245" s="256">
        <v>43522</v>
      </c>
      <c r="N245" s="331" t="s">
        <v>53</v>
      </c>
      <c r="O245" s="420" t="s">
        <v>2198</v>
      </c>
      <c r="P245" s="308"/>
      <c r="Q245" s="308">
        <v>21</v>
      </c>
      <c r="R245" s="308"/>
      <c r="S245" s="308"/>
      <c r="T245" s="308"/>
      <c r="U245" s="308"/>
      <c r="V245" s="420" t="s">
        <v>55</v>
      </c>
      <c r="W245" s="258">
        <v>43585</v>
      </c>
      <c r="X245" s="258">
        <v>43528</v>
      </c>
      <c r="Y245" s="259" t="s">
        <v>617</v>
      </c>
      <c r="Z245" s="259" t="s">
        <v>2199</v>
      </c>
      <c r="AA245" s="368">
        <v>43588</v>
      </c>
      <c r="AB245" s="329" t="s">
        <v>2197</v>
      </c>
      <c r="AC245" s="329">
        <v>623644</v>
      </c>
      <c r="AD245" s="329"/>
      <c r="AE245" s="329"/>
      <c r="AF245" s="329"/>
      <c r="AG245" s="251" t="s">
        <v>283</v>
      </c>
      <c r="AH245" s="251"/>
      <c r="AI245" s="260"/>
      <c r="AJ245" s="251"/>
      <c r="AK245" s="260"/>
      <c r="AL245" s="260"/>
      <c r="AM245" s="251" t="s">
        <v>49</v>
      </c>
      <c r="AN245" s="251" t="s">
        <v>284</v>
      </c>
      <c r="AO245" s="251" t="s">
        <v>50</v>
      </c>
      <c r="AP245" s="251" t="s">
        <v>51</v>
      </c>
      <c r="AQ245" s="262"/>
    </row>
    <row r="246" spans="1:43" ht="15.75" customHeight="1">
      <c r="A246" s="341">
        <v>43502</v>
      </c>
      <c r="B246" s="318" t="s">
        <v>325</v>
      </c>
      <c r="C246" s="250">
        <v>2027408</v>
      </c>
      <c r="D246" s="308" t="s">
        <v>618</v>
      </c>
      <c r="E246" s="23" t="s">
        <v>60</v>
      </c>
      <c r="F246" s="251">
        <v>10</v>
      </c>
      <c r="G246" s="252">
        <v>567</v>
      </c>
      <c r="H246" s="253">
        <f t="shared" si="18"/>
        <v>5670</v>
      </c>
      <c r="I246" s="264" t="s">
        <v>42</v>
      </c>
      <c r="J246" s="367" t="s">
        <v>328</v>
      </c>
      <c r="K246" s="256">
        <v>43531</v>
      </c>
      <c r="L246" s="256"/>
      <c r="M246" s="256">
        <v>43521</v>
      </c>
      <c r="N246" s="401" t="s">
        <v>53</v>
      </c>
      <c r="O246" s="420" t="s">
        <v>2198</v>
      </c>
      <c r="P246" s="308"/>
      <c r="Q246" s="308">
        <v>5355</v>
      </c>
      <c r="R246" s="308"/>
      <c r="S246" s="308"/>
      <c r="T246" s="308"/>
      <c r="U246" s="308"/>
      <c r="V246" s="420" t="s">
        <v>55</v>
      </c>
      <c r="W246" s="258">
        <v>43585</v>
      </c>
      <c r="X246" s="258">
        <v>43528</v>
      </c>
      <c r="Y246" s="259" t="s">
        <v>617</v>
      </c>
      <c r="Z246" s="270">
        <v>172398</v>
      </c>
      <c r="AA246" s="368">
        <v>43588</v>
      </c>
      <c r="AB246" s="329" t="s">
        <v>2197</v>
      </c>
      <c r="AC246" s="329">
        <v>623644</v>
      </c>
      <c r="AD246" s="329"/>
      <c r="AE246" s="329"/>
      <c r="AF246" s="329"/>
      <c r="AG246" s="251" t="s">
        <v>283</v>
      </c>
      <c r="AH246" s="251"/>
      <c r="AI246" s="260"/>
      <c r="AJ246" s="251"/>
      <c r="AK246" s="260"/>
      <c r="AL246" s="260"/>
      <c r="AM246" s="251" t="s">
        <v>49</v>
      </c>
      <c r="AN246" s="251" t="s">
        <v>284</v>
      </c>
      <c r="AO246" s="251" t="s">
        <v>50</v>
      </c>
      <c r="AP246" s="251" t="s">
        <v>51</v>
      </c>
      <c r="AQ246" s="262"/>
    </row>
    <row r="247" spans="1:43" ht="15.75" customHeight="1">
      <c r="A247" s="341">
        <v>43502</v>
      </c>
      <c r="B247" s="263" t="s">
        <v>619</v>
      </c>
      <c r="C247" s="250"/>
      <c r="D247" s="250" t="s">
        <v>620</v>
      </c>
      <c r="E247" s="23" t="s">
        <v>621</v>
      </c>
      <c r="F247" s="251">
        <v>1</v>
      </c>
      <c r="G247" s="252">
        <v>326.55</v>
      </c>
      <c r="H247" s="253">
        <f t="shared" si="18"/>
        <v>326.55</v>
      </c>
      <c r="I247" s="264" t="s">
        <v>42</v>
      </c>
      <c r="J247" s="367" t="s">
        <v>89</v>
      </c>
      <c r="K247" s="256">
        <v>43516</v>
      </c>
      <c r="L247" s="256"/>
      <c r="M247" s="256">
        <v>43515</v>
      </c>
      <c r="N247" s="367" t="s">
        <v>89</v>
      </c>
      <c r="O247" s="420" t="s">
        <v>2200</v>
      </c>
      <c r="P247" s="308"/>
      <c r="Q247" s="308">
        <v>300.3</v>
      </c>
      <c r="R247" s="308"/>
      <c r="S247" s="308"/>
      <c r="T247" s="308"/>
      <c r="U247" s="308"/>
      <c r="V247" s="571" t="s">
        <v>93</v>
      </c>
      <c r="W247" s="258">
        <v>43555</v>
      </c>
      <c r="X247" s="258">
        <v>43515</v>
      </c>
      <c r="Y247" s="259" t="s">
        <v>622</v>
      </c>
      <c r="Z247" s="270">
        <v>9215</v>
      </c>
      <c r="AA247" s="258">
        <v>43557</v>
      </c>
      <c r="AB247" s="329" t="s">
        <v>2201</v>
      </c>
      <c r="AC247" s="329" t="s">
        <v>2202</v>
      </c>
      <c r="AD247" s="329">
        <v>30.84</v>
      </c>
      <c r="AE247" s="402">
        <v>10071</v>
      </c>
      <c r="AF247" s="599">
        <v>43516</v>
      </c>
      <c r="AG247" s="251"/>
      <c r="AH247" s="251"/>
      <c r="AI247" s="260"/>
      <c r="AJ247" s="251"/>
      <c r="AK247" s="260"/>
      <c r="AL247" s="260"/>
      <c r="AM247" s="251" t="s">
        <v>49</v>
      </c>
      <c r="AN247" s="251" t="s">
        <v>284</v>
      </c>
      <c r="AO247" s="251" t="s">
        <v>50</v>
      </c>
      <c r="AP247" s="251" t="s">
        <v>376</v>
      </c>
      <c r="AQ247" s="262"/>
    </row>
    <row r="248" spans="1:43" ht="15.75" customHeight="1">
      <c r="A248" s="69">
        <v>43503</v>
      </c>
      <c r="B248" s="263" t="s">
        <v>405</v>
      </c>
      <c r="C248" s="250"/>
      <c r="D248" s="250" t="s">
        <v>582</v>
      </c>
      <c r="E248" s="23" t="s">
        <v>623</v>
      </c>
      <c r="F248" s="251">
        <v>5</v>
      </c>
      <c r="G248" s="252">
        <v>0</v>
      </c>
      <c r="H248" s="253">
        <f t="shared" si="18"/>
        <v>0</v>
      </c>
      <c r="I248" s="264" t="s">
        <v>42</v>
      </c>
      <c r="J248" s="401" t="s">
        <v>512</v>
      </c>
      <c r="K248" s="256">
        <v>43510</v>
      </c>
      <c r="L248" s="256"/>
      <c r="M248" s="624" t="s">
        <v>2203</v>
      </c>
      <c r="N248" s="597" t="s">
        <v>2204</v>
      </c>
      <c r="O248" s="595"/>
      <c r="P248" s="593"/>
      <c r="Q248" s="593"/>
      <c r="R248" s="593"/>
      <c r="S248" s="593"/>
      <c r="T248" s="574"/>
      <c r="U248" s="574" t="s">
        <v>576</v>
      </c>
      <c r="V248" s="328"/>
      <c r="W248" s="337"/>
      <c r="X248" s="329" t="s">
        <v>576</v>
      </c>
      <c r="Y248" s="329" t="s">
        <v>576</v>
      </c>
      <c r="Z248" s="329" t="s">
        <v>576</v>
      </c>
      <c r="AA248" s="329"/>
      <c r="AB248" s="329" t="s">
        <v>2194</v>
      </c>
      <c r="AC248" s="329">
        <v>2730383401</v>
      </c>
      <c r="AD248" s="329"/>
      <c r="AE248" s="329"/>
      <c r="AF248" s="329"/>
      <c r="AG248" s="251"/>
      <c r="AH248" s="251"/>
      <c r="AI248" s="260"/>
      <c r="AJ248" s="251"/>
      <c r="AK248" s="260"/>
      <c r="AL248" s="260"/>
      <c r="AM248" s="251" t="s">
        <v>49</v>
      </c>
      <c r="AN248" s="251" t="s">
        <v>284</v>
      </c>
      <c r="AO248" s="251" t="s">
        <v>50</v>
      </c>
      <c r="AP248" s="251" t="s">
        <v>51</v>
      </c>
      <c r="AQ248" s="262"/>
    </row>
    <row r="249" spans="1:43" ht="15.75" customHeight="1">
      <c r="A249" s="69">
        <v>43507</v>
      </c>
      <c r="B249" s="250" t="s">
        <v>577</v>
      </c>
      <c r="C249" s="21">
        <v>20190201001</v>
      </c>
      <c r="D249" s="427" t="s">
        <v>624</v>
      </c>
      <c r="E249" s="23" t="s">
        <v>625</v>
      </c>
      <c r="F249" s="24">
        <v>1</v>
      </c>
      <c r="G249" s="48">
        <v>1643.25</v>
      </c>
      <c r="H249" s="26">
        <f t="shared" si="18"/>
        <v>1643.25</v>
      </c>
      <c r="I249" s="296" t="s">
        <v>170</v>
      </c>
      <c r="J249" s="63" t="s">
        <v>626</v>
      </c>
      <c r="K249" s="30">
        <v>43553</v>
      </c>
      <c r="L249" s="30"/>
      <c r="M249" s="30">
        <v>43553</v>
      </c>
      <c r="N249" s="619"/>
      <c r="O249" s="64" t="s">
        <v>2205</v>
      </c>
      <c r="P249" s="34"/>
      <c r="Q249" s="34"/>
      <c r="R249" s="34"/>
      <c r="S249" s="34"/>
      <c r="T249" s="632"/>
      <c r="U249" s="632">
        <v>41431</v>
      </c>
      <c r="V249" s="76" t="s">
        <v>1947</v>
      </c>
      <c r="W249" s="52"/>
      <c r="X249" s="53"/>
      <c r="Y249" s="53"/>
      <c r="Z249" s="53"/>
      <c r="AA249" s="53"/>
      <c r="AB249" s="53" t="s">
        <v>2206</v>
      </c>
      <c r="AC249" s="53" t="s">
        <v>2207</v>
      </c>
      <c r="AD249" s="53">
        <v>30</v>
      </c>
      <c r="AE249" s="53">
        <v>49298</v>
      </c>
      <c r="AF249" s="53" t="s">
        <v>2208</v>
      </c>
      <c r="AG249" s="54"/>
      <c r="AH249" s="54"/>
      <c r="AI249" s="55"/>
      <c r="AJ249" s="54"/>
      <c r="AK249" s="55"/>
      <c r="AL249" s="55"/>
      <c r="AM249" s="54" t="s">
        <v>49</v>
      </c>
      <c r="AN249" s="24" t="s">
        <v>284</v>
      </c>
      <c r="AO249" s="54" t="s">
        <v>285</v>
      </c>
      <c r="AP249" s="54" t="s">
        <v>376</v>
      </c>
      <c r="AQ249" s="57" t="s">
        <v>397</v>
      </c>
    </row>
    <row r="250" spans="1:43" ht="15.75" customHeight="1">
      <c r="A250" s="69">
        <v>43507</v>
      </c>
      <c r="B250" s="147" t="s">
        <v>577</v>
      </c>
      <c r="C250" s="21">
        <v>20190201001</v>
      </c>
      <c r="D250" s="21" t="s">
        <v>627</v>
      </c>
      <c r="E250" s="23" t="s">
        <v>628</v>
      </c>
      <c r="F250" s="24">
        <v>2</v>
      </c>
      <c r="G250" s="48">
        <v>1888.95</v>
      </c>
      <c r="H250" s="26">
        <f t="shared" si="18"/>
        <v>3777.9</v>
      </c>
      <c r="I250" s="296" t="s">
        <v>170</v>
      </c>
      <c r="J250" s="63" t="s">
        <v>626</v>
      </c>
      <c r="K250" s="29">
        <v>43542</v>
      </c>
      <c r="L250" s="29"/>
      <c r="M250" s="29">
        <v>43539</v>
      </c>
      <c r="N250" s="63"/>
      <c r="O250" s="64" t="s">
        <v>2209</v>
      </c>
      <c r="P250" s="34"/>
      <c r="Q250" s="34"/>
      <c r="R250" s="34"/>
      <c r="S250" s="34"/>
      <c r="T250" s="632"/>
      <c r="U250" s="632">
        <v>92799</v>
      </c>
      <c r="V250" s="76" t="s">
        <v>1947</v>
      </c>
      <c r="W250" s="52"/>
      <c r="X250" s="53"/>
      <c r="Y250" s="53"/>
      <c r="Z250" s="53"/>
      <c r="AA250" s="53"/>
      <c r="AB250" s="53" t="s">
        <v>2210</v>
      </c>
      <c r="AC250" s="53" t="s">
        <v>2211</v>
      </c>
      <c r="AD250" s="53">
        <v>30</v>
      </c>
      <c r="AE250" s="53">
        <v>113337</v>
      </c>
      <c r="AF250" s="470">
        <v>43542</v>
      </c>
      <c r="AG250" s="54"/>
      <c r="AH250" s="54"/>
      <c r="AI250" s="55"/>
      <c r="AJ250" s="54"/>
      <c r="AK250" s="55"/>
      <c r="AL250" s="55"/>
      <c r="AM250" s="54" t="s">
        <v>49</v>
      </c>
      <c r="AN250" s="24" t="s">
        <v>284</v>
      </c>
      <c r="AO250" s="54" t="s">
        <v>285</v>
      </c>
      <c r="AP250" s="54" t="s">
        <v>376</v>
      </c>
      <c r="AQ250" s="57" t="s">
        <v>397</v>
      </c>
    </row>
    <row r="251" spans="1:43" ht="15.75" customHeight="1">
      <c r="A251" s="69">
        <v>43508</v>
      </c>
      <c r="B251" s="70" t="s">
        <v>629</v>
      </c>
      <c r="C251" s="290" t="s">
        <v>630</v>
      </c>
      <c r="D251" s="290" t="s">
        <v>631</v>
      </c>
      <c r="E251" s="23" t="s">
        <v>632</v>
      </c>
      <c r="F251" s="54">
        <v>25</v>
      </c>
      <c r="G251" s="47">
        <v>173.25</v>
      </c>
      <c r="H251" s="26">
        <f t="shared" si="18"/>
        <v>4331.25</v>
      </c>
      <c r="I251" s="296" t="s">
        <v>170</v>
      </c>
      <c r="J251" s="63" t="s">
        <v>626</v>
      </c>
      <c r="K251" s="30">
        <v>43516</v>
      </c>
      <c r="L251" s="30"/>
      <c r="M251" s="30">
        <v>43515</v>
      </c>
      <c r="N251" s="58" t="s">
        <v>2212</v>
      </c>
      <c r="O251" s="93" t="s">
        <v>2213</v>
      </c>
      <c r="P251" s="34"/>
      <c r="Q251" s="34"/>
      <c r="R251" s="34"/>
      <c r="S251" s="34"/>
      <c r="T251" s="406"/>
      <c r="U251" s="406">
        <v>127313</v>
      </c>
      <c r="V251" s="22" t="s">
        <v>2214</v>
      </c>
      <c r="W251" s="293">
        <v>43529</v>
      </c>
      <c r="X251" s="293">
        <v>43514</v>
      </c>
      <c r="Y251" s="294" t="s">
        <v>633</v>
      </c>
      <c r="Z251" s="295">
        <v>127313</v>
      </c>
      <c r="AA251" s="293">
        <v>43531</v>
      </c>
      <c r="AB251" s="53" t="s">
        <v>2215</v>
      </c>
      <c r="AC251" s="53" t="s">
        <v>2216</v>
      </c>
      <c r="AD251" s="53">
        <v>30.84</v>
      </c>
      <c r="AE251" s="384">
        <v>133576</v>
      </c>
      <c r="AF251" s="53" t="s">
        <v>2217</v>
      </c>
      <c r="AG251" s="54"/>
      <c r="AH251" s="54"/>
      <c r="AI251" s="55"/>
      <c r="AJ251" s="54"/>
      <c r="AK251" s="55"/>
      <c r="AL251" s="55"/>
      <c r="AM251" s="54" t="s">
        <v>49</v>
      </c>
      <c r="AN251" s="24" t="s">
        <v>284</v>
      </c>
      <c r="AO251" s="54" t="s">
        <v>50</v>
      </c>
      <c r="AP251" s="54" t="s">
        <v>376</v>
      </c>
      <c r="AQ251" s="57" t="s">
        <v>397</v>
      </c>
    </row>
    <row r="252" spans="1:43" ht="15.75" customHeight="1">
      <c r="A252" s="69">
        <v>43508</v>
      </c>
      <c r="B252" s="263" t="s">
        <v>463</v>
      </c>
      <c r="C252" s="250" t="s">
        <v>634</v>
      </c>
      <c r="D252" s="326" t="s">
        <v>635</v>
      </c>
      <c r="E252" s="23" t="s">
        <v>636</v>
      </c>
      <c r="F252" s="251">
        <v>1</v>
      </c>
      <c r="G252" s="265">
        <v>80</v>
      </c>
      <c r="H252" s="253">
        <f t="shared" ref="H252:H264" si="19">F252*G252</f>
        <v>80</v>
      </c>
      <c r="I252" s="264" t="s">
        <v>170</v>
      </c>
      <c r="J252" s="251" t="s">
        <v>466</v>
      </c>
      <c r="K252" s="256">
        <v>43550</v>
      </c>
      <c r="L252" s="256"/>
      <c r="M252" s="256">
        <v>43538</v>
      </c>
      <c r="N252" s="401" t="s">
        <v>2087</v>
      </c>
      <c r="O252" s="420" t="s">
        <v>2218</v>
      </c>
      <c r="P252" s="593"/>
      <c r="Q252" s="593"/>
      <c r="R252" s="593"/>
      <c r="S252" s="593"/>
      <c r="T252" s="572"/>
      <c r="U252" s="572">
        <v>1628</v>
      </c>
      <c r="V252" s="308" t="s">
        <v>2089</v>
      </c>
      <c r="W252" s="259" t="s">
        <v>421</v>
      </c>
      <c r="X252" s="258">
        <v>43537</v>
      </c>
      <c r="Y252" s="259" t="s">
        <v>637</v>
      </c>
      <c r="Z252" s="270">
        <v>3768</v>
      </c>
      <c r="AA252" s="258">
        <v>43512</v>
      </c>
      <c r="AB252" s="329" t="s">
        <v>2219</v>
      </c>
      <c r="AC252" s="329">
        <v>258891835</v>
      </c>
      <c r="AD252" s="329"/>
      <c r="AE252" s="329"/>
      <c r="AF252" s="329"/>
      <c r="AG252" s="251" t="s">
        <v>283</v>
      </c>
      <c r="AH252" s="251">
        <v>30.824999999999999</v>
      </c>
      <c r="AI252" s="260"/>
      <c r="AJ252" s="251"/>
      <c r="AK252" s="260"/>
      <c r="AL252" s="260"/>
      <c r="AM252" s="251" t="s">
        <v>49</v>
      </c>
      <c r="AN252" s="251" t="s">
        <v>284</v>
      </c>
      <c r="AO252" s="251" t="s">
        <v>50</v>
      </c>
      <c r="AP252" s="251" t="s">
        <v>51</v>
      </c>
      <c r="AQ252" s="262"/>
    </row>
    <row r="253" spans="1:43" ht="15.75" customHeight="1">
      <c r="A253" s="69">
        <v>43508</v>
      </c>
      <c r="B253" s="263" t="s">
        <v>463</v>
      </c>
      <c r="C253" s="250" t="s">
        <v>634</v>
      </c>
      <c r="D253" s="326" t="s">
        <v>635</v>
      </c>
      <c r="E253" s="23" t="s">
        <v>471</v>
      </c>
      <c r="F253" s="251">
        <v>1</v>
      </c>
      <c r="G253" s="265">
        <v>118</v>
      </c>
      <c r="H253" s="253">
        <f t="shared" si="19"/>
        <v>118</v>
      </c>
      <c r="I253" s="264" t="s">
        <v>170</v>
      </c>
      <c r="J253" s="251" t="s">
        <v>466</v>
      </c>
      <c r="K253" s="256">
        <v>43550</v>
      </c>
      <c r="L253" s="256"/>
      <c r="M253" s="256">
        <v>43538</v>
      </c>
      <c r="N253" s="401" t="s">
        <v>2087</v>
      </c>
      <c r="O253" s="420" t="s">
        <v>2218</v>
      </c>
      <c r="P253" s="593"/>
      <c r="Q253" s="593"/>
      <c r="R253" s="593"/>
      <c r="S253" s="593"/>
      <c r="T253" s="572"/>
      <c r="U253" s="572">
        <v>2140</v>
      </c>
      <c r="V253" s="308" t="s">
        <v>2089</v>
      </c>
      <c r="W253" s="259" t="s">
        <v>421</v>
      </c>
      <c r="X253" s="258">
        <v>43537</v>
      </c>
      <c r="Y253" s="259" t="s">
        <v>637</v>
      </c>
      <c r="Z253" s="259" t="s">
        <v>2220</v>
      </c>
      <c r="AA253" s="258">
        <v>43512</v>
      </c>
      <c r="AB253" s="329" t="s">
        <v>2219</v>
      </c>
      <c r="AC253" s="329">
        <v>258891835</v>
      </c>
      <c r="AD253" s="329"/>
      <c r="AE253" s="329"/>
      <c r="AF253" s="329"/>
      <c r="AG253" s="251" t="s">
        <v>283</v>
      </c>
      <c r="AH253" s="251">
        <v>30.824999999999999</v>
      </c>
      <c r="AI253" s="260"/>
      <c r="AJ253" s="251"/>
      <c r="AK253" s="260"/>
      <c r="AL253" s="260"/>
      <c r="AM253" s="251" t="s">
        <v>49</v>
      </c>
      <c r="AN253" s="251" t="s">
        <v>284</v>
      </c>
      <c r="AO253" s="251" t="s">
        <v>50</v>
      </c>
      <c r="AP253" s="251" t="s">
        <v>51</v>
      </c>
      <c r="AQ253" s="262"/>
    </row>
    <row r="254" spans="1:43" ht="15.75" customHeight="1">
      <c r="A254" s="69">
        <v>43508</v>
      </c>
      <c r="B254" s="263" t="s">
        <v>463</v>
      </c>
      <c r="C254" s="250" t="s">
        <v>634</v>
      </c>
      <c r="D254" s="428" t="s">
        <v>635</v>
      </c>
      <c r="E254" s="32" t="s">
        <v>472</v>
      </c>
      <c r="F254" s="251">
        <v>1</v>
      </c>
      <c r="G254" s="265">
        <v>160</v>
      </c>
      <c r="H254" s="253">
        <f t="shared" si="19"/>
        <v>160</v>
      </c>
      <c r="I254" s="254" t="s">
        <v>170</v>
      </c>
      <c r="J254" s="251" t="s">
        <v>466</v>
      </c>
      <c r="K254" s="256">
        <v>43550</v>
      </c>
      <c r="L254" s="256"/>
      <c r="M254" s="256">
        <v>43539</v>
      </c>
      <c r="N254" s="251" t="s">
        <v>2221</v>
      </c>
      <c r="O254" s="420" t="s">
        <v>2222</v>
      </c>
      <c r="P254" s="574"/>
      <c r="Q254" s="574">
        <v>135.44999999999999</v>
      </c>
      <c r="R254" s="574"/>
      <c r="S254" s="574"/>
      <c r="T254" s="308"/>
      <c r="U254" s="308">
        <v>4187</v>
      </c>
      <c r="V254" s="571" t="s">
        <v>46</v>
      </c>
      <c r="W254" s="269">
        <v>43568</v>
      </c>
      <c r="X254" s="258">
        <v>43538</v>
      </c>
      <c r="Y254" s="259" t="s">
        <v>638</v>
      </c>
      <c r="Z254" s="270">
        <v>41835</v>
      </c>
      <c r="AA254" s="258">
        <v>43568</v>
      </c>
      <c r="AB254" s="329" t="s">
        <v>2219</v>
      </c>
      <c r="AC254" s="329">
        <v>258891835</v>
      </c>
      <c r="AD254" s="329"/>
      <c r="AE254" s="329"/>
      <c r="AF254" s="329"/>
      <c r="AG254" s="251" t="s">
        <v>283</v>
      </c>
      <c r="AH254" s="251">
        <v>30.824999999999999</v>
      </c>
      <c r="AI254" s="260"/>
      <c r="AJ254" s="251"/>
      <c r="AK254" s="260"/>
      <c r="AL254" s="260"/>
      <c r="AM254" s="251" t="s">
        <v>49</v>
      </c>
      <c r="AN254" s="251" t="s">
        <v>284</v>
      </c>
      <c r="AO254" s="251" t="s">
        <v>50</v>
      </c>
      <c r="AP254" s="251" t="s">
        <v>51</v>
      </c>
      <c r="AQ254" s="262"/>
    </row>
    <row r="255" spans="1:43" ht="15.75" customHeight="1">
      <c r="A255" s="69">
        <v>43508</v>
      </c>
      <c r="B255" s="263" t="s">
        <v>463</v>
      </c>
      <c r="C255" s="250" t="s">
        <v>634</v>
      </c>
      <c r="D255" s="326" t="s">
        <v>635</v>
      </c>
      <c r="E255" s="23" t="s">
        <v>639</v>
      </c>
      <c r="F255" s="251">
        <v>1</v>
      </c>
      <c r="G255" s="265">
        <v>4120</v>
      </c>
      <c r="H255" s="253">
        <f t="shared" si="19"/>
        <v>4120</v>
      </c>
      <c r="I255" s="264" t="s">
        <v>170</v>
      </c>
      <c r="J255" s="251" t="s">
        <v>466</v>
      </c>
      <c r="K255" s="256">
        <v>43550</v>
      </c>
      <c r="L255" s="256"/>
      <c r="M255" s="256">
        <v>43550</v>
      </c>
      <c r="N255" s="367" t="s">
        <v>89</v>
      </c>
      <c r="O255" s="420" t="s">
        <v>2223</v>
      </c>
      <c r="P255" s="308"/>
      <c r="Q255" s="308">
        <v>3863.16</v>
      </c>
      <c r="R255" s="308"/>
      <c r="S255" s="308"/>
      <c r="T255" s="308"/>
      <c r="U255" s="308">
        <v>119082</v>
      </c>
      <c r="V255" s="571" t="s">
        <v>93</v>
      </c>
      <c r="W255" s="269">
        <v>43585</v>
      </c>
      <c r="X255" s="258">
        <v>43545</v>
      </c>
      <c r="Y255" s="259" t="s">
        <v>640</v>
      </c>
      <c r="Z255" s="270">
        <v>121833</v>
      </c>
      <c r="AA255" s="368">
        <v>43586</v>
      </c>
      <c r="AB255" s="329" t="s">
        <v>2219</v>
      </c>
      <c r="AC255" s="329">
        <v>258891835</v>
      </c>
      <c r="AD255" s="329"/>
      <c r="AE255" s="329"/>
      <c r="AF255" s="329"/>
      <c r="AG255" s="251" t="s">
        <v>283</v>
      </c>
      <c r="AH255" s="251">
        <v>30.824999999999999</v>
      </c>
      <c r="AI255" s="260"/>
      <c r="AJ255" s="251"/>
      <c r="AK255" s="260"/>
      <c r="AL255" s="260"/>
      <c r="AM255" s="251" t="s">
        <v>49</v>
      </c>
      <c r="AN255" s="251" t="s">
        <v>284</v>
      </c>
      <c r="AO255" s="251" t="s">
        <v>50</v>
      </c>
      <c r="AP255" s="251" t="s">
        <v>51</v>
      </c>
      <c r="AQ255" s="262"/>
    </row>
    <row r="256" spans="1:43" ht="15.75" customHeight="1">
      <c r="A256" s="69">
        <v>43508</v>
      </c>
      <c r="B256" s="263" t="s">
        <v>463</v>
      </c>
      <c r="C256" s="250" t="s">
        <v>634</v>
      </c>
      <c r="D256" s="326" t="s">
        <v>635</v>
      </c>
      <c r="E256" s="23" t="s">
        <v>465</v>
      </c>
      <c r="F256" s="251">
        <v>1</v>
      </c>
      <c r="G256" s="265">
        <v>100</v>
      </c>
      <c r="H256" s="253">
        <f t="shared" si="19"/>
        <v>100</v>
      </c>
      <c r="I256" s="264" t="s">
        <v>170</v>
      </c>
      <c r="J256" s="251" t="s">
        <v>466</v>
      </c>
      <c r="K256" s="256">
        <v>43550</v>
      </c>
      <c r="L256" s="256"/>
      <c r="M256" s="256">
        <v>43550</v>
      </c>
      <c r="N256" s="367" t="s">
        <v>89</v>
      </c>
      <c r="O256" s="420" t="s">
        <v>2223</v>
      </c>
      <c r="P256" s="574"/>
      <c r="Q256" s="574">
        <v>89.25</v>
      </c>
      <c r="R256" s="574"/>
      <c r="S256" s="574"/>
      <c r="T256" s="308"/>
      <c r="U256" s="308">
        <v>2751</v>
      </c>
      <c r="V256" s="571" t="s">
        <v>93</v>
      </c>
      <c r="W256" s="269">
        <v>43585</v>
      </c>
      <c r="X256" s="258">
        <v>43545</v>
      </c>
      <c r="Y256" s="259" t="s">
        <v>640</v>
      </c>
      <c r="Z256" s="270" t="s">
        <v>2224</v>
      </c>
      <c r="AA256" s="368">
        <v>43586</v>
      </c>
      <c r="AB256" s="329" t="s">
        <v>2219</v>
      </c>
      <c r="AC256" s="329">
        <v>258891835</v>
      </c>
      <c r="AD256" s="329"/>
      <c r="AE256" s="329"/>
      <c r="AF256" s="329"/>
      <c r="AG256" s="251" t="s">
        <v>283</v>
      </c>
      <c r="AH256" s="251">
        <v>30.824999999999999</v>
      </c>
      <c r="AI256" s="260"/>
      <c r="AJ256" s="251"/>
      <c r="AK256" s="260"/>
      <c r="AL256" s="260"/>
      <c r="AM256" s="251" t="s">
        <v>49</v>
      </c>
      <c r="AN256" s="251" t="s">
        <v>284</v>
      </c>
      <c r="AO256" s="251" t="s">
        <v>50</v>
      </c>
      <c r="AP256" s="251" t="s">
        <v>51</v>
      </c>
      <c r="AQ256" s="262"/>
    </row>
    <row r="257" spans="1:43" ht="15.75" customHeight="1">
      <c r="A257" s="69">
        <v>43508</v>
      </c>
      <c r="B257" s="144" t="s">
        <v>76</v>
      </c>
      <c r="C257" s="21">
        <v>87</v>
      </c>
      <c r="D257" s="21" t="s">
        <v>641</v>
      </c>
      <c r="E257" s="23" t="s">
        <v>642</v>
      </c>
      <c r="F257" s="24">
        <v>7</v>
      </c>
      <c r="G257" s="48">
        <v>200</v>
      </c>
      <c r="H257" s="26">
        <f t="shared" si="19"/>
        <v>1400</v>
      </c>
      <c r="I257" s="296" t="s">
        <v>42</v>
      </c>
      <c r="J257" s="58" t="s">
        <v>315</v>
      </c>
      <c r="K257" s="29">
        <v>43550</v>
      </c>
      <c r="L257" s="29"/>
      <c r="M257" s="30">
        <v>43542</v>
      </c>
      <c r="N257" s="50" t="s">
        <v>1512</v>
      </c>
      <c r="O257" s="21" t="s">
        <v>2225</v>
      </c>
      <c r="P257" s="406"/>
      <c r="Q257" s="406"/>
      <c r="R257" s="406"/>
      <c r="S257" s="406"/>
      <c r="T257" s="620"/>
      <c r="U257" s="633">
        <v>35192</v>
      </c>
      <c r="V257" s="21" t="s">
        <v>2109</v>
      </c>
      <c r="W257" s="293">
        <v>43560</v>
      </c>
      <c r="X257" s="293">
        <v>43542</v>
      </c>
      <c r="Y257" s="294" t="s">
        <v>643</v>
      </c>
      <c r="Z257" s="295">
        <v>58707</v>
      </c>
      <c r="AA257" s="293">
        <v>43564</v>
      </c>
      <c r="AB257" s="304" t="s">
        <v>2148</v>
      </c>
      <c r="AC257" s="304">
        <v>258263250</v>
      </c>
      <c r="AD257" s="304"/>
      <c r="AE257" s="304"/>
      <c r="AF257" s="304"/>
      <c r="AG257" s="296"/>
      <c r="AH257" s="296">
        <v>30.824999999999999</v>
      </c>
      <c r="AI257" s="297"/>
      <c r="AJ257" s="298">
        <v>43580</v>
      </c>
      <c r="AK257" s="297" t="s">
        <v>2226</v>
      </c>
      <c r="AL257" s="297" t="s">
        <v>2227</v>
      </c>
      <c r="AM257" s="296" t="s">
        <v>49</v>
      </c>
      <c r="AN257" s="24" t="s">
        <v>284</v>
      </c>
      <c r="AO257" s="296" t="s">
        <v>285</v>
      </c>
      <c r="AP257" s="296" t="s">
        <v>51</v>
      </c>
      <c r="AQ257" s="234" t="s">
        <v>304</v>
      </c>
    </row>
    <row r="258" spans="1:43" ht="15.75" customHeight="1">
      <c r="A258" s="69">
        <v>43508</v>
      </c>
      <c r="B258" s="144" t="s">
        <v>76</v>
      </c>
      <c r="C258" s="21">
        <v>87</v>
      </c>
      <c r="D258" s="21" t="s">
        <v>641</v>
      </c>
      <c r="E258" s="23" t="s">
        <v>644</v>
      </c>
      <c r="F258" s="24">
        <v>7</v>
      </c>
      <c r="G258" s="48">
        <v>0</v>
      </c>
      <c r="H258" s="26">
        <f t="shared" si="19"/>
        <v>0</v>
      </c>
      <c r="I258" s="296" t="s">
        <v>42</v>
      </c>
      <c r="J258" s="58" t="s">
        <v>315</v>
      </c>
      <c r="K258" s="29">
        <v>43550</v>
      </c>
      <c r="L258" s="29"/>
      <c r="M258" s="30">
        <v>43542</v>
      </c>
      <c r="N258" s="50" t="s">
        <v>1512</v>
      </c>
      <c r="O258" s="21" t="s">
        <v>2225</v>
      </c>
      <c r="P258" s="406"/>
      <c r="Q258" s="406"/>
      <c r="R258" s="406"/>
      <c r="S258" s="406"/>
      <c r="T258" s="304"/>
      <c r="U258" s="304" t="s">
        <v>2228</v>
      </c>
      <c r="V258" s="21" t="s">
        <v>2109</v>
      </c>
      <c r="W258" s="293">
        <v>43560</v>
      </c>
      <c r="X258" s="293">
        <v>43542</v>
      </c>
      <c r="Y258" s="294" t="s">
        <v>643</v>
      </c>
      <c r="Z258" s="294" t="s">
        <v>2229</v>
      </c>
      <c r="AA258" s="293">
        <v>43564</v>
      </c>
      <c r="AB258" s="304" t="s">
        <v>2148</v>
      </c>
      <c r="AC258" s="304">
        <v>258263250</v>
      </c>
      <c r="AD258" s="304"/>
      <c r="AE258" s="304"/>
      <c r="AF258" s="304"/>
      <c r="AG258" s="296"/>
      <c r="AH258" s="296">
        <v>30.824999999999999</v>
      </c>
      <c r="AI258" s="297"/>
      <c r="AJ258" s="298">
        <v>43580</v>
      </c>
      <c r="AK258" s="297" t="s">
        <v>2226</v>
      </c>
      <c r="AL258" s="297" t="s">
        <v>2227</v>
      </c>
      <c r="AM258" s="296" t="s">
        <v>49</v>
      </c>
      <c r="AN258" s="24" t="s">
        <v>284</v>
      </c>
      <c r="AO258" s="296" t="s">
        <v>285</v>
      </c>
      <c r="AP258" s="296" t="s">
        <v>51</v>
      </c>
      <c r="AQ258" s="234" t="s">
        <v>304</v>
      </c>
    </row>
    <row r="259" spans="1:43" ht="15.75" customHeight="1">
      <c r="A259" s="69">
        <v>43508</v>
      </c>
      <c r="B259" s="144" t="s">
        <v>76</v>
      </c>
      <c r="C259" s="21">
        <v>87</v>
      </c>
      <c r="D259" s="21" t="s">
        <v>641</v>
      </c>
      <c r="E259" s="23" t="s">
        <v>645</v>
      </c>
      <c r="F259" s="24">
        <v>7</v>
      </c>
      <c r="G259" s="48">
        <v>0</v>
      </c>
      <c r="H259" s="26">
        <f t="shared" si="19"/>
        <v>0</v>
      </c>
      <c r="I259" s="296" t="s">
        <v>42</v>
      </c>
      <c r="J259" s="58" t="s">
        <v>315</v>
      </c>
      <c r="K259" s="29">
        <v>43550</v>
      </c>
      <c r="L259" s="29"/>
      <c r="M259" s="30">
        <v>43542</v>
      </c>
      <c r="N259" s="50" t="s">
        <v>1512</v>
      </c>
      <c r="O259" s="21" t="s">
        <v>2225</v>
      </c>
      <c r="P259" s="406"/>
      <c r="Q259" s="406"/>
      <c r="R259" s="406"/>
      <c r="S259" s="406"/>
      <c r="T259" s="304"/>
      <c r="U259" s="304" t="s">
        <v>2228</v>
      </c>
      <c r="V259" s="21" t="s">
        <v>2109</v>
      </c>
      <c r="W259" s="293">
        <v>43560</v>
      </c>
      <c r="X259" s="293">
        <v>43542</v>
      </c>
      <c r="Y259" s="294" t="s">
        <v>643</v>
      </c>
      <c r="Z259" s="294" t="s">
        <v>2229</v>
      </c>
      <c r="AA259" s="293">
        <v>43564</v>
      </c>
      <c r="AB259" s="304" t="s">
        <v>2148</v>
      </c>
      <c r="AC259" s="304">
        <v>258263250</v>
      </c>
      <c r="AD259" s="304"/>
      <c r="AE259" s="304"/>
      <c r="AF259" s="304"/>
      <c r="AG259" s="296"/>
      <c r="AH259" s="296">
        <v>30.824999999999999</v>
      </c>
      <c r="AI259" s="297"/>
      <c r="AJ259" s="298">
        <v>43580</v>
      </c>
      <c r="AK259" s="297" t="s">
        <v>2226</v>
      </c>
      <c r="AL259" s="297" t="s">
        <v>2227</v>
      </c>
      <c r="AM259" s="296" t="s">
        <v>49</v>
      </c>
      <c r="AN259" s="24" t="s">
        <v>284</v>
      </c>
      <c r="AO259" s="296" t="s">
        <v>285</v>
      </c>
      <c r="AP259" s="296" t="s">
        <v>51</v>
      </c>
      <c r="AQ259" s="234" t="s">
        <v>304</v>
      </c>
    </row>
    <row r="260" spans="1:43" ht="15.75" customHeight="1">
      <c r="A260" s="69">
        <v>43508</v>
      </c>
      <c r="B260" s="144" t="s">
        <v>76</v>
      </c>
      <c r="C260" s="21">
        <v>87</v>
      </c>
      <c r="D260" s="21" t="s">
        <v>641</v>
      </c>
      <c r="E260" s="23" t="s">
        <v>646</v>
      </c>
      <c r="F260" s="24">
        <v>7</v>
      </c>
      <c r="G260" s="48">
        <v>0</v>
      </c>
      <c r="H260" s="26">
        <f t="shared" si="19"/>
        <v>0</v>
      </c>
      <c r="I260" s="296" t="s">
        <v>42</v>
      </c>
      <c r="J260" s="58" t="s">
        <v>315</v>
      </c>
      <c r="K260" s="29">
        <v>43550</v>
      </c>
      <c r="L260" s="29"/>
      <c r="M260" s="30">
        <v>43542</v>
      </c>
      <c r="N260" s="50" t="s">
        <v>1512</v>
      </c>
      <c r="O260" s="21" t="s">
        <v>2225</v>
      </c>
      <c r="P260" s="406"/>
      <c r="Q260" s="406"/>
      <c r="R260" s="406"/>
      <c r="S260" s="406"/>
      <c r="T260" s="304"/>
      <c r="U260" s="304" t="s">
        <v>2228</v>
      </c>
      <c r="V260" s="21" t="s">
        <v>2109</v>
      </c>
      <c r="W260" s="293">
        <v>43560</v>
      </c>
      <c r="X260" s="293">
        <v>43542</v>
      </c>
      <c r="Y260" s="294" t="s">
        <v>643</v>
      </c>
      <c r="Z260" s="294" t="s">
        <v>2229</v>
      </c>
      <c r="AA260" s="293">
        <v>43564</v>
      </c>
      <c r="AB260" s="304" t="s">
        <v>2148</v>
      </c>
      <c r="AC260" s="304">
        <v>258263250</v>
      </c>
      <c r="AD260" s="304"/>
      <c r="AE260" s="304"/>
      <c r="AF260" s="304"/>
      <c r="AG260" s="296"/>
      <c r="AH260" s="296">
        <v>30.824999999999999</v>
      </c>
      <c r="AI260" s="297"/>
      <c r="AJ260" s="298">
        <v>43580</v>
      </c>
      <c r="AK260" s="297" t="s">
        <v>2226</v>
      </c>
      <c r="AL260" s="297" t="s">
        <v>2227</v>
      </c>
      <c r="AM260" s="296" t="s">
        <v>49</v>
      </c>
      <c r="AN260" s="24" t="s">
        <v>284</v>
      </c>
      <c r="AO260" s="296" t="s">
        <v>285</v>
      </c>
      <c r="AP260" s="296" t="s">
        <v>51</v>
      </c>
      <c r="AQ260" s="234" t="s">
        <v>304</v>
      </c>
    </row>
    <row r="261" spans="1:43" ht="15.75" customHeight="1">
      <c r="A261" s="69">
        <v>43508</v>
      </c>
      <c r="B261" s="144" t="s">
        <v>76</v>
      </c>
      <c r="C261" s="21">
        <v>87</v>
      </c>
      <c r="D261" s="21" t="s">
        <v>641</v>
      </c>
      <c r="E261" s="23" t="s">
        <v>647</v>
      </c>
      <c r="F261" s="24">
        <v>7</v>
      </c>
      <c r="G261" s="48">
        <v>0</v>
      </c>
      <c r="H261" s="26">
        <f t="shared" si="19"/>
        <v>0</v>
      </c>
      <c r="I261" s="296" t="s">
        <v>42</v>
      </c>
      <c r="J261" s="58" t="s">
        <v>315</v>
      </c>
      <c r="K261" s="29">
        <v>43550</v>
      </c>
      <c r="L261" s="29"/>
      <c r="M261" s="30">
        <v>43542</v>
      </c>
      <c r="N261" s="50" t="s">
        <v>1512</v>
      </c>
      <c r="O261" s="21" t="s">
        <v>2225</v>
      </c>
      <c r="P261" s="406"/>
      <c r="Q261" s="406"/>
      <c r="R261" s="406"/>
      <c r="S261" s="406"/>
      <c r="T261" s="304"/>
      <c r="U261" s="304" t="s">
        <v>2228</v>
      </c>
      <c r="V261" s="21" t="s">
        <v>2109</v>
      </c>
      <c r="W261" s="293">
        <v>43560</v>
      </c>
      <c r="X261" s="293">
        <v>43542</v>
      </c>
      <c r="Y261" s="294" t="s">
        <v>643</v>
      </c>
      <c r="Z261" s="294" t="s">
        <v>2229</v>
      </c>
      <c r="AA261" s="293">
        <v>43564</v>
      </c>
      <c r="AB261" s="304" t="s">
        <v>2148</v>
      </c>
      <c r="AC261" s="304">
        <v>258263250</v>
      </c>
      <c r="AD261" s="304"/>
      <c r="AE261" s="304"/>
      <c r="AF261" s="304"/>
      <c r="AG261" s="296"/>
      <c r="AH261" s="296">
        <v>30.824999999999999</v>
      </c>
      <c r="AI261" s="297"/>
      <c r="AJ261" s="298">
        <v>43580</v>
      </c>
      <c r="AK261" s="297" t="s">
        <v>2226</v>
      </c>
      <c r="AL261" s="297" t="s">
        <v>2227</v>
      </c>
      <c r="AM261" s="296" t="s">
        <v>49</v>
      </c>
      <c r="AN261" s="24" t="s">
        <v>284</v>
      </c>
      <c r="AO261" s="296" t="s">
        <v>285</v>
      </c>
      <c r="AP261" s="296" t="s">
        <v>51</v>
      </c>
      <c r="AQ261" s="234" t="s">
        <v>304</v>
      </c>
    </row>
    <row r="262" spans="1:43" ht="15.75" customHeight="1">
      <c r="A262" s="69">
        <v>43508</v>
      </c>
      <c r="B262" s="144" t="s">
        <v>76</v>
      </c>
      <c r="C262" s="21">
        <v>87</v>
      </c>
      <c r="D262" s="21" t="s">
        <v>641</v>
      </c>
      <c r="E262" s="23" t="s">
        <v>648</v>
      </c>
      <c r="F262" s="24">
        <v>7</v>
      </c>
      <c r="G262" s="48">
        <v>2</v>
      </c>
      <c r="H262" s="26">
        <f t="shared" si="19"/>
        <v>14</v>
      </c>
      <c r="I262" s="296" t="s">
        <v>42</v>
      </c>
      <c r="J262" s="58" t="s">
        <v>315</v>
      </c>
      <c r="K262" s="29">
        <v>43550</v>
      </c>
      <c r="L262" s="29"/>
      <c r="M262" s="30">
        <v>43531</v>
      </c>
      <c r="N262" s="50" t="s">
        <v>2006</v>
      </c>
      <c r="O262" s="21" t="s">
        <v>2230</v>
      </c>
      <c r="P262" s="406"/>
      <c r="Q262" s="406"/>
      <c r="R262" s="406"/>
      <c r="S262" s="406"/>
      <c r="T262" s="406"/>
      <c r="U262" s="406">
        <v>176</v>
      </c>
      <c r="V262" s="22" t="s">
        <v>2146</v>
      </c>
      <c r="W262" s="293">
        <v>43560</v>
      </c>
      <c r="X262" s="293">
        <v>43531</v>
      </c>
      <c r="Y262" s="294" t="s">
        <v>554</v>
      </c>
      <c r="Z262" s="295">
        <v>3788</v>
      </c>
      <c r="AA262" s="293">
        <v>43564</v>
      </c>
      <c r="AB262" s="304" t="s">
        <v>2148</v>
      </c>
      <c r="AC262" s="304">
        <v>258263250</v>
      </c>
      <c r="AD262" s="304"/>
      <c r="AE262" s="304"/>
      <c r="AF262" s="304"/>
      <c r="AG262" s="296"/>
      <c r="AH262" s="296">
        <v>30.824999999999999</v>
      </c>
      <c r="AI262" s="297"/>
      <c r="AJ262" s="298">
        <v>43580</v>
      </c>
      <c r="AK262" s="297" t="s">
        <v>2226</v>
      </c>
      <c r="AL262" s="297" t="s">
        <v>2227</v>
      </c>
      <c r="AM262" s="296" t="s">
        <v>49</v>
      </c>
      <c r="AN262" s="24" t="s">
        <v>284</v>
      </c>
      <c r="AO262" s="296" t="s">
        <v>285</v>
      </c>
      <c r="AP262" s="296" t="s">
        <v>51</v>
      </c>
      <c r="AQ262" s="234" t="s">
        <v>304</v>
      </c>
    </row>
    <row r="263" spans="1:43" ht="15.75" customHeight="1">
      <c r="A263" s="69">
        <v>43508</v>
      </c>
      <c r="B263" s="144" t="s">
        <v>76</v>
      </c>
      <c r="C263" s="21">
        <v>87</v>
      </c>
      <c r="D263" s="21" t="s">
        <v>641</v>
      </c>
      <c r="E263" s="23" t="s">
        <v>649</v>
      </c>
      <c r="F263" s="24">
        <v>7</v>
      </c>
      <c r="G263" s="48">
        <v>6</v>
      </c>
      <c r="H263" s="26">
        <f t="shared" si="19"/>
        <v>42</v>
      </c>
      <c r="I263" s="296" t="s">
        <v>42</v>
      </c>
      <c r="J263" s="58" t="s">
        <v>315</v>
      </c>
      <c r="K263" s="29">
        <v>43550</v>
      </c>
      <c r="L263" s="29"/>
      <c r="M263" s="30">
        <v>43531</v>
      </c>
      <c r="N263" s="50" t="s">
        <v>2006</v>
      </c>
      <c r="O263" s="21" t="s">
        <v>2231</v>
      </c>
      <c r="P263" s="406"/>
      <c r="Q263" s="406"/>
      <c r="R263" s="406"/>
      <c r="S263" s="406"/>
      <c r="T263" s="406"/>
      <c r="U263" s="406">
        <v>206</v>
      </c>
      <c r="V263" s="22" t="s">
        <v>2146</v>
      </c>
      <c r="W263" s="293">
        <v>43560</v>
      </c>
      <c r="X263" s="293">
        <v>43531</v>
      </c>
      <c r="Y263" s="294" t="s">
        <v>554</v>
      </c>
      <c r="Z263" s="295" t="s">
        <v>2147</v>
      </c>
      <c r="AA263" s="293">
        <v>43564</v>
      </c>
      <c r="AB263" s="304" t="s">
        <v>2148</v>
      </c>
      <c r="AC263" s="304">
        <v>258263250</v>
      </c>
      <c r="AD263" s="304"/>
      <c r="AE263" s="304"/>
      <c r="AF263" s="304"/>
      <c r="AG263" s="296"/>
      <c r="AH263" s="296">
        <v>30.824999999999999</v>
      </c>
      <c r="AI263" s="297"/>
      <c r="AJ263" s="298">
        <v>43580</v>
      </c>
      <c r="AK263" s="297" t="s">
        <v>2226</v>
      </c>
      <c r="AL263" s="297" t="s">
        <v>2227</v>
      </c>
      <c r="AM263" s="296" t="s">
        <v>49</v>
      </c>
      <c r="AN263" s="24" t="s">
        <v>284</v>
      </c>
      <c r="AO263" s="296" t="s">
        <v>285</v>
      </c>
      <c r="AP263" s="296" t="s">
        <v>51</v>
      </c>
      <c r="AQ263" s="234" t="s">
        <v>304</v>
      </c>
    </row>
    <row r="264" spans="1:43" ht="15.75" customHeight="1">
      <c r="A264" s="110">
        <v>43508</v>
      </c>
      <c r="B264" s="147" t="s">
        <v>76</v>
      </c>
      <c r="C264" s="21">
        <v>87</v>
      </c>
      <c r="D264" s="21" t="s">
        <v>641</v>
      </c>
      <c r="E264" s="23" t="s">
        <v>650</v>
      </c>
      <c r="F264" s="24">
        <v>7</v>
      </c>
      <c r="G264" s="48">
        <v>0</v>
      </c>
      <c r="H264" s="26">
        <f t="shared" si="19"/>
        <v>0</v>
      </c>
      <c r="I264" s="296" t="s">
        <v>42</v>
      </c>
      <c r="J264" s="58" t="s">
        <v>315</v>
      </c>
      <c r="K264" s="29">
        <v>43550</v>
      </c>
      <c r="L264" s="29"/>
      <c r="M264" s="30">
        <v>43531</v>
      </c>
      <c r="N264" s="50" t="s">
        <v>2006</v>
      </c>
      <c r="O264" s="21" t="s">
        <v>2232</v>
      </c>
      <c r="P264" s="406"/>
      <c r="Q264" s="406"/>
      <c r="R264" s="406"/>
      <c r="S264" s="406"/>
      <c r="T264" s="406">
        <v>92</v>
      </c>
      <c r="U264" s="406">
        <v>676</v>
      </c>
      <c r="V264" s="22" t="s">
        <v>2146</v>
      </c>
      <c r="W264" s="293">
        <v>43560</v>
      </c>
      <c r="X264" s="293">
        <v>43531</v>
      </c>
      <c r="Y264" s="294" t="s">
        <v>554</v>
      </c>
      <c r="Z264" s="295" t="s">
        <v>2147</v>
      </c>
      <c r="AA264" s="293">
        <v>43564</v>
      </c>
      <c r="AB264" s="304" t="s">
        <v>2148</v>
      </c>
      <c r="AC264" s="304">
        <v>258263250</v>
      </c>
      <c r="AD264" s="304"/>
      <c r="AE264" s="304"/>
      <c r="AF264" s="304"/>
      <c r="AG264" s="296"/>
      <c r="AH264" s="296">
        <v>30.824999999999999</v>
      </c>
      <c r="AI264" s="297"/>
      <c r="AJ264" s="298">
        <v>43580</v>
      </c>
      <c r="AK264" s="297" t="s">
        <v>2226</v>
      </c>
      <c r="AL264" s="297" t="s">
        <v>2227</v>
      </c>
      <c r="AM264" s="296" t="s">
        <v>49</v>
      </c>
      <c r="AN264" s="24" t="s">
        <v>284</v>
      </c>
      <c r="AO264" s="296" t="s">
        <v>285</v>
      </c>
      <c r="AP264" s="296" t="s">
        <v>51</v>
      </c>
      <c r="AQ264" s="234" t="s">
        <v>304</v>
      </c>
    </row>
    <row r="265" spans="1:43" ht="15.75" customHeight="1">
      <c r="A265" s="110">
        <v>43509</v>
      </c>
      <c r="B265" s="147" t="s">
        <v>405</v>
      </c>
      <c r="C265" s="21">
        <v>7000145102</v>
      </c>
      <c r="D265" s="21" t="s">
        <v>651</v>
      </c>
      <c r="E265" s="23" t="s">
        <v>652</v>
      </c>
      <c r="F265" s="24">
        <v>1</v>
      </c>
      <c r="G265" s="48">
        <v>800</v>
      </c>
      <c r="H265" s="26">
        <f t="shared" ref="H265:H281" si="20">G265*F265</f>
        <v>800</v>
      </c>
      <c r="I265" s="296" t="s">
        <v>42</v>
      </c>
      <c r="J265" s="82" t="s">
        <v>519</v>
      </c>
      <c r="K265" s="29">
        <v>43546</v>
      </c>
      <c r="L265" s="29"/>
      <c r="M265" s="30"/>
      <c r="N265" s="58"/>
      <c r="O265" s="93"/>
      <c r="P265" s="406"/>
      <c r="Q265" s="406"/>
      <c r="R265" s="406"/>
      <c r="S265" s="406"/>
      <c r="T265" s="406"/>
      <c r="U265" s="634">
        <v>0</v>
      </c>
      <c r="V265" s="22"/>
      <c r="W265" s="303"/>
      <c r="X265" s="303"/>
      <c r="Y265" s="304"/>
      <c r="Z265" s="404"/>
      <c r="AA265" s="304"/>
      <c r="AB265" s="304" t="s">
        <v>2190</v>
      </c>
      <c r="AC265" s="304" t="s">
        <v>2191</v>
      </c>
      <c r="AD265" s="304"/>
      <c r="AE265" s="304"/>
      <c r="AF265" s="304"/>
      <c r="AG265" s="296"/>
      <c r="AH265" s="296">
        <v>30.824999999999999</v>
      </c>
      <c r="AI265" s="297"/>
      <c r="AJ265" s="145">
        <v>43588</v>
      </c>
      <c r="AK265" s="297" t="s">
        <v>2116</v>
      </c>
      <c r="AL265" s="297" t="s">
        <v>2117</v>
      </c>
      <c r="AM265" s="296" t="s">
        <v>49</v>
      </c>
      <c r="AN265" s="24" t="s">
        <v>284</v>
      </c>
      <c r="AO265" s="296" t="s">
        <v>285</v>
      </c>
      <c r="AP265" s="296" t="s">
        <v>51</v>
      </c>
      <c r="AQ265" s="234" t="s">
        <v>304</v>
      </c>
    </row>
    <row r="266" spans="1:43" ht="15.75" customHeight="1">
      <c r="A266" s="69">
        <v>43509</v>
      </c>
      <c r="B266" s="147" t="s">
        <v>405</v>
      </c>
      <c r="C266" s="21">
        <v>7000145102</v>
      </c>
      <c r="D266" s="139" t="s">
        <v>653</v>
      </c>
      <c r="E266" s="23" t="s">
        <v>511</v>
      </c>
      <c r="F266" s="24">
        <v>5</v>
      </c>
      <c r="G266" s="25">
        <v>39</v>
      </c>
      <c r="H266" s="26">
        <f t="shared" si="20"/>
        <v>195</v>
      </c>
      <c r="I266" s="296" t="s">
        <v>42</v>
      </c>
      <c r="J266" s="82" t="s">
        <v>519</v>
      </c>
      <c r="K266" s="29">
        <v>43546</v>
      </c>
      <c r="L266" s="29"/>
      <c r="M266" s="30">
        <v>43523</v>
      </c>
      <c r="N266" s="405" t="s">
        <v>2124</v>
      </c>
      <c r="O266" s="93" t="s">
        <v>2233</v>
      </c>
      <c r="P266" s="406"/>
      <c r="Q266" s="406"/>
      <c r="R266" s="406"/>
      <c r="S266" s="406"/>
      <c r="T266" s="296"/>
      <c r="U266" s="296">
        <v>4725</v>
      </c>
      <c r="V266" s="20"/>
      <c r="W266" s="303"/>
      <c r="X266" s="303"/>
      <c r="Y266" s="304"/>
      <c r="Z266" s="404"/>
      <c r="AA266" s="304"/>
      <c r="AB266" s="304" t="s">
        <v>2190</v>
      </c>
      <c r="AC266" s="304" t="s">
        <v>2191</v>
      </c>
      <c r="AD266" s="304"/>
      <c r="AE266" s="304"/>
      <c r="AF266" s="304"/>
      <c r="AG266" s="296"/>
      <c r="AH266" s="296">
        <v>30.824999999999999</v>
      </c>
      <c r="AI266" s="297"/>
      <c r="AJ266" s="145">
        <v>43588</v>
      </c>
      <c r="AK266" s="297" t="s">
        <v>2116</v>
      </c>
      <c r="AL266" s="297" t="s">
        <v>2117</v>
      </c>
      <c r="AM266" s="296" t="s">
        <v>49</v>
      </c>
      <c r="AN266" s="24" t="s">
        <v>284</v>
      </c>
      <c r="AO266" s="296" t="s">
        <v>285</v>
      </c>
      <c r="AP266" s="296" t="s">
        <v>51</v>
      </c>
      <c r="AQ266" s="234" t="s">
        <v>304</v>
      </c>
    </row>
    <row r="267" spans="1:43" ht="15.75" customHeight="1">
      <c r="A267" s="69">
        <v>43509</v>
      </c>
      <c r="B267" s="144" t="s">
        <v>405</v>
      </c>
      <c r="C267" s="21">
        <v>7000145102</v>
      </c>
      <c r="D267" s="139" t="s">
        <v>653</v>
      </c>
      <c r="E267" s="23" t="s">
        <v>514</v>
      </c>
      <c r="F267" s="24">
        <v>5</v>
      </c>
      <c r="G267" s="25">
        <v>43</v>
      </c>
      <c r="H267" s="26">
        <f t="shared" si="20"/>
        <v>215</v>
      </c>
      <c r="I267" s="296" t="s">
        <v>42</v>
      </c>
      <c r="J267" s="429" t="s">
        <v>519</v>
      </c>
      <c r="K267" s="29">
        <v>43546</v>
      </c>
      <c r="L267" s="29"/>
      <c r="M267" s="30">
        <v>43523</v>
      </c>
      <c r="N267" s="31" t="s">
        <v>178</v>
      </c>
      <c r="O267" s="93" t="s">
        <v>2233</v>
      </c>
      <c r="P267" s="406"/>
      <c r="Q267" s="406"/>
      <c r="R267" s="406"/>
      <c r="S267" s="406"/>
      <c r="T267" s="406"/>
      <c r="U267" s="406">
        <v>4384</v>
      </c>
      <c r="V267" s="22"/>
      <c r="W267" s="303"/>
      <c r="X267" s="303"/>
      <c r="Y267" s="304"/>
      <c r="Z267" s="404"/>
      <c r="AA267" s="304"/>
      <c r="AB267" s="304" t="s">
        <v>2190</v>
      </c>
      <c r="AC267" s="304" t="s">
        <v>2191</v>
      </c>
      <c r="AD267" s="304"/>
      <c r="AE267" s="304"/>
      <c r="AF267" s="304"/>
      <c r="AG267" s="296"/>
      <c r="AH267" s="296">
        <v>30.824999999999999</v>
      </c>
      <c r="AI267" s="297"/>
      <c r="AJ267" s="145">
        <v>43588</v>
      </c>
      <c r="AK267" s="297" t="s">
        <v>2116</v>
      </c>
      <c r="AL267" s="297" t="s">
        <v>2117</v>
      </c>
      <c r="AM267" s="296" t="s">
        <v>49</v>
      </c>
      <c r="AN267" s="24" t="s">
        <v>284</v>
      </c>
      <c r="AO267" s="296" t="s">
        <v>285</v>
      </c>
      <c r="AP267" s="296" t="s">
        <v>51</v>
      </c>
      <c r="AQ267" s="234" t="s">
        <v>304</v>
      </c>
    </row>
    <row r="268" spans="1:43" ht="15.75" customHeight="1">
      <c r="A268" s="69">
        <v>43509</v>
      </c>
      <c r="B268" s="144" t="s">
        <v>405</v>
      </c>
      <c r="C268" s="21">
        <v>7000145102</v>
      </c>
      <c r="D268" s="139" t="s">
        <v>654</v>
      </c>
      <c r="E268" s="23" t="s">
        <v>511</v>
      </c>
      <c r="F268" s="24">
        <v>5</v>
      </c>
      <c r="G268" s="25">
        <v>39</v>
      </c>
      <c r="H268" s="26">
        <f t="shared" si="20"/>
        <v>195</v>
      </c>
      <c r="I268" s="296" t="s">
        <v>42</v>
      </c>
      <c r="J268" s="405" t="s">
        <v>512</v>
      </c>
      <c r="K268" s="29">
        <v>43566</v>
      </c>
      <c r="L268" s="29"/>
      <c r="M268" s="30">
        <v>43523</v>
      </c>
      <c r="N268" s="635" t="s">
        <v>2124</v>
      </c>
      <c r="O268" s="93" t="s">
        <v>2233</v>
      </c>
      <c r="P268" s="406"/>
      <c r="Q268" s="406"/>
      <c r="R268" s="406"/>
      <c r="S268" s="406"/>
      <c r="T268" s="406"/>
      <c r="U268" s="406">
        <v>4725</v>
      </c>
      <c r="V268" s="20"/>
      <c r="W268" s="303"/>
      <c r="X268" s="303"/>
      <c r="Y268" s="304"/>
      <c r="Z268" s="404"/>
      <c r="AA268" s="304"/>
      <c r="AB268" s="304" t="s">
        <v>2234</v>
      </c>
      <c r="AC268" s="304">
        <v>4076131905</v>
      </c>
      <c r="AD268" s="304"/>
      <c r="AE268" s="304"/>
      <c r="AF268" s="304"/>
      <c r="AG268" s="296"/>
      <c r="AH268" s="296">
        <v>30.76</v>
      </c>
      <c r="AI268" s="430">
        <f>AH268*H268</f>
        <v>5998.2000000000007</v>
      </c>
      <c r="AJ268" s="298">
        <v>43602</v>
      </c>
      <c r="AK268" s="297" t="s">
        <v>2235</v>
      </c>
      <c r="AL268" s="297" t="s">
        <v>2236</v>
      </c>
      <c r="AM268" s="296" t="s">
        <v>49</v>
      </c>
      <c r="AN268" s="24" t="s">
        <v>284</v>
      </c>
      <c r="AO268" s="296" t="s">
        <v>285</v>
      </c>
      <c r="AP268" s="296" t="s">
        <v>51</v>
      </c>
      <c r="AQ268" s="234" t="s">
        <v>304</v>
      </c>
    </row>
    <row r="269" spans="1:43" ht="15.75" customHeight="1">
      <c r="A269" s="69">
        <v>43509</v>
      </c>
      <c r="B269" s="144" t="s">
        <v>405</v>
      </c>
      <c r="C269" s="21">
        <v>7000145102</v>
      </c>
      <c r="D269" s="139" t="s">
        <v>654</v>
      </c>
      <c r="E269" s="23" t="s">
        <v>514</v>
      </c>
      <c r="F269" s="24">
        <v>5</v>
      </c>
      <c r="G269" s="25">
        <v>43</v>
      </c>
      <c r="H269" s="26">
        <f t="shared" si="20"/>
        <v>215</v>
      </c>
      <c r="I269" s="296" t="s">
        <v>42</v>
      </c>
      <c r="J269" s="405" t="s">
        <v>512</v>
      </c>
      <c r="K269" s="29">
        <v>43566</v>
      </c>
      <c r="L269" s="29"/>
      <c r="M269" s="30">
        <v>43523</v>
      </c>
      <c r="N269" s="495" t="s">
        <v>2124</v>
      </c>
      <c r="O269" s="93" t="s">
        <v>2233</v>
      </c>
      <c r="P269" s="406"/>
      <c r="Q269" s="406"/>
      <c r="R269" s="406"/>
      <c r="S269" s="406"/>
      <c r="T269" s="406"/>
      <c r="U269" s="406">
        <v>4384</v>
      </c>
      <c r="V269" s="22"/>
      <c r="W269" s="303"/>
      <c r="X269" s="303"/>
      <c r="Y269" s="304"/>
      <c r="Z269" s="404"/>
      <c r="AA269" s="304"/>
      <c r="AB269" s="304" t="s">
        <v>2234</v>
      </c>
      <c r="AC269" s="304">
        <v>4076131905</v>
      </c>
      <c r="AD269" s="304"/>
      <c r="AE269" s="304"/>
      <c r="AF269" s="304"/>
      <c r="AG269" s="296"/>
      <c r="AH269" s="296">
        <v>30.76</v>
      </c>
      <c r="AI269" s="430">
        <f>AH269*H269</f>
        <v>6613.4000000000005</v>
      </c>
      <c r="AJ269" s="298">
        <v>43602</v>
      </c>
      <c r="AK269" s="297" t="s">
        <v>2235</v>
      </c>
      <c r="AL269" s="297" t="s">
        <v>2236</v>
      </c>
      <c r="AM269" s="296" t="s">
        <v>49</v>
      </c>
      <c r="AN269" s="24" t="s">
        <v>284</v>
      </c>
      <c r="AO269" s="296" t="s">
        <v>285</v>
      </c>
      <c r="AP269" s="296" t="s">
        <v>51</v>
      </c>
      <c r="AQ269" s="234" t="s">
        <v>304</v>
      </c>
    </row>
    <row r="270" spans="1:43" ht="15.75" customHeight="1">
      <c r="A270" s="69">
        <v>43509</v>
      </c>
      <c r="B270" s="144" t="s">
        <v>405</v>
      </c>
      <c r="C270" s="21">
        <v>7000145102</v>
      </c>
      <c r="D270" s="139" t="s">
        <v>655</v>
      </c>
      <c r="E270" s="23" t="s">
        <v>656</v>
      </c>
      <c r="F270" s="24">
        <v>5</v>
      </c>
      <c r="G270" s="25">
        <v>775</v>
      </c>
      <c r="H270" s="26">
        <f t="shared" si="20"/>
        <v>3875</v>
      </c>
      <c r="I270" s="296" t="s">
        <v>42</v>
      </c>
      <c r="J270" s="405" t="s">
        <v>512</v>
      </c>
      <c r="K270" s="29">
        <v>43566</v>
      </c>
      <c r="L270" s="29"/>
      <c r="M270" s="30">
        <v>43566</v>
      </c>
      <c r="N270" s="636" t="s">
        <v>1074</v>
      </c>
      <c r="O270" s="93" t="s">
        <v>2237</v>
      </c>
      <c r="P270" s="406"/>
      <c r="Q270" s="406"/>
      <c r="R270" s="406"/>
      <c r="S270" s="406"/>
      <c r="T270" s="406"/>
      <c r="U270" s="406">
        <v>120325</v>
      </c>
      <c r="V270" s="22"/>
      <c r="W270" s="303"/>
      <c r="X270" s="303"/>
      <c r="Y270" s="304"/>
      <c r="Z270" s="404"/>
      <c r="AA270" s="304"/>
      <c r="AB270" s="304" t="s">
        <v>2234</v>
      </c>
      <c r="AC270" s="304">
        <v>4076131905</v>
      </c>
      <c r="AD270" s="304"/>
      <c r="AE270" s="304"/>
      <c r="AF270" s="304"/>
      <c r="AG270" s="296"/>
      <c r="AH270" s="296">
        <v>30.76</v>
      </c>
      <c r="AI270" s="430">
        <f>AH270*H270</f>
        <v>119195</v>
      </c>
      <c r="AJ270" s="298">
        <v>43602</v>
      </c>
      <c r="AK270" s="297">
        <f>5142.57*31.11</f>
        <v>159985.35269999999</v>
      </c>
      <c r="AL270" s="297">
        <f>(5169-5142.57)*31.11</f>
        <v>822.23730000000899</v>
      </c>
      <c r="AM270" s="296" t="s">
        <v>49</v>
      </c>
      <c r="AN270" s="24" t="s">
        <v>284</v>
      </c>
      <c r="AO270" s="296" t="s">
        <v>285</v>
      </c>
      <c r="AP270" s="296" t="s">
        <v>51</v>
      </c>
      <c r="AQ270" s="234" t="s">
        <v>304</v>
      </c>
    </row>
    <row r="271" spans="1:43" ht="15.75" customHeight="1">
      <c r="A271" s="69">
        <v>43509</v>
      </c>
      <c r="B271" s="144" t="s">
        <v>405</v>
      </c>
      <c r="C271" s="21">
        <v>7000145102</v>
      </c>
      <c r="D271" s="139" t="s">
        <v>657</v>
      </c>
      <c r="E271" s="23" t="s">
        <v>511</v>
      </c>
      <c r="F271" s="24">
        <v>14</v>
      </c>
      <c r="G271" s="48">
        <v>39</v>
      </c>
      <c r="H271" s="26">
        <f t="shared" si="20"/>
        <v>546</v>
      </c>
      <c r="I271" s="296" t="s">
        <v>42</v>
      </c>
      <c r="J271" s="82" t="s">
        <v>519</v>
      </c>
      <c r="K271" s="29">
        <v>43588</v>
      </c>
      <c r="L271" s="29"/>
      <c r="M271" s="606">
        <v>43523</v>
      </c>
      <c r="N271" s="637" t="s">
        <v>2124</v>
      </c>
      <c r="O271" s="608" t="s">
        <v>2233</v>
      </c>
      <c r="P271" s="612"/>
      <c r="Q271" s="612"/>
      <c r="R271" s="612"/>
      <c r="S271" s="612"/>
      <c r="T271" s="612"/>
      <c r="U271" s="612">
        <v>13230</v>
      </c>
      <c r="V271" s="631"/>
      <c r="W271" s="293"/>
      <c r="X271" s="293"/>
      <c r="Y271" s="294"/>
      <c r="Z271" s="295"/>
      <c r="AA271" s="294"/>
      <c r="AB271" s="294" t="s">
        <v>2238</v>
      </c>
      <c r="AC271" s="294" t="s">
        <v>2239</v>
      </c>
      <c r="AD271" s="294"/>
      <c r="AE271" s="294"/>
      <c r="AF271" s="294"/>
      <c r="AG271" s="369"/>
      <c r="AH271" s="369">
        <v>30.844999999999999</v>
      </c>
      <c r="AI271" s="370">
        <v>0</v>
      </c>
      <c r="AJ271" s="371">
        <v>43621</v>
      </c>
      <c r="AK271" s="370" t="s">
        <v>2240</v>
      </c>
      <c r="AL271" s="370" t="s">
        <v>2241</v>
      </c>
      <c r="AM271" s="369" t="s">
        <v>49</v>
      </c>
      <c r="AN271" s="369" t="s">
        <v>284</v>
      </c>
      <c r="AO271" s="369" t="s">
        <v>285</v>
      </c>
      <c r="AP271" s="369" t="s">
        <v>51</v>
      </c>
      <c r="AQ271" s="372" t="s">
        <v>439</v>
      </c>
    </row>
    <row r="272" spans="1:43" ht="15.75" customHeight="1">
      <c r="A272" s="69">
        <v>43509</v>
      </c>
      <c r="B272" s="144" t="s">
        <v>405</v>
      </c>
      <c r="C272" s="21">
        <v>7000145102</v>
      </c>
      <c r="D272" s="139" t="s">
        <v>658</v>
      </c>
      <c r="E272" s="23" t="s">
        <v>514</v>
      </c>
      <c r="F272" s="24">
        <v>14</v>
      </c>
      <c r="G272" s="48">
        <v>43</v>
      </c>
      <c r="H272" s="26">
        <f t="shared" si="20"/>
        <v>602</v>
      </c>
      <c r="I272" s="296" t="s">
        <v>42</v>
      </c>
      <c r="J272" s="429" t="s">
        <v>519</v>
      </c>
      <c r="K272" s="29">
        <v>43588</v>
      </c>
      <c r="L272" s="29"/>
      <c r="M272" s="606">
        <v>43523</v>
      </c>
      <c r="N272" s="637" t="s">
        <v>2124</v>
      </c>
      <c r="O272" s="608" t="s">
        <v>2233</v>
      </c>
      <c r="P272" s="612"/>
      <c r="Q272" s="612"/>
      <c r="R272" s="612"/>
      <c r="S272" s="612"/>
      <c r="T272" s="612"/>
      <c r="U272" s="612">
        <v>12275</v>
      </c>
      <c r="V272" s="631"/>
      <c r="W272" s="293"/>
      <c r="X272" s="293"/>
      <c r="Y272" s="294"/>
      <c r="Z272" s="295"/>
      <c r="AA272" s="294"/>
      <c r="AB272" s="294" t="s">
        <v>2238</v>
      </c>
      <c r="AC272" s="294" t="s">
        <v>2239</v>
      </c>
      <c r="AD272" s="294"/>
      <c r="AE272" s="294"/>
      <c r="AF272" s="294"/>
      <c r="AG272" s="369"/>
      <c r="AH272" s="369">
        <v>30.844999999999999</v>
      </c>
      <c r="AI272" s="370">
        <v>0</v>
      </c>
      <c r="AJ272" s="371">
        <v>43621</v>
      </c>
      <c r="AK272" s="370" t="s">
        <v>2240</v>
      </c>
      <c r="AL272" s="370" t="s">
        <v>2241</v>
      </c>
      <c r="AM272" s="369" t="s">
        <v>49</v>
      </c>
      <c r="AN272" s="369" t="s">
        <v>284</v>
      </c>
      <c r="AO272" s="369" t="s">
        <v>285</v>
      </c>
      <c r="AP272" s="369" t="s">
        <v>51</v>
      </c>
      <c r="AQ272" s="372" t="s">
        <v>439</v>
      </c>
    </row>
    <row r="273" spans="1:43" ht="15.75" customHeight="1">
      <c r="A273" s="69">
        <v>43509</v>
      </c>
      <c r="B273" s="144" t="s">
        <v>405</v>
      </c>
      <c r="C273" s="21">
        <v>7000145102</v>
      </c>
      <c r="D273" s="139" t="s">
        <v>657</v>
      </c>
      <c r="E273" s="23" t="s">
        <v>511</v>
      </c>
      <c r="F273" s="24">
        <v>1</v>
      </c>
      <c r="G273" s="48">
        <v>39</v>
      </c>
      <c r="H273" s="26">
        <f t="shared" si="20"/>
        <v>39</v>
      </c>
      <c r="I273" s="87" t="s">
        <v>42</v>
      </c>
      <c r="J273" s="429" t="s">
        <v>519</v>
      </c>
      <c r="K273" s="30">
        <v>43634</v>
      </c>
      <c r="L273" s="30"/>
      <c r="M273" s="30">
        <v>43523</v>
      </c>
      <c r="N273" s="495" t="s">
        <v>2124</v>
      </c>
      <c r="O273" s="93" t="s">
        <v>2233</v>
      </c>
      <c r="P273" s="406"/>
      <c r="Q273" s="406"/>
      <c r="R273" s="406"/>
      <c r="S273" s="406"/>
      <c r="T273" s="406"/>
      <c r="U273" s="406">
        <f>(900*F273)*1.05</f>
        <v>945</v>
      </c>
      <c r="V273" s="20"/>
      <c r="W273" s="303"/>
      <c r="X273" s="303"/>
      <c r="Y273" s="304"/>
      <c r="Z273" s="404"/>
      <c r="AA273" s="304"/>
      <c r="AB273" s="304" t="s">
        <v>2242</v>
      </c>
      <c r="AC273" s="304" t="s">
        <v>2243</v>
      </c>
      <c r="AD273" s="304"/>
      <c r="AE273" s="304"/>
      <c r="AF273" s="304"/>
      <c r="AG273" s="296"/>
      <c r="AH273" s="296">
        <v>31.324999999999999</v>
      </c>
      <c r="AI273" s="297"/>
      <c r="AJ273" s="298">
        <v>43677</v>
      </c>
      <c r="AK273" s="297"/>
      <c r="AL273" s="297"/>
      <c r="AM273" s="296" t="s">
        <v>49</v>
      </c>
      <c r="AN273" s="296" t="s">
        <v>284</v>
      </c>
      <c r="AO273" s="296" t="s">
        <v>285</v>
      </c>
      <c r="AP273" s="296" t="s">
        <v>51</v>
      </c>
      <c r="AQ273" s="234" t="s">
        <v>506</v>
      </c>
    </row>
    <row r="274" spans="1:43" ht="15.75" customHeight="1">
      <c r="A274" s="69">
        <v>43509</v>
      </c>
      <c r="B274" s="144" t="s">
        <v>405</v>
      </c>
      <c r="C274" s="21">
        <v>7000145102</v>
      </c>
      <c r="D274" s="139" t="s">
        <v>658</v>
      </c>
      <c r="E274" s="23" t="s">
        <v>514</v>
      </c>
      <c r="F274" s="24">
        <v>1</v>
      </c>
      <c r="G274" s="25">
        <v>43</v>
      </c>
      <c r="H274" s="115">
        <f t="shared" si="20"/>
        <v>43</v>
      </c>
      <c r="I274" s="87" t="s">
        <v>42</v>
      </c>
      <c r="J274" s="429" t="s">
        <v>519</v>
      </c>
      <c r="K274" s="30">
        <v>43634</v>
      </c>
      <c r="L274" s="30"/>
      <c r="M274" s="30">
        <v>43523</v>
      </c>
      <c r="N274" s="635" t="s">
        <v>2124</v>
      </c>
      <c r="O274" s="93" t="s">
        <v>2233</v>
      </c>
      <c r="P274" s="406"/>
      <c r="Q274" s="406"/>
      <c r="R274" s="406"/>
      <c r="S274" s="406"/>
      <c r="T274" s="406"/>
      <c r="U274" s="406">
        <f>(835*F274)*1.05</f>
        <v>876.75</v>
      </c>
      <c r="V274" s="22"/>
      <c r="W274" s="303"/>
      <c r="X274" s="303"/>
      <c r="Y274" s="304"/>
      <c r="Z274" s="404"/>
      <c r="AA274" s="304"/>
      <c r="AB274" s="304" t="s">
        <v>2242</v>
      </c>
      <c r="AC274" s="304" t="s">
        <v>2243</v>
      </c>
      <c r="AD274" s="304"/>
      <c r="AE274" s="304"/>
      <c r="AF274" s="304"/>
      <c r="AG274" s="296"/>
      <c r="AH274" s="296">
        <v>31.324999999999999</v>
      </c>
      <c r="AI274" s="297"/>
      <c r="AJ274" s="298">
        <v>43677</v>
      </c>
      <c r="AK274" s="297"/>
      <c r="AL274" s="297"/>
      <c r="AM274" s="296" t="s">
        <v>49</v>
      </c>
      <c r="AN274" s="296" t="s">
        <v>284</v>
      </c>
      <c r="AO274" s="296" t="s">
        <v>285</v>
      </c>
      <c r="AP274" s="296" t="s">
        <v>51</v>
      </c>
      <c r="AQ274" s="234" t="s">
        <v>506</v>
      </c>
    </row>
    <row r="275" spans="1:43" ht="15.75" customHeight="1">
      <c r="A275" s="69">
        <v>43509</v>
      </c>
      <c r="B275" s="144" t="s">
        <v>405</v>
      </c>
      <c r="C275" s="21">
        <v>7000145102</v>
      </c>
      <c r="D275" s="139" t="s">
        <v>659</v>
      </c>
      <c r="E275" s="23" t="s">
        <v>660</v>
      </c>
      <c r="F275" s="24">
        <v>14</v>
      </c>
      <c r="G275" s="48">
        <v>775</v>
      </c>
      <c r="H275" s="26">
        <f t="shared" si="20"/>
        <v>10850</v>
      </c>
      <c r="I275" s="296" t="s">
        <v>42</v>
      </c>
      <c r="J275" s="82" t="s">
        <v>519</v>
      </c>
      <c r="K275" s="29">
        <v>43588</v>
      </c>
      <c r="L275" s="29"/>
      <c r="M275" s="606">
        <v>43581</v>
      </c>
      <c r="N275" s="607" t="s">
        <v>1074</v>
      </c>
      <c r="O275" s="608" t="s">
        <v>2244</v>
      </c>
      <c r="P275" s="612"/>
      <c r="Q275" s="612"/>
      <c r="R275" s="612"/>
      <c r="S275" s="612"/>
      <c r="T275" s="612"/>
      <c r="U275" s="612">
        <v>332676</v>
      </c>
      <c r="V275" s="631"/>
      <c r="W275" s="293"/>
      <c r="X275" s="293"/>
      <c r="Y275" s="294"/>
      <c r="Z275" s="295"/>
      <c r="AA275" s="294"/>
      <c r="AB275" s="294" t="s">
        <v>2238</v>
      </c>
      <c r="AC275" s="294" t="s">
        <v>2239</v>
      </c>
      <c r="AD275" s="294"/>
      <c r="AE275" s="294"/>
      <c r="AF275" s="294"/>
      <c r="AG275" s="369"/>
      <c r="AH275" s="369">
        <v>30.844999999999999</v>
      </c>
      <c r="AI275" s="370">
        <f>11998*30.845</f>
        <v>370078.31</v>
      </c>
      <c r="AJ275" s="371">
        <v>43621</v>
      </c>
      <c r="AK275" s="370">
        <f>11971.62*31.33</f>
        <v>375070.85460000002</v>
      </c>
      <c r="AL275" s="370">
        <f>(11998-11971.62)*31.33</f>
        <v>826.4853999999749</v>
      </c>
      <c r="AM275" s="369" t="s">
        <v>49</v>
      </c>
      <c r="AN275" s="369" t="s">
        <v>284</v>
      </c>
      <c r="AO275" s="369" t="s">
        <v>285</v>
      </c>
      <c r="AP275" s="369" t="s">
        <v>51</v>
      </c>
      <c r="AQ275" s="372" t="s">
        <v>439</v>
      </c>
    </row>
    <row r="276" spans="1:43" ht="15.75" customHeight="1">
      <c r="A276" s="69">
        <v>43509</v>
      </c>
      <c r="B276" s="144" t="s">
        <v>405</v>
      </c>
      <c r="C276" s="21">
        <v>7000145102</v>
      </c>
      <c r="D276" s="139" t="s">
        <v>659</v>
      </c>
      <c r="E276" s="23" t="s">
        <v>661</v>
      </c>
      <c r="F276" s="24">
        <v>1</v>
      </c>
      <c r="G276" s="48">
        <v>775</v>
      </c>
      <c r="H276" s="26">
        <f t="shared" si="20"/>
        <v>775</v>
      </c>
      <c r="I276" s="87" t="s">
        <v>42</v>
      </c>
      <c r="J276" s="82" t="s">
        <v>519</v>
      </c>
      <c r="K276" s="30">
        <v>43634</v>
      </c>
      <c r="L276" s="30"/>
      <c r="M276" s="30">
        <v>43593</v>
      </c>
      <c r="N276" s="58" t="s">
        <v>1074</v>
      </c>
      <c r="O276" s="93" t="s">
        <v>2244</v>
      </c>
      <c r="P276" s="406"/>
      <c r="Q276" s="406"/>
      <c r="R276" s="406"/>
      <c r="S276" s="406"/>
      <c r="T276" s="406"/>
      <c r="U276" s="638">
        <v>23763</v>
      </c>
      <c r="V276" s="20"/>
      <c r="W276" s="303"/>
      <c r="X276" s="303"/>
      <c r="Y276" s="304"/>
      <c r="Z276" s="404"/>
      <c r="AA276" s="304"/>
      <c r="AB276" s="304" t="s">
        <v>2242</v>
      </c>
      <c r="AC276" s="304" t="s">
        <v>2243</v>
      </c>
      <c r="AD276" s="304"/>
      <c r="AE276" s="304"/>
      <c r="AF276" s="304"/>
      <c r="AG276" s="296"/>
      <c r="AH276" s="296">
        <v>31.324999999999999</v>
      </c>
      <c r="AI276" s="297"/>
      <c r="AJ276" s="298">
        <v>43677</v>
      </c>
      <c r="AK276" s="297"/>
      <c r="AL276" s="297"/>
      <c r="AM276" s="296" t="s">
        <v>49</v>
      </c>
      <c r="AN276" s="296" t="s">
        <v>284</v>
      </c>
      <c r="AO276" s="296" t="s">
        <v>285</v>
      </c>
      <c r="AP276" s="296" t="s">
        <v>51</v>
      </c>
      <c r="AQ276" s="234" t="s">
        <v>506</v>
      </c>
    </row>
    <row r="277" spans="1:43" ht="15.75" customHeight="1">
      <c r="A277" s="69">
        <v>43509</v>
      </c>
      <c r="B277" s="144" t="s">
        <v>405</v>
      </c>
      <c r="C277" s="21">
        <v>7000145102</v>
      </c>
      <c r="D277" s="139" t="s">
        <v>662</v>
      </c>
      <c r="E277" s="23" t="s">
        <v>511</v>
      </c>
      <c r="F277" s="24">
        <v>25</v>
      </c>
      <c r="G277" s="25">
        <v>39</v>
      </c>
      <c r="H277" s="26">
        <f t="shared" si="20"/>
        <v>975</v>
      </c>
      <c r="I277" s="82" t="s">
        <v>42</v>
      </c>
      <c r="J277" s="82" t="s">
        <v>519</v>
      </c>
      <c r="K277" s="30">
        <v>43634</v>
      </c>
      <c r="L277" s="30"/>
      <c r="M277" s="606">
        <v>43523</v>
      </c>
      <c r="N277" s="610" t="s">
        <v>2124</v>
      </c>
      <c r="O277" s="639" t="s">
        <v>2233</v>
      </c>
      <c r="P277" s="640"/>
      <c r="Q277" s="640"/>
      <c r="R277" s="640"/>
      <c r="S277" s="640"/>
      <c r="T277" s="640"/>
      <c r="U277" s="640">
        <v>23625</v>
      </c>
      <c r="V277" s="640"/>
      <c r="W277" s="411"/>
      <c r="X277" s="411"/>
      <c r="Y277" s="340"/>
      <c r="Z277" s="412"/>
      <c r="AA277" s="340"/>
      <c r="AB277" s="340" t="s">
        <v>2242</v>
      </c>
      <c r="AC277" s="340" t="s">
        <v>2243</v>
      </c>
      <c r="AD277" s="340"/>
      <c r="AE277" s="340"/>
      <c r="AF277" s="340"/>
      <c r="AG277" s="431" t="s">
        <v>283</v>
      </c>
      <c r="AH277" s="431">
        <v>31.324999999999999</v>
      </c>
      <c r="AI277" s="432"/>
      <c r="AJ277" s="431"/>
      <c r="AK277" s="432"/>
      <c r="AL277" s="432"/>
      <c r="AM277" s="431" t="s">
        <v>49</v>
      </c>
      <c r="AN277" s="369" t="s">
        <v>284</v>
      </c>
      <c r="AO277" s="431" t="s">
        <v>285</v>
      </c>
      <c r="AP277" s="431" t="s">
        <v>51</v>
      </c>
      <c r="AQ277" s="372" t="s">
        <v>439</v>
      </c>
    </row>
    <row r="278" spans="1:43" ht="15.75" customHeight="1">
      <c r="A278" s="69">
        <v>43509</v>
      </c>
      <c r="B278" s="144" t="s">
        <v>405</v>
      </c>
      <c r="C278" s="21">
        <v>7000145102</v>
      </c>
      <c r="D278" s="139" t="s">
        <v>662</v>
      </c>
      <c r="E278" s="23" t="s">
        <v>514</v>
      </c>
      <c r="F278" s="24">
        <v>25</v>
      </c>
      <c r="G278" s="48">
        <v>43</v>
      </c>
      <c r="H278" s="26">
        <f t="shared" si="20"/>
        <v>1075</v>
      </c>
      <c r="I278" s="82" t="s">
        <v>42</v>
      </c>
      <c r="J278" s="82" t="s">
        <v>519</v>
      </c>
      <c r="K278" s="30">
        <v>43634</v>
      </c>
      <c r="L278" s="30"/>
      <c r="M278" s="606">
        <v>43523</v>
      </c>
      <c r="N278" s="641" t="s">
        <v>2124</v>
      </c>
      <c r="O278" s="639" t="s">
        <v>2233</v>
      </c>
      <c r="P278" s="640"/>
      <c r="Q278" s="640"/>
      <c r="R278" s="640"/>
      <c r="S278" s="640"/>
      <c r="T278" s="640"/>
      <c r="U278" s="640">
        <v>21919</v>
      </c>
      <c r="V278" s="631"/>
      <c r="W278" s="411"/>
      <c r="X278" s="411"/>
      <c r="Y278" s="340"/>
      <c r="Z278" s="412"/>
      <c r="AA278" s="340"/>
      <c r="AB278" s="340" t="s">
        <v>2242</v>
      </c>
      <c r="AC278" s="340" t="s">
        <v>2243</v>
      </c>
      <c r="AD278" s="340"/>
      <c r="AE278" s="340"/>
      <c r="AF278" s="340"/>
      <c r="AG278" s="431" t="s">
        <v>283</v>
      </c>
      <c r="AH278" s="431">
        <v>31.324999999999999</v>
      </c>
      <c r="AI278" s="432"/>
      <c r="AJ278" s="431"/>
      <c r="AK278" s="432"/>
      <c r="AL278" s="432"/>
      <c r="AM278" s="431" t="s">
        <v>49</v>
      </c>
      <c r="AN278" s="369" t="s">
        <v>284</v>
      </c>
      <c r="AO278" s="431" t="s">
        <v>285</v>
      </c>
      <c r="AP278" s="431" t="s">
        <v>51</v>
      </c>
      <c r="AQ278" s="372" t="s">
        <v>439</v>
      </c>
    </row>
    <row r="279" spans="1:43" ht="15.75" customHeight="1">
      <c r="A279" s="69">
        <v>43509</v>
      </c>
      <c r="B279" s="144" t="s">
        <v>405</v>
      </c>
      <c r="C279" s="21">
        <v>7000145102</v>
      </c>
      <c r="D279" s="139" t="s">
        <v>663</v>
      </c>
      <c r="E279" s="23" t="s">
        <v>664</v>
      </c>
      <c r="F279" s="24">
        <v>25</v>
      </c>
      <c r="G279" s="48">
        <v>775</v>
      </c>
      <c r="H279" s="26">
        <f t="shared" si="20"/>
        <v>19375</v>
      </c>
      <c r="I279" s="82" t="s">
        <v>42</v>
      </c>
      <c r="J279" s="82" t="s">
        <v>519</v>
      </c>
      <c r="K279" s="30">
        <v>43634</v>
      </c>
      <c r="L279" s="30"/>
      <c r="M279" s="606">
        <v>43626</v>
      </c>
      <c r="N279" s="636" t="s">
        <v>1074</v>
      </c>
      <c r="O279" s="639" t="s">
        <v>2244</v>
      </c>
      <c r="P279" s="640"/>
      <c r="Q279" s="640"/>
      <c r="R279" s="640"/>
      <c r="S279" s="640"/>
      <c r="T279" s="640"/>
      <c r="U279" s="640">
        <v>594064</v>
      </c>
      <c r="V279" s="631"/>
      <c r="W279" s="411"/>
      <c r="X279" s="411"/>
      <c r="Y279" s="340"/>
      <c r="Z279" s="412"/>
      <c r="AA279" s="340"/>
      <c r="AB279" s="340" t="s">
        <v>2242</v>
      </c>
      <c r="AC279" s="340" t="s">
        <v>2243</v>
      </c>
      <c r="AD279" s="340"/>
      <c r="AE279" s="340"/>
      <c r="AF279" s="340"/>
      <c r="AG279" s="431" t="s">
        <v>283</v>
      </c>
      <c r="AH279" s="431">
        <v>31.324999999999999</v>
      </c>
      <c r="AI279" s="432"/>
      <c r="AJ279" s="431"/>
      <c r="AK279" s="432"/>
      <c r="AL279" s="432"/>
      <c r="AM279" s="431" t="s">
        <v>49</v>
      </c>
      <c r="AN279" s="369" t="s">
        <v>284</v>
      </c>
      <c r="AO279" s="431" t="s">
        <v>285</v>
      </c>
      <c r="AP279" s="431" t="s">
        <v>51</v>
      </c>
      <c r="AQ279" s="372" t="s">
        <v>439</v>
      </c>
    </row>
    <row r="280" spans="1:43" ht="15.75" customHeight="1">
      <c r="A280" s="69">
        <v>43509</v>
      </c>
      <c r="B280" s="144" t="s">
        <v>665</v>
      </c>
      <c r="C280" s="21"/>
      <c r="D280" s="21" t="s">
        <v>666</v>
      </c>
      <c r="E280" s="23" t="s">
        <v>667</v>
      </c>
      <c r="F280" s="24">
        <v>1</v>
      </c>
      <c r="G280" s="48">
        <v>765</v>
      </c>
      <c r="H280" s="26">
        <f t="shared" si="20"/>
        <v>765</v>
      </c>
      <c r="I280" s="82" t="s">
        <v>170</v>
      </c>
      <c r="J280" s="161" t="s">
        <v>668</v>
      </c>
      <c r="K280" s="30">
        <v>43557</v>
      </c>
      <c r="L280" s="30"/>
      <c r="M280" s="30">
        <v>43556</v>
      </c>
      <c r="N280" s="405" t="s">
        <v>1512</v>
      </c>
      <c r="O280" s="64" t="s">
        <v>2245</v>
      </c>
      <c r="P280" s="34"/>
      <c r="Q280" s="34"/>
      <c r="R280" s="34"/>
      <c r="S280" s="34"/>
      <c r="T280" s="34"/>
      <c r="U280" s="406">
        <v>20585</v>
      </c>
      <c r="V280" s="642" t="s">
        <v>2109</v>
      </c>
      <c r="W280" s="52"/>
      <c r="X280" s="53"/>
      <c r="Y280" s="53"/>
      <c r="Z280" s="53"/>
      <c r="AA280" s="53"/>
      <c r="AB280" s="53" t="s">
        <v>2246</v>
      </c>
      <c r="AC280" s="53">
        <v>7314483702</v>
      </c>
      <c r="AD280" s="53"/>
      <c r="AE280" s="53"/>
      <c r="AF280" s="53"/>
      <c r="AG280" s="54"/>
      <c r="AH280" s="54">
        <v>30.77</v>
      </c>
      <c r="AI280" s="55">
        <f>H280*AH280</f>
        <v>23539.05</v>
      </c>
      <c r="AJ280" s="56">
        <v>43558</v>
      </c>
      <c r="AK280" s="55">
        <f>765*30.78</f>
        <v>23546.7</v>
      </c>
      <c r="AL280" s="55">
        <v>0</v>
      </c>
      <c r="AM280" s="54" t="s">
        <v>49</v>
      </c>
      <c r="AN280" s="24" t="s">
        <v>284</v>
      </c>
      <c r="AO280" s="54" t="s">
        <v>285</v>
      </c>
      <c r="AP280" s="54" t="s">
        <v>51</v>
      </c>
      <c r="AQ280" s="57" t="s">
        <v>397</v>
      </c>
    </row>
    <row r="281" spans="1:43" ht="15.75" customHeight="1">
      <c r="A281" s="69">
        <v>43509</v>
      </c>
      <c r="B281" s="144" t="s">
        <v>377</v>
      </c>
      <c r="C281" s="21">
        <v>8818</v>
      </c>
      <c r="D281" s="21" t="s">
        <v>669</v>
      </c>
      <c r="E281" s="23" t="s">
        <v>379</v>
      </c>
      <c r="F281" s="433">
        <v>200</v>
      </c>
      <c r="G281" s="434">
        <v>62</v>
      </c>
      <c r="H281" s="26">
        <f t="shared" si="20"/>
        <v>12400</v>
      </c>
      <c r="I281" s="82" t="s">
        <v>170</v>
      </c>
      <c r="J281" s="58" t="s">
        <v>670</v>
      </c>
      <c r="K281" s="30">
        <v>43564</v>
      </c>
      <c r="L281" s="30"/>
      <c r="M281" s="30">
        <v>43558</v>
      </c>
      <c r="N281" s="82" t="s">
        <v>2021</v>
      </c>
      <c r="O281" s="93" t="s">
        <v>2247</v>
      </c>
      <c r="P281" s="406"/>
      <c r="Q281" s="406"/>
      <c r="R281" s="406"/>
      <c r="S281" s="406"/>
      <c r="T281" s="620"/>
      <c r="U281" s="620">
        <v>285180</v>
      </c>
      <c r="V281" s="21" t="s">
        <v>2023</v>
      </c>
      <c r="W281" s="293">
        <v>43590</v>
      </c>
      <c r="X281" s="300">
        <v>43558</v>
      </c>
      <c r="Y281" s="294" t="s">
        <v>671</v>
      </c>
      <c r="Z281" s="294">
        <v>285180</v>
      </c>
      <c r="AA281" s="300">
        <v>43592</v>
      </c>
      <c r="AB281" s="304" t="s">
        <v>2248</v>
      </c>
      <c r="AC281" s="304" t="s">
        <v>2249</v>
      </c>
      <c r="AD281" s="304"/>
      <c r="AE281" s="304"/>
      <c r="AF281" s="304"/>
      <c r="AG281" s="296"/>
      <c r="AH281" s="296">
        <v>30.77</v>
      </c>
      <c r="AI281" s="297">
        <f>AH281*H281</f>
        <v>381548</v>
      </c>
      <c r="AJ281" s="298">
        <v>43593</v>
      </c>
      <c r="AK281" s="297">
        <f>12383.53*30.9</f>
        <v>382651.07699999999</v>
      </c>
      <c r="AL281" s="297">
        <f>(10+6.47)*30.9</f>
        <v>508.92299999999994</v>
      </c>
      <c r="AM281" s="296" t="s">
        <v>49</v>
      </c>
      <c r="AN281" s="24" t="s">
        <v>284</v>
      </c>
      <c r="AO281" s="296" t="s">
        <v>285</v>
      </c>
      <c r="AP281" s="296" t="s">
        <v>51</v>
      </c>
      <c r="AQ281" s="234" t="s">
        <v>304</v>
      </c>
    </row>
    <row r="282" spans="1:43" ht="15.75" customHeight="1">
      <c r="A282" s="110">
        <v>43509</v>
      </c>
      <c r="B282" s="144" t="s">
        <v>377</v>
      </c>
      <c r="C282" s="21">
        <v>8818</v>
      </c>
      <c r="D282" s="21" t="s">
        <v>669</v>
      </c>
      <c r="E282" s="23" t="s">
        <v>382</v>
      </c>
      <c r="F282" s="433">
        <v>200</v>
      </c>
      <c r="G282" s="48">
        <v>0</v>
      </c>
      <c r="H282" s="26">
        <v>0</v>
      </c>
      <c r="I282" s="429" t="s">
        <v>170</v>
      </c>
      <c r="J282" s="58" t="s">
        <v>670</v>
      </c>
      <c r="K282" s="30">
        <v>43564</v>
      </c>
      <c r="L282" s="30"/>
      <c r="M282" s="29">
        <v>43543</v>
      </c>
      <c r="N282" s="82" t="s">
        <v>1941</v>
      </c>
      <c r="O282" s="93"/>
      <c r="P282" s="406"/>
      <c r="Q282" s="406"/>
      <c r="R282" s="406"/>
      <c r="S282" s="406"/>
      <c r="T282" s="406"/>
      <c r="U282" s="406">
        <v>0</v>
      </c>
      <c r="V282" s="501"/>
      <c r="W282" s="304"/>
      <c r="X282" s="303"/>
      <c r="Y282" s="304"/>
      <c r="Z282" s="304"/>
      <c r="AA282" s="304"/>
      <c r="AB282" s="304" t="s">
        <v>2250</v>
      </c>
      <c r="AC282" s="304" t="s">
        <v>2251</v>
      </c>
      <c r="AD282" s="304"/>
      <c r="AE282" s="304"/>
      <c r="AF282" s="304"/>
      <c r="AG282" s="296"/>
      <c r="AH282" s="296">
        <v>30.77</v>
      </c>
      <c r="AI282" s="297">
        <f>AH282*H282</f>
        <v>0</v>
      </c>
      <c r="AJ282" s="298">
        <v>43593</v>
      </c>
      <c r="AK282" s="297" t="s">
        <v>2252</v>
      </c>
      <c r="AL282" s="297" t="s">
        <v>2253</v>
      </c>
      <c r="AM282" s="296" t="s">
        <v>49</v>
      </c>
      <c r="AN282" s="24" t="s">
        <v>284</v>
      </c>
      <c r="AO282" s="296" t="s">
        <v>285</v>
      </c>
      <c r="AP282" s="296" t="s">
        <v>51</v>
      </c>
      <c r="AQ282" s="234" t="s">
        <v>304</v>
      </c>
    </row>
    <row r="283" spans="1:43" ht="15.75" customHeight="1">
      <c r="A283" s="69">
        <v>43511</v>
      </c>
      <c r="B283" s="263" t="s">
        <v>76</v>
      </c>
      <c r="C283" s="250"/>
      <c r="D283" s="250" t="s">
        <v>672</v>
      </c>
      <c r="E283" s="23" t="s">
        <v>317</v>
      </c>
      <c r="F283" s="251">
        <v>20</v>
      </c>
      <c r="G283" s="252">
        <v>0</v>
      </c>
      <c r="H283" s="253">
        <f t="shared" ref="H283:H307" si="21">G283*F283</f>
        <v>0</v>
      </c>
      <c r="I283" s="264" t="s">
        <v>42</v>
      </c>
      <c r="J283" s="331" t="s">
        <v>478</v>
      </c>
      <c r="K283" s="256">
        <v>43522</v>
      </c>
      <c r="L283" s="256"/>
      <c r="M283" s="256">
        <v>43519</v>
      </c>
      <c r="N283" s="367" t="s">
        <v>1967</v>
      </c>
      <c r="O283" s="420" t="s">
        <v>2254</v>
      </c>
      <c r="P283" s="308"/>
      <c r="Q283" s="308">
        <v>4620</v>
      </c>
      <c r="R283" s="308"/>
      <c r="S283" s="308"/>
      <c r="T283" s="308"/>
      <c r="U283" s="308"/>
      <c r="V283" s="643" t="s">
        <v>1969</v>
      </c>
      <c r="W283" s="258">
        <v>43555</v>
      </c>
      <c r="X283" s="258">
        <v>43519</v>
      </c>
      <c r="Y283" s="259" t="s">
        <v>673</v>
      </c>
      <c r="Z283" s="270">
        <v>142342</v>
      </c>
      <c r="AA283" s="258">
        <v>43649</v>
      </c>
      <c r="AB283" s="329" t="s">
        <v>2094</v>
      </c>
      <c r="AC283" s="329" t="s">
        <v>2095</v>
      </c>
      <c r="AD283" s="329"/>
      <c r="AE283" s="329"/>
      <c r="AF283" s="329"/>
      <c r="AG283" s="251" t="s">
        <v>576</v>
      </c>
      <c r="AH283" s="251"/>
      <c r="AI283" s="260"/>
      <c r="AJ283" s="251"/>
      <c r="AK283" s="260" t="s">
        <v>1973</v>
      </c>
      <c r="AL283" s="260" t="s">
        <v>1974</v>
      </c>
      <c r="AM283" s="251" t="s">
        <v>49</v>
      </c>
      <c r="AN283" s="251" t="s">
        <v>284</v>
      </c>
      <c r="AO283" s="251" t="s">
        <v>50</v>
      </c>
      <c r="AP283" s="251" t="s">
        <v>51</v>
      </c>
      <c r="AQ283" s="262"/>
    </row>
    <row r="284" spans="1:43" ht="15.75" customHeight="1">
      <c r="A284" s="69">
        <v>43513</v>
      </c>
      <c r="B284" s="70" t="s">
        <v>405</v>
      </c>
      <c r="C284" s="290">
        <v>7000145208</v>
      </c>
      <c r="D284" s="290" t="s">
        <v>674</v>
      </c>
      <c r="E284" s="23" t="s">
        <v>585</v>
      </c>
      <c r="F284" s="24">
        <v>3</v>
      </c>
      <c r="G284" s="48">
        <v>15</v>
      </c>
      <c r="H284" s="60">
        <f t="shared" si="21"/>
        <v>45</v>
      </c>
      <c r="I284" s="87" t="s">
        <v>42</v>
      </c>
      <c r="J284" s="405" t="s">
        <v>512</v>
      </c>
      <c r="K284" s="29">
        <v>43529</v>
      </c>
      <c r="L284" s="29"/>
      <c r="M284" s="29">
        <v>43528</v>
      </c>
      <c r="N284" s="58" t="s">
        <v>2043</v>
      </c>
      <c r="O284" s="93" t="s">
        <v>2255</v>
      </c>
      <c r="P284" s="406"/>
      <c r="Q284" s="406"/>
      <c r="R284" s="406"/>
      <c r="S284" s="406"/>
      <c r="T284" s="406"/>
      <c r="U284" s="406">
        <v>920</v>
      </c>
      <c r="V284" s="644" t="s">
        <v>2045</v>
      </c>
      <c r="W284" s="435">
        <v>43616</v>
      </c>
      <c r="X284" s="293">
        <v>43528</v>
      </c>
      <c r="Y284" s="294" t="s">
        <v>675</v>
      </c>
      <c r="Z284" s="295">
        <v>4491</v>
      </c>
      <c r="AA284" s="300">
        <v>43616</v>
      </c>
      <c r="AB284" s="304" t="s">
        <v>2115</v>
      </c>
      <c r="AC284" s="304">
        <v>7476157080</v>
      </c>
      <c r="AD284" s="304"/>
      <c r="AE284" s="304"/>
      <c r="AF284" s="304"/>
      <c r="AG284" s="296"/>
      <c r="AH284" s="296">
        <v>30.74</v>
      </c>
      <c r="AI284" s="297"/>
      <c r="AJ284" s="145">
        <v>43588</v>
      </c>
      <c r="AK284" s="297" t="s">
        <v>2116</v>
      </c>
      <c r="AL284" s="297" t="s">
        <v>2117</v>
      </c>
      <c r="AM284" s="296" t="s">
        <v>49</v>
      </c>
      <c r="AN284" s="296" t="s">
        <v>284</v>
      </c>
      <c r="AO284" s="296" t="s">
        <v>50</v>
      </c>
      <c r="AP284" s="296" t="s">
        <v>51</v>
      </c>
      <c r="AQ284" s="234" t="s">
        <v>304</v>
      </c>
    </row>
    <row r="285" spans="1:43" ht="15.75" customHeight="1">
      <c r="A285" s="69">
        <v>43513</v>
      </c>
      <c r="B285" s="70" t="s">
        <v>405</v>
      </c>
      <c r="C285" s="290">
        <v>7000145208</v>
      </c>
      <c r="D285" s="290" t="s">
        <v>674</v>
      </c>
      <c r="E285" s="23" t="s">
        <v>676</v>
      </c>
      <c r="F285" s="24">
        <v>1</v>
      </c>
      <c r="G285" s="48">
        <v>129</v>
      </c>
      <c r="H285" s="60">
        <f t="shared" si="21"/>
        <v>129</v>
      </c>
      <c r="I285" s="87" t="s">
        <v>42</v>
      </c>
      <c r="J285" s="405" t="s">
        <v>512</v>
      </c>
      <c r="K285" s="29">
        <v>43529</v>
      </c>
      <c r="L285" s="29"/>
      <c r="M285" s="29">
        <v>43528</v>
      </c>
      <c r="N285" s="58" t="s">
        <v>2043</v>
      </c>
      <c r="O285" s="93" t="s">
        <v>2255</v>
      </c>
      <c r="P285" s="406"/>
      <c r="Q285" s="406"/>
      <c r="R285" s="406"/>
      <c r="S285" s="406"/>
      <c r="T285" s="406"/>
      <c r="U285" s="406">
        <v>3571</v>
      </c>
      <c r="V285" s="22" t="s">
        <v>2045</v>
      </c>
      <c r="W285" s="435">
        <v>43616</v>
      </c>
      <c r="X285" s="293">
        <v>43528</v>
      </c>
      <c r="Y285" s="294" t="s">
        <v>675</v>
      </c>
      <c r="Z285" s="294" t="s">
        <v>2256</v>
      </c>
      <c r="AA285" s="300">
        <v>43616</v>
      </c>
      <c r="AB285" s="304" t="s">
        <v>2115</v>
      </c>
      <c r="AC285" s="304">
        <v>7476157080</v>
      </c>
      <c r="AD285" s="304"/>
      <c r="AE285" s="304"/>
      <c r="AF285" s="304"/>
      <c r="AG285" s="296"/>
      <c r="AH285" s="296">
        <v>30.74</v>
      </c>
      <c r="AI285" s="297"/>
      <c r="AJ285" s="145">
        <v>43588</v>
      </c>
      <c r="AK285" s="297" t="s">
        <v>2116</v>
      </c>
      <c r="AL285" s="297" t="s">
        <v>2117</v>
      </c>
      <c r="AM285" s="296" t="s">
        <v>49</v>
      </c>
      <c r="AN285" s="296" t="s">
        <v>284</v>
      </c>
      <c r="AO285" s="296" t="s">
        <v>50</v>
      </c>
      <c r="AP285" s="296" t="s">
        <v>51</v>
      </c>
      <c r="AQ285" s="234" t="s">
        <v>304</v>
      </c>
    </row>
    <row r="286" spans="1:43" ht="15.75" customHeight="1">
      <c r="A286" s="69">
        <v>43513</v>
      </c>
      <c r="B286" s="70" t="s">
        <v>405</v>
      </c>
      <c r="C286" s="290">
        <v>7000145208</v>
      </c>
      <c r="D286" s="290" t="s">
        <v>674</v>
      </c>
      <c r="E286" s="23" t="s">
        <v>677</v>
      </c>
      <c r="F286" s="24">
        <v>1</v>
      </c>
      <c r="G286" s="48">
        <v>71</v>
      </c>
      <c r="H286" s="60">
        <f t="shared" si="21"/>
        <v>71</v>
      </c>
      <c r="I286" s="87" t="s">
        <v>42</v>
      </c>
      <c r="J286" s="429" t="s">
        <v>519</v>
      </c>
      <c r="K286" s="29">
        <v>43546</v>
      </c>
      <c r="L286" s="29"/>
      <c r="M286" s="29">
        <v>43543</v>
      </c>
      <c r="N286" s="58" t="s">
        <v>2043</v>
      </c>
      <c r="O286" s="93" t="s">
        <v>2255</v>
      </c>
      <c r="P286" s="406"/>
      <c r="Q286" s="406"/>
      <c r="R286" s="406"/>
      <c r="S286" s="406"/>
      <c r="T286" s="406"/>
      <c r="U286" s="406">
        <v>1956</v>
      </c>
      <c r="V286" s="22" t="s">
        <v>2045</v>
      </c>
      <c r="W286" s="435">
        <v>43616</v>
      </c>
      <c r="X286" s="293">
        <v>43542</v>
      </c>
      <c r="Y286" s="294" t="s">
        <v>678</v>
      </c>
      <c r="Z286" s="295">
        <v>1956</v>
      </c>
      <c r="AA286" s="300">
        <v>43616</v>
      </c>
      <c r="AB286" s="304" t="s">
        <v>2190</v>
      </c>
      <c r="AC286" s="304" t="s">
        <v>2191</v>
      </c>
      <c r="AD286" s="304"/>
      <c r="AE286" s="304"/>
      <c r="AF286" s="304"/>
      <c r="AG286" s="296"/>
      <c r="AH286" s="296">
        <v>30.824999999999999</v>
      </c>
      <c r="AI286" s="297"/>
      <c r="AJ286" s="145">
        <v>43588</v>
      </c>
      <c r="AK286" s="297" t="s">
        <v>2116</v>
      </c>
      <c r="AL286" s="297" t="s">
        <v>2117</v>
      </c>
      <c r="AM286" s="296" t="s">
        <v>49</v>
      </c>
      <c r="AN286" s="296" t="s">
        <v>284</v>
      </c>
      <c r="AO286" s="296" t="s">
        <v>50</v>
      </c>
      <c r="AP286" s="296" t="s">
        <v>51</v>
      </c>
      <c r="AQ286" s="234" t="s">
        <v>304</v>
      </c>
    </row>
    <row r="287" spans="1:43" ht="15.75" customHeight="1">
      <c r="A287" s="69">
        <v>43514</v>
      </c>
      <c r="B287" s="70" t="s">
        <v>118</v>
      </c>
      <c r="C287" s="21" t="s">
        <v>679</v>
      </c>
      <c r="D287" s="21" t="s">
        <v>680</v>
      </c>
      <c r="E287" s="23" t="s">
        <v>160</v>
      </c>
      <c r="F287" s="82">
        <v>10</v>
      </c>
      <c r="G287" s="47">
        <v>485</v>
      </c>
      <c r="H287" s="165">
        <f t="shared" si="21"/>
        <v>4850</v>
      </c>
      <c r="I287" s="296" t="s">
        <v>170</v>
      </c>
      <c r="J287" s="429" t="s">
        <v>121</v>
      </c>
      <c r="K287" s="30">
        <v>43564</v>
      </c>
      <c r="L287" s="30"/>
      <c r="M287" s="645">
        <v>43546</v>
      </c>
      <c r="N287" s="646" t="s">
        <v>89</v>
      </c>
      <c r="O287" s="608" t="s">
        <v>2257</v>
      </c>
      <c r="P287" s="473"/>
      <c r="Q287" s="473">
        <v>4200</v>
      </c>
      <c r="R287" s="473"/>
      <c r="S287" s="473"/>
      <c r="T287" s="647"/>
      <c r="U287" s="647">
        <f>1090921/35390.78*4200</f>
        <v>129465.02450638275</v>
      </c>
      <c r="V287" s="641" t="s">
        <v>93</v>
      </c>
      <c r="W287" s="435">
        <v>43585</v>
      </c>
      <c r="X287" s="293">
        <v>43545</v>
      </c>
      <c r="Y287" s="294" t="s">
        <v>681</v>
      </c>
      <c r="Z287" s="295">
        <v>1090921</v>
      </c>
      <c r="AA287" s="300">
        <v>43586</v>
      </c>
      <c r="AB287" s="294" t="s">
        <v>2258</v>
      </c>
      <c r="AC287" s="294" t="s">
        <v>2259</v>
      </c>
      <c r="AD287" s="294"/>
      <c r="AE287" s="294"/>
      <c r="AF287" s="294"/>
      <c r="AG287" s="369"/>
      <c r="AH287" s="369">
        <v>30.77</v>
      </c>
      <c r="AI287" s="370">
        <f t="shared" ref="AI287:AI293" si="22">AH287*H287</f>
        <v>149234.5</v>
      </c>
      <c r="AJ287" s="431" t="s">
        <v>682</v>
      </c>
      <c r="AK287" s="370" t="s">
        <v>2260</v>
      </c>
      <c r="AL287" s="370" t="s">
        <v>2261</v>
      </c>
      <c r="AM287" s="369" t="s">
        <v>49</v>
      </c>
      <c r="AN287" s="369" t="s">
        <v>284</v>
      </c>
      <c r="AO287" s="369" t="s">
        <v>50</v>
      </c>
      <c r="AP287" s="369" t="s">
        <v>51</v>
      </c>
      <c r="AQ287" s="372" t="s">
        <v>439</v>
      </c>
    </row>
    <row r="288" spans="1:43" ht="15.75" customHeight="1">
      <c r="A288" s="69">
        <v>43514</v>
      </c>
      <c r="B288" s="70" t="s">
        <v>118</v>
      </c>
      <c r="C288" s="21" t="s">
        <v>679</v>
      </c>
      <c r="D288" s="21" t="s">
        <v>680</v>
      </c>
      <c r="E288" s="23" t="s">
        <v>165</v>
      </c>
      <c r="F288" s="82">
        <v>5</v>
      </c>
      <c r="G288" s="47">
        <v>880</v>
      </c>
      <c r="H288" s="165">
        <f t="shared" si="21"/>
        <v>4400</v>
      </c>
      <c r="I288" s="296" t="s">
        <v>170</v>
      </c>
      <c r="J288" s="429" t="s">
        <v>121</v>
      </c>
      <c r="K288" s="30">
        <v>43564</v>
      </c>
      <c r="L288" s="30"/>
      <c r="M288" s="645">
        <v>43546</v>
      </c>
      <c r="N288" s="646" t="s">
        <v>89</v>
      </c>
      <c r="O288" s="608" t="s">
        <v>2257</v>
      </c>
      <c r="P288" s="473"/>
      <c r="Q288" s="473">
        <v>3924.38</v>
      </c>
      <c r="R288" s="473"/>
      <c r="S288" s="473"/>
      <c r="T288" s="647"/>
      <c r="U288" s="647">
        <f>1090921/35390.78*3924.38</f>
        <v>120969.03639818056</v>
      </c>
      <c r="V288" s="641" t="s">
        <v>93</v>
      </c>
      <c r="W288" s="435">
        <v>43585</v>
      </c>
      <c r="X288" s="293">
        <v>43545</v>
      </c>
      <c r="Y288" s="294" t="s">
        <v>681</v>
      </c>
      <c r="Z288" s="294" t="s">
        <v>2262</v>
      </c>
      <c r="AA288" s="300">
        <v>43586</v>
      </c>
      <c r="AB288" s="294" t="s">
        <v>2258</v>
      </c>
      <c r="AC288" s="294" t="s">
        <v>2259</v>
      </c>
      <c r="AD288" s="294"/>
      <c r="AE288" s="294"/>
      <c r="AF288" s="294"/>
      <c r="AG288" s="369"/>
      <c r="AH288" s="369">
        <v>30.77</v>
      </c>
      <c r="AI288" s="370">
        <f t="shared" si="22"/>
        <v>135388</v>
      </c>
      <c r="AJ288" s="371">
        <v>43615</v>
      </c>
      <c r="AK288" s="370" t="s">
        <v>2263</v>
      </c>
      <c r="AL288" s="370" t="s">
        <v>2263</v>
      </c>
      <c r="AM288" s="369" t="s">
        <v>49</v>
      </c>
      <c r="AN288" s="369" t="s">
        <v>284</v>
      </c>
      <c r="AO288" s="369" t="s">
        <v>50</v>
      </c>
      <c r="AP288" s="369" t="s">
        <v>51</v>
      </c>
      <c r="AQ288" s="372" t="s">
        <v>439</v>
      </c>
    </row>
    <row r="289" spans="1:43" ht="15.75" customHeight="1">
      <c r="A289" s="69">
        <v>43514</v>
      </c>
      <c r="B289" s="70" t="s">
        <v>118</v>
      </c>
      <c r="C289" s="21" t="s">
        <v>679</v>
      </c>
      <c r="D289" s="21" t="s">
        <v>680</v>
      </c>
      <c r="E289" s="23" t="s">
        <v>151</v>
      </c>
      <c r="F289" s="82">
        <v>12</v>
      </c>
      <c r="G289" s="47">
        <v>1045</v>
      </c>
      <c r="H289" s="165">
        <f t="shared" si="21"/>
        <v>12540</v>
      </c>
      <c r="I289" s="296" t="s">
        <v>170</v>
      </c>
      <c r="J289" s="429" t="s">
        <v>121</v>
      </c>
      <c r="K289" s="30">
        <v>43564</v>
      </c>
      <c r="L289" s="30"/>
      <c r="M289" s="29">
        <v>43546</v>
      </c>
      <c r="N289" s="63" t="s">
        <v>89</v>
      </c>
      <c r="O289" s="93" t="s">
        <v>2257</v>
      </c>
      <c r="P289" s="468"/>
      <c r="Q289" s="468">
        <v>11592</v>
      </c>
      <c r="R289" s="468"/>
      <c r="S289" s="468"/>
      <c r="T289" s="648"/>
      <c r="U289" s="648">
        <f>1090921/35390.78*11592</f>
        <v>357323.46763761638</v>
      </c>
      <c r="V289" s="35" t="s">
        <v>93</v>
      </c>
      <c r="W289" s="435">
        <v>43585</v>
      </c>
      <c r="X289" s="293">
        <v>43545</v>
      </c>
      <c r="Y289" s="294" t="s">
        <v>681</v>
      </c>
      <c r="Z289" s="294" t="s">
        <v>2262</v>
      </c>
      <c r="AA289" s="300">
        <v>43586</v>
      </c>
      <c r="AB289" s="53" t="s">
        <v>2258</v>
      </c>
      <c r="AC289" s="53" t="s">
        <v>2259</v>
      </c>
      <c r="AD289" s="53"/>
      <c r="AE289" s="53"/>
      <c r="AF289" s="53"/>
      <c r="AG289" s="54"/>
      <c r="AH289" s="54">
        <v>30.77</v>
      </c>
      <c r="AI289" s="55">
        <f t="shared" si="22"/>
        <v>385855.8</v>
      </c>
      <c r="AJ289" s="56">
        <v>43563</v>
      </c>
      <c r="AK289" s="55">
        <f>31736.11*30.775</f>
        <v>976678.78524999996</v>
      </c>
      <c r="AL289" s="55">
        <f>(31764-31736.11)*30.775</f>
        <v>858.31474999998204</v>
      </c>
      <c r="AM289" s="54" t="s">
        <v>49</v>
      </c>
      <c r="AN289" s="24" t="s">
        <v>284</v>
      </c>
      <c r="AO289" s="54" t="s">
        <v>50</v>
      </c>
      <c r="AP289" s="54" t="s">
        <v>51</v>
      </c>
      <c r="AQ289" s="57" t="s">
        <v>397</v>
      </c>
    </row>
    <row r="290" spans="1:43" ht="15.75" customHeight="1">
      <c r="A290" s="69">
        <v>43514</v>
      </c>
      <c r="B290" s="70" t="s">
        <v>118</v>
      </c>
      <c r="C290" s="21" t="s">
        <v>679</v>
      </c>
      <c r="D290" s="21" t="s">
        <v>680</v>
      </c>
      <c r="E290" s="23" t="s">
        <v>413</v>
      </c>
      <c r="F290" s="82">
        <v>8</v>
      </c>
      <c r="G290" s="47">
        <v>118</v>
      </c>
      <c r="H290" s="165">
        <f t="shared" si="21"/>
        <v>944</v>
      </c>
      <c r="I290" s="296" t="s">
        <v>170</v>
      </c>
      <c r="J290" s="429" t="s">
        <v>121</v>
      </c>
      <c r="K290" s="30">
        <v>43564</v>
      </c>
      <c r="L290" s="30"/>
      <c r="M290" s="29">
        <v>43546</v>
      </c>
      <c r="N290" s="63" t="s">
        <v>89</v>
      </c>
      <c r="O290" s="93" t="s">
        <v>2257</v>
      </c>
      <c r="P290" s="468"/>
      <c r="Q290" s="468">
        <v>873.6</v>
      </c>
      <c r="R290" s="468"/>
      <c r="S290" s="468"/>
      <c r="T290" s="648"/>
      <c r="U290" s="648">
        <f>1090921*873.6/35390.78</f>
        <v>26928.72509732761</v>
      </c>
      <c r="V290" s="649" t="s">
        <v>93</v>
      </c>
      <c r="W290" s="435">
        <v>43585</v>
      </c>
      <c r="X290" s="293">
        <v>43545</v>
      </c>
      <c r="Y290" s="294" t="s">
        <v>681</v>
      </c>
      <c r="Z290" s="294" t="s">
        <v>2262</v>
      </c>
      <c r="AA290" s="300">
        <v>43586</v>
      </c>
      <c r="AB290" s="53" t="s">
        <v>2258</v>
      </c>
      <c r="AC290" s="53" t="s">
        <v>2259</v>
      </c>
      <c r="AD290" s="53"/>
      <c r="AE290" s="53"/>
      <c r="AF290" s="53"/>
      <c r="AG290" s="54"/>
      <c r="AH290" s="54">
        <v>30.77</v>
      </c>
      <c r="AI290" s="55">
        <f t="shared" si="22"/>
        <v>29046.880000000001</v>
      </c>
      <c r="AJ290" s="56">
        <v>43563</v>
      </c>
      <c r="AK290" s="55" t="s">
        <v>2264</v>
      </c>
      <c r="AL290" s="55" t="s">
        <v>2265</v>
      </c>
      <c r="AM290" s="54" t="s">
        <v>49</v>
      </c>
      <c r="AN290" s="24" t="s">
        <v>284</v>
      </c>
      <c r="AO290" s="54" t="s">
        <v>50</v>
      </c>
      <c r="AP290" s="54" t="s">
        <v>51</v>
      </c>
      <c r="AQ290" s="57" t="s">
        <v>397</v>
      </c>
    </row>
    <row r="291" spans="1:43" ht="15.75" customHeight="1">
      <c r="A291" s="69">
        <v>43514</v>
      </c>
      <c r="B291" s="70" t="s">
        <v>118</v>
      </c>
      <c r="C291" s="21" t="s">
        <v>679</v>
      </c>
      <c r="D291" s="21" t="s">
        <v>680</v>
      </c>
      <c r="E291" s="23" t="s">
        <v>414</v>
      </c>
      <c r="F291" s="82">
        <v>6</v>
      </c>
      <c r="G291" s="47">
        <v>335</v>
      </c>
      <c r="H291" s="165">
        <f t="shared" si="21"/>
        <v>2010</v>
      </c>
      <c r="I291" s="296" t="s">
        <v>170</v>
      </c>
      <c r="J291" s="436" t="s">
        <v>121</v>
      </c>
      <c r="K291" s="30">
        <v>43564</v>
      </c>
      <c r="L291" s="30"/>
      <c r="M291" s="29">
        <v>43546</v>
      </c>
      <c r="N291" s="63" t="s">
        <v>89</v>
      </c>
      <c r="O291" s="93" t="s">
        <v>2257</v>
      </c>
      <c r="P291" s="468"/>
      <c r="Q291" s="468">
        <v>1827</v>
      </c>
      <c r="R291" s="468"/>
      <c r="S291" s="468"/>
      <c r="T291" s="648"/>
      <c r="U291" s="648">
        <f>1827*1090921/35390.78</f>
        <v>56317.285660276495</v>
      </c>
      <c r="V291" s="35" t="s">
        <v>93</v>
      </c>
      <c r="W291" s="435">
        <v>43585</v>
      </c>
      <c r="X291" s="293">
        <v>43545</v>
      </c>
      <c r="Y291" s="294" t="s">
        <v>681</v>
      </c>
      <c r="Z291" s="294" t="s">
        <v>2262</v>
      </c>
      <c r="AA291" s="300">
        <v>43586</v>
      </c>
      <c r="AB291" s="53" t="s">
        <v>2258</v>
      </c>
      <c r="AC291" s="53" t="s">
        <v>2259</v>
      </c>
      <c r="AD291" s="53"/>
      <c r="AE291" s="53"/>
      <c r="AF291" s="53"/>
      <c r="AG291" s="54"/>
      <c r="AH291" s="54">
        <v>30.77</v>
      </c>
      <c r="AI291" s="55">
        <f t="shared" si="22"/>
        <v>61847.7</v>
      </c>
      <c r="AJ291" s="56">
        <v>43563</v>
      </c>
      <c r="AK291" s="55" t="s">
        <v>2264</v>
      </c>
      <c r="AL291" s="55" t="s">
        <v>2265</v>
      </c>
      <c r="AM291" s="54" t="s">
        <v>49</v>
      </c>
      <c r="AN291" s="24" t="s">
        <v>284</v>
      </c>
      <c r="AO291" s="54" t="s">
        <v>50</v>
      </c>
      <c r="AP291" s="54" t="s">
        <v>51</v>
      </c>
      <c r="AQ291" s="57" t="s">
        <v>397</v>
      </c>
    </row>
    <row r="292" spans="1:43" ht="15.75" customHeight="1">
      <c r="A292" s="69">
        <v>43514</v>
      </c>
      <c r="B292" s="70" t="s">
        <v>118</v>
      </c>
      <c r="C292" s="21" t="s">
        <v>679</v>
      </c>
      <c r="D292" s="21" t="s">
        <v>680</v>
      </c>
      <c r="E292" s="23" t="s">
        <v>324</v>
      </c>
      <c r="F292" s="82">
        <v>8</v>
      </c>
      <c r="G292" s="47">
        <v>577</v>
      </c>
      <c r="H292" s="165">
        <f t="shared" si="21"/>
        <v>4616</v>
      </c>
      <c r="I292" s="296" t="s">
        <v>170</v>
      </c>
      <c r="J292" s="82" t="s">
        <v>121</v>
      </c>
      <c r="K292" s="30">
        <v>43564</v>
      </c>
      <c r="L292" s="30"/>
      <c r="M292" s="29">
        <v>43546</v>
      </c>
      <c r="N292" s="50" t="s">
        <v>89</v>
      </c>
      <c r="O292" s="93" t="s">
        <v>2257</v>
      </c>
      <c r="P292" s="468"/>
      <c r="Q292" s="468">
        <v>4258.8</v>
      </c>
      <c r="R292" s="468"/>
      <c r="S292" s="468"/>
      <c r="T292" s="648"/>
      <c r="U292" s="648">
        <f>4258.8*1090921/35390.78</f>
        <v>131277.53484947211</v>
      </c>
      <c r="V292" s="51" t="s">
        <v>93</v>
      </c>
      <c r="W292" s="435">
        <v>43585</v>
      </c>
      <c r="X292" s="293">
        <v>43545</v>
      </c>
      <c r="Y292" s="294" t="s">
        <v>681</v>
      </c>
      <c r="Z292" s="294" t="s">
        <v>2262</v>
      </c>
      <c r="AA292" s="300">
        <v>43586</v>
      </c>
      <c r="AB292" s="304" t="s">
        <v>2258</v>
      </c>
      <c r="AC292" s="304" t="s">
        <v>2259</v>
      </c>
      <c r="AD292" s="304"/>
      <c r="AE292" s="304"/>
      <c r="AF292" s="304"/>
      <c r="AG292" s="296"/>
      <c r="AH292" s="296">
        <v>30.77</v>
      </c>
      <c r="AI292" s="297">
        <f t="shared" si="22"/>
        <v>142034.32</v>
      </c>
      <c r="AJ292" s="145">
        <v>43589</v>
      </c>
      <c r="AK292" s="297">
        <f>16625.68*30.875</f>
        <v>513317.87</v>
      </c>
      <c r="AL292" s="297">
        <f>(16646-16625.68)*30.875</f>
        <v>627.37999999999101</v>
      </c>
      <c r="AM292" s="296" t="s">
        <v>49</v>
      </c>
      <c r="AN292" s="296" t="s">
        <v>284</v>
      </c>
      <c r="AO292" s="296" t="s">
        <v>50</v>
      </c>
      <c r="AP292" s="296" t="s">
        <v>51</v>
      </c>
      <c r="AQ292" s="234" t="s">
        <v>304</v>
      </c>
    </row>
    <row r="293" spans="1:43" ht="15.75" customHeight="1">
      <c r="A293" s="69">
        <v>43514</v>
      </c>
      <c r="B293" s="70" t="s">
        <v>118</v>
      </c>
      <c r="C293" s="21" t="s">
        <v>679</v>
      </c>
      <c r="D293" s="21" t="s">
        <v>680</v>
      </c>
      <c r="E293" s="23" t="s">
        <v>120</v>
      </c>
      <c r="F293" s="82">
        <v>25</v>
      </c>
      <c r="G293" s="47">
        <v>359</v>
      </c>
      <c r="H293" s="165">
        <f t="shared" si="21"/>
        <v>8975</v>
      </c>
      <c r="I293" s="296" t="s">
        <v>170</v>
      </c>
      <c r="J293" s="82" t="s">
        <v>121</v>
      </c>
      <c r="K293" s="30">
        <v>43564</v>
      </c>
      <c r="L293" s="30"/>
      <c r="M293" s="645">
        <v>43546</v>
      </c>
      <c r="N293" s="646" t="s">
        <v>89</v>
      </c>
      <c r="O293" s="608" t="s">
        <v>2257</v>
      </c>
      <c r="P293" s="473"/>
      <c r="Q293" s="473">
        <v>8715</v>
      </c>
      <c r="R293" s="473"/>
      <c r="S293" s="473"/>
      <c r="T293" s="647"/>
      <c r="U293" s="647">
        <f>8715*1090921/35390.78</f>
        <v>268639.92585074418</v>
      </c>
      <c r="V293" s="641" t="s">
        <v>93</v>
      </c>
      <c r="W293" s="435">
        <v>43585</v>
      </c>
      <c r="X293" s="293">
        <v>43545</v>
      </c>
      <c r="Y293" s="294" t="s">
        <v>681</v>
      </c>
      <c r="Z293" s="294" t="s">
        <v>2262</v>
      </c>
      <c r="AA293" s="300">
        <v>43586</v>
      </c>
      <c r="AB293" s="294" t="s">
        <v>2258</v>
      </c>
      <c r="AC293" s="294" t="s">
        <v>2259</v>
      </c>
      <c r="AD293" s="294"/>
      <c r="AE293" s="294"/>
      <c r="AF293" s="294"/>
      <c r="AG293" s="369"/>
      <c r="AH293" s="369">
        <v>30.77</v>
      </c>
      <c r="AI293" s="370">
        <f t="shared" si="22"/>
        <v>276160.75</v>
      </c>
      <c r="AJ293" s="371">
        <v>43615</v>
      </c>
      <c r="AK293" s="370" t="s">
        <v>2263</v>
      </c>
      <c r="AL293" s="370" t="s">
        <v>2263</v>
      </c>
      <c r="AM293" s="369" t="s">
        <v>49</v>
      </c>
      <c r="AN293" s="369" t="s">
        <v>284</v>
      </c>
      <c r="AO293" s="369" t="s">
        <v>50</v>
      </c>
      <c r="AP293" s="369" t="s">
        <v>51</v>
      </c>
      <c r="AQ293" s="372" t="s">
        <v>439</v>
      </c>
    </row>
    <row r="294" spans="1:43" ht="15.75" customHeight="1">
      <c r="A294" s="69">
        <v>43515</v>
      </c>
      <c r="B294" s="70" t="s">
        <v>100</v>
      </c>
      <c r="C294" s="21"/>
      <c r="D294" s="21" t="s">
        <v>683</v>
      </c>
      <c r="E294" s="23" t="s">
        <v>684</v>
      </c>
      <c r="F294" s="24">
        <v>4</v>
      </c>
      <c r="G294" s="48">
        <v>399</v>
      </c>
      <c r="H294" s="26">
        <f t="shared" si="21"/>
        <v>1596</v>
      </c>
      <c r="I294" s="87" t="s">
        <v>302</v>
      </c>
      <c r="J294" s="50" t="s">
        <v>532</v>
      </c>
      <c r="K294" s="29">
        <v>43531</v>
      </c>
      <c r="L294" s="29"/>
      <c r="M294" s="205">
        <v>43521</v>
      </c>
      <c r="N294" s="63" t="s">
        <v>2266</v>
      </c>
      <c r="O294" s="93" t="s">
        <v>2267</v>
      </c>
      <c r="P294" s="34"/>
      <c r="Q294" s="34"/>
      <c r="R294" s="34"/>
      <c r="S294" s="34"/>
      <c r="T294" s="620"/>
      <c r="U294" s="620">
        <v>43260</v>
      </c>
      <c r="V294" s="22" t="s">
        <v>2268</v>
      </c>
      <c r="W294" s="293">
        <v>43529</v>
      </c>
      <c r="X294" s="293">
        <v>43519</v>
      </c>
      <c r="Y294" s="294" t="s">
        <v>685</v>
      </c>
      <c r="Z294" s="295">
        <v>43260</v>
      </c>
      <c r="AA294" s="293">
        <v>43531</v>
      </c>
      <c r="AB294" s="53" t="s">
        <v>2269</v>
      </c>
      <c r="AC294" s="53">
        <v>2203364822</v>
      </c>
      <c r="AD294" s="53"/>
      <c r="AE294" s="53"/>
      <c r="AF294" s="53"/>
      <c r="AG294" s="54"/>
      <c r="AH294" s="54">
        <v>30.74</v>
      </c>
      <c r="AI294" s="55"/>
      <c r="AJ294" s="56">
        <v>43565</v>
      </c>
      <c r="AK294" s="38" t="s">
        <v>2039</v>
      </c>
      <c r="AL294" s="38" t="s">
        <v>2040</v>
      </c>
      <c r="AM294" s="54" t="s">
        <v>49</v>
      </c>
      <c r="AN294" s="24" t="s">
        <v>284</v>
      </c>
      <c r="AO294" s="54" t="s">
        <v>50</v>
      </c>
      <c r="AP294" s="54" t="s">
        <v>51</v>
      </c>
      <c r="AQ294" s="57" t="s">
        <v>397</v>
      </c>
    </row>
    <row r="295" spans="1:43" ht="15.75" customHeight="1">
      <c r="A295" s="69">
        <v>43515</v>
      </c>
      <c r="B295" s="70" t="s">
        <v>100</v>
      </c>
      <c r="C295" s="21"/>
      <c r="D295" s="21" t="s">
        <v>686</v>
      </c>
      <c r="E295" s="23" t="s">
        <v>687</v>
      </c>
      <c r="F295" s="24">
        <v>2</v>
      </c>
      <c r="G295" s="48">
        <v>399</v>
      </c>
      <c r="H295" s="26">
        <f t="shared" si="21"/>
        <v>798</v>
      </c>
      <c r="I295" s="87" t="s">
        <v>302</v>
      </c>
      <c r="J295" s="50" t="s">
        <v>532</v>
      </c>
      <c r="K295" s="29">
        <v>43531</v>
      </c>
      <c r="L295" s="29"/>
      <c r="M295" s="30">
        <v>43529</v>
      </c>
      <c r="N295" s="63" t="s">
        <v>2266</v>
      </c>
      <c r="O295" s="93" t="s">
        <v>2267</v>
      </c>
      <c r="P295" s="34"/>
      <c r="Q295" s="34"/>
      <c r="R295" s="34"/>
      <c r="S295" s="34"/>
      <c r="T295" s="620"/>
      <c r="U295" s="620">
        <v>21630</v>
      </c>
      <c r="V295" s="22" t="s">
        <v>2268</v>
      </c>
      <c r="W295" s="293">
        <v>43560</v>
      </c>
      <c r="X295" s="293">
        <v>43529</v>
      </c>
      <c r="Y295" s="294" t="s">
        <v>688</v>
      </c>
      <c r="Z295" s="295">
        <v>21630</v>
      </c>
      <c r="AA295" s="293">
        <v>43558</v>
      </c>
      <c r="AB295" s="53" t="s">
        <v>2269</v>
      </c>
      <c r="AC295" s="53">
        <v>2203364822</v>
      </c>
      <c r="AD295" s="53"/>
      <c r="AE295" s="53"/>
      <c r="AF295" s="53"/>
      <c r="AG295" s="54"/>
      <c r="AH295" s="54">
        <v>30.74</v>
      </c>
      <c r="AI295" s="55"/>
      <c r="AJ295" s="56">
        <v>43565</v>
      </c>
      <c r="AK295" s="38" t="s">
        <v>2039</v>
      </c>
      <c r="AL295" s="38" t="s">
        <v>2040</v>
      </c>
      <c r="AM295" s="54" t="s">
        <v>49</v>
      </c>
      <c r="AN295" s="24" t="s">
        <v>284</v>
      </c>
      <c r="AO295" s="54" t="s">
        <v>50</v>
      </c>
      <c r="AP295" s="54" t="s">
        <v>51</v>
      </c>
      <c r="AQ295" s="57" t="s">
        <v>397</v>
      </c>
    </row>
    <row r="296" spans="1:43" ht="15.75" customHeight="1">
      <c r="A296" s="69">
        <v>43515</v>
      </c>
      <c r="B296" s="144" t="s">
        <v>463</v>
      </c>
      <c r="C296" s="250" t="s">
        <v>689</v>
      </c>
      <c r="D296" s="250" t="s">
        <v>690</v>
      </c>
      <c r="E296" s="23" t="s">
        <v>691</v>
      </c>
      <c r="F296" s="251">
        <v>1</v>
      </c>
      <c r="G296" s="252">
        <v>470</v>
      </c>
      <c r="H296" s="334">
        <f t="shared" si="21"/>
        <v>470</v>
      </c>
      <c r="I296" s="264" t="s">
        <v>170</v>
      </c>
      <c r="J296" s="251" t="s">
        <v>466</v>
      </c>
      <c r="K296" s="256">
        <v>43550</v>
      </c>
      <c r="L296" s="256"/>
      <c r="M296" s="256">
        <v>43550</v>
      </c>
      <c r="N296" s="597"/>
      <c r="O296" s="595" t="s">
        <v>2270</v>
      </c>
      <c r="P296" s="593"/>
      <c r="Q296" s="593"/>
      <c r="R296" s="593"/>
      <c r="S296" s="593"/>
      <c r="T296" s="593"/>
      <c r="U296" s="593"/>
      <c r="V296" s="328"/>
      <c r="W296" s="337"/>
      <c r="X296" s="329"/>
      <c r="Y296" s="329"/>
      <c r="Z296" s="329"/>
      <c r="AA296" s="329"/>
      <c r="AB296" s="329" t="s">
        <v>2219</v>
      </c>
      <c r="AC296" s="329">
        <v>258891835</v>
      </c>
      <c r="AD296" s="329"/>
      <c r="AE296" s="329"/>
      <c r="AF296" s="329"/>
      <c r="AG296" s="251"/>
      <c r="AH296" s="251">
        <v>30.824999999999999</v>
      </c>
      <c r="AI296" s="260"/>
      <c r="AJ296" s="305"/>
      <c r="AK296" s="260">
        <f>495*30.76-200</f>
        <v>15026.2</v>
      </c>
      <c r="AL296" s="260">
        <v>200</v>
      </c>
      <c r="AM296" s="251" t="s">
        <v>49</v>
      </c>
      <c r="AN296" s="251" t="s">
        <v>284</v>
      </c>
      <c r="AO296" s="251" t="s">
        <v>285</v>
      </c>
      <c r="AP296" s="251" t="s">
        <v>51</v>
      </c>
      <c r="AQ296" s="262"/>
    </row>
    <row r="297" spans="1:43" ht="15.75" customHeight="1">
      <c r="A297" s="69">
        <v>43515</v>
      </c>
      <c r="B297" s="147" t="s">
        <v>463</v>
      </c>
      <c r="C297" s="250" t="s">
        <v>689</v>
      </c>
      <c r="D297" s="250" t="s">
        <v>690</v>
      </c>
      <c r="E297" s="23" t="s">
        <v>692</v>
      </c>
      <c r="F297" s="251">
        <v>1</v>
      </c>
      <c r="G297" s="252">
        <f>25</f>
        <v>25</v>
      </c>
      <c r="H297" s="334">
        <f t="shared" si="21"/>
        <v>25</v>
      </c>
      <c r="I297" s="264" t="s">
        <v>170</v>
      </c>
      <c r="J297" s="393" t="s">
        <v>466</v>
      </c>
      <c r="K297" s="256">
        <v>43550</v>
      </c>
      <c r="L297" s="256"/>
      <c r="M297" s="624"/>
      <c r="N297" s="367" t="s">
        <v>1074</v>
      </c>
      <c r="O297" s="595"/>
      <c r="P297" s="593"/>
      <c r="Q297" s="593"/>
      <c r="R297" s="593"/>
      <c r="S297" s="593"/>
      <c r="T297" s="593"/>
      <c r="U297" s="593"/>
      <c r="V297" s="386"/>
      <c r="W297" s="337"/>
      <c r="X297" s="329"/>
      <c r="Y297" s="329"/>
      <c r="Z297" s="329"/>
      <c r="AA297" s="329"/>
      <c r="AB297" s="329" t="s">
        <v>2219</v>
      </c>
      <c r="AC297" s="329">
        <v>258891835</v>
      </c>
      <c r="AD297" s="329"/>
      <c r="AE297" s="329"/>
      <c r="AF297" s="329"/>
      <c r="AG297" s="251"/>
      <c r="AH297" s="251">
        <v>30.824999999999999</v>
      </c>
      <c r="AI297" s="260"/>
      <c r="AJ297" s="251"/>
      <c r="AK297" s="260" t="s">
        <v>2271</v>
      </c>
      <c r="AL297" s="260" t="s">
        <v>2271</v>
      </c>
      <c r="AM297" s="251" t="s">
        <v>49</v>
      </c>
      <c r="AN297" s="251" t="s">
        <v>284</v>
      </c>
      <c r="AO297" s="251" t="s">
        <v>285</v>
      </c>
      <c r="AP297" s="251" t="s">
        <v>51</v>
      </c>
      <c r="AQ297" s="262"/>
    </row>
    <row r="298" spans="1:43" ht="15.75" customHeight="1">
      <c r="A298" s="69">
        <v>43515</v>
      </c>
      <c r="B298" s="21" t="s">
        <v>100</v>
      </c>
      <c r="C298" s="21"/>
      <c r="D298" s="21" t="s">
        <v>693</v>
      </c>
      <c r="E298" s="23" t="s">
        <v>694</v>
      </c>
      <c r="F298" s="24">
        <v>2</v>
      </c>
      <c r="G298" s="47">
        <v>994</v>
      </c>
      <c r="H298" s="60">
        <f t="shared" si="21"/>
        <v>1988</v>
      </c>
      <c r="I298" s="87" t="s">
        <v>695</v>
      </c>
      <c r="J298" s="437" t="s">
        <v>532</v>
      </c>
      <c r="K298" s="29">
        <v>43536</v>
      </c>
      <c r="L298" s="29"/>
      <c r="M298" s="30">
        <v>43532</v>
      </c>
      <c r="N298" s="405" t="s">
        <v>2272</v>
      </c>
      <c r="O298" s="93" t="s">
        <v>2273</v>
      </c>
      <c r="P298" s="406"/>
      <c r="Q298" s="406"/>
      <c r="R298" s="406"/>
      <c r="S298" s="406"/>
      <c r="T298" s="406"/>
      <c r="U298" s="406">
        <v>56603</v>
      </c>
      <c r="V298" s="650" t="s">
        <v>2274</v>
      </c>
      <c r="W298" s="293">
        <v>43560</v>
      </c>
      <c r="X298" s="293">
        <v>43531</v>
      </c>
      <c r="Y298" s="294" t="s">
        <v>696</v>
      </c>
      <c r="Z298" s="295">
        <v>56603</v>
      </c>
      <c r="AA298" s="293">
        <v>43564</v>
      </c>
      <c r="AB298" s="304" t="s">
        <v>1955</v>
      </c>
      <c r="AC298" s="304">
        <v>3455779600</v>
      </c>
      <c r="AD298" s="304"/>
      <c r="AE298" s="304"/>
      <c r="AF298" s="304"/>
      <c r="AG298" s="296"/>
      <c r="AH298" s="296">
        <v>30.79</v>
      </c>
      <c r="AI298" s="297"/>
      <c r="AJ298" s="298">
        <v>43587</v>
      </c>
      <c r="AK298" s="297" t="s">
        <v>1957</v>
      </c>
      <c r="AL298" s="297" t="s">
        <v>1958</v>
      </c>
      <c r="AM298" s="296" t="s">
        <v>49</v>
      </c>
      <c r="AN298" s="296" t="s">
        <v>284</v>
      </c>
      <c r="AO298" s="296" t="s">
        <v>50</v>
      </c>
      <c r="AP298" s="296" t="s">
        <v>51</v>
      </c>
      <c r="AQ298" s="234" t="s">
        <v>304</v>
      </c>
    </row>
    <row r="299" spans="1:43" ht="15.75" customHeight="1">
      <c r="A299" s="69">
        <v>43516</v>
      </c>
      <c r="B299" s="147" t="s">
        <v>166</v>
      </c>
      <c r="C299" s="427"/>
      <c r="D299" s="427" t="s">
        <v>697</v>
      </c>
      <c r="E299" s="23" t="s">
        <v>500</v>
      </c>
      <c r="F299" s="438">
        <v>2</v>
      </c>
      <c r="G299" s="439">
        <v>132</v>
      </c>
      <c r="H299" s="440">
        <f t="shared" si="21"/>
        <v>264</v>
      </c>
      <c r="I299" s="441" t="s">
        <v>104</v>
      </c>
      <c r="J299" s="442" t="s">
        <v>171</v>
      </c>
      <c r="K299" s="443">
        <v>43538</v>
      </c>
      <c r="L299" s="443"/>
      <c r="M299" s="443">
        <v>43523</v>
      </c>
      <c r="N299" s="651" t="s">
        <v>177</v>
      </c>
      <c r="O299" s="427" t="s">
        <v>2275</v>
      </c>
      <c r="P299" s="652"/>
      <c r="Q299" s="652"/>
      <c r="R299" s="652"/>
      <c r="S299" s="652"/>
      <c r="T299" s="653"/>
      <c r="U299" s="654">
        <v>5953.5</v>
      </c>
      <c r="V299" s="655" t="s">
        <v>1954</v>
      </c>
      <c r="W299" s="444">
        <v>43590</v>
      </c>
      <c r="X299" s="445" t="s">
        <v>698</v>
      </c>
      <c r="Y299" s="445" t="s">
        <v>698</v>
      </c>
      <c r="Z299" s="445" t="s">
        <v>698</v>
      </c>
      <c r="AA299" s="444">
        <v>43592</v>
      </c>
      <c r="AB299" s="656" t="s">
        <v>2276</v>
      </c>
      <c r="AC299" s="656">
        <v>4604850272</v>
      </c>
      <c r="AD299" s="656"/>
      <c r="AE299" s="656"/>
      <c r="AF299" s="656"/>
      <c r="AG299" s="438"/>
      <c r="AH299" s="438"/>
      <c r="AI299" s="446"/>
      <c r="AJ299" s="438"/>
      <c r="AK299" s="446" t="s">
        <v>2277</v>
      </c>
      <c r="AL299" s="260" t="s">
        <v>2278</v>
      </c>
      <c r="AM299" s="251" t="s">
        <v>49</v>
      </c>
      <c r="AN299" s="251" t="s">
        <v>284</v>
      </c>
      <c r="AO299" s="438" t="s">
        <v>285</v>
      </c>
      <c r="AP299" s="438" t="s">
        <v>51</v>
      </c>
      <c r="AQ299" s="447"/>
    </row>
    <row r="300" spans="1:43" ht="15.75" customHeight="1">
      <c r="A300" s="69">
        <v>43516</v>
      </c>
      <c r="B300" s="147" t="s">
        <v>166</v>
      </c>
      <c r="C300" s="250"/>
      <c r="D300" s="250" t="s">
        <v>697</v>
      </c>
      <c r="E300" s="23" t="s">
        <v>699</v>
      </c>
      <c r="F300" s="251">
        <v>2</v>
      </c>
      <c r="G300" s="252">
        <v>1155</v>
      </c>
      <c r="H300" s="334">
        <f t="shared" si="21"/>
        <v>2310</v>
      </c>
      <c r="I300" s="264" t="s">
        <v>104</v>
      </c>
      <c r="J300" s="255" t="s">
        <v>171</v>
      </c>
      <c r="K300" s="256">
        <v>43538</v>
      </c>
      <c r="L300" s="256"/>
      <c r="M300" s="256">
        <v>43538</v>
      </c>
      <c r="N300" s="597"/>
      <c r="O300" s="250" t="s">
        <v>2279</v>
      </c>
      <c r="P300" s="593"/>
      <c r="Q300" s="593"/>
      <c r="R300" s="593"/>
      <c r="S300" s="593"/>
      <c r="T300" s="593"/>
      <c r="U300" s="593"/>
      <c r="V300" s="386"/>
      <c r="W300" s="337"/>
      <c r="X300" s="329"/>
      <c r="Y300" s="329"/>
      <c r="Z300" s="329"/>
      <c r="AA300" s="329"/>
      <c r="AB300" s="329" t="s">
        <v>2276</v>
      </c>
      <c r="AC300" s="329">
        <v>4604850272</v>
      </c>
      <c r="AD300" s="329"/>
      <c r="AE300" s="329"/>
      <c r="AF300" s="329"/>
      <c r="AG300" s="251"/>
      <c r="AH300" s="251"/>
      <c r="AI300" s="260"/>
      <c r="AJ300" s="251"/>
      <c r="AK300" s="260">
        <f>(2590-6.5)*30.76</f>
        <v>79468.460000000006</v>
      </c>
      <c r="AL300" s="260">
        <f>(40+6.5)*30.76</f>
        <v>1430.3400000000001</v>
      </c>
      <c r="AM300" s="251" t="s">
        <v>49</v>
      </c>
      <c r="AN300" s="251" t="s">
        <v>284</v>
      </c>
      <c r="AO300" s="251" t="s">
        <v>285</v>
      </c>
      <c r="AP300" s="251" t="s">
        <v>51</v>
      </c>
      <c r="AQ300" s="262"/>
    </row>
    <row r="301" spans="1:43" ht="15.75" customHeight="1">
      <c r="A301" s="69">
        <v>43516</v>
      </c>
      <c r="B301" s="147" t="s">
        <v>166</v>
      </c>
      <c r="C301" s="250"/>
      <c r="D301" s="250" t="s">
        <v>697</v>
      </c>
      <c r="E301" s="23" t="s">
        <v>497</v>
      </c>
      <c r="F301" s="251">
        <v>2</v>
      </c>
      <c r="G301" s="252">
        <v>28</v>
      </c>
      <c r="H301" s="334">
        <f t="shared" si="21"/>
        <v>56</v>
      </c>
      <c r="I301" s="264" t="s">
        <v>104</v>
      </c>
      <c r="J301" s="255" t="s">
        <v>171</v>
      </c>
      <c r="K301" s="256">
        <v>43538</v>
      </c>
      <c r="L301" s="256"/>
      <c r="M301" s="594"/>
      <c r="N301" s="597"/>
      <c r="O301" s="250" t="s">
        <v>2279</v>
      </c>
      <c r="P301" s="593"/>
      <c r="Q301" s="593"/>
      <c r="R301" s="593"/>
      <c r="S301" s="593"/>
      <c r="T301" s="593"/>
      <c r="U301" s="593"/>
      <c r="V301" s="386"/>
      <c r="W301" s="337"/>
      <c r="X301" s="329"/>
      <c r="Y301" s="329"/>
      <c r="Z301" s="329"/>
      <c r="AA301" s="329"/>
      <c r="AB301" s="329" t="s">
        <v>2276</v>
      </c>
      <c r="AC301" s="329">
        <v>4604850272</v>
      </c>
      <c r="AD301" s="329"/>
      <c r="AE301" s="329"/>
      <c r="AF301" s="329"/>
      <c r="AG301" s="251"/>
      <c r="AH301" s="251"/>
      <c r="AI301" s="260"/>
      <c r="AJ301" s="251"/>
      <c r="AK301" s="260" t="s">
        <v>2277</v>
      </c>
      <c r="AL301" s="260" t="s">
        <v>2278</v>
      </c>
      <c r="AM301" s="251" t="s">
        <v>49</v>
      </c>
      <c r="AN301" s="251" t="s">
        <v>284</v>
      </c>
      <c r="AO301" s="251" t="s">
        <v>285</v>
      </c>
      <c r="AP301" s="251" t="s">
        <v>51</v>
      </c>
      <c r="AQ301" s="262"/>
    </row>
    <row r="302" spans="1:43" ht="15.75" customHeight="1">
      <c r="A302" s="19">
        <v>43517</v>
      </c>
      <c r="B302" s="22" t="s">
        <v>325</v>
      </c>
      <c r="C302" s="21">
        <v>2027687</v>
      </c>
      <c r="D302" s="22" t="s">
        <v>700</v>
      </c>
      <c r="E302" s="23" t="s">
        <v>327</v>
      </c>
      <c r="F302" s="24">
        <v>5</v>
      </c>
      <c r="G302" s="48">
        <v>607</v>
      </c>
      <c r="H302" s="26">
        <f t="shared" si="21"/>
        <v>3035</v>
      </c>
      <c r="I302" s="49" t="s">
        <v>42</v>
      </c>
      <c r="J302" s="448" t="s">
        <v>328</v>
      </c>
      <c r="K302" s="29">
        <v>43552</v>
      </c>
      <c r="L302" s="29"/>
      <c r="M302" s="30">
        <v>43545</v>
      </c>
      <c r="N302" s="58" t="s">
        <v>53</v>
      </c>
      <c r="O302" s="32" t="s">
        <v>2280</v>
      </c>
      <c r="P302" s="41"/>
      <c r="Q302" s="41">
        <v>2966.25</v>
      </c>
      <c r="R302" s="41"/>
      <c r="S302" s="41"/>
      <c r="T302" s="41"/>
      <c r="U302" s="41">
        <v>91642</v>
      </c>
      <c r="V302" s="23" t="s">
        <v>55</v>
      </c>
      <c r="W302" s="435">
        <v>43585</v>
      </c>
      <c r="X302" s="411">
        <v>43544</v>
      </c>
      <c r="Y302" s="340" t="s">
        <v>701</v>
      </c>
      <c r="Z302" s="412">
        <v>259063</v>
      </c>
      <c r="AA302" s="449">
        <v>43588</v>
      </c>
      <c r="AB302" s="37" t="s">
        <v>2281</v>
      </c>
      <c r="AC302" s="37">
        <v>625630</v>
      </c>
      <c r="AD302" s="37"/>
      <c r="AE302" s="37"/>
      <c r="AF302" s="37"/>
      <c r="AG302" s="24"/>
      <c r="AH302" s="24"/>
      <c r="AI302" s="38"/>
      <c r="AJ302" s="24"/>
      <c r="AK302" s="38"/>
      <c r="AL302" s="38"/>
      <c r="AM302" s="24" t="s">
        <v>49</v>
      </c>
      <c r="AN302" s="24" t="s">
        <v>284</v>
      </c>
      <c r="AO302" s="24" t="s">
        <v>50</v>
      </c>
      <c r="AP302" s="24" t="s">
        <v>51</v>
      </c>
      <c r="AQ302" s="40" t="s">
        <v>397</v>
      </c>
    </row>
    <row r="303" spans="1:43" ht="15.75" customHeight="1">
      <c r="A303" s="19">
        <v>43517</v>
      </c>
      <c r="B303" s="22" t="s">
        <v>325</v>
      </c>
      <c r="C303" s="21">
        <v>2027687</v>
      </c>
      <c r="D303" s="22" t="s">
        <v>700</v>
      </c>
      <c r="E303" s="23" t="s">
        <v>702</v>
      </c>
      <c r="F303" s="24">
        <v>5</v>
      </c>
      <c r="G303" s="48">
        <v>27</v>
      </c>
      <c r="H303" s="26">
        <f t="shared" si="21"/>
        <v>135</v>
      </c>
      <c r="I303" s="49" t="s">
        <v>42</v>
      </c>
      <c r="J303" s="448" t="s">
        <v>328</v>
      </c>
      <c r="K303" s="29">
        <v>43552</v>
      </c>
      <c r="L303" s="29"/>
      <c r="M303" s="30">
        <v>43545</v>
      </c>
      <c r="N303" s="58" t="s">
        <v>53</v>
      </c>
      <c r="O303" s="32" t="s">
        <v>2280</v>
      </c>
      <c r="P303" s="41"/>
      <c r="Q303" s="41">
        <v>131.25</v>
      </c>
      <c r="R303" s="41"/>
      <c r="S303" s="41"/>
      <c r="T303" s="41"/>
      <c r="U303" s="41">
        <v>4055</v>
      </c>
      <c r="V303" s="23" t="s">
        <v>55</v>
      </c>
      <c r="W303" s="435">
        <v>43585</v>
      </c>
      <c r="X303" s="411">
        <v>43544</v>
      </c>
      <c r="Y303" s="340" t="s">
        <v>701</v>
      </c>
      <c r="Z303" s="340" t="s">
        <v>2282</v>
      </c>
      <c r="AA303" s="449">
        <v>43588</v>
      </c>
      <c r="AB303" s="37" t="s">
        <v>2281</v>
      </c>
      <c r="AC303" s="37">
        <v>625630</v>
      </c>
      <c r="AD303" s="37"/>
      <c r="AE303" s="37"/>
      <c r="AF303" s="37"/>
      <c r="AG303" s="24"/>
      <c r="AH303" s="24"/>
      <c r="AI303" s="38"/>
      <c r="AJ303" s="24"/>
      <c r="AK303" s="38"/>
      <c r="AL303" s="38"/>
      <c r="AM303" s="24" t="s">
        <v>49</v>
      </c>
      <c r="AN303" s="24" t="s">
        <v>284</v>
      </c>
      <c r="AO303" s="24" t="s">
        <v>50</v>
      </c>
      <c r="AP303" s="24" t="s">
        <v>51</v>
      </c>
      <c r="AQ303" s="40" t="s">
        <v>397</v>
      </c>
    </row>
    <row r="304" spans="1:43" ht="15.75" customHeight="1">
      <c r="A304" s="19">
        <v>43517</v>
      </c>
      <c r="B304" s="20" t="s">
        <v>325</v>
      </c>
      <c r="C304" s="21">
        <v>2027687</v>
      </c>
      <c r="D304" s="22" t="s">
        <v>700</v>
      </c>
      <c r="E304" s="23" t="s">
        <v>52</v>
      </c>
      <c r="F304" s="24">
        <v>10</v>
      </c>
      <c r="G304" s="48">
        <v>31</v>
      </c>
      <c r="H304" s="26">
        <f t="shared" si="21"/>
        <v>310</v>
      </c>
      <c r="I304" s="49" t="s">
        <v>42</v>
      </c>
      <c r="J304" s="161" t="s">
        <v>328</v>
      </c>
      <c r="K304" s="29">
        <v>43552</v>
      </c>
      <c r="L304" s="29"/>
      <c r="M304" s="30">
        <v>43545</v>
      </c>
      <c r="N304" s="58" t="s">
        <v>53</v>
      </c>
      <c r="O304" s="32" t="s">
        <v>2280</v>
      </c>
      <c r="P304" s="41"/>
      <c r="Q304" s="41">
        <v>226.8</v>
      </c>
      <c r="R304" s="41"/>
      <c r="S304" s="41"/>
      <c r="T304" s="41"/>
      <c r="U304" s="41">
        <v>7007</v>
      </c>
      <c r="V304" s="32" t="s">
        <v>55</v>
      </c>
      <c r="W304" s="435">
        <v>43585</v>
      </c>
      <c r="X304" s="411">
        <v>43544</v>
      </c>
      <c r="Y304" s="340" t="s">
        <v>701</v>
      </c>
      <c r="Z304" s="340" t="s">
        <v>2282</v>
      </c>
      <c r="AA304" s="449">
        <v>43588</v>
      </c>
      <c r="AB304" s="37" t="s">
        <v>2281</v>
      </c>
      <c r="AC304" s="37">
        <v>625630</v>
      </c>
      <c r="AD304" s="37"/>
      <c r="AE304" s="37"/>
      <c r="AF304" s="37"/>
      <c r="AG304" s="24"/>
      <c r="AH304" s="24"/>
      <c r="AI304" s="38"/>
      <c r="AJ304" s="24"/>
      <c r="AK304" s="38"/>
      <c r="AL304" s="38"/>
      <c r="AM304" s="24" t="s">
        <v>49</v>
      </c>
      <c r="AN304" s="24" t="s">
        <v>284</v>
      </c>
      <c r="AO304" s="24" t="s">
        <v>50</v>
      </c>
      <c r="AP304" s="24" t="s">
        <v>51</v>
      </c>
      <c r="AQ304" s="40" t="s">
        <v>397</v>
      </c>
    </row>
    <row r="305" spans="1:43" ht="15.75" customHeight="1">
      <c r="A305" s="19">
        <v>43517</v>
      </c>
      <c r="B305" s="20" t="s">
        <v>325</v>
      </c>
      <c r="C305" s="21">
        <v>2027687</v>
      </c>
      <c r="D305" s="22" t="s">
        <v>700</v>
      </c>
      <c r="E305" s="23" t="s">
        <v>58</v>
      </c>
      <c r="F305" s="24">
        <v>10</v>
      </c>
      <c r="G305" s="48">
        <v>4</v>
      </c>
      <c r="H305" s="26">
        <f t="shared" si="21"/>
        <v>40</v>
      </c>
      <c r="I305" s="49" t="s">
        <v>42</v>
      </c>
      <c r="J305" s="161" t="s">
        <v>328</v>
      </c>
      <c r="K305" s="29">
        <v>43552</v>
      </c>
      <c r="L305" s="29"/>
      <c r="M305" s="30">
        <v>43545</v>
      </c>
      <c r="N305" s="58" t="s">
        <v>53</v>
      </c>
      <c r="O305" s="32" t="s">
        <v>2280</v>
      </c>
      <c r="P305" s="41"/>
      <c r="Q305" s="41">
        <v>21</v>
      </c>
      <c r="R305" s="41"/>
      <c r="S305" s="41"/>
      <c r="T305" s="41"/>
      <c r="U305" s="41">
        <v>649</v>
      </c>
      <c r="V305" s="32" t="s">
        <v>55</v>
      </c>
      <c r="W305" s="435">
        <v>43585</v>
      </c>
      <c r="X305" s="411">
        <v>43544</v>
      </c>
      <c r="Y305" s="340" t="s">
        <v>701</v>
      </c>
      <c r="Z305" s="340" t="s">
        <v>2282</v>
      </c>
      <c r="AA305" s="449">
        <v>43588</v>
      </c>
      <c r="AB305" s="37" t="s">
        <v>2281</v>
      </c>
      <c r="AC305" s="37">
        <v>625630</v>
      </c>
      <c r="AD305" s="37"/>
      <c r="AE305" s="37"/>
      <c r="AF305" s="37"/>
      <c r="AG305" s="24"/>
      <c r="AH305" s="24"/>
      <c r="AI305" s="38"/>
      <c r="AJ305" s="24"/>
      <c r="AK305" s="38"/>
      <c r="AL305" s="38"/>
      <c r="AM305" s="24" t="s">
        <v>49</v>
      </c>
      <c r="AN305" s="24" t="s">
        <v>284</v>
      </c>
      <c r="AO305" s="24" t="s">
        <v>50</v>
      </c>
      <c r="AP305" s="24" t="s">
        <v>51</v>
      </c>
      <c r="AQ305" s="40" t="s">
        <v>397</v>
      </c>
    </row>
    <row r="306" spans="1:43" ht="15.75" customHeight="1">
      <c r="A306" s="19">
        <v>43517</v>
      </c>
      <c r="B306" s="20" t="s">
        <v>325</v>
      </c>
      <c r="C306" s="21">
        <v>2027687</v>
      </c>
      <c r="D306" s="22" t="s">
        <v>700</v>
      </c>
      <c r="E306" s="23" t="s">
        <v>703</v>
      </c>
      <c r="F306" s="24">
        <v>10</v>
      </c>
      <c r="G306" s="48">
        <v>273</v>
      </c>
      <c r="H306" s="26">
        <f t="shared" si="21"/>
        <v>2730</v>
      </c>
      <c r="I306" s="49" t="s">
        <v>42</v>
      </c>
      <c r="J306" s="161" t="s">
        <v>328</v>
      </c>
      <c r="K306" s="29">
        <v>43552</v>
      </c>
      <c r="L306" s="29"/>
      <c r="M306" s="30">
        <v>43539</v>
      </c>
      <c r="N306" s="58" t="s">
        <v>44</v>
      </c>
      <c r="O306" s="32" t="s">
        <v>2283</v>
      </c>
      <c r="P306" s="47"/>
      <c r="Q306" s="47">
        <v>2184</v>
      </c>
      <c r="R306" s="47"/>
      <c r="S306" s="47"/>
      <c r="T306" s="620"/>
      <c r="U306" s="620">
        <v>67508</v>
      </c>
      <c r="V306" s="35" t="s">
        <v>46</v>
      </c>
      <c r="W306" s="435">
        <v>43568</v>
      </c>
      <c r="X306" s="411">
        <v>43538</v>
      </c>
      <c r="Y306" s="340" t="s">
        <v>704</v>
      </c>
      <c r="Z306" s="412">
        <v>67508</v>
      </c>
      <c r="AA306" s="411">
        <v>43568</v>
      </c>
      <c r="AB306" s="37" t="s">
        <v>2281</v>
      </c>
      <c r="AC306" s="37">
        <v>625630</v>
      </c>
      <c r="AD306" s="37"/>
      <c r="AE306" s="37"/>
      <c r="AF306" s="37"/>
      <c r="AG306" s="24"/>
      <c r="AH306" s="24"/>
      <c r="AI306" s="38"/>
      <c r="AJ306" s="24"/>
      <c r="AK306" s="38"/>
      <c r="AL306" s="38"/>
      <c r="AM306" s="24" t="s">
        <v>49</v>
      </c>
      <c r="AN306" s="24" t="s">
        <v>284</v>
      </c>
      <c r="AO306" s="24" t="s">
        <v>50</v>
      </c>
      <c r="AP306" s="24" t="s">
        <v>51</v>
      </c>
      <c r="AQ306" s="40" t="s">
        <v>397</v>
      </c>
    </row>
    <row r="307" spans="1:43" ht="15.75" customHeight="1">
      <c r="A307" s="19">
        <v>43517</v>
      </c>
      <c r="B307" s="20" t="s">
        <v>325</v>
      </c>
      <c r="C307" s="21">
        <v>2027687</v>
      </c>
      <c r="D307" s="41" t="s">
        <v>705</v>
      </c>
      <c r="E307" s="23" t="s">
        <v>60</v>
      </c>
      <c r="F307" s="24">
        <v>10</v>
      </c>
      <c r="G307" s="48">
        <v>542</v>
      </c>
      <c r="H307" s="26">
        <f t="shared" si="21"/>
        <v>5420</v>
      </c>
      <c r="I307" s="49" t="s">
        <v>42</v>
      </c>
      <c r="J307" s="347" t="s">
        <v>328</v>
      </c>
      <c r="K307" s="29">
        <v>43552</v>
      </c>
      <c r="L307" s="29"/>
      <c r="M307" s="30">
        <v>43545</v>
      </c>
      <c r="N307" s="58" t="s">
        <v>53</v>
      </c>
      <c r="O307" s="32" t="s">
        <v>2280</v>
      </c>
      <c r="P307" s="41"/>
      <c r="Q307" s="41">
        <v>5040</v>
      </c>
      <c r="R307" s="41"/>
      <c r="S307" s="41"/>
      <c r="T307" s="41"/>
      <c r="U307" s="41">
        <v>155710</v>
      </c>
      <c r="V307" s="32" t="s">
        <v>55</v>
      </c>
      <c r="W307" s="435">
        <v>43585</v>
      </c>
      <c r="X307" s="411">
        <v>43544</v>
      </c>
      <c r="Y307" s="340" t="s">
        <v>701</v>
      </c>
      <c r="Z307" s="340" t="s">
        <v>2282</v>
      </c>
      <c r="AA307" s="449">
        <v>43588</v>
      </c>
      <c r="AB307" s="37" t="s">
        <v>2281</v>
      </c>
      <c r="AC307" s="37">
        <v>625630</v>
      </c>
      <c r="AD307" s="37"/>
      <c r="AE307" s="37"/>
      <c r="AF307" s="37"/>
      <c r="AG307" s="24"/>
      <c r="AH307" s="24"/>
      <c r="AI307" s="38"/>
      <c r="AJ307" s="24"/>
      <c r="AK307" s="38"/>
      <c r="AL307" s="38"/>
      <c r="AM307" s="24" t="s">
        <v>49</v>
      </c>
      <c r="AN307" s="24" t="s">
        <v>284</v>
      </c>
      <c r="AO307" s="24" t="s">
        <v>50</v>
      </c>
      <c r="AP307" s="24" t="s">
        <v>51</v>
      </c>
      <c r="AQ307" s="40" t="s">
        <v>397</v>
      </c>
    </row>
    <row r="308" spans="1:43" ht="15.75" customHeight="1">
      <c r="A308" s="69">
        <v>43517</v>
      </c>
      <c r="B308" s="263" t="s">
        <v>129</v>
      </c>
      <c r="C308" s="250" t="s">
        <v>706</v>
      </c>
      <c r="D308" s="250" t="s">
        <v>707</v>
      </c>
      <c r="E308" s="23" t="s">
        <v>708</v>
      </c>
      <c r="F308" s="251">
        <v>10</v>
      </c>
      <c r="G308" s="252">
        <v>90</v>
      </c>
      <c r="H308" s="334">
        <v>900</v>
      </c>
      <c r="I308" s="264" t="s">
        <v>247</v>
      </c>
      <c r="J308" s="331" t="s">
        <v>133</v>
      </c>
      <c r="K308" s="256">
        <v>43538</v>
      </c>
      <c r="L308" s="256"/>
      <c r="M308" s="256">
        <v>43529</v>
      </c>
      <c r="N308" s="367" t="s">
        <v>89</v>
      </c>
      <c r="O308" s="420" t="s">
        <v>2284</v>
      </c>
      <c r="P308" s="308"/>
      <c r="Q308" s="308">
        <v>892.5</v>
      </c>
      <c r="R308" s="1388"/>
      <c r="S308" s="1388"/>
      <c r="T308" s="657"/>
      <c r="U308" s="658"/>
      <c r="V308" s="571" t="s">
        <v>93</v>
      </c>
      <c r="W308" s="258">
        <v>43585</v>
      </c>
      <c r="X308" s="258">
        <v>43529</v>
      </c>
      <c r="Y308" s="259" t="s">
        <v>709</v>
      </c>
      <c r="Z308" s="270">
        <v>34859</v>
      </c>
      <c r="AA308" s="368">
        <v>43586</v>
      </c>
      <c r="AB308" s="329" t="s">
        <v>2285</v>
      </c>
      <c r="AC308" s="329">
        <v>3349760256</v>
      </c>
      <c r="AD308" s="329"/>
      <c r="AE308" s="329"/>
      <c r="AF308" s="329"/>
      <c r="AG308" s="251" t="s">
        <v>283</v>
      </c>
      <c r="AH308" s="251">
        <v>30.79</v>
      </c>
      <c r="AI308" s="260"/>
      <c r="AJ308" s="251"/>
      <c r="AK308" s="260"/>
      <c r="AL308" s="260"/>
      <c r="AM308" s="251" t="s">
        <v>49</v>
      </c>
      <c r="AN308" s="251" t="s">
        <v>284</v>
      </c>
      <c r="AO308" s="251" t="s">
        <v>50</v>
      </c>
      <c r="AP308" s="251" t="s">
        <v>51</v>
      </c>
      <c r="AQ308" s="262"/>
    </row>
    <row r="309" spans="1:43" ht="15.75" customHeight="1">
      <c r="A309" s="69">
        <v>43517</v>
      </c>
      <c r="B309" s="263" t="s">
        <v>129</v>
      </c>
      <c r="C309" s="250" t="s">
        <v>706</v>
      </c>
      <c r="D309" s="250" t="s">
        <v>707</v>
      </c>
      <c r="E309" s="23" t="s">
        <v>710</v>
      </c>
      <c r="F309" s="251">
        <v>5</v>
      </c>
      <c r="G309" s="252">
        <v>50</v>
      </c>
      <c r="H309" s="334">
        <v>250</v>
      </c>
      <c r="I309" s="264" t="s">
        <v>247</v>
      </c>
      <c r="J309" s="331" t="s">
        <v>133</v>
      </c>
      <c r="K309" s="256">
        <v>43538</v>
      </c>
      <c r="L309" s="256"/>
      <c r="M309" s="256">
        <v>43529</v>
      </c>
      <c r="N309" s="367" t="s">
        <v>89</v>
      </c>
      <c r="O309" s="420" t="s">
        <v>2284</v>
      </c>
      <c r="P309" s="308"/>
      <c r="Q309" s="308">
        <v>241.5</v>
      </c>
      <c r="R309" s="308"/>
      <c r="S309" s="308"/>
      <c r="T309" s="593"/>
      <c r="U309" s="593"/>
      <c r="V309" s="571" t="s">
        <v>93</v>
      </c>
      <c r="W309" s="258">
        <v>43585</v>
      </c>
      <c r="X309" s="258">
        <v>43529</v>
      </c>
      <c r="Y309" s="259" t="s">
        <v>709</v>
      </c>
      <c r="Z309" s="259" t="s">
        <v>2286</v>
      </c>
      <c r="AA309" s="368">
        <v>43586</v>
      </c>
      <c r="AB309" s="329" t="s">
        <v>2285</v>
      </c>
      <c r="AC309" s="329">
        <v>3349760256</v>
      </c>
      <c r="AD309" s="329"/>
      <c r="AE309" s="329"/>
      <c r="AF309" s="329"/>
      <c r="AG309" s="251" t="s">
        <v>283</v>
      </c>
      <c r="AH309" s="251">
        <v>30.79</v>
      </c>
      <c r="AI309" s="260"/>
      <c r="AJ309" s="251"/>
      <c r="AK309" s="260"/>
      <c r="AL309" s="260"/>
      <c r="AM309" s="251" t="s">
        <v>49</v>
      </c>
      <c r="AN309" s="251" t="s">
        <v>284</v>
      </c>
      <c r="AO309" s="251" t="s">
        <v>50</v>
      </c>
      <c r="AP309" s="251" t="s">
        <v>51</v>
      </c>
      <c r="AQ309" s="262"/>
    </row>
    <row r="310" spans="1:43" ht="15.75" customHeight="1">
      <c r="A310" s="19">
        <v>43518</v>
      </c>
      <c r="B310" s="51" t="s">
        <v>76</v>
      </c>
      <c r="C310" s="21">
        <v>138</v>
      </c>
      <c r="D310" s="22" t="s">
        <v>711</v>
      </c>
      <c r="E310" s="23" t="s">
        <v>712</v>
      </c>
      <c r="F310" s="82">
        <v>50</v>
      </c>
      <c r="G310" s="47">
        <v>1.9</v>
      </c>
      <c r="H310" s="26">
        <f t="shared" ref="H310:H314" si="23">G310*F310</f>
        <v>95</v>
      </c>
      <c r="I310" s="27" t="s">
        <v>42</v>
      </c>
      <c r="J310" s="31" t="s">
        <v>315</v>
      </c>
      <c r="K310" s="29">
        <v>43531</v>
      </c>
      <c r="L310" s="29"/>
      <c r="M310" s="146">
        <v>43522</v>
      </c>
      <c r="N310" s="79" t="s">
        <v>178</v>
      </c>
      <c r="O310" s="64"/>
      <c r="P310" s="34"/>
      <c r="Q310" s="34"/>
      <c r="R310" s="34"/>
      <c r="S310" s="34"/>
      <c r="T310" s="34"/>
      <c r="U310" s="406">
        <v>2783</v>
      </c>
      <c r="V310" s="76"/>
      <c r="W310" s="52"/>
      <c r="X310" s="53"/>
      <c r="Y310" s="53"/>
      <c r="Z310" s="53"/>
      <c r="AA310" s="53"/>
      <c r="AB310" s="53" t="s">
        <v>2060</v>
      </c>
      <c r="AC310" s="53">
        <v>645361205</v>
      </c>
      <c r="AD310" s="53"/>
      <c r="AE310" s="53"/>
      <c r="AF310" s="53"/>
      <c r="AG310" s="54"/>
      <c r="AH310" s="54"/>
      <c r="AI310" s="55"/>
      <c r="AJ310" s="54"/>
      <c r="AK310" s="55"/>
      <c r="AL310" s="55"/>
      <c r="AM310" s="54" t="s">
        <v>49</v>
      </c>
      <c r="AN310" s="24" t="s">
        <v>284</v>
      </c>
      <c r="AO310" s="54" t="s">
        <v>50</v>
      </c>
      <c r="AP310" s="54" t="s">
        <v>51</v>
      </c>
      <c r="AQ310" s="57" t="s">
        <v>397</v>
      </c>
    </row>
    <row r="311" spans="1:43" ht="15.75" customHeight="1">
      <c r="A311" s="69">
        <v>43519</v>
      </c>
      <c r="B311" s="263" t="s">
        <v>713</v>
      </c>
      <c r="C311" s="250"/>
      <c r="D311" s="250" t="s">
        <v>714</v>
      </c>
      <c r="E311" s="23" t="s">
        <v>715</v>
      </c>
      <c r="F311" s="251">
        <v>15</v>
      </c>
      <c r="G311" s="252">
        <v>95</v>
      </c>
      <c r="H311" s="334">
        <f t="shared" si="23"/>
        <v>1425</v>
      </c>
      <c r="I311" s="254" t="s">
        <v>247</v>
      </c>
      <c r="J311" s="450" t="s">
        <v>716</v>
      </c>
      <c r="K311" s="256">
        <v>43538</v>
      </c>
      <c r="L311" s="256"/>
      <c r="M311" s="256">
        <v>43532</v>
      </c>
      <c r="N311" s="267" t="s">
        <v>89</v>
      </c>
      <c r="O311" s="420" t="s">
        <v>2287</v>
      </c>
      <c r="P311" s="308"/>
      <c r="Q311" s="308">
        <v>1323</v>
      </c>
      <c r="R311" s="308"/>
      <c r="S311" s="308"/>
      <c r="T311" s="593"/>
      <c r="U311" s="593"/>
      <c r="V311" s="571" t="s">
        <v>93</v>
      </c>
      <c r="W311" s="258">
        <v>43585</v>
      </c>
      <c r="X311" s="258">
        <v>43530</v>
      </c>
      <c r="Y311" s="259" t="s">
        <v>717</v>
      </c>
      <c r="Z311" s="270">
        <v>171139</v>
      </c>
      <c r="AA311" s="368">
        <v>43586</v>
      </c>
      <c r="AB311" s="329" t="s">
        <v>2288</v>
      </c>
      <c r="AC311" s="329" t="s">
        <v>2289</v>
      </c>
      <c r="AD311" s="329"/>
      <c r="AE311" s="329"/>
      <c r="AF311" s="329"/>
      <c r="AG311" s="251" t="s">
        <v>283</v>
      </c>
      <c r="AH311" s="251">
        <v>30.79</v>
      </c>
      <c r="AI311" s="260"/>
      <c r="AJ311" s="251"/>
      <c r="AK311" s="260">
        <f>6453.49*30.736</f>
        <v>198354.46864000001</v>
      </c>
      <c r="AL311" s="260">
        <f>(6.51+11)*30.736</f>
        <v>538.1873599999999</v>
      </c>
      <c r="AM311" s="251" t="s">
        <v>49</v>
      </c>
      <c r="AN311" s="251" t="s">
        <v>284</v>
      </c>
      <c r="AO311" s="251" t="s">
        <v>50</v>
      </c>
      <c r="AP311" s="251" t="s">
        <v>51</v>
      </c>
      <c r="AQ311" s="262"/>
    </row>
    <row r="312" spans="1:43" ht="15.75" customHeight="1">
      <c r="A312" s="69">
        <v>43519</v>
      </c>
      <c r="B312" s="263" t="s">
        <v>713</v>
      </c>
      <c r="C312" s="250"/>
      <c r="D312" s="250" t="s">
        <v>714</v>
      </c>
      <c r="E312" s="23" t="s">
        <v>718</v>
      </c>
      <c r="F312" s="251">
        <v>15</v>
      </c>
      <c r="G312" s="323">
        <v>320</v>
      </c>
      <c r="H312" s="334">
        <f t="shared" si="23"/>
        <v>4800</v>
      </c>
      <c r="I312" s="254" t="s">
        <v>247</v>
      </c>
      <c r="J312" s="450" t="s">
        <v>716</v>
      </c>
      <c r="K312" s="256">
        <v>43538</v>
      </c>
      <c r="L312" s="256"/>
      <c r="M312" s="256">
        <v>43532</v>
      </c>
      <c r="N312" s="267" t="s">
        <v>89</v>
      </c>
      <c r="O312" s="420" t="s">
        <v>2287</v>
      </c>
      <c r="P312" s="308"/>
      <c r="Q312" s="308">
        <v>4047.75</v>
      </c>
      <c r="R312" s="308"/>
      <c r="S312" s="308"/>
      <c r="T312" s="593"/>
      <c r="U312" s="593"/>
      <c r="V312" s="571" t="s">
        <v>93</v>
      </c>
      <c r="W312" s="258">
        <v>43585</v>
      </c>
      <c r="X312" s="258">
        <v>43530</v>
      </c>
      <c r="Y312" s="259" t="s">
        <v>717</v>
      </c>
      <c r="Z312" s="259" t="s">
        <v>2290</v>
      </c>
      <c r="AA312" s="368">
        <v>43586</v>
      </c>
      <c r="AB312" s="329" t="s">
        <v>2288</v>
      </c>
      <c r="AC312" s="329" t="s">
        <v>2289</v>
      </c>
      <c r="AD312" s="329"/>
      <c r="AE312" s="329"/>
      <c r="AF312" s="329"/>
      <c r="AG312" s="251" t="s">
        <v>283</v>
      </c>
      <c r="AH312" s="251">
        <v>30.79</v>
      </c>
      <c r="AI312" s="260"/>
      <c r="AJ312" s="251"/>
      <c r="AK312" s="260" t="s">
        <v>2291</v>
      </c>
      <c r="AL312" s="260" t="s">
        <v>2292</v>
      </c>
      <c r="AM312" s="251" t="s">
        <v>49</v>
      </c>
      <c r="AN312" s="251" t="s">
        <v>284</v>
      </c>
      <c r="AO312" s="251" t="s">
        <v>50</v>
      </c>
      <c r="AP312" s="251" t="s">
        <v>51</v>
      </c>
      <c r="AQ312" s="262"/>
    </row>
    <row r="313" spans="1:43" ht="15.75" customHeight="1">
      <c r="A313" s="69">
        <v>43519</v>
      </c>
      <c r="B313" s="263" t="s">
        <v>713</v>
      </c>
      <c r="C313" s="250"/>
      <c r="D313" s="250" t="s">
        <v>714</v>
      </c>
      <c r="E313" s="23" t="s">
        <v>719</v>
      </c>
      <c r="F313" s="251">
        <v>2</v>
      </c>
      <c r="G313" s="323">
        <v>123</v>
      </c>
      <c r="H313" s="334">
        <f t="shared" si="23"/>
        <v>246</v>
      </c>
      <c r="I313" s="254" t="s">
        <v>247</v>
      </c>
      <c r="J313" s="450" t="s">
        <v>716</v>
      </c>
      <c r="K313" s="256">
        <v>43538</v>
      </c>
      <c r="L313" s="256"/>
      <c r="M313" s="256">
        <v>43532</v>
      </c>
      <c r="N313" s="267" t="s">
        <v>89</v>
      </c>
      <c r="O313" s="420" t="s">
        <v>2287</v>
      </c>
      <c r="P313" s="308"/>
      <c r="Q313" s="308">
        <v>196.56</v>
      </c>
      <c r="R313" s="308"/>
      <c r="S313" s="308"/>
      <c r="T313" s="593"/>
      <c r="U313" s="593"/>
      <c r="V313" s="338" t="s">
        <v>93</v>
      </c>
      <c r="W313" s="258">
        <v>43585</v>
      </c>
      <c r="X313" s="258">
        <v>43530</v>
      </c>
      <c r="Y313" s="259" t="s">
        <v>717</v>
      </c>
      <c r="Z313" s="259" t="s">
        <v>2290</v>
      </c>
      <c r="AA313" s="368">
        <v>43586</v>
      </c>
      <c r="AB313" s="329" t="s">
        <v>2288</v>
      </c>
      <c r="AC313" s="329" t="s">
        <v>2289</v>
      </c>
      <c r="AD313" s="329"/>
      <c r="AE313" s="329"/>
      <c r="AF313" s="329"/>
      <c r="AG313" s="251" t="s">
        <v>283</v>
      </c>
      <c r="AH313" s="251">
        <v>30.79</v>
      </c>
      <c r="AI313" s="260"/>
      <c r="AJ313" s="251"/>
      <c r="AK313" s="260" t="s">
        <v>2291</v>
      </c>
      <c r="AL313" s="260" t="s">
        <v>2292</v>
      </c>
      <c r="AM313" s="251" t="s">
        <v>49</v>
      </c>
      <c r="AN313" s="251" t="s">
        <v>284</v>
      </c>
      <c r="AO313" s="251" t="s">
        <v>50</v>
      </c>
      <c r="AP313" s="251" t="s">
        <v>51</v>
      </c>
      <c r="AQ313" s="262"/>
    </row>
    <row r="314" spans="1:43" ht="15.75" customHeight="1">
      <c r="A314" s="19">
        <v>43522</v>
      </c>
      <c r="B314" s="51" t="s">
        <v>100</v>
      </c>
      <c r="C314" s="22"/>
      <c r="D314" s="407" t="s">
        <v>720</v>
      </c>
      <c r="E314" s="23" t="s">
        <v>346</v>
      </c>
      <c r="F314" s="82">
        <v>1</v>
      </c>
      <c r="G314" s="143">
        <v>326</v>
      </c>
      <c r="H314" s="26">
        <f t="shared" si="23"/>
        <v>326</v>
      </c>
      <c r="I314" s="27" t="s">
        <v>302</v>
      </c>
      <c r="J314" s="347" t="s">
        <v>289</v>
      </c>
      <c r="K314" s="30">
        <v>43522</v>
      </c>
      <c r="L314" s="30"/>
      <c r="M314" s="30">
        <v>43522</v>
      </c>
      <c r="N314" s="31" t="s">
        <v>1999</v>
      </c>
      <c r="O314" s="93" t="s">
        <v>2293</v>
      </c>
      <c r="P314" s="34"/>
      <c r="Q314" s="34"/>
      <c r="R314" s="34"/>
      <c r="S314" s="34"/>
      <c r="T314" s="406"/>
      <c r="U314" s="406">
        <v>929</v>
      </c>
      <c r="V314" s="22" t="s">
        <v>2000</v>
      </c>
      <c r="W314" s="293">
        <v>43554</v>
      </c>
      <c r="X314" s="411">
        <v>43524</v>
      </c>
      <c r="Y314" s="340" t="s">
        <v>533</v>
      </c>
      <c r="Z314" s="294" t="s">
        <v>2294</v>
      </c>
      <c r="AA314" s="411">
        <v>43557</v>
      </c>
      <c r="AB314" s="53" t="s">
        <v>2033</v>
      </c>
      <c r="AC314" s="53">
        <v>1836940674</v>
      </c>
      <c r="AD314" s="37"/>
      <c r="AE314" s="37"/>
      <c r="AF314" s="37"/>
      <c r="AG314" s="24"/>
      <c r="AH314" s="24"/>
      <c r="AI314" s="38"/>
      <c r="AJ314" s="39">
        <v>43565</v>
      </c>
      <c r="AK314" s="38" t="s">
        <v>2039</v>
      </c>
      <c r="AL314" s="38" t="s">
        <v>2040</v>
      </c>
      <c r="AM314" s="24" t="s">
        <v>49</v>
      </c>
      <c r="AN314" s="24" t="s">
        <v>284</v>
      </c>
      <c r="AO314" s="24" t="s">
        <v>50</v>
      </c>
      <c r="AP314" s="54" t="s">
        <v>51</v>
      </c>
      <c r="AQ314" s="57" t="s">
        <v>397</v>
      </c>
    </row>
    <row r="315" spans="1:43" ht="15.75" customHeight="1">
      <c r="A315" s="69">
        <v>43522</v>
      </c>
      <c r="B315" s="451" t="s">
        <v>100</v>
      </c>
      <c r="C315" s="290"/>
      <c r="D315" s="290" t="s">
        <v>721</v>
      </c>
      <c r="E315" s="23" t="s">
        <v>346</v>
      </c>
      <c r="F315" s="50">
        <v>1</v>
      </c>
      <c r="G315" s="452">
        <v>34</v>
      </c>
      <c r="H315" s="453">
        <v>34</v>
      </c>
      <c r="I315" s="61" t="s">
        <v>104</v>
      </c>
      <c r="J315" s="405" t="s">
        <v>289</v>
      </c>
      <c r="K315" s="29">
        <v>43522</v>
      </c>
      <c r="L315" s="29"/>
      <c r="M315" s="29">
        <v>43522</v>
      </c>
      <c r="N315" s="137" t="s">
        <v>1999</v>
      </c>
      <c r="O315" s="93" t="s">
        <v>2293</v>
      </c>
      <c r="P315" s="65"/>
      <c r="Q315" s="65"/>
      <c r="R315" s="65"/>
      <c r="S315" s="65"/>
      <c r="T315" s="406"/>
      <c r="U315" s="406">
        <v>929</v>
      </c>
      <c r="V315" s="406" t="s">
        <v>2000</v>
      </c>
      <c r="W315" s="293">
        <v>43554</v>
      </c>
      <c r="X315" s="293">
        <v>43524</v>
      </c>
      <c r="Y315" s="294" t="s">
        <v>533</v>
      </c>
      <c r="Z315" s="294" t="s">
        <v>2294</v>
      </c>
      <c r="AA315" s="411">
        <v>43557</v>
      </c>
      <c r="AB315" s="53"/>
      <c r="AC315" s="53">
        <v>1836940674</v>
      </c>
      <c r="AD315" s="53"/>
      <c r="AE315" s="53"/>
      <c r="AF315" s="53"/>
      <c r="AG315" s="54"/>
      <c r="AH315" s="54"/>
      <c r="AI315" s="55"/>
      <c r="AJ315" s="56">
        <v>43565</v>
      </c>
      <c r="AK315" s="38" t="s">
        <v>2039</v>
      </c>
      <c r="AL315" s="38" t="s">
        <v>2040</v>
      </c>
      <c r="AM315" s="54" t="s">
        <v>49</v>
      </c>
      <c r="AN315" s="24" t="s">
        <v>284</v>
      </c>
      <c r="AO315" s="54" t="s">
        <v>50</v>
      </c>
      <c r="AP315" s="54" t="s">
        <v>51</v>
      </c>
      <c r="AQ315" s="57" t="s">
        <v>397</v>
      </c>
    </row>
    <row r="316" spans="1:43" ht="15.75" customHeight="1">
      <c r="A316" s="69">
        <v>43522</v>
      </c>
      <c r="B316" s="70" t="s">
        <v>372</v>
      </c>
      <c r="C316" s="21">
        <v>201902260013</v>
      </c>
      <c r="D316" s="21" t="s">
        <v>722</v>
      </c>
      <c r="E316" s="23" t="s">
        <v>723</v>
      </c>
      <c r="F316" s="433">
        <v>60</v>
      </c>
      <c r="G316" s="48">
        <v>63</v>
      </c>
      <c r="H316" s="60">
        <f>G316*F316</f>
        <v>3780</v>
      </c>
      <c r="I316" s="296" t="s">
        <v>42</v>
      </c>
      <c r="J316" s="50" t="s">
        <v>89</v>
      </c>
      <c r="K316" s="29">
        <v>43535</v>
      </c>
      <c r="L316" s="29"/>
      <c r="M316" s="30">
        <v>43532</v>
      </c>
      <c r="N316" s="50" t="s">
        <v>89</v>
      </c>
      <c r="O316" s="93" t="s">
        <v>2295</v>
      </c>
      <c r="P316" s="406"/>
      <c r="Q316" s="406">
        <v>3528</v>
      </c>
      <c r="R316" s="406"/>
      <c r="S316" s="406"/>
      <c r="T316" s="406"/>
      <c r="U316" s="406">
        <v>108451</v>
      </c>
      <c r="V316" s="51" t="s">
        <v>93</v>
      </c>
      <c r="W316" s="293">
        <v>43585</v>
      </c>
      <c r="X316" s="293">
        <v>43532</v>
      </c>
      <c r="Y316" s="294" t="s">
        <v>724</v>
      </c>
      <c r="Z316" s="295">
        <v>108451</v>
      </c>
      <c r="AA316" s="300">
        <v>43586</v>
      </c>
      <c r="AB316" s="304" t="s">
        <v>2296</v>
      </c>
      <c r="AC316" s="304" t="s">
        <v>2297</v>
      </c>
      <c r="AD316" s="304">
        <v>30.9</v>
      </c>
      <c r="AE316" s="304">
        <v>116802</v>
      </c>
      <c r="AF316" s="460">
        <v>43535</v>
      </c>
      <c r="AG316" s="296"/>
      <c r="AH316" s="296"/>
      <c r="AI316" s="297"/>
      <c r="AJ316" s="298">
        <v>43587</v>
      </c>
      <c r="AK316" s="297">
        <f>3773.52*30.849</f>
        <v>116409.31848</v>
      </c>
      <c r="AL316" s="297">
        <f>(3780-3773.52)*30.849</f>
        <v>199.90152000000057</v>
      </c>
      <c r="AM316" s="296" t="s">
        <v>49</v>
      </c>
      <c r="AN316" s="296" t="s">
        <v>284</v>
      </c>
      <c r="AO316" s="296" t="s">
        <v>50</v>
      </c>
      <c r="AP316" s="296" t="s">
        <v>376</v>
      </c>
      <c r="AQ316" s="234" t="s">
        <v>304</v>
      </c>
    </row>
    <row r="317" spans="1:43" ht="15.75" customHeight="1">
      <c r="A317" s="69">
        <v>43522</v>
      </c>
      <c r="B317" s="70" t="s">
        <v>228</v>
      </c>
      <c r="C317" s="21" t="s">
        <v>725</v>
      </c>
      <c r="D317" s="21" t="s">
        <v>726</v>
      </c>
      <c r="E317" s="23" t="s">
        <v>231</v>
      </c>
      <c r="F317" s="24">
        <v>10</v>
      </c>
      <c r="G317" s="48">
        <v>407.4</v>
      </c>
      <c r="H317" s="26">
        <f t="shared" ref="H317:H319" si="24">F317*G317</f>
        <v>4074</v>
      </c>
      <c r="I317" s="296" t="s">
        <v>170</v>
      </c>
      <c r="J317" s="54" t="s">
        <v>89</v>
      </c>
      <c r="K317" s="30">
        <v>43538</v>
      </c>
      <c r="L317" s="30"/>
      <c r="M317" s="30">
        <v>43536</v>
      </c>
      <c r="N317" s="58" t="s">
        <v>89</v>
      </c>
      <c r="O317" s="32" t="s">
        <v>2298</v>
      </c>
      <c r="P317" s="22"/>
      <c r="Q317" s="22">
        <v>3727.5</v>
      </c>
      <c r="R317" s="22"/>
      <c r="S317" s="22"/>
      <c r="T317" s="22"/>
      <c r="U317" s="22">
        <v>114770</v>
      </c>
      <c r="V317" s="51" t="s">
        <v>93</v>
      </c>
      <c r="W317" s="293">
        <v>43585</v>
      </c>
      <c r="X317" s="293">
        <v>43536</v>
      </c>
      <c r="Y317" s="294" t="s">
        <v>727</v>
      </c>
      <c r="Z317" s="295">
        <v>131387</v>
      </c>
      <c r="AA317" s="300">
        <v>43586</v>
      </c>
      <c r="AB317" s="53" t="s">
        <v>2299</v>
      </c>
      <c r="AC317" s="53"/>
      <c r="AD317" s="53">
        <v>30.89</v>
      </c>
      <c r="AE317" s="53">
        <v>146604</v>
      </c>
      <c r="AF317" s="53" t="s">
        <v>2300</v>
      </c>
      <c r="AG317" s="54"/>
      <c r="AH317" s="54"/>
      <c r="AI317" s="55"/>
      <c r="AJ317" s="54"/>
      <c r="AK317" s="55"/>
      <c r="AL317" s="55"/>
      <c r="AM317" s="54" t="s">
        <v>49</v>
      </c>
      <c r="AN317" s="24" t="s">
        <v>284</v>
      </c>
      <c r="AO317" s="54" t="s">
        <v>50</v>
      </c>
      <c r="AP317" s="54" t="s">
        <v>376</v>
      </c>
      <c r="AQ317" s="57" t="s">
        <v>397</v>
      </c>
    </row>
    <row r="318" spans="1:43" ht="15.75" customHeight="1">
      <c r="A318" s="69">
        <v>43522</v>
      </c>
      <c r="B318" s="70" t="s">
        <v>228</v>
      </c>
      <c r="C318" s="21" t="s">
        <v>725</v>
      </c>
      <c r="D318" s="21" t="s">
        <v>726</v>
      </c>
      <c r="E318" s="23" t="s">
        <v>728</v>
      </c>
      <c r="F318" s="24">
        <v>2</v>
      </c>
      <c r="G318" s="434">
        <v>336</v>
      </c>
      <c r="H318" s="26">
        <f t="shared" si="24"/>
        <v>672</v>
      </c>
      <c r="I318" s="296" t="s">
        <v>170</v>
      </c>
      <c r="J318" s="54" t="s">
        <v>89</v>
      </c>
      <c r="K318" s="30">
        <v>43538</v>
      </c>
      <c r="L318" s="30"/>
      <c r="M318" s="30">
        <v>43536</v>
      </c>
      <c r="N318" s="58" t="s">
        <v>89</v>
      </c>
      <c r="O318" s="32" t="s">
        <v>2298</v>
      </c>
      <c r="P318" s="22"/>
      <c r="Q318" s="22">
        <v>539.70000000000005</v>
      </c>
      <c r="R318" s="22"/>
      <c r="S318" s="22"/>
      <c r="T318" s="22"/>
      <c r="U318" s="22">
        <v>16617</v>
      </c>
      <c r="V318" s="51" t="s">
        <v>93</v>
      </c>
      <c r="W318" s="293">
        <v>43585</v>
      </c>
      <c r="X318" s="293">
        <v>43536</v>
      </c>
      <c r="Y318" s="294" t="s">
        <v>727</v>
      </c>
      <c r="Z318" s="294" t="s">
        <v>2301</v>
      </c>
      <c r="AA318" s="300">
        <v>43586</v>
      </c>
      <c r="AB318" s="53" t="s">
        <v>2299</v>
      </c>
      <c r="AC318" s="53"/>
      <c r="AD318" s="53">
        <v>30.89</v>
      </c>
      <c r="AE318" s="53">
        <v>146604</v>
      </c>
      <c r="AF318" s="53" t="s">
        <v>2300</v>
      </c>
      <c r="AG318" s="54"/>
      <c r="AH318" s="54"/>
      <c r="AI318" s="55"/>
      <c r="AJ318" s="54"/>
      <c r="AK318" s="55"/>
      <c r="AL318" s="55"/>
      <c r="AM318" s="54" t="s">
        <v>49</v>
      </c>
      <c r="AN318" s="24" t="s">
        <v>284</v>
      </c>
      <c r="AO318" s="54" t="s">
        <v>50</v>
      </c>
      <c r="AP318" s="54" t="s">
        <v>376</v>
      </c>
      <c r="AQ318" s="57" t="s">
        <v>397</v>
      </c>
    </row>
    <row r="319" spans="1:43" ht="15.75" customHeight="1">
      <c r="A319" s="69">
        <v>43522</v>
      </c>
      <c r="B319" s="70" t="s">
        <v>228</v>
      </c>
      <c r="C319" s="21" t="s">
        <v>725</v>
      </c>
      <c r="D319" s="21" t="s">
        <v>726</v>
      </c>
      <c r="E319" s="23" t="s">
        <v>729</v>
      </c>
      <c r="F319" s="24">
        <v>1</v>
      </c>
      <c r="G319" s="48">
        <v>21</v>
      </c>
      <c r="H319" s="26">
        <f t="shared" si="24"/>
        <v>21</v>
      </c>
      <c r="I319" s="296" t="s">
        <v>170</v>
      </c>
      <c r="J319" s="54" t="s">
        <v>89</v>
      </c>
      <c r="K319" s="30">
        <v>43546</v>
      </c>
      <c r="L319" s="30"/>
      <c r="M319" s="30">
        <v>43546</v>
      </c>
      <c r="N319" s="58" t="s">
        <v>89</v>
      </c>
      <c r="O319" s="32" t="s">
        <v>2298</v>
      </c>
      <c r="P319" s="22"/>
      <c r="Q319" s="22">
        <v>17.75</v>
      </c>
      <c r="R319" s="22"/>
      <c r="S319" s="22"/>
      <c r="T319" s="22"/>
      <c r="U319" s="22">
        <v>547</v>
      </c>
      <c r="V319" s="51" t="s">
        <v>93</v>
      </c>
      <c r="W319" s="293">
        <v>43585</v>
      </c>
      <c r="X319" s="293">
        <v>43546</v>
      </c>
      <c r="Y319" s="294" t="s">
        <v>730</v>
      </c>
      <c r="Z319" s="294">
        <v>547</v>
      </c>
      <c r="AA319" s="300">
        <v>43586</v>
      </c>
      <c r="AB319" s="53" t="s">
        <v>2302</v>
      </c>
      <c r="AC319" s="53" t="s">
        <v>2303</v>
      </c>
      <c r="AD319" s="53">
        <v>30.81</v>
      </c>
      <c r="AE319" s="53">
        <v>647</v>
      </c>
      <c r="AF319" s="53"/>
      <c r="AG319" s="54"/>
      <c r="AH319" s="54"/>
      <c r="AI319" s="55"/>
      <c r="AJ319" s="54"/>
      <c r="AK319" s="55"/>
      <c r="AL319" s="55"/>
      <c r="AM319" s="54" t="s">
        <v>49</v>
      </c>
      <c r="AN319" s="24" t="s">
        <v>284</v>
      </c>
      <c r="AO319" s="54" t="s">
        <v>50</v>
      </c>
      <c r="AP319" s="54" t="s">
        <v>376</v>
      </c>
      <c r="AQ319" s="57" t="s">
        <v>397</v>
      </c>
    </row>
    <row r="320" spans="1:43" ht="15.75" customHeight="1">
      <c r="A320" s="19">
        <v>43523</v>
      </c>
      <c r="B320" s="20" t="s">
        <v>325</v>
      </c>
      <c r="C320" s="21">
        <v>2027739</v>
      </c>
      <c r="D320" s="22" t="s">
        <v>731</v>
      </c>
      <c r="E320" s="23" t="s">
        <v>52</v>
      </c>
      <c r="F320" s="24">
        <v>15</v>
      </c>
      <c r="G320" s="48">
        <v>31</v>
      </c>
      <c r="H320" s="26">
        <f t="shared" ref="H320:H324" si="25">G320*F320</f>
        <v>465</v>
      </c>
      <c r="I320" s="27" t="s">
        <v>42</v>
      </c>
      <c r="J320" s="429" t="s">
        <v>732</v>
      </c>
      <c r="K320" s="29">
        <v>43585</v>
      </c>
      <c r="L320" s="29"/>
      <c r="M320" s="30">
        <v>43577</v>
      </c>
      <c r="N320" s="58" t="s">
        <v>53</v>
      </c>
      <c r="O320" s="32" t="s">
        <v>2304</v>
      </c>
      <c r="P320" s="22"/>
      <c r="Q320" s="22">
        <v>340.2</v>
      </c>
      <c r="R320" s="22"/>
      <c r="S320" s="22"/>
      <c r="T320" s="22"/>
      <c r="U320" s="22">
        <v>10492</v>
      </c>
      <c r="V320" s="32" t="s">
        <v>55</v>
      </c>
      <c r="W320" s="349">
        <v>43646</v>
      </c>
      <c r="X320" s="349">
        <v>43581</v>
      </c>
      <c r="Y320" s="350" t="s">
        <v>733</v>
      </c>
      <c r="Z320" s="350">
        <v>244613</v>
      </c>
      <c r="AA320" s="349">
        <v>43647</v>
      </c>
      <c r="AB320" s="350" t="s">
        <v>2305</v>
      </c>
      <c r="AC320" s="350">
        <v>1026410191</v>
      </c>
      <c r="AD320" s="350"/>
      <c r="AE320" s="350"/>
      <c r="AF320" s="350"/>
      <c r="AG320" s="82"/>
      <c r="AH320" s="82">
        <v>30.844999999999999</v>
      </c>
      <c r="AI320" s="430">
        <v>0</v>
      </c>
      <c r="AJ320" s="145">
        <v>43606</v>
      </c>
      <c r="AK320" s="430">
        <v>0</v>
      </c>
      <c r="AL320" s="430">
        <v>0</v>
      </c>
      <c r="AM320" s="82" t="s">
        <v>49</v>
      </c>
      <c r="AN320" s="296" t="s">
        <v>284</v>
      </c>
      <c r="AO320" s="82" t="s">
        <v>50</v>
      </c>
      <c r="AP320" s="82" t="s">
        <v>51</v>
      </c>
      <c r="AQ320" s="234" t="s">
        <v>304</v>
      </c>
    </row>
    <row r="321" spans="1:43" ht="15.75" customHeight="1">
      <c r="A321" s="19">
        <v>43523</v>
      </c>
      <c r="B321" s="20" t="s">
        <v>325</v>
      </c>
      <c r="C321" s="21">
        <v>2027739</v>
      </c>
      <c r="D321" s="22" t="s">
        <v>731</v>
      </c>
      <c r="E321" s="23" t="s">
        <v>58</v>
      </c>
      <c r="F321" s="24">
        <v>15</v>
      </c>
      <c r="G321" s="48">
        <v>4</v>
      </c>
      <c r="H321" s="26">
        <f t="shared" si="25"/>
        <v>60</v>
      </c>
      <c r="I321" s="49" t="s">
        <v>42</v>
      </c>
      <c r="J321" s="82" t="s">
        <v>732</v>
      </c>
      <c r="K321" s="29">
        <v>43585</v>
      </c>
      <c r="L321" s="29"/>
      <c r="M321" s="30">
        <v>43577</v>
      </c>
      <c r="N321" s="58" t="s">
        <v>53</v>
      </c>
      <c r="O321" s="32" t="s">
        <v>2304</v>
      </c>
      <c r="P321" s="22"/>
      <c r="Q321" s="22">
        <v>31.5</v>
      </c>
      <c r="R321" s="22"/>
      <c r="S321" s="22"/>
      <c r="T321" s="22"/>
      <c r="U321" s="22">
        <v>971</v>
      </c>
      <c r="V321" s="23" t="s">
        <v>55</v>
      </c>
      <c r="W321" s="349">
        <v>43646</v>
      </c>
      <c r="X321" s="349">
        <v>43581</v>
      </c>
      <c r="Y321" s="350" t="s">
        <v>733</v>
      </c>
      <c r="Z321" s="350" t="s">
        <v>2306</v>
      </c>
      <c r="AA321" s="349">
        <v>43647</v>
      </c>
      <c r="AB321" s="350" t="s">
        <v>2305</v>
      </c>
      <c r="AC321" s="350">
        <v>1026410191</v>
      </c>
      <c r="AD321" s="350"/>
      <c r="AE321" s="350"/>
      <c r="AF321" s="350"/>
      <c r="AG321" s="82"/>
      <c r="AH321" s="82">
        <v>30.844999999999999</v>
      </c>
      <c r="AI321" s="430">
        <v>0</v>
      </c>
      <c r="AJ321" s="145">
        <v>43606</v>
      </c>
      <c r="AK321" s="430">
        <v>0</v>
      </c>
      <c r="AL321" s="430">
        <v>0</v>
      </c>
      <c r="AM321" s="82" t="s">
        <v>49</v>
      </c>
      <c r="AN321" s="296" t="s">
        <v>284</v>
      </c>
      <c r="AO321" s="82" t="s">
        <v>50</v>
      </c>
      <c r="AP321" s="82" t="s">
        <v>51</v>
      </c>
      <c r="AQ321" s="234" t="s">
        <v>304</v>
      </c>
    </row>
    <row r="322" spans="1:43" ht="15.75" customHeight="1">
      <c r="A322" s="19">
        <v>43523</v>
      </c>
      <c r="B322" s="20" t="s">
        <v>325</v>
      </c>
      <c r="C322" s="21">
        <v>2027739</v>
      </c>
      <c r="D322" s="22" t="s">
        <v>731</v>
      </c>
      <c r="E322" s="23" t="s">
        <v>41</v>
      </c>
      <c r="F322" s="24">
        <v>15</v>
      </c>
      <c r="G322" s="48">
        <v>273</v>
      </c>
      <c r="H322" s="26">
        <f t="shared" si="25"/>
        <v>4095</v>
      </c>
      <c r="I322" s="49" t="s">
        <v>42</v>
      </c>
      <c r="J322" s="82" t="s">
        <v>732</v>
      </c>
      <c r="K322" s="29">
        <v>43585</v>
      </c>
      <c r="L322" s="29"/>
      <c r="M322" s="30">
        <v>43571</v>
      </c>
      <c r="N322" s="58" t="s">
        <v>44</v>
      </c>
      <c r="O322" s="32" t="s">
        <v>2307</v>
      </c>
      <c r="P322" s="659"/>
      <c r="Q322" s="659">
        <v>3150</v>
      </c>
      <c r="R322" s="659"/>
      <c r="S322" s="659"/>
      <c r="T322" s="406"/>
      <c r="U322" s="406">
        <v>97272</v>
      </c>
      <c r="V322" s="51" t="s">
        <v>46</v>
      </c>
      <c r="W322" s="449">
        <v>43600</v>
      </c>
      <c r="X322" s="449">
        <v>43570</v>
      </c>
      <c r="Y322" s="340" t="s">
        <v>734</v>
      </c>
      <c r="Z322" s="340">
        <v>97272</v>
      </c>
      <c r="AA322" s="449">
        <v>43600</v>
      </c>
      <c r="AB322" s="350" t="s">
        <v>2305</v>
      </c>
      <c r="AC322" s="350">
        <v>1026410191</v>
      </c>
      <c r="AD322" s="350"/>
      <c r="AE322" s="350"/>
      <c r="AF322" s="350"/>
      <c r="AG322" s="82"/>
      <c r="AH322" s="82">
        <v>30.844999999999999</v>
      </c>
      <c r="AI322" s="430">
        <f>12750*30.845</f>
        <v>393273.75</v>
      </c>
      <c r="AJ322" s="145">
        <v>43606</v>
      </c>
      <c r="AK322" s="430">
        <f>12743.63*31.38</f>
        <v>399895.10939999996</v>
      </c>
      <c r="AL322" s="430">
        <f>(12750-12743.63)*31.38</f>
        <v>199.8906000000251</v>
      </c>
      <c r="AM322" s="82" t="s">
        <v>49</v>
      </c>
      <c r="AN322" s="296" t="s">
        <v>284</v>
      </c>
      <c r="AO322" s="82" t="s">
        <v>50</v>
      </c>
      <c r="AP322" s="82" t="s">
        <v>51</v>
      </c>
      <c r="AQ322" s="234" t="s">
        <v>304</v>
      </c>
    </row>
    <row r="323" spans="1:43" ht="15.75" customHeight="1">
      <c r="A323" s="19">
        <v>43523</v>
      </c>
      <c r="B323" s="20" t="s">
        <v>325</v>
      </c>
      <c r="C323" s="21">
        <v>2027739</v>
      </c>
      <c r="D323" s="22" t="s">
        <v>735</v>
      </c>
      <c r="E323" s="23" t="s">
        <v>60</v>
      </c>
      <c r="F323" s="24">
        <v>15</v>
      </c>
      <c r="G323" s="25">
        <v>542</v>
      </c>
      <c r="H323" s="26">
        <f t="shared" si="25"/>
        <v>8130</v>
      </c>
      <c r="I323" s="49" t="s">
        <v>42</v>
      </c>
      <c r="J323" s="82" t="s">
        <v>732</v>
      </c>
      <c r="K323" s="29">
        <v>43585</v>
      </c>
      <c r="L323" s="29"/>
      <c r="M323" s="30">
        <v>43577</v>
      </c>
      <c r="N323" s="58" t="s">
        <v>53</v>
      </c>
      <c r="O323" s="32" t="s">
        <v>2304</v>
      </c>
      <c r="P323" s="22"/>
      <c r="Q323" s="22">
        <v>7560</v>
      </c>
      <c r="R323" s="22"/>
      <c r="S323" s="22"/>
      <c r="T323" s="22"/>
      <c r="U323" s="22">
        <v>233150</v>
      </c>
      <c r="V323" s="51" t="s">
        <v>55</v>
      </c>
      <c r="W323" s="349">
        <v>43646</v>
      </c>
      <c r="X323" s="349">
        <v>43581</v>
      </c>
      <c r="Y323" s="350" t="s">
        <v>733</v>
      </c>
      <c r="Z323" s="350" t="s">
        <v>2306</v>
      </c>
      <c r="AA323" s="349">
        <v>43647</v>
      </c>
      <c r="AB323" s="350" t="s">
        <v>2305</v>
      </c>
      <c r="AC323" s="350">
        <v>1026410191</v>
      </c>
      <c r="AD323" s="350"/>
      <c r="AE323" s="350"/>
      <c r="AF323" s="350"/>
      <c r="AG323" s="82"/>
      <c r="AH323" s="82">
        <v>30.844999999999999</v>
      </c>
      <c r="AI323" s="430">
        <v>0</v>
      </c>
      <c r="AJ323" s="145">
        <v>43606</v>
      </c>
      <c r="AK323" s="430">
        <v>0</v>
      </c>
      <c r="AL323" s="430">
        <v>0</v>
      </c>
      <c r="AM323" s="82" t="s">
        <v>49</v>
      </c>
      <c r="AN323" s="296" t="s">
        <v>284</v>
      </c>
      <c r="AO323" s="82" t="s">
        <v>50</v>
      </c>
      <c r="AP323" s="82" t="s">
        <v>51</v>
      </c>
      <c r="AQ323" s="234" t="s">
        <v>304</v>
      </c>
    </row>
    <row r="324" spans="1:43" ht="15.75" customHeight="1">
      <c r="A324" s="19">
        <v>43523</v>
      </c>
      <c r="B324" s="20" t="s">
        <v>325</v>
      </c>
      <c r="C324" s="21">
        <v>2027739</v>
      </c>
      <c r="D324" s="454" t="s">
        <v>736</v>
      </c>
      <c r="E324" s="23" t="s">
        <v>52</v>
      </c>
      <c r="F324" s="24">
        <v>10</v>
      </c>
      <c r="G324" s="25">
        <v>31</v>
      </c>
      <c r="H324" s="26">
        <f t="shared" si="25"/>
        <v>310</v>
      </c>
      <c r="I324" s="49" t="s">
        <v>42</v>
      </c>
      <c r="J324" s="82" t="s">
        <v>732</v>
      </c>
      <c r="K324" s="29">
        <v>43619</v>
      </c>
      <c r="L324" s="29"/>
      <c r="M324" s="606">
        <v>43612</v>
      </c>
      <c r="N324" s="607" t="s">
        <v>53</v>
      </c>
      <c r="O324" s="639" t="s">
        <v>2308</v>
      </c>
      <c r="P324" s="640"/>
      <c r="Q324" s="640">
        <v>226.8</v>
      </c>
      <c r="R324" s="640"/>
      <c r="S324" s="640"/>
      <c r="T324" s="640"/>
      <c r="U324" s="640">
        <v>7118</v>
      </c>
      <c r="V324" s="660" t="s">
        <v>55</v>
      </c>
      <c r="W324" s="449">
        <v>43677</v>
      </c>
      <c r="X324" s="449">
        <v>43612</v>
      </c>
      <c r="Y324" s="340" t="s">
        <v>737</v>
      </c>
      <c r="Z324" s="340">
        <v>165958</v>
      </c>
      <c r="AA324" s="449">
        <v>43678</v>
      </c>
      <c r="AB324" s="340" t="s">
        <v>2309</v>
      </c>
      <c r="AC324" s="340">
        <v>1026956481</v>
      </c>
      <c r="AD324" s="340"/>
      <c r="AE324" s="340"/>
      <c r="AF324" s="340"/>
      <c r="AG324" s="431"/>
      <c r="AH324" s="431">
        <v>31.454999999999998</v>
      </c>
      <c r="AI324" s="432"/>
      <c r="AJ324" s="455">
        <v>43633</v>
      </c>
      <c r="AK324" s="432" t="s">
        <v>2310</v>
      </c>
      <c r="AL324" s="432" t="s">
        <v>2311</v>
      </c>
      <c r="AM324" s="431" t="s">
        <v>49</v>
      </c>
      <c r="AN324" s="369" t="s">
        <v>284</v>
      </c>
      <c r="AO324" s="431" t="s">
        <v>50</v>
      </c>
      <c r="AP324" s="431" t="s">
        <v>51</v>
      </c>
      <c r="AQ324" s="372" t="s">
        <v>439</v>
      </c>
    </row>
    <row r="325" spans="1:43" ht="15.75" customHeight="1">
      <c r="A325" s="19">
        <v>43523</v>
      </c>
      <c r="B325" s="20" t="s">
        <v>325</v>
      </c>
      <c r="C325" s="21">
        <v>2027739</v>
      </c>
      <c r="D325" s="22" t="s">
        <v>736</v>
      </c>
      <c r="E325" s="23" t="s">
        <v>58</v>
      </c>
      <c r="F325" s="24">
        <v>10</v>
      </c>
      <c r="G325" s="25">
        <v>4</v>
      </c>
      <c r="H325" s="26">
        <f>G326*F326</f>
        <v>2730</v>
      </c>
      <c r="I325" s="49" t="s">
        <v>42</v>
      </c>
      <c r="J325" s="82" t="s">
        <v>732</v>
      </c>
      <c r="K325" s="29">
        <v>43619</v>
      </c>
      <c r="L325" s="29"/>
      <c r="M325" s="606">
        <v>43612</v>
      </c>
      <c r="N325" s="607" t="s">
        <v>53</v>
      </c>
      <c r="O325" s="639" t="s">
        <v>2308</v>
      </c>
      <c r="P325" s="640"/>
      <c r="Q325" s="640">
        <v>21</v>
      </c>
      <c r="R325" s="640"/>
      <c r="S325" s="640"/>
      <c r="T325" s="640"/>
      <c r="U325" s="640">
        <v>660</v>
      </c>
      <c r="V325" s="660" t="s">
        <v>55</v>
      </c>
      <c r="W325" s="449">
        <v>43677</v>
      </c>
      <c r="X325" s="449">
        <v>43612</v>
      </c>
      <c r="Y325" s="340" t="s">
        <v>737</v>
      </c>
      <c r="Z325" s="340" t="s">
        <v>2312</v>
      </c>
      <c r="AA325" s="449">
        <v>43678</v>
      </c>
      <c r="AB325" s="340" t="s">
        <v>2309</v>
      </c>
      <c r="AC325" s="340">
        <v>1026956481</v>
      </c>
      <c r="AD325" s="340"/>
      <c r="AE325" s="340"/>
      <c r="AF325" s="340"/>
      <c r="AG325" s="431"/>
      <c r="AH325" s="431">
        <v>31.454999999999998</v>
      </c>
      <c r="AI325" s="432"/>
      <c r="AJ325" s="455">
        <v>43633</v>
      </c>
      <c r="AK325" s="432" t="s">
        <v>2310</v>
      </c>
      <c r="AL325" s="432" t="s">
        <v>2311</v>
      </c>
      <c r="AM325" s="431" t="s">
        <v>49</v>
      </c>
      <c r="AN325" s="369" t="s">
        <v>284</v>
      </c>
      <c r="AO325" s="431" t="s">
        <v>50</v>
      </c>
      <c r="AP325" s="431" t="s">
        <v>51</v>
      </c>
      <c r="AQ325" s="372" t="s">
        <v>439</v>
      </c>
    </row>
    <row r="326" spans="1:43" ht="15.75" customHeight="1">
      <c r="A326" s="19">
        <v>43523</v>
      </c>
      <c r="B326" s="20" t="s">
        <v>325</v>
      </c>
      <c r="C326" s="21">
        <v>2027739</v>
      </c>
      <c r="D326" s="22" t="s">
        <v>736</v>
      </c>
      <c r="E326" s="23" t="s">
        <v>41</v>
      </c>
      <c r="F326" s="24">
        <v>10</v>
      </c>
      <c r="G326" s="25">
        <v>273</v>
      </c>
      <c r="H326" s="26">
        <f>G326*F326</f>
        <v>2730</v>
      </c>
      <c r="I326" s="27" t="s">
        <v>42</v>
      </c>
      <c r="J326" s="82" t="s">
        <v>732</v>
      </c>
      <c r="K326" s="29">
        <v>43619</v>
      </c>
      <c r="L326" s="29"/>
      <c r="M326" s="606">
        <v>43608</v>
      </c>
      <c r="N326" s="636" t="s">
        <v>44</v>
      </c>
      <c r="O326" s="639" t="s">
        <v>2313</v>
      </c>
      <c r="P326" s="661"/>
      <c r="Q326" s="661">
        <v>2100</v>
      </c>
      <c r="R326" s="661"/>
      <c r="S326" s="661"/>
      <c r="T326" s="612"/>
      <c r="U326" s="612">
        <v>65447</v>
      </c>
      <c r="V326" s="641" t="s">
        <v>46</v>
      </c>
      <c r="W326" s="449">
        <v>43646</v>
      </c>
      <c r="X326" s="449">
        <v>43602</v>
      </c>
      <c r="Y326" s="340" t="s">
        <v>738</v>
      </c>
      <c r="Z326" s="340">
        <v>65447</v>
      </c>
      <c r="AA326" s="411">
        <v>43631</v>
      </c>
      <c r="AB326" s="340" t="s">
        <v>2309</v>
      </c>
      <c r="AC326" s="340">
        <v>1026956481</v>
      </c>
      <c r="AD326" s="340"/>
      <c r="AE326" s="340"/>
      <c r="AF326" s="340"/>
      <c r="AG326" s="431"/>
      <c r="AH326" s="431">
        <v>31.454999999999998</v>
      </c>
      <c r="AI326" s="432"/>
      <c r="AJ326" s="455">
        <v>43633</v>
      </c>
      <c r="AK326" s="432">
        <f>16099.96*31.46</f>
        <v>506504.74160000001</v>
      </c>
      <c r="AL326" s="432">
        <f>(16108-16099.96)*31.46</f>
        <v>252.93840000002749</v>
      </c>
      <c r="AM326" s="431" t="s">
        <v>49</v>
      </c>
      <c r="AN326" s="369" t="s">
        <v>284</v>
      </c>
      <c r="AO326" s="431" t="s">
        <v>50</v>
      </c>
      <c r="AP326" s="431" t="s">
        <v>51</v>
      </c>
      <c r="AQ326" s="372" t="s">
        <v>439</v>
      </c>
    </row>
    <row r="327" spans="1:43" ht="15.75" customHeight="1">
      <c r="A327" s="19">
        <v>43523</v>
      </c>
      <c r="B327" s="20" t="s">
        <v>325</v>
      </c>
      <c r="C327" s="21">
        <v>2027739</v>
      </c>
      <c r="D327" s="22" t="s">
        <v>739</v>
      </c>
      <c r="E327" s="23" t="s">
        <v>60</v>
      </c>
      <c r="F327" s="24">
        <v>10</v>
      </c>
      <c r="G327" s="25">
        <v>542</v>
      </c>
      <c r="H327" s="456"/>
      <c r="I327" s="27" t="s">
        <v>42</v>
      </c>
      <c r="J327" s="82" t="s">
        <v>732</v>
      </c>
      <c r="K327" s="29">
        <v>43619</v>
      </c>
      <c r="L327" s="29"/>
      <c r="M327" s="606">
        <v>43612</v>
      </c>
      <c r="N327" s="636" t="s">
        <v>53</v>
      </c>
      <c r="O327" s="639" t="s">
        <v>2308</v>
      </c>
      <c r="P327" s="640"/>
      <c r="Q327" s="640">
        <v>5040</v>
      </c>
      <c r="R327" s="640"/>
      <c r="S327" s="640"/>
      <c r="T327" s="640"/>
      <c r="U327" s="640">
        <v>158180</v>
      </c>
      <c r="V327" s="610" t="s">
        <v>55</v>
      </c>
      <c r="W327" s="449">
        <v>43677</v>
      </c>
      <c r="X327" s="449">
        <v>43612</v>
      </c>
      <c r="Y327" s="340" t="s">
        <v>737</v>
      </c>
      <c r="Z327" s="340" t="s">
        <v>2312</v>
      </c>
      <c r="AA327" s="449">
        <v>43678</v>
      </c>
      <c r="AB327" s="340" t="s">
        <v>2309</v>
      </c>
      <c r="AC327" s="340">
        <v>1026956481</v>
      </c>
      <c r="AD327" s="340"/>
      <c r="AE327" s="340"/>
      <c r="AF327" s="340"/>
      <c r="AG327" s="431"/>
      <c r="AH327" s="431">
        <v>31.454999999999998</v>
      </c>
      <c r="AI327" s="432"/>
      <c r="AJ327" s="455">
        <v>43633</v>
      </c>
      <c r="AK327" s="432" t="s">
        <v>2310</v>
      </c>
      <c r="AL327" s="432" t="s">
        <v>2311</v>
      </c>
      <c r="AM327" s="431" t="s">
        <v>49</v>
      </c>
      <c r="AN327" s="369" t="s">
        <v>284</v>
      </c>
      <c r="AO327" s="431" t="s">
        <v>50</v>
      </c>
      <c r="AP327" s="431" t="s">
        <v>51</v>
      </c>
      <c r="AQ327" s="372" t="s">
        <v>439</v>
      </c>
    </row>
    <row r="328" spans="1:43" ht="15.75" customHeight="1">
      <c r="A328" s="19">
        <v>43523</v>
      </c>
      <c r="B328" s="20" t="s">
        <v>39</v>
      </c>
      <c r="C328" s="21">
        <v>2027739</v>
      </c>
      <c r="D328" s="22" t="s">
        <v>740</v>
      </c>
      <c r="E328" s="23" t="s">
        <v>52</v>
      </c>
      <c r="F328" s="24">
        <v>10</v>
      </c>
      <c r="G328" s="25">
        <v>31</v>
      </c>
      <c r="H328" s="26">
        <f t="shared" ref="H328:H361" si="26">G328*F328</f>
        <v>310</v>
      </c>
      <c r="I328" s="27" t="s">
        <v>42</v>
      </c>
      <c r="J328" s="82" t="s">
        <v>732</v>
      </c>
      <c r="K328" s="29">
        <v>43648</v>
      </c>
      <c r="L328" s="29"/>
      <c r="M328" s="30">
        <v>43636</v>
      </c>
      <c r="N328" s="31" t="s">
        <v>53</v>
      </c>
      <c r="O328" s="32" t="s">
        <v>2314</v>
      </c>
      <c r="P328" s="22"/>
      <c r="Q328" s="22">
        <v>226.8</v>
      </c>
      <c r="R328" s="22"/>
      <c r="S328" s="22"/>
      <c r="T328" s="22"/>
      <c r="U328" s="22">
        <v>7128</v>
      </c>
      <c r="V328" s="32" t="s">
        <v>55</v>
      </c>
      <c r="W328" s="349">
        <v>43677</v>
      </c>
      <c r="X328" s="349">
        <v>43635</v>
      </c>
      <c r="Y328" s="350" t="s">
        <v>741</v>
      </c>
      <c r="Z328" s="350">
        <v>166195</v>
      </c>
      <c r="AA328" s="349">
        <v>43678</v>
      </c>
      <c r="AB328" s="350" t="s">
        <v>2315</v>
      </c>
      <c r="AC328" s="350">
        <v>1027528274</v>
      </c>
      <c r="AD328" s="350"/>
      <c r="AE328" s="350"/>
      <c r="AF328" s="350"/>
      <c r="AG328" s="82"/>
      <c r="AH328" s="82"/>
      <c r="AI328" s="430"/>
      <c r="AJ328" s="145">
        <v>43668</v>
      </c>
      <c r="AK328" s="430" t="s">
        <v>2316</v>
      </c>
      <c r="AL328" s="430" t="s">
        <v>2317</v>
      </c>
      <c r="AM328" s="82" t="s">
        <v>49</v>
      </c>
      <c r="AN328" s="82" t="s">
        <v>284</v>
      </c>
      <c r="AO328" s="82" t="s">
        <v>50</v>
      </c>
      <c r="AP328" s="82" t="s">
        <v>51</v>
      </c>
      <c r="AQ328" s="457" t="s">
        <v>742</v>
      </c>
    </row>
    <row r="329" spans="1:43" ht="15.75" customHeight="1">
      <c r="A329" s="19">
        <v>43523</v>
      </c>
      <c r="B329" s="20" t="s">
        <v>39</v>
      </c>
      <c r="C329" s="21">
        <v>2027739</v>
      </c>
      <c r="D329" s="22" t="s">
        <v>740</v>
      </c>
      <c r="E329" s="23" t="s">
        <v>58</v>
      </c>
      <c r="F329" s="24">
        <v>10</v>
      </c>
      <c r="G329" s="25">
        <v>4</v>
      </c>
      <c r="H329" s="26">
        <f t="shared" si="26"/>
        <v>40</v>
      </c>
      <c r="I329" s="27" t="s">
        <v>42</v>
      </c>
      <c r="J329" s="82" t="s">
        <v>732</v>
      </c>
      <c r="K329" s="29">
        <v>43648</v>
      </c>
      <c r="L329" s="29"/>
      <c r="M329" s="30">
        <v>43636</v>
      </c>
      <c r="N329" s="31" t="s">
        <v>53</v>
      </c>
      <c r="O329" s="32" t="s">
        <v>2314</v>
      </c>
      <c r="P329" s="22"/>
      <c r="Q329" s="22">
        <v>21</v>
      </c>
      <c r="R329" s="22"/>
      <c r="S329" s="22"/>
      <c r="T329" s="22"/>
      <c r="U329" s="22">
        <v>660</v>
      </c>
      <c r="V329" s="32" t="s">
        <v>55</v>
      </c>
      <c r="W329" s="349">
        <v>43677</v>
      </c>
      <c r="X329" s="349">
        <v>43635</v>
      </c>
      <c r="Y329" s="350" t="s">
        <v>741</v>
      </c>
      <c r="Z329" s="350" t="s">
        <v>2318</v>
      </c>
      <c r="AA329" s="349">
        <v>43678</v>
      </c>
      <c r="AB329" s="350" t="s">
        <v>2315</v>
      </c>
      <c r="AC329" s="350">
        <v>1027528274</v>
      </c>
      <c r="AD329" s="350"/>
      <c r="AE329" s="350"/>
      <c r="AF329" s="350"/>
      <c r="AG329" s="82"/>
      <c r="AH329" s="82"/>
      <c r="AI329" s="430"/>
      <c r="AJ329" s="145">
        <v>43668</v>
      </c>
      <c r="AK329" s="430" t="s">
        <v>2316</v>
      </c>
      <c r="AL329" s="430" t="s">
        <v>2317</v>
      </c>
      <c r="AM329" s="82" t="s">
        <v>49</v>
      </c>
      <c r="AN329" s="82" t="s">
        <v>284</v>
      </c>
      <c r="AO329" s="82" t="s">
        <v>50</v>
      </c>
      <c r="AP329" s="82" t="s">
        <v>51</v>
      </c>
      <c r="AQ329" s="457" t="s">
        <v>742</v>
      </c>
    </row>
    <row r="330" spans="1:43" ht="15.75" customHeight="1">
      <c r="A330" s="19">
        <v>43523</v>
      </c>
      <c r="B330" s="20" t="s">
        <v>39</v>
      </c>
      <c r="C330" s="21">
        <v>2027739</v>
      </c>
      <c r="D330" s="22" t="s">
        <v>740</v>
      </c>
      <c r="E330" s="458" t="s">
        <v>41</v>
      </c>
      <c r="F330" s="24">
        <v>10</v>
      </c>
      <c r="G330" s="25">
        <v>273</v>
      </c>
      <c r="H330" s="26">
        <f t="shared" si="26"/>
        <v>2730</v>
      </c>
      <c r="I330" s="27" t="s">
        <v>42</v>
      </c>
      <c r="J330" s="82" t="s">
        <v>732</v>
      </c>
      <c r="K330" s="29">
        <v>43648</v>
      </c>
      <c r="L330" s="29"/>
      <c r="M330" s="30">
        <v>43636</v>
      </c>
      <c r="N330" s="31" t="s">
        <v>44</v>
      </c>
      <c r="O330" s="32" t="s">
        <v>2319</v>
      </c>
      <c r="P330" s="47"/>
      <c r="Q330" s="47">
        <v>2100</v>
      </c>
      <c r="R330" s="47"/>
      <c r="S330" s="47"/>
      <c r="T330" s="406"/>
      <c r="U330" s="406">
        <v>66175</v>
      </c>
      <c r="V330" s="35" t="s">
        <v>46</v>
      </c>
      <c r="W330" s="349">
        <v>43661</v>
      </c>
      <c r="X330" s="349">
        <v>43630</v>
      </c>
      <c r="Y330" s="350" t="s">
        <v>743</v>
      </c>
      <c r="Z330" s="350">
        <v>66175</v>
      </c>
      <c r="AA330" s="459">
        <v>43661</v>
      </c>
      <c r="AB330" s="350" t="s">
        <v>2315</v>
      </c>
      <c r="AC330" s="350">
        <v>1027528274</v>
      </c>
      <c r="AD330" s="350"/>
      <c r="AE330" s="350"/>
      <c r="AF330" s="350"/>
      <c r="AG330" s="82"/>
      <c r="AH330" s="82"/>
      <c r="AI330" s="430"/>
      <c r="AJ330" s="145">
        <v>43668</v>
      </c>
      <c r="AK330" s="430">
        <f>8493.55*31.03</f>
        <v>263554.85649999999</v>
      </c>
      <c r="AL330" s="430">
        <v>200</v>
      </c>
      <c r="AM330" s="82" t="s">
        <v>49</v>
      </c>
      <c r="AN330" s="82" t="s">
        <v>284</v>
      </c>
      <c r="AO330" s="82" t="s">
        <v>50</v>
      </c>
      <c r="AP330" s="82" t="s">
        <v>51</v>
      </c>
      <c r="AQ330" s="457" t="s">
        <v>742</v>
      </c>
    </row>
    <row r="331" spans="1:43" ht="15.75" customHeight="1">
      <c r="A331" s="19">
        <v>43523</v>
      </c>
      <c r="B331" s="20" t="s">
        <v>39</v>
      </c>
      <c r="C331" s="21">
        <v>2027739</v>
      </c>
      <c r="D331" s="22" t="s">
        <v>744</v>
      </c>
      <c r="E331" s="23" t="s">
        <v>60</v>
      </c>
      <c r="F331" s="24">
        <v>10</v>
      </c>
      <c r="G331" s="25">
        <v>542</v>
      </c>
      <c r="H331" s="26">
        <f t="shared" si="26"/>
        <v>5420</v>
      </c>
      <c r="I331" s="27" t="s">
        <v>42</v>
      </c>
      <c r="J331" s="82" t="s">
        <v>732</v>
      </c>
      <c r="K331" s="29">
        <v>43648</v>
      </c>
      <c r="L331" s="29"/>
      <c r="M331" s="30">
        <v>43636</v>
      </c>
      <c r="N331" s="31" t="s">
        <v>53</v>
      </c>
      <c r="O331" s="32" t="s">
        <v>2314</v>
      </c>
      <c r="P331" s="22"/>
      <c r="Q331" s="22">
        <v>5040</v>
      </c>
      <c r="R331" s="22"/>
      <c r="S331" s="22"/>
      <c r="T331" s="22"/>
      <c r="U331" s="22">
        <v>158407</v>
      </c>
      <c r="V331" s="51" t="s">
        <v>55</v>
      </c>
      <c r="W331" s="349">
        <v>43677</v>
      </c>
      <c r="X331" s="349">
        <v>43635</v>
      </c>
      <c r="Y331" s="350" t="s">
        <v>741</v>
      </c>
      <c r="Z331" s="350" t="s">
        <v>2318</v>
      </c>
      <c r="AA331" s="349">
        <v>43678</v>
      </c>
      <c r="AB331" s="350" t="s">
        <v>2315</v>
      </c>
      <c r="AC331" s="350">
        <v>1027528274</v>
      </c>
      <c r="AD331" s="350"/>
      <c r="AE331" s="350"/>
      <c r="AF331" s="350"/>
      <c r="AG331" s="82"/>
      <c r="AH331" s="82"/>
      <c r="AI331" s="430"/>
      <c r="AJ331" s="145">
        <v>43668</v>
      </c>
      <c r="AK331" s="430" t="s">
        <v>2316</v>
      </c>
      <c r="AL331" s="430" t="s">
        <v>2317</v>
      </c>
      <c r="AM331" s="82" t="s">
        <v>49</v>
      </c>
      <c r="AN331" s="82" t="s">
        <v>284</v>
      </c>
      <c r="AO331" s="82" t="s">
        <v>50</v>
      </c>
      <c r="AP331" s="82" t="s">
        <v>51</v>
      </c>
      <c r="AQ331" s="457" t="s">
        <v>742</v>
      </c>
    </row>
    <row r="332" spans="1:43" ht="15.75" customHeight="1">
      <c r="A332" s="19">
        <v>43523</v>
      </c>
      <c r="B332" s="20" t="s">
        <v>39</v>
      </c>
      <c r="C332" s="21">
        <v>2027739</v>
      </c>
      <c r="D332" s="22" t="s">
        <v>745</v>
      </c>
      <c r="E332" s="23" t="s">
        <v>52</v>
      </c>
      <c r="F332" s="24">
        <v>10</v>
      </c>
      <c r="G332" s="25">
        <v>31</v>
      </c>
      <c r="H332" s="26">
        <f t="shared" si="26"/>
        <v>310</v>
      </c>
      <c r="I332" s="27" t="s">
        <v>42</v>
      </c>
      <c r="J332" s="82" t="s">
        <v>732</v>
      </c>
      <c r="K332" s="146">
        <v>43682</v>
      </c>
      <c r="L332" s="146"/>
      <c r="M332" s="30">
        <v>43675</v>
      </c>
      <c r="N332" s="31" t="s">
        <v>53</v>
      </c>
      <c r="O332" s="32" t="s">
        <v>2320</v>
      </c>
      <c r="P332" s="22"/>
      <c r="Q332" s="22">
        <v>226.8</v>
      </c>
      <c r="R332" s="22"/>
      <c r="S332" s="22"/>
      <c r="T332" s="22"/>
      <c r="U332" s="22">
        <v>7040</v>
      </c>
      <c r="V332" s="32" t="s">
        <v>55</v>
      </c>
      <c r="W332" s="349">
        <v>43738</v>
      </c>
      <c r="X332" s="349">
        <v>43672</v>
      </c>
      <c r="Y332" s="350" t="s">
        <v>746</v>
      </c>
      <c r="Z332" s="350">
        <v>164133</v>
      </c>
      <c r="AA332" s="349">
        <v>43738</v>
      </c>
      <c r="AB332" s="350" t="s">
        <v>2321</v>
      </c>
      <c r="AC332" s="350">
        <v>1028163312</v>
      </c>
      <c r="AD332" s="350"/>
      <c r="AE332" s="350"/>
      <c r="AF332" s="350"/>
      <c r="AG332" s="82"/>
      <c r="AH332" s="82"/>
      <c r="AI332" s="430"/>
      <c r="AJ332" s="145">
        <v>43696</v>
      </c>
      <c r="AK332" s="430" t="s">
        <v>2322</v>
      </c>
      <c r="AL332" s="430" t="s">
        <v>2323</v>
      </c>
      <c r="AM332" s="82" t="s">
        <v>49</v>
      </c>
      <c r="AN332" s="296" t="s">
        <v>284</v>
      </c>
      <c r="AO332" s="82" t="s">
        <v>50</v>
      </c>
      <c r="AP332" s="82" t="s">
        <v>51</v>
      </c>
      <c r="AQ332" s="234" t="s">
        <v>506</v>
      </c>
    </row>
    <row r="333" spans="1:43" ht="15.75" customHeight="1">
      <c r="A333" s="19">
        <v>43523</v>
      </c>
      <c r="B333" s="20" t="s">
        <v>39</v>
      </c>
      <c r="C333" s="21">
        <v>2027739</v>
      </c>
      <c r="D333" s="22" t="s">
        <v>745</v>
      </c>
      <c r="E333" s="23" t="s">
        <v>58</v>
      </c>
      <c r="F333" s="24">
        <v>10</v>
      </c>
      <c r="G333" s="25">
        <v>4</v>
      </c>
      <c r="H333" s="26">
        <f t="shared" si="26"/>
        <v>40</v>
      </c>
      <c r="I333" s="27" t="s">
        <v>42</v>
      </c>
      <c r="J333" s="82" t="s">
        <v>732</v>
      </c>
      <c r="K333" s="146">
        <v>43682</v>
      </c>
      <c r="L333" s="146"/>
      <c r="M333" s="30">
        <v>43675</v>
      </c>
      <c r="N333" s="31" t="s">
        <v>53</v>
      </c>
      <c r="O333" s="32" t="s">
        <v>2320</v>
      </c>
      <c r="P333" s="22"/>
      <c r="Q333" s="22">
        <v>21</v>
      </c>
      <c r="R333" s="22"/>
      <c r="S333" s="22"/>
      <c r="T333" s="22"/>
      <c r="U333" s="22">
        <v>651</v>
      </c>
      <c r="V333" s="32" t="s">
        <v>55</v>
      </c>
      <c r="W333" s="349">
        <v>43738</v>
      </c>
      <c r="X333" s="349">
        <v>43672</v>
      </c>
      <c r="Y333" s="350" t="s">
        <v>746</v>
      </c>
      <c r="Z333" s="350" t="s">
        <v>2324</v>
      </c>
      <c r="AA333" s="349">
        <v>43738</v>
      </c>
      <c r="AB333" s="350" t="s">
        <v>2321</v>
      </c>
      <c r="AC333" s="350">
        <v>1028163312</v>
      </c>
      <c r="AD333" s="350"/>
      <c r="AE333" s="350"/>
      <c r="AF333" s="350"/>
      <c r="AG333" s="82"/>
      <c r="AH333" s="82"/>
      <c r="AI333" s="430"/>
      <c r="AJ333" s="145">
        <v>43696</v>
      </c>
      <c r="AK333" s="430" t="s">
        <v>2322</v>
      </c>
      <c r="AL333" s="430" t="s">
        <v>2323</v>
      </c>
      <c r="AM333" s="82" t="s">
        <v>49</v>
      </c>
      <c r="AN333" s="296" t="s">
        <v>284</v>
      </c>
      <c r="AO333" s="82" t="s">
        <v>50</v>
      </c>
      <c r="AP333" s="82" t="s">
        <v>51</v>
      </c>
      <c r="AQ333" s="234" t="s">
        <v>506</v>
      </c>
    </row>
    <row r="334" spans="1:43" ht="15.75" customHeight="1">
      <c r="A334" s="19">
        <v>43523</v>
      </c>
      <c r="B334" s="20" t="s">
        <v>39</v>
      </c>
      <c r="C334" s="21">
        <v>2027739</v>
      </c>
      <c r="D334" s="22" t="s">
        <v>745</v>
      </c>
      <c r="E334" s="23" t="s">
        <v>41</v>
      </c>
      <c r="F334" s="24">
        <v>10</v>
      </c>
      <c r="G334" s="25">
        <v>273</v>
      </c>
      <c r="H334" s="26">
        <f t="shared" si="26"/>
        <v>2730</v>
      </c>
      <c r="I334" s="27" t="s">
        <v>42</v>
      </c>
      <c r="J334" s="82" t="s">
        <v>732</v>
      </c>
      <c r="K334" s="146">
        <v>43682</v>
      </c>
      <c r="L334" s="146"/>
      <c r="M334" s="30">
        <v>43665</v>
      </c>
      <c r="N334" s="31" t="s">
        <v>44</v>
      </c>
      <c r="O334" s="32" t="s">
        <v>2325</v>
      </c>
      <c r="P334" s="47"/>
      <c r="Q334" s="47">
        <v>2100</v>
      </c>
      <c r="R334" s="47"/>
      <c r="S334" s="47"/>
      <c r="T334" s="406"/>
      <c r="U334" s="406">
        <v>65262</v>
      </c>
      <c r="V334" s="35" t="s">
        <v>46</v>
      </c>
      <c r="W334" s="349">
        <v>43695</v>
      </c>
      <c r="X334" s="349">
        <v>43665</v>
      </c>
      <c r="Y334" s="350" t="s">
        <v>747</v>
      </c>
      <c r="Z334" s="350">
        <v>65262</v>
      </c>
      <c r="AA334" s="349">
        <v>43696</v>
      </c>
      <c r="AB334" s="350" t="s">
        <v>2321</v>
      </c>
      <c r="AC334" s="350">
        <v>1028163312</v>
      </c>
      <c r="AD334" s="350"/>
      <c r="AE334" s="350"/>
      <c r="AF334" s="350"/>
      <c r="AG334" s="82"/>
      <c r="AH334" s="82"/>
      <c r="AI334" s="430"/>
      <c r="AJ334" s="145">
        <v>43696</v>
      </c>
      <c r="AK334" s="430">
        <f>8493.61*31.31</f>
        <v>265934.92910000001</v>
      </c>
      <c r="AL334" s="430">
        <f>(8500-8493.61)*31.31</f>
        <v>200.07089999998178</v>
      </c>
      <c r="AM334" s="82" t="s">
        <v>49</v>
      </c>
      <c r="AN334" s="296" t="s">
        <v>284</v>
      </c>
      <c r="AO334" s="82" t="s">
        <v>50</v>
      </c>
      <c r="AP334" s="82" t="s">
        <v>51</v>
      </c>
      <c r="AQ334" s="234" t="s">
        <v>506</v>
      </c>
    </row>
    <row r="335" spans="1:43" ht="15.75" customHeight="1">
      <c r="A335" s="19">
        <v>43523</v>
      </c>
      <c r="B335" s="20" t="s">
        <v>39</v>
      </c>
      <c r="C335" s="21">
        <v>2027739</v>
      </c>
      <c r="D335" s="22" t="s">
        <v>748</v>
      </c>
      <c r="E335" s="23" t="s">
        <v>60</v>
      </c>
      <c r="F335" s="24">
        <v>10</v>
      </c>
      <c r="G335" s="25">
        <v>542</v>
      </c>
      <c r="H335" s="26">
        <f t="shared" si="26"/>
        <v>5420</v>
      </c>
      <c r="I335" s="27" t="s">
        <v>42</v>
      </c>
      <c r="J335" s="82" t="s">
        <v>732</v>
      </c>
      <c r="K335" s="146">
        <v>43682</v>
      </c>
      <c r="L335" s="146"/>
      <c r="M335" s="30">
        <v>43675</v>
      </c>
      <c r="N335" s="31" t="s">
        <v>53</v>
      </c>
      <c r="O335" s="32" t="s">
        <v>2320</v>
      </c>
      <c r="P335" s="22"/>
      <c r="Q335" s="22">
        <v>5040</v>
      </c>
      <c r="R335" s="22"/>
      <c r="S335" s="22"/>
      <c r="T335" s="22"/>
      <c r="U335" s="22">
        <v>156442</v>
      </c>
      <c r="V335" s="51" t="s">
        <v>55</v>
      </c>
      <c r="W335" s="349">
        <v>43738</v>
      </c>
      <c r="X335" s="349">
        <v>43672</v>
      </c>
      <c r="Y335" s="350" t="s">
        <v>746</v>
      </c>
      <c r="Z335" s="350" t="s">
        <v>2324</v>
      </c>
      <c r="AA335" s="349">
        <v>43738</v>
      </c>
      <c r="AB335" s="350" t="s">
        <v>2321</v>
      </c>
      <c r="AC335" s="350">
        <v>1028163312</v>
      </c>
      <c r="AD335" s="350"/>
      <c r="AE335" s="350"/>
      <c r="AF335" s="350"/>
      <c r="AG335" s="82"/>
      <c r="AH335" s="82"/>
      <c r="AI335" s="430"/>
      <c r="AJ335" s="145">
        <v>43696</v>
      </c>
      <c r="AK335" s="430" t="s">
        <v>2322</v>
      </c>
      <c r="AL335" s="430" t="s">
        <v>2323</v>
      </c>
      <c r="AM335" s="82" t="s">
        <v>49</v>
      </c>
      <c r="AN335" s="296" t="s">
        <v>284</v>
      </c>
      <c r="AO335" s="82" t="s">
        <v>50</v>
      </c>
      <c r="AP335" s="82" t="s">
        <v>51</v>
      </c>
      <c r="AQ335" s="234" t="s">
        <v>506</v>
      </c>
    </row>
    <row r="336" spans="1:43" ht="15.75" customHeight="1">
      <c r="A336" s="19">
        <v>43523</v>
      </c>
      <c r="B336" s="20" t="s">
        <v>39</v>
      </c>
      <c r="C336" s="21">
        <v>2027739</v>
      </c>
      <c r="D336" s="22" t="s">
        <v>749</v>
      </c>
      <c r="E336" s="23" t="s">
        <v>41</v>
      </c>
      <c r="F336" s="24">
        <v>5</v>
      </c>
      <c r="G336" s="25">
        <v>273</v>
      </c>
      <c r="H336" s="26">
        <f t="shared" si="26"/>
        <v>1365</v>
      </c>
      <c r="I336" s="27" t="s">
        <v>42</v>
      </c>
      <c r="J336" s="82" t="s">
        <v>732</v>
      </c>
      <c r="K336" s="29">
        <v>43706</v>
      </c>
      <c r="L336" s="29"/>
      <c r="M336" s="30">
        <v>43699</v>
      </c>
      <c r="N336" s="31" t="s">
        <v>44</v>
      </c>
      <c r="O336" s="32" t="s">
        <v>2326</v>
      </c>
      <c r="P336" s="47"/>
      <c r="Q336" s="47">
        <v>1050</v>
      </c>
      <c r="R336" s="47"/>
      <c r="S336" s="47"/>
      <c r="T336" s="406"/>
      <c r="U336" s="406">
        <v>32975</v>
      </c>
      <c r="V336" s="35" t="s">
        <v>46</v>
      </c>
      <c r="W336" s="349">
        <v>43728</v>
      </c>
      <c r="X336" s="349">
        <v>43698</v>
      </c>
      <c r="Y336" s="350" t="s">
        <v>750</v>
      </c>
      <c r="Z336" s="350">
        <v>32975</v>
      </c>
      <c r="AA336" s="349">
        <v>43728</v>
      </c>
      <c r="AB336" s="350" t="s">
        <v>2327</v>
      </c>
      <c r="AC336" s="350">
        <v>1028617853</v>
      </c>
      <c r="AD336" s="350">
        <v>31.315000000000001</v>
      </c>
      <c r="AE336" s="350"/>
      <c r="AF336" s="350"/>
      <c r="AG336" s="82"/>
      <c r="AH336" s="82"/>
      <c r="AI336" s="430"/>
      <c r="AJ336" s="145">
        <v>43724</v>
      </c>
      <c r="AK336" s="430">
        <f>4243.53*30.92</f>
        <v>131209.94759999998</v>
      </c>
      <c r="AL336" s="430">
        <f>(4250-4243.53)*30.92</f>
        <v>200.05240000000788</v>
      </c>
      <c r="AM336" s="82" t="s">
        <v>49</v>
      </c>
      <c r="AN336" s="296" t="s">
        <v>284</v>
      </c>
      <c r="AO336" s="82" t="s">
        <v>50</v>
      </c>
      <c r="AP336" s="82" t="s">
        <v>51</v>
      </c>
      <c r="AQ336" s="234" t="s">
        <v>506</v>
      </c>
    </row>
    <row r="337" spans="1:43" ht="15.75" customHeight="1">
      <c r="A337" s="19">
        <v>43523</v>
      </c>
      <c r="B337" s="20" t="s">
        <v>39</v>
      </c>
      <c r="C337" s="21">
        <v>2027739</v>
      </c>
      <c r="D337" s="22" t="s">
        <v>749</v>
      </c>
      <c r="E337" s="23" t="s">
        <v>52</v>
      </c>
      <c r="F337" s="24">
        <v>5</v>
      </c>
      <c r="G337" s="25">
        <v>31</v>
      </c>
      <c r="H337" s="26">
        <f t="shared" si="26"/>
        <v>155</v>
      </c>
      <c r="I337" s="27" t="s">
        <v>42</v>
      </c>
      <c r="J337" s="82" t="s">
        <v>732</v>
      </c>
      <c r="K337" s="29">
        <v>43706</v>
      </c>
      <c r="L337" s="29"/>
      <c r="M337" s="30">
        <v>43703</v>
      </c>
      <c r="N337" s="31" t="s">
        <v>53</v>
      </c>
      <c r="O337" s="32" t="s">
        <v>2328</v>
      </c>
      <c r="P337" s="22"/>
      <c r="Q337" s="22">
        <v>113.4</v>
      </c>
      <c r="R337" s="22"/>
      <c r="S337" s="22"/>
      <c r="T337" s="22"/>
      <c r="U337" s="22">
        <v>3560</v>
      </c>
      <c r="V337" s="32" t="s">
        <v>55</v>
      </c>
      <c r="W337" s="459">
        <v>43769</v>
      </c>
      <c r="X337" s="349">
        <v>43711</v>
      </c>
      <c r="Y337" s="350" t="s">
        <v>751</v>
      </c>
      <c r="Z337" s="350">
        <v>82992</v>
      </c>
      <c r="AA337" s="350"/>
      <c r="AB337" s="350" t="s">
        <v>2327</v>
      </c>
      <c r="AC337" s="350">
        <v>1028617853</v>
      </c>
      <c r="AD337" s="350">
        <v>31.315000000000001</v>
      </c>
      <c r="AE337" s="350"/>
      <c r="AF337" s="350"/>
      <c r="AG337" s="82"/>
      <c r="AH337" s="82"/>
      <c r="AI337" s="430"/>
      <c r="AJ337" s="145">
        <v>43724</v>
      </c>
      <c r="AK337" s="430" t="s">
        <v>2329</v>
      </c>
      <c r="AL337" s="430" t="s">
        <v>2330</v>
      </c>
      <c r="AM337" s="82" t="s">
        <v>49</v>
      </c>
      <c r="AN337" s="296" t="s">
        <v>284</v>
      </c>
      <c r="AO337" s="82" t="s">
        <v>50</v>
      </c>
      <c r="AP337" s="82" t="s">
        <v>51</v>
      </c>
      <c r="AQ337" s="234" t="s">
        <v>506</v>
      </c>
    </row>
    <row r="338" spans="1:43" ht="15.75" customHeight="1">
      <c r="A338" s="19">
        <v>43523</v>
      </c>
      <c r="B338" s="20" t="s">
        <v>39</v>
      </c>
      <c r="C338" s="21">
        <v>2027739</v>
      </c>
      <c r="D338" s="22" t="s">
        <v>749</v>
      </c>
      <c r="E338" s="23" t="s">
        <v>58</v>
      </c>
      <c r="F338" s="24">
        <v>5</v>
      </c>
      <c r="G338" s="25">
        <v>4</v>
      </c>
      <c r="H338" s="26">
        <f t="shared" si="26"/>
        <v>20</v>
      </c>
      <c r="I338" s="27" t="s">
        <v>42</v>
      </c>
      <c r="J338" s="82" t="s">
        <v>732</v>
      </c>
      <c r="K338" s="29">
        <v>43706</v>
      </c>
      <c r="L338" s="29"/>
      <c r="M338" s="30">
        <v>43703</v>
      </c>
      <c r="N338" s="31" t="s">
        <v>53</v>
      </c>
      <c r="O338" s="32" t="s">
        <v>2328</v>
      </c>
      <c r="P338" s="22"/>
      <c r="Q338" s="22">
        <v>10.5</v>
      </c>
      <c r="R338" s="22"/>
      <c r="S338" s="22"/>
      <c r="T338" s="22"/>
      <c r="U338" s="22">
        <v>330</v>
      </c>
      <c r="V338" s="32" t="s">
        <v>55</v>
      </c>
      <c r="W338" s="459">
        <v>43769</v>
      </c>
      <c r="X338" s="349">
        <v>43711</v>
      </c>
      <c r="Y338" s="350" t="s">
        <v>751</v>
      </c>
      <c r="Z338" s="350" t="s">
        <v>2331</v>
      </c>
      <c r="AA338" s="350"/>
      <c r="AB338" s="350" t="s">
        <v>2327</v>
      </c>
      <c r="AC338" s="350">
        <v>1028617853</v>
      </c>
      <c r="AD338" s="350">
        <v>31.315000000000001</v>
      </c>
      <c r="AE338" s="350"/>
      <c r="AF338" s="350"/>
      <c r="AG338" s="82"/>
      <c r="AH338" s="82"/>
      <c r="AI338" s="430"/>
      <c r="AJ338" s="145">
        <v>43724</v>
      </c>
      <c r="AK338" s="430" t="s">
        <v>2329</v>
      </c>
      <c r="AL338" s="430" t="s">
        <v>2330</v>
      </c>
      <c r="AM338" s="82" t="s">
        <v>49</v>
      </c>
      <c r="AN338" s="296" t="s">
        <v>284</v>
      </c>
      <c r="AO338" s="82" t="s">
        <v>50</v>
      </c>
      <c r="AP338" s="82" t="s">
        <v>51</v>
      </c>
      <c r="AQ338" s="234" t="s">
        <v>506</v>
      </c>
    </row>
    <row r="339" spans="1:43" ht="15.75" customHeight="1">
      <c r="A339" s="19">
        <v>43523</v>
      </c>
      <c r="B339" s="20" t="s">
        <v>39</v>
      </c>
      <c r="C339" s="21">
        <v>2027739</v>
      </c>
      <c r="D339" s="22" t="s">
        <v>752</v>
      </c>
      <c r="E339" s="23" t="s">
        <v>60</v>
      </c>
      <c r="F339" s="24">
        <v>5</v>
      </c>
      <c r="G339" s="25">
        <v>542</v>
      </c>
      <c r="H339" s="26">
        <f t="shared" si="26"/>
        <v>2710</v>
      </c>
      <c r="I339" s="27" t="s">
        <v>42</v>
      </c>
      <c r="J339" s="82" t="s">
        <v>732</v>
      </c>
      <c r="K339" s="29">
        <v>43706</v>
      </c>
      <c r="L339" s="29"/>
      <c r="M339" s="30">
        <v>43703</v>
      </c>
      <c r="N339" s="31" t="s">
        <v>53</v>
      </c>
      <c r="O339" s="32" t="s">
        <v>2328</v>
      </c>
      <c r="P339" s="22"/>
      <c r="Q339" s="22">
        <v>2520</v>
      </c>
      <c r="R339" s="22"/>
      <c r="S339" s="22"/>
      <c r="T339" s="22"/>
      <c r="U339" s="22">
        <v>79102</v>
      </c>
      <c r="V339" s="51" t="s">
        <v>55</v>
      </c>
      <c r="W339" s="459">
        <v>43769</v>
      </c>
      <c r="X339" s="349">
        <v>43711</v>
      </c>
      <c r="Y339" s="350" t="s">
        <v>751</v>
      </c>
      <c r="Z339" s="350" t="s">
        <v>2331</v>
      </c>
      <c r="AA339" s="350"/>
      <c r="AB339" s="350" t="s">
        <v>2327</v>
      </c>
      <c r="AC339" s="350">
        <v>1028617853</v>
      </c>
      <c r="AD339" s="350">
        <v>31.315000000000001</v>
      </c>
      <c r="AE339" s="350"/>
      <c r="AF339" s="350"/>
      <c r="AG339" s="82"/>
      <c r="AH339" s="82"/>
      <c r="AI339" s="430"/>
      <c r="AJ339" s="145">
        <v>43724</v>
      </c>
      <c r="AK339" s="430" t="s">
        <v>2329</v>
      </c>
      <c r="AL339" s="430" t="s">
        <v>2330</v>
      </c>
      <c r="AM339" s="82" t="s">
        <v>49</v>
      </c>
      <c r="AN339" s="296" t="s">
        <v>284</v>
      </c>
      <c r="AO339" s="82" t="s">
        <v>50</v>
      </c>
      <c r="AP339" s="82" t="s">
        <v>51</v>
      </c>
      <c r="AQ339" s="234" t="s">
        <v>506</v>
      </c>
    </row>
    <row r="340" spans="1:43" ht="15.75" customHeight="1">
      <c r="A340" s="19">
        <v>43523</v>
      </c>
      <c r="B340" s="20" t="s">
        <v>39</v>
      </c>
      <c r="C340" s="21">
        <v>2027739</v>
      </c>
      <c r="D340" s="22" t="s">
        <v>753</v>
      </c>
      <c r="E340" s="23" t="s">
        <v>52</v>
      </c>
      <c r="F340" s="24">
        <v>5</v>
      </c>
      <c r="G340" s="25">
        <v>31</v>
      </c>
      <c r="H340" s="26">
        <f t="shared" si="26"/>
        <v>155</v>
      </c>
      <c r="I340" s="27" t="s">
        <v>42</v>
      </c>
      <c r="J340" s="82" t="s">
        <v>732</v>
      </c>
      <c r="K340" s="29">
        <v>43740</v>
      </c>
      <c r="L340" s="29"/>
      <c r="M340" s="30">
        <v>43733</v>
      </c>
      <c r="N340" s="31" t="s">
        <v>53</v>
      </c>
      <c r="O340" s="32" t="s">
        <v>2332</v>
      </c>
      <c r="P340" s="22"/>
      <c r="Q340" s="22">
        <v>113.4</v>
      </c>
      <c r="R340" s="22"/>
      <c r="S340" s="22"/>
      <c r="T340" s="22"/>
      <c r="U340" s="22">
        <v>3511</v>
      </c>
      <c r="V340" s="32" t="s">
        <v>55</v>
      </c>
      <c r="W340" s="459">
        <v>43769</v>
      </c>
      <c r="X340" s="349">
        <v>43732</v>
      </c>
      <c r="Y340" s="350" t="s">
        <v>754</v>
      </c>
      <c r="Z340" s="350">
        <v>81855</v>
      </c>
      <c r="AA340" s="350"/>
      <c r="AB340" s="350" t="s">
        <v>2333</v>
      </c>
      <c r="AC340" s="350">
        <v>1029248674</v>
      </c>
      <c r="AD340" s="350">
        <v>30.97</v>
      </c>
      <c r="AE340" s="350"/>
      <c r="AF340" s="350"/>
      <c r="AG340" s="82"/>
      <c r="AH340" s="82"/>
      <c r="AI340" s="430"/>
      <c r="AJ340" s="30">
        <v>43759</v>
      </c>
      <c r="AK340" s="430" t="s">
        <v>2334</v>
      </c>
      <c r="AL340" s="430" t="s">
        <v>2335</v>
      </c>
      <c r="AM340" s="82" t="s">
        <v>49</v>
      </c>
      <c r="AN340" s="296" t="s">
        <v>284</v>
      </c>
      <c r="AO340" s="82" t="s">
        <v>50</v>
      </c>
      <c r="AP340" s="82" t="s">
        <v>51</v>
      </c>
      <c r="AQ340" s="457" t="s">
        <v>755</v>
      </c>
    </row>
    <row r="341" spans="1:43" ht="15.75" customHeight="1">
      <c r="A341" s="19">
        <v>43523</v>
      </c>
      <c r="B341" s="20" t="s">
        <v>39</v>
      </c>
      <c r="C341" s="21">
        <v>2027739</v>
      </c>
      <c r="D341" s="22" t="s">
        <v>753</v>
      </c>
      <c r="E341" s="23" t="s">
        <v>41</v>
      </c>
      <c r="F341" s="24">
        <v>5</v>
      </c>
      <c r="G341" s="25">
        <v>273</v>
      </c>
      <c r="H341" s="26">
        <f t="shared" si="26"/>
        <v>1365</v>
      </c>
      <c r="I341" s="27" t="s">
        <v>42</v>
      </c>
      <c r="J341" s="82" t="s">
        <v>732</v>
      </c>
      <c r="K341" s="29">
        <v>43740</v>
      </c>
      <c r="L341" s="29"/>
      <c r="M341" s="30">
        <v>43725</v>
      </c>
      <c r="N341" s="31" t="s">
        <v>44</v>
      </c>
      <c r="O341" s="32" t="s">
        <v>2336</v>
      </c>
      <c r="P341" s="47"/>
      <c r="Q341" s="47">
        <v>1050</v>
      </c>
      <c r="R341" s="47"/>
      <c r="S341" s="47"/>
      <c r="T341" s="406"/>
      <c r="U341" s="406">
        <v>32608</v>
      </c>
      <c r="V341" s="35" t="s">
        <v>46</v>
      </c>
      <c r="W341" s="459">
        <v>43753</v>
      </c>
      <c r="X341" s="349">
        <v>43724</v>
      </c>
      <c r="Y341" s="350" t="s">
        <v>756</v>
      </c>
      <c r="Z341" s="350">
        <v>32608</v>
      </c>
      <c r="AA341" s="349">
        <v>43743</v>
      </c>
      <c r="AB341" s="350" t="s">
        <v>2333</v>
      </c>
      <c r="AC341" s="350">
        <v>1029248674</v>
      </c>
      <c r="AD341" s="350">
        <v>30.97</v>
      </c>
      <c r="AE341" s="350"/>
      <c r="AF341" s="350"/>
      <c r="AG341" s="82"/>
      <c r="AH341" s="82"/>
      <c r="AI341" s="430"/>
      <c r="AJ341" s="30">
        <v>43759</v>
      </c>
      <c r="AK341" s="430">
        <f>4243.44*30.51</f>
        <v>129467.3544</v>
      </c>
      <c r="AL341" s="430">
        <f>(4250-4243.44)*30.51</f>
        <v>200.14560000001222</v>
      </c>
      <c r="AM341" s="82" t="s">
        <v>49</v>
      </c>
      <c r="AN341" s="296" t="s">
        <v>284</v>
      </c>
      <c r="AO341" s="82" t="s">
        <v>50</v>
      </c>
      <c r="AP341" s="82" t="s">
        <v>51</v>
      </c>
      <c r="AQ341" s="457" t="s">
        <v>755</v>
      </c>
    </row>
    <row r="342" spans="1:43" ht="15.75" customHeight="1">
      <c r="A342" s="19">
        <v>43523</v>
      </c>
      <c r="B342" s="20" t="s">
        <v>39</v>
      </c>
      <c r="C342" s="21">
        <v>2027739</v>
      </c>
      <c r="D342" s="22" t="s">
        <v>753</v>
      </c>
      <c r="E342" s="23" t="s">
        <v>58</v>
      </c>
      <c r="F342" s="24">
        <v>5</v>
      </c>
      <c r="G342" s="25">
        <v>4</v>
      </c>
      <c r="H342" s="26">
        <f t="shared" si="26"/>
        <v>20</v>
      </c>
      <c r="I342" s="27" t="s">
        <v>42</v>
      </c>
      <c r="J342" s="82" t="s">
        <v>732</v>
      </c>
      <c r="K342" s="29">
        <v>43740</v>
      </c>
      <c r="L342" s="29"/>
      <c r="M342" s="30">
        <v>43733</v>
      </c>
      <c r="N342" s="31" t="s">
        <v>53</v>
      </c>
      <c r="O342" s="32" t="s">
        <v>2332</v>
      </c>
      <c r="P342" s="22"/>
      <c r="Q342" s="22">
        <v>10.5</v>
      </c>
      <c r="R342" s="22"/>
      <c r="S342" s="22"/>
      <c r="T342" s="22"/>
      <c r="U342" s="22">
        <v>325</v>
      </c>
      <c r="V342" s="32" t="s">
        <v>55</v>
      </c>
      <c r="W342" s="459">
        <v>43769</v>
      </c>
      <c r="X342" s="349">
        <v>43732</v>
      </c>
      <c r="Y342" s="350" t="s">
        <v>754</v>
      </c>
      <c r="Z342" s="350" t="s">
        <v>2337</v>
      </c>
      <c r="AA342" s="350"/>
      <c r="AB342" s="350" t="s">
        <v>2333</v>
      </c>
      <c r="AC342" s="350">
        <v>1029248674</v>
      </c>
      <c r="AD342" s="350">
        <v>30.97</v>
      </c>
      <c r="AE342" s="350"/>
      <c r="AF342" s="350"/>
      <c r="AG342" s="82"/>
      <c r="AH342" s="82"/>
      <c r="AI342" s="430"/>
      <c r="AJ342" s="30">
        <v>43759</v>
      </c>
      <c r="AK342" s="430" t="s">
        <v>2334</v>
      </c>
      <c r="AL342" s="430" t="s">
        <v>2335</v>
      </c>
      <c r="AM342" s="82" t="s">
        <v>49</v>
      </c>
      <c r="AN342" s="296" t="s">
        <v>284</v>
      </c>
      <c r="AO342" s="82" t="s">
        <v>50</v>
      </c>
      <c r="AP342" s="82" t="s">
        <v>51</v>
      </c>
      <c r="AQ342" s="457" t="s">
        <v>755</v>
      </c>
    </row>
    <row r="343" spans="1:43" ht="15.75" customHeight="1">
      <c r="A343" s="19">
        <v>43523</v>
      </c>
      <c r="B343" s="20" t="s">
        <v>39</v>
      </c>
      <c r="C343" s="21">
        <v>2027739</v>
      </c>
      <c r="D343" s="22" t="s">
        <v>757</v>
      </c>
      <c r="E343" s="23" t="s">
        <v>60</v>
      </c>
      <c r="F343" s="24">
        <v>5</v>
      </c>
      <c r="G343" s="25">
        <v>542</v>
      </c>
      <c r="H343" s="26">
        <f t="shared" si="26"/>
        <v>2710</v>
      </c>
      <c r="I343" s="27" t="s">
        <v>42</v>
      </c>
      <c r="J343" s="82" t="s">
        <v>732</v>
      </c>
      <c r="K343" s="29">
        <v>43740</v>
      </c>
      <c r="L343" s="29"/>
      <c r="M343" s="30">
        <v>43733</v>
      </c>
      <c r="N343" s="31" t="s">
        <v>53</v>
      </c>
      <c r="O343" s="32" t="s">
        <v>2332</v>
      </c>
      <c r="P343" s="22"/>
      <c r="Q343" s="22">
        <v>2520</v>
      </c>
      <c r="R343" s="22"/>
      <c r="S343" s="22"/>
      <c r="T343" s="22"/>
      <c r="U343" s="22">
        <v>78019</v>
      </c>
      <c r="V343" s="51" t="s">
        <v>55</v>
      </c>
      <c r="W343" s="459">
        <v>43769</v>
      </c>
      <c r="X343" s="349">
        <v>43732</v>
      </c>
      <c r="Y343" s="350" t="s">
        <v>754</v>
      </c>
      <c r="Z343" s="350" t="s">
        <v>2337</v>
      </c>
      <c r="AA343" s="350"/>
      <c r="AB343" s="350" t="s">
        <v>2333</v>
      </c>
      <c r="AC343" s="662">
        <v>1029248674</v>
      </c>
      <c r="AD343" s="350">
        <v>30.97</v>
      </c>
      <c r="AE343" s="350"/>
      <c r="AF343" s="350"/>
      <c r="AG343" s="82"/>
      <c r="AH343" s="82"/>
      <c r="AI343" s="430"/>
      <c r="AJ343" s="30">
        <v>43759</v>
      </c>
      <c r="AK343" s="430" t="s">
        <v>2334</v>
      </c>
      <c r="AL343" s="430" t="s">
        <v>2335</v>
      </c>
      <c r="AM343" s="82" t="s">
        <v>49</v>
      </c>
      <c r="AN343" s="296" t="s">
        <v>284</v>
      </c>
      <c r="AO343" s="82" t="s">
        <v>50</v>
      </c>
      <c r="AP343" s="82" t="s">
        <v>51</v>
      </c>
      <c r="AQ343" s="457" t="s">
        <v>755</v>
      </c>
    </row>
    <row r="344" spans="1:43" ht="15.75" customHeight="1">
      <c r="A344" s="19">
        <v>43523</v>
      </c>
      <c r="B344" s="20" t="s">
        <v>39</v>
      </c>
      <c r="C344" s="21">
        <v>2027739</v>
      </c>
      <c r="D344" s="22" t="s">
        <v>758</v>
      </c>
      <c r="E344" s="23" t="s">
        <v>41</v>
      </c>
      <c r="F344" s="24">
        <v>5</v>
      </c>
      <c r="G344" s="25">
        <v>273</v>
      </c>
      <c r="H344" s="26">
        <f t="shared" si="26"/>
        <v>1365</v>
      </c>
      <c r="I344" s="27" t="s">
        <v>42</v>
      </c>
      <c r="J344" s="82" t="s">
        <v>732</v>
      </c>
      <c r="K344" s="29">
        <v>43773</v>
      </c>
      <c r="L344" s="29"/>
      <c r="M344" s="30">
        <v>43759</v>
      </c>
      <c r="N344" s="31" t="s">
        <v>44</v>
      </c>
      <c r="O344" s="32" t="s">
        <v>2338</v>
      </c>
      <c r="P344" s="47"/>
      <c r="Q344" s="47">
        <v>1050</v>
      </c>
      <c r="R344" s="47"/>
      <c r="S344" s="47"/>
      <c r="T344" s="406"/>
      <c r="U344" s="406"/>
      <c r="V344" s="35" t="s">
        <v>46</v>
      </c>
      <c r="W344" s="350"/>
      <c r="X344" s="350"/>
      <c r="Y344" s="350"/>
      <c r="Z344" s="350"/>
      <c r="AA344" s="350"/>
      <c r="AB344" s="350" t="s">
        <v>2339</v>
      </c>
      <c r="AC344" s="229">
        <v>1029844326</v>
      </c>
      <c r="AD344" s="350">
        <v>30.52</v>
      </c>
      <c r="AE344" s="350"/>
      <c r="AF344" s="350"/>
      <c r="AG344" s="82"/>
      <c r="AH344" s="82"/>
      <c r="AI344" s="430"/>
      <c r="AJ344" s="30">
        <v>43791</v>
      </c>
      <c r="AK344" s="430">
        <f>8493.43*30.457</f>
        <v>258684.39751000001</v>
      </c>
      <c r="AL344" s="430">
        <f>(8500-8493.43)*30.457</f>
        <v>200.10248999999115</v>
      </c>
      <c r="AM344" s="82" t="s">
        <v>49</v>
      </c>
      <c r="AN344" s="296" t="s">
        <v>284</v>
      </c>
      <c r="AO344" s="82" t="s">
        <v>50</v>
      </c>
      <c r="AP344" s="82" t="s">
        <v>51</v>
      </c>
      <c r="AQ344" s="457" t="s">
        <v>755</v>
      </c>
    </row>
    <row r="345" spans="1:43" ht="15.75" customHeight="1">
      <c r="A345" s="19">
        <v>43523</v>
      </c>
      <c r="B345" s="20" t="s">
        <v>39</v>
      </c>
      <c r="C345" s="21">
        <v>2027739</v>
      </c>
      <c r="D345" s="22" t="s">
        <v>758</v>
      </c>
      <c r="E345" s="23" t="s">
        <v>52</v>
      </c>
      <c r="F345" s="24">
        <v>5</v>
      </c>
      <c r="G345" s="25">
        <v>31</v>
      </c>
      <c r="H345" s="26">
        <f t="shared" si="26"/>
        <v>155</v>
      </c>
      <c r="I345" s="27" t="s">
        <v>42</v>
      </c>
      <c r="J345" s="82" t="s">
        <v>732</v>
      </c>
      <c r="K345" s="29">
        <v>43773</v>
      </c>
      <c r="L345" s="29"/>
      <c r="M345" s="30">
        <v>43766</v>
      </c>
      <c r="N345" s="31" t="s">
        <v>53</v>
      </c>
      <c r="O345" s="32" t="s">
        <v>2340</v>
      </c>
      <c r="P345" s="22"/>
      <c r="Q345" s="22">
        <v>113.4</v>
      </c>
      <c r="R345" s="22"/>
      <c r="S345" s="22"/>
      <c r="T345" s="22"/>
      <c r="U345" s="22">
        <v>80916</v>
      </c>
      <c r="V345" s="35" t="s">
        <v>55</v>
      </c>
      <c r="W345" s="459">
        <v>43830</v>
      </c>
      <c r="X345" s="459">
        <v>43766</v>
      </c>
      <c r="Y345" s="350" t="s">
        <v>759</v>
      </c>
      <c r="Z345" s="350" t="s">
        <v>2341</v>
      </c>
      <c r="AA345" s="350"/>
      <c r="AB345" s="350" t="s">
        <v>2339</v>
      </c>
      <c r="AC345" s="229">
        <v>1029844326</v>
      </c>
      <c r="AD345" s="350">
        <v>30.52</v>
      </c>
      <c r="AE345" s="350"/>
      <c r="AF345" s="350"/>
      <c r="AG345" s="82"/>
      <c r="AH345" s="82"/>
      <c r="AI345" s="430"/>
      <c r="AJ345" s="30">
        <v>43791</v>
      </c>
      <c r="AK345" s="430" t="s">
        <v>2342</v>
      </c>
      <c r="AL345" s="430" t="s">
        <v>2343</v>
      </c>
      <c r="AM345" s="82" t="s">
        <v>49</v>
      </c>
      <c r="AN345" s="296" t="s">
        <v>284</v>
      </c>
      <c r="AO345" s="82" t="s">
        <v>50</v>
      </c>
      <c r="AP345" s="82" t="s">
        <v>51</v>
      </c>
      <c r="AQ345" s="457" t="s">
        <v>755</v>
      </c>
    </row>
    <row r="346" spans="1:43" ht="15.75" customHeight="1">
      <c r="A346" s="19">
        <v>43523</v>
      </c>
      <c r="B346" s="20" t="s">
        <v>39</v>
      </c>
      <c r="C346" s="21">
        <v>2027739</v>
      </c>
      <c r="D346" s="22" t="s">
        <v>758</v>
      </c>
      <c r="E346" s="23" t="s">
        <v>58</v>
      </c>
      <c r="F346" s="24">
        <v>5</v>
      </c>
      <c r="G346" s="25">
        <v>4</v>
      </c>
      <c r="H346" s="26">
        <f t="shared" si="26"/>
        <v>20</v>
      </c>
      <c r="I346" s="27" t="s">
        <v>42</v>
      </c>
      <c r="J346" s="82" t="s">
        <v>732</v>
      </c>
      <c r="K346" s="29">
        <v>43773</v>
      </c>
      <c r="L346" s="29"/>
      <c r="M346" s="30">
        <v>43766</v>
      </c>
      <c r="N346" s="31" t="s">
        <v>53</v>
      </c>
      <c r="O346" s="32" t="s">
        <v>2340</v>
      </c>
      <c r="P346" s="22"/>
      <c r="Q346" s="22">
        <v>10.5</v>
      </c>
      <c r="R346" s="22"/>
      <c r="S346" s="22"/>
      <c r="T346" s="22"/>
      <c r="U346" s="22" t="s">
        <v>2344</v>
      </c>
      <c r="V346" s="35" t="s">
        <v>55</v>
      </c>
      <c r="W346" s="459">
        <v>43830</v>
      </c>
      <c r="X346" s="459">
        <v>43766</v>
      </c>
      <c r="Y346" s="350" t="s">
        <v>759</v>
      </c>
      <c r="Z346" s="350" t="s">
        <v>2341</v>
      </c>
      <c r="AA346" s="350"/>
      <c r="AB346" s="350" t="s">
        <v>2339</v>
      </c>
      <c r="AC346" s="229">
        <v>1029844326</v>
      </c>
      <c r="AD346" s="350">
        <v>30.52</v>
      </c>
      <c r="AE346" s="350"/>
      <c r="AF346" s="350"/>
      <c r="AG346" s="82"/>
      <c r="AH346" s="82"/>
      <c r="AI346" s="430"/>
      <c r="AJ346" s="30">
        <v>43791</v>
      </c>
      <c r="AK346" s="430" t="s">
        <v>2342</v>
      </c>
      <c r="AL346" s="430" t="s">
        <v>2343</v>
      </c>
      <c r="AM346" s="82" t="s">
        <v>49</v>
      </c>
      <c r="AN346" s="296" t="s">
        <v>284</v>
      </c>
      <c r="AO346" s="82" t="s">
        <v>50</v>
      </c>
      <c r="AP346" s="82" t="s">
        <v>51</v>
      </c>
      <c r="AQ346" s="457" t="s">
        <v>755</v>
      </c>
    </row>
    <row r="347" spans="1:43" ht="15.75" customHeight="1">
      <c r="A347" s="19">
        <v>43523</v>
      </c>
      <c r="B347" s="20" t="s">
        <v>39</v>
      </c>
      <c r="C347" s="21">
        <v>2027739</v>
      </c>
      <c r="D347" s="22" t="s">
        <v>760</v>
      </c>
      <c r="E347" s="23" t="s">
        <v>60</v>
      </c>
      <c r="F347" s="24">
        <v>5</v>
      </c>
      <c r="G347" s="25">
        <v>542</v>
      </c>
      <c r="H347" s="26">
        <f t="shared" si="26"/>
        <v>2710</v>
      </c>
      <c r="I347" s="27" t="s">
        <v>42</v>
      </c>
      <c r="J347" s="82" t="s">
        <v>732</v>
      </c>
      <c r="K347" s="29">
        <v>43773</v>
      </c>
      <c r="L347" s="29"/>
      <c r="M347" s="30">
        <v>43766</v>
      </c>
      <c r="N347" s="31" t="s">
        <v>53</v>
      </c>
      <c r="O347" s="32" t="s">
        <v>2340</v>
      </c>
      <c r="P347" s="22"/>
      <c r="Q347" s="22">
        <v>2520</v>
      </c>
      <c r="R347" s="22"/>
      <c r="S347" s="22"/>
      <c r="T347" s="22"/>
      <c r="U347" s="22" t="s">
        <v>2344</v>
      </c>
      <c r="V347" s="51" t="s">
        <v>55</v>
      </c>
      <c r="W347" s="459">
        <v>43830</v>
      </c>
      <c r="X347" s="459">
        <v>43766</v>
      </c>
      <c r="Y347" s="350" t="s">
        <v>759</v>
      </c>
      <c r="Z347" s="350" t="s">
        <v>2341</v>
      </c>
      <c r="AA347" s="350"/>
      <c r="AB347" s="350" t="s">
        <v>2339</v>
      </c>
      <c r="AC347" s="350">
        <v>1029844326</v>
      </c>
      <c r="AD347" s="350">
        <v>30.52</v>
      </c>
      <c r="AE347" s="350"/>
      <c r="AF347" s="350"/>
      <c r="AG347" s="82"/>
      <c r="AH347" s="82"/>
      <c r="AI347" s="430"/>
      <c r="AJ347" s="30">
        <v>43791</v>
      </c>
      <c r="AK347" s="430" t="s">
        <v>2342</v>
      </c>
      <c r="AL347" s="430" t="s">
        <v>2343</v>
      </c>
      <c r="AM347" s="82" t="s">
        <v>49</v>
      </c>
      <c r="AN347" s="296" t="s">
        <v>284</v>
      </c>
      <c r="AO347" s="82" t="s">
        <v>50</v>
      </c>
      <c r="AP347" s="82" t="s">
        <v>51</v>
      </c>
      <c r="AQ347" s="457" t="s">
        <v>755</v>
      </c>
    </row>
    <row r="348" spans="1:43" ht="15.75" customHeight="1">
      <c r="A348" s="19">
        <v>43523</v>
      </c>
      <c r="B348" s="20" t="s">
        <v>39</v>
      </c>
      <c r="C348" s="21">
        <v>2027739</v>
      </c>
      <c r="D348" s="22" t="s">
        <v>761</v>
      </c>
      <c r="E348" s="23" t="s">
        <v>41</v>
      </c>
      <c r="F348" s="24">
        <v>5</v>
      </c>
      <c r="G348" s="25">
        <v>273</v>
      </c>
      <c r="H348" s="26">
        <f t="shared" si="26"/>
        <v>1365</v>
      </c>
      <c r="I348" s="27" t="s">
        <v>42</v>
      </c>
      <c r="J348" s="82" t="s">
        <v>732</v>
      </c>
      <c r="K348" s="29">
        <v>43773</v>
      </c>
      <c r="L348" s="29"/>
      <c r="M348" s="30">
        <v>43759</v>
      </c>
      <c r="N348" s="31" t="s">
        <v>44</v>
      </c>
      <c r="O348" s="32" t="s">
        <v>2345</v>
      </c>
      <c r="P348" s="47"/>
      <c r="Q348" s="47">
        <v>1050</v>
      </c>
      <c r="R348" s="47"/>
      <c r="S348" s="47"/>
      <c r="T348" s="406"/>
      <c r="U348" s="406">
        <v>32215</v>
      </c>
      <c r="V348" s="35" t="s">
        <v>46</v>
      </c>
      <c r="W348" s="459">
        <v>43786</v>
      </c>
      <c r="X348" s="459">
        <v>43756</v>
      </c>
      <c r="Y348" s="350" t="s">
        <v>63</v>
      </c>
      <c r="Z348" s="350">
        <v>64430</v>
      </c>
      <c r="AA348" s="350"/>
      <c r="AB348" s="350" t="s">
        <v>2339</v>
      </c>
      <c r="AC348" s="535">
        <v>1029844326</v>
      </c>
      <c r="AD348" s="350">
        <v>30.52</v>
      </c>
      <c r="AE348" s="350"/>
      <c r="AF348" s="350"/>
      <c r="AG348" s="82"/>
      <c r="AH348" s="82"/>
      <c r="AI348" s="430"/>
      <c r="AJ348" s="30">
        <v>43791</v>
      </c>
      <c r="AK348" s="430" t="s">
        <v>2342</v>
      </c>
      <c r="AL348" s="430" t="s">
        <v>2343</v>
      </c>
      <c r="AM348" s="82" t="s">
        <v>49</v>
      </c>
      <c r="AN348" s="296" t="s">
        <v>284</v>
      </c>
      <c r="AO348" s="82" t="s">
        <v>50</v>
      </c>
      <c r="AP348" s="82" t="s">
        <v>51</v>
      </c>
      <c r="AQ348" s="457" t="s">
        <v>755</v>
      </c>
    </row>
    <row r="349" spans="1:43" ht="15.75" customHeight="1">
      <c r="A349" s="19">
        <v>43523</v>
      </c>
      <c r="B349" s="20" t="s">
        <v>39</v>
      </c>
      <c r="C349" s="21">
        <v>2027739</v>
      </c>
      <c r="D349" s="22" t="s">
        <v>761</v>
      </c>
      <c r="E349" s="23" t="s">
        <v>52</v>
      </c>
      <c r="F349" s="24">
        <v>5</v>
      </c>
      <c r="G349" s="25">
        <v>31</v>
      </c>
      <c r="H349" s="26">
        <f t="shared" si="26"/>
        <v>155</v>
      </c>
      <c r="I349" s="27" t="s">
        <v>42</v>
      </c>
      <c r="J349" s="82" t="s">
        <v>732</v>
      </c>
      <c r="K349" s="29">
        <v>43773</v>
      </c>
      <c r="L349" s="29"/>
      <c r="M349" s="30">
        <v>43766</v>
      </c>
      <c r="N349" s="31" t="s">
        <v>53</v>
      </c>
      <c r="O349" s="32" t="s">
        <v>2346</v>
      </c>
      <c r="P349" s="22"/>
      <c r="Q349" s="22">
        <v>113.4</v>
      </c>
      <c r="R349" s="22"/>
      <c r="S349" s="22"/>
      <c r="T349" s="22"/>
      <c r="U349" s="22">
        <v>80917</v>
      </c>
      <c r="V349" s="32" t="s">
        <v>55</v>
      </c>
      <c r="W349" s="459">
        <v>43830</v>
      </c>
      <c r="X349" s="459">
        <v>43766</v>
      </c>
      <c r="Y349" s="350" t="s">
        <v>759</v>
      </c>
      <c r="Z349" s="350">
        <v>161833</v>
      </c>
      <c r="AA349" s="350"/>
      <c r="AB349" s="350" t="s">
        <v>2339</v>
      </c>
      <c r="AC349" s="535">
        <v>1029844326</v>
      </c>
      <c r="AD349" s="350">
        <v>30.52</v>
      </c>
      <c r="AE349" s="350"/>
      <c r="AF349" s="350"/>
      <c r="AG349" s="82"/>
      <c r="AH349" s="82"/>
      <c r="AI349" s="430"/>
      <c r="AJ349" s="30">
        <v>43791</v>
      </c>
      <c r="AK349" s="430" t="s">
        <v>2342</v>
      </c>
      <c r="AL349" s="430" t="s">
        <v>2343</v>
      </c>
      <c r="AM349" s="82" t="s">
        <v>49</v>
      </c>
      <c r="AN349" s="296" t="s">
        <v>284</v>
      </c>
      <c r="AO349" s="82" t="s">
        <v>50</v>
      </c>
      <c r="AP349" s="82" t="s">
        <v>51</v>
      </c>
      <c r="AQ349" s="457" t="s">
        <v>755</v>
      </c>
    </row>
    <row r="350" spans="1:43" ht="15.75" customHeight="1">
      <c r="A350" s="19">
        <v>43523</v>
      </c>
      <c r="B350" s="20" t="s">
        <v>39</v>
      </c>
      <c r="C350" s="21">
        <v>2027739</v>
      </c>
      <c r="D350" s="22" t="s">
        <v>761</v>
      </c>
      <c r="E350" s="23" t="s">
        <v>58</v>
      </c>
      <c r="F350" s="24">
        <v>5</v>
      </c>
      <c r="G350" s="25">
        <v>4</v>
      </c>
      <c r="H350" s="26">
        <f t="shared" si="26"/>
        <v>20</v>
      </c>
      <c r="I350" s="27" t="s">
        <v>42</v>
      </c>
      <c r="J350" s="82" t="s">
        <v>732</v>
      </c>
      <c r="K350" s="29">
        <v>43773</v>
      </c>
      <c r="L350" s="29"/>
      <c r="M350" s="30">
        <v>43766</v>
      </c>
      <c r="N350" s="31" t="s">
        <v>53</v>
      </c>
      <c r="O350" s="32" t="s">
        <v>2346</v>
      </c>
      <c r="P350" s="22"/>
      <c r="Q350" s="22">
        <v>10.5</v>
      </c>
      <c r="R350" s="22"/>
      <c r="S350" s="22"/>
      <c r="T350" s="22"/>
      <c r="U350" s="22" t="s">
        <v>2344</v>
      </c>
      <c r="V350" s="32" t="s">
        <v>55</v>
      </c>
      <c r="W350" s="459">
        <v>43830</v>
      </c>
      <c r="X350" s="459">
        <v>43766</v>
      </c>
      <c r="Y350" s="350" t="s">
        <v>759</v>
      </c>
      <c r="Z350" s="350" t="s">
        <v>2341</v>
      </c>
      <c r="AA350" s="350"/>
      <c r="AB350" s="350" t="s">
        <v>2339</v>
      </c>
      <c r="AC350" s="535">
        <v>1029844326</v>
      </c>
      <c r="AD350" s="350">
        <v>30.52</v>
      </c>
      <c r="AE350" s="350"/>
      <c r="AF350" s="350"/>
      <c r="AG350" s="82"/>
      <c r="AH350" s="82"/>
      <c r="AI350" s="430"/>
      <c r="AJ350" s="30">
        <v>43791</v>
      </c>
      <c r="AK350" s="430" t="s">
        <v>2342</v>
      </c>
      <c r="AL350" s="430" t="s">
        <v>2343</v>
      </c>
      <c r="AM350" s="82" t="s">
        <v>49</v>
      </c>
      <c r="AN350" s="296" t="s">
        <v>284</v>
      </c>
      <c r="AO350" s="82" t="s">
        <v>50</v>
      </c>
      <c r="AP350" s="82" t="s">
        <v>51</v>
      </c>
      <c r="AQ350" s="457" t="s">
        <v>755</v>
      </c>
    </row>
    <row r="351" spans="1:43" ht="15.75" customHeight="1">
      <c r="A351" s="19">
        <v>43523</v>
      </c>
      <c r="B351" s="20" t="s">
        <v>39</v>
      </c>
      <c r="C351" s="21">
        <v>2027739</v>
      </c>
      <c r="D351" s="22" t="s">
        <v>762</v>
      </c>
      <c r="E351" s="23" t="s">
        <v>60</v>
      </c>
      <c r="F351" s="24">
        <v>5</v>
      </c>
      <c r="G351" s="25">
        <v>542</v>
      </c>
      <c r="H351" s="26">
        <f t="shared" si="26"/>
        <v>2710</v>
      </c>
      <c r="I351" s="27" t="s">
        <v>42</v>
      </c>
      <c r="J351" s="82" t="s">
        <v>732</v>
      </c>
      <c r="K351" s="29">
        <v>43773</v>
      </c>
      <c r="L351" s="29"/>
      <c r="M351" s="30">
        <v>43766</v>
      </c>
      <c r="N351" s="31" t="s">
        <v>53</v>
      </c>
      <c r="O351" s="32" t="s">
        <v>2346</v>
      </c>
      <c r="P351" s="22"/>
      <c r="Q351" s="22">
        <v>2520</v>
      </c>
      <c r="R351" s="22"/>
      <c r="S351" s="22"/>
      <c r="T351" s="22"/>
      <c r="U351" s="22" t="s">
        <v>2344</v>
      </c>
      <c r="V351" s="51" t="s">
        <v>55</v>
      </c>
      <c r="W351" s="459">
        <v>43830</v>
      </c>
      <c r="X351" s="459">
        <v>43766</v>
      </c>
      <c r="Y351" s="350" t="s">
        <v>759</v>
      </c>
      <c r="Z351" s="350" t="s">
        <v>2341</v>
      </c>
      <c r="AA351" s="350"/>
      <c r="AB351" s="350" t="s">
        <v>2339</v>
      </c>
      <c r="AC351" s="535">
        <v>1029844326</v>
      </c>
      <c r="AD351" s="350">
        <v>30.52</v>
      </c>
      <c r="AE351" s="350"/>
      <c r="AF351" s="350"/>
      <c r="AG351" s="82"/>
      <c r="AH351" s="82"/>
      <c r="AI351" s="430"/>
      <c r="AJ351" s="30">
        <v>43791</v>
      </c>
      <c r="AK351" s="430" t="s">
        <v>2342</v>
      </c>
      <c r="AL351" s="430" t="s">
        <v>2343</v>
      </c>
      <c r="AM351" s="82" t="s">
        <v>49</v>
      </c>
      <c r="AN351" s="296" t="s">
        <v>284</v>
      </c>
      <c r="AO351" s="82" t="s">
        <v>50</v>
      </c>
      <c r="AP351" s="82" t="s">
        <v>51</v>
      </c>
      <c r="AQ351" s="457" t="s">
        <v>755</v>
      </c>
    </row>
    <row r="352" spans="1:43" ht="15.75" customHeight="1">
      <c r="A352" s="19">
        <v>43524</v>
      </c>
      <c r="B352" s="70" t="s">
        <v>577</v>
      </c>
      <c r="C352" s="21">
        <v>20190227001</v>
      </c>
      <c r="D352" s="22" t="s">
        <v>763</v>
      </c>
      <c r="E352" s="23" t="s">
        <v>764</v>
      </c>
      <c r="F352" s="82">
        <v>1</v>
      </c>
      <c r="G352" s="143">
        <v>96.6</v>
      </c>
      <c r="H352" s="26">
        <f t="shared" si="26"/>
        <v>96.6</v>
      </c>
      <c r="I352" s="429" t="s">
        <v>170</v>
      </c>
      <c r="J352" s="161" t="s">
        <v>580</v>
      </c>
      <c r="K352" s="30">
        <v>43532</v>
      </c>
      <c r="L352" s="30"/>
      <c r="M352" s="30">
        <v>43531</v>
      </c>
      <c r="N352" s="347" t="s">
        <v>1414</v>
      </c>
      <c r="O352" s="32" t="s">
        <v>2347</v>
      </c>
      <c r="P352" s="41"/>
      <c r="Q352" s="22">
        <v>84</v>
      </c>
      <c r="R352" s="22"/>
      <c r="S352" s="22"/>
      <c r="T352" s="41"/>
      <c r="U352" s="22">
        <v>2589</v>
      </c>
      <c r="V352" s="150" t="s">
        <v>2164</v>
      </c>
      <c r="W352" s="352">
        <v>43585</v>
      </c>
      <c r="X352" s="411">
        <v>43530</v>
      </c>
      <c r="Y352" s="340" t="s">
        <v>765</v>
      </c>
      <c r="Z352" s="412">
        <v>2589</v>
      </c>
      <c r="AA352" s="449">
        <v>43586</v>
      </c>
      <c r="AB352" s="37" t="s">
        <v>2348</v>
      </c>
      <c r="AC352" s="37" t="s">
        <v>2349</v>
      </c>
      <c r="AD352" s="37">
        <v>30</v>
      </c>
      <c r="AE352" s="37">
        <v>2898</v>
      </c>
      <c r="AF352" s="603">
        <v>43530</v>
      </c>
      <c r="AG352" s="24"/>
      <c r="AH352" s="24"/>
      <c r="AI352" s="38"/>
      <c r="AJ352" s="39">
        <v>43546</v>
      </c>
      <c r="AK352" s="38"/>
      <c r="AL352" s="38"/>
      <c r="AM352" s="24" t="s">
        <v>49</v>
      </c>
      <c r="AN352" s="24" t="s">
        <v>284</v>
      </c>
      <c r="AO352" s="24" t="s">
        <v>50</v>
      </c>
      <c r="AP352" s="24" t="s">
        <v>376</v>
      </c>
      <c r="AQ352" s="40"/>
    </row>
    <row r="353" spans="1:43" ht="15.75" customHeight="1">
      <c r="A353" s="19">
        <v>43526</v>
      </c>
      <c r="B353" s="70" t="s">
        <v>118</v>
      </c>
      <c r="C353" s="21" t="s">
        <v>766</v>
      </c>
      <c r="D353" s="21" t="s">
        <v>767</v>
      </c>
      <c r="E353" s="23" t="s">
        <v>324</v>
      </c>
      <c r="F353" s="24">
        <v>10</v>
      </c>
      <c r="G353" s="143">
        <v>577</v>
      </c>
      <c r="H353" s="165">
        <f t="shared" si="26"/>
        <v>5770</v>
      </c>
      <c r="I353" s="346" t="s">
        <v>170</v>
      </c>
      <c r="J353" s="82" t="s">
        <v>121</v>
      </c>
      <c r="K353" s="30">
        <v>43564</v>
      </c>
      <c r="L353" s="30"/>
      <c r="M353" s="29">
        <v>43546</v>
      </c>
      <c r="N353" s="79" t="s">
        <v>89</v>
      </c>
      <c r="O353" s="93" t="s">
        <v>2350</v>
      </c>
      <c r="P353" s="406"/>
      <c r="Q353" s="406">
        <v>5323.5</v>
      </c>
      <c r="R353" s="406"/>
      <c r="S353" s="406"/>
      <c r="T353" s="406"/>
      <c r="U353" s="406">
        <v>164097</v>
      </c>
      <c r="V353" s="35" t="s">
        <v>93</v>
      </c>
      <c r="W353" s="292">
        <v>43585</v>
      </c>
      <c r="X353" s="408">
        <v>43545</v>
      </c>
      <c r="Y353" s="294" t="s">
        <v>768</v>
      </c>
      <c r="Z353" s="295">
        <v>429500</v>
      </c>
      <c r="AA353" s="300">
        <v>43586</v>
      </c>
      <c r="AB353" s="53" t="s">
        <v>2258</v>
      </c>
      <c r="AC353" s="53" t="s">
        <v>2259</v>
      </c>
      <c r="AD353" s="53"/>
      <c r="AE353" s="53"/>
      <c r="AF353" s="53"/>
      <c r="AG353" s="54"/>
      <c r="AH353" s="54">
        <v>30.77</v>
      </c>
      <c r="AI353" s="55">
        <f>AH353*H353</f>
        <v>177542.9</v>
      </c>
      <c r="AJ353" s="56">
        <v>43563</v>
      </c>
      <c r="AK353" s="55" t="s">
        <v>2264</v>
      </c>
      <c r="AL353" s="55" t="s">
        <v>2265</v>
      </c>
      <c r="AM353" s="54" t="s">
        <v>49</v>
      </c>
      <c r="AN353" s="24" t="s">
        <v>284</v>
      </c>
      <c r="AO353" s="54" t="s">
        <v>50</v>
      </c>
      <c r="AP353" s="54" t="s">
        <v>51</v>
      </c>
      <c r="AQ353" s="57" t="s">
        <v>397</v>
      </c>
    </row>
    <row r="354" spans="1:43" ht="15.75" customHeight="1">
      <c r="A354" s="19">
        <v>43526</v>
      </c>
      <c r="B354" s="70" t="s">
        <v>118</v>
      </c>
      <c r="C354" s="21" t="s">
        <v>766</v>
      </c>
      <c r="D354" s="21" t="s">
        <v>767</v>
      </c>
      <c r="E354" s="23" t="s">
        <v>564</v>
      </c>
      <c r="F354" s="24">
        <v>100</v>
      </c>
      <c r="G354" s="25">
        <v>105</v>
      </c>
      <c r="H354" s="60">
        <f t="shared" si="26"/>
        <v>10500</v>
      </c>
      <c r="I354" s="346" t="s">
        <v>170</v>
      </c>
      <c r="J354" s="82" t="s">
        <v>121</v>
      </c>
      <c r="K354" s="30">
        <v>43564</v>
      </c>
      <c r="L354" s="30"/>
      <c r="M354" s="29">
        <v>43546</v>
      </c>
      <c r="N354" s="79" t="s">
        <v>89</v>
      </c>
      <c r="O354" s="93" t="s">
        <v>2350</v>
      </c>
      <c r="P354" s="406"/>
      <c r="Q354" s="406">
        <v>8610</v>
      </c>
      <c r="R354" s="406"/>
      <c r="S354" s="406"/>
      <c r="T354" s="406"/>
      <c r="U354" s="406">
        <v>265403</v>
      </c>
      <c r="V354" s="35" t="s">
        <v>93</v>
      </c>
      <c r="W354" s="292">
        <v>43585</v>
      </c>
      <c r="X354" s="408">
        <v>43545</v>
      </c>
      <c r="Y354" s="294" t="s">
        <v>768</v>
      </c>
      <c r="Z354" s="294" t="s">
        <v>2351</v>
      </c>
      <c r="AA354" s="300">
        <v>43586</v>
      </c>
      <c r="AB354" s="53" t="s">
        <v>2258</v>
      </c>
      <c r="AC354" s="53" t="s">
        <v>2259</v>
      </c>
      <c r="AD354" s="53"/>
      <c r="AE354" s="53"/>
      <c r="AF354" s="53"/>
      <c r="AG354" s="54"/>
      <c r="AH354" s="54">
        <v>30.77</v>
      </c>
      <c r="AI354" s="55">
        <f>AH354*H354</f>
        <v>323085</v>
      </c>
      <c r="AJ354" s="56">
        <v>43563</v>
      </c>
      <c r="AK354" s="55" t="s">
        <v>2264</v>
      </c>
      <c r="AL354" s="55" t="s">
        <v>2265</v>
      </c>
      <c r="AM354" s="54" t="s">
        <v>49</v>
      </c>
      <c r="AN354" s="24" t="s">
        <v>284</v>
      </c>
      <c r="AO354" s="54" t="s">
        <v>50</v>
      </c>
      <c r="AP354" s="54" t="s">
        <v>51</v>
      </c>
      <c r="AQ354" s="57" t="s">
        <v>397</v>
      </c>
    </row>
    <row r="355" spans="1:43" ht="15.75" customHeight="1">
      <c r="A355" s="19">
        <v>43526</v>
      </c>
      <c r="B355" s="70" t="s">
        <v>118</v>
      </c>
      <c r="C355" s="21" t="s">
        <v>766</v>
      </c>
      <c r="D355" s="21" t="s">
        <v>767</v>
      </c>
      <c r="E355" s="23" t="s">
        <v>151</v>
      </c>
      <c r="F355" s="82">
        <v>10</v>
      </c>
      <c r="G355" s="143">
        <v>1045</v>
      </c>
      <c r="H355" s="60">
        <f t="shared" si="26"/>
        <v>10450</v>
      </c>
      <c r="I355" s="346" t="s">
        <v>170</v>
      </c>
      <c r="J355" s="82" t="s">
        <v>121</v>
      </c>
      <c r="K355" s="30">
        <v>43564</v>
      </c>
      <c r="L355" s="30"/>
      <c r="M355" s="29">
        <v>43558</v>
      </c>
      <c r="N355" s="405" t="s">
        <v>89</v>
      </c>
      <c r="O355" s="93" t="s">
        <v>2350</v>
      </c>
      <c r="P355" s="406"/>
      <c r="Q355" s="406">
        <v>9660</v>
      </c>
      <c r="R355" s="406"/>
      <c r="S355" s="406"/>
      <c r="T355" s="406"/>
      <c r="U355" s="406">
        <v>297238</v>
      </c>
      <c r="V355" s="51" t="s">
        <v>93</v>
      </c>
      <c r="W355" s="352">
        <v>43616</v>
      </c>
      <c r="X355" s="449">
        <v>43558</v>
      </c>
      <c r="Y355" s="340" t="s">
        <v>769</v>
      </c>
      <c r="Z355" s="340">
        <v>297238</v>
      </c>
      <c r="AA355" s="449">
        <v>43616</v>
      </c>
      <c r="AB355" s="350" t="s">
        <v>2258</v>
      </c>
      <c r="AC355" s="350" t="s">
        <v>2259</v>
      </c>
      <c r="AD355" s="350"/>
      <c r="AE355" s="350"/>
      <c r="AF355" s="350"/>
      <c r="AG355" s="82"/>
      <c r="AH355" s="296">
        <v>30.77</v>
      </c>
      <c r="AI355" s="297">
        <f>AH355*H355</f>
        <v>321546.5</v>
      </c>
      <c r="AJ355" s="145">
        <v>43589</v>
      </c>
      <c r="AK355" s="430" t="s">
        <v>2352</v>
      </c>
      <c r="AL355" s="430" t="s">
        <v>2353</v>
      </c>
      <c r="AM355" s="82" t="s">
        <v>49</v>
      </c>
      <c r="AN355" s="296" t="s">
        <v>284</v>
      </c>
      <c r="AO355" s="82" t="s">
        <v>50</v>
      </c>
      <c r="AP355" s="82" t="s">
        <v>51</v>
      </c>
      <c r="AQ355" s="234" t="s">
        <v>304</v>
      </c>
    </row>
    <row r="356" spans="1:43" ht="15.75" customHeight="1">
      <c r="A356" s="69">
        <v>43527</v>
      </c>
      <c r="B356" s="263" t="s">
        <v>619</v>
      </c>
      <c r="C356" s="250"/>
      <c r="D356" s="250" t="s">
        <v>770</v>
      </c>
      <c r="E356" s="23" t="s">
        <v>771</v>
      </c>
      <c r="F356" s="251">
        <v>2</v>
      </c>
      <c r="G356" s="323">
        <v>1002.75</v>
      </c>
      <c r="H356" s="334">
        <f t="shared" si="26"/>
        <v>2005.5</v>
      </c>
      <c r="I356" s="254" t="s">
        <v>42</v>
      </c>
      <c r="J356" s="367" t="s">
        <v>89</v>
      </c>
      <c r="K356" s="256">
        <v>43538</v>
      </c>
      <c r="L356" s="256"/>
      <c r="M356" s="256">
        <v>43538</v>
      </c>
      <c r="N356" s="267" t="s">
        <v>89</v>
      </c>
      <c r="O356" s="420" t="s">
        <v>2354</v>
      </c>
      <c r="P356" s="571"/>
      <c r="Q356" s="571">
        <v>1843.8</v>
      </c>
      <c r="R356" s="571"/>
      <c r="S356" s="571"/>
      <c r="T356" s="308"/>
      <c r="U356" s="308"/>
      <c r="V356" s="571" t="s">
        <v>93</v>
      </c>
      <c r="W356" s="258">
        <v>43585</v>
      </c>
      <c r="X356" s="258">
        <v>43537</v>
      </c>
      <c r="Y356" s="259" t="s">
        <v>772</v>
      </c>
      <c r="Z356" s="270">
        <v>132874</v>
      </c>
      <c r="AA356" s="368">
        <v>43586</v>
      </c>
      <c r="AB356" s="329" t="s">
        <v>2355</v>
      </c>
      <c r="AC356" s="329" t="s">
        <v>2356</v>
      </c>
      <c r="AD356" s="329">
        <v>30.9</v>
      </c>
      <c r="AE356" s="329">
        <v>145224</v>
      </c>
      <c r="AF356" s="329" t="s">
        <v>2357</v>
      </c>
      <c r="AG356" s="251"/>
      <c r="AH356" s="251"/>
      <c r="AI356" s="260"/>
      <c r="AJ356" s="261">
        <v>43546</v>
      </c>
      <c r="AK356" s="260"/>
      <c r="AL356" s="260"/>
      <c r="AM356" s="251" t="s">
        <v>49</v>
      </c>
      <c r="AN356" s="251" t="s">
        <v>284</v>
      </c>
      <c r="AO356" s="251" t="s">
        <v>50</v>
      </c>
      <c r="AP356" s="251" t="s">
        <v>376</v>
      </c>
      <c r="AQ356" s="262"/>
    </row>
    <row r="357" spans="1:43" ht="15.75" customHeight="1">
      <c r="A357" s="69">
        <v>43527</v>
      </c>
      <c r="B357" s="263" t="s">
        <v>619</v>
      </c>
      <c r="C357" s="250"/>
      <c r="D357" s="250" t="s">
        <v>770</v>
      </c>
      <c r="E357" s="23" t="s">
        <v>773</v>
      </c>
      <c r="F357" s="251">
        <v>2</v>
      </c>
      <c r="G357" s="323">
        <v>59.85</v>
      </c>
      <c r="H357" s="334">
        <f t="shared" si="26"/>
        <v>119.7</v>
      </c>
      <c r="I357" s="254" t="s">
        <v>42</v>
      </c>
      <c r="J357" s="367" t="s">
        <v>89</v>
      </c>
      <c r="K357" s="256">
        <v>43538</v>
      </c>
      <c r="L357" s="256"/>
      <c r="M357" s="256">
        <v>43538</v>
      </c>
      <c r="N357" s="267" t="s">
        <v>89</v>
      </c>
      <c r="O357" s="420" t="s">
        <v>2354</v>
      </c>
      <c r="P357" s="571"/>
      <c r="Q357" s="571">
        <v>109.2</v>
      </c>
      <c r="R357" s="571"/>
      <c r="S357" s="571"/>
      <c r="T357" s="308"/>
      <c r="U357" s="308"/>
      <c r="V357" s="571" t="s">
        <v>93</v>
      </c>
      <c r="W357" s="258">
        <v>43585</v>
      </c>
      <c r="X357" s="258">
        <v>43537</v>
      </c>
      <c r="Y357" s="259" t="s">
        <v>772</v>
      </c>
      <c r="Z357" s="259" t="s">
        <v>2358</v>
      </c>
      <c r="AA357" s="368">
        <v>43586</v>
      </c>
      <c r="AB357" s="329" t="s">
        <v>2355</v>
      </c>
      <c r="AC357" s="329" t="s">
        <v>2356</v>
      </c>
      <c r="AD357" s="329">
        <v>30.9</v>
      </c>
      <c r="AE357" s="329">
        <v>145224</v>
      </c>
      <c r="AF357" s="329" t="s">
        <v>2357</v>
      </c>
      <c r="AG357" s="251"/>
      <c r="AH357" s="251"/>
      <c r="AI357" s="260"/>
      <c r="AJ357" s="261">
        <v>43546</v>
      </c>
      <c r="AK357" s="260"/>
      <c r="AL357" s="260"/>
      <c r="AM357" s="251" t="s">
        <v>49</v>
      </c>
      <c r="AN357" s="251" t="s">
        <v>284</v>
      </c>
      <c r="AO357" s="251" t="s">
        <v>50</v>
      </c>
      <c r="AP357" s="251" t="s">
        <v>376</v>
      </c>
      <c r="AQ357" s="262"/>
    </row>
    <row r="358" spans="1:43" ht="15.75" customHeight="1">
      <c r="A358" s="69">
        <v>43527</v>
      </c>
      <c r="B358" s="263" t="s">
        <v>619</v>
      </c>
      <c r="C358" s="250"/>
      <c r="D358" s="250" t="s">
        <v>770</v>
      </c>
      <c r="E358" s="23" t="s">
        <v>774</v>
      </c>
      <c r="F358" s="251">
        <v>4</v>
      </c>
      <c r="G358" s="252">
        <v>95.55</v>
      </c>
      <c r="H358" s="334">
        <f t="shared" si="26"/>
        <v>382.2</v>
      </c>
      <c r="I358" s="264" t="s">
        <v>42</v>
      </c>
      <c r="J358" s="367" t="s">
        <v>89</v>
      </c>
      <c r="K358" s="256">
        <v>43538</v>
      </c>
      <c r="L358" s="256"/>
      <c r="M358" s="256">
        <v>43538</v>
      </c>
      <c r="N358" s="267" t="s">
        <v>89</v>
      </c>
      <c r="O358" s="420" t="s">
        <v>2354</v>
      </c>
      <c r="P358" s="571"/>
      <c r="Q358" s="571">
        <v>348.6</v>
      </c>
      <c r="R358" s="571"/>
      <c r="S358" s="571"/>
      <c r="T358" s="308"/>
      <c r="U358" s="308"/>
      <c r="V358" s="571" t="s">
        <v>93</v>
      </c>
      <c r="W358" s="258">
        <v>43585</v>
      </c>
      <c r="X358" s="258">
        <v>43537</v>
      </c>
      <c r="Y358" s="259" t="s">
        <v>772</v>
      </c>
      <c r="Z358" s="259" t="s">
        <v>2358</v>
      </c>
      <c r="AA358" s="368">
        <v>43586</v>
      </c>
      <c r="AB358" s="329" t="s">
        <v>2355</v>
      </c>
      <c r="AC358" s="329" t="s">
        <v>2356</v>
      </c>
      <c r="AD358" s="329">
        <v>30.9</v>
      </c>
      <c r="AE358" s="329">
        <v>145224</v>
      </c>
      <c r="AF358" s="329" t="s">
        <v>2357</v>
      </c>
      <c r="AG358" s="251"/>
      <c r="AH358" s="251"/>
      <c r="AI358" s="260"/>
      <c r="AJ358" s="261">
        <v>43546</v>
      </c>
      <c r="AK358" s="260"/>
      <c r="AL358" s="260"/>
      <c r="AM358" s="251" t="s">
        <v>49</v>
      </c>
      <c r="AN358" s="251" t="s">
        <v>284</v>
      </c>
      <c r="AO358" s="251" t="s">
        <v>50</v>
      </c>
      <c r="AP358" s="251" t="s">
        <v>376</v>
      </c>
      <c r="AQ358" s="262"/>
    </row>
    <row r="359" spans="1:43" ht="15.75" customHeight="1">
      <c r="A359" s="69">
        <v>43527</v>
      </c>
      <c r="B359" s="263" t="s">
        <v>619</v>
      </c>
      <c r="C359" s="250"/>
      <c r="D359" s="250" t="s">
        <v>770</v>
      </c>
      <c r="E359" s="23" t="s">
        <v>775</v>
      </c>
      <c r="F359" s="251">
        <v>8</v>
      </c>
      <c r="G359" s="252">
        <v>245.7</v>
      </c>
      <c r="H359" s="334">
        <f t="shared" si="26"/>
        <v>1965.6</v>
      </c>
      <c r="I359" s="264" t="s">
        <v>42</v>
      </c>
      <c r="J359" s="319" t="s">
        <v>89</v>
      </c>
      <c r="K359" s="256">
        <v>43538</v>
      </c>
      <c r="L359" s="256"/>
      <c r="M359" s="256">
        <v>43538</v>
      </c>
      <c r="N359" s="367" t="s">
        <v>89</v>
      </c>
      <c r="O359" s="420" t="s">
        <v>2354</v>
      </c>
      <c r="P359" s="571"/>
      <c r="Q359" s="571">
        <v>1806</v>
      </c>
      <c r="R359" s="571"/>
      <c r="S359" s="571"/>
      <c r="T359" s="308"/>
      <c r="U359" s="308"/>
      <c r="V359" s="338" t="s">
        <v>93</v>
      </c>
      <c r="W359" s="258">
        <v>43585</v>
      </c>
      <c r="X359" s="258">
        <v>43537</v>
      </c>
      <c r="Y359" s="259" t="s">
        <v>772</v>
      </c>
      <c r="Z359" s="259" t="s">
        <v>2358</v>
      </c>
      <c r="AA359" s="368">
        <v>43586</v>
      </c>
      <c r="AB359" s="329" t="s">
        <v>2355</v>
      </c>
      <c r="AC359" s="329" t="s">
        <v>2356</v>
      </c>
      <c r="AD359" s="329">
        <v>30.9</v>
      </c>
      <c r="AE359" s="329">
        <v>145224</v>
      </c>
      <c r="AF359" s="329" t="s">
        <v>2357</v>
      </c>
      <c r="AG359" s="251"/>
      <c r="AH359" s="251"/>
      <c r="AI359" s="260"/>
      <c r="AJ359" s="261">
        <v>43546</v>
      </c>
      <c r="AK359" s="260"/>
      <c r="AL359" s="260"/>
      <c r="AM359" s="251" t="s">
        <v>49</v>
      </c>
      <c r="AN359" s="251" t="s">
        <v>284</v>
      </c>
      <c r="AO359" s="251" t="s">
        <v>50</v>
      </c>
      <c r="AP359" s="251" t="s">
        <v>376</v>
      </c>
      <c r="AQ359" s="262"/>
    </row>
    <row r="360" spans="1:43" ht="15.75" customHeight="1">
      <c r="A360" s="69">
        <v>43527</v>
      </c>
      <c r="B360" s="263" t="s">
        <v>619</v>
      </c>
      <c r="C360" s="250"/>
      <c r="D360" s="250" t="s">
        <v>770</v>
      </c>
      <c r="E360" s="23" t="s">
        <v>776</v>
      </c>
      <c r="F360" s="251">
        <v>2</v>
      </c>
      <c r="G360" s="252">
        <v>113.4</v>
      </c>
      <c r="H360" s="334">
        <f t="shared" si="26"/>
        <v>226.8</v>
      </c>
      <c r="I360" s="264" t="s">
        <v>42</v>
      </c>
      <c r="J360" s="319" t="s">
        <v>89</v>
      </c>
      <c r="K360" s="256">
        <v>43538</v>
      </c>
      <c r="L360" s="256"/>
      <c r="M360" s="256">
        <v>43538</v>
      </c>
      <c r="N360" s="367" t="s">
        <v>89</v>
      </c>
      <c r="O360" s="420" t="s">
        <v>2354</v>
      </c>
      <c r="P360" s="571"/>
      <c r="Q360" s="571">
        <v>207.9</v>
      </c>
      <c r="R360" s="571"/>
      <c r="S360" s="571"/>
      <c r="T360" s="308"/>
      <c r="U360" s="308"/>
      <c r="V360" s="338" t="s">
        <v>93</v>
      </c>
      <c r="W360" s="258">
        <v>43585</v>
      </c>
      <c r="X360" s="258">
        <v>43537</v>
      </c>
      <c r="Y360" s="259" t="s">
        <v>772</v>
      </c>
      <c r="Z360" s="259" t="s">
        <v>2358</v>
      </c>
      <c r="AA360" s="368">
        <v>43586</v>
      </c>
      <c r="AB360" s="329" t="s">
        <v>2355</v>
      </c>
      <c r="AC360" s="329" t="s">
        <v>2356</v>
      </c>
      <c r="AD360" s="329">
        <v>30.9</v>
      </c>
      <c r="AE360" s="329">
        <v>145224</v>
      </c>
      <c r="AF360" s="329" t="s">
        <v>2357</v>
      </c>
      <c r="AG360" s="251"/>
      <c r="AH360" s="251"/>
      <c r="AI360" s="260"/>
      <c r="AJ360" s="261">
        <v>43546</v>
      </c>
      <c r="AK360" s="260"/>
      <c r="AL360" s="260"/>
      <c r="AM360" s="251" t="s">
        <v>49</v>
      </c>
      <c r="AN360" s="251" t="s">
        <v>284</v>
      </c>
      <c r="AO360" s="251" t="s">
        <v>50</v>
      </c>
      <c r="AP360" s="251" t="s">
        <v>376</v>
      </c>
      <c r="AQ360" s="262"/>
    </row>
    <row r="361" spans="1:43" ht="15.75" customHeight="1">
      <c r="A361" s="69">
        <v>43528</v>
      </c>
      <c r="B361" s="70" t="s">
        <v>100</v>
      </c>
      <c r="C361" s="21" t="s">
        <v>777</v>
      </c>
      <c r="D361" s="21" t="s">
        <v>778</v>
      </c>
      <c r="E361" s="23" t="s">
        <v>779</v>
      </c>
      <c r="F361" s="24">
        <v>5</v>
      </c>
      <c r="G361" s="25">
        <v>399</v>
      </c>
      <c r="H361" s="60">
        <f t="shared" si="26"/>
        <v>1995</v>
      </c>
      <c r="I361" s="87" t="s">
        <v>695</v>
      </c>
      <c r="J361" s="437" t="s">
        <v>532</v>
      </c>
      <c r="K361" s="29">
        <v>43552</v>
      </c>
      <c r="L361" s="29"/>
      <c r="M361" s="30">
        <v>43544</v>
      </c>
      <c r="N361" s="50" t="s">
        <v>2266</v>
      </c>
      <c r="O361" s="93" t="s">
        <v>2359</v>
      </c>
      <c r="P361" s="406"/>
      <c r="Q361" s="406"/>
      <c r="R361" s="406"/>
      <c r="S361" s="406"/>
      <c r="T361" s="620"/>
      <c r="U361" s="620">
        <v>54075</v>
      </c>
      <c r="V361" s="501" t="s">
        <v>2268</v>
      </c>
      <c r="W361" s="293">
        <v>43560</v>
      </c>
      <c r="X361" s="293">
        <v>43544</v>
      </c>
      <c r="Y361" s="294" t="s">
        <v>780</v>
      </c>
      <c r="Z361" s="295">
        <v>54075</v>
      </c>
      <c r="AA361" s="293">
        <v>43558</v>
      </c>
      <c r="AB361" s="304" t="s">
        <v>2360</v>
      </c>
      <c r="AC361" s="304">
        <v>2953225354</v>
      </c>
      <c r="AD361" s="304"/>
      <c r="AE361" s="304"/>
      <c r="AF361" s="304"/>
      <c r="AG361" s="296"/>
      <c r="AH361" s="296">
        <v>30.824999999999999</v>
      </c>
      <c r="AI361" s="297"/>
      <c r="AJ361" s="298">
        <v>43602</v>
      </c>
      <c r="AK361" s="297" t="s">
        <v>1963</v>
      </c>
      <c r="AL361" s="297" t="s">
        <v>1964</v>
      </c>
      <c r="AM361" s="296" t="s">
        <v>49</v>
      </c>
      <c r="AN361" s="296" t="s">
        <v>284</v>
      </c>
      <c r="AO361" s="296" t="s">
        <v>50</v>
      </c>
      <c r="AP361" s="296" t="s">
        <v>51</v>
      </c>
      <c r="AQ361" s="234" t="s">
        <v>304</v>
      </c>
    </row>
    <row r="362" spans="1:43" ht="15.75" customHeight="1">
      <c r="A362" s="69">
        <v>43528</v>
      </c>
      <c r="B362" s="70" t="s">
        <v>100</v>
      </c>
      <c r="C362" s="21" t="s">
        <v>777</v>
      </c>
      <c r="D362" s="21" t="s">
        <v>781</v>
      </c>
      <c r="E362" s="23" t="s">
        <v>341</v>
      </c>
      <c r="F362" s="24">
        <v>4</v>
      </c>
      <c r="G362" s="25">
        <v>45</v>
      </c>
      <c r="H362" s="60">
        <f t="shared" ref="H362:H366" si="27">F362*G362</f>
        <v>180</v>
      </c>
      <c r="I362" s="61" t="s">
        <v>695</v>
      </c>
      <c r="J362" s="50" t="s">
        <v>532</v>
      </c>
      <c r="K362" s="30">
        <v>43557</v>
      </c>
      <c r="L362" s="30"/>
      <c r="M362" s="30">
        <v>43553</v>
      </c>
      <c r="N362" s="405" t="s">
        <v>1995</v>
      </c>
      <c r="O362" s="93" t="s">
        <v>2361</v>
      </c>
      <c r="P362" s="406"/>
      <c r="Q362" s="406"/>
      <c r="R362" s="406"/>
      <c r="S362" s="406"/>
      <c r="T362" s="581"/>
      <c r="U362" s="581">
        <v>5183</v>
      </c>
      <c r="V362" s="35" t="s">
        <v>1997</v>
      </c>
      <c r="W362" s="460">
        <v>43616</v>
      </c>
      <c r="X362" s="460">
        <v>43552</v>
      </c>
      <c r="Y362" s="304" t="s">
        <v>782</v>
      </c>
      <c r="Z362" s="304" t="s">
        <v>2362</v>
      </c>
      <c r="AA362" s="460">
        <v>43616</v>
      </c>
      <c r="AB362" s="304" t="s">
        <v>2363</v>
      </c>
      <c r="AC362" s="304">
        <v>1195185003</v>
      </c>
      <c r="AD362" s="460">
        <v>43616</v>
      </c>
      <c r="AE362" s="304"/>
      <c r="AF362" s="304"/>
      <c r="AG362" s="296"/>
      <c r="AH362" s="296">
        <v>30.77</v>
      </c>
      <c r="AI362" s="297">
        <f>H362*AH362</f>
        <v>5538.6</v>
      </c>
      <c r="AJ362" s="298">
        <v>43602</v>
      </c>
      <c r="AK362" s="297" t="s">
        <v>1963</v>
      </c>
      <c r="AL362" s="297" t="s">
        <v>1964</v>
      </c>
      <c r="AM362" s="296" t="s">
        <v>49</v>
      </c>
      <c r="AN362" s="296" t="s">
        <v>284</v>
      </c>
      <c r="AO362" s="296" t="s">
        <v>50</v>
      </c>
      <c r="AP362" s="296" t="s">
        <v>51</v>
      </c>
      <c r="AQ362" s="234" t="s">
        <v>304</v>
      </c>
    </row>
    <row r="363" spans="1:43" ht="15.75" customHeight="1">
      <c r="A363" s="69">
        <v>43528</v>
      </c>
      <c r="B363" s="70" t="s">
        <v>100</v>
      </c>
      <c r="C363" s="21" t="s">
        <v>777</v>
      </c>
      <c r="D363" s="21" t="s">
        <v>781</v>
      </c>
      <c r="E363" s="23" t="s">
        <v>783</v>
      </c>
      <c r="F363" s="24">
        <v>4</v>
      </c>
      <c r="G363" s="25">
        <v>12</v>
      </c>
      <c r="H363" s="60">
        <f t="shared" si="27"/>
        <v>48</v>
      </c>
      <c r="I363" s="61" t="s">
        <v>695</v>
      </c>
      <c r="J363" s="50" t="s">
        <v>532</v>
      </c>
      <c r="K363" s="30">
        <v>43557</v>
      </c>
      <c r="L363" s="30"/>
      <c r="M363" s="29">
        <v>43535</v>
      </c>
      <c r="N363" s="405" t="s">
        <v>2364</v>
      </c>
      <c r="O363" s="93" t="s">
        <v>2365</v>
      </c>
      <c r="P363" s="406"/>
      <c r="Q363" s="406"/>
      <c r="R363" s="406"/>
      <c r="S363" s="406"/>
      <c r="T363" s="406"/>
      <c r="U363" s="663">
        <v>840</v>
      </c>
      <c r="V363" s="70" t="s">
        <v>2109</v>
      </c>
      <c r="W363" s="294"/>
      <c r="X363" s="408">
        <v>43531</v>
      </c>
      <c r="Y363" s="294" t="s">
        <v>784</v>
      </c>
      <c r="Z363" s="395" t="s">
        <v>2366</v>
      </c>
      <c r="AA363" s="293">
        <v>43564</v>
      </c>
      <c r="AB363" s="304" t="s">
        <v>2363</v>
      </c>
      <c r="AC363" s="304">
        <v>1195185003</v>
      </c>
      <c r="AD363" s="304"/>
      <c r="AE363" s="304"/>
      <c r="AF363" s="304"/>
      <c r="AG363" s="296"/>
      <c r="AH363" s="296">
        <v>30.77</v>
      </c>
      <c r="AI363" s="297">
        <f>H363*AH363</f>
        <v>1476.96</v>
      </c>
      <c r="AJ363" s="298">
        <v>43602</v>
      </c>
      <c r="AK363" s="297" t="s">
        <v>1963</v>
      </c>
      <c r="AL363" s="297" t="s">
        <v>1964</v>
      </c>
      <c r="AM363" s="296" t="s">
        <v>49</v>
      </c>
      <c r="AN363" s="296" t="s">
        <v>284</v>
      </c>
      <c r="AO363" s="296" t="s">
        <v>50</v>
      </c>
      <c r="AP363" s="296" t="s">
        <v>51</v>
      </c>
      <c r="AQ363" s="234" t="s">
        <v>304</v>
      </c>
    </row>
    <row r="364" spans="1:43" ht="15.75" customHeight="1">
      <c r="A364" s="69">
        <v>43528</v>
      </c>
      <c r="B364" s="70" t="s">
        <v>100</v>
      </c>
      <c r="C364" s="21" t="s">
        <v>777</v>
      </c>
      <c r="D364" s="32" t="s">
        <v>785</v>
      </c>
      <c r="E364" s="23" t="s">
        <v>786</v>
      </c>
      <c r="F364" s="24">
        <v>4</v>
      </c>
      <c r="G364" s="25">
        <v>550</v>
      </c>
      <c r="H364" s="60">
        <f t="shared" si="27"/>
        <v>2200</v>
      </c>
      <c r="I364" s="61" t="s">
        <v>695</v>
      </c>
      <c r="J364" s="50" t="s">
        <v>532</v>
      </c>
      <c r="K364" s="30">
        <v>43557</v>
      </c>
      <c r="L364" s="30"/>
      <c r="M364" s="30">
        <v>43553</v>
      </c>
      <c r="N364" s="405" t="s">
        <v>1995</v>
      </c>
      <c r="O364" s="93" t="s">
        <v>2361</v>
      </c>
      <c r="P364" s="406"/>
      <c r="Q364" s="406" t="s">
        <v>0</v>
      </c>
      <c r="R364" s="406"/>
      <c r="S364" s="406"/>
      <c r="T364" s="581"/>
      <c r="U364" s="581">
        <v>64125</v>
      </c>
      <c r="V364" s="51" t="s">
        <v>1997</v>
      </c>
      <c r="W364" s="460">
        <v>43616</v>
      </c>
      <c r="X364" s="460">
        <v>43552</v>
      </c>
      <c r="Y364" s="304" t="s">
        <v>782</v>
      </c>
      <c r="Z364" s="304">
        <v>69308</v>
      </c>
      <c r="AA364" s="460">
        <v>43616</v>
      </c>
      <c r="AB364" s="304" t="s">
        <v>2363</v>
      </c>
      <c r="AC364" s="304">
        <v>1195185003</v>
      </c>
      <c r="AD364" s="460">
        <v>43616</v>
      </c>
      <c r="AE364" s="304"/>
      <c r="AF364" s="304"/>
      <c r="AG364" s="296"/>
      <c r="AH364" s="296">
        <v>30.77</v>
      </c>
      <c r="AI364" s="297">
        <f>H364*AH364</f>
        <v>67694</v>
      </c>
      <c r="AJ364" s="298">
        <v>43602</v>
      </c>
      <c r="AK364" s="297" t="s">
        <v>1963</v>
      </c>
      <c r="AL364" s="297" t="s">
        <v>1964</v>
      </c>
      <c r="AM364" s="296" t="s">
        <v>49</v>
      </c>
      <c r="AN364" s="296" t="s">
        <v>284</v>
      </c>
      <c r="AO364" s="296" t="s">
        <v>50</v>
      </c>
      <c r="AP364" s="296" t="s">
        <v>51</v>
      </c>
      <c r="AQ364" s="234" t="s">
        <v>304</v>
      </c>
    </row>
    <row r="365" spans="1:43" ht="15.75" customHeight="1">
      <c r="A365" s="69">
        <v>43528</v>
      </c>
      <c r="B365" s="70" t="s">
        <v>100</v>
      </c>
      <c r="C365" s="21" t="s">
        <v>777</v>
      </c>
      <c r="D365" s="21" t="s">
        <v>787</v>
      </c>
      <c r="E365" s="23" t="s">
        <v>788</v>
      </c>
      <c r="F365" s="24">
        <v>4</v>
      </c>
      <c r="G365" s="25">
        <v>352</v>
      </c>
      <c r="H365" s="60">
        <f t="shared" si="27"/>
        <v>1408</v>
      </c>
      <c r="I365" s="61" t="s">
        <v>695</v>
      </c>
      <c r="J365" s="50" t="s">
        <v>532</v>
      </c>
      <c r="K365" s="30">
        <v>43557</v>
      </c>
      <c r="L365" s="30"/>
      <c r="M365" s="30">
        <v>43539</v>
      </c>
      <c r="N365" s="405" t="s">
        <v>2221</v>
      </c>
      <c r="O365" s="93" t="s">
        <v>2367</v>
      </c>
      <c r="P365" s="406"/>
      <c r="Q365" s="406">
        <v>1218</v>
      </c>
      <c r="R365" s="406"/>
      <c r="S365" s="406"/>
      <c r="T365" s="406"/>
      <c r="U365" s="406">
        <v>37648</v>
      </c>
      <c r="V365" s="501" t="s">
        <v>46</v>
      </c>
      <c r="W365" s="293">
        <v>43568</v>
      </c>
      <c r="X365" s="293">
        <v>43538</v>
      </c>
      <c r="Y365" s="294" t="s">
        <v>638</v>
      </c>
      <c r="Z365" s="295" t="s">
        <v>2147</v>
      </c>
      <c r="AA365" s="411">
        <v>43568</v>
      </c>
      <c r="AB365" s="304" t="s">
        <v>2363</v>
      </c>
      <c r="AC365" s="304">
        <v>1195185003</v>
      </c>
      <c r="AD365" s="304"/>
      <c r="AE365" s="304"/>
      <c r="AF365" s="304"/>
      <c r="AG365" s="296"/>
      <c r="AH365" s="296">
        <v>30.77</v>
      </c>
      <c r="AI365" s="297">
        <f>H365*AH365</f>
        <v>43324.159999999996</v>
      </c>
      <c r="AJ365" s="298">
        <v>43602</v>
      </c>
      <c r="AK365" s="297" t="s">
        <v>1963</v>
      </c>
      <c r="AL365" s="297" t="s">
        <v>1964</v>
      </c>
      <c r="AM365" s="296" t="s">
        <v>49</v>
      </c>
      <c r="AN365" s="296" t="s">
        <v>284</v>
      </c>
      <c r="AO365" s="296" t="s">
        <v>50</v>
      </c>
      <c r="AP365" s="296" t="s">
        <v>51</v>
      </c>
      <c r="AQ365" s="234" t="s">
        <v>304</v>
      </c>
    </row>
    <row r="366" spans="1:43" ht="15.75" customHeight="1">
      <c r="A366" s="69">
        <v>43528</v>
      </c>
      <c r="B366" s="70" t="s">
        <v>100</v>
      </c>
      <c r="C366" s="21" t="s">
        <v>777</v>
      </c>
      <c r="D366" s="32" t="s">
        <v>789</v>
      </c>
      <c r="E366" s="23" t="s">
        <v>790</v>
      </c>
      <c r="F366" s="24">
        <v>4</v>
      </c>
      <c r="G366" s="48">
        <v>79</v>
      </c>
      <c r="H366" s="60">
        <f t="shared" si="27"/>
        <v>316</v>
      </c>
      <c r="I366" s="61" t="s">
        <v>695</v>
      </c>
      <c r="J366" s="50" t="s">
        <v>532</v>
      </c>
      <c r="K366" s="30">
        <v>43557</v>
      </c>
      <c r="L366" s="1474"/>
      <c r="M366" s="664">
        <v>43530</v>
      </c>
      <c r="N366" s="50" t="s">
        <v>2368</v>
      </c>
      <c r="O366" s="93" t="s">
        <v>2369</v>
      </c>
      <c r="P366" s="304"/>
      <c r="Q366" s="304"/>
      <c r="R366" s="304"/>
      <c r="S366" s="304"/>
      <c r="T366" s="404"/>
      <c r="U366" s="404">
        <v>7517</v>
      </c>
      <c r="V366" s="35" t="s">
        <v>1954</v>
      </c>
      <c r="W366" s="300">
        <v>43590</v>
      </c>
      <c r="X366" s="293">
        <v>43578</v>
      </c>
      <c r="Y366" s="294" t="s">
        <v>791</v>
      </c>
      <c r="Z366" s="295">
        <v>7517</v>
      </c>
      <c r="AA366" s="300">
        <v>43592</v>
      </c>
      <c r="AB366" s="304" t="s">
        <v>2363</v>
      </c>
      <c r="AC366" s="304">
        <v>1195185003</v>
      </c>
      <c r="AD366" s="304"/>
      <c r="AE366" s="304"/>
      <c r="AF366" s="304"/>
      <c r="AG366" s="296"/>
      <c r="AH366" s="296">
        <v>30.77</v>
      </c>
      <c r="AI366" s="297">
        <f>H366*AH366</f>
        <v>9723.32</v>
      </c>
      <c r="AJ366" s="298">
        <v>43602</v>
      </c>
      <c r="AK366" s="297" t="s">
        <v>1963</v>
      </c>
      <c r="AL366" s="297" t="s">
        <v>1964</v>
      </c>
      <c r="AM366" s="296" t="s">
        <v>49</v>
      </c>
      <c r="AN366" s="296" t="s">
        <v>284</v>
      </c>
      <c r="AO366" s="296" t="s">
        <v>50</v>
      </c>
      <c r="AP366" s="296" t="s">
        <v>51</v>
      </c>
      <c r="AQ366" s="234" t="s">
        <v>304</v>
      </c>
    </row>
    <row r="367" spans="1:43" ht="15.75" customHeight="1">
      <c r="A367" s="69">
        <v>43529</v>
      </c>
      <c r="B367" s="263" t="s">
        <v>129</v>
      </c>
      <c r="C367" s="250" t="s">
        <v>706</v>
      </c>
      <c r="D367" s="250" t="s">
        <v>707</v>
      </c>
      <c r="E367" s="23" t="s">
        <v>792</v>
      </c>
      <c r="F367" s="251">
        <v>7</v>
      </c>
      <c r="G367" s="323">
        <v>35</v>
      </c>
      <c r="H367" s="334">
        <f t="shared" ref="H367:H369" si="28">G367*F367</f>
        <v>245</v>
      </c>
      <c r="I367" s="254" t="s">
        <v>247</v>
      </c>
      <c r="J367" s="401" t="s">
        <v>133</v>
      </c>
      <c r="K367" s="256">
        <v>43538</v>
      </c>
      <c r="L367" s="256"/>
      <c r="M367" s="256">
        <v>43537</v>
      </c>
      <c r="N367" s="267" t="s">
        <v>89</v>
      </c>
      <c r="O367" s="420" t="s">
        <v>2370</v>
      </c>
      <c r="P367" s="308"/>
      <c r="Q367" s="308">
        <v>229.32</v>
      </c>
      <c r="R367" s="308"/>
      <c r="S367" s="308"/>
      <c r="T367" s="308"/>
      <c r="U367" s="308"/>
      <c r="V367" s="338" t="s">
        <v>93</v>
      </c>
      <c r="W367" s="258">
        <v>43585</v>
      </c>
      <c r="X367" s="258">
        <v>43536</v>
      </c>
      <c r="Y367" s="259" t="s">
        <v>793</v>
      </c>
      <c r="Z367" s="270">
        <v>26458</v>
      </c>
      <c r="AA367" s="368">
        <v>43586</v>
      </c>
      <c r="AB367" s="329" t="s">
        <v>2285</v>
      </c>
      <c r="AC367" s="329">
        <v>3349760256</v>
      </c>
      <c r="AD367" s="329"/>
      <c r="AE367" s="329"/>
      <c r="AF367" s="329"/>
      <c r="AG367" s="251" t="s">
        <v>283</v>
      </c>
      <c r="AH367" s="251">
        <v>30.79</v>
      </c>
      <c r="AI367" s="260"/>
      <c r="AJ367" s="261">
        <v>43536</v>
      </c>
      <c r="AK367" s="260"/>
      <c r="AL367" s="260"/>
      <c r="AM367" s="251" t="s">
        <v>49</v>
      </c>
      <c r="AN367" s="251" t="s">
        <v>284</v>
      </c>
      <c r="AO367" s="251" t="s">
        <v>50</v>
      </c>
      <c r="AP367" s="251" t="s">
        <v>51</v>
      </c>
      <c r="AQ367" s="262"/>
    </row>
    <row r="368" spans="1:43" ht="15.75" customHeight="1">
      <c r="A368" s="69">
        <v>43529</v>
      </c>
      <c r="B368" s="250" t="s">
        <v>129</v>
      </c>
      <c r="C368" s="250" t="s">
        <v>706</v>
      </c>
      <c r="D368" s="250" t="s">
        <v>707</v>
      </c>
      <c r="E368" s="23" t="s">
        <v>794</v>
      </c>
      <c r="F368" s="251">
        <v>10</v>
      </c>
      <c r="G368" s="323">
        <v>66</v>
      </c>
      <c r="H368" s="334">
        <f t="shared" si="28"/>
        <v>660</v>
      </c>
      <c r="I368" s="254" t="s">
        <v>247</v>
      </c>
      <c r="J368" s="401" t="s">
        <v>133</v>
      </c>
      <c r="K368" s="256">
        <v>43538</v>
      </c>
      <c r="L368" s="256"/>
      <c r="M368" s="256">
        <v>43537</v>
      </c>
      <c r="N368" s="267" t="s">
        <v>89</v>
      </c>
      <c r="O368" s="420" t="s">
        <v>2370</v>
      </c>
      <c r="P368" s="308"/>
      <c r="Q368" s="308">
        <v>630</v>
      </c>
      <c r="R368" s="308"/>
      <c r="S368" s="308"/>
      <c r="T368" s="308"/>
      <c r="U368" s="308"/>
      <c r="V368" s="571" t="s">
        <v>93</v>
      </c>
      <c r="W368" s="258">
        <v>43585</v>
      </c>
      <c r="X368" s="258">
        <v>43536</v>
      </c>
      <c r="Y368" s="259" t="s">
        <v>793</v>
      </c>
      <c r="Z368" s="259" t="s">
        <v>2371</v>
      </c>
      <c r="AA368" s="368">
        <v>43586</v>
      </c>
      <c r="AB368" s="329" t="s">
        <v>2285</v>
      </c>
      <c r="AC368" s="329">
        <v>3349760256</v>
      </c>
      <c r="AD368" s="329"/>
      <c r="AE368" s="329"/>
      <c r="AF368" s="329"/>
      <c r="AG368" s="251" t="s">
        <v>283</v>
      </c>
      <c r="AH368" s="251">
        <v>30.79</v>
      </c>
      <c r="AI368" s="260"/>
      <c r="AJ368" s="251"/>
      <c r="AK368" s="260"/>
      <c r="AL368" s="260"/>
      <c r="AM368" s="251" t="s">
        <v>49</v>
      </c>
      <c r="AN368" s="251" t="s">
        <v>284</v>
      </c>
      <c r="AO368" s="251" t="s">
        <v>50</v>
      </c>
      <c r="AP368" s="251" t="s">
        <v>51</v>
      </c>
      <c r="AQ368" s="262"/>
    </row>
    <row r="369" spans="1:43" ht="15.75" customHeight="1">
      <c r="A369" s="19">
        <v>43529</v>
      </c>
      <c r="B369" s="35" t="s">
        <v>53</v>
      </c>
      <c r="C369" s="21" t="s">
        <v>795</v>
      </c>
      <c r="D369" s="22" t="s">
        <v>796</v>
      </c>
      <c r="E369" s="23" t="s">
        <v>385</v>
      </c>
      <c r="F369" s="24">
        <v>10</v>
      </c>
      <c r="G369" s="25">
        <v>150.15</v>
      </c>
      <c r="H369" s="26">
        <f t="shared" si="28"/>
        <v>1501.5</v>
      </c>
      <c r="I369" s="429" t="s">
        <v>42</v>
      </c>
      <c r="J369" s="161" t="s">
        <v>89</v>
      </c>
      <c r="K369" s="30">
        <v>43553</v>
      </c>
      <c r="L369" s="30"/>
      <c r="M369" s="606">
        <v>43552</v>
      </c>
      <c r="N369" s="636" t="s">
        <v>89</v>
      </c>
      <c r="O369" s="396" t="s">
        <v>2372</v>
      </c>
      <c r="P369" s="640"/>
      <c r="Q369" s="640">
        <v>1344</v>
      </c>
      <c r="R369" s="640"/>
      <c r="S369" s="640"/>
      <c r="T369" s="640"/>
      <c r="U369" s="640">
        <v>41429</v>
      </c>
      <c r="V369" s="610" t="s">
        <v>93</v>
      </c>
      <c r="W369" s="411">
        <v>43616</v>
      </c>
      <c r="X369" s="435">
        <v>43552</v>
      </c>
      <c r="Y369" s="340" t="s">
        <v>797</v>
      </c>
      <c r="Z369" s="412">
        <v>41429</v>
      </c>
      <c r="AA369" s="449">
        <v>43616</v>
      </c>
      <c r="AB369" s="340" t="s">
        <v>2373</v>
      </c>
      <c r="AC369" s="340" t="s">
        <v>2374</v>
      </c>
      <c r="AD369" s="340">
        <v>30.856000000000002</v>
      </c>
      <c r="AE369" s="340">
        <v>46330</v>
      </c>
      <c r="AF369" s="449">
        <v>43553</v>
      </c>
      <c r="AG369" s="431"/>
      <c r="AH369" s="431"/>
      <c r="AI369" s="432">
        <v>46330</v>
      </c>
      <c r="AJ369" s="455">
        <v>43612</v>
      </c>
      <c r="AK369" s="432">
        <v>46315</v>
      </c>
      <c r="AL369" s="432">
        <v>15</v>
      </c>
      <c r="AM369" s="431" t="s">
        <v>49</v>
      </c>
      <c r="AN369" s="369" t="s">
        <v>284</v>
      </c>
      <c r="AO369" s="431" t="s">
        <v>50</v>
      </c>
      <c r="AP369" s="431" t="s">
        <v>376</v>
      </c>
      <c r="AQ369" s="372" t="s">
        <v>439</v>
      </c>
    </row>
    <row r="370" spans="1:43" ht="15.75" customHeight="1">
      <c r="A370" s="69">
        <v>43530</v>
      </c>
      <c r="B370" s="32" t="s">
        <v>405</v>
      </c>
      <c r="C370" s="21">
        <v>7000145670</v>
      </c>
      <c r="D370" s="21" t="s">
        <v>798</v>
      </c>
      <c r="E370" s="23" t="s">
        <v>799</v>
      </c>
      <c r="F370" s="24">
        <v>1</v>
      </c>
      <c r="G370" s="25">
        <v>565</v>
      </c>
      <c r="H370" s="60">
        <f t="shared" ref="H370:H374" si="29">F370*G370</f>
        <v>565</v>
      </c>
      <c r="I370" s="61" t="s">
        <v>42</v>
      </c>
      <c r="J370" s="82" t="s">
        <v>519</v>
      </c>
      <c r="K370" s="29">
        <v>43546</v>
      </c>
      <c r="L370" s="29"/>
      <c r="M370" s="30">
        <v>43543</v>
      </c>
      <c r="N370" s="31" t="s">
        <v>2043</v>
      </c>
      <c r="O370" s="21" t="s">
        <v>2375</v>
      </c>
      <c r="P370" s="406"/>
      <c r="Q370" s="406"/>
      <c r="R370" s="406"/>
      <c r="S370" s="406"/>
      <c r="T370" s="406"/>
      <c r="U370" s="406">
        <v>15825</v>
      </c>
      <c r="V370" s="22" t="s">
        <v>2045</v>
      </c>
      <c r="W370" s="293">
        <v>43616</v>
      </c>
      <c r="X370" s="293">
        <v>43542</v>
      </c>
      <c r="Y370" s="294" t="s">
        <v>800</v>
      </c>
      <c r="Z370" s="295">
        <v>15825</v>
      </c>
      <c r="AA370" s="300">
        <v>43616</v>
      </c>
      <c r="AB370" s="304" t="s">
        <v>2190</v>
      </c>
      <c r="AC370" s="304" t="s">
        <v>2191</v>
      </c>
      <c r="AD370" s="304"/>
      <c r="AE370" s="304"/>
      <c r="AF370" s="304"/>
      <c r="AG370" s="296"/>
      <c r="AH370" s="296">
        <v>30.824999999999999</v>
      </c>
      <c r="AI370" s="297"/>
      <c r="AJ370" s="145">
        <v>43588</v>
      </c>
      <c r="AK370" s="297" t="s">
        <v>2116</v>
      </c>
      <c r="AL370" s="297" t="s">
        <v>2117</v>
      </c>
      <c r="AM370" s="296" t="s">
        <v>49</v>
      </c>
      <c r="AN370" s="296" t="s">
        <v>284</v>
      </c>
      <c r="AO370" s="296" t="s">
        <v>50</v>
      </c>
      <c r="AP370" s="296" t="s">
        <v>51</v>
      </c>
      <c r="AQ370" s="234" t="s">
        <v>304</v>
      </c>
    </row>
    <row r="371" spans="1:43" ht="15.75" customHeight="1">
      <c r="A371" s="69">
        <v>43530</v>
      </c>
      <c r="B371" s="21" t="s">
        <v>405</v>
      </c>
      <c r="C371" s="21">
        <v>7000145670</v>
      </c>
      <c r="D371" s="21" t="s">
        <v>798</v>
      </c>
      <c r="E371" s="23" t="s">
        <v>801</v>
      </c>
      <c r="F371" s="24">
        <v>1</v>
      </c>
      <c r="G371" s="25">
        <v>67</v>
      </c>
      <c r="H371" s="60">
        <f t="shared" si="29"/>
        <v>67</v>
      </c>
      <c r="I371" s="61" t="s">
        <v>42</v>
      </c>
      <c r="J371" s="82" t="s">
        <v>519</v>
      </c>
      <c r="K371" s="29">
        <v>43546</v>
      </c>
      <c r="L371" s="29"/>
      <c r="M371" s="30">
        <v>43543</v>
      </c>
      <c r="N371" s="31" t="s">
        <v>2043</v>
      </c>
      <c r="O371" s="21" t="s">
        <v>2376</v>
      </c>
      <c r="P371" s="406"/>
      <c r="Q371" s="406"/>
      <c r="R371" s="406"/>
      <c r="S371" s="406"/>
      <c r="T371" s="406"/>
      <c r="U371" s="406">
        <v>1895</v>
      </c>
      <c r="V371" s="22" t="s">
        <v>2045</v>
      </c>
      <c r="W371" s="435">
        <v>43616</v>
      </c>
      <c r="X371" s="293">
        <v>43542</v>
      </c>
      <c r="Y371" s="294" t="s">
        <v>802</v>
      </c>
      <c r="Z371" s="295">
        <v>11319</v>
      </c>
      <c r="AA371" s="300">
        <v>43616</v>
      </c>
      <c r="AB371" s="304" t="s">
        <v>2190</v>
      </c>
      <c r="AC371" s="304" t="s">
        <v>2191</v>
      </c>
      <c r="AD371" s="304"/>
      <c r="AE371" s="304"/>
      <c r="AF371" s="304"/>
      <c r="AG371" s="296"/>
      <c r="AH371" s="296">
        <v>30.824999999999999</v>
      </c>
      <c r="AI371" s="297"/>
      <c r="AJ371" s="145">
        <v>43588</v>
      </c>
      <c r="AK371" s="297" t="s">
        <v>2116</v>
      </c>
      <c r="AL371" s="297" t="s">
        <v>2117</v>
      </c>
      <c r="AM371" s="296" t="s">
        <v>49</v>
      </c>
      <c r="AN371" s="296" t="s">
        <v>284</v>
      </c>
      <c r="AO371" s="296" t="s">
        <v>50</v>
      </c>
      <c r="AP371" s="296" t="s">
        <v>51</v>
      </c>
      <c r="AQ371" s="234" t="s">
        <v>304</v>
      </c>
    </row>
    <row r="372" spans="1:43" ht="15.75" customHeight="1">
      <c r="A372" s="69">
        <v>43530</v>
      </c>
      <c r="B372" s="21" t="s">
        <v>405</v>
      </c>
      <c r="C372" s="21">
        <v>7000145670</v>
      </c>
      <c r="D372" s="21" t="s">
        <v>798</v>
      </c>
      <c r="E372" s="23" t="s">
        <v>803</v>
      </c>
      <c r="F372" s="24">
        <v>1</v>
      </c>
      <c r="G372" s="25">
        <v>291</v>
      </c>
      <c r="H372" s="60">
        <f t="shared" si="29"/>
        <v>291</v>
      </c>
      <c r="I372" s="61" t="s">
        <v>42</v>
      </c>
      <c r="J372" s="82" t="s">
        <v>519</v>
      </c>
      <c r="K372" s="29">
        <v>43546</v>
      </c>
      <c r="L372" s="29"/>
      <c r="M372" s="30">
        <v>43543</v>
      </c>
      <c r="N372" s="31" t="s">
        <v>2043</v>
      </c>
      <c r="O372" s="21" t="s">
        <v>2376</v>
      </c>
      <c r="P372" s="406"/>
      <c r="Q372" s="406"/>
      <c r="R372" s="406"/>
      <c r="S372" s="406"/>
      <c r="T372" s="406"/>
      <c r="U372" s="406">
        <v>8065</v>
      </c>
      <c r="V372" s="22" t="s">
        <v>2045</v>
      </c>
      <c r="W372" s="435">
        <v>43616</v>
      </c>
      <c r="X372" s="293">
        <v>43542</v>
      </c>
      <c r="Y372" s="294" t="s">
        <v>802</v>
      </c>
      <c r="Z372" s="294" t="s">
        <v>2377</v>
      </c>
      <c r="AA372" s="300">
        <v>43616</v>
      </c>
      <c r="AB372" s="304" t="s">
        <v>2190</v>
      </c>
      <c r="AC372" s="304" t="s">
        <v>2191</v>
      </c>
      <c r="AD372" s="304"/>
      <c r="AE372" s="304"/>
      <c r="AF372" s="304"/>
      <c r="AG372" s="296"/>
      <c r="AH372" s="296">
        <v>30.824999999999999</v>
      </c>
      <c r="AI372" s="297"/>
      <c r="AJ372" s="145">
        <v>43588</v>
      </c>
      <c r="AK372" s="297" t="s">
        <v>2116</v>
      </c>
      <c r="AL372" s="297" t="s">
        <v>2117</v>
      </c>
      <c r="AM372" s="296" t="s">
        <v>49</v>
      </c>
      <c r="AN372" s="296" t="s">
        <v>284</v>
      </c>
      <c r="AO372" s="296" t="s">
        <v>50</v>
      </c>
      <c r="AP372" s="296" t="s">
        <v>51</v>
      </c>
      <c r="AQ372" s="234" t="s">
        <v>304</v>
      </c>
    </row>
    <row r="373" spans="1:43" ht="15.75" customHeight="1">
      <c r="A373" s="69">
        <v>43530</v>
      </c>
      <c r="B373" s="21" t="s">
        <v>405</v>
      </c>
      <c r="C373" s="21">
        <v>7000145670</v>
      </c>
      <c r="D373" s="21" t="s">
        <v>798</v>
      </c>
      <c r="E373" s="23" t="s">
        <v>804</v>
      </c>
      <c r="F373" s="24">
        <v>1</v>
      </c>
      <c r="G373" s="25">
        <v>39</v>
      </c>
      <c r="H373" s="60">
        <f t="shared" si="29"/>
        <v>39</v>
      </c>
      <c r="I373" s="61" t="s">
        <v>42</v>
      </c>
      <c r="J373" s="82" t="s">
        <v>519</v>
      </c>
      <c r="K373" s="29">
        <v>43546</v>
      </c>
      <c r="L373" s="29"/>
      <c r="M373" s="30">
        <v>43543</v>
      </c>
      <c r="N373" s="31" t="s">
        <v>2043</v>
      </c>
      <c r="O373" s="21" t="s">
        <v>2376</v>
      </c>
      <c r="P373" s="406"/>
      <c r="Q373" s="406"/>
      <c r="R373" s="406"/>
      <c r="S373" s="406"/>
      <c r="T373" s="406"/>
      <c r="U373" s="406">
        <v>1148</v>
      </c>
      <c r="V373" s="22" t="s">
        <v>2045</v>
      </c>
      <c r="W373" s="435">
        <v>43616</v>
      </c>
      <c r="X373" s="293">
        <v>43542</v>
      </c>
      <c r="Y373" s="294" t="s">
        <v>802</v>
      </c>
      <c r="Z373" s="294" t="s">
        <v>2377</v>
      </c>
      <c r="AA373" s="300">
        <v>43616</v>
      </c>
      <c r="AB373" s="304" t="s">
        <v>2190</v>
      </c>
      <c r="AC373" s="304" t="s">
        <v>2191</v>
      </c>
      <c r="AD373" s="304"/>
      <c r="AE373" s="304"/>
      <c r="AF373" s="304"/>
      <c r="AG373" s="296"/>
      <c r="AH373" s="296">
        <v>30.824999999999999</v>
      </c>
      <c r="AI373" s="297"/>
      <c r="AJ373" s="145">
        <v>43588</v>
      </c>
      <c r="AK373" s="297" t="s">
        <v>2116</v>
      </c>
      <c r="AL373" s="297" t="s">
        <v>2117</v>
      </c>
      <c r="AM373" s="296" t="s">
        <v>49</v>
      </c>
      <c r="AN373" s="296" t="s">
        <v>284</v>
      </c>
      <c r="AO373" s="296" t="s">
        <v>50</v>
      </c>
      <c r="AP373" s="296" t="s">
        <v>51</v>
      </c>
      <c r="AQ373" s="234" t="s">
        <v>304</v>
      </c>
    </row>
    <row r="374" spans="1:43" ht="15.75" customHeight="1">
      <c r="A374" s="69">
        <v>43530</v>
      </c>
      <c r="B374" s="21" t="s">
        <v>405</v>
      </c>
      <c r="C374" s="21">
        <v>7000145670</v>
      </c>
      <c r="D374" s="21" t="s">
        <v>798</v>
      </c>
      <c r="E374" s="23" t="s">
        <v>805</v>
      </c>
      <c r="F374" s="24">
        <v>1</v>
      </c>
      <c r="G374" s="25">
        <v>8.5</v>
      </c>
      <c r="H374" s="60">
        <f t="shared" si="29"/>
        <v>8.5</v>
      </c>
      <c r="I374" s="61" t="s">
        <v>42</v>
      </c>
      <c r="J374" s="82" t="s">
        <v>519</v>
      </c>
      <c r="K374" s="29">
        <v>43546</v>
      </c>
      <c r="L374" s="29"/>
      <c r="M374" s="30">
        <v>43543</v>
      </c>
      <c r="N374" s="31" t="s">
        <v>2043</v>
      </c>
      <c r="O374" s="21" t="s">
        <v>2376</v>
      </c>
      <c r="P374" s="406"/>
      <c r="Q374" s="406"/>
      <c r="R374" s="406"/>
      <c r="S374" s="406"/>
      <c r="T374" s="406"/>
      <c r="U374" s="406">
        <v>211</v>
      </c>
      <c r="V374" s="22" t="s">
        <v>2045</v>
      </c>
      <c r="W374" s="435">
        <v>43616</v>
      </c>
      <c r="X374" s="293">
        <v>43542</v>
      </c>
      <c r="Y374" s="461" t="s">
        <v>802</v>
      </c>
      <c r="Z374" s="461" t="s">
        <v>2377</v>
      </c>
      <c r="AA374" s="300">
        <v>43616</v>
      </c>
      <c r="AB374" s="304" t="s">
        <v>2190</v>
      </c>
      <c r="AC374" s="304" t="s">
        <v>2191</v>
      </c>
      <c r="AD374" s="304"/>
      <c r="AE374" s="304"/>
      <c r="AF374" s="304"/>
      <c r="AG374" s="296"/>
      <c r="AH374" s="296">
        <v>30.824999999999999</v>
      </c>
      <c r="AI374" s="297"/>
      <c r="AJ374" s="145">
        <v>43588</v>
      </c>
      <c r="AK374" s="297" t="s">
        <v>2116</v>
      </c>
      <c r="AL374" s="297" t="s">
        <v>2117</v>
      </c>
      <c r="AM374" s="296" t="s">
        <v>49</v>
      </c>
      <c r="AN374" s="296" t="s">
        <v>284</v>
      </c>
      <c r="AO374" s="296" t="s">
        <v>50</v>
      </c>
      <c r="AP374" s="296" t="s">
        <v>51</v>
      </c>
      <c r="AQ374" s="234" t="s">
        <v>304</v>
      </c>
    </row>
    <row r="375" spans="1:43" ht="15.75" customHeight="1">
      <c r="A375" s="19">
        <v>43531</v>
      </c>
      <c r="B375" s="21" t="s">
        <v>100</v>
      </c>
      <c r="C375" s="21"/>
      <c r="D375" s="21" t="s">
        <v>806</v>
      </c>
      <c r="E375" s="23" t="s">
        <v>346</v>
      </c>
      <c r="F375" s="24">
        <v>1</v>
      </c>
      <c r="G375" s="25">
        <v>229</v>
      </c>
      <c r="H375" s="26">
        <v>229</v>
      </c>
      <c r="I375" s="49" t="s">
        <v>302</v>
      </c>
      <c r="J375" s="50" t="s">
        <v>532</v>
      </c>
      <c r="K375" s="29">
        <v>43531</v>
      </c>
      <c r="L375" s="29"/>
      <c r="M375" s="30"/>
      <c r="N375" s="130" t="s">
        <v>1999</v>
      </c>
      <c r="O375" s="32"/>
      <c r="P375" s="85"/>
      <c r="Q375" s="85"/>
      <c r="R375" s="85"/>
      <c r="S375" s="85"/>
      <c r="T375" s="36"/>
      <c r="U375" s="36">
        <v>8950</v>
      </c>
      <c r="V375" s="20" t="s">
        <v>2000</v>
      </c>
      <c r="W375" s="293">
        <v>43585</v>
      </c>
      <c r="X375" s="293">
        <v>43539</v>
      </c>
      <c r="Y375" s="294" t="s">
        <v>807</v>
      </c>
      <c r="Z375" s="295" t="s">
        <v>2378</v>
      </c>
      <c r="AA375" s="300">
        <v>43586</v>
      </c>
      <c r="AB375" s="53"/>
      <c r="AC375" s="53">
        <v>2203364822</v>
      </c>
      <c r="AD375" s="53"/>
      <c r="AE375" s="53"/>
      <c r="AF375" s="53"/>
      <c r="AG375" s="54"/>
      <c r="AH375" s="54"/>
      <c r="AI375" s="55"/>
      <c r="AJ375" s="56">
        <v>43565</v>
      </c>
      <c r="AK375" s="38" t="s">
        <v>2039</v>
      </c>
      <c r="AL375" s="38" t="s">
        <v>2040</v>
      </c>
      <c r="AM375" s="54" t="s">
        <v>49</v>
      </c>
      <c r="AN375" s="24" t="s">
        <v>284</v>
      </c>
      <c r="AO375" s="54" t="s">
        <v>50</v>
      </c>
      <c r="AP375" s="54" t="s">
        <v>51</v>
      </c>
      <c r="AQ375" s="57" t="s">
        <v>397</v>
      </c>
    </row>
    <row r="376" spans="1:43" ht="15.75" customHeight="1">
      <c r="A376" s="69">
        <v>43536</v>
      </c>
      <c r="B376" s="70" t="s">
        <v>100</v>
      </c>
      <c r="C376" s="290" t="s">
        <v>0</v>
      </c>
      <c r="D376" s="21" t="s">
        <v>808</v>
      </c>
      <c r="E376" s="23" t="s">
        <v>346</v>
      </c>
      <c r="F376" s="54">
        <v>1</v>
      </c>
      <c r="G376" s="48">
        <v>742</v>
      </c>
      <c r="H376" s="26">
        <v>742</v>
      </c>
      <c r="I376" s="87" t="s">
        <v>302</v>
      </c>
      <c r="J376" s="82" t="s">
        <v>532</v>
      </c>
      <c r="K376" s="30">
        <v>43536</v>
      </c>
      <c r="L376" s="30"/>
      <c r="M376" s="30"/>
      <c r="N376" s="82" t="s">
        <v>1999</v>
      </c>
      <c r="O376" s="32"/>
      <c r="P376" s="581"/>
      <c r="Q376" s="581"/>
      <c r="R376" s="581"/>
      <c r="S376" s="581"/>
      <c r="T376" s="22"/>
      <c r="U376" s="22">
        <v>22037</v>
      </c>
      <c r="V376" s="20" t="s">
        <v>2000</v>
      </c>
      <c r="W376" s="293">
        <v>43585</v>
      </c>
      <c r="X376" s="293">
        <v>43539</v>
      </c>
      <c r="Y376" s="294" t="s">
        <v>807</v>
      </c>
      <c r="Z376" s="295">
        <v>32085</v>
      </c>
      <c r="AA376" s="300">
        <v>43586</v>
      </c>
      <c r="AB376" s="304"/>
      <c r="AC376" s="304" t="s">
        <v>0</v>
      </c>
      <c r="AD376" s="304"/>
      <c r="AE376" s="304"/>
      <c r="AF376" s="304"/>
      <c r="AG376" s="296"/>
      <c r="AH376" s="296"/>
      <c r="AI376" s="297"/>
      <c r="AJ376" s="298">
        <v>43587</v>
      </c>
      <c r="AK376" s="297" t="s">
        <v>1957</v>
      </c>
      <c r="AL376" s="297" t="s">
        <v>1958</v>
      </c>
      <c r="AM376" s="296" t="s">
        <v>49</v>
      </c>
      <c r="AN376" s="296" t="s">
        <v>284</v>
      </c>
      <c r="AO376" s="296" t="s">
        <v>50</v>
      </c>
      <c r="AP376" s="296" t="s">
        <v>51</v>
      </c>
      <c r="AQ376" s="234" t="s">
        <v>304</v>
      </c>
    </row>
    <row r="377" spans="1:43" ht="15.75" customHeight="1">
      <c r="A377" s="69">
        <v>43536</v>
      </c>
      <c r="B377" s="70" t="s">
        <v>809</v>
      </c>
      <c r="C377" s="21"/>
      <c r="D377" s="21" t="s">
        <v>810</v>
      </c>
      <c r="E377" s="23" t="s">
        <v>236</v>
      </c>
      <c r="F377" s="24">
        <v>2</v>
      </c>
      <c r="G377" s="48">
        <v>66</v>
      </c>
      <c r="H377" s="216">
        <f t="shared" ref="H377:H378" si="30">G377*F377</f>
        <v>132</v>
      </c>
      <c r="I377" s="296" t="s">
        <v>247</v>
      </c>
      <c r="J377" s="50" t="s">
        <v>532</v>
      </c>
      <c r="K377" s="30">
        <v>43552</v>
      </c>
      <c r="L377" s="30"/>
      <c r="M377" s="30">
        <v>43546</v>
      </c>
      <c r="N377" s="58" t="s">
        <v>89</v>
      </c>
      <c r="O377" s="93" t="s">
        <v>2379</v>
      </c>
      <c r="P377" s="406"/>
      <c r="Q377" s="406">
        <v>121.8</v>
      </c>
      <c r="R377" s="406"/>
      <c r="S377" s="406"/>
      <c r="T377" s="406"/>
      <c r="U377" s="406">
        <v>3754</v>
      </c>
      <c r="V377" s="51" t="s">
        <v>93</v>
      </c>
      <c r="W377" s="293">
        <v>43585</v>
      </c>
      <c r="X377" s="293">
        <v>43545</v>
      </c>
      <c r="Y377" s="294" t="s">
        <v>811</v>
      </c>
      <c r="Z377" s="295">
        <v>3754</v>
      </c>
      <c r="AA377" s="300">
        <v>43586</v>
      </c>
      <c r="AB377" s="53" t="s">
        <v>2380</v>
      </c>
      <c r="AC377" s="53">
        <v>1521825421</v>
      </c>
      <c r="AD377" s="53"/>
      <c r="AE377" s="53"/>
      <c r="AF377" s="53"/>
      <c r="AG377" s="54" t="s">
        <v>283</v>
      </c>
      <c r="AH377" s="54">
        <v>30.824999999999999</v>
      </c>
      <c r="AI377" s="55"/>
      <c r="AJ377" s="56">
        <v>43536</v>
      </c>
      <c r="AK377" s="55"/>
      <c r="AL377" s="55"/>
      <c r="AM377" s="54" t="s">
        <v>49</v>
      </c>
      <c r="AN377" s="24" t="s">
        <v>284</v>
      </c>
      <c r="AO377" s="54" t="s">
        <v>50</v>
      </c>
      <c r="AP377" s="54" t="s">
        <v>51</v>
      </c>
      <c r="AQ377" s="57" t="s">
        <v>397</v>
      </c>
    </row>
    <row r="378" spans="1:43" ht="15.75" customHeight="1">
      <c r="A378" s="69">
        <v>43536</v>
      </c>
      <c r="B378" s="70" t="s">
        <v>809</v>
      </c>
      <c r="C378" s="21"/>
      <c r="D378" s="21" t="s">
        <v>810</v>
      </c>
      <c r="E378" s="23" t="s">
        <v>692</v>
      </c>
      <c r="F378" s="24">
        <v>1</v>
      </c>
      <c r="G378" s="48">
        <v>40</v>
      </c>
      <c r="H378" s="462">
        <f t="shared" si="30"/>
        <v>40</v>
      </c>
      <c r="I378" s="87" t="s">
        <v>247</v>
      </c>
      <c r="J378" s="405" t="s">
        <v>532</v>
      </c>
      <c r="K378" s="30">
        <v>43552</v>
      </c>
      <c r="L378" s="30"/>
      <c r="M378" s="665"/>
      <c r="N378" s="161" t="s">
        <v>1074</v>
      </c>
      <c r="O378" s="64"/>
      <c r="P378" s="34"/>
      <c r="Q378" s="34"/>
      <c r="R378" s="34"/>
      <c r="S378" s="34"/>
      <c r="T378" s="34"/>
      <c r="U378" s="34">
        <v>0</v>
      </c>
      <c r="V378" s="66"/>
      <c r="W378" s="52"/>
      <c r="X378" s="53"/>
      <c r="Y378" s="53"/>
      <c r="Z378" s="53"/>
      <c r="AA378" s="53"/>
      <c r="AB378" s="53" t="s">
        <v>2380</v>
      </c>
      <c r="AC378" s="53">
        <v>1521825421</v>
      </c>
      <c r="AD378" s="53"/>
      <c r="AE378" s="53"/>
      <c r="AF378" s="53"/>
      <c r="AG378" s="54" t="s">
        <v>283</v>
      </c>
      <c r="AH378" s="54">
        <v>30.824999999999999</v>
      </c>
      <c r="AI378" s="55"/>
      <c r="AJ378" s="56">
        <v>43536</v>
      </c>
      <c r="AK378" s="55"/>
      <c r="AL378" s="55"/>
      <c r="AM378" s="54" t="s">
        <v>49</v>
      </c>
      <c r="AN378" s="24" t="s">
        <v>284</v>
      </c>
      <c r="AO378" s="54" t="s">
        <v>50</v>
      </c>
      <c r="AP378" s="54" t="s">
        <v>51</v>
      </c>
      <c r="AQ378" s="57" t="s">
        <v>397</v>
      </c>
    </row>
    <row r="379" spans="1:43" ht="15.75" customHeight="1">
      <c r="A379" s="69">
        <v>43536</v>
      </c>
      <c r="B379" s="70" t="s">
        <v>809</v>
      </c>
      <c r="C379" s="21"/>
      <c r="D379" s="21" t="s">
        <v>812</v>
      </c>
      <c r="E379" s="23" t="s">
        <v>346</v>
      </c>
      <c r="F379" s="24">
        <v>1</v>
      </c>
      <c r="G379" s="143">
        <v>28</v>
      </c>
      <c r="H379" s="60">
        <v>28</v>
      </c>
      <c r="I379" s="61" t="s">
        <v>247</v>
      </c>
      <c r="J379" s="50" t="s">
        <v>532</v>
      </c>
      <c r="K379" s="30">
        <v>43552</v>
      </c>
      <c r="L379" s="30"/>
      <c r="M379" s="665"/>
      <c r="N379" s="24" t="s">
        <v>1999</v>
      </c>
      <c r="O379" s="32"/>
      <c r="P379" s="85"/>
      <c r="Q379" s="85"/>
      <c r="R379" s="85"/>
      <c r="S379" s="85"/>
      <c r="T379" s="36"/>
      <c r="U379" s="36">
        <v>860</v>
      </c>
      <c r="V379" s="22" t="s">
        <v>2000</v>
      </c>
      <c r="W379" s="293">
        <v>43585</v>
      </c>
      <c r="X379" s="293">
        <v>43555</v>
      </c>
      <c r="Y379" s="294" t="s">
        <v>813</v>
      </c>
      <c r="Z379" s="294">
        <v>860</v>
      </c>
      <c r="AA379" s="300">
        <v>43586</v>
      </c>
      <c r="AB379" s="53" t="s">
        <v>2380</v>
      </c>
      <c r="AC379" s="53">
        <v>1521825421</v>
      </c>
      <c r="AD379" s="53"/>
      <c r="AE379" s="53"/>
      <c r="AF379" s="53"/>
      <c r="AG379" s="54" t="s">
        <v>283</v>
      </c>
      <c r="AH379" s="54">
        <v>30.824999999999999</v>
      </c>
      <c r="AI379" s="55"/>
      <c r="AJ379" s="56">
        <v>43552</v>
      </c>
      <c r="AK379" s="55">
        <f>28*30.801</f>
        <v>862.428</v>
      </c>
      <c r="AL379" s="55">
        <v>0</v>
      </c>
      <c r="AM379" s="54" t="s">
        <v>49</v>
      </c>
      <c r="AN379" s="24" t="s">
        <v>284</v>
      </c>
      <c r="AO379" s="54" t="s">
        <v>50</v>
      </c>
      <c r="AP379" s="54" t="s">
        <v>51</v>
      </c>
      <c r="AQ379" s="57" t="s">
        <v>397</v>
      </c>
    </row>
    <row r="380" spans="1:43" ht="15.75" customHeight="1">
      <c r="A380" s="69">
        <v>43537</v>
      </c>
      <c r="B380" s="23" t="s">
        <v>405</v>
      </c>
      <c r="C380" s="21">
        <v>7000145844</v>
      </c>
      <c r="D380" s="21" t="s">
        <v>814</v>
      </c>
      <c r="E380" s="23" t="s">
        <v>407</v>
      </c>
      <c r="F380" s="24">
        <v>1</v>
      </c>
      <c r="G380" s="25">
        <v>54</v>
      </c>
      <c r="H380" s="60">
        <f t="shared" ref="H380:H382" si="31">G380*F380</f>
        <v>54</v>
      </c>
      <c r="I380" s="61" t="s">
        <v>42</v>
      </c>
      <c r="J380" s="82" t="s">
        <v>519</v>
      </c>
      <c r="K380" s="29">
        <v>43546</v>
      </c>
      <c r="L380" s="29"/>
      <c r="M380" s="30">
        <v>43543</v>
      </c>
      <c r="N380" s="31" t="s">
        <v>2043</v>
      </c>
      <c r="O380" s="93" t="s">
        <v>2381</v>
      </c>
      <c r="P380" s="406"/>
      <c r="Q380" s="406"/>
      <c r="R380" s="406"/>
      <c r="S380" s="406"/>
      <c r="T380" s="406"/>
      <c r="U380" s="406">
        <v>1491</v>
      </c>
      <c r="V380" s="22" t="s">
        <v>2045</v>
      </c>
      <c r="W380" s="293">
        <v>43616</v>
      </c>
      <c r="X380" s="293">
        <v>43542</v>
      </c>
      <c r="Y380" s="294" t="s">
        <v>815</v>
      </c>
      <c r="Z380" s="295">
        <v>78548</v>
      </c>
      <c r="AA380" s="300">
        <v>43616</v>
      </c>
      <c r="AB380" s="304" t="s">
        <v>2190</v>
      </c>
      <c r="AC380" s="304" t="s">
        <v>2191</v>
      </c>
      <c r="AD380" s="304"/>
      <c r="AE380" s="304"/>
      <c r="AF380" s="304"/>
      <c r="AG380" s="296"/>
      <c r="AH380" s="296">
        <v>30.824999999999999</v>
      </c>
      <c r="AI380" s="297"/>
      <c r="AJ380" s="145">
        <v>43588</v>
      </c>
      <c r="AK380" s="297" t="s">
        <v>2116</v>
      </c>
      <c r="AL380" s="297" t="s">
        <v>2117</v>
      </c>
      <c r="AM380" s="296" t="s">
        <v>49</v>
      </c>
      <c r="AN380" s="296" t="s">
        <v>284</v>
      </c>
      <c r="AO380" s="296" t="s">
        <v>50</v>
      </c>
      <c r="AP380" s="296" t="s">
        <v>51</v>
      </c>
      <c r="AQ380" s="234" t="s">
        <v>304</v>
      </c>
    </row>
    <row r="381" spans="1:43" ht="15.75" customHeight="1">
      <c r="A381" s="69">
        <v>43537</v>
      </c>
      <c r="B381" s="23" t="s">
        <v>405</v>
      </c>
      <c r="C381" s="21">
        <v>7000145844</v>
      </c>
      <c r="D381" s="21" t="s">
        <v>814</v>
      </c>
      <c r="E381" s="23" t="s">
        <v>816</v>
      </c>
      <c r="F381" s="24">
        <v>3</v>
      </c>
      <c r="G381" s="25">
        <v>866</v>
      </c>
      <c r="H381" s="60">
        <f t="shared" si="31"/>
        <v>2598</v>
      </c>
      <c r="I381" s="61" t="s">
        <v>42</v>
      </c>
      <c r="J381" s="82" t="s">
        <v>519</v>
      </c>
      <c r="K381" s="29">
        <v>43546</v>
      </c>
      <c r="L381" s="29"/>
      <c r="M381" s="30">
        <v>43543</v>
      </c>
      <c r="N381" s="58" t="s">
        <v>2043</v>
      </c>
      <c r="O381" s="93" t="s">
        <v>2381</v>
      </c>
      <c r="P381" s="406"/>
      <c r="Q381" s="406"/>
      <c r="R381" s="406"/>
      <c r="S381" s="406"/>
      <c r="T381" s="406"/>
      <c r="U381" s="406">
        <v>72135</v>
      </c>
      <c r="V381" s="22" t="s">
        <v>2045</v>
      </c>
      <c r="W381" s="293">
        <v>43616</v>
      </c>
      <c r="X381" s="293">
        <v>43542</v>
      </c>
      <c r="Y381" s="294" t="s">
        <v>815</v>
      </c>
      <c r="Z381" s="294" t="s">
        <v>2382</v>
      </c>
      <c r="AA381" s="300">
        <v>43616</v>
      </c>
      <c r="AB381" s="304" t="s">
        <v>2190</v>
      </c>
      <c r="AC381" s="304" t="s">
        <v>2191</v>
      </c>
      <c r="AD381" s="304"/>
      <c r="AE381" s="304"/>
      <c r="AF381" s="304"/>
      <c r="AG381" s="296"/>
      <c r="AH381" s="296">
        <v>30.824999999999999</v>
      </c>
      <c r="AI381" s="297"/>
      <c r="AJ381" s="145">
        <v>43588</v>
      </c>
      <c r="AK381" s="297" t="s">
        <v>2116</v>
      </c>
      <c r="AL381" s="297" t="s">
        <v>2117</v>
      </c>
      <c r="AM381" s="296" t="s">
        <v>49</v>
      </c>
      <c r="AN381" s="296" t="s">
        <v>284</v>
      </c>
      <c r="AO381" s="296" t="s">
        <v>50</v>
      </c>
      <c r="AP381" s="296" t="s">
        <v>51</v>
      </c>
      <c r="AQ381" s="234" t="s">
        <v>304</v>
      </c>
    </row>
    <row r="382" spans="1:43" ht="15.75" customHeight="1">
      <c r="A382" s="69">
        <v>43537</v>
      </c>
      <c r="B382" s="23" t="s">
        <v>405</v>
      </c>
      <c r="C382" s="21">
        <v>7000145844</v>
      </c>
      <c r="D382" s="21" t="s">
        <v>814</v>
      </c>
      <c r="E382" s="23" t="s">
        <v>484</v>
      </c>
      <c r="F382" s="24">
        <v>1</v>
      </c>
      <c r="G382" s="25">
        <v>178</v>
      </c>
      <c r="H382" s="60">
        <f t="shared" si="31"/>
        <v>178</v>
      </c>
      <c r="I382" s="61" t="s">
        <v>42</v>
      </c>
      <c r="J382" s="82" t="s">
        <v>519</v>
      </c>
      <c r="K382" s="29">
        <v>43546</v>
      </c>
      <c r="L382" s="29"/>
      <c r="M382" s="30">
        <v>43543</v>
      </c>
      <c r="N382" s="58" t="s">
        <v>2043</v>
      </c>
      <c r="O382" s="93" t="s">
        <v>2381</v>
      </c>
      <c r="P382" s="406"/>
      <c r="Q382" s="406"/>
      <c r="R382" s="406"/>
      <c r="S382" s="406"/>
      <c r="T382" s="406"/>
      <c r="U382" s="406">
        <v>4922</v>
      </c>
      <c r="V382" s="22" t="s">
        <v>2045</v>
      </c>
      <c r="W382" s="293">
        <v>43616</v>
      </c>
      <c r="X382" s="293">
        <v>43542</v>
      </c>
      <c r="Y382" s="294" t="s">
        <v>815</v>
      </c>
      <c r="Z382" s="294" t="s">
        <v>2382</v>
      </c>
      <c r="AA382" s="300">
        <v>43616</v>
      </c>
      <c r="AB382" s="304" t="s">
        <v>2190</v>
      </c>
      <c r="AC382" s="304" t="s">
        <v>2191</v>
      </c>
      <c r="AD382" s="304"/>
      <c r="AE382" s="304"/>
      <c r="AF382" s="304"/>
      <c r="AG382" s="296"/>
      <c r="AH382" s="296">
        <v>30.824999999999999</v>
      </c>
      <c r="AI382" s="297"/>
      <c r="AJ382" s="145">
        <v>43588</v>
      </c>
      <c r="AK382" s="297" t="s">
        <v>2116</v>
      </c>
      <c r="AL382" s="297" t="s">
        <v>2117</v>
      </c>
      <c r="AM382" s="296" t="s">
        <v>49</v>
      </c>
      <c r="AN382" s="296" t="s">
        <v>284</v>
      </c>
      <c r="AO382" s="296" t="s">
        <v>50</v>
      </c>
      <c r="AP382" s="296" t="s">
        <v>51</v>
      </c>
      <c r="AQ382" s="234" t="s">
        <v>304</v>
      </c>
    </row>
    <row r="383" spans="1:43" ht="15.75" customHeight="1">
      <c r="A383" s="19">
        <v>43539</v>
      </c>
      <c r="B383" s="144" t="s">
        <v>100</v>
      </c>
      <c r="C383" s="21"/>
      <c r="D383" s="21" t="s">
        <v>817</v>
      </c>
      <c r="E383" s="23" t="s">
        <v>346</v>
      </c>
      <c r="F383" s="296">
        <v>1</v>
      </c>
      <c r="G383" s="47">
        <v>90.5</v>
      </c>
      <c r="H383" s="26">
        <v>90.5</v>
      </c>
      <c r="I383" s="27" t="s">
        <v>302</v>
      </c>
      <c r="J383" s="58" t="s">
        <v>437</v>
      </c>
      <c r="K383" s="30">
        <v>43539</v>
      </c>
      <c r="L383" s="30"/>
      <c r="M383" s="302"/>
      <c r="N383" s="58" t="s">
        <v>1999</v>
      </c>
      <c r="O383" s="235" t="s">
        <v>2383</v>
      </c>
      <c r="P383" s="236"/>
      <c r="Q383" s="406"/>
      <c r="R383" s="406"/>
      <c r="S383" s="406"/>
      <c r="T383" s="620"/>
      <c r="U383" s="620">
        <v>2696</v>
      </c>
      <c r="V383" s="22" t="s">
        <v>2000</v>
      </c>
      <c r="W383" s="293">
        <v>43585</v>
      </c>
      <c r="X383" s="293">
        <v>43555</v>
      </c>
      <c r="Y383" s="294" t="s">
        <v>813</v>
      </c>
      <c r="Z383" s="295">
        <v>2696</v>
      </c>
      <c r="AA383" s="300">
        <v>43586</v>
      </c>
      <c r="AB383" s="304" t="s">
        <v>2066</v>
      </c>
      <c r="AC383" s="304">
        <v>5410879250</v>
      </c>
      <c r="AD383" s="304"/>
      <c r="AE383" s="304"/>
      <c r="AF383" s="304"/>
      <c r="AG383" s="296"/>
      <c r="AH383" s="296"/>
      <c r="AI383" s="297"/>
      <c r="AJ383" s="298">
        <v>43587</v>
      </c>
      <c r="AK383" s="297" t="s">
        <v>1957</v>
      </c>
      <c r="AL383" s="297" t="s">
        <v>1958</v>
      </c>
      <c r="AM383" s="296" t="s">
        <v>49</v>
      </c>
      <c r="AN383" s="296" t="s">
        <v>284</v>
      </c>
      <c r="AO383" s="296" t="s">
        <v>285</v>
      </c>
      <c r="AP383" s="296" t="s">
        <v>51</v>
      </c>
      <c r="AQ383" s="234" t="s">
        <v>304</v>
      </c>
    </row>
    <row r="384" spans="1:43" ht="15.75" customHeight="1">
      <c r="A384" s="69">
        <v>43542</v>
      </c>
      <c r="B384" s="23" t="s">
        <v>76</v>
      </c>
      <c r="C384" s="21">
        <v>205</v>
      </c>
      <c r="D384" s="21" t="s">
        <v>818</v>
      </c>
      <c r="E384" s="23" t="s">
        <v>819</v>
      </c>
      <c r="F384" s="24">
        <v>25</v>
      </c>
      <c r="G384" s="25">
        <v>14</v>
      </c>
      <c r="H384" s="26">
        <f t="shared" ref="H384:H385" si="32">G384*F384</f>
        <v>350</v>
      </c>
      <c r="I384" s="61" t="s">
        <v>42</v>
      </c>
      <c r="J384" s="58" t="s">
        <v>315</v>
      </c>
      <c r="K384" s="29">
        <v>43550</v>
      </c>
      <c r="L384" s="29"/>
      <c r="M384" s="30">
        <v>43546</v>
      </c>
      <c r="N384" s="58" t="s">
        <v>2008</v>
      </c>
      <c r="O384" s="32" t="s">
        <v>2384</v>
      </c>
      <c r="P384" s="22"/>
      <c r="Q384" s="22">
        <v>315</v>
      </c>
      <c r="R384" s="22"/>
      <c r="S384" s="22"/>
      <c r="T384" s="22"/>
      <c r="U384" s="22">
        <v>9708</v>
      </c>
      <c r="V384" s="20" t="s">
        <v>2010</v>
      </c>
      <c r="W384" s="293">
        <v>43560</v>
      </c>
      <c r="X384" s="293">
        <v>43559</v>
      </c>
      <c r="Y384" s="340" t="s">
        <v>820</v>
      </c>
      <c r="Z384" s="412">
        <v>9708</v>
      </c>
      <c r="AA384" s="411">
        <v>43564</v>
      </c>
      <c r="AB384" s="304" t="s">
        <v>2148</v>
      </c>
      <c r="AC384" s="350">
        <v>258263250</v>
      </c>
      <c r="AD384" s="350"/>
      <c r="AE384" s="350"/>
      <c r="AF384" s="350"/>
      <c r="AG384" s="82"/>
      <c r="AH384" s="296">
        <v>30.824999999999999</v>
      </c>
      <c r="AI384" s="297"/>
      <c r="AJ384" s="298">
        <v>43580</v>
      </c>
      <c r="AK384" s="297" t="s">
        <v>2226</v>
      </c>
      <c r="AL384" s="297" t="s">
        <v>2227</v>
      </c>
      <c r="AM384" s="82" t="s">
        <v>49</v>
      </c>
      <c r="AN384" s="296" t="s">
        <v>284</v>
      </c>
      <c r="AO384" s="296" t="s">
        <v>50</v>
      </c>
      <c r="AP384" s="82" t="s">
        <v>51</v>
      </c>
      <c r="AQ384" s="234" t="s">
        <v>304</v>
      </c>
    </row>
    <row r="385" spans="1:43" ht="15.75" customHeight="1">
      <c r="A385" s="69">
        <v>43542</v>
      </c>
      <c r="B385" s="70" t="s">
        <v>100</v>
      </c>
      <c r="C385" s="21" t="s">
        <v>821</v>
      </c>
      <c r="D385" s="21" t="s">
        <v>822</v>
      </c>
      <c r="E385" s="23" t="s">
        <v>823</v>
      </c>
      <c r="F385" s="24">
        <v>1</v>
      </c>
      <c r="G385" s="25">
        <v>915</v>
      </c>
      <c r="H385" s="26">
        <f t="shared" si="32"/>
        <v>915</v>
      </c>
      <c r="I385" s="61" t="s">
        <v>695</v>
      </c>
      <c r="J385" s="63" t="s">
        <v>262</v>
      </c>
      <c r="K385" s="29">
        <v>43580</v>
      </c>
      <c r="L385" s="29"/>
      <c r="M385" s="606">
        <v>43578</v>
      </c>
      <c r="N385" s="431" t="s">
        <v>1414</v>
      </c>
      <c r="O385" s="396" t="s">
        <v>2385</v>
      </c>
      <c r="P385" s="612"/>
      <c r="Q385" s="612">
        <v>845.25</v>
      </c>
      <c r="R385" s="612"/>
      <c r="S385" s="612"/>
      <c r="T385" s="647"/>
      <c r="U385" s="647">
        <f>845.245*30.82</f>
        <v>26050.4509</v>
      </c>
      <c r="V385" s="611"/>
      <c r="W385" s="300">
        <v>43616</v>
      </c>
      <c r="X385" s="300">
        <v>43577</v>
      </c>
      <c r="Y385" s="294" t="s">
        <v>824</v>
      </c>
      <c r="Z385" s="294">
        <v>27183</v>
      </c>
      <c r="AA385" s="293">
        <v>43616</v>
      </c>
      <c r="AB385" s="294" t="s">
        <v>2386</v>
      </c>
      <c r="AC385" s="340">
        <v>4328912582</v>
      </c>
      <c r="AD385" s="300">
        <v>43616</v>
      </c>
      <c r="AE385" s="294"/>
      <c r="AF385" s="294"/>
      <c r="AG385" s="369"/>
      <c r="AH385" s="369">
        <v>30.81</v>
      </c>
      <c r="AI385" s="370">
        <f>AH385*H385</f>
        <v>28191.149999999998</v>
      </c>
      <c r="AJ385" s="371">
        <v>43636</v>
      </c>
      <c r="AK385" s="370" t="s">
        <v>2067</v>
      </c>
      <c r="AL385" s="370" t="s">
        <v>2068</v>
      </c>
      <c r="AM385" s="369" t="s">
        <v>49</v>
      </c>
      <c r="AN385" s="369" t="s">
        <v>284</v>
      </c>
      <c r="AO385" s="369" t="s">
        <v>50</v>
      </c>
      <c r="AP385" s="369" t="s">
        <v>51</v>
      </c>
      <c r="AQ385" s="372" t="s">
        <v>439</v>
      </c>
    </row>
    <row r="386" spans="1:43" ht="15.75" customHeight="1">
      <c r="A386" s="69">
        <v>43542</v>
      </c>
      <c r="B386" s="70" t="s">
        <v>100</v>
      </c>
      <c r="C386" s="21" t="s">
        <v>821</v>
      </c>
      <c r="D386" s="32" t="s">
        <v>825</v>
      </c>
      <c r="E386" s="23" t="s">
        <v>826</v>
      </c>
      <c r="F386" s="24">
        <v>1</v>
      </c>
      <c r="G386" s="25">
        <v>42</v>
      </c>
      <c r="H386" s="26">
        <v>42</v>
      </c>
      <c r="I386" s="61" t="s">
        <v>695</v>
      </c>
      <c r="J386" s="63" t="s">
        <v>827</v>
      </c>
      <c r="K386" s="29">
        <v>43580</v>
      </c>
      <c r="L386" s="29"/>
      <c r="M386" s="606">
        <v>43578</v>
      </c>
      <c r="N386" s="666" t="s">
        <v>1414</v>
      </c>
      <c r="O386" s="396" t="s">
        <v>2385</v>
      </c>
      <c r="P386" s="612"/>
      <c r="Q386" s="612">
        <v>36.75</v>
      </c>
      <c r="R386" s="612"/>
      <c r="S386" s="612"/>
      <c r="T386" s="647"/>
      <c r="U386" s="647">
        <f>36.75*30.82</f>
        <v>1132.635</v>
      </c>
      <c r="V386" s="611"/>
      <c r="W386" s="300">
        <v>43616</v>
      </c>
      <c r="X386" s="300">
        <v>43577</v>
      </c>
      <c r="Y386" s="294" t="s">
        <v>824</v>
      </c>
      <c r="Z386" s="294" t="s">
        <v>2387</v>
      </c>
      <c r="AA386" s="293">
        <v>43616</v>
      </c>
      <c r="AB386" s="294" t="s">
        <v>2386</v>
      </c>
      <c r="AC386" s="340">
        <v>4328912582</v>
      </c>
      <c r="AD386" s="300">
        <v>43616</v>
      </c>
      <c r="AE386" s="294"/>
      <c r="AF386" s="294"/>
      <c r="AG386" s="369"/>
      <c r="AH386" s="369">
        <v>30.81</v>
      </c>
      <c r="AI386" s="370">
        <f>AH386*H386</f>
        <v>1294.02</v>
      </c>
      <c r="AJ386" s="371">
        <v>43636</v>
      </c>
      <c r="AK386" s="370" t="s">
        <v>2067</v>
      </c>
      <c r="AL386" s="370" t="s">
        <v>2068</v>
      </c>
      <c r="AM386" s="369" t="s">
        <v>49</v>
      </c>
      <c r="AN386" s="369" t="s">
        <v>284</v>
      </c>
      <c r="AO386" s="369" t="s">
        <v>50</v>
      </c>
      <c r="AP386" s="369" t="s">
        <v>51</v>
      </c>
      <c r="AQ386" s="372" t="s">
        <v>439</v>
      </c>
    </row>
    <row r="387" spans="1:43" ht="15.75" customHeight="1">
      <c r="A387" s="69">
        <v>43542</v>
      </c>
      <c r="B387" s="70" t="s">
        <v>100</v>
      </c>
      <c r="C387" s="21" t="s">
        <v>821</v>
      </c>
      <c r="D387" s="32" t="s">
        <v>825</v>
      </c>
      <c r="E387" s="23" t="s">
        <v>790</v>
      </c>
      <c r="F387" s="24">
        <v>1</v>
      </c>
      <c r="G387" s="25">
        <v>79</v>
      </c>
      <c r="H387" s="26">
        <f>G387*F387</f>
        <v>79</v>
      </c>
      <c r="I387" s="61" t="s">
        <v>695</v>
      </c>
      <c r="J387" s="63" t="s">
        <v>262</v>
      </c>
      <c r="K387" s="29">
        <v>43580</v>
      </c>
      <c r="L387" s="29"/>
      <c r="M387" s="606">
        <v>43551</v>
      </c>
      <c r="N387" s="646" t="s">
        <v>178</v>
      </c>
      <c r="O387" s="396" t="s">
        <v>0</v>
      </c>
      <c r="P387" s="612"/>
      <c r="Q387" s="612"/>
      <c r="R387" s="612"/>
      <c r="S387" s="612"/>
      <c r="T387" s="647"/>
      <c r="U387" s="647">
        <v>2465</v>
      </c>
      <c r="V387" s="612"/>
      <c r="W387" s="294"/>
      <c r="X387" s="294"/>
      <c r="Y387" s="294"/>
      <c r="Z387" s="294"/>
      <c r="AA387" s="294"/>
      <c r="AB387" s="294" t="s">
        <v>2386</v>
      </c>
      <c r="AC387" s="294" t="s">
        <v>2388</v>
      </c>
      <c r="AD387" s="294"/>
      <c r="AE387" s="294"/>
      <c r="AF387" s="294"/>
      <c r="AG387" s="369"/>
      <c r="AH387" s="369">
        <v>30.81</v>
      </c>
      <c r="AI387" s="370">
        <f>AH387*H387</f>
        <v>2433.9899999999998</v>
      </c>
      <c r="AJ387" s="371">
        <v>43636</v>
      </c>
      <c r="AK387" s="370" t="s">
        <v>2067</v>
      </c>
      <c r="AL387" s="370" t="s">
        <v>2068</v>
      </c>
      <c r="AM387" s="369" t="s">
        <v>49</v>
      </c>
      <c r="AN387" s="369" t="s">
        <v>284</v>
      </c>
      <c r="AO387" s="369" t="s">
        <v>50</v>
      </c>
      <c r="AP387" s="369" t="s">
        <v>51</v>
      </c>
      <c r="AQ387" s="372" t="s">
        <v>439</v>
      </c>
    </row>
    <row r="388" spans="1:43" ht="15.75" customHeight="1">
      <c r="A388" s="463">
        <v>43544</v>
      </c>
      <c r="B388" s="263" t="s">
        <v>415</v>
      </c>
      <c r="C388" s="250" t="s">
        <v>828</v>
      </c>
      <c r="D388" s="308" t="s">
        <v>829</v>
      </c>
      <c r="E388" s="23" t="s">
        <v>830</v>
      </c>
      <c r="F388" s="251">
        <v>3</v>
      </c>
      <c r="G388" s="464">
        <v>118</v>
      </c>
      <c r="H388" s="334">
        <v>354</v>
      </c>
      <c r="I388" s="254" t="s">
        <v>247</v>
      </c>
      <c r="J388" s="367" t="s">
        <v>831</v>
      </c>
      <c r="K388" s="256">
        <v>43549</v>
      </c>
      <c r="L388" s="256"/>
      <c r="M388" s="256">
        <v>43546</v>
      </c>
      <c r="N388" s="401" t="s">
        <v>89</v>
      </c>
      <c r="O388" s="420" t="s">
        <v>2389</v>
      </c>
      <c r="P388" s="308"/>
      <c r="Q388" s="308">
        <v>327.60000000000002</v>
      </c>
      <c r="R388" s="308"/>
      <c r="S388" s="308"/>
      <c r="T388" s="308"/>
      <c r="U388" s="308">
        <v>10098</v>
      </c>
      <c r="V388" s="571" t="s">
        <v>93</v>
      </c>
      <c r="W388" s="258">
        <v>43585</v>
      </c>
      <c r="X388" s="258">
        <v>43546</v>
      </c>
      <c r="Y388" s="259" t="s">
        <v>832</v>
      </c>
      <c r="Z388" s="270">
        <v>10098</v>
      </c>
      <c r="AA388" s="368">
        <v>43586</v>
      </c>
      <c r="AB388" s="329" t="s">
        <v>2390</v>
      </c>
      <c r="AC388" s="329" t="s">
        <v>2391</v>
      </c>
      <c r="AD388" s="329"/>
      <c r="AE388" s="329"/>
      <c r="AF388" s="329"/>
      <c r="AG388" s="251" t="s">
        <v>283</v>
      </c>
      <c r="AH388" s="251"/>
      <c r="AI388" s="260"/>
      <c r="AJ388" s="251"/>
      <c r="AK388" s="260"/>
      <c r="AL388" s="260"/>
      <c r="AM388" s="251" t="s">
        <v>49</v>
      </c>
      <c r="AN388" s="251" t="s">
        <v>284</v>
      </c>
      <c r="AO388" s="251" t="s">
        <v>50</v>
      </c>
      <c r="AP388" s="251" t="s">
        <v>51</v>
      </c>
      <c r="AQ388" s="262"/>
    </row>
    <row r="389" spans="1:43" ht="15.75" customHeight="1">
      <c r="A389" s="463">
        <v>43544</v>
      </c>
      <c r="B389" s="263" t="s">
        <v>415</v>
      </c>
      <c r="C389" s="250" t="s">
        <v>828</v>
      </c>
      <c r="D389" s="308" t="s">
        <v>829</v>
      </c>
      <c r="E389" s="23" t="s">
        <v>833</v>
      </c>
      <c r="F389" s="251">
        <v>1</v>
      </c>
      <c r="G389" s="464">
        <v>40</v>
      </c>
      <c r="H389" s="334">
        <v>40</v>
      </c>
      <c r="I389" s="254" t="s">
        <v>247</v>
      </c>
      <c r="J389" s="367" t="s">
        <v>831</v>
      </c>
      <c r="K389" s="256">
        <v>43549</v>
      </c>
      <c r="L389" s="256"/>
      <c r="M389" s="623" t="s">
        <v>0</v>
      </c>
      <c r="N389" s="367" t="s">
        <v>1074</v>
      </c>
      <c r="O389" s="595"/>
      <c r="P389" s="593"/>
      <c r="Q389" s="593"/>
      <c r="R389" s="593"/>
      <c r="S389" s="593"/>
      <c r="T389" s="593"/>
      <c r="U389" s="593"/>
      <c r="V389" s="386"/>
      <c r="W389" s="337"/>
      <c r="X389" s="329"/>
      <c r="Y389" s="329"/>
      <c r="Z389" s="329"/>
      <c r="AA389" s="329"/>
      <c r="AB389" s="329" t="s">
        <v>2390</v>
      </c>
      <c r="AC389" s="329" t="s">
        <v>2391</v>
      </c>
      <c r="AD389" s="329"/>
      <c r="AE389" s="329"/>
      <c r="AF389" s="329"/>
      <c r="AG389" s="251" t="s">
        <v>283</v>
      </c>
      <c r="AH389" s="251"/>
      <c r="AI389" s="260"/>
      <c r="AJ389" s="251"/>
      <c r="AK389" s="260"/>
      <c r="AL389" s="260"/>
      <c r="AM389" s="251" t="s">
        <v>49</v>
      </c>
      <c r="AN389" s="251" t="s">
        <v>284</v>
      </c>
      <c r="AO389" s="251" t="s">
        <v>50</v>
      </c>
      <c r="AP389" s="251" t="s">
        <v>51</v>
      </c>
      <c r="AQ389" s="262"/>
    </row>
    <row r="390" spans="1:43" ht="15.75" customHeight="1">
      <c r="A390" s="463">
        <v>43544</v>
      </c>
      <c r="B390" s="23" t="s">
        <v>405</v>
      </c>
      <c r="C390" s="21">
        <v>7000146024</v>
      </c>
      <c r="D390" s="406" t="s">
        <v>834</v>
      </c>
      <c r="E390" s="23" t="s">
        <v>676</v>
      </c>
      <c r="F390" s="24">
        <v>10</v>
      </c>
      <c r="G390" s="25">
        <v>127</v>
      </c>
      <c r="H390" s="60">
        <f t="shared" ref="H390:H400" si="33">G390*F390</f>
        <v>1270</v>
      </c>
      <c r="I390" s="61" t="s">
        <v>42</v>
      </c>
      <c r="J390" s="50" t="s">
        <v>512</v>
      </c>
      <c r="K390" s="29">
        <v>43557</v>
      </c>
      <c r="L390" s="29"/>
      <c r="M390" s="30">
        <v>43551</v>
      </c>
      <c r="N390" s="58" t="s">
        <v>2043</v>
      </c>
      <c r="O390" s="93" t="s">
        <v>2392</v>
      </c>
      <c r="P390" s="406"/>
      <c r="Q390" s="406"/>
      <c r="R390" s="406"/>
      <c r="S390" s="406"/>
      <c r="T390" s="406"/>
      <c r="U390" s="406">
        <v>35711</v>
      </c>
      <c r="V390" s="22" t="s">
        <v>2045</v>
      </c>
      <c r="W390" s="460">
        <v>43646</v>
      </c>
      <c r="X390" s="465">
        <v>43550</v>
      </c>
      <c r="Y390" s="304" t="s">
        <v>835</v>
      </c>
      <c r="Z390" s="404">
        <v>35711</v>
      </c>
      <c r="AA390" s="460">
        <v>43647</v>
      </c>
      <c r="AB390" s="304" t="s">
        <v>2393</v>
      </c>
      <c r="AC390" s="304">
        <v>6617987342</v>
      </c>
      <c r="AD390" s="304"/>
      <c r="AE390" s="304"/>
      <c r="AF390" s="304"/>
      <c r="AG390" s="296"/>
      <c r="AH390" s="296">
        <v>30.77</v>
      </c>
      <c r="AI390" s="297">
        <f>H390*AH390</f>
        <v>39077.9</v>
      </c>
      <c r="AJ390" s="298">
        <v>43598</v>
      </c>
      <c r="AK390" s="297">
        <f>3724.54*30.94</f>
        <v>115237.26760000001</v>
      </c>
      <c r="AL390" s="297">
        <f>(20+6.46)*30.94</f>
        <v>818.67240000000004</v>
      </c>
      <c r="AM390" s="296" t="s">
        <v>49</v>
      </c>
      <c r="AN390" s="296" t="s">
        <v>284</v>
      </c>
      <c r="AO390" s="296" t="s">
        <v>50</v>
      </c>
      <c r="AP390" s="296" t="s">
        <v>51</v>
      </c>
      <c r="AQ390" s="234" t="s">
        <v>304</v>
      </c>
    </row>
    <row r="391" spans="1:43" ht="15.75" customHeight="1">
      <c r="A391" s="463">
        <v>43544</v>
      </c>
      <c r="B391" s="23" t="s">
        <v>405</v>
      </c>
      <c r="C391" s="21">
        <v>7000146024</v>
      </c>
      <c r="D391" s="406" t="s">
        <v>834</v>
      </c>
      <c r="E391" s="23" t="s">
        <v>836</v>
      </c>
      <c r="F391" s="24">
        <v>1</v>
      </c>
      <c r="G391" s="48">
        <v>175</v>
      </c>
      <c r="H391" s="466">
        <f t="shared" si="33"/>
        <v>175</v>
      </c>
      <c r="I391" s="61" t="s">
        <v>42</v>
      </c>
      <c r="J391" s="405" t="s">
        <v>512</v>
      </c>
      <c r="K391" s="29">
        <v>43566</v>
      </c>
      <c r="L391" s="29"/>
      <c r="M391" s="30">
        <v>43565</v>
      </c>
      <c r="N391" s="31" t="s">
        <v>2043</v>
      </c>
      <c r="O391" s="93" t="s">
        <v>2392</v>
      </c>
      <c r="P391" s="406"/>
      <c r="Q391" s="406"/>
      <c r="R391" s="406"/>
      <c r="S391" s="406"/>
      <c r="T391" s="406"/>
      <c r="U391" s="406">
        <v>4883</v>
      </c>
      <c r="V391" s="22" t="s">
        <v>2045</v>
      </c>
      <c r="W391" s="460">
        <v>43646</v>
      </c>
      <c r="X391" s="460">
        <v>43564</v>
      </c>
      <c r="Y391" s="304" t="s">
        <v>837</v>
      </c>
      <c r="Z391" s="304">
        <v>4883</v>
      </c>
      <c r="AA391" s="460">
        <v>43647</v>
      </c>
      <c r="AB391" s="304" t="s">
        <v>2234</v>
      </c>
      <c r="AC391" s="304">
        <v>4076131905</v>
      </c>
      <c r="AD391" s="304"/>
      <c r="AE391" s="304"/>
      <c r="AF391" s="304"/>
      <c r="AG391" s="296"/>
      <c r="AH391" s="296">
        <v>30.76</v>
      </c>
      <c r="AI391" s="430">
        <f>AH391*H391</f>
        <v>5383</v>
      </c>
      <c r="AJ391" s="298">
        <v>43602</v>
      </c>
      <c r="AK391" s="297" t="s">
        <v>2235</v>
      </c>
      <c r="AL391" s="297" t="s">
        <v>2236</v>
      </c>
      <c r="AM391" s="296" t="s">
        <v>49</v>
      </c>
      <c r="AN391" s="296" t="s">
        <v>284</v>
      </c>
      <c r="AO391" s="296" t="s">
        <v>50</v>
      </c>
      <c r="AP391" s="296" t="s">
        <v>51</v>
      </c>
      <c r="AQ391" s="234" t="s">
        <v>304</v>
      </c>
    </row>
    <row r="392" spans="1:43" ht="15.75" customHeight="1">
      <c r="A392" s="463">
        <v>43545</v>
      </c>
      <c r="B392" s="21" t="s">
        <v>619</v>
      </c>
      <c r="C392" s="21"/>
      <c r="D392" s="21" t="s">
        <v>838</v>
      </c>
      <c r="E392" s="23" t="s">
        <v>839</v>
      </c>
      <c r="F392" s="24">
        <v>2</v>
      </c>
      <c r="G392" s="25">
        <v>304.5</v>
      </c>
      <c r="H392" s="60">
        <f t="shared" si="33"/>
        <v>609</v>
      </c>
      <c r="I392" s="346" t="s">
        <v>42</v>
      </c>
      <c r="J392" s="63" t="s">
        <v>89</v>
      </c>
      <c r="K392" s="29">
        <v>43552</v>
      </c>
      <c r="L392" s="29"/>
      <c r="M392" s="606">
        <v>43552</v>
      </c>
      <c r="N392" s="646" t="s">
        <v>89</v>
      </c>
      <c r="O392" s="608" t="s">
        <v>2394</v>
      </c>
      <c r="P392" s="612"/>
      <c r="Q392" s="612">
        <v>558.6</v>
      </c>
      <c r="R392" s="612"/>
      <c r="S392" s="612"/>
      <c r="T392" s="612"/>
      <c r="U392" s="612">
        <v>17219</v>
      </c>
      <c r="V392" s="610" t="s">
        <v>93</v>
      </c>
      <c r="W392" s="411">
        <v>43616</v>
      </c>
      <c r="X392" s="293">
        <v>43551</v>
      </c>
      <c r="Y392" s="294" t="s">
        <v>840</v>
      </c>
      <c r="Z392" s="295">
        <v>17219</v>
      </c>
      <c r="AA392" s="449">
        <v>43616</v>
      </c>
      <c r="AB392" s="294" t="s">
        <v>2395</v>
      </c>
      <c r="AC392" s="667" t="s">
        <v>2396</v>
      </c>
      <c r="AD392" s="294">
        <v>30.85</v>
      </c>
      <c r="AE392" s="294">
        <v>18788</v>
      </c>
      <c r="AF392" s="294" t="s">
        <v>2397</v>
      </c>
      <c r="AG392" s="369"/>
      <c r="AH392" s="369"/>
      <c r="AI392" s="370"/>
      <c r="AJ392" s="371">
        <v>43626</v>
      </c>
      <c r="AK392" s="370">
        <v>18788</v>
      </c>
      <c r="AL392" s="370">
        <v>0</v>
      </c>
      <c r="AM392" s="369" t="s">
        <v>49</v>
      </c>
      <c r="AN392" s="369" t="s">
        <v>284</v>
      </c>
      <c r="AO392" s="369" t="s">
        <v>50</v>
      </c>
      <c r="AP392" s="369" t="s">
        <v>376</v>
      </c>
      <c r="AQ392" s="372" t="s">
        <v>439</v>
      </c>
    </row>
    <row r="393" spans="1:43" ht="15.75" customHeight="1">
      <c r="A393" s="69">
        <v>43546</v>
      </c>
      <c r="B393" s="32" t="s">
        <v>405</v>
      </c>
      <c r="C393" s="21">
        <v>7000146048</v>
      </c>
      <c r="D393" s="21" t="s">
        <v>841</v>
      </c>
      <c r="E393" s="23" t="s">
        <v>842</v>
      </c>
      <c r="F393" s="24">
        <v>1</v>
      </c>
      <c r="G393" s="25">
        <v>1451</v>
      </c>
      <c r="H393" s="60">
        <f t="shared" si="33"/>
        <v>1451</v>
      </c>
      <c r="I393" s="61" t="s">
        <v>42</v>
      </c>
      <c r="J393" s="50" t="s">
        <v>512</v>
      </c>
      <c r="K393" s="29">
        <v>43557</v>
      </c>
      <c r="L393" s="29"/>
      <c r="M393" s="30">
        <v>43556</v>
      </c>
      <c r="N393" s="58" t="s">
        <v>2043</v>
      </c>
      <c r="O393" s="93" t="s">
        <v>2398</v>
      </c>
      <c r="P393" s="406"/>
      <c r="Q393" s="406"/>
      <c r="R393" s="406"/>
      <c r="S393" s="406"/>
      <c r="T393" s="406"/>
      <c r="U393" s="406">
        <v>41421</v>
      </c>
      <c r="V393" s="20" t="s">
        <v>2045</v>
      </c>
      <c r="W393" s="303">
        <v>43646</v>
      </c>
      <c r="X393" s="460">
        <v>43556</v>
      </c>
      <c r="Y393" s="304" t="s">
        <v>843</v>
      </c>
      <c r="Z393" s="304">
        <v>69616</v>
      </c>
      <c r="AA393" s="460">
        <v>43647</v>
      </c>
      <c r="AB393" s="304" t="s">
        <v>2393</v>
      </c>
      <c r="AC393" s="304">
        <v>6617987342</v>
      </c>
      <c r="AD393" s="304"/>
      <c r="AE393" s="304"/>
      <c r="AF393" s="304"/>
      <c r="AG393" s="296"/>
      <c r="AH393" s="296">
        <v>30.77</v>
      </c>
      <c r="AI393" s="297">
        <f t="shared" ref="AI393:AI399" si="34">H393*AH393</f>
        <v>44647.27</v>
      </c>
      <c r="AJ393" s="298">
        <v>43598</v>
      </c>
      <c r="AK393" s="297" t="s">
        <v>2399</v>
      </c>
      <c r="AL393" s="297" t="s">
        <v>2399</v>
      </c>
      <c r="AM393" s="296" t="s">
        <v>49</v>
      </c>
      <c r="AN393" s="296" t="s">
        <v>284</v>
      </c>
      <c r="AO393" s="296" t="s">
        <v>50</v>
      </c>
      <c r="AP393" s="296" t="s">
        <v>51</v>
      </c>
      <c r="AQ393" s="234" t="s">
        <v>304</v>
      </c>
    </row>
    <row r="394" spans="1:43" ht="15.75" customHeight="1">
      <c r="A394" s="69">
        <v>43546</v>
      </c>
      <c r="B394" s="32" t="s">
        <v>405</v>
      </c>
      <c r="C394" s="21">
        <v>7000146048</v>
      </c>
      <c r="D394" s="21" t="s">
        <v>841</v>
      </c>
      <c r="E394" s="23" t="s">
        <v>844</v>
      </c>
      <c r="F394" s="24">
        <v>2</v>
      </c>
      <c r="G394" s="25">
        <v>186</v>
      </c>
      <c r="H394" s="60">
        <f t="shared" si="33"/>
        <v>372</v>
      </c>
      <c r="I394" s="61" t="s">
        <v>42</v>
      </c>
      <c r="J394" s="50" t="s">
        <v>512</v>
      </c>
      <c r="K394" s="29">
        <v>43557</v>
      </c>
      <c r="L394" s="29"/>
      <c r="M394" s="30">
        <v>43556</v>
      </c>
      <c r="N394" s="58" t="s">
        <v>2043</v>
      </c>
      <c r="O394" s="93" t="s">
        <v>2398</v>
      </c>
      <c r="P394" s="406"/>
      <c r="Q394" s="406"/>
      <c r="R394" s="406"/>
      <c r="S394" s="406"/>
      <c r="T394" s="406"/>
      <c r="U394" s="406">
        <v>10284</v>
      </c>
      <c r="V394" s="22" t="s">
        <v>2045</v>
      </c>
      <c r="W394" s="303">
        <v>43646</v>
      </c>
      <c r="X394" s="460">
        <v>43556</v>
      </c>
      <c r="Y394" s="304" t="s">
        <v>843</v>
      </c>
      <c r="Z394" s="304" t="s">
        <v>2400</v>
      </c>
      <c r="AA394" s="460">
        <v>43647</v>
      </c>
      <c r="AB394" s="304" t="s">
        <v>2393</v>
      </c>
      <c r="AC394" s="237">
        <v>6617987342</v>
      </c>
      <c r="AD394" s="304"/>
      <c r="AE394" s="304"/>
      <c r="AF394" s="304"/>
      <c r="AG394" s="296"/>
      <c r="AH394" s="296">
        <v>30.77</v>
      </c>
      <c r="AI394" s="297">
        <f t="shared" si="34"/>
        <v>11446.44</v>
      </c>
      <c r="AJ394" s="298">
        <v>43598</v>
      </c>
      <c r="AK394" s="297" t="s">
        <v>2399</v>
      </c>
      <c r="AL394" s="297" t="s">
        <v>2399</v>
      </c>
      <c r="AM394" s="296" t="s">
        <v>49</v>
      </c>
      <c r="AN394" s="296" t="s">
        <v>284</v>
      </c>
      <c r="AO394" s="296" t="s">
        <v>50</v>
      </c>
      <c r="AP394" s="296" t="s">
        <v>51</v>
      </c>
      <c r="AQ394" s="234" t="s">
        <v>304</v>
      </c>
    </row>
    <row r="395" spans="1:43" ht="15.75" customHeight="1">
      <c r="A395" s="69">
        <v>43546</v>
      </c>
      <c r="B395" s="32" t="s">
        <v>405</v>
      </c>
      <c r="C395" s="21">
        <v>7000146048</v>
      </c>
      <c r="D395" s="21" t="s">
        <v>841</v>
      </c>
      <c r="E395" s="23" t="s">
        <v>801</v>
      </c>
      <c r="F395" s="24">
        <v>2</v>
      </c>
      <c r="G395" s="25">
        <v>67</v>
      </c>
      <c r="H395" s="60">
        <f t="shared" si="33"/>
        <v>134</v>
      </c>
      <c r="I395" s="61" t="s">
        <v>42</v>
      </c>
      <c r="J395" s="50" t="s">
        <v>512</v>
      </c>
      <c r="K395" s="29">
        <v>43557</v>
      </c>
      <c r="L395" s="29"/>
      <c r="M395" s="30">
        <v>43556</v>
      </c>
      <c r="N395" s="58" t="s">
        <v>2043</v>
      </c>
      <c r="O395" s="93" t="s">
        <v>2398</v>
      </c>
      <c r="P395" s="406"/>
      <c r="Q395" s="406"/>
      <c r="R395" s="406"/>
      <c r="S395" s="406"/>
      <c r="T395" s="406"/>
      <c r="U395" s="406">
        <v>3791</v>
      </c>
      <c r="V395" s="20" t="s">
        <v>2045</v>
      </c>
      <c r="W395" s="303">
        <v>43646</v>
      </c>
      <c r="X395" s="460">
        <v>43556</v>
      </c>
      <c r="Y395" s="304" t="s">
        <v>843</v>
      </c>
      <c r="Z395" s="304" t="s">
        <v>2400</v>
      </c>
      <c r="AA395" s="460">
        <v>43647</v>
      </c>
      <c r="AB395" s="304" t="s">
        <v>2393</v>
      </c>
      <c r="AC395" s="237">
        <v>6617987342</v>
      </c>
      <c r="AD395" s="304"/>
      <c r="AE395" s="304"/>
      <c r="AF395" s="304"/>
      <c r="AG395" s="296"/>
      <c r="AH395" s="296">
        <v>30.77</v>
      </c>
      <c r="AI395" s="297">
        <f t="shared" si="34"/>
        <v>4123.18</v>
      </c>
      <c r="AJ395" s="298">
        <v>43598</v>
      </c>
      <c r="AK395" s="297" t="s">
        <v>2399</v>
      </c>
      <c r="AL395" s="297" t="s">
        <v>2399</v>
      </c>
      <c r="AM395" s="296" t="s">
        <v>49</v>
      </c>
      <c r="AN395" s="296" t="s">
        <v>284</v>
      </c>
      <c r="AO395" s="296" t="s">
        <v>50</v>
      </c>
      <c r="AP395" s="296" t="s">
        <v>51</v>
      </c>
      <c r="AQ395" s="234" t="s">
        <v>304</v>
      </c>
    </row>
    <row r="396" spans="1:43" ht="15.75" customHeight="1">
      <c r="A396" s="69">
        <v>43546</v>
      </c>
      <c r="B396" s="32" t="s">
        <v>405</v>
      </c>
      <c r="C396" s="21">
        <v>7000146048</v>
      </c>
      <c r="D396" s="21" t="s">
        <v>841</v>
      </c>
      <c r="E396" s="23" t="s">
        <v>845</v>
      </c>
      <c r="F396" s="24">
        <v>2</v>
      </c>
      <c r="G396" s="25">
        <v>225</v>
      </c>
      <c r="H396" s="60">
        <f t="shared" si="33"/>
        <v>450</v>
      </c>
      <c r="I396" s="61" t="s">
        <v>42</v>
      </c>
      <c r="J396" s="50" t="s">
        <v>512</v>
      </c>
      <c r="K396" s="29">
        <v>43557</v>
      </c>
      <c r="L396" s="29"/>
      <c r="M396" s="30">
        <v>43556</v>
      </c>
      <c r="N396" s="58" t="s">
        <v>2043</v>
      </c>
      <c r="O396" s="93" t="s">
        <v>2398</v>
      </c>
      <c r="P396" s="406"/>
      <c r="Q396" s="406"/>
      <c r="R396" s="406"/>
      <c r="S396" s="406"/>
      <c r="T396" s="406"/>
      <c r="U396" s="406">
        <v>12447</v>
      </c>
      <c r="V396" s="20" t="s">
        <v>2045</v>
      </c>
      <c r="W396" s="303">
        <v>43646</v>
      </c>
      <c r="X396" s="460">
        <v>43556</v>
      </c>
      <c r="Y396" s="304" t="s">
        <v>843</v>
      </c>
      <c r="Z396" s="304" t="s">
        <v>2400</v>
      </c>
      <c r="AA396" s="460">
        <v>43647</v>
      </c>
      <c r="AB396" s="304" t="s">
        <v>2393</v>
      </c>
      <c r="AC396" s="304">
        <v>6617987342</v>
      </c>
      <c r="AD396" s="304"/>
      <c r="AE396" s="304"/>
      <c r="AF396" s="304"/>
      <c r="AG396" s="296"/>
      <c r="AH396" s="296">
        <v>30.77</v>
      </c>
      <c r="AI396" s="297">
        <f t="shared" si="34"/>
        <v>13846.5</v>
      </c>
      <c r="AJ396" s="298">
        <v>43598</v>
      </c>
      <c r="AK396" s="297" t="s">
        <v>2399</v>
      </c>
      <c r="AL396" s="297" t="s">
        <v>2399</v>
      </c>
      <c r="AM396" s="296" t="s">
        <v>49</v>
      </c>
      <c r="AN396" s="296" t="s">
        <v>284</v>
      </c>
      <c r="AO396" s="296" t="s">
        <v>50</v>
      </c>
      <c r="AP396" s="296" t="s">
        <v>51</v>
      </c>
      <c r="AQ396" s="234" t="s">
        <v>304</v>
      </c>
    </row>
    <row r="397" spans="1:43" ht="15.75" customHeight="1">
      <c r="A397" s="69">
        <v>43546</v>
      </c>
      <c r="B397" s="32" t="s">
        <v>405</v>
      </c>
      <c r="C397" s="21">
        <v>7000146048</v>
      </c>
      <c r="D397" s="21" t="s">
        <v>841</v>
      </c>
      <c r="E397" s="23" t="s">
        <v>846</v>
      </c>
      <c r="F397" s="24">
        <v>2</v>
      </c>
      <c r="G397" s="25">
        <v>26</v>
      </c>
      <c r="H397" s="60">
        <f t="shared" si="33"/>
        <v>52</v>
      </c>
      <c r="I397" s="61" t="s">
        <v>42</v>
      </c>
      <c r="J397" s="50" t="s">
        <v>512</v>
      </c>
      <c r="K397" s="29">
        <v>43557</v>
      </c>
      <c r="L397" s="29"/>
      <c r="M397" s="30">
        <v>43556</v>
      </c>
      <c r="N397" s="58" t="s">
        <v>2043</v>
      </c>
      <c r="O397" s="93" t="s">
        <v>2398</v>
      </c>
      <c r="P397" s="406"/>
      <c r="Q397" s="406"/>
      <c r="R397" s="406"/>
      <c r="S397" s="406"/>
      <c r="T397" s="406"/>
      <c r="U397" s="406">
        <v>1212</v>
      </c>
      <c r="V397" s="22" t="s">
        <v>2045</v>
      </c>
      <c r="W397" s="303">
        <v>43646</v>
      </c>
      <c r="X397" s="460">
        <v>43556</v>
      </c>
      <c r="Y397" s="304" t="s">
        <v>843</v>
      </c>
      <c r="Z397" s="304" t="s">
        <v>2400</v>
      </c>
      <c r="AA397" s="460">
        <v>43647</v>
      </c>
      <c r="AB397" s="304" t="s">
        <v>2393</v>
      </c>
      <c r="AC397" s="304">
        <v>6617987342</v>
      </c>
      <c r="AD397" s="304"/>
      <c r="AE397" s="304"/>
      <c r="AF397" s="304"/>
      <c r="AG397" s="296"/>
      <c r="AH397" s="296">
        <v>30.77</v>
      </c>
      <c r="AI397" s="297">
        <f t="shared" si="34"/>
        <v>1600.04</v>
      </c>
      <c r="AJ397" s="298">
        <v>43598</v>
      </c>
      <c r="AK397" s="297" t="s">
        <v>2399</v>
      </c>
      <c r="AL397" s="297" t="s">
        <v>2399</v>
      </c>
      <c r="AM397" s="296" t="s">
        <v>49</v>
      </c>
      <c r="AN397" s="296" t="s">
        <v>284</v>
      </c>
      <c r="AO397" s="296" t="s">
        <v>50</v>
      </c>
      <c r="AP397" s="296" t="s">
        <v>51</v>
      </c>
      <c r="AQ397" s="234" t="s">
        <v>304</v>
      </c>
    </row>
    <row r="398" spans="1:43" ht="15.75" customHeight="1">
      <c r="A398" s="69">
        <v>43546</v>
      </c>
      <c r="B398" s="23" t="s">
        <v>405</v>
      </c>
      <c r="C398" s="21">
        <v>7000146048</v>
      </c>
      <c r="D398" s="21" t="s">
        <v>841</v>
      </c>
      <c r="E398" s="23" t="s">
        <v>847</v>
      </c>
      <c r="F398" s="24">
        <v>2</v>
      </c>
      <c r="G398" s="25">
        <v>5</v>
      </c>
      <c r="H398" s="60">
        <f t="shared" si="33"/>
        <v>10</v>
      </c>
      <c r="I398" s="61" t="s">
        <v>42</v>
      </c>
      <c r="J398" s="50" t="s">
        <v>512</v>
      </c>
      <c r="K398" s="29">
        <v>43557</v>
      </c>
      <c r="L398" s="29"/>
      <c r="M398" s="30">
        <v>43556</v>
      </c>
      <c r="N398" s="58" t="s">
        <v>2043</v>
      </c>
      <c r="O398" s="93" t="s">
        <v>2398</v>
      </c>
      <c r="P398" s="406"/>
      <c r="Q398" s="406"/>
      <c r="R398" s="406"/>
      <c r="S398" s="406"/>
      <c r="T398" s="406"/>
      <c r="U398" s="406">
        <v>210</v>
      </c>
      <c r="V398" s="22" t="s">
        <v>2045</v>
      </c>
      <c r="W398" s="303">
        <v>43646</v>
      </c>
      <c r="X398" s="460">
        <v>43556</v>
      </c>
      <c r="Y398" s="304" t="s">
        <v>843</v>
      </c>
      <c r="Z398" s="304" t="s">
        <v>2400</v>
      </c>
      <c r="AA398" s="460">
        <v>43647</v>
      </c>
      <c r="AB398" s="304" t="s">
        <v>2393</v>
      </c>
      <c r="AC398" s="304">
        <v>6617987342</v>
      </c>
      <c r="AD398" s="304"/>
      <c r="AE398" s="304"/>
      <c r="AF398" s="304"/>
      <c r="AG398" s="296"/>
      <c r="AH398" s="296">
        <v>30.77</v>
      </c>
      <c r="AI398" s="297">
        <f t="shared" si="34"/>
        <v>307.7</v>
      </c>
      <c r="AJ398" s="298">
        <v>43598</v>
      </c>
      <c r="AK398" s="297" t="s">
        <v>2399</v>
      </c>
      <c r="AL398" s="297" t="s">
        <v>2399</v>
      </c>
      <c r="AM398" s="296" t="s">
        <v>49</v>
      </c>
      <c r="AN398" s="296" t="s">
        <v>284</v>
      </c>
      <c r="AO398" s="296" t="s">
        <v>50</v>
      </c>
      <c r="AP398" s="296" t="s">
        <v>51</v>
      </c>
      <c r="AQ398" s="234" t="s">
        <v>304</v>
      </c>
    </row>
    <row r="399" spans="1:43" ht="15.75" customHeight="1">
      <c r="A399" s="69">
        <v>43546</v>
      </c>
      <c r="B399" s="23" t="s">
        <v>405</v>
      </c>
      <c r="C399" s="21">
        <v>7000146048</v>
      </c>
      <c r="D399" s="21" t="s">
        <v>841</v>
      </c>
      <c r="E399" s="23" t="s">
        <v>848</v>
      </c>
      <c r="F399" s="24">
        <v>2</v>
      </c>
      <c r="G399" s="25">
        <v>6</v>
      </c>
      <c r="H399" s="60">
        <f t="shared" si="33"/>
        <v>12</v>
      </c>
      <c r="I399" s="61" t="s">
        <v>42</v>
      </c>
      <c r="J399" s="50" t="s">
        <v>512</v>
      </c>
      <c r="K399" s="29">
        <v>43557</v>
      </c>
      <c r="L399" s="29"/>
      <c r="M399" s="30">
        <v>43556</v>
      </c>
      <c r="N399" s="58" t="s">
        <v>2043</v>
      </c>
      <c r="O399" s="93" t="s">
        <v>2398</v>
      </c>
      <c r="P399" s="406"/>
      <c r="Q399" s="406"/>
      <c r="R399" s="406"/>
      <c r="S399" s="406"/>
      <c r="T399" s="406"/>
      <c r="U399" s="406">
        <v>251</v>
      </c>
      <c r="V399" s="22" t="s">
        <v>2045</v>
      </c>
      <c r="W399" s="303">
        <v>43646</v>
      </c>
      <c r="X399" s="460">
        <v>43556</v>
      </c>
      <c r="Y399" s="304" t="s">
        <v>843</v>
      </c>
      <c r="Z399" s="304" t="s">
        <v>2400</v>
      </c>
      <c r="AA399" s="460">
        <v>43647</v>
      </c>
      <c r="AB399" s="304" t="s">
        <v>2393</v>
      </c>
      <c r="AC399" s="304">
        <v>6617987342</v>
      </c>
      <c r="AD399" s="304"/>
      <c r="AE399" s="304"/>
      <c r="AF399" s="304"/>
      <c r="AG399" s="296"/>
      <c r="AH399" s="296">
        <v>30.77</v>
      </c>
      <c r="AI399" s="297">
        <f t="shared" si="34"/>
        <v>369.24</v>
      </c>
      <c r="AJ399" s="298">
        <v>43598</v>
      </c>
      <c r="AK399" s="297" t="s">
        <v>2399</v>
      </c>
      <c r="AL399" s="297" t="s">
        <v>2399</v>
      </c>
      <c r="AM399" s="296" t="s">
        <v>49</v>
      </c>
      <c r="AN399" s="296" t="s">
        <v>284</v>
      </c>
      <c r="AO399" s="296" t="s">
        <v>50</v>
      </c>
      <c r="AP399" s="296" t="s">
        <v>51</v>
      </c>
      <c r="AQ399" s="234" t="s">
        <v>304</v>
      </c>
    </row>
    <row r="400" spans="1:43" ht="15.75" customHeight="1">
      <c r="A400" s="19">
        <v>43547</v>
      </c>
      <c r="B400" s="51" t="s">
        <v>53</v>
      </c>
      <c r="C400" s="21" t="s">
        <v>849</v>
      </c>
      <c r="D400" s="22" t="s">
        <v>850</v>
      </c>
      <c r="E400" s="23" t="s">
        <v>385</v>
      </c>
      <c r="F400" s="24">
        <v>5</v>
      </c>
      <c r="G400" s="25">
        <v>150.15</v>
      </c>
      <c r="H400" s="26">
        <f t="shared" si="33"/>
        <v>750.75</v>
      </c>
      <c r="I400" s="429" t="s">
        <v>42</v>
      </c>
      <c r="J400" s="161" t="s">
        <v>89</v>
      </c>
      <c r="K400" s="30">
        <v>43571</v>
      </c>
      <c r="L400" s="30"/>
      <c r="M400" s="606">
        <v>43570</v>
      </c>
      <c r="N400" s="646" t="s">
        <v>89</v>
      </c>
      <c r="O400" s="608" t="s">
        <v>2401</v>
      </c>
      <c r="P400" s="612"/>
      <c r="Q400" s="612">
        <v>672</v>
      </c>
      <c r="R400" s="612"/>
      <c r="S400" s="612"/>
      <c r="T400" s="612"/>
      <c r="U400" s="612">
        <v>20671</v>
      </c>
      <c r="V400" s="610" t="s">
        <v>93</v>
      </c>
      <c r="W400" s="300">
        <v>43616</v>
      </c>
      <c r="X400" s="300">
        <v>43570</v>
      </c>
      <c r="Y400" s="294" t="s">
        <v>851</v>
      </c>
      <c r="Z400" s="294">
        <v>20671</v>
      </c>
      <c r="AA400" s="449">
        <v>43616</v>
      </c>
      <c r="AB400" s="294" t="s">
        <v>2402</v>
      </c>
      <c r="AC400" s="294"/>
      <c r="AD400" s="294">
        <v>30.866</v>
      </c>
      <c r="AE400" s="294">
        <v>23172</v>
      </c>
      <c r="AF400" s="294"/>
      <c r="AG400" s="369"/>
      <c r="AH400" s="369"/>
      <c r="AI400" s="370">
        <v>23172</v>
      </c>
      <c r="AJ400" s="371">
        <v>43612</v>
      </c>
      <c r="AK400" s="370">
        <v>23172</v>
      </c>
      <c r="AL400" s="370">
        <v>0</v>
      </c>
      <c r="AM400" s="369" t="s">
        <v>49</v>
      </c>
      <c r="AN400" s="369" t="s">
        <v>284</v>
      </c>
      <c r="AO400" s="369" t="s">
        <v>50</v>
      </c>
      <c r="AP400" s="369" t="s">
        <v>376</v>
      </c>
      <c r="AQ400" s="372" t="s">
        <v>439</v>
      </c>
    </row>
    <row r="401" spans="1:43" ht="15.75" customHeight="1">
      <c r="A401" s="69">
        <v>43550</v>
      </c>
      <c r="B401" s="70" t="s">
        <v>228</v>
      </c>
      <c r="C401" s="21"/>
      <c r="D401" s="21" t="s">
        <v>852</v>
      </c>
      <c r="E401" s="23" t="s">
        <v>231</v>
      </c>
      <c r="F401" s="24">
        <v>8</v>
      </c>
      <c r="G401" s="25">
        <v>407.4</v>
      </c>
      <c r="H401" s="60">
        <f>F401*G401</f>
        <v>3259.2</v>
      </c>
      <c r="I401" s="346" t="s">
        <v>170</v>
      </c>
      <c r="J401" s="63" t="s">
        <v>89</v>
      </c>
      <c r="K401" s="29">
        <v>43538</v>
      </c>
      <c r="L401" s="29"/>
      <c r="M401" s="30">
        <v>43537</v>
      </c>
      <c r="N401" s="58" t="s">
        <v>89</v>
      </c>
      <c r="O401" s="93" t="s">
        <v>2403</v>
      </c>
      <c r="P401" s="406"/>
      <c r="Q401" s="406">
        <v>2982</v>
      </c>
      <c r="R401" s="406"/>
      <c r="S401" s="406"/>
      <c r="T401" s="406"/>
      <c r="U401" s="406">
        <v>91816</v>
      </c>
      <c r="V401" s="35" t="s">
        <v>93</v>
      </c>
      <c r="W401" s="293">
        <v>43585</v>
      </c>
      <c r="X401" s="293">
        <v>43536</v>
      </c>
      <c r="Y401" s="294" t="s">
        <v>853</v>
      </c>
      <c r="Z401" s="295">
        <v>91816</v>
      </c>
      <c r="AA401" s="300">
        <v>43586</v>
      </c>
      <c r="AB401" s="53" t="s">
        <v>2404</v>
      </c>
      <c r="AC401" s="53"/>
      <c r="AD401" s="53">
        <v>30.89</v>
      </c>
      <c r="AE401" s="53">
        <v>100677</v>
      </c>
      <c r="AF401" s="53" t="s">
        <v>2300</v>
      </c>
      <c r="AG401" s="54"/>
      <c r="AH401" s="54"/>
      <c r="AI401" s="55"/>
      <c r="AJ401" s="54"/>
      <c r="AK401" s="55"/>
      <c r="AL401" s="55"/>
      <c r="AM401" s="54" t="s">
        <v>49</v>
      </c>
      <c r="AN401" s="24" t="s">
        <v>284</v>
      </c>
      <c r="AO401" s="54" t="s">
        <v>50</v>
      </c>
      <c r="AP401" s="54" t="s">
        <v>376</v>
      </c>
      <c r="AQ401" s="57" t="s">
        <v>397</v>
      </c>
    </row>
    <row r="402" spans="1:43" ht="15.75" customHeight="1">
      <c r="A402" s="19">
        <v>43552</v>
      </c>
      <c r="B402" s="70" t="s">
        <v>100</v>
      </c>
      <c r="C402" s="21" t="s">
        <v>777</v>
      </c>
      <c r="D402" s="21" t="s">
        <v>854</v>
      </c>
      <c r="E402" s="23" t="s">
        <v>346</v>
      </c>
      <c r="F402" s="24">
        <v>1</v>
      </c>
      <c r="G402" s="25">
        <v>189</v>
      </c>
      <c r="H402" s="26">
        <v>189</v>
      </c>
      <c r="I402" s="27" t="s">
        <v>302</v>
      </c>
      <c r="J402" s="50" t="s">
        <v>532</v>
      </c>
      <c r="K402" s="30">
        <v>43557</v>
      </c>
      <c r="L402" s="30"/>
      <c r="M402" s="30">
        <v>43557</v>
      </c>
      <c r="N402" s="82" t="s">
        <v>1999</v>
      </c>
      <c r="O402" s="32"/>
      <c r="P402" s="581"/>
      <c r="Q402" s="581"/>
      <c r="R402" s="581"/>
      <c r="S402" s="581"/>
      <c r="T402" s="471"/>
      <c r="U402" s="471">
        <v>5314</v>
      </c>
      <c r="V402" s="22" t="s">
        <v>2000</v>
      </c>
      <c r="W402" s="302">
        <v>43616</v>
      </c>
      <c r="X402" s="303">
        <v>43567</v>
      </c>
      <c r="Y402" s="304" t="s">
        <v>855</v>
      </c>
      <c r="Z402" s="404" t="s">
        <v>2362</v>
      </c>
      <c r="AA402" s="46">
        <v>43616</v>
      </c>
      <c r="AB402" s="304" t="s">
        <v>2363</v>
      </c>
      <c r="AC402" s="304">
        <v>1195185003</v>
      </c>
      <c r="AD402" s="350"/>
      <c r="AE402" s="350"/>
      <c r="AF402" s="349"/>
      <c r="AG402" s="82"/>
      <c r="AH402" s="82">
        <v>30.77</v>
      </c>
      <c r="AI402" s="297">
        <f>H402*AH402</f>
        <v>5815.53</v>
      </c>
      <c r="AJ402" s="145">
        <v>43602</v>
      </c>
      <c r="AK402" s="297" t="s">
        <v>1963</v>
      </c>
      <c r="AL402" s="297" t="s">
        <v>1964</v>
      </c>
      <c r="AM402" s="296" t="s">
        <v>49</v>
      </c>
      <c r="AN402" s="296" t="s">
        <v>284</v>
      </c>
      <c r="AO402" s="82" t="s">
        <v>50</v>
      </c>
      <c r="AP402" s="82" t="s">
        <v>51</v>
      </c>
      <c r="AQ402" s="234" t="s">
        <v>304</v>
      </c>
    </row>
    <row r="403" spans="1:43" ht="15.75" customHeight="1">
      <c r="A403" s="467">
        <v>43552</v>
      </c>
      <c r="B403" s="70" t="s">
        <v>100</v>
      </c>
      <c r="C403" s="21" t="s">
        <v>777</v>
      </c>
      <c r="D403" s="21" t="s">
        <v>856</v>
      </c>
      <c r="E403" s="23" t="s">
        <v>346</v>
      </c>
      <c r="F403" s="24">
        <v>1</v>
      </c>
      <c r="G403" s="25">
        <v>232</v>
      </c>
      <c r="H403" s="60">
        <v>232</v>
      </c>
      <c r="I403" s="61" t="s">
        <v>695</v>
      </c>
      <c r="J403" s="50" t="s">
        <v>532</v>
      </c>
      <c r="K403" s="29">
        <v>43552</v>
      </c>
      <c r="L403" s="29"/>
      <c r="M403" s="30"/>
      <c r="N403" s="82" t="s">
        <v>1999</v>
      </c>
      <c r="O403" s="93"/>
      <c r="P403" s="406"/>
      <c r="Q403" s="406"/>
      <c r="R403" s="406"/>
      <c r="S403" s="406"/>
      <c r="T403" s="581"/>
      <c r="U403" s="581">
        <v>6509</v>
      </c>
      <c r="V403" s="22" t="s">
        <v>2000</v>
      </c>
      <c r="W403" s="303">
        <v>43616</v>
      </c>
      <c r="X403" s="303">
        <v>43567</v>
      </c>
      <c r="Y403" s="304" t="s">
        <v>855</v>
      </c>
      <c r="Z403" s="404">
        <v>15656</v>
      </c>
      <c r="AA403" s="46">
        <v>43616</v>
      </c>
      <c r="AB403" s="304"/>
      <c r="AC403" s="304">
        <v>2953225354</v>
      </c>
      <c r="AD403" s="304"/>
      <c r="AE403" s="304"/>
      <c r="AF403" s="304"/>
      <c r="AG403" s="296"/>
      <c r="AH403" s="296"/>
      <c r="AI403" s="297"/>
      <c r="AJ403" s="145">
        <v>43602</v>
      </c>
      <c r="AK403" s="297" t="s">
        <v>1963</v>
      </c>
      <c r="AL403" s="297" t="s">
        <v>1964</v>
      </c>
      <c r="AM403" s="296" t="s">
        <v>49</v>
      </c>
      <c r="AN403" s="296" t="s">
        <v>284</v>
      </c>
      <c r="AO403" s="296" t="s">
        <v>50</v>
      </c>
      <c r="AP403" s="296" t="s">
        <v>51</v>
      </c>
      <c r="AQ403" s="234" t="s">
        <v>304</v>
      </c>
    </row>
    <row r="404" spans="1:43" ht="15.75" customHeight="1">
      <c r="A404" s="69">
        <v>43553</v>
      </c>
      <c r="B404" s="144" t="s">
        <v>139</v>
      </c>
      <c r="C404" s="21" t="s">
        <v>857</v>
      </c>
      <c r="D404" s="21" t="s">
        <v>858</v>
      </c>
      <c r="E404" s="23" t="s">
        <v>859</v>
      </c>
      <c r="F404" s="24">
        <v>1</v>
      </c>
      <c r="G404" s="25">
        <v>49.5</v>
      </c>
      <c r="H404" s="60">
        <f t="shared" ref="H404:H406" si="35">G404*F404</f>
        <v>49.5</v>
      </c>
      <c r="I404" s="61" t="s">
        <v>695</v>
      </c>
      <c r="J404" s="50" t="s">
        <v>860</v>
      </c>
      <c r="K404" s="29">
        <v>43566</v>
      </c>
      <c r="L404" s="29"/>
      <c r="M404" s="30">
        <v>43563</v>
      </c>
      <c r="N404" s="24" t="s">
        <v>2405</v>
      </c>
      <c r="O404" s="64" t="s">
        <v>2406</v>
      </c>
      <c r="P404" s="406"/>
      <c r="Q404" s="406">
        <v>62.79</v>
      </c>
      <c r="R404" s="406"/>
      <c r="S404" s="406"/>
      <c r="T404" s="406"/>
      <c r="U404" s="406">
        <v>1935</v>
      </c>
      <c r="V404" s="35" t="s">
        <v>1954</v>
      </c>
      <c r="W404" s="300">
        <v>43590</v>
      </c>
      <c r="X404" s="300">
        <v>43563</v>
      </c>
      <c r="Y404" s="294" t="s">
        <v>861</v>
      </c>
      <c r="Z404" s="294">
        <v>1935</v>
      </c>
      <c r="AA404" s="300">
        <v>43592</v>
      </c>
      <c r="AB404" s="53" t="s">
        <v>2407</v>
      </c>
      <c r="AC404" s="53">
        <v>108158525</v>
      </c>
      <c r="AD404" s="53"/>
      <c r="AE404" s="53"/>
      <c r="AF404" s="53"/>
      <c r="AG404" s="54"/>
      <c r="AH404" s="54">
        <v>30.76</v>
      </c>
      <c r="AI404" s="38">
        <f>AH404*H404</f>
        <v>1522.6200000000001</v>
      </c>
      <c r="AJ404" s="56">
        <v>43574</v>
      </c>
      <c r="AK404" s="55" t="s">
        <v>2408</v>
      </c>
      <c r="AL404" s="55" t="s">
        <v>2409</v>
      </c>
      <c r="AM404" s="54" t="s">
        <v>49</v>
      </c>
      <c r="AN404" s="24" t="s">
        <v>284</v>
      </c>
      <c r="AO404" s="54" t="s">
        <v>285</v>
      </c>
      <c r="AP404" s="54" t="s">
        <v>51</v>
      </c>
      <c r="AQ404" s="57" t="s">
        <v>397</v>
      </c>
    </row>
    <row r="405" spans="1:43" ht="15.75" customHeight="1">
      <c r="A405" s="69">
        <v>43553</v>
      </c>
      <c r="B405" s="144" t="s">
        <v>139</v>
      </c>
      <c r="C405" s="21" t="s">
        <v>857</v>
      </c>
      <c r="D405" s="21" t="s">
        <v>858</v>
      </c>
      <c r="E405" s="23" t="s">
        <v>862</v>
      </c>
      <c r="F405" s="24">
        <v>1</v>
      </c>
      <c r="G405" s="25">
        <v>33</v>
      </c>
      <c r="H405" s="60">
        <f t="shared" si="35"/>
        <v>33</v>
      </c>
      <c r="I405" s="61" t="s">
        <v>695</v>
      </c>
      <c r="J405" s="50" t="s">
        <v>860</v>
      </c>
      <c r="K405" s="29">
        <v>43566</v>
      </c>
      <c r="L405" s="29"/>
      <c r="M405" s="30">
        <v>43563</v>
      </c>
      <c r="N405" s="24" t="s">
        <v>2405</v>
      </c>
      <c r="O405" s="64" t="s">
        <v>2410</v>
      </c>
      <c r="P405" s="52"/>
      <c r="Q405" s="52"/>
      <c r="R405" s="52"/>
      <c r="S405" s="52"/>
      <c r="T405" s="52"/>
      <c r="U405" s="52">
        <v>701</v>
      </c>
      <c r="V405" s="553" t="s">
        <v>1954</v>
      </c>
      <c r="W405" s="293">
        <v>43621</v>
      </c>
      <c r="X405" s="300">
        <v>43588</v>
      </c>
      <c r="Y405" s="294" t="s">
        <v>863</v>
      </c>
      <c r="Z405" s="294">
        <v>701</v>
      </c>
      <c r="AA405" s="300">
        <v>43621</v>
      </c>
      <c r="AB405" s="53" t="s">
        <v>2407</v>
      </c>
      <c r="AC405" s="53">
        <v>108158525</v>
      </c>
      <c r="AD405" s="53"/>
      <c r="AE405" s="53"/>
      <c r="AF405" s="53"/>
      <c r="AG405" s="54"/>
      <c r="AH405" s="54">
        <v>30.76</v>
      </c>
      <c r="AI405" s="38">
        <f>AH405*H405</f>
        <v>1015.08</v>
      </c>
      <c r="AJ405" s="56">
        <v>43574</v>
      </c>
      <c r="AK405" s="55" t="s">
        <v>2408</v>
      </c>
      <c r="AL405" s="55" t="s">
        <v>2409</v>
      </c>
      <c r="AM405" s="54" t="s">
        <v>49</v>
      </c>
      <c r="AN405" s="24" t="s">
        <v>284</v>
      </c>
      <c r="AO405" s="54" t="s">
        <v>285</v>
      </c>
      <c r="AP405" s="54" t="s">
        <v>51</v>
      </c>
      <c r="AQ405" s="57"/>
    </row>
    <row r="406" spans="1:43" ht="15.75" customHeight="1">
      <c r="A406" s="69">
        <v>43553</v>
      </c>
      <c r="B406" s="144" t="s">
        <v>139</v>
      </c>
      <c r="C406" s="21" t="s">
        <v>857</v>
      </c>
      <c r="D406" s="21" t="s">
        <v>858</v>
      </c>
      <c r="E406" s="23" t="s">
        <v>864</v>
      </c>
      <c r="F406" s="24">
        <v>1</v>
      </c>
      <c r="G406" s="25">
        <v>590</v>
      </c>
      <c r="H406" s="60">
        <f t="shared" si="35"/>
        <v>590</v>
      </c>
      <c r="I406" s="61" t="s">
        <v>695</v>
      </c>
      <c r="J406" s="50" t="s">
        <v>860</v>
      </c>
      <c r="K406" s="29">
        <v>43566</v>
      </c>
      <c r="L406" s="29"/>
      <c r="M406" s="29">
        <v>43566</v>
      </c>
      <c r="N406" s="63" t="s">
        <v>1309</v>
      </c>
      <c r="O406" s="64" t="s">
        <v>2410</v>
      </c>
      <c r="P406" s="34"/>
      <c r="Q406" s="34"/>
      <c r="R406" s="34"/>
      <c r="S406" s="34"/>
      <c r="T406" s="668"/>
      <c r="U406" s="668">
        <v>11137</v>
      </c>
      <c r="V406" s="76"/>
      <c r="W406" s="52"/>
      <c r="X406" s="53"/>
      <c r="Y406" s="53"/>
      <c r="Z406" s="53"/>
      <c r="AA406" s="53"/>
      <c r="AB406" s="53" t="s">
        <v>2407</v>
      </c>
      <c r="AC406" s="53">
        <v>108158525</v>
      </c>
      <c r="AD406" s="53"/>
      <c r="AE406" s="53"/>
      <c r="AF406" s="53"/>
      <c r="AG406" s="54"/>
      <c r="AH406" s="54">
        <v>30.76</v>
      </c>
      <c r="AI406" s="38">
        <f>AH406*H406</f>
        <v>18148.400000000001</v>
      </c>
      <c r="AJ406" s="56">
        <v>43574</v>
      </c>
      <c r="AK406" s="55">
        <f>695.6*30.78</f>
        <v>21410.568000000003</v>
      </c>
      <c r="AL406" s="55">
        <f>6.5*30.78</f>
        <v>200.07</v>
      </c>
      <c r="AM406" s="54" t="s">
        <v>49</v>
      </c>
      <c r="AN406" s="24" t="s">
        <v>284</v>
      </c>
      <c r="AO406" s="54" t="s">
        <v>285</v>
      </c>
      <c r="AP406" s="54" t="s">
        <v>51</v>
      </c>
      <c r="AQ406" s="57" t="s">
        <v>397</v>
      </c>
    </row>
    <row r="407" spans="1:43" ht="15.75" customHeight="1">
      <c r="A407" s="69">
        <v>43553</v>
      </c>
      <c r="B407" s="144" t="s">
        <v>139</v>
      </c>
      <c r="C407" s="21" t="s">
        <v>857</v>
      </c>
      <c r="D407" s="21" t="s">
        <v>858</v>
      </c>
      <c r="E407" s="23" t="s">
        <v>864</v>
      </c>
      <c r="F407" s="24">
        <v>1</v>
      </c>
      <c r="G407" s="25">
        <v>-350</v>
      </c>
      <c r="H407" s="60">
        <f>F407*G407</f>
        <v>-350</v>
      </c>
      <c r="I407" s="61" t="s">
        <v>695</v>
      </c>
      <c r="J407" s="58"/>
      <c r="K407" s="30"/>
      <c r="L407" s="30"/>
      <c r="M407" s="30"/>
      <c r="N407" s="63" t="s">
        <v>1074</v>
      </c>
      <c r="O407" s="64"/>
      <c r="P407" s="34"/>
      <c r="Q407" s="34"/>
      <c r="R407" s="34"/>
      <c r="S407" s="34"/>
      <c r="T407" s="304"/>
      <c r="U407" s="304"/>
      <c r="V407" s="150"/>
      <c r="W407" s="52"/>
      <c r="X407" s="53"/>
      <c r="Y407" s="53"/>
      <c r="Z407" s="53"/>
      <c r="AA407" s="53"/>
      <c r="AB407" s="53"/>
      <c r="AC407" s="53"/>
      <c r="AD407" s="53"/>
      <c r="AE407" s="53"/>
      <c r="AF407" s="53"/>
      <c r="AG407" s="54"/>
      <c r="AH407" s="54"/>
      <c r="AI407" s="55"/>
      <c r="AJ407" s="56">
        <v>43676</v>
      </c>
      <c r="AK407" s="55" t="s">
        <v>2112</v>
      </c>
      <c r="AL407" s="55" t="s">
        <v>2113</v>
      </c>
      <c r="AM407" s="54" t="s">
        <v>49</v>
      </c>
      <c r="AN407" s="24" t="s">
        <v>284</v>
      </c>
      <c r="AO407" s="54" t="s">
        <v>285</v>
      </c>
      <c r="AP407" s="54" t="s">
        <v>51</v>
      </c>
      <c r="AQ407" s="57"/>
    </row>
    <row r="408" spans="1:43" ht="15.75" customHeight="1">
      <c r="A408" s="69">
        <v>43553</v>
      </c>
      <c r="B408" s="144" t="s">
        <v>139</v>
      </c>
      <c r="C408" s="21" t="s">
        <v>857</v>
      </c>
      <c r="D408" s="21" t="s">
        <v>865</v>
      </c>
      <c r="E408" s="23" t="s">
        <v>866</v>
      </c>
      <c r="F408" s="24">
        <v>1</v>
      </c>
      <c r="G408" s="48">
        <v>26.5</v>
      </c>
      <c r="H408" s="468">
        <f t="shared" ref="H408:H416" si="36">G408*F408</f>
        <v>26.5</v>
      </c>
      <c r="I408" s="87" t="s">
        <v>695</v>
      </c>
      <c r="J408" s="405" t="s">
        <v>860</v>
      </c>
      <c r="K408" s="29">
        <v>43573</v>
      </c>
      <c r="L408" s="29"/>
      <c r="M408" s="30">
        <v>43563</v>
      </c>
      <c r="N408" s="24" t="s">
        <v>2411</v>
      </c>
      <c r="O408" s="64" t="s">
        <v>2412</v>
      </c>
      <c r="P408" s="34"/>
      <c r="Q408" s="34"/>
      <c r="R408" s="34"/>
      <c r="S408" s="34"/>
      <c r="T408" s="34"/>
      <c r="U408" s="34">
        <v>756</v>
      </c>
      <c r="V408" s="66" t="s">
        <v>2413</v>
      </c>
      <c r="W408" s="293">
        <v>43590</v>
      </c>
      <c r="X408" s="300">
        <v>43558</v>
      </c>
      <c r="Y408" s="294" t="s">
        <v>867</v>
      </c>
      <c r="Z408" s="294">
        <v>756</v>
      </c>
      <c r="AA408" s="300">
        <v>43592</v>
      </c>
      <c r="AB408" s="53" t="s">
        <v>2414</v>
      </c>
      <c r="AC408" s="53">
        <v>112682216</v>
      </c>
      <c r="AD408" s="53"/>
      <c r="AE408" s="53"/>
      <c r="AF408" s="53"/>
      <c r="AG408" s="54"/>
      <c r="AH408" s="54">
        <v>30.76</v>
      </c>
      <c r="AI408" s="55">
        <f t="shared" ref="AI408:AI415" si="37">AH408*H408</f>
        <v>815.14</v>
      </c>
      <c r="AJ408" s="56">
        <v>43574</v>
      </c>
      <c r="AK408" s="55" t="s">
        <v>2408</v>
      </c>
      <c r="AL408" s="55" t="s">
        <v>2409</v>
      </c>
      <c r="AM408" s="54" t="s">
        <v>49</v>
      </c>
      <c r="AN408" s="24" t="s">
        <v>284</v>
      </c>
      <c r="AO408" s="54" t="s">
        <v>285</v>
      </c>
      <c r="AP408" s="54" t="s">
        <v>51</v>
      </c>
      <c r="AQ408" s="57" t="s">
        <v>397</v>
      </c>
    </row>
    <row r="409" spans="1:43" ht="15.75" customHeight="1">
      <c r="A409" s="69">
        <v>43553</v>
      </c>
      <c r="B409" s="144" t="s">
        <v>139</v>
      </c>
      <c r="C409" s="21" t="s">
        <v>857</v>
      </c>
      <c r="D409" s="21" t="s">
        <v>865</v>
      </c>
      <c r="E409" s="23" t="s">
        <v>868</v>
      </c>
      <c r="F409" s="24">
        <v>1</v>
      </c>
      <c r="G409" s="25">
        <v>3.1</v>
      </c>
      <c r="H409" s="60">
        <f t="shared" si="36"/>
        <v>3.1</v>
      </c>
      <c r="I409" s="87" t="s">
        <v>695</v>
      </c>
      <c r="J409" s="50" t="s">
        <v>860</v>
      </c>
      <c r="K409" s="29">
        <v>43573</v>
      </c>
      <c r="L409" s="29"/>
      <c r="M409" s="29">
        <v>43567</v>
      </c>
      <c r="N409" s="79" t="s">
        <v>2006</v>
      </c>
      <c r="O409" s="64"/>
      <c r="P409" s="225"/>
      <c r="Q409" s="34"/>
      <c r="R409" s="34"/>
      <c r="S409" s="34"/>
      <c r="T409" s="304"/>
      <c r="U409" s="304">
        <v>0</v>
      </c>
      <c r="V409" s="519" t="s">
        <v>2146</v>
      </c>
      <c r="W409" s="52"/>
      <c r="X409" s="53"/>
      <c r="Y409" s="53"/>
      <c r="Z409" s="53"/>
      <c r="AA409" s="53"/>
      <c r="AB409" s="53" t="s">
        <v>2414</v>
      </c>
      <c r="AC409" s="53">
        <v>112682216</v>
      </c>
      <c r="AD409" s="53"/>
      <c r="AE409" s="53"/>
      <c r="AF409" s="53"/>
      <c r="AG409" s="54"/>
      <c r="AH409" s="54">
        <v>30.76</v>
      </c>
      <c r="AI409" s="55">
        <f t="shared" si="37"/>
        <v>95.356000000000009</v>
      </c>
      <c r="AJ409" s="56">
        <v>43574</v>
      </c>
      <c r="AK409" s="55" t="s">
        <v>2408</v>
      </c>
      <c r="AL409" s="55" t="s">
        <v>2409</v>
      </c>
      <c r="AM409" s="54" t="s">
        <v>49</v>
      </c>
      <c r="AN409" s="24" t="s">
        <v>284</v>
      </c>
      <c r="AO409" s="54" t="s">
        <v>285</v>
      </c>
      <c r="AP409" s="54" t="s">
        <v>51</v>
      </c>
      <c r="AQ409" s="57" t="s">
        <v>397</v>
      </c>
    </row>
    <row r="410" spans="1:43" ht="15.75" customHeight="1">
      <c r="A410" s="69">
        <v>43556</v>
      </c>
      <c r="B410" s="70" t="s">
        <v>129</v>
      </c>
      <c r="C410" s="21" t="s">
        <v>869</v>
      </c>
      <c r="D410" s="21" t="s">
        <v>870</v>
      </c>
      <c r="E410" s="23" t="s">
        <v>871</v>
      </c>
      <c r="F410" s="24">
        <v>2</v>
      </c>
      <c r="G410" s="25">
        <v>6</v>
      </c>
      <c r="H410" s="60">
        <f t="shared" si="36"/>
        <v>12</v>
      </c>
      <c r="I410" s="87" t="s">
        <v>247</v>
      </c>
      <c r="J410" s="63" t="s">
        <v>133</v>
      </c>
      <c r="K410" s="29">
        <v>43571</v>
      </c>
      <c r="L410" s="29"/>
      <c r="M410" s="29">
        <v>43570</v>
      </c>
      <c r="N410" s="63" t="s">
        <v>89</v>
      </c>
      <c r="O410" s="290" t="s">
        <v>2415</v>
      </c>
      <c r="P410" s="669"/>
      <c r="Q410" s="669">
        <v>10.5</v>
      </c>
      <c r="R410" s="669"/>
      <c r="S410" s="669"/>
      <c r="T410" s="34"/>
      <c r="U410" s="34">
        <v>323</v>
      </c>
      <c r="V410" s="35" t="s">
        <v>93</v>
      </c>
      <c r="W410" s="300">
        <v>43616</v>
      </c>
      <c r="X410" s="300">
        <v>43567</v>
      </c>
      <c r="Y410" s="294" t="s">
        <v>872</v>
      </c>
      <c r="Z410" s="294" t="s">
        <v>2416</v>
      </c>
      <c r="AA410" s="449">
        <v>43616</v>
      </c>
      <c r="AB410" s="304" t="s">
        <v>2417</v>
      </c>
      <c r="AC410" s="53">
        <v>4265710046</v>
      </c>
      <c r="AD410" s="53"/>
      <c r="AE410" s="53"/>
      <c r="AF410" s="53"/>
      <c r="AG410" s="54"/>
      <c r="AH410" s="54">
        <v>30.76</v>
      </c>
      <c r="AI410" s="55">
        <f t="shared" si="37"/>
        <v>369.12</v>
      </c>
      <c r="AJ410" s="56">
        <v>43563</v>
      </c>
      <c r="AK410" s="55">
        <f>1525.5*30.784</f>
        <v>46960.991999999998</v>
      </c>
      <c r="AL410" s="55">
        <f>(1543-1525.5)*30.784</f>
        <v>538.72</v>
      </c>
      <c r="AM410" s="54" t="s">
        <v>49</v>
      </c>
      <c r="AN410" s="24" t="s">
        <v>284</v>
      </c>
      <c r="AO410" s="54" t="s">
        <v>50</v>
      </c>
      <c r="AP410" s="54" t="s">
        <v>51</v>
      </c>
      <c r="AQ410" s="57" t="s">
        <v>397</v>
      </c>
    </row>
    <row r="411" spans="1:43" ht="15.75" customHeight="1">
      <c r="A411" s="69">
        <v>43556</v>
      </c>
      <c r="B411" s="70" t="s">
        <v>129</v>
      </c>
      <c r="C411" s="21" t="s">
        <v>869</v>
      </c>
      <c r="D411" s="21" t="s">
        <v>870</v>
      </c>
      <c r="E411" s="23" t="s">
        <v>873</v>
      </c>
      <c r="F411" s="24">
        <v>10</v>
      </c>
      <c r="G411" s="25">
        <v>4</v>
      </c>
      <c r="H411" s="60">
        <f t="shared" si="36"/>
        <v>40</v>
      </c>
      <c r="I411" s="87" t="s">
        <v>247</v>
      </c>
      <c r="J411" s="63" t="s">
        <v>133</v>
      </c>
      <c r="K411" s="29">
        <v>43571</v>
      </c>
      <c r="L411" s="29"/>
      <c r="M411" s="29">
        <v>43570</v>
      </c>
      <c r="N411" s="63" t="s">
        <v>89</v>
      </c>
      <c r="O411" s="290" t="s">
        <v>2415</v>
      </c>
      <c r="P411" s="669"/>
      <c r="Q411" s="495">
        <v>31.5</v>
      </c>
      <c r="R411" s="495"/>
      <c r="S411" s="495"/>
      <c r="T411" s="406"/>
      <c r="U411" s="406">
        <v>969</v>
      </c>
      <c r="V411" s="35" t="s">
        <v>93</v>
      </c>
      <c r="W411" s="300">
        <v>43616</v>
      </c>
      <c r="X411" s="300">
        <v>43567</v>
      </c>
      <c r="Y411" s="294" t="s">
        <v>872</v>
      </c>
      <c r="Z411" s="294" t="s">
        <v>2416</v>
      </c>
      <c r="AA411" s="449">
        <v>43616</v>
      </c>
      <c r="AB411" s="53" t="s">
        <v>2417</v>
      </c>
      <c r="AC411" s="53">
        <v>4265710046</v>
      </c>
      <c r="AD411" s="53"/>
      <c r="AE411" s="53"/>
      <c r="AF411" s="53"/>
      <c r="AG411" s="54"/>
      <c r="AH411" s="54">
        <v>30.76</v>
      </c>
      <c r="AI411" s="55">
        <f t="shared" si="37"/>
        <v>1230.4000000000001</v>
      </c>
      <c r="AJ411" s="56">
        <v>43563</v>
      </c>
      <c r="AK411" s="55" t="s">
        <v>2418</v>
      </c>
      <c r="AL411" s="55" t="s">
        <v>2419</v>
      </c>
      <c r="AM411" s="54" t="s">
        <v>49</v>
      </c>
      <c r="AN411" s="24" t="s">
        <v>284</v>
      </c>
      <c r="AO411" s="54" t="s">
        <v>50</v>
      </c>
      <c r="AP411" s="54" t="s">
        <v>51</v>
      </c>
      <c r="AQ411" s="57" t="s">
        <v>397</v>
      </c>
    </row>
    <row r="412" spans="1:43" ht="15.75" customHeight="1">
      <c r="A412" s="69">
        <v>43556</v>
      </c>
      <c r="B412" s="70" t="s">
        <v>129</v>
      </c>
      <c r="C412" s="21" t="s">
        <v>869</v>
      </c>
      <c r="D412" s="21" t="s">
        <v>870</v>
      </c>
      <c r="E412" s="23" t="s">
        <v>243</v>
      </c>
      <c r="F412" s="24">
        <v>5</v>
      </c>
      <c r="G412" s="25">
        <v>50</v>
      </c>
      <c r="H412" s="60">
        <f t="shared" si="36"/>
        <v>250</v>
      </c>
      <c r="I412" s="87" t="s">
        <v>247</v>
      </c>
      <c r="J412" s="63" t="s">
        <v>133</v>
      </c>
      <c r="K412" s="29">
        <v>43571</v>
      </c>
      <c r="L412" s="29"/>
      <c r="M412" s="29">
        <v>43570</v>
      </c>
      <c r="N412" s="63" t="s">
        <v>89</v>
      </c>
      <c r="O412" s="290" t="s">
        <v>2415</v>
      </c>
      <c r="P412" s="669"/>
      <c r="Q412" s="495">
        <v>241.5</v>
      </c>
      <c r="R412" s="495"/>
      <c r="S412" s="495"/>
      <c r="T412" s="406"/>
      <c r="U412" s="406">
        <v>7429</v>
      </c>
      <c r="V412" s="35" t="s">
        <v>93</v>
      </c>
      <c r="W412" s="300">
        <v>43616</v>
      </c>
      <c r="X412" s="300">
        <v>43567</v>
      </c>
      <c r="Y412" s="294" t="s">
        <v>872</v>
      </c>
      <c r="Z412" s="294" t="s">
        <v>2416</v>
      </c>
      <c r="AA412" s="449">
        <v>43616</v>
      </c>
      <c r="AB412" s="53" t="s">
        <v>2417</v>
      </c>
      <c r="AC412" s="53">
        <v>4265710046</v>
      </c>
      <c r="AD412" s="53"/>
      <c r="AE412" s="53"/>
      <c r="AF412" s="53"/>
      <c r="AG412" s="54"/>
      <c r="AH412" s="54">
        <v>30.76</v>
      </c>
      <c r="AI412" s="55">
        <f t="shared" si="37"/>
        <v>7690</v>
      </c>
      <c r="AJ412" s="56">
        <v>43563</v>
      </c>
      <c r="AK412" s="55" t="s">
        <v>2418</v>
      </c>
      <c r="AL412" s="55" t="s">
        <v>2419</v>
      </c>
      <c r="AM412" s="54" t="s">
        <v>49</v>
      </c>
      <c r="AN412" s="24" t="s">
        <v>284</v>
      </c>
      <c r="AO412" s="54" t="s">
        <v>50</v>
      </c>
      <c r="AP412" s="54" t="s">
        <v>51</v>
      </c>
      <c r="AQ412" s="57" t="s">
        <v>397</v>
      </c>
    </row>
    <row r="413" spans="1:43" ht="15.75" customHeight="1">
      <c r="A413" s="69">
        <v>43556</v>
      </c>
      <c r="B413" s="70" t="s">
        <v>129</v>
      </c>
      <c r="C413" s="21" t="s">
        <v>869</v>
      </c>
      <c r="D413" s="21" t="s">
        <v>870</v>
      </c>
      <c r="E413" s="23" t="s">
        <v>874</v>
      </c>
      <c r="F413" s="24">
        <v>5</v>
      </c>
      <c r="G413" s="25">
        <v>85</v>
      </c>
      <c r="H413" s="60">
        <f t="shared" si="36"/>
        <v>425</v>
      </c>
      <c r="I413" s="87" t="s">
        <v>247</v>
      </c>
      <c r="J413" s="63" t="s">
        <v>133</v>
      </c>
      <c r="K413" s="29">
        <v>43571</v>
      </c>
      <c r="L413" s="29"/>
      <c r="M413" s="29">
        <v>43570</v>
      </c>
      <c r="N413" s="63" t="s">
        <v>89</v>
      </c>
      <c r="O413" s="290" t="s">
        <v>2415</v>
      </c>
      <c r="P413" s="669"/>
      <c r="Q413" s="495">
        <v>388.5</v>
      </c>
      <c r="R413" s="495"/>
      <c r="S413" s="495"/>
      <c r="T413" s="406"/>
      <c r="U413" s="406">
        <v>11950</v>
      </c>
      <c r="V413" s="35" t="s">
        <v>93</v>
      </c>
      <c r="W413" s="300">
        <v>43616</v>
      </c>
      <c r="X413" s="300">
        <v>43567</v>
      </c>
      <c r="Y413" s="294" t="s">
        <v>872</v>
      </c>
      <c r="Z413" s="294" t="s">
        <v>2416</v>
      </c>
      <c r="AA413" s="449">
        <v>43616</v>
      </c>
      <c r="AB413" s="53" t="s">
        <v>2417</v>
      </c>
      <c r="AC413" s="53">
        <v>4265710046</v>
      </c>
      <c r="AD413" s="53"/>
      <c r="AE413" s="53"/>
      <c r="AF413" s="53"/>
      <c r="AG413" s="54"/>
      <c r="AH413" s="54">
        <v>30.76</v>
      </c>
      <c r="AI413" s="55">
        <f t="shared" si="37"/>
        <v>13073</v>
      </c>
      <c r="AJ413" s="56">
        <v>43563</v>
      </c>
      <c r="AK413" s="55" t="s">
        <v>2418</v>
      </c>
      <c r="AL413" s="55" t="s">
        <v>2419</v>
      </c>
      <c r="AM413" s="54" t="s">
        <v>49</v>
      </c>
      <c r="AN413" s="24" t="s">
        <v>284</v>
      </c>
      <c r="AO413" s="54" t="s">
        <v>50</v>
      </c>
      <c r="AP413" s="54" t="s">
        <v>51</v>
      </c>
      <c r="AQ413" s="57" t="s">
        <v>397</v>
      </c>
    </row>
    <row r="414" spans="1:43" ht="15.75" customHeight="1">
      <c r="A414" s="69">
        <v>43556</v>
      </c>
      <c r="B414" s="70" t="s">
        <v>129</v>
      </c>
      <c r="C414" s="21" t="s">
        <v>869</v>
      </c>
      <c r="D414" s="21" t="s">
        <v>870</v>
      </c>
      <c r="E414" s="23" t="s">
        <v>875</v>
      </c>
      <c r="F414" s="24">
        <v>1</v>
      </c>
      <c r="G414" s="25">
        <v>96</v>
      </c>
      <c r="H414" s="60">
        <f t="shared" si="36"/>
        <v>96</v>
      </c>
      <c r="I414" s="87" t="s">
        <v>247</v>
      </c>
      <c r="J414" s="63" t="s">
        <v>133</v>
      </c>
      <c r="K414" s="29">
        <v>43571</v>
      </c>
      <c r="L414" s="29"/>
      <c r="M414" s="29">
        <v>43570</v>
      </c>
      <c r="N414" s="63" t="s">
        <v>89</v>
      </c>
      <c r="O414" s="290" t="s">
        <v>2415</v>
      </c>
      <c r="P414" s="669"/>
      <c r="Q414" s="495">
        <v>93.45</v>
      </c>
      <c r="R414" s="495"/>
      <c r="S414" s="495"/>
      <c r="T414" s="406"/>
      <c r="U414" s="406">
        <v>2875</v>
      </c>
      <c r="V414" s="649" t="s">
        <v>93</v>
      </c>
      <c r="W414" s="300">
        <v>43616</v>
      </c>
      <c r="X414" s="300">
        <v>43567</v>
      </c>
      <c r="Y414" s="294" t="s">
        <v>872</v>
      </c>
      <c r="Z414" s="294">
        <v>45508</v>
      </c>
      <c r="AA414" s="449">
        <v>43616</v>
      </c>
      <c r="AB414" s="53" t="s">
        <v>2417</v>
      </c>
      <c r="AC414" s="53">
        <v>4265710046</v>
      </c>
      <c r="AD414" s="53"/>
      <c r="AE414" s="53"/>
      <c r="AF414" s="53"/>
      <c r="AG414" s="54"/>
      <c r="AH414" s="54">
        <v>30.76</v>
      </c>
      <c r="AI414" s="55">
        <f t="shared" si="37"/>
        <v>2952.96</v>
      </c>
      <c r="AJ414" s="56">
        <v>43563</v>
      </c>
      <c r="AK414" s="55" t="s">
        <v>2418</v>
      </c>
      <c r="AL414" s="55" t="s">
        <v>2419</v>
      </c>
      <c r="AM414" s="54" t="s">
        <v>49</v>
      </c>
      <c r="AN414" s="24" t="s">
        <v>284</v>
      </c>
      <c r="AO414" s="54" t="s">
        <v>50</v>
      </c>
      <c r="AP414" s="54" t="s">
        <v>51</v>
      </c>
      <c r="AQ414" s="57" t="s">
        <v>397</v>
      </c>
    </row>
    <row r="415" spans="1:43" ht="15.75" customHeight="1">
      <c r="A415" s="69">
        <v>43558</v>
      </c>
      <c r="B415" s="70" t="s">
        <v>129</v>
      </c>
      <c r="C415" s="21" t="s">
        <v>869</v>
      </c>
      <c r="D415" s="21" t="s">
        <v>870</v>
      </c>
      <c r="E415" s="23" t="s">
        <v>876</v>
      </c>
      <c r="F415" s="24">
        <v>8</v>
      </c>
      <c r="G415" s="48">
        <v>90</v>
      </c>
      <c r="H415" s="60">
        <f t="shared" si="36"/>
        <v>720</v>
      </c>
      <c r="I415" s="87" t="s">
        <v>247</v>
      </c>
      <c r="J415" s="63" t="s">
        <v>133</v>
      </c>
      <c r="K415" s="29">
        <v>43571</v>
      </c>
      <c r="L415" s="29"/>
      <c r="M415" s="29">
        <v>43570</v>
      </c>
      <c r="N415" s="63" t="s">
        <v>89</v>
      </c>
      <c r="O415" s="290" t="s">
        <v>2415</v>
      </c>
      <c r="P415" s="670"/>
      <c r="Q415" s="495">
        <v>714</v>
      </c>
      <c r="R415" s="495"/>
      <c r="S415" s="495"/>
      <c r="T415" s="406"/>
      <c r="U415" s="406">
        <v>21962</v>
      </c>
      <c r="V415" s="51" t="s">
        <v>93</v>
      </c>
      <c r="W415" s="300">
        <v>43616</v>
      </c>
      <c r="X415" s="300">
        <v>43567</v>
      </c>
      <c r="Y415" s="294" t="s">
        <v>872</v>
      </c>
      <c r="Z415" s="294" t="s">
        <v>2416</v>
      </c>
      <c r="AA415" s="449">
        <v>43616</v>
      </c>
      <c r="AB415" s="53" t="s">
        <v>2417</v>
      </c>
      <c r="AC415" s="53">
        <v>4265710046</v>
      </c>
      <c r="AD415" s="53"/>
      <c r="AE415" s="53"/>
      <c r="AF415" s="53"/>
      <c r="AG415" s="54"/>
      <c r="AH415" s="54">
        <v>30.76</v>
      </c>
      <c r="AI415" s="55">
        <f t="shared" si="37"/>
        <v>22147.200000000001</v>
      </c>
      <c r="AJ415" s="56">
        <v>43563</v>
      </c>
      <c r="AK415" s="55" t="s">
        <v>2418</v>
      </c>
      <c r="AL415" s="55" t="s">
        <v>2419</v>
      </c>
      <c r="AM415" s="54" t="s">
        <v>49</v>
      </c>
      <c r="AN415" s="24" t="s">
        <v>284</v>
      </c>
      <c r="AO415" s="54" t="s">
        <v>50</v>
      </c>
      <c r="AP415" s="54" t="s">
        <v>51</v>
      </c>
      <c r="AQ415" s="57" t="s">
        <v>397</v>
      </c>
    </row>
    <row r="416" spans="1:43" ht="15.75" customHeight="1">
      <c r="A416" s="69">
        <v>43558</v>
      </c>
      <c r="B416" s="70" t="s">
        <v>558</v>
      </c>
      <c r="C416" s="21"/>
      <c r="D416" s="21" t="s">
        <v>877</v>
      </c>
      <c r="E416" s="23" t="s">
        <v>878</v>
      </c>
      <c r="F416" s="24">
        <v>1</v>
      </c>
      <c r="G416" s="48">
        <v>744</v>
      </c>
      <c r="H416" s="165">
        <f t="shared" si="36"/>
        <v>744</v>
      </c>
      <c r="I416" s="87" t="s">
        <v>302</v>
      </c>
      <c r="J416" s="63"/>
      <c r="K416" s="29">
        <v>43564</v>
      </c>
      <c r="L416" s="29"/>
      <c r="M416" s="29">
        <v>43564</v>
      </c>
      <c r="N416" s="619"/>
      <c r="O416" s="64"/>
      <c r="P416" s="34"/>
      <c r="Q416" s="34"/>
      <c r="R416" s="34"/>
      <c r="S416" s="34"/>
      <c r="T416" s="34"/>
      <c r="U416" s="34"/>
      <c r="V416" s="66"/>
      <c r="W416" s="52"/>
      <c r="X416" s="53"/>
      <c r="Y416" s="53"/>
      <c r="Z416" s="53"/>
      <c r="AA416" s="53"/>
      <c r="AB416" s="53" t="s">
        <v>2420</v>
      </c>
      <c r="AC416" s="53" t="s">
        <v>2421</v>
      </c>
      <c r="AD416" s="53"/>
      <c r="AE416" s="53">
        <v>23451</v>
      </c>
      <c r="AF416" s="603">
        <v>43564</v>
      </c>
      <c r="AG416" s="54"/>
      <c r="AH416" s="54"/>
      <c r="AI416" s="55">
        <v>23451</v>
      </c>
      <c r="AJ416" s="56">
        <v>43595</v>
      </c>
      <c r="AK416" s="55">
        <v>23451</v>
      </c>
      <c r="AL416" s="55">
        <v>0</v>
      </c>
      <c r="AM416" s="54" t="s">
        <v>49</v>
      </c>
      <c r="AN416" s="24" t="s">
        <v>284</v>
      </c>
      <c r="AO416" s="54" t="s">
        <v>50</v>
      </c>
      <c r="AP416" s="54" t="s">
        <v>376</v>
      </c>
      <c r="AQ416" s="57"/>
    </row>
    <row r="417" spans="1:43" ht="15.75" customHeight="1">
      <c r="A417" s="69">
        <v>43563</v>
      </c>
      <c r="B417" s="51" t="s">
        <v>100</v>
      </c>
      <c r="C417" s="22" t="s">
        <v>387</v>
      </c>
      <c r="D417" s="469" t="s">
        <v>879</v>
      </c>
      <c r="E417" s="23" t="s">
        <v>346</v>
      </c>
      <c r="F417" s="82">
        <v>1</v>
      </c>
      <c r="G417" s="150">
        <v>144</v>
      </c>
      <c r="H417" s="26">
        <v>144</v>
      </c>
      <c r="I417" s="49" t="s">
        <v>302</v>
      </c>
      <c r="J417" s="58" t="s">
        <v>289</v>
      </c>
      <c r="K417" s="30">
        <v>43563</v>
      </c>
      <c r="L417" s="30"/>
      <c r="M417" s="30"/>
      <c r="N417" s="58" t="s">
        <v>1999</v>
      </c>
      <c r="O417" s="21" t="s">
        <v>2422</v>
      </c>
      <c r="P417" s="22"/>
      <c r="Q417" s="22"/>
      <c r="R417" s="22"/>
      <c r="S417" s="22"/>
      <c r="T417" s="350"/>
      <c r="U417" s="350">
        <v>3833</v>
      </c>
      <c r="V417" s="20" t="s">
        <v>2000</v>
      </c>
      <c r="W417" s="302">
        <v>43616</v>
      </c>
      <c r="X417" s="303">
        <v>43567</v>
      </c>
      <c r="Y417" s="304" t="s">
        <v>855</v>
      </c>
      <c r="Z417" s="404" t="s">
        <v>2362</v>
      </c>
      <c r="AA417" s="46">
        <v>43616</v>
      </c>
      <c r="AB417" s="350" t="s">
        <v>2038</v>
      </c>
      <c r="AC417" s="22">
        <v>1022758925</v>
      </c>
      <c r="AD417" s="350"/>
      <c r="AE417" s="350"/>
      <c r="AF417" s="350"/>
      <c r="AG417" s="82"/>
      <c r="AH417" s="82">
        <v>30.77</v>
      </c>
      <c r="AI417" s="297">
        <f>H417*AH417</f>
        <v>4430.88</v>
      </c>
      <c r="AJ417" s="145">
        <v>43602</v>
      </c>
      <c r="AK417" s="297" t="s">
        <v>1963</v>
      </c>
      <c r="AL417" s="297" t="s">
        <v>1964</v>
      </c>
      <c r="AM417" s="296" t="s">
        <v>49</v>
      </c>
      <c r="AN417" s="24" t="s">
        <v>284</v>
      </c>
      <c r="AO417" s="82" t="s">
        <v>50</v>
      </c>
      <c r="AP417" s="82" t="s">
        <v>51</v>
      </c>
      <c r="AQ417" s="234" t="s">
        <v>304</v>
      </c>
    </row>
    <row r="418" spans="1:43" ht="15.75" customHeight="1">
      <c r="A418" s="69">
        <v>43563</v>
      </c>
      <c r="B418" s="23" t="s">
        <v>405</v>
      </c>
      <c r="C418" s="21">
        <v>7000146455</v>
      </c>
      <c r="D418" s="21" t="s">
        <v>880</v>
      </c>
      <c r="E418" s="23" t="s">
        <v>518</v>
      </c>
      <c r="F418" s="24">
        <v>5</v>
      </c>
      <c r="G418" s="48">
        <v>141.80000000000001</v>
      </c>
      <c r="H418" s="60">
        <f t="shared" ref="H418:H428" si="38">G418*F418</f>
        <v>709</v>
      </c>
      <c r="I418" s="87" t="s">
        <v>42</v>
      </c>
      <c r="J418" s="50" t="s">
        <v>512</v>
      </c>
      <c r="K418" s="29">
        <v>43566</v>
      </c>
      <c r="L418" s="29"/>
      <c r="M418" s="30">
        <v>43566</v>
      </c>
      <c r="N418" s="58" t="s">
        <v>2043</v>
      </c>
      <c r="O418" s="21" t="s">
        <v>2423</v>
      </c>
      <c r="P418" s="34"/>
      <c r="Q418" s="34"/>
      <c r="R418" s="34"/>
      <c r="S418" s="34"/>
      <c r="T418" s="34"/>
      <c r="U418" s="34">
        <v>20549</v>
      </c>
      <c r="V418" s="20" t="s">
        <v>2045</v>
      </c>
      <c r="W418" s="77">
        <v>43646</v>
      </c>
      <c r="X418" s="470">
        <v>43565</v>
      </c>
      <c r="Y418" s="53" t="s">
        <v>881</v>
      </c>
      <c r="Z418" s="53">
        <v>20549</v>
      </c>
      <c r="AA418" s="460">
        <v>43647</v>
      </c>
      <c r="AB418" s="53" t="s">
        <v>2234</v>
      </c>
      <c r="AC418" s="53">
        <v>4076131905</v>
      </c>
      <c r="AD418" s="53"/>
      <c r="AE418" s="53"/>
      <c r="AF418" s="53"/>
      <c r="AG418" s="54"/>
      <c r="AH418" s="54">
        <v>30.76</v>
      </c>
      <c r="AI418" s="38">
        <f>AH418*H418</f>
        <v>21808.84</v>
      </c>
      <c r="AJ418" s="298">
        <v>43602</v>
      </c>
      <c r="AK418" s="55" t="s">
        <v>2235</v>
      </c>
      <c r="AL418" s="55" t="s">
        <v>2236</v>
      </c>
      <c r="AM418" s="54" t="s">
        <v>49</v>
      </c>
      <c r="AN418" s="24" t="s">
        <v>284</v>
      </c>
      <c r="AO418" s="54" t="s">
        <v>50</v>
      </c>
      <c r="AP418" s="54" t="s">
        <v>51</v>
      </c>
      <c r="AQ418" s="57"/>
    </row>
    <row r="419" spans="1:43" ht="15.75" customHeight="1">
      <c r="A419" s="19">
        <v>43564</v>
      </c>
      <c r="B419" s="20" t="s">
        <v>325</v>
      </c>
      <c r="C419" s="21">
        <v>2028512</v>
      </c>
      <c r="D419" s="22" t="s">
        <v>882</v>
      </c>
      <c r="E419" s="23" t="s">
        <v>702</v>
      </c>
      <c r="F419" s="24">
        <v>12</v>
      </c>
      <c r="G419" s="48">
        <v>27</v>
      </c>
      <c r="H419" s="26">
        <f t="shared" si="38"/>
        <v>324</v>
      </c>
      <c r="I419" s="49" t="s">
        <v>42</v>
      </c>
      <c r="J419" s="82" t="s">
        <v>732</v>
      </c>
      <c r="K419" s="29">
        <v>43619</v>
      </c>
      <c r="L419" s="29"/>
      <c r="M419" s="606">
        <v>43585</v>
      </c>
      <c r="N419" s="607" t="s">
        <v>53</v>
      </c>
      <c r="O419" s="396" t="s">
        <v>2424</v>
      </c>
      <c r="P419" s="612"/>
      <c r="Q419" s="612">
        <v>315</v>
      </c>
      <c r="R419" s="612"/>
      <c r="S419" s="612"/>
      <c r="T419" s="612"/>
      <c r="U419" s="612">
        <v>9715</v>
      </c>
      <c r="V419" s="660" t="s">
        <v>55</v>
      </c>
      <c r="W419" s="300">
        <v>43646</v>
      </c>
      <c r="X419" s="300">
        <v>43585</v>
      </c>
      <c r="Y419" s="294" t="s">
        <v>883</v>
      </c>
      <c r="Z419" s="294">
        <v>229264</v>
      </c>
      <c r="AA419" s="300">
        <v>43647</v>
      </c>
      <c r="AB419" s="294" t="s">
        <v>2309</v>
      </c>
      <c r="AC419" s="294">
        <v>1026956481</v>
      </c>
      <c r="AD419" s="294"/>
      <c r="AE419" s="294"/>
      <c r="AF419" s="294"/>
      <c r="AG419" s="369"/>
      <c r="AH419" s="369">
        <v>31.454999999999998</v>
      </c>
      <c r="AI419" s="370"/>
      <c r="AJ419" s="371">
        <v>43633</v>
      </c>
      <c r="AK419" s="432" t="s">
        <v>2310</v>
      </c>
      <c r="AL419" s="432" t="s">
        <v>2311</v>
      </c>
      <c r="AM419" s="369" t="s">
        <v>49</v>
      </c>
      <c r="AN419" s="369" t="s">
        <v>284</v>
      </c>
      <c r="AO419" s="369" t="s">
        <v>50</v>
      </c>
      <c r="AP419" s="369" t="s">
        <v>51</v>
      </c>
      <c r="AQ419" s="372" t="s">
        <v>439</v>
      </c>
    </row>
    <row r="420" spans="1:43" ht="15.75" customHeight="1">
      <c r="A420" s="19">
        <v>43564</v>
      </c>
      <c r="B420" s="20" t="s">
        <v>325</v>
      </c>
      <c r="C420" s="21">
        <v>2028512</v>
      </c>
      <c r="D420" s="22" t="s">
        <v>882</v>
      </c>
      <c r="E420" s="23" t="s">
        <v>327</v>
      </c>
      <c r="F420" s="24">
        <v>12</v>
      </c>
      <c r="G420" s="48">
        <v>607</v>
      </c>
      <c r="H420" s="26">
        <f t="shared" si="38"/>
        <v>7284</v>
      </c>
      <c r="I420" s="49" t="s">
        <v>42</v>
      </c>
      <c r="J420" s="82" t="s">
        <v>732</v>
      </c>
      <c r="K420" s="29">
        <v>43619</v>
      </c>
      <c r="L420" s="29"/>
      <c r="M420" s="606">
        <v>43585</v>
      </c>
      <c r="N420" s="607" t="s">
        <v>53</v>
      </c>
      <c r="O420" s="396" t="s">
        <v>2424</v>
      </c>
      <c r="P420" s="612"/>
      <c r="Q420" s="612">
        <v>7119</v>
      </c>
      <c r="R420" s="612"/>
      <c r="S420" s="612"/>
      <c r="T420" s="612"/>
      <c r="U420" s="612">
        <v>219549</v>
      </c>
      <c r="V420" s="660" t="s">
        <v>55</v>
      </c>
      <c r="W420" s="300">
        <v>43646</v>
      </c>
      <c r="X420" s="300">
        <v>43585</v>
      </c>
      <c r="Y420" s="294" t="s">
        <v>883</v>
      </c>
      <c r="Z420" s="294" t="s">
        <v>2425</v>
      </c>
      <c r="AA420" s="300">
        <v>43647</v>
      </c>
      <c r="AB420" s="294" t="s">
        <v>2309</v>
      </c>
      <c r="AC420" s="294">
        <v>1026956481</v>
      </c>
      <c r="AD420" s="294"/>
      <c r="AE420" s="294"/>
      <c r="AF420" s="294"/>
      <c r="AG420" s="369"/>
      <c r="AH420" s="369">
        <v>31.454999999999998</v>
      </c>
      <c r="AI420" s="370"/>
      <c r="AJ420" s="371">
        <v>43633</v>
      </c>
      <c r="AK420" s="432" t="s">
        <v>2310</v>
      </c>
      <c r="AL420" s="432" t="s">
        <v>2311</v>
      </c>
      <c r="AM420" s="369" t="s">
        <v>49</v>
      </c>
      <c r="AN420" s="369" t="s">
        <v>284</v>
      </c>
      <c r="AO420" s="369" t="s">
        <v>50</v>
      </c>
      <c r="AP420" s="369" t="s">
        <v>51</v>
      </c>
      <c r="AQ420" s="372" t="s">
        <v>439</v>
      </c>
    </row>
    <row r="421" spans="1:43" ht="15.75" customHeight="1">
      <c r="A421" s="19">
        <v>43564</v>
      </c>
      <c r="B421" s="144" t="s">
        <v>76</v>
      </c>
      <c r="C421" s="21">
        <v>276</v>
      </c>
      <c r="D421" s="21" t="s">
        <v>884</v>
      </c>
      <c r="E421" s="23" t="s">
        <v>642</v>
      </c>
      <c r="F421" s="24">
        <v>7</v>
      </c>
      <c r="G421" s="48">
        <v>200</v>
      </c>
      <c r="H421" s="26">
        <f t="shared" si="38"/>
        <v>1400</v>
      </c>
      <c r="I421" s="49" t="s">
        <v>42</v>
      </c>
      <c r="J421" s="58" t="s">
        <v>315</v>
      </c>
      <c r="K421" s="29">
        <v>43601</v>
      </c>
      <c r="L421" s="29"/>
      <c r="M421" s="645">
        <v>43595</v>
      </c>
      <c r="N421" s="646" t="s">
        <v>1512</v>
      </c>
      <c r="O421" s="396" t="s">
        <v>2426</v>
      </c>
      <c r="P421" s="612"/>
      <c r="Q421" s="612"/>
      <c r="R421" s="612"/>
      <c r="S421" s="612"/>
      <c r="T421" s="609"/>
      <c r="U421" s="609">
        <v>35192</v>
      </c>
      <c r="V421" s="396" t="s">
        <v>2109</v>
      </c>
      <c r="W421" s="300">
        <v>43621</v>
      </c>
      <c r="X421" s="300">
        <v>43595</v>
      </c>
      <c r="Y421" s="294" t="s">
        <v>885</v>
      </c>
      <c r="Z421" s="294">
        <v>35192</v>
      </c>
      <c r="AA421" s="300">
        <v>43621</v>
      </c>
      <c r="AB421" s="294" t="s">
        <v>2427</v>
      </c>
      <c r="AC421" s="294">
        <v>103359909</v>
      </c>
      <c r="AD421" s="294"/>
      <c r="AE421" s="294"/>
      <c r="AF421" s="294"/>
      <c r="AG421" s="369"/>
      <c r="AH421" s="369">
        <v>30.844999999999999</v>
      </c>
      <c r="AI421" s="370">
        <v>0</v>
      </c>
      <c r="AJ421" s="371">
        <v>43633</v>
      </c>
      <c r="AK421" s="370" t="s">
        <v>2428</v>
      </c>
      <c r="AL421" s="370" t="s">
        <v>2429</v>
      </c>
      <c r="AM421" s="369" t="s">
        <v>49</v>
      </c>
      <c r="AN421" s="369" t="s">
        <v>284</v>
      </c>
      <c r="AO421" s="369" t="s">
        <v>285</v>
      </c>
      <c r="AP421" s="369" t="s">
        <v>51</v>
      </c>
      <c r="AQ421" s="372" t="s">
        <v>439</v>
      </c>
    </row>
    <row r="422" spans="1:43" ht="15.75" customHeight="1">
      <c r="A422" s="19">
        <v>43564</v>
      </c>
      <c r="B422" s="144" t="s">
        <v>76</v>
      </c>
      <c r="C422" s="21">
        <v>276</v>
      </c>
      <c r="D422" s="21" t="s">
        <v>884</v>
      </c>
      <c r="E422" s="23" t="s">
        <v>644</v>
      </c>
      <c r="F422" s="24">
        <v>7</v>
      </c>
      <c r="G422" s="48">
        <v>0</v>
      </c>
      <c r="H422" s="26">
        <f t="shared" si="38"/>
        <v>0</v>
      </c>
      <c r="I422" s="49" t="s">
        <v>42</v>
      </c>
      <c r="J422" s="58" t="s">
        <v>315</v>
      </c>
      <c r="K422" s="29">
        <v>43601</v>
      </c>
      <c r="L422" s="29"/>
      <c r="M422" s="29">
        <v>43595</v>
      </c>
      <c r="N422" s="50" t="s">
        <v>1512</v>
      </c>
      <c r="O422" s="21" t="s">
        <v>2426</v>
      </c>
      <c r="P422" s="34"/>
      <c r="Q422" s="34"/>
      <c r="R422" s="34"/>
      <c r="S422" s="34"/>
      <c r="T422" s="52"/>
      <c r="U422" s="52" t="s">
        <v>2430</v>
      </c>
      <c r="V422" s="516" t="s">
        <v>2109</v>
      </c>
      <c r="W422" s="300">
        <v>43621</v>
      </c>
      <c r="X422" s="300">
        <v>43595</v>
      </c>
      <c r="Y422" s="294" t="s">
        <v>885</v>
      </c>
      <c r="Z422" s="294" t="s">
        <v>2431</v>
      </c>
      <c r="AA422" s="300">
        <v>43621</v>
      </c>
      <c r="AB422" s="53" t="s">
        <v>2427</v>
      </c>
      <c r="AC422" s="53">
        <v>103359909</v>
      </c>
      <c r="AD422" s="53"/>
      <c r="AE422" s="53"/>
      <c r="AF422" s="53"/>
      <c r="AG422" s="54"/>
      <c r="AH422" s="54">
        <v>30.844999999999999</v>
      </c>
      <c r="AI422" s="55">
        <v>0</v>
      </c>
      <c r="AJ422" s="56">
        <v>43633</v>
      </c>
      <c r="AK422" s="55" t="s">
        <v>2428</v>
      </c>
      <c r="AL422" s="55" t="s">
        <v>2429</v>
      </c>
      <c r="AM422" s="54" t="s">
        <v>49</v>
      </c>
      <c r="AN422" s="54" t="s">
        <v>284</v>
      </c>
      <c r="AO422" s="54" t="s">
        <v>285</v>
      </c>
      <c r="AP422" s="54" t="s">
        <v>51</v>
      </c>
      <c r="AQ422" s="57"/>
    </row>
    <row r="423" spans="1:43" ht="15.75" customHeight="1">
      <c r="A423" s="19">
        <v>43564</v>
      </c>
      <c r="B423" s="144" t="s">
        <v>76</v>
      </c>
      <c r="C423" s="21">
        <v>276</v>
      </c>
      <c r="D423" s="21" t="s">
        <v>884</v>
      </c>
      <c r="E423" s="23" t="s">
        <v>645</v>
      </c>
      <c r="F423" s="24">
        <v>7</v>
      </c>
      <c r="G423" s="48">
        <v>0</v>
      </c>
      <c r="H423" s="26">
        <f t="shared" si="38"/>
        <v>0</v>
      </c>
      <c r="I423" s="27" t="s">
        <v>42</v>
      </c>
      <c r="J423" s="58" t="s">
        <v>315</v>
      </c>
      <c r="K423" s="29">
        <v>43601</v>
      </c>
      <c r="L423" s="29"/>
      <c r="M423" s="29">
        <v>43595</v>
      </c>
      <c r="N423" s="405" t="s">
        <v>1512</v>
      </c>
      <c r="O423" s="21" t="s">
        <v>2426</v>
      </c>
      <c r="P423" s="34"/>
      <c r="Q423" s="34"/>
      <c r="R423" s="34"/>
      <c r="S423" s="34"/>
      <c r="T423" s="52"/>
      <c r="U423" s="52" t="s">
        <v>2430</v>
      </c>
      <c r="V423" s="516" t="s">
        <v>2109</v>
      </c>
      <c r="W423" s="300">
        <v>43621</v>
      </c>
      <c r="X423" s="300">
        <v>43595</v>
      </c>
      <c r="Y423" s="294" t="s">
        <v>885</v>
      </c>
      <c r="Z423" s="294" t="s">
        <v>2431</v>
      </c>
      <c r="AA423" s="300">
        <v>43621</v>
      </c>
      <c r="AB423" s="53" t="s">
        <v>2427</v>
      </c>
      <c r="AC423" s="53">
        <v>103359909</v>
      </c>
      <c r="AD423" s="53"/>
      <c r="AE423" s="53"/>
      <c r="AF423" s="53"/>
      <c r="AG423" s="54"/>
      <c r="AH423" s="54">
        <v>30.844999999999999</v>
      </c>
      <c r="AI423" s="55">
        <v>0</v>
      </c>
      <c r="AJ423" s="56">
        <v>43633</v>
      </c>
      <c r="AK423" s="55" t="s">
        <v>2428</v>
      </c>
      <c r="AL423" s="55" t="s">
        <v>2429</v>
      </c>
      <c r="AM423" s="54" t="s">
        <v>49</v>
      </c>
      <c r="AN423" s="54" t="s">
        <v>284</v>
      </c>
      <c r="AO423" s="54" t="s">
        <v>285</v>
      </c>
      <c r="AP423" s="54" t="s">
        <v>51</v>
      </c>
      <c r="AQ423" s="57"/>
    </row>
    <row r="424" spans="1:43" ht="15.75" customHeight="1">
      <c r="A424" s="19">
        <v>43564</v>
      </c>
      <c r="B424" s="144" t="s">
        <v>76</v>
      </c>
      <c r="C424" s="21">
        <v>276</v>
      </c>
      <c r="D424" s="21" t="s">
        <v>884</v>
      </c>
      <c r="E424" s="23" t="s">
        <v>646</v>
      </c>
      <c r="F424" s="24">
        <v>7</v>
      </c>
      <c r="G424" s="48">
        <v>0</v>
      </c>
      <c r="H424" s="26">
        <f t="shared" si="38"/>
        <v>0</v>
      </c>
      <c r="I424" s="27" t="s">
        <v>42</v>
      </c>
      <c r="J424" s="58" t="s">
        <v>315</v>
      </c>
      <c r="K424" s="29">
        <v>43601</v>
      </c>
      <c r="L424" s="29"/>
      <c r="M424" s="29">
        <v>43595</v>
      </c>
      <c r="N424" s="405" t="s">
        <v>1512</v>
      </c>
      <c r="O424" s="21" t="s">
        <v>2426</v>
      </c>
      <c r="P424" s="34"/>
      <c r="Q424" s="34"/>
      <c r="R424" s="34"/>
      <c r="S424" s="34"/>
      <c r="T424" s="52"/>
      <c r="U424" s="52" t="s">
        <v>2430</v>
      </c>
      <c r="V424" s="516" t="s">
        <v>2109</v>
      </c>
      <c r="W424" s="300">
        <v>43621</v>
      </c>
      <c r="X424" s="300">
        <v>43595</v>
      </c>
      <c r="Y424" s="294" t="s">
        <v>885</v>
      </c>
      <c r="Z424" s="294" t="s">
        <v>2431</v>
      </c>
      <c r="AA424" s="300">
        <v>43621</v>
      </c>
      <c r="AB424" s="53" t="s">
        <v>2427</v>
      </c>
      <c r="AC424" s="53">
        <v>103359909</v>
      </c>
      <c r="AD424" s="53"/>
      <c r="AE424" s="53"/>
      <c r="AF424" s="53"/>
      <c r="AG424" s="54"/>
      <c r="AH424" s="54">
        <v>30.844999999999999</v>
      </c>
      <c r="AI424" s="55">
        <v>0</v>
      </c>
      <c r="AJ424" s="56">
        <v>43633</v>
      </c>
      <c r="AK424" s="55" t="s">
        <v>2428</v>
      </c>
      <c r="AL424" s="55" t="s">
        <v>2429</v>
      </c>
      <c r="AM424" s="54" t="s">
        <v>49</v>
      </c>
      <c r="AN424" s="54" t="s">
        <v>284</v>
      </c>
      <c r="AO424" s="54" t="s">
        <v>285</v>
      </c>
      <c r="AP424" s="54" t="s">
        <v>51</v>
      </c>
      <c r="AQ424" s="57"/>
    </row>
    <row r="425" spans="1:43" ht="15.75" customHeight="1">
      <c r="A425" s="19">
        <v>43564</v>
      </c>
      <c r="B425" s="144" t="s">
        <v>76</v>
      </c>
      <c r="C425" s="21">
        <v>276</v>
      </c>
      <c r="D425" s="21" t="s">
        <v>884</v>
      </c>
      <c r="E425" s="23" t="s">
        <v>647</v>
      </c>
      <c r="F425" s="24">
        <v>7</v>
      </c>
      <c r="G425" s="48">
        <v>0</v>
      </c>
      <c r="H425" s="26">
        <f t="shared" si="38"/>
        <v>0</v>
      </c>
      <c r="I425" s="27" t="s">
        <v>42</v>
      </c>
      <c r="J425" s="58" t="s">
        <v>315</v>
      </c>
      <c r="K425" s="29">
        <v>43601</v>
      </c>
      <c r="L425" s="29"/>
      <c r="M425" s="29">
        <v>43595</v>
      </c>
      <c r="N425" s="50" t="s">
        <v>1512</v>
      </c>
      <c r="O425" s="21" t="s">
        <v>2426</v>
      </c>
      <c r="P425" s="34"/>
      <c r="Q425" s="34"/>
      <c r="R425" s="34"/>
      <c r="S425" s="34"/>
      <c r="T425" s="52"/>
      <c r="U425" s="52" t="s">
        <v>2430</v>
      </c>
      <c r="V425" s="516" t="s">
        <v>2109</v>
      </c>
      <c r="W425" s="300">
        <v>43621</v>
      </c>
      <c r="X425" s="300">
        <v>43595</v>
      </c>
      <c r="Y425" s="294" t="s">
        <v>885</v>
      </c>
      <c r="Z425" s="294" t="s">
        <v>2431</v>
      </c>
      <c r="AA425" s="300">
        <v>43621</v>
      </c>
      <c r="AB425" s="53" t="s">
        <v>2427</v>
      </c>
      <c r="AC425" s="53">
        <v>103359909</v>
      </c>
      <c r="AD425" s="53"/>
      <c r="AE425" s="53"/>
      <c r="AF425" s="53"/>
      <c r="AG425" s="54"/>
      <c r="AH425" s="54">
        <v>30.844999999999999</v>
      </c>
      <c r="AI425" s="55">
        <v>0</v>
      </c>
      <c r="AJ425" s="56">
        <v>43633</v>
      </c>
      <c r="AK425" s="55" t="s">
        <v>2428</v>
      </c>
      <c r="AL425" s="55" t="s">
        <v>2429</v>
      </c>
      <c r="AM425" s="54" t="s">
        <v>49</v>
      </c>
      <c r="AN425" s="54" t="s">
        <v>284</v>
      </c>
      <c r="AO425" s="54" t="s">
        <v>285</v>
      </c>
      <c r="AP425" s="54" t="s">
        <v>51</v>
      </c>
      <c r="AQ425" s="57"/>
    </row>
    <row r="426" spans="1:43" ht="15.75" customHeight="1">
      <c r="A426" s="19">
        <v>43564</v>
      </c>
      <c r="B426" s="144" t="s">
        <v>76</v>
      </c>
      <c r="C426" s="21">
        <v>276</v>
      </c>
      <c r="D426" s="21" t="s">
        <v>884</v>
      </c>
      <c r="E426" s="23" t="s">
        <v>648</v>
      </c>
      <c r="F426" s="24">
        <v>7</v>
      </c>
      <c r="G426" s="48">
        <v>2</v>
      </c>
      <c r="H426" s="26">
        <f t="shared" si="38"/>
        <v>14</v>
      </c>
      <c r="I426" s="27" t="s">
        <v>42</v>
      </c>
      <c r="J426" s="58" t="s">
        <v>315</v>
      </c>
      <c r="K426" s="29">
        <v>43601</v>
      </c>
      <c r="L426" s="29"/>
      <c r="M426" s="645">
        <v>43595</v>
      </c>
      <c r="N426" s="646" t="s">
        <v>2006</v>
      </c>
      <c r="O426" s="671" t="s">
        <v>2432</v>
      </c>
      <c r="P426" s="612"/>
      <c r="Q426" s="612"/>
      <c r="R426" s="612"/>
      <c r="S426" s="612"/>
      <c r="T426" s="609"/>
      <c r="U426" s="609">
        <v>252</v>
      </c>
      <c r="V426" s="640" t="s">
        <v>2146</v>
      </c>
      <c r="W426" s="300">
        <v>43646</v>
      </c>
      <c r="X426" s="300">
        <v>43593</v>
      </c>
      <c r="Y426" s="294" t="s">
        <v>886</v>
      </c>
      <c r="Z426" s="294">
        <v>546</v>
      </c>
      <c r="AA426" s="300">
        <v>43654</v>
      </c>
      <c r="AB426" s="294" t="s">
        <v>2427</v>
      </c>
      <c r="AC426" s="294">
        <v>103359909</v>
      </c>
      <c r="AD426" s="294"/>
      <c r="AE426" s="294"/>
      <c r="AF426" s="294"/>
      <c r="AG426" s="369"/>
      <c r="AH426" s="369">
        <v>30.844999999999999</v>
      </c>
      <c r="AI426" s="370">
        <f>1456*30.845</f>
        <v>44910.32</v>
      </c>
      <c r="AJ426" s="371">
        <v>43633</v>
      </c>
      <c r="AK426" s="370">
        <f>10046*31.46</f>
        <v>316047.16000000003</v>
      </c>
      <c r="AL426" s="370">
        <f>0</f>
        <v>0</v>
      </c>
      <c r="AM426" s="369" t="s">
        <v>49</v>
      </c>
      <c r="AN426" s="369" t="s">
        <v>284</v>
      </c>
      <c r="AO426" s="369" t="s">
        <v>285</v>
      </c>
      <c r="AP426" s="369" t="s">
        <v>51</v>
      </c>
      <c r="AQ426" s="372" t="s">
        <v>439</v>
      </c>
    </row>
    <row r="427" spans="1:43" ht="15.75" customHeight="1">
      <c r="A427" s="19">
        <v>43564</v>
      </c>
      <c r="B427" s="144" t="s">
        <v>76</v>
      </c>
      <c r="C427" s="21">
        <v>276</v>
      </c>
      <c r="D427" s="21" t="s">
        <v>884</v>
      </c>
      <c r="E427" s="23" t="s">
        <v>649</v>
      </c>
      <c r="F427" s="24">
        <v>7</v>
      </c>
      <c r="G427" s="48">
        <v>6</v>
      </c>
      <c r="H427" s="26">
        <f t="shared" si="38"/>
        <v>42</v>
      </c>
      <c r="I427" s="27" t="s">
        <v>42</v>
      </c>
      <c r="J427" s="58" t="s">
        <v>315</v>
      </c>
      <c r="K427" s="29">
        <v>43601</v>
      </c>
      <c r="L427" s="29"/>
      <c r="M427" s="645">
        <v>43595</v>
      </c>
      <c r="N427" s="646" t="s">
        <v>2006</v>
      </c>
      <c r="O427" s="671" t="s">
        <v>2433</v>
      </c>
      <c r="P427" s="612"/>
      <c r="Q427" s="612"/>
      <c r="R427" s="612"/>
      <c r="S427" s="612"/>
      <c r="T427" s="609"/>
      <c r="U427" s="609">
        <v>294</v>
      </c>
      <c r="V427" s="640" t="s">
        <v>2146</v>
      </c>
      <c r="W427" s="300">
        <v>43646</v>
      </c>
      <c r="X427" s="300">
        <v>43593</v>
      </c>
      <c r="Y427" s="294" t="s">
        <v>886</v>
      </c>
      <c r="Z427" s="294" t="s">
        <v>2432</v>
      </c>
      <c r="AA427" s="300">
        <v>43654</v>
      </c>
      <c r="AB427" s="294" t="s">
        <v>2427</v>
      </c>
      <c r="AC427" s="294">
        <v>103359909</v>
      </c>
      <c r="AD427" s="294"/>
      <c r="AE427" s="294"/>
      <c r="AF427" s="294"/>
      <c r="AG427" s="369"/>
      <c r="AH427" s="369">
        <v>30.844999999999999</v>
      </c>
      <c r="AI427" s="370">
        <v>0</v>
      </c>
      <c r="AJ427" s="371">
        <v>43633</v>
      </c>
      <c r="AK427" s="370" t="s">
        <v>2428</v>
      </c>
      <c r="AL427" s="370" t="s">
        <v>2429</v>
      </c>
      <c r="AM427" s="369" t="s">
        <v>49</v>
      </c>
      <c r="AN427" s="369" t="s">
        <v>284</v>
      </c>
      <c r="AO427" s="369" t="s">
        <v>285</v>
      </c>
      <c r="AP427" s="369" t="s">
        <v>51</v>
      </c>
      <c r="AQ427" s="372" t="s">
        <v>439</v>
      </c>
    </row>
    <row r="428" spans="1:43" ht="15.75" customHeight="1">
      <c r="A428" s="19">
        <v>43564</v>
      </c>
      <c r="B428" s="144" t="s">
        <v>76</v>
      </c>
      <c r="C428" s="21">
        <v>276</v>
      </c>
      <c r="D428" s="21" t="s">
        <v>884</v>
      </c>
      <c r="E428" s="23" t="s">
        <v>650</v>
      </c>
      <c r="F428" s="24">
        <v>7</v>
      </c>
      <c r="G428" s="48">
        <v>0</v>
      </c>
      <c r="H428" s="26">
        <f t="shared" si="38"/>
        <v>0</v>
      </c>
      <c r="I428" s="27" t="s">
        <v>42</v>
      </c>
      <c r="J428" s="58" t="s">
        <v>315</v>
      </c>
      <c r="K428" s="29">
        <v>43601</v>
      </c>
      <c r="L428" s="29"/>
      <c r="M428" s="146">
        <v>43598</v>
      </c>
      <c r="N428" s="54" t="s">
        <v>178</v>
      </c>
      <c r="O428" s="148"/>
      <c r="P428" s="34"/>
      <c r="Q428" s="34"/>
      <c r="R428" s="34"/>
      <c r="S428" s="34"/>
      <c r="T428" s="406">
        <v>92</v>
      </c>
      <c r="U428" s="406">
        <f>(T428*F428)*1.05</f>
        <v>676.2</v>
      </c>
      <c r="V428" s="76"/>
      <c r="W428" s="52"/>
      <c r="X428" s="53"/>
      <c r="Y428" s="53"/>
      <c r="Z428" s="53"/>
      <c r="AA428" s="53"/>
      <c r="AB428" s="53" t="s">
        <v>2427</v>
      </c>
      <c r="AC428" s="53">
        <v>103359909</v>
      </c>
      <c r="AD428" s="53"/>
      <c r="AE428" s="53"/>
      <c r="AF428" s="53"/>
      <c r="AG428" s="54"/>
      <c r="AH428" s="54">
        <v>30.844999999999999</v>
      </c>
      <c r="AI428" s="55">
        <v>0</v>
      </c>
      <c r="AJ428" s="56">
        <v>43633</v>
      </c>
      <c r="AK428" s="55" t="s">
        <v>2428</v>
      </c>
      <c r="AL428" s="55" t="s">
        <v>2429</v>
      </c>
      <c r="AM428" s="54" t="s">
        <v>49</v>
      </c>
      <c r="AN428" s="54" t="s">
        <v>284</v>
      </c>
      <c r="AO428" s="54" t="s">
        <v>285</v>
      </c>
      <c r="AP428" s="54" t="s">
        <v>51</v>
      </c>
      <c r="AQ428" s="57"/>
    </row>
    <row r="429" spans="1:43" ht="15.75" customHeight="1">
      <c r="A429" s="69">
        <v>43566</v>
      </c>
      <c r="B429" s="70" t="s">
        <v>100</v>
      </c>
      <c r="C429" s="21" t="s">
        <v>299</v>
      </c>
      <c r="D429" s="21" t="s">
        <v>887</v>
      </c>
      <c r="E429" s="23" t="s">
        <v>346</v>
      </c>
      <c r="F429" s="24">
        <v>1</v>
      </c>
      <c r="G429" s="48">
        <v>195</v>
      </c>
      <c r="H429" s="26">
        <v>195</v>
      </c>
      <c r="I429" s="27" t="s">
        <v>302</v>
      </c>
      <c r="J429" s="58" t="s">
        <v>262</v>
      </c>
      <c r="K429" s="30">
        <v>43566</v>
      </c>
      <c r="L429" s="30"/>
      <c r="M429" s="30"/>
      <c r="N429" s="82" t="s">
        <v>1999</v>
      </c>
      <c r="O429" s="21"/>
      <c r="P429" s="580"/>
      <c r="Q429" s="580"/>
      <c r="R429" s="580"/>
      <c r="S429" s="580"/>
      <c r="T429" s="581"/>
      <c r="U429" s="581">
        <v>5235</v>
      </c>
      <c r="V429" s="22" t="s">
        <v>2000</v>
      </c>
      <c r="W429" s="302">
        <v>43616</v>
      </c>
      <c r="X429" s="459">
        <v>43574</v>
      </c>
      <c r="Y429" s="350" t="s">
        <v>888</v>
      </c>
      <c r="Z429" s="471">
        <v>5235</v>
      </c>
      <c r="AA429" s="459">
        <v>43616</v>
      </c>
      <c r="AB429" s="304" t="s">
        <v>1962</v>
      </c>
      <c r="AC429" s="304">
        <v>4168589110</v>
      </c>
      <c r="AD429" s="350"/>
      <c r="AE429" s="350"/>
      <c r="AF429" s="350"/>
      <c r="AG429" s="82"/>
      <c r="AH429" s="82">
        <v>30.77</v>
      </c>
      <c r="AI429" s="430">
        <f>AH429*H429</f>
        <v>6000.15</v>
      </c>
      <c r="AJ429" s="298">
        <v>43636</v>
      </c>
      <c r="AK429" s="430">
        <f>4445.56*31.06</f>
        <v>138079.09359999999</v>
      </c>
      <c r="AL429" s="430">
        <f>(4462-4445.56)*31.06</f>
        <v>510.62639999998754</v>
      </c>
      <c r="AM429" s="82" t="s">
        <v>49</v>
      </c>
      <c r="AN429" s="82" t="s">
        <v>284</v>
      </c>
      <c r="AO429" s="82" t="s">
        <v>50</v>
      </c>
      <c r="AP429" s="82" t="s">
        <v>51</v>
      </c>
      <c r="AQ429" s="457" t="s">
        <v>742</v>
      </c>
    </row>
    <row r="430" spans="1:43" ht="15.75" customHeight="1">
      <c r="A430" s="19">
        <v>43566</v>
      </c>
      <c r="B430" s="51" t="s">
        <v>53</v>
      </c>
      <c r="C430" s="21" t="s">
        <v>889</v>
      </c>
      <c r="D430" s="22" t="s">
        <v>890</v>
      </c>
      <c r="E430" s="23" t="s">
        <v>385</v>
      </c>
      <c r="F430" s="24">
        <v>10</v>
      </c>
      <c r="G430" s="48">
        <v>150.15</v>
      </c>
      <c r="H430" s="26">
        <f>G430*F430</f>
        <v>1501.5</v>
      </c>
      <c r="I430" s="27" t="s">
        <v>42</v>
      </c>
      <c r="J430" s="161" t="s">
        <v>89</v>
      </c>
      <c r="K430" s="30">
        <v>43586</v>
      </c>
      <c r="L430" s="30"/>
      <c r="M430" s="645">
        <v>43584</v>
      </c>
      <c r="N430" s="646" t="s">
        <v>89</v>
      </c>
      <c r="O430" s="608" t="s">
        <v>2434</v>
      </c>
      <c r="P430" s="612"/>
      <c r="Q430" s="406">
        <v>1344</v>
      </c>
      <c r="R430" s="406"/>
      <c r="S430" s="406"/>
      <c r="T430" s="406"/>
      <c r="U430" s="406">
        <v>41409</v>
      </c>
      <c r="V430" s="35" t="s">
        <v>93</v>
      </c>
      <c r="W430" s="300">
        <v>43646</v>
      </c>
      <c r="X430" s="300">
        <v>43584</v>
      </c>
      <c r="Y430" s="294" t="s">
        <v>891</v>
      </c>
      <c r="Z430" s="294">
        <v>41409</v>
      </c>
      <c r="AA430" s="300">
        <v>43647</v>
      </c>
      <c r="AB430" s="294" t="s">
        <v>2435</v>
      </c>
      <c r="AC430" s="294" t="s">
        <v>2436</v>
      </c>
      <c r="AD430" s="294">
        <v>30.925000000000001</v>
      </c>
      <c r="AE430" s="294">
        <v>46434</v>
      </c>
      <c r="AF430" s="300">
        <v>43592</v>
      </c>
      <c r="AG430" s="369"/>
      <c r="AH430" s="369"/>
      <c r="AI430" s="370">
        <v>46434</v>
      </c>
      <c r="AJ430" s="371">
        <v>43641</v>
      </c>
      <c r="AK430" s="370">
        <v>46419</v>
      </c>
      <c r="AL430" s="370">
        <v>15</v>
      </c>
      <c r="AM430" s="369" t="s">
        <v>49</v>
      </c>
      <c r="AN430" s="369" t="s">
        <v>284</v>
      </c>
      <c r="AO430" s="369" t="s">
        <v>50</v>
      </c>
      <c r="AP430" s="369" t="s">
        <v>376</v>
      </c>
      <c r="AQ430" s="372" t="s">
        <v>439</v>
      </c>
    </row>
    <row r="431" spans="1:43" ht="15.75" customHeight="1">
      <c r="A431" s="69">
        <v>43566</v>
      </c>
      <c r="B431" s="70" t="s">
        <v>892</v>
      </c>
      <c r="C431" s="21"/>
      <c r="D431" s="22" t="s">
        <v>893</v>
      </c>
      <c r="E431" s="23" t="s">
        <v>894</v>
      </c>
      <c r="F431" s="24">
        <v>4</v>
      </c>
      <c r="G431" s="48">
        <v>355</v>
      </c>
      <c r="H431" s="26">
        <f t="shared" ref="H431:H435" si="39">F431*G431</f>
        <v>1420</v>
      </c>
      <c r="I431" s="61" t="s">
        <v>302</v>
      </c>
      <c r="J431" s="63" t="s">
        <v>895</v>
      </c>
      <c r="K431" s="29">
        <v>43580</v>
      </c>
      <c r="L431" s="29"/>
      <c r="M431" s="29">
        <v>43577</v>
      </c>
      <c r="N431" s="63" t="s">
        <v>89</v>
      </c>
      <c r="O431" s="93" t="s">
        <v>2437</v>
      </c>
      <c r="P431" s="34"/>
      <c r="Q431" s="406">
        <v>1310.4000000000001</v>
      </c>
      <c r="R431" s="406"/>
      <c r="S431" s="406"/>
      <c r="T431" s="406"/>
      <c r="U431" s="406">
        <v>40374</v>
      </c>
      <c r="V431" s="35" t="s">
        <v>93</v>
      </c>
      <c r="W431" s="300">
        <v>43616</v>
      </c>
      <c r="X431" s="300">
        <v>43577</v>
      </c>
      <c r="Y431" s="294" t="s">
        <v>896</v>
      </c>
      <c r="Z431" s="294">
        <v>44243</v>
      </c>
      <c r="AA431" s="449">
        <v>43616</v>
      </c>
      <c r="AB431" s="53" t="s">
        <v>2438</v>
      </c>
      <c r="AC431" s="53">
        <v>167874992</v>
      </c>
      <c r="AD431" s="53"/>
      <c r="AE431" s="53"/>
      <c r="AF431" s="53"/>
      <c r="AG431" s="54"/>
      <c r="AH431" s="54">
        <v>30.81</v>
      </c>
      <c r="AI431" s="55">
        <f>AH431*H431</f>
        <v>43750.2</v>
      </c>
      <c r="AJ431" s="56">
        <v>43580</v>
      </c>
      <c r="AK431" s="55">
        <f>1420*30.81</f>
        <v>43750.2</v>
      </c>
      <c r="AL431" s="55">
        <v>0</v>
      </c>
      <c r="AM431" s="54" t="s">
        <v>49</v>
      </c>
      <c r="AN431" s="24" t="s">
        <v>284</v>
      </c>
      <c r="AO431" s="54" t="s">
        <v>50</v>
      </c>
      <c r="AP431" s="54" t="s">
        <v>51</v>
      </c>
      <c r="AQ431" s="57" t="s">
        <v>397</v>
      </c>
    </row>
    <row r="432" spans="1:43" ht="15.75" customHeight="1">
      <c r="A432" s="69">
        <v>43566</v>
      </c>
      <c r="B432" s="70" t="s">
        <v>892</v>
      </c>
      <c r="C432" s="21"/>
      <c r="D432" s="22" t="s">
        <v>893</v>
      </c>
      <c r="E432" s="23" t="s">
        <v>897</v>
      </c>
      <c r="F432" s="24">
        <v>4</v>
      </c>
      <c r="G432" s="48">
        <v>34</v>
      </c>
      <c r="H432" s="26">
        <f t="shared" si="39"/>
        <v>136</v>
      </c>
      <c r="I432" s="61" t="s">
        <v>302</v>
      </c>
      <c r="J432" s="63" t="s">
        <v>895</v>
      </c>
      <c r="K432" s="29">
        <v>43580</v>
      </c>
      <c r="L432" s="29"/>
      <c r="M432" s="29">
        <v>43577</v>
      </c>
      <c r="N432" s="63" t="s">
        <v>89</v>
      </c>
      <c r="O432" s="93" t="s">
        <v>2437</v>
      </c>
      <c r="P432" s="34"/>
      <c r="Q432" s="406">
        <v>125.58</v>
      </c>
      <c r="R432" s="406"/>
      <c r="S432" s="406"/>
      <c r="T432" s="406"/>
      <c r="U432" s="406">
        <v>3869</v>
      </c>
      <c r="V432" s="35" t="s">
        <v>93</v>
      </c>
      <c r="W432" s="300">
        <v>43616</v>
      </c>
      <c r="X432" s="300">
        <v>43577</v>
      </c>
      <c r="Y432" s="294" t="s">
        <v>896</v>
      </c>
      <c r="Z432" s="294" t="s">
        <v>2439</v>
      </c>
      <c r="AA432" s="449">
        <v>43616</v>
      </c>
      <c r="AB432" s="53" t="s">
        <v>2438</v>
      </c>
      <c r="AC432" s="53">
        <v>167874992</v>
      </c>
      <c r="AD432" s="53"/>
      <c r="AE432" s="53"/>
      <c r="AF432" s="53"/>
      <c r="AG432" s="54"/>
      <c r="AH432" s="54">
        <v>30.81</v>
      </c>
      <c r="AI432" s="55">
        <f>AH432*H432</f>
        <v>4190.16</v>
      </c>
      <c r="AJ432" s="56">
        <v>43580</v>
      </c>
      <c r="AK432" s="55">
        <f>136*30.81</f>
        <v>4190.16</v>
      </c>
      <c r="AL432" s="55">
        <v>0</v>
      </c>
      <c r="AM432" s="54" t="s">
        <v>49</v>
      </c>
      <c r="AN432" s="24" t="s">
        <v>284</v>
      </c>
      <c r="AO432" s="54" t="s">
        <v>50</v>
      </c>
      <c r="AP432" s="54" t="s">
        <v>51</v>
      </c>
      <c r="AQ432" s="57" t="s">
        <v>397</v>
      </c>
    </row>
    <row r="433" spans="1:43" ht="15.75" customHeight="1">
      <c r="A433" s="19">
        <v>43566</v>
      </c>
      <c r="B433" s="20" t="s">
        <v>325</v>
      </c>
      <c r="C433" s="21" t="s">
        <v>898</v>
      </c>
      <c r="D433" s="22" t="s">
        <v>899</v>
      </c>
      <c r="E433" s="23" t="s">
        <v>900</v>
      </c>
      <c r="F433" s="24">
        <v>1</v>
      </c>
      <c r="G433" s="48">
        <v>0</v>
      </c>
      <c r="H433" s="47">
        <f t="shared" si="39"/>
        <v>0</v>
      </c>
      <c r="I433" s="87" t="s">
        <v>42</v>
      </c>
      <c r="J433" s="405" t="s">
        <v>901</v>
      </c>
      <c r="K433" s="29">
        <v>43592</v>
      </c>
      <c r="L433" s="29"/>
      <c r="M433" s="30">
        <v>43579</v>
      </c>
      <c r="N433" s="50" t="s">
        <v>44</v>
      </c>
      <c r="O433" s="93" t="s">
        <v>2440</v>
      </c>
      <c r="P433" s="406"/>
      <c r="Q433" s="406">
        <v>197.4</v>
      </c>
      <c r="R433" s="406"/>
      <c r="S433" s="406"/>
      <c r="T433" s="406"/>
      <c r="U433" s="406">
        <v>6091</v>
      </c>
      <c r="V433" s="51" t="s">
        <v>46</v>
      </c>
      <c r="W433" s="300">
        <v>43616</v>
      </c>
      <c r="X433" s="300">
        <v>43578</v>
      </c>
      <c r="Y433" s="294" t="s">
        <v>902</v>
      </c>
      <c r="Z433" s="294">
        <v>6091</v>
      </c>
      <c r="AA433" s="300">
        <v>43616</v>
      </c>
      <c r="AB433" s="304" t="s">
        <v>2441</v>
      </c>
      <c r="AC433" s="304">
        <v>775149247347</v>
      </c>
      <c r="AD433" s="304"/>
      <c r="AE433" s="304"/>
      <c r="AF433" s="304"/>
      <c r="AG433" s="296"/>
      <c r="AH433" s="296">
        <v>30.844999999999999</v>
      </c>
      <c r="AI433" s="297">
        <v>0</v>
      </c>
      <c r="AJ433" s="298">
        <v>43606</v>
      </c>
      <c r="AK433" s="297">
        <v>0</v>
      </c>
      <c r="AL433" s="297">
        <v>0</v>
      </c>
      <c r="AM433" s="296" t="s">
        <v>49</v>
      </c>
      <c r="AN433" s="296" t="s">
        <v>284</v>
      </c>
      <c r="AO433" s="296" t="s">
        <v>50</v>
      </c>
      <c r="AP433" s="296" t="s">
        <v>51</v>
      </c>
      <c r="AQ433" s="234" t="s">
        <v>304</v>
      </c>
    </row>
    <row r="434" spans="1:43" ht="15.75" customHeight="1">
      <c r="A434" s="19">
        <v>43566</v>
      </c>
      <c r="B434" s="20" t="s">
        <v>325</v>
      </c>
      <c r="C434" s="21" t="s">
        <v>898</v>
      </c>
      <c r="D434" s="22" t="s">
        <v>899</v>
      </c>
      <c r="E434" s="23" t="s">
        <v>903</v>
      </c>
      <c r="F434" s="24">
        <v>1</v>
      </c>
      <c r="G434" s="48">
        <v>0</v>
      </c>
      <c r="H434" s="47">
        <f t="shared" si="39"/>
        <v>0</v>
      </c>
      <c r="I434" s="87" t="s">
        <v>42</v>
      </c>
      <c r="J434" s="405" t="s">
        <v>901</v>
      </c>
      <c r="K434" s="29">
        <v>43592</v>
      </c>
      <c r="L434" s="29"/>
      <c r="M434" s="30">
        <v>43591</v>
      </c>
      <c r="N434" s="58" t="s">
        <v>53</v>
      </c>
      <c r="O434" s="93" t="s">
        <v>2442</v>
      </c>
      <c r="P434" s="406"/>
      <c r="Q434" s="406">
        <v>32.024999999999999</v>
      </c>
      <c r="R434" s="406"/>
      <c r="S434" s="406"/>
      <c r="T434" s="406"/>
      <c r="U434" s="406">
        <v>990</v>
      </c>
      <c r="V434" s="23" t="s">
        <v>55</v>
      </c>
      <c r="W434" s="460">
        <v>43646</v>
      </c>
      <c r="X434" s="460">
        <v>43588</v>
      </c>
      <c r="Y434" s="304" t="s">
        <v>904</v>
      </c>
      <c r="Z434" s="304">
        <v>23049</v>
      </c>
      <c r="AA434" s="460">
        <v>43647</v>
      </c>
      <c r="AB434" s="304" t="s">
        <v>2441</v>
      </c>
      <c r="AC434" s="304">
        <v>775149247347</v>
      </c>
      <c r="AD434" s="304"/>
      <c r="AE434" s="304"/>
      <c r="AF434" s="304"/>
      <c r="AG434" s="296"/>
      <c r="AH434" s="296">
        <v>30.844999999999999</v>
      </c>
      <c r="AI434" s="297">
        <v>0</v>
      </c>
      <c r="AJ434" s="298">
        <v>43606</v>
      </c>
      <c r="AK434" s="297">
        <v>0</v>
      </c>
      <c r="AL434" s="297">
        <v>0</v>
      </c>
      <c r="AM434" s="296" t="s">
        <v>49</v>
      </c>
      <c r="AN434" s="296" t="s">
        <v>284</v>
      </c>
      <c r="AO434" s="296" t="s">
        <v>50</v>
      </c>
      <c r="AP434" s="296" t="s">
        <v>51</v>
      </c>
      <c r="AQ434" s="234" t="s">
        <v>304</v>
      </c>
    </row>
    <row r="435" spans="1:43" ht="15.75" customHeight="1">
      <c r="A435" s="19">
        <v>43566</v>
      </c>
      <c r="B435" s="20" t="s">
        <v>325</v>
      </c>
      <c r="C435" s="21" t="s">
        <v>898</v>
      </c>
      <c r="D435" s="22" t="s">
        <v>905</v>
      </c>
      <c r="E435" s="23" t="s">
        <v>906</v>
      </c>
      <c r="F435" s="24">
        <v>1</v>
      </c>
      <c r="G435" s="48">
        <v>960</v>
      </c>
      <c r="H435" s="47">
        <f t="shared" si="39"/>
        <v>960</v>
      </c>
      <c r="I435" s="87" t="s">
        <v>42</v>
      </c>
      <c r="J435" s="405" t="s">
        <v>901</v>
      </c>
      <c r="K435" s="29">
        <v>43592</v>
      </c>
      <c r="L435" s="29"/>
      <c r="M435" s="30">
        <v>43591</v>
      </c>
      <c r="N435" s="58" t="s">
        <v>53</v>
      </c>
      <c r="O435" s="93" t="s">
        <v>2442</v>
      </c>
      <c r="P435" s="406"/>
      <c r="Q435" s="406">
        <v>714</v>
      </c>
      <c r="R435" s="406"/>
      <c r="S435" s="406"/>
      <c r="T435" s="406"/>
      <c r="U435" s="406">
        <v>22059</v>
      </c>
      <c r="V435" s="23" t="s">
        <v>55</v>
      </c>
      <c r="W435" s="460">
        <v>43646</v>
      </c>
      <c r="X435" s="460">
        <v>43588</v>
      </c>
      <c r="Y435" s="304" t="s">
        <v>904</v>
      </c>
      <c r="Z435" s="304" t="s">
        <v>2443</v>
      </c>
      <c r="AA435" s="460">
        <v>43647</v>
      </c>
      <c r="AB435" s="304" t="s">
        <v>2441</v>
      </c>
      <c r="AC435" s="304">
        <v>775149247347</v>
      </c>
      <c r="AD435" s="304"/>
      <c r="AE435" s="304"/>
      <c r="AF435" s="304"/>
      <c r="AG435" s="296"/>
      <c r="AH435" s="296">
        <v>30.844999999999999</v>
      </c>
      <c r="AI435" s="297">
        <f>960*30.845</f>
        <v>29611.199999999997</v>
      </c>
      <c r="AJ435" s="298">
        <v>43606</v>
      </c>
      <c r="AK435" s="297">
        <f>953.65*31.51</f>
        <v>30049.511500000001</v>
      </c>
      <c r="AL435" s="297">
        <f>(960-953.65)*31.51</f>
        <v>200.08850000000072</v>
      </c>
      <c r="AM435" s="296" t="s">
        <v>49</v>
      </c>
      <c r="AN435" s="296" t="s">
        <v>284</v>
      </c>
      <c r="AO435" s="296" t="s">
        <v>50</v>
      </c>
      <c r="AP435" s="296" t="s">
        <v>51</v>
      </c>
      <c r="AQ435" s="234" t="s">
        <v>304</v>
      </c>
    </row>
    <row r="436" spans="1:43" ht="15.75" customHeight="1">
      <c r="A436" s="69">
        <v>43566</v>
      </c>
      <c r="B436" s="144" t="s">
        <v>139</v>
      </c>
      <c r="C436" s="21" t="s">
        <v>857</v>
      </c>
      <c r="D436" s="21" t="s">
        <v>907</v>
      </c>
      <c r="E436" s="23" t="s">
        <v>908</v>
      </c>
      <c r="F436" s="24">
        <v>1</v>
      </c>
      <c r="G436" s="25">
        <v>0</v>
      </c>
      <c r="H436" s="26">
        <f>G436*F436</f>
        <v>0</v>
      </c>
      <c r="I436" s="49" t="s">
        <v>302</v>
      </c>
      <c r="J436" s="405" t="s">
        <v>532</v>
      </c>
      <c r="K436" s="29">
        <v>43532</v>
      </c>
      <c r="L436" s="29"/>
      <c r="M436" s="43"/>
      <c r="N436" s="24" t="s">
        <v>1999</v>
      </c>
      <c r="O436" s="64"/>
      <c r="P436" s="225"/>
      <c r="Q436" s="34"/>
      <c r="R436" s="34"/>
      <c r="S436" s="34"/>
      <c r="T436" s="34"/>
      <c r="U436" s="34">
        <v>1098</v>
      </c>
      <c r="V436" s="20" t="s">
        <v>2000</v>
      </c>
      <c r="W436" s="293">
        <v>43569</v>
      </c>
      <c r="X436" s="293">
        <v>43539</v>
      </c>
      <c r="Y436" s="294" t="s">
        <v>807</v>
      </c>
      <c r="Z436" s="295" t="s">
        <v>2378</v>
      </c>
      <c r="AA436" s="300">
        <v>43586</v>
      </c>
      <c r="AB436" s="53" t="s">
        <v>2444</v>
      </c>
      <c r="AC436" s="53">
        <v>2484942460</v>
      </c>
      <c r="AD436" s="53"/>
      <c r="AE436" s="53"/>
      <c r="AF436" s="53"/>
      <c r="AG436" s="54"/>
      <c r="AH436" s="54"/>
      <c r="AI436" s="55"/>
      <c r="AJ436" s="56">
        <v>43566</v>
      </c>
      <c r="AK436" s="55"/>
      <c r="AL436" s="55"/>
      <c r="AM436" s="54" t="s">
        <v>49</v>
      </c>
      <c r="AN436" s="24" t="s">
        <v>284</v>
      </c>
      <c r="AO436" s="54" t="s">
        <v>285</v>
      </c>
      <c r="AP436" s="54" t="s">
        <v>51</v>
      </c>
      <c r="AQ436" s="57" t="s">
        <v>397</v>
      </c>
    </row>
    <row r="437" spans="1:43" ht="15.75" customHeight="1">
      <c r="A437" s="69">
        <v>43567</v>
      </c>
      <c r="B437" s="273" t="s">
        <v>909</v>
      </c>
      <c r="C437" s="183"/>
      <c r="D437" s="183" t="s">
        <v>910</v>
      </c>
      <c r="E437" s="376" t="s">
        <v>911</v>
      </c>
      <c r="F437" s="186">
        <v>1</v>
      </c>
      <c r="G437" s="187">
        <v>0</v>
      </c>
      <c r="H437" s="399">
        <f>F437*G437</f>
        <v>0</v>
      </c>
      <c r="I437" s="87" t="s">
        <v>170</v>
      </c>
      <c r="J437" s="63" t="s">
        <v>912</v>
      </c>
      <c r="K437" s="30">
        <v>43567</v>
      </c>
      <c r="L437" s="30"/>
      <c r="M437" s="30">
        <v>43567</v>
      </c>
      <c r="N437" s="405" t="s">
        <v>1074</v>
      </c>
      <c r="O437" s="93"/>
      <c r="P437" s="406"/>
      <c r="Q437" s="468"/>
      <c r="R437" s="468"/>
      <c r="S437" s="468"/>
      <c r="T437" s="406"/>
      <c r="U437" s="406"/>
      <c r="V437" s="406"/>
      <c r="W437" s="304"/>
      <c r="X437" s="304"/>
      <c r="Y437" s="304"/>
      <c r="Z437" s="304"/>
      <c r="AA437" s="304"/>
      <c r="AB437" s="304" t="s">
        <v>2445</v>
      </c>
      <c r="AC437" s="304">
        <v>774953256718</v>
      </c>
      <c r="AD437" s="304"/>
      <c r="AE437" s="304"/>
      <c r="AF437" s="304"/>
      <c r="AG437" s="296"/>
      <c r="AH437" s="296"/>
      <c r="AI437" s="297"/>
      <c r="AJ437" s="296" t="s">
        <v>1212</v>
      </c>
      <c r="AK437" s="297" t="s">
        <v>1212</v>
      </c>
      <c r="AL437" s="297" t="s">
        <v>1212</v>
      </c>
      <c r="AM437" s="296" t="s">
        <v>49</v>
      </c>
      <c r="AN437" s="296" t="s">
        <v>284</v>
      </c>
      <c r="AO437" s="296" t="s">
        <v>50</v>
      </c>
      <c r="AP437" s="296" t="s">
        <v>51</v>
      </c>
      <c r="AQ437" s="234" t="s">
        <v>506</v>
      </c>
    </row>
    <row r="438" spans="1:43" ht="15.75" customHeight="1">
      <c r="A438" s="69">
        <v>43570</v>
      </c>
      <c r="B438" s="70" t="s">
        <v>129</v>
      </c>
      <c r="C438" s="21" t="s">
        <v>913</v>
      </c>
      <c r="D438" s="21" t="s">
        <v>914</v>
      </c>
      <c r="E438" s="23" t="s">
        <v>915</v>
      </c>
      <c r="F438" s="24">
        <v>1</v>
      </c>
      <c r="G438" s="47">
        <v>112</v>
      </c>
      <c r="H438" s="468">
        <f>G438*F438</f>
        <v>112</v>
      </c>
      <c r="I438" s="87" t="s">
        <v>247</v>
      </c>
      <c r="J438" s="50" t="s">
        <v>133</v>
      </c>
      <c r="K438" s="29">
        <v>43580</v>
      </c>
      <c r="L438" s="29"/>
      <c r="M438" s="29">
        <v>43579</v>
      </c>
      <c r="N438" s="50" t="s">
        <v>89</v>
      </c>
      <c r="O438" s="93" t="s">
        <v>2446</v>
      </c>
      <c r="P438" s="406"/>
      <c r="Q438" s="406">
        <v>109.2</v>
      </c>
      <c r="R438" s="406"/>
      <c r="S438" s="406"/>
      <c r="T438" s="406"/>
      <c r="U438" s="406">
        <v>3364</v>
      </c>
      <c r="V438" s="51" t="s">
        <v>93</v>
      </c>
      <c r="W438" s="300">
        <v>43616</v>
      </c>
      <c r="X438" s="300">
        <v>43578</v>
      </c>
      <c r="Y438" s="294" t="s">
        <v>916</v>
      </c>
      <c r="Z438" s="294">
        <v>3364</v>
      </c>
      <c r="AA438" s="449">
        <v>43616</v>
      </c>
      <c r="AB438" s="304" t="s">
        <v>2447</v>
      </c>
      <c r="AC438" s="304">
        <v>5618128191</v>
      </c>
      <c r="AD438" s="304"/>
      <c r="AE438" s="304"/>
      <c r="AF438" s="304"/>
      <c r="AG438" s="296"/>
      <c r="AH438" s="296">
        <v>30.81</v>
      </c>
      <c r="AI438" s="297">
        <f>AH438*H438</f>
        <v>3450.72</v>
      </c>
      <c r="AJ438" s="298">
        <v>43602</v>
      </c>
      <c r="AK438" s="297">
        <f>(1668-1650.61)*31.296</f>
        <v>544.23744000000318</v>
      </c>
      <c r="AL438" s="297" t="s">
        <v>2448</v>
      </c>
      <c r="AM438" s="296" t="s">
        <v>49</v>
      </c>
      <c r="AN438" s="296" t="s">
        <v>284</v>
      </c>
      <c r="AO438" s="296" t="s">
        <v>50</v>
      </c>
      <c r="AP438" s="296" t="s">
        <v>51</v>
      </c>
      <c r="AQ438" s="234" t="s">
        <v>304</v>
      </c>
    </row>
    <row r="439" spans="1:43" ht="15.75" customHeight="1">
      <c r="A439" s="69">
        <v>43571</v>
      </c>
      <c r="B439" s="70" t="s">
        <v>100</v>
      </c>
      <c r="C439" s="21" t="s">
        <v>917</v>
      </c>
      <c r="D439" s="21" t="s">
        <v>918</v>
      </c>
      <c r="E439" s="23" t="s">
        <v>919</v>
      </c>
      <c r="F439" s="24">
        <v>1</v>
      </c>
      <c r="G439" s="48">
        <v>0</v>
      </c>
      <c r="H439" s="47">
        <v>0</v>
      </c>
      <c r="I439" s="49" t="s">
        <v>302</v>
      </c>
      <c r="J439" s="431" t="s">
        <v>920</v>
      </c>
      <c r="K439" s="29">
        <v>43571</v>
      </c>
      <c r="L439" s="29"/>
      <c r="M439" s="29"/>
      <c r="N439" s="79"/>
      <c r="O439" s="64"/>
      <c r="P439" s="34"/>
      <c r="Q439" s="34"/>
      <c r="R439" s="34"/>
      <c r="S439" s="34"/>
      <c r="T439" s="34"/>
      <c r="U439" s="34"/>
      <c r="V439" s="76"/>
      <c r="W439" s="77"/>
      <c r="X439" s="470"/>
      <c r="Y439" s="53"/>
      <c r="Z439" s="53"/>
      <c r="AA439" s="53"/>
      <c r="AB439" s="53" t="s">
        <v>2449</v>
      </c>
      <c r="AC439" s="53">
        <v>166478947</v>
      </c>
      <c r="AD439" s="53"/>
      <c r="AE439" s="53"/>
      <c r="AF439" s="53"/>
      <c r="AG439" s="54"/>
      <c r="AH439" s="54"/>
      <c r="AI439" s="55"/>
      <c r="AJ439" s="54" t="s">
        <v>1212</v>
      </c>
      <c r="AK439" s="55"/>
      <c r="AL439" s="55"/>
      <c r="AM439" s="54" t="s">
        <v>49</v>
      </c>
      <c r="AN439" s="54" t="s">
        <v>284</v>
      </c>
      <c r="AO439" s="54" t="s">
        <v>50</v>
      </c>
      <c r="AP439" s="54" t="s">
        <v>51</v>
      </c>
      <c r="AQ439" s="57"/>
    </row>
    <row r="440" spans="1:43" ht="15.75" customHeight="1">
      <c r="A440" s="69">
        <v>43573</v>
      </c>
      <c r="B440" s="70" t="s">
        <v>76</v>
      </c>
      <c r="C440" s="21">
        <v>316</v>
      </c>
      <c r="D440" s="21" t="s">
        <v>921</v>
      </c>
      <c r="E440" s="23" t="s">
        <v>314</v>
      </c>
      <c r="F440" s="24">
        <v>7</v>
      </c>
      <c r="G440" s="48">
        <v>285</v>
      </c>
      <c r="H440" s="47">
        <f t="shared" ref="H440:H446" si="40">G440*F440</f>
        <v>1995</v>
      </c>
      <c r="I440" s="49" t="s">
        <v>42</v>
      </c>
      <c r="J440" s="431" t="s">
        <v>922</v>
      </c>
      <c r="K440" s="29">
        <v>43588</v>
      </c>
      <c r="L440" s="29"/>
      <c r="M440" s="29">
        <v>43581</v>
      </c>
      <c r="N440" s="405" t="s">
        <v>1967</v>
      </c>
      <c r="O440" s="93" t="s">
        <v>2450</v>
      </c>
      <c r="P440" s="406"/>
      <c r="Q440" s="406">
        <v>2310</v>
      </c>
      <c r="R440" s="406"/>
      <c r="S440" s="406"/>
      <c r="T440" s="406"/>
      <c r="U440" s="406">
        <v>56742</v>
      </c>
      <c r="V440" s="406" t="s">
        <v>1969</v>
      </c>
      <c r="W440" s="460">
        <v>43646</v>
      </c>
      <c r="X440" s="460">
        <v>43580</v>
      </c>
      <c r="Y440" s="304" t="s">
        <v>923</v>
      </c>
      <c r="Z440" s="304" t="s">
        <v>2451</v>
      </c>
      <c r="AA440" s="460">
        <v>43649</v>
      </c>
      <c r="AB440" s="304" t="s">
        <v>2452</v>
      </c>
      <c r="AC440" s="304" t="s">
        <v>2453</v>
      </c>
      <c r="AD440" s="304"/>
      <c r="AE440" s="304"/>
      <c r="AF440" s="304"/>
      <c r="AG440" s="296"/>
      <c r="AH440" s="296">
        <v>30.844999999999999</v>
      </c>
      <c r="AI440" s="297">
        <f>4545*30.845</f>
        <v>140190.52499999999</v>
      </c>
      <c r="AJ440" s="298">
        <v>43633</v>
      </c>
      <c r="AK440" s="297" t="s">
        <v>2428</v>
      </c>
      <c r="AL440" s="297" t="s">
        <v>2429</v>
      </c>
      <c r="AM440" s="296" t="s">
        <v>49</v>
      </c>
      <c r="AN440" s="82" t="s">
        <v>284</v>
      </c>
      <c r="AO440" s="296" t="s">
        <v>50</v>
      </c>
      <c r="AP440" s="296" t="s">
        <v>51</v>
      </c>
      <c r="AQ440" s="457" t="s">
        <v>742</v>
      </c>
    </row>
    <row r="441" spans="1:43" ht="15.75" customHeight="1">
      <c r="A441" s="69">
        <v>43573</v>
      </c>
      <c r="B441" s="70" t="s">
        <v>76</v>
      </c>
      <c r="C441" s="21">
        <v>316</v>
      </c>
      <c r="D441" s="71" t="s">
        <v>921</v>
      </c>
      <c r="E441" s="32" t="s">
        <v>317</v>
      </c>
      <c r="F441" s="433">
        <v>10</v>
      </c>
      <c r="G441" s="48">
        <v>255</v>
      </c>
      <c r="H441" s="26">
        <f t="shared" si="40"/>
        <v>2550</v>
      </c>
      <c r="I441" s="27" t="s">
        <v>42</v>
      </c>
      <c r="J441" s="431" t="s">
        <v>922</v>
      </c>
      <c r="K441" s="29">
        <v>43588</v>
      </c>
      <c r="L441" s="29"/>
      <c r="M441" s="29">
        <v>43581</v>
      </c>
      <c r="N441" s="50" t="s">
        <v>1967</v>
      </c>
      <c r="O441" s="93" t="s">
        <v>2450</v>
      </c>
      <c r="P441" s="406"/>
      <c r="Q441" s="406">
        <v>1838</v>
      </c>
      <c r="R441" s="406"/>
      <c r="S441" s="406"/>
      <c r="T441" s="406"/>
      <c r="U441" s="406">
        <v>71333</v>
      </c>
      <c r="V441" s="406" t="s">
        <v>1969</v>
      </c>
      <c r="W441" s="460">
        <v>43646</v>
      </c>
      <c r="X441" s="460">
        <v>43580</v>
      </c>
      <c r="Y441" s="304" t="s">
        <v>923</v>
      </c>
      <c r="Z441" s="304">
        <v>128075</v>
      </c>
      <c r="AA441" s="460">
        <v>43649</v>
      </c>
      <c r="AB441" s="304" t="s">
        <v>2452</v>
      </c>
      <c r="AC441" s="304" t="s">
        <v>2453</v>
      </c>
      <c r="AD441" s="304"/>
      <c r="AE441" s="304"/>
      <c r="AF441" s="304"/>
      <c r="AG441" s="296"/>
      <c r="AH441" s="296">
        <v>30.844999999999999</v>
      </c>
      <c r="AI441" s="297">
        <v>0</v>
      </c>
      <c r="AJ441" s="298">
        <v>43633</v>
      </c>
      <c r="AK441" s="297" t="s">
        <v>2428</v>
      </c>
      <c r="AL441" s="297" t="s">
        <v>2429</v>
      </c>
      <c r="AM441" s="296" t="s">
        <v>49</v>
      </c>
      <c r="AN441" s="82" t="s">
        <v>284</v>
      </c>
      <c r="AO441" s="296" t="s">
        <v>50</v>
      </c>
      <c r="AP441" s="296" t="s">
        <v>51</v>
      </c>
      <c r="AQ441" s="457" t="s">
        <v>742</v>
      </c>
    </row>
    <row r="442" spans="1:43" ht="15.75" customHeight="1">
      <c r="A442" s="69">
        <v>43573</v>
      </c>
      <c r="B442" s="70" t="s">
        <v>129</v>
      </c>
      <c r="C442" s="21" t="s">
        <v>924</v>
      </c>
      <c r="D442" s="21" t="s">
        <v>925</v>
      </c>
      <c r="E442" s="23" t="s">
        <v>238</v>
      </c>
      <c r="F442" s="24">
        <v>15</v>
      </c>
      <c r="G442" s="47">
        <v>58</v>
      </c>
      <c r="H442" s="468">
        <f t="shared" si="40"/>
        <v>870</v>
      </c>
      <c r="I442" s="87" t="s">
        <v>247</v>
      </c>
      <c r="J442" s="50" t="s">
        <v>133</v>
      </c>
      <c r="K442" s="29">
        <v>43580</v>
      </c>
      <c r="L442" s="29"/>
      <c r="M442" s="29">
        <v>43579</v>
      </c>
      <c r="N442" s="50" t="s">
        <v>89</v>
      </c>
      <c r="O442" s="93" t="s">
        <v>2454</v>
      </c>
      <c r="P442" s="406"/>
      <c r="Q442" s="406">
        <v>819</v>
      </c>
      <c r="R442" s="406"/>
      <c r="S442" s="406"/>
      <c r="T442" s="406"/>
      <c r="U442" s="406">
        <v>25233</v>
      </c>
      <c r="V442" s="35" t="s">
        <v>93</v>
      </c>
      <c r="W442" s="300">
        <v>43616</v>
      </c>
      <c r="X442" s="300">
        <v>43578</v>
      </c>
      <c r="Y442" s="294" t="s">
        <v>926</v>
      </c>
      <c r="Z442" s="294">
        <v>25233</v>
      </c>
      <c r="AA442" s="449">
        <v>43616</v>
      </c>
      <c r="AB442" s="304" t="s">
        <v>2447</v>
      </c>
      <c r="AC442" s="350">
        <v>5618128191</v>
      </c>
      <c r="AD442" s="304"/>
      <c r="AE442" s="304"/>
      <c r="AF442" s="304"/>
      <c r="AG442" s="296"/>
      <c r="AH442" s="296">
        <v>30.81</v>
      </c>
      <c r="AI442" s="297">
        <f>AH442*H442</f>
        <v>26804.699999999997</v>
      </c>
      <c r="AJ442" s="298">
        <v>43602</v>
      </c>
      <c r="AK442" s="297" t="s">
        <v>2455</v>
      </c>
      <c r="AL442" s="297" t="s">
        <v>2456</v>
      </c>
      <c r="AM442" s="296" t="s">
        <v>49</v>
      </c>
      <c r="AN442" s="296" t="s">
        <v>284</v>
      </c>
      <c r="AO442" s="296" t="s">
        <v>50</v>
      </c>
      <c r="AP442" s="296" t="s">
        <v>51</v>
      </c>
      <c r="AQ442" s="234" t="s">
        <v>304</v>
      </c>
    </row>
    <row r="443" spans="1:43" ht="15.75" customHeight="1">
      <c r="A443" s="69">
        <v>43574</v>
      </c>
      <c r="B443" s="70" t="s">
        <v>118</v>
      </c>
      <c r="C443" s="21" t="s">
        <v>927</v>
      </c>
      <c r="D443" s="21" t="s">
        <v>928</v>
      </c>
      <c r="E443" s="23" t="s">
        <v>564</v>
      </c>
      <c r="F443" s="24">
        <v>100</v>
      </c>
      <c r="G443" s="47">
        <v>105</v>
      </c>
      <c r="H443" s="468">
        <f t="shared" si="40"/>
        <v>10500</v>
      </c>
      <c r="I443" s="87" t="s">
        <v>170</v>
      </c>
      <c r="J443" s="82" t="s">
        <v>121</v>
      </c>
      <c r="K443" s="29">
        <v>43601</v>
      </c>
      <c r="L443" s="29"/>
      <c r="M443" s="29">
        <v>43595</v>
      </c>
      <c r="N443" s="50" t="s">
        <v>89</v>
      </c>
      <c r="O443" s="93" t="s">
        <v>2457</v>
      </c>
      <c r="P443" s="406"/>
      <c r="Q443" s="406">
        <v>8610</v>
      </c>
      <c r="R443" s="406"/>
      <c r="S443" s="406"/>
      <c r="T443" s="406"/>
      <c r="U443" s="406">
        <v>265575</v>
      </c>
      <c r="V443" s="35" t="s">
        <v>93</v>
      </c>
      <c r="W443" s="460">
        <v>43646</v>
      </c>
      <c r="X443" s="460">
        <v>43594</v>
      </c>
      <c r="Y443" s="304" t="s">
        <v>929</v>
      </c>
      <c r="Z443" s="304">
        <v>415852</v>
      </c>
      <c r="AA443" s="470">
        <v>43647</v>
      </c>
      <c r="AB443" s="304" t="s">
        <v>2458</v>
      </c>
      <c r="AC443" s="304" t="s">
        <v>2459</v>
      </c>
      <c r="AD443" s="304"/>
      <c r="AE443" s="304"/>
      <c r="AF443" s="304"/>
      <c r="AG443" s="296"/>
      <c r="AH443" s="296">
        <v>30.844999999999999</v>
      </c>
      <c r="AI443" s="297">
        <f>15865*30.845</f>
        <v>489355.92499999999</v>
      </c>
      <c r="AJ443" s="298">
        <v>43600</v>
      </c>
      <c r="AK443" s="297">
        <f>16624.69*31.06</f>
        <v>516362.87139999995</v>
      </c>
      <c r="AL443" s="297">
        <f>(16645-16624.69)*31.06</f>
        <v>630.82860000004064</v>
      </c>
      <c r="AM443" s="296" t="s">
        <v>49</v>
      </c>
      <c r="AN443" s="296" t="s">
        <v>284</v>
      </c>
      <c r="AO443" s="296" t="s">
        <v>50</v>
      </c>
      <c r="AP443" s="296" t="s">
        <v>51</v>
      </c>
      <c r="AQ443" s="234" t="s">
        <v>304</v>
      </c>
    </row>
    <row r="444" spans="1:43" ht="15.75" customHeight="1">
      <c r="A444" s="69">
        <v>43574</v>
      </c>
      <c r="B444" s="70" t="s">
        <v>118</v>
      </c>
      <c r="C444" s="21" t="s">
        <v>927</v>
      </c>
      <c r="D444" s="21" t="s">
        <v>928</v>
      </c>
      <c r="E444" s="23" t="s">
        <v>414</v>
      </c>
      <c r="F444" s="82">
        <v>5</v>
      </c>
      <c r="G444" s="47">
        <v>335</v>
      </c>
      <c r="H444" s="468">
        <f t="shared" si="40"/>
        <v>1675</v>
      </c>
      <c r="I444" s="87" t="s">
        <v>170</v>
      </c>
      <c r="J444" s="82" t="s">
        <v>121</v>
      </c>
      <c r="K444" s="29">
        <v>43601</v>
      </c>
      <c r="L444" s="29"/>
      <c r="M444" s="29">
        <v>43595</v>
      </c>
      <c r="N444" s="50" t="s">
        <v>89</v>
      </c>
      <c r="O444" s="93" t="s">
        <v>2457</v>
      </c>
      <c r="P444" s="406"/>
      <c r="Q444" s="406">
        <v>1522.5</v>
      </c>
      <c r="R444" s="406"/>
      <c r="S444" s="406"/>
      <c r="T444" s="406"/>
      <c r="U444" s="406">
        <v>46962</v>
      </c>
      <c r="V444" s="35" t="s">
        <v>93</v>
      </c>
      <c r="W444" s="460">
        <v>43646</v>
      </c>
      <c r="X444" s="460">
        <v>43594</v>
      </c>
      <c r="Y444" s="304" t="s">
        <v>929</v>
      </c>
      <c r="Z444" s="304" t="s">
        <v>2460</v>
      </c>
      <c r="AA444" s="470">
        <v>43647</v>
      </c>
      <c r="AB444" s="304" t="s">
        <v>2458</v>
      </c>
      <c r="AC444" s="304" t="s">
        <v>2459</v>
      </c>
      <c r="AD444" s="304"/>
      <c r="AE444" s="304"/>
      <c r="AF444" s="304"/>
      <c r="AG444" s="296"/>
      <c r="AH444" s="296">
        <v>30.844999999999999</v>
      </c>
      <c r="AI444" s="297">
        <v>0</v>
      </c>
      <c r="AJ444" s="298">
        <v>43600</v>
      </c>
      <c r="AK444" s="297" t="s">
        <v>2260</v>
      </c>
      <c r="AL444" s="297" t="s">
        <v>2261</v>
      </c>
      <c r="AM444" s="296" t="s">
        <v>49</v>
      </c>
      <c r="AN444" s="296" t="s">
        <v>284</v>
      </c>
      <c r="AO444" s="296" t="s">
        <v>50</v>
      </c>
      <c r="AP444" s="296" t="s">
        <v>51</v>
      </c>
      <c r="AQ444" s="234" t="s">
        <v>304</v>
      </c>
    </row>
    <row r="445" spans="1:43" ht="15.75" customHeight="1">
      <c r="A445" s="69">
        <v>43574</v>
      </c>
      <c r="B445" s="70" t="s">
        <v>118</v>
      </c>
      <c r="C445" s="21" t="s">
        <v>927</v>
      </c>
      <c r="D445" s="21" t="s">
        <v>928</v>
      </c>
      <c r="E445" s="23" t="s">
        <v>161</v>
      </c>
      <c r="F445" s="58">
        <v>5</v>
      </c>
      <c r="G445" s="47">
        <v>738</v>
      </c>
      <c r="H445" s="468">
        <f t="shared" si="40"/>
        <v>3690</v>
      </c>
      <c r="I445" s="87" t="s">
        <v>170</v>
      </c>
      <c r="J445" s="82" t="s">
        <v>121</v>
      </c>
      <c r="K445" s="29">
        <v>43601</v>
      </c>
      <c r="L445" s="29"/>
      <c r="M445" s="29">
        <v>43595</v>
      </c>
      <c r="N445" s="50" t="s">
        <v>89</v>
      </c>
      <c r="O445" s="93" t="s">
        <v>2457</v>
      </c>
      <c r="P445" s="406"/>
      <c r="Q445" s="406">
        <v>3349.5</v>
      </c>
      <c r="R445" s="406"/>
      <c r="S445" s="406"/>
      <c r="T445" s="406"/>
      <c r="U445" s="406">
        <v>103315</v>
      </c>
      <c r="V445" s="35" t="s">
        <v>93</v>
      </c>
      <c r="W445" s="460">
        <v>43646</v>
      </c>
      <c r="X445" s="460">
        <v>43594</v>
      </c>
      <c r="Y445" s="304" t="s">
        <v>929</v>
      </c>
      <c r="Z445" s="304" t="s">
        <v>2460</v>
      </c>
      <c r="AA445" s="470">
        <v>43647</v>
      </c>
      <c r="AB445" s="304" t="s">
        <v>2458</v>
      </c>
      <c r="AC445" s="304" t="s">
        <v>2459</v>
      </c>
      <c r="AD445" s="304"/>
      <c r="AE445" s="304"/>
      <c r="AF445" s="304"/>
      <c r="AG445" s="296"/>
      <c r="AH445" s="296">
        <v>30.844999999999999</v>
      </c>
      <c r="AI445" s="297">
        <v>0</v>
      </c>
      <c r="AJ445" s="298">
        <v>43600</v>
      </c>
      <c r="AK445" s="297" t="s">
        <v>2260</v>
      </c>
      <c r="AL445" s="297" t="s">
        <v>2261</v>
      </c>
      <c r="AM445" s="296" t="s">
        <v>49</v>
      </c>
      <c r="AN445" s="296" t="s">
        <v>284</v>
      </c>
      <c r="AO445" s="296" t="s">
        <v>50</v>
      </c>
      <c r="AP445" s="296" t="s">
        <v>51</v>
      </c>
      <c r="AQ445" s="234" t="s">
        <v>304</v>
      </c>
    </row>
    <row r="446" spans="1:43" ht="15.75" customHeight="1">
      <c r="A446" s="69">
        <v>43574</v>
      </c>
      <c r="B446" s="144" t="s">
        <v>166</v>
      </c>
      <c r="C446" s="21" t="s">
        <v>930</v>
      </c>
      <c r="D446" s="21" t="s">
        <v>931</v>
      </c>
      <c r="E446" s="23" t="s">
        <v>496</v>
      </c>
      <c r="F446" s="58">
        <v>1</v>
      </c>
      <c r="G446" s="47">
        <v>132</v>
      </c>
      <c r="H446" s="468">
        <f t="shared" si="40"/>
        <v>132</v>
      </c>
      <c r="I446" s="82" t="s">
        <v>104</v>
      </c>
      <c r="J446" s="58" t="s">
        <v>171</v>
      </c>
      <c r="K446" s="145">
        <v>43636</v>
      </c>
      <c r="L446" s="145"/>
      <c r="M446" s="645">
        <v>43575</v>
      </c>
      <c r="N446" s="431" t="s">
        <v>2405</v>
      </c>
      <c r="O446" s="639" t="s">
        <v>2461</v>
      </c>
      <c r="P446" s="612"/>
      <c r="Q446" s="612">
        <v>89.564999999999998</v>
      </c>
      <c r="R446" s="612"/>
      <c r="S446" s="612"/>
      <c r="T446" s="340"/>
      <c r="U446" s="340">
        <v>2764</v>
      </c>
      <c r="V446" s="641" t="s">
        <v>1954</v>
      </c>
      <c r="W446" s="449">
        <v>43590</v>
      </c>
      <c r="X446" s="449">
        <v>43578</v>
      </c>
      <c r="Y446" s="340" t="s">
        <v>932</v>
      </c>
      <c r="Z446" s="412">
        <v>2764</v>
      </c>
      <c r="AA446" s="300">
        <v>43592</v>
      </c>
      <c r="AB446" s="340" t="s">
        <v>2462</v>
      </c>
      <c r="AC446" s="340">
        <v>6783834470</v>
      </c>
      <c r="AD446" s="340"/>
      <c r="AE446" s="340"/>
      <c r="AF446" s="340"/>
      <c r="AG446" s="431" t="s">
        <v>0</v>
      </c>
      <c r="AH446" s="431">
        <v>31.324999999999999</v>
      </c>
      <c r="AI446" s="432"/>
      <c r="AJ446" s="455">
        <v>43584</v>
      </c>
      <c r="AK446" s="432">
        <f>1530.52*30.85</f>
        <v>47216.542000000001</v>
      </c>
      <c r="AL446" s="432">
        <f>(40+6.48)*30.85</f>
        <v>1433.9080000000001</v>
      </c>
      <c r="AM446" s="431" t="s">
        <v>49</v>
      </c>
      <c r="AN446" s="369" t="s">
        <v>284</v>
      </c>
      <c r="AO446" s="431" t="s">
        <v>285</v>
      </c>
      <c r="AP446" s="369" t="s">
        <v>51</v>
      </c>
      <c r="AQ446" s="372" t="s">
        <v>439</v>
      </c>
    </row>
    <row r="447" spans="1:43" ht="15.75" customHeight="1">
      <c r="A447" s="69">
        <v>43574</v>
      </c>
      <c r="B447" s="144" t="s">
        <v>166</v>
      </c>
      <c r="C447" s="21" t="s">
        <v>930</v>
      </c>
      <c r="D447" s="21" t="s">
        <v>931</v>
      </c>
      <c r="E447" s="23" t="s">
        <v>933</v>
      </c>
      <c r="F447" s="58">
        <v>1</v>
      </c>
      <c r="G447" s="47">
        <v>1445</v>
      </c>
      <c r="H447" s="473">
        <v>1445</v>
      </c>
      <c r="I447" s="82" t="s">
        <v>104</v>
      </c>
      <c r="J447" s="58" t="s">
        <v>171</v>
      </c>
      <c r="K447" s="145">
        <v>43636</v>
      </c>
      <c r="L447" s="145"/>
      <c r="M447" s="645">
        <v>43636</v>
      </c>
      <c r="N447" s="607" t="s">
        <v>2463</v>
      </c>
      <c r="O447" s="639" t="s">
        <v>2464</v>
      </c>
      <c r="P447" s="640"/>
      <c r="Q447" s="640"/>
      <c r="R447" s="640"/>
      <c r="S447" s="640"/>
      <c r="T447" s="340"/>
      <c r="U447" s="340">
        <v>35205</v>
      </c>
      <c r="V447" s="631"/>
      <c r="W447" s="340"/>
      <c r="X447" s="340"/>
      <c r="Y447" s="340"/>
      <c r="Z447" s="412"/>
      <c r="AA447" s="340"/>
      <c r="AB447" s="340" t="s">
        <v>2465</v>
      </c>
      <c r="AC447" s="340">
        <v>6783834470</v>
      </c>
      <c r="AD447" s="340"/>
      <c r="AE447" s="340"/>
      <c r="AF447" s="340"/>
      <c r="AG447" s="431" t="s">
        <v>0</v>
      </c>
      <c r="AH447" s="431">
        <v>31.324999999999999</v>
      </c>
      <c r="AI447" s="432"/>
      <c r="AJ447" s="455">
        <v>43584</v>
      </c>
      <c r="AK447" s="432" t="s">
        <v>2466</v>
      </c>
      <c r="AL447" s="432" t="s">
        <v>2466</v>
      </c>
      <c r="AM447" s="431" t="s">
        <v>49</v>
      </c>
      <c r="AN447" s="369" t="s">
        <v>284</v>
      </c>
      <c r="AO447" s="431" t="s">
        <v>285</v>
      </c>
      <c r="AP447" s="369" t="s">
        <v>51</v>
      </c>
      <c r="AQ447" s="372" t="s">
        <v>439</v>
      </c>
    </row>
    <row r="448" spans="1:43" ht="15.75" customHeight="1">
      <c r="A448" s="69">
        <v>43574</v>
      </c>
      <c r="B448" s="70" t="s">
        <v>129</v>
      </c>
      <c r="C448" s="21" t="s">
        <v>934</v>
      </c>
      <c r="D448" s="21" t="s">
        <v>935</v>
      </c>
      <c r="E448" s="23" t="s">
        <v>936</v>
      </c>
      <c r="F448" s="40">
        <v>1</v>
      </c>
      <c r="G448" s="47">
        <v>245</v>
      </c>
      <c r="H448" s="60">
        <f t="shared" ref="H448:H464" si="41">G448*F448</f>
        <v>245</v>
      </c>
      <c r="I448" s="61" t="s">
        <v>247</v>
      </c>
      <c r="J448" s="50" t="s">
        <v>133</v>
      </c>
      <c r="K448" s="29">
        <v>43580</v>
      </c>
      <c r="L448" s="29"/>
      <c r="M448" s="29">
        <v>43579</v>
      </c>
      <c r="N448" s="50" t="s">
        <v>89</v>
      </c>
      <c r="O448" s="93" t="s">
        <v>2467</v>
      </c>
      <c r="P448" s="406"/>
      <c r="Q448" s="406">
        <v>239.4</v>
      </c>
      <c r="R448" s="406"/>
      <c r="S448" s="406"/>
      <c r="T448" s="406"/>
      <c r="U448" s="406">
        <v>7376</v>
      </c>
      <c r="V448" s="35" t="s">
        <v>93</v>
      </c>
      <c r="W448" s="300">
        <v>43616</v>
      </c>
      <c r="X448" s="300">
        <v>43578</v>
      </c>
      <c r="Y448" s="294" t="s">
        <v>937</v>
      </c>
      <c r="Z448" s="294">
        <v>20640</v>
      </c>
      <c r="AA448" s="300">
        <v>43616</v>
      </c>
      <c r="AB448" s="304" t="s">
        <v>2447</v>
      </c>
      <c r="AC448" s="350">
        <v>5618128191</v>
      </c>
      <c r="AD448" s="304"/>
      <c r="AE448" s="304"/>
      <c r="AF448" s="304"/>
      <c r="AG448" s="296"/>
      <c r="AH448" s="296">
        <v>30.81</v>
      </c>
      <c r="AI448" s="297">
        <f>AH448*H448</f>
        <v>7548.45</v>
      </c>
      <c r="AJ448" s="298">
        <v>43602</v>
      </c>
      <c r="AK448" s="297" t="s">
        <v>2455</v>
      </c>
      <c r="AL448" s="297" t="s">
        <v>2456</v>
      </c>
      <c r="AM448" s="296" t="s">
        <v>49</v>
      </c>
      <c r="AN448" s="296" t="s">
        <v>284</v>
      </c>
      <c r="AO448" s="296" t="s">
        <v>50</v>
      </c>
      <c r="AP448" s="296" t="s">
        <v>51</v>
      </c>
      <c r="AQ448" s="234" t="s">
        <v>304</v>
      </c>
    </row>
    <row r="449" spans="1:43" ht="15.75" customHeight="1">
      <c r="A449" s="69">
        <v>43574</v>
      </c>
      <c r="B449" s="70" t="s">
        <v>129</v>
      </c>
      <c r="C449" s="21" t="s">
        <v>934</v>
      </c>
      <c r="D449" s="21" t="s">
        <v>935</v>
      </c>
      <c r="E449" s="23" t="s">
        <v>938</v>
      </c>
      <c r="F449" s="24">
        <v>1</v>
      </c>
      <c r="G449" s="47">
        <v>441</v>
      </c>
      <c r="H449" s="60">
        <f t="shared" si="41"/>
        <v>441</v>
      </c>
      <c r="I449" s="61" t="s">
        <v>247</v>
      </c>
      <c r="J449" s="50" t="s">
        <v>133</v>
      </c>
      <c r="K449" s="29">
        <v>43580</v>
      </c>
      <c r="L449" s="29"/>
      <c r="M449" s="29">
        <v>43579</v>
      </c>
      <c r="N449" s="50" t="s">
        <v>89</v>
      </c>
      <c r="O449" s="93" t="s">
        <v>2467</v>
      </c>
      <c r="P449" s="406"/>
      <c r="Q449" s="406">
        <v>430.5</v>
      </c>
      <c r="R449" s="406"/>
      <c r="S449" s="406"/>
      <c r="T449" s="406"/>
      <c r="U449" s="406">
        <v>13264</v>
      </c>
      <c r="V449" s="35" t="s">
        <v>93</v>
      </c>
      <c r="W449" s="300">
        <v>43616</v>
      </c>
      <c r="X449" s="300">
        <v>43578</v>
      </c>
      <c r="Y449" s="294" t="s">
        <v>937</v>
      </c>
      <c r="Z449" s="294" t="s">
        <v>2468</v>
      </c>
      <c r="AA449" s="300">
        <v>43616</v>
      </c>
      <c r="AB449" s="304" t="s">
        <v>2447</v>
      </c>
      <c r="AC449" s="350">
        <v>5618128191</v>
      </c>
      <c r="AD449" s="304"/>
      <c r="AE449" s="304"/>
      <c r="AF449" s="304"/>
      <c r="AG449" s="296"/>
      <c r="AH449" s="296">
        <v>30.81</v>
      </c>
      <c r="AI449" s="297">
        <f>AH449*H449</f>
        <v>13587.21</v>
      </c>
      <c r="AJ449" s="298">
        <v>43602</v>
      </c>
      <c r="AK449" s="297" t="s">
        <v>2455</v>
      </c>
      <c r="AL449" s="297" t="s">
        <v>2456</v>
      </c>
      <c r="AM449" s="296" t="s">
        <v>49</v>
      </c>
      <c r="AN449" s="296" t="s">
        <v>284</v>
      </c>
      <c r="AO449" s="296" t="s">
        <v>50</v>
      </c>
      <c r="AP449" s="296" t="s">
        <v>51</v>
      </c>
      <c r="AQ449" s="234" t="s">
        <v>304</v>
      </c>
    </row>
    <row r="450" spans="1:43" ht="15.75" customHeight="1">
      <c r="A450" s="69">
        <v>43577</v>
      </c>
      <c r="B450" s="70" t="s">
        <v>76</v>
      </c>
      <c r="C450" s="21">
        <v>327</v>
      </c>
      <c r="D450" s="21" t="s">
        <v>939</v>
      </c>
      <c r="E450" s="23" t="s">
        <v>314</v>
      </c>
      <c r="F450" s="24">
        <v>6</v>
      </c>
      <c r="G450" s="48">
        <v>285</v>
      </c>
      <c r="H450" s="26">
        <f t="shared" si="41"/>
        <v>1710</v>
      </c>
      <c r="I450" s="49" t="s">
        <v>42</v>
      </c>
      <c r="J450" s="431" t="s">
        <v>922</v>
      </c>
      <c r="K450" s="29">
        <v>43588</v>
      </c>
      <c r="L450" s="29"/>
      <c r="M450" s="645">
        <v>43581</v>
      </c>
      <c r="N450" s="646" t="s">
        <v>1967</v>
      </c>
      <c r="O450" s="608" t="s">
        <v>2469</v>
      </c>
      <c r="P450" s="612"/>
      <c r="Q450" s="612">
        <v>2079</v>
      </c>
      <c r="R450" s="612"/>
      <c r="S450" s="612"/>
      <c r="T450" s="612"/>
      <c r="U450" s="612">
        <v>48636</v>
      </c>
      <c r="V450" s="611" t="s">
        <v>1969</v>
      </c>
      <c r="W450" s="300">
        <v>43646</v>
      </c>
      <c r="X450" s="300">
        <v>43580</v>
      </c>
      <c r="Y450" s="294" t="s">
        <v>940</v>
      </c>
      <c r="Z450" s="294">
        <v>112835</v>
      </c>
      <c r="AA450" s="300">
        <v>43649</v>
      </c>
      <c r="AB450" s="294" t="s">
        <v>2452</v>
      </c>
      <c r="AC450" s="667" t="s">
        <v>2453</v>
      </c>
      <c r="AD450" s="294"/>
      <c r="AE450" s="294"/>
      <c r="AF450" s="294"/>
      <c r="AG450" s="369"/>
      <c r="AH450" s="369">
        <v>30.844999999999999</v>
      </c>
      <c r="AI450" s="370">
        <f>4005*30.845</f>
        <v>123534.22499999999</v>
      </c>
      <c r="AJ450" s="371">
        <v>43633</v>
      </c>
      <c r="AK450" s="370" t="s">
        <v>2428</v>
      </c>
      <c r="AL450" s="370" t="s">
        <v>2429</v>
      </c>
      <c r="AM450" s="369" t="s">
        <v>49</v>
      </c>
      <c r="AN450" s="369" t="s">
        <v>284</v>
      </c>
      <c r="AO450" s="369" t="s">
        <v>50</v>
      </c>
      <c r="AP450" s="369" t="s">
        <v>51</v>
      </c>
      <c r="AQ450" s="372" t="s">
        <v>439</v>
      </c>
    </row>
    <row r="451" spans="1:43" ht="15.75" customHeight="1">
      <c r="A451" s="69">
        <v>43577</v>
      </c>
      <c r="B451" s="70" t="s">
        <v>76</v>
      </c>
      <c r="C451" s="21">
        <v>327</v>
      </c>
      <c r="D451" s="21" t="s">
        <v>939</v>
      </c>
      <c r="E451" s="23" t="s">
        <v>317</v>
      </c>
      <c r="F451" s="433">
        <v>9</v>
      </c>
      <c r="G451" s="25">
        <v>255</v>
      </c>
      <c r="H451" s="26">
        <f t="shared" si="41"/>
        <v>2295</v>
      </c>
      <c r="I451" s="49" t="s">
        <v>42</v>
      </c>
      <c r="J451" s="431" t="s">
        <v>922</v>
      </c>
      <c r="K451" s="29">
        <v>43588</v>
      </c>
      <c r="L451" s="29"/>
      <c r="M451" s="645">
        <v>43581</v>
      </c>
      <c r="N451" s="646" t="s">
        <v>1967</v>
      </c>
      <c r="O451" s="608" t="s">
        <v>2469</v>
      </c>
      <c r="P451" s="612"/>
      <c r="Q451" s="612">
        <v>1575</v>
      </c>
      <c r="R451" s="612"/>
      <c r="S451" s="612"/>
      <c r="T451" s="612"/>
      <c r="U451" s="612">
        <v>64199</v>
      </c>
      <c r="V451" s="611" t="s">
        <v>1969</v>
      </c>
      <c r="W451" s="300">
        <v>43646</v>
      </c>
      <c r="X451" s="300">
        <v>43580</v>
      </c>
      <c r="Y451" s="294" t="s">
        <v>940</v>
      </c>
      <c r="Z451" s="294" t="s">
        <v>2470</v>
      </c>
      <c r="AA451" s="300">
        <v>43649</v>
      </c>
      <c r="AB451" s="294" t="s">
        <v>2452</v>
      </c>
      <c r="AC451" s="294" t="s">
        <v>2453</v>
      </c>
      <c r="AD451" s="294"/>
      <c r="AE451" s="294"/>
      <c r="AF451" s="294"/>
      <c r="AG451" s="369"/>
      <c r="AH451" s="369">
        <v>30.844999999999999</v>
      </c>
      <c r="AI451" s="370">
        <v>0</v>
      </c>
      <c r="AJ451" s="371">
        <v>43633</v>
      </c>
      <c r="AK451" s="370" t="s">
        <v>2428</v>
      </c>
      <c r="AL451" s="370" t="s">
        <v>2429</v>
      </c>
      <c r="AM451" s="369" t="s">
        <v>49</v>
      </c>
      <c r="AN451" s="369" t="s">
        <v>284</v>
      </c>
      <c r="AO451" s="369" t="s">
        <v>50</v>
      </c>
      <c r="AP451" s="369" t="s">
        <v>51</v>
      </c>
      <c r="AQ451" s="372" t="s">
        <v>439</v>
      </c>
    </row>
    <row r="452" spans="1:43" ht="15.75" customHeight="1">
      <c r="A452" s="69">
        <v>43577</v>
      </c>
      <c r="B452" s="23" t="s">
        <v>405</v>
      </c>
      <c r="C452" s="21">
        <v>7000146822</v>
      </c>
      <c r="D452" s="21" t="s">
        <v>941</v>
      </c>
      <c r="E452" s="23" t="s">
        <v>942</v>
      </c>
      <c r="F452" s="24">
        <v>2</v>
      </c>
      <c r="G452" s="48">
        <v>266</v>
      </c>
      <c r="H452" s="26">
        <f t="shared" si="41"/>
        <v>532</v>
      </c>
      <c r="I452" s="49" t="s">
        <v>42</v>
      </c>
      <c r="J452" s="50" t="s">
        <v>512</v>
      </c>
      <c r="K452" s="29">
        <v>43591</v>
      </c>
      <c r="L452" s="29"/>
      <c r="M452" s="30">
        <v>43580</v>
      </c>
      <c r="N452" s="58" t="s">
        <v>2043</v>
      </c>
      <c r="O452" s="21" t="s">
        <v>2471</v>
      </c>
      <c r="P452" s="406"/>
      <c r="Q452" s="406"/>
      <c r="R452" s="406"/>
      <c r="S452" s="406"/>
      <c r="T452" s="406"/>
      <c r="U452" s="406">
        <v>14711</v>
      </c>
      <c r="V452" s="20" t="s">
        <v>2045</v>
      </c>
      <c r="W452" s="460">
        <v>43646</v>
      </c>
      <c r="X452" s="460">
        <v>43578</v>
      </c>
      <c r="Y452" s="304" t="s">
        <v>943</v>
      </c>
      <c r="Z452" s="350">
        <v>63063</v>
      </c>
      <c r="AA452" s="460">
        <v>43647</v>
      </c>
      <c r="AB452" s="304" t="s">
        <v>2472</v>
      </c>
      <c r="AC452" s="304">
        <v>4979936920</v>
      </c>
      <c r="AD452" s="304"/>
      <c r="AE452" s="304"/>
      <c r="AF452" s="304"/>
      <c r="AG452" s="296"/>
      <c r="AH452" s="296">
        <v>30.844999999999999</v>
      </c>
      <c r="AI452" s="297">
        <f>2214.4*30.845</f>
        <v>68303.168000000005</v>
      </c>
      <c r="AJ452" s="298">
        <v>43650</v>
      </c>
      <c r="AK452" s="297"/>
      <c r="AL452" s="297"/>
      <c r="AM452" s="296" t="s">
        <v>49</v>
      </c>
      <c r="AN452" s="82" t="s">
        <v>284</v>
      </c>
      <c r="AO452" s="296" t="s">
        <v>50</v>
      </c>
      <c r="AP452" s="296" t="s">
        <v>51</v>
      </c>
      <c r="AQ452" s="457" t="s">
        <v>742</v>
      </c>
    </row>
    <row r="453" spans="1:43" ht="15.75" customHeight="1">
      <c r="A453" s="69">
        <v>43577</v>
      </c>
      <c r="B453" s="23" t="s">
        <v>405</v>
      </c>
      <c r="C453" s="21">
        <v>7000146822</v>
      </c>
      <c r="D453" s="21" t="s">
        <v>941</v>
      </c>
      <c r="E453" s="23" t="s">
        <v>944</v>
      </c>
      <c r="F453" s="24">
        <v>5</v>
      </c>
      <c r="G453" s="48">
        <v>74</v>
      </c>
      <c r="H453" s="26">
        <f t="shared" si="41"/>
        <v>370</v>
      </c>
      <c r="I453" s="49" t="s">
        <v>42</v>
      </c>
      <c r="J453" s="50" t="s">
        <v>512</v>
      </c>
      <c r="K453" s="29">
        <v>43591</v>
      </c>
      <c r="L453" s="29"/>
      <c r="M453" s="30">
        <v>43580</v>
      </c>
      <c r="N453" s="58" t="s">
        <v>2043</v>
      </c>
      <c r="O453" s="21" t="s">
        <v>2471</v>
      </c>
      <c r="P453" s="406"/>
      <c r="Q453" s="406"/>
      <c r="R453" s="406"/>
      <c r="S453" s="406"/>
      <c r="T453" s="648"/>
      <c r="U453" s="648">
        <v>10552.5</v>
      </c>
      <c r="V453" s="20" t="s">
        <v>2045</v>
      </c>
      <c r="W453" s="460">
        <v>43646</v>
      </c>
      <c r="X453" s="460">
        <v>43578</v>
      </c>
      <c r="Y453" s="304" t="s">
        <v>943</v>
      </c>
      <c r="Z453" s="304" t="s">
        <v>2473</v>
      </c>
      <c r="AA453" s="460">
        <v>43647</v>
      </c>
      <c r="AB453" s="304" t="s">
        <v>2472</v>
      </c>
      <c r="AC453" s="304">
        <v>4979936920</v>
      </c>
      <c r="AD453" s="304"/>
      <c r="AE453" s="304"/>
      <c r="AF453" s="304"/>
      <c r="AG453" s="296"/>
      <c r="AH453" s="296">
        <v>30.844999999999999</v>
      </c>
      <c r="AI453" s="297">
        <v>0</v>
      </c>
      <c r="AJ453" s="298">
        <v>43650</v>
      </c>
      <c r="AK453" s="297"/>
      <c r="AL453" s="297"/>
      <c r="AM453" s="296" t="s">
        <v>49</v>
      </c>
      <c r="AN453" s="82" t="s">
        <v>284</v>
      </c>
      <c r="AO453" s="296" t="s">
        <v>50</v>
      </c>
      <c r="AP453" s="296" t="s">
        <v>51</v>
      </c>
      <c r="AQ453" s="457" t="s">
        <v>742</v>
      </c>
    </row>
    <row r="454" spans="1:43" ht="15.75" customHeight="1">
      <c r="A454" s="69">
        <v>43577</v>
      </c>
      <c r="B454" s="32" t="s">
        <v>405</v>
      </c>
      <c r="C454" s="21">
        <v>7000146822</v>
      </c>
      <c r="D454" s="21" t="s">
        <v>941</v>
      </c>
      <c r="E454" s="23" t="s">
        <v>518</v>
      </c>
      <c r="F454" s="24">
        <v>8</v>
      </c>
      <c r="G454" s="48">
        <v>141.80000000000001</v>
      </c>
      <c r="H454" s="26">
        <f t="shared" si="41"/>
        <v>1134.4000000000001</v>
      </c>
      <c r="I454" s="49" t="s">
        <v>42</v>
      </c>
      <c r="J454" s="50" t="s">
        <v>512</v>
      </c>
      <c r="K454" s="29">
        <v>43591</v>
      </c>
      <c r="L454" s="29"/>
      <c r="M454" s="30">
        <v>43580</v>
      </c>
      <c r="N454" s="58" t="s">
        <v>2043</v>
      </c>
      <c r="O454" s="21" t="s">
        <v>2471</v>
      </c>
      <c r="P454" s="406"/>
      <c r="Q454" s="406"/>
      <c r="R454" s="406"/>
      <c r="S454" s="406"/>
      <c r="T454" s="406"/>
      <c r="U454" s="406">
        <v>32877</v>
      </c>
      <c r="V454" s="22" t="s">
        <v>2045</v>
      </c>
      <c r="W454" s="460">
        <v>43646</v>
      </c>
      <c r="X454" s="460">
        <v>43578</v>
      </c>
      <c r="Y454" s="304" t="s">
        <v>943</v>
      </c>
      <c r="Z454" s="304" t="s">
        <v>2473</v>
      </c>
      <c r="AA454" s="460">
        <v>43647</v>
      </c>
      <c r="AB454" s="304" t="s">
        <v>2472</v>
      </c>
      <c r="AC454" s="304">
        <v>4979936920</v>
      </c>
      <c r="AD454" s="304"/>
      <c r="AE454" s="304"/>
      <c r="AF454" s="304"/>
      <c r="AG454" s="296"/>
      <c r="AH454" s="296">
        <v>30.844999999999999</v>
      </c>
      <c r="AI454" s="297">
        <v>0</v>
      </c>
      <c r="AJ454" s="298">
        <v>43650</v>
      </c>
      <c r="AK454" s="297"/>
      <c r="AL454" s="297"/>
      <c r="AM454" s="296" t="s">
        <v>49</v>
      </c>
      <c r="AN454" s="82" t="s">
        <v>284</v>
      </c>
      <c r="AO454" s="296" t="s">
        <v>50</v>
      </c>
      <c r="AP454" s="296" t="s">
        <v>51</v>
      </c>
      <c r="AQ454" s="457" t="s">
        <v>742</v>
      </c>
    </row>
    <row r="455" spans="1:43" ht="15.75" customHeight="1">
      <c r="A455" s="69">
        <v>43577</v>
      </c>
      <c r="B455" s="32" t="s">
        <v>405</v>
      </c>
      <c r="C455" s="21">
        <v>7000146822</v>
      </c>
      <c r="D455" s="21" t="s">
        <v>941</v>
      </c>
      <c r="E455" s="23" t="s">
        <v>484</v>
      </c>
      <c r="F455" s="24">
        <v>1</v>
      </c>
      <c r="G455" s="48">
        <v>178</v>
      </c>
      <c r="H455" s="26">
        <f t="shared" si="41"/>
        <v>178</v>
      </c>
      <c r="I455" s="49" t="s">
        <v>42</v>
      </c>
      <c r="J455" s="50" t="s">
        <v>512</v>
      </c>
      <c r="K455" s="29">
        <v>43591</v>
      </c>
      <c r="L455" s="29"/>
      <c r="M455" s="30">
        <v>43580</v>
      </c>
      <c r="N455" s="58" t="s">
        <v>2043</v>
      </c>
      <c r="O455" s="21" t="s">
        <v>2471</v>
      </c>
      <c r="P455" s="406"/>
      <c r="Q455" s="406"/>
      <c r="R455" s="406"/>
      <c r="S455" s="406"/>
      <c r="T455" s="406"/>
      <c r="U455" s="406">
        <v>4922</v>
      </c>
      <c r="V455" s="22" t="s">
        <v>2045</v>
      </c>
      <c r="W455" s="460">
        <v>43646</v>
      </c>
      <c r="X455" s="460">
        <v>43578</v>
      </c>
      <c r="Y455" s="304" t="s">
        <v>943</v>
      </c>
      <c r="Z455" s="304" t="s">
        <v>2473</v>
      </c>
      <c r="AA455" s="460">
        <v>43647</v>
      </c>
      <c r="AB455" s="304" t="s">
        <v>2472</v>
      </c>
      <c r="AC455" s="304">
        <v>4979936920</v>
      </c>
      <c r="AD455" s="304"/>
      <c r="AE455" s="304"/>
      <c r="AF455" s="304"/>
      <c r="AG455" s="296"/>
      <c r="AH455" s="296">
        <v>30.844999999999999</v>
      </c>
      <c r="AI455" s="297">
        <v>0</v>
      </c>
      <c r="AJ455" s="298">
        <v>43650</v>
      </c>
      <c r="AK455" s="297"/>
      <c r="AL455" s="297"/>
      <c r="AM455" s="296" t="s">
        <v>49</v>
      </c>
      <c r="AN455" s="82" t="s">
        <v>284</v>
      </c>
      <c r="AO455" s="296" t="s">
        <v>50</v>
      </c>
      <c r="AP455" s="296" t="s">
        <v>51</v>
      </c>
      <c r="AQ455" s="457" t="s">
        <v>742</v>
      </c>
    </row>
    <row r="456" spans="1:43" ht="15.75" customHeight="1">
      <c r="A456" s="463">
        <v>43577</v>
      </c>
      <c r="B456" s="70" t="s">
        <v>892</v>
      </c>
      <c r="C456" s="21" t="s">
        <v>945</v>
      </c>
      <c r="D456" s="32" t="s">
        <v>946</v>
      </c>
      <c r="E456" s="23" t="s">
        <v>947</v>
      </c>
      <c r="F456" s="24">
        <v>16</v>
      </c>
      <c r="G456" s="48">
        <v>340</v>
      </c>
      <c r="H456" s="26">
        <f t="shared" si="41"/>
        <v>5440</v>
      </c>
      <c r="I456" s="49" t="s">
        <v>104</v>
      </c>
      <c r="J456" s="50">
        <v>102299130</v>
      </c>
      <c r="K456" s="30">
        <v>43598</v>
      </c>
      <c r="L456" s="30"/>
      <c r="M456" s="29">
        <v>43595</v>
      </c>
      <c r="N456" s="50" t="s">
        <v>89</v>
      </c>
      <c r="O456" s="32" t="s">
        <v>2474</v>
      </c>
      <c r="P456" s="22"/>
      <c r="Q456" s="22">
        <v>4876.7</v>
      </c>
      <c r="R456" s="22"/>
      <c r="S456" s="22"/>
      <c r="T456" s="22"/>
      <c r="U456" s="22">
        <v>150422</v>
      </c>
      <c r="V456" s="51" t="s">
        <v>93</v>
      </c>
      <c r="W456" s="459">
        <v>43646</v>
      </c>
      <c r="X456" s="459">
        <v>43595</v>
      </c>
      <c r="Y456" s="350" t="s">
        <v>948</v>
      </c>
      <c r="Z456" s="471">
        <v>162729</v>
      </c>
      <c r="AA456" s="470">
        <v>43647</v>
      </c>
      <c r="AB456" s="304" t="s">
        <v>2475</v>
      </c>
      <c r="AC456" s="304">
        <v>102299130</v>
      </c>
      <c r="AD456" s="350"/>
      <c r="AE456" s="350"/>
      <c r="AF456" s="350"/>
      <c r="AG456" s="82"/>
      <c r="AH456" s="82">
        <v>30.844999999999999</v>
      </c>
      <c r="AI456" s="430">
        <f>5880.8*30.845</f>
        <v>181393.27600000001</v>
      </c>
      <c r="AJ456" s="145">
        <v>43592</v>
      </c>
      <c r="AK456" s="430">
        <f>12495.8*30.86</f>
        <v>385620.38799999998</v>
      </c>
      <c r="AL456" s="430">
        <v>7</v>
      </c>
      <c r="AM456" s="82" t="s">
        <v>49</v>
      </c>
      <c r="AN456" s="296" t="s">
        <v>284</v>
      </c>
      <c r="AO456" s="82" t="s">
        <v>50</v>
      </c>
      <c r="AP456" s="82" t="s">
        <v>51</v>
      </c>
      <c r="AQ456" s="234" t="s">
        <v>304</v>
      </c>
    </row>
    <row r="457" spans="1:43" ht="15.75" customHeight="1">
      <c r="A457" s="463">
        <v>43577</v>
      </c>
      <c r="B457" s="70" t="s">
        <v>892</v>
      </c>
      <c r="C457" s="21" t="s">
        <v>945</v>
      </c>
      <c r="D457" s="32" t="s">
        <v>946</v>
      </c>
      <c r="E457" s="23" t="s">
        <v>949</v>
      </c>
      <c r="F457" s="24">
        <v>76</v>
      </c>
      <c r="G457" s="48">
        <v>5.8</v>
      </c>
      <c r="H457" s="26">
        <f t="shared" si="41"/>
        <v>440.8</v>
      </c>
      <c r="I457" s="49" t="s">
        <v>104</v>
      </c>
      <c r="J457" s="50">
        <v>102299130</v>
      </c>
      <c r="K457" s="30">
        <v>43598</v>
      </c>
      <c r="L457" s="30"/>
      <c r="M457" s="29">
        <v>43595</v>
      </c>
      <c r="N457" s="50" t="s">
        <v>89</v>
      </c>
      <c r="O457" s="32" t="s">
        <v>2474</v>
      </c>
      <c r="P457" s="22"/>
      <c r="Q457" s="22">
        <v>399</v>
      </c>
      <c r="R457" s="22"/>
      <c r="S457" s="22"/>
      <c r="T457" s="22"/>
      <c r="U457" s="22">
        <v>12307</v>
      </c>
      <c r="V457" s="51" t="s">
        <v>93</v>
      </c>
      <c r="W457" s="459">
        <v>43646</v>
      </c>
      <c r="X457" s="459">
        <v>43595</v>
      </c>
      <c r="Y457" s="350" t="s">
        <v>948</v>
      </c>
      <c r="Z457" s="471" t="s">
        <v>2476</v>
      </c>
      <c r="AA457" s="470">
        <v>43647</v>
      </c>
      <c r="AB457" s="304" t="s">
        <v>2475</v>
      </c>
      <c r="AC457" s="304">
        <v>102299130</v>
      </c>
      <c r="AD457" s="350"/>
      <c r="AE457" s="350"/>
      <c r="AF457" s="350"/>
      <c r="AG457" s="82"/>
      <c r="AH457" s="82">
        <v>30.844999999999999</v>
      </c>
      <c r="AI457" s="430">
        <v>0</v>
      </c>
      <c r="AJ457" s="145">
        <v>43592</v>
      </c>
      <c r="AK457" s="430" t="s">
        <v>2477</v>
      </c>
      <c r="AL457" s="430" t="s">
        <v>2478</v>
      </c>
      <c r="AM457" s="82" t="s">
        <v>49</v>
      </c>
      <c r="AN457" s="296" t="s">
        <v>284</v>
      </c>
      <c r="AO457" s="82" t="s">
        <v>50</v>
      </c>
      <c r="AP457" s="82" t="s">
        <v>51</v>
      </c>
      <c r="AQ457" s="234" t="s">
        <v>304</v>
      </c>
    </row>
    <row r="458" spans="1:43" ht="15.75" customHeight="1">
      <c r="A458" s="69">
        <v>43578</v>
      </c>
      <c r="B458" s="70" t="s">
        <v>228</v>
      </c>
      <c r="C458" s="21" t="s">
        <v>950</v>
      </c>
      <c r="D458" s="21" t="s">
        <v>951</v>
      </c>
      <c r="E458" s="23" t="s">
        <v>231</v>
      </c>
      <c r="F458" s="24">
        <v>15</v>
      </c>
      <c r="G458" s="48">
        <v>407.4</v>
      </c>
      <c r="H458" s="26">
        <f t="shared" si="41"/>
        <v>6111</v>
      </c>
      <c r="I458" s="61" t="s">
        <v>170</v>
      </c>
      <c r="J458" s="63" t="s">
        <v>89</v>
      </c>
      <c r="K458" s="29">
        <v>43592</v>
      </c>
      <c r="L458" s="29"/>
      <c r="M458" s="645">
        <v>43591</v>
      </c>
      <c r="N458" s="607" t="s">
        <v>89</v>
      </c>
      <c r="O458" s="608" t="s">
        <v>2479</v>
      </c>
      <c r="P458" s="612"/>
      <c r="Q458" s="612">
        <v>5591.25</v>
      </c>
      <c r="R458" s="612"/>
      <c r="S458" s="612"/>
      <c r="T458" s="612"/>
      <c r="U458" s="612">
        <v>172462</v>
      </c>
      <c r="V458" s="610" t="s">
        <v>93</v>
      </c>
      <c r="W458" s="300">
        <v>43646</v>
      </c>
      <c r="X458" s="300">
        <v>43588</v>
      </c>
      <c r="Y458" s="294" t="s">
        <v>952</v>
      </c>
      <c r="Z458" s="294">
        <v>172462</v>
      </c>
      <c r="AA458" s="300">
        <v>43647</v>
      </c>
      <c r="AB458" s="294" t="s">
        <v>2480</v>
      </c>
      <c r="AC458" s="294" t="s">
        <v>2481</v>
      </c>
      <c r="AD458" s="294">
        <v>30.89</v>
      </c>
      <c r="AE458" s="294">
        <v>188769</v>
      </c>
      <c r="AF458" s="300">
        <v>43592</v>
      </c>
      <c r="AG458" s="369"/>
      <c r="AH458" s="369"/>
      <c r="AI458" s="370"/>
      <c r="AJ458" s="371">
        <v>43635</v>
      </c>
      <c r="AK458" s="370">
        <v>188769</v>
      </c>
      <c r="AL458" s="370">
        <v>0</v>
      </c>
      <c r="AM458" s="369" t="s">
        <v>49</v>
      </c>
      <c r="AN458" s="369" t="s">
        <v>284</v>
      </c>
      <c r="AO458" s="369" t="s">
        <v>50</v>
      </c>
      <c r="AP458" s="369" t="s">
        <v>376</v>
      </c>
      <c r="AQ458" s="372" t="s">
        <v>439</v>
      </c>
    </row>
    <row r="459" spans="1:43" ht="15.75" customHeight="1">
      <c r="A459" s="69">
        <v>43579</v>
      </c>
      <c r="B459" s="70" t="s">
        <v>892</v>
      </c>
      <c r="C459" s="21" t="s">
        <v>945</v>
      </c>
      <c r="D459" s="21" t="s">
        <v>953</v>
      </c>
      <c r="E459" s="23" t="s">
        <v>954</v>
      </c>
      <c r="F459" s="24">
        <v>13</v>
      </c>
      <c r="G459" s="48">
        <v>305</v>
      </c>
      <c r="H459" s="26">
        <f t="shared" si="41"/>
        <v>3965</v>
      </c>
      <c r="I459" s="27" t="s">
        <v>302</v>
      </c>
      <c r="J459" s="50">
        <v>102299130</v>
      </c>
      <c r="K459" s="30">
        <v>43598</v>
      </c>
      <c r="L459" s="30"/>
      <c r="M459" s="29">
        <v>43585</v>
      </c>
      <c r="N459" s="82" t="s">
        <v>2001</v>
      </c>
      <c r="O459" s="93" t="s">
        <v>2482</v>
      </c>
      <c r="P459" s="406"/>
      <c r="Q459" s="406">
        <v>3685.5</v>
      </c>
      <c r="R459" s="406"/>
      <c r="S459" s="406"/>
      <c r="T459" s="406"/>
      <c r="U459" s="406">
        <v>113550</v>
      </c>
      <c r="V459" s="501" t="s">
        <v>2003</v>
      </c>
      <c r="W459" s="460">
        <v>43646</v>
      </c>
      <c r="X459" s="460">
        <v>43584</v>
      </c>
      <c r="Y459" s="304" t="s">
        <v>955</v>
      </c>
      <c r="Z459" s="304">
        <v>191191</v>
      </c>
      <c r="AA459" s="460">
        <v>43647</v>
      </c>
      <c r="AB459" s="304" t="s">
        <v>2475</v>
      </c>
      <c r="AC459" s="304">
        <v>102299130</v>
      </c>
      <c r="AD459" s="304"/>
      <c r="AE459" s="304"/>
      <c r="AF459" s="304"/>
      <c r="AG459" s="296"/>
      <c r="AH459" s="82">
        <v>30.844999999999999</v>
      </c>
      <c r="AI459" s="297">
        <f>6615*30.845</f>
        <v>204039.67499999999</v>
      </c>
      <c r="AJ459" s="145">
        <v>43592</v>
      </c>
      <c r="AK459" s="430" t="s">
        <v>2477</v>
      </c>
      <c r="AL459" s="430" t="s">
        <v>2478</v>
      </c>
      <c r="AM459" s="296" t="s">
        <v>49</v>
      </c>
      <c r="AN459" s="296" t="s">
        <v>284</v>
      </c>
      <c r="AO459" s="296" t="s">
        <v>50</v>
      </c>
      <c r="AP459" s="296" t="s">
        <v>51</v>
      </c>
      <c r="AQ459" s="234" t="s">
        <v>304</v>
      </c>
    </row>
    <row r="460" spans="1:43" ht="15.75" customHeight="1">
      <c r="A460" s="69">
        <v>43579</v>
      </c>
      <c r="B460" s="70" t="s">
        <v>892</v>
      </c>
      <c r="C460" s="21" t="s">
        <v>945</v>
      </c>
      <c r="D460" s="21" t="s">
        <v>953</v>
      </c>
      <c r="E460" s="23" t="s">
        <v>956</v>
      </c>
      <c r="F460" s="24">
        <v>25</v>
      </c>
      <c r="G460" s="48">
        <v>106</v>
      </c>
      <c r="H460" s="26">
        <f t="shared" si="41"/>
        <v>2650</v>
      </c>
      <c r="I460" s="27" t="s">
        <v>302</v>
      </c>
      <c r="J460" s="50">
        <v>102299130</v>
      </c>
      <c r="K460" s="30">
        <v>43598</v>
      </c>
      <c r="L460" s="30"/>
      <c r="M460" s="29">
        <v>43585</v>
      </c>
      <c r="N460" s="82" t="s">
        <v>2001</v>
      </c>
      <c r="O460" s="93" t="s">
        <v>2483</v>
      </c>
      <c r="P460" s="406"/>
      <c r="Q460" s="406">
        <v>2520</v>
      </c>
      <c r="R460" s="406"/>
      <c r="S460" s="406"/>
      <c r="T460" s="406"/>
      <c r="U460" s="406">
        <v>77641</v>
      </c>
      <c r="V460" s="406" t="s">
        <v>2003</v>
      </c>
      <c r="W460" s="460">
        <v>43646</v>
      </c>
      <c r="X460" s="460">
        <v>43584</v>
      </c>
      <c r="Y460" s="304" t="s">
        <v>955</v>
      </c>
      <c r="Z460" s="304" t="s">
        <v>2484</v>
      </c>
      <c r="AA460" s="460">
        <v>43647</v>
      </c>
      <c r="AB460" s="304" t="s">
        <v>2475</v>
      </c>
      <c r="AC460" s="304">
        <v>102299130</v>
      </c>
      <c r="AD460" s="304"/>
      <c r="AE460" s="304"/>
      <c r="AF460" s="304"/>
      <c r="AG460" s="296"/>
      <c r="AH460" s="82">
        <v>30.844999999999999</v>
      </c>
      <c r="AI460" s="297">
        <v>0</v>
      </c>
      <c r="AJ460" s="145">
        <v>43592</v>
      </c>
      <c r="AK460" s="430" t="s">
        <v>2477</v>
      </c>
      <c r="AL460" s="430" t="s">
        <v>2478</v>
      </c>
      <c r="AM460" s="296" t="s">
        <v>49</v>
      </c>
      <c r="AN460" s="296" t="s">
        <v>284</v>
      </c>
      <c r="AO460" s="296" t="s">
        <v>50</v>
      </c>
      <c r="AP460" s="296" t="s">
        <v>51</v>
      </c>
      <c r="AQ460" s="234" t="s">
        <v>304</v>
      </c>
    </row>
    <row r="461" spans="1:43" ht="15.75" customHeight="1">
      <c r="A461" s="463">
        <v>43580</v>
      </c>
      <c r="B461" s="70" t="s">
        <v>100</v>
      </c>
      <c r="C461" s="21" t="s">
        <v>0</v>
      </c>
      <c r="D461" s="32" t="s">
        <v>957</v>
      </c>
      <c r="E461" s="23" t="s">
        <v>346</v>
      </c>
      <c r="F461" s="24">
        <v>1</v>
      </c>
      <c r="G461" s="48">
        <v>57</v>
      </c>
      <c r="H461" s="26">
        <f t="shared" si="41"/>
        <v>57</v>
      </c>
      <c r="I461" s="61" t="s">
        <v>695</v>
      </c>
      <c r="J461" s="50" t="s">
        <v>262</v>
      </c>
      <c r="K461" s="29">
        <v>43580</v>
      </c>
      <c r="L461" s="29"/>
      <c r="M461" s="30"/>
      <c r="N461" s="58" t="s">
        <v>1999</v>
      </c>
      <c r="O461" s="21" t="s">
        <v>2385</v>
      </c>
      <c r="P461" s="22"/>
      <c r="Q461" s="22"/>
      <c r="R461" s="22"/>
      <c r="S461" s="22"/>
      <c r="T461" s="581"/>
      <c r="U461" s="581">
        <v>1581</v>
      </c>
      <c r="V461" s="22" t="s">
        <v>2000</v>
      </c>
      <c r="W461" s="459">
        <v>43616</v>
      </c>
      <c r="X461" s="459">
        <v>43585</v>
      </c>
      <c r="Y461" s="350" t="s">
        <v>958</v>
      </c>
      <c r="Z461" s="471">
        <v>1581</v>
      </c>
      <c r="AA461" s="46">
        <v>43616</v>
      </c>
      <c r="AB461" s="304" t="s">
        <v>2386</v>
      </c>
      <c r="AC461" s="350">
        <v>4328912582</v>
      </c>
      <c r="AD461" s="350"/>
      <c r="AE461" s="350"/>
      <c r="AF461" s="350"/>
      <c r="AG461" s="82"/>
      <c r="AH461" s="296">
        <v>30.81</v>
      </c>
      <c r="AI461" s="297">
        <f>AH461*H461</f>
        <v>1756.1699999999998</v>
      </c>
      <c r="AJ461" s="145">
        <v>43602</v>
      </c>
      <c r="AK461" s="297" t="s">
        <v>1963</v>
      </c>
      <c r="AL461" s="297" t="s">
        <v>1964</v>
      </c>
      <c r="AM461" s="296" t="s">
        <v>49</v>
      </c>
      <c r="AN461" s="296" t="s">
        <v>284</v>
      </c>
      <c r="AO461" s="82" t="s">
        <v>50</v>
      </c>
      <c r="AP461" s="82" t="s">
        <v>51</v>
      </c>
      <c r="AQ461" s="234" t="s">
        <v>304</v>
      </c>
    </row>
    <row r="462" spans="1:43" ht="15.75" customHeight="1">
      <c r="A462" s="69">
        <v>43581</v>
      </c>
      <c r="B462" s="70" t="s">
        <v>629</v>
      </c>
      <c r="C462" s="21" t="s">
        <v>959</v>
      </c>
      <c r="D462" s="21" t="s">
        <v>960</v>
      </c>
      <c r="E462" s="23" t="s">
        <v>961</v>
      </c>
      <c r="F462" s="24">
        <v>1</v>
      </c>
      <c r="G462" s="47">
        <v>87</v>
      </c>
      <c r="H462" s="60">
        <f t="shared" si="41"/>
        <v>87</v>
      </c>
      <c r="I462" s="346" t="s">
        <v>247</v>
      </c>
      <c r="J462" s="63" t="s">
        <v>962</v>
      </c>
      <c r="K462" s="474">
        <v>43594</v>
      </c>
      <c r="L462" s="474"/>
      <c r="M462" s="645">
        <v>43593</v>
      </c>
      <c r="N462" s="607" t="s">
        <v>89</v>
      </c>
      <c r="O462" s="608" t="s">
        <v>2485</v>
      </c>
      <c r="P462" s="612"/>
      <c r="Q462" s="612">
        <v>80.174999999999997</v>
      </c>
      <c r="R462" s="612"/>
      <c r="S462" s="612"/>
      <c r="T462" s="612"/>
      <c r="U462" s="612">
        <v>2473</v>
      </c>
      <c r="V462" s="641" t="s">
        <v>93</v>
      </c>
      <c r="W462" s="300">
        <v>43646</v>
      </c>
      <c r="X462" s="300">
        <v>43592</v>
      </c>
      <c r="Y462" s="294" t="s">
        <v>963</v>
      </c>
      <c r="Z462" s="294">
        <v>2473</v>
      </c>
      <c r="AA462" s="300">
        <v>43647</v>
      </c>
      <c r="AB462" s="294" t="s">
        <v>2486</v>
      </c>
      <c r="AC462" s="294"/>
      <c r="AD462" s="294">
        <v>30.92</v>
      </c>
      <c r="AE462" s="294">
        <v>3571</v>
      </c>
      <c r="AF462" s="300">
        <v>43594</v>
      </c>
      <c r="AG462" s="369"/>
      <c r="AH462" s="369"/>
      <c r="AI462" s="370"/>
      <c r="AJ462" s="371">
        <v>43613</v>
      </c>
      <c r="AK462" s="370">
        <v>3541</v>
      </c>
      <c r="AL462" s="370">
        <v>30</v>
      </c>
      <c r="AM462" s="369" t="s">
        <v>49</v>
      </c>
      <c r="AN462" s="369" t="s">
        <v>284</v>
      </c>
      <c r="AO462" s="369" t="s">
        <v>50</v>
      </c>
      <c r="AP462" s="369" t="s">
        <v>376</v>
      </c>
      <c r="AQ462" s="372" t="s">
        <v>439</v>
      </c>
    </row>
    <row r="463" spans="1:43" ht="15.75" customHeight="1">
      <c r="A463" s="69">
        <v>43581</v>
      </c>
      <c r="B463" s="70" t="s">
        <v>629</v>
      </c>
      <c r="C463" s="21" t="s">
        <v>959</v>
      </c>
      <c r="D463" s="21" t="s">
        <v>960</v>
      </c>
      <c r="E463" s="23" t="s">
        <v>964</v>
      </c>
      <c r="F463" s="24">
        <v>1</v>
      </c>
      <c r="G463" s="47">
        <v>23</v>
      </c>
      <c r="H463" s="60">
        <f t="shared" si="41"/>
        <v>23</v>
      </c>
      <c r="I463" s="346" t="s">
        <v>247</v>
      </c>
      <c r="J463" s="63" t="s">
        <v>965</v>
      </c>
      <c r="K463" s="474">
        <v>43594</v>
      </c>
      <c r="L463" s="474"/>
      <c r="M463" s="645">
        <v>43581</v>
      </c>
      <c r="N463" s="637" t="s">
        <v>965</v>
      </c>
      <c r="O463" s="608"/>
      <c r="P463" s="612"/>
      <c r="Q463" s="612"/>
      <c r="R463" s="612"/>
      <c r="S463" s="612"/>
      <c r="T463" s="612"/>
      <c r="U463" s="612">
        <v>236.25</v>
      </c>
      <c r="V463" s="612"/>
      <c r="W463" s="294"/>
      <c r="X463" s="294"/>
      <c r="Y463" s="294"/>
      <c r="Z463" s="294"/>
      <c r="AA463" s="294"/>
      <c r="AB463" s="294" t="s">
        <v>2486</v>
      </c>
      <c r="AC463" s="294"/>
      <c r="AD463" s="294">
        <v>30.92</v>
      </c>
      <c r="AE463" s="294" t="s">
        <v>2487</v>
      </c>
      <c r="AF463" s="300">
        <v>43594</v>
      </c>
      <c r="AG463" s="369"/>
      <c r="AH463" s="369"/>
      <c r="AI463" s="370"/>
      <c r="AJ463" s="371">
        <v>43613</v>
      </c>
      <c r="AK463" s="370" t="s">
        <v>2488</v>
      </c>
      <c r="AL463" s="370" t="s">
        <v>2489</v>
      </c>
      <c r="AM463" s="369" t="s">
        <v>49</v>
      </c>
      <c r="AN463" s="369" t="s">
        <v>284</v>
      </c>
      <c r="AO463" s="369" t="s">
        <v>50</v>
      </c>
      <c r="AP463" s="369" t="s">
        <v>376</v>
      </c>
      <c r="AQ463" s="372" t="s">
        <v>439</v>
      </c>
    </row>
    <row r="464" spans="1:43" ht="15.75" customHeight="1">
      <c r="A464" s="69">
        <v>43581</v>
      </c>
      <c r="B464" s="70" t="s">
        <v>76</v>
      </c>
      <c r="C464" s="21"/>
      <c r="D464" s="32" t="s">
        <v>966</v>
      </c>
      <c r="E464" s="23" t="s">
        <v>967</v>
      </c>
      <c r="F464" s="24">
        <v>1</v>
      </c>
      <c r="G464" s="48">
        <v>40</v>
      </c>
      <c r="H464" s="26">
        <f t="shared" si="41"/>
        <v>40</v>
      </c>
      <c r="I464" s="27" t="s">
        <v>42</v>
      </c>
      <c r="J464" s="431" t="s">
        <v>922</v>
      </c>
      <c r="K464" s="29">
        <v>43585</v>
      </c>
      <c r="L464" s="29"/>
      <c r="M464" s="292"/>
      <c r="N464" s="646" t="s">
        <v>1967</v>
      </c>
      <c r="O464" s="608"/>
      <c r="P464" s="612"/>
      <c r="Q464" s="612"/>
      <c r="R464" s="612"/>
      <c r="S464" s="612"/>
      <c r="T464" s="612"/>
      <c r="U464" s="612">
        <v>1298</v>
      </c>
      <c r="V464" s="612"/>
      <c r="W464" s="300">
        <v>43646</v>
      </c>
      <c r="X464" s="300">
        <v>43581</v>
      </c>
      <c r="Y464" s="294" t="s">
        <v>968</v>
      </c>
      <c r="Z464" s="294">
        <v>1298</v>
      </c>
      <c r="AA464" s="300">
        <v>43649</v>
      </c>
      <c r="AB464" s="294"/>
      <c r="AC464" s="294"/>
      <c r="AD464" s="294"/>
      <c r="AE464" s="294"/>
      <c r="AF464" s="294"/>
      <c r="AG464" s="369"/>
      <c r="AH464" s="369">
        <v>30.844999999999999</v>
      </c>
      <c r="AI464" s="370">
        <f>40*30.845</f>
        <v>1233.8</v>
      </c>
      <c r="AJ464" s="371">
        <v>43633</v>
      </c>
      <c r="AK464" s="370" t="s">
        <v>2428</v>
      </c>
      <c r="AL464" s="370" t="s">
        <v>2429</v>
      </c>
      <c r="AM464" s="369" t="s">
        <v>49</v>
      </c>
      <c r="AN464" s="369" t="s">
        <v>284</v>
      </c>
      <c r="AO464" s="369" t="s">
        <v>969</v>
      </c>
      <c r="AP464" s="369" t="s">
        <v>51</v>
      </c>
      <c r="AQ464" s="372" t="s">
        <v>439</v>
      </c>
    </row>
    <row r="465" spans="1:43" ht="15.75" customHeight="1">
      <c r="A465" s="69">
        <v>43587</v>
      </c>
      <c r="B465" s="70" t="s">
        <v>463</v>
      </c>
      <c r="C465" s="21">
        <v>504264</v>
      </c>
      <c r="D465" s="475" t="s">
        <v>970</v>
      </c>
      <c r="E465" s="23" t="s">
        <v>636</v>
      </c>
      <c r="F465" s="24">
        <v>1</v>
      </c>
      <c r="G465" s="47">
        <v>80</v>
      </c>
      <c r="H465" s="26">
        <f t="shared" ref="H465:H469" si="42">F465*G465</f>
        <v>80</v>
      </c>
      <c r="I465" s="27" t="s">
        <v>302</v>
      </c>
      <c r="J465" s="24" t="s">
        <v>466</v>
      </c>
      <c r="K465" s="298">
        <v>43614</v>
      </c>
      <c r="L465" s="298"/>
      <c r="M465" s="606">
        <v>43613</v>
      </c>
      <c r="N465" s="646" t="s">
        <v>2087</v>
      </c>
      <c r="O465" s="608" t="s">
        <v>2490</v>
      </c>
      <c r="P465" s="612"/>
      <c r="Q465" s="612"/>
      <c r="R465" s="612"/>
      <c r="S465" s="612"/>
      <c r="T465" s="612"/>
      <c r="U465" s="612">
        <v>1632</v>
      </c>
      <c r="V465" s="640" t="s">
        <v>2089</v>
      </c>
      <c r="W465" s="300">
        <v>43608</v>
      </c>
      <c r="X465" s="300">
        <v>43612</v>
      </c>
      <c r="Y465" s="294" t="s">
        <v>971</v>
      </c>
      <c r="Z465" s="294">
        <v>7564</v>
      </c>
      <c r="AA465" s="258">
        <v>43608</v>
      </c>
      <c r="AB465" s="294" t="s">
        <v>2491</v>
      </c>
      <c r="AC465" s="294">
        <v>106359576</v>
      </c>
      <c r="AD465" s="294"/>
      <c r="AE465" s="294"/>
      <c r="AF465" s="294"/>
      <c r="AG465" s="369"/>
      <c r="AH465" s="369">
        <v>31.05</v>
      </c>
      <c r="AI465" s="370">
        <f>4578*31.05</f>
        <v>142146.9</v>
      </c>
      <c r="AJ465" s="371">
        <v>43612</v>
      </c>
      <c r="AK465" s="370">
        <f>4571.64*31.43</f>
        <v>143686.6452</v>
      </c>
      <c r="AL465" s="370">
        <f>(4578-4571.64)*31.43</f>
        <v>199.89479999998971</v>
      </c>
      <c r="AM465" s="369" t="s">
        <v>49</v>
      </c>
      <c r="AN465" s="369" t="s">
        <v>284</v>
      </c>
      <c r="AO465" s="369" t="s">
        <v>50</v>
      </c>
      <c r="AP465" s="369" t="s">
        <v>51</v>
      </c>
      <c r="AQ465" s="372" t="s">
        <v>439</v>
      </c>
    </row>
    <row r="466" spans="1:43" ht="15.75" customHeight="1">
      <c r="A466" s="69">
        <v>43587</v>
      </c>
      <c r="B466" s="70" t="s">
        <v>463</v>
      </c>
      <c r="C466" s="21">
        <v>504264</v>
      </c>
      <c r="D466" s="475" t="s">
        <v>970</v>
      </c>
      <c r="E466" s="23" t="s">
        <v>471</v>
      </c>
      <c r="F466" s="24">
        <v>1</v>
      </c>
      <c r="G466" s="47">
        <v>118</v>
      </c>
      <c r="H466" s="26">
        <f t="shared" si="42"/>
        <v>118</v>
      </c>
      <c r="I466" s="27" t="s">
        <v>302</v>
      </c>
      <c r="J466" s="24" t="s">
        <v>466</v>
      </c>
      <c r="K466" s="298">
        <v>43614</v>
      </c>
      <c r="L466" s="298"/>
      <c r="M466" s="606">
        <v>43613</v>
      </c>
      <c r="N466" s="646" t="s">
        <v>2087</v>
      </c>
      <c r="O466" s="608" t="s">
        <v>2490</v>
      </c>
      <c r="P466" s="612"/>
      <c r="Q466" s="612"/>
      <c r="R466" s="612"/>
      <c r="S466" s="612"/>
      <c r="T466" s="612"/>
      <c r="U466" s="612">
        <v>2144</v>
      </c>
      <c r="V466" s="640" t="s">
        <v>2089</v>
      </c>
      <c r="W466" s="300">
        <v>43608</v>
      </c>
      <c r="X466" s="300">
        <v>43612</v>
      </c>
      <c r="Y466" s="294" t="s">
        <v>971</v>
      </c>
      <c r="Z466" s="294" t="s">
        <v>2492</v>
      </c>
      <c r="AA466" s="258">
        <v>43608</v>
      </c>
      <c r="AB466" s="294" t="s">
        <v>2491</v>
      </c>
      <c r="AC466" s="294">
        <v>106359576</v>
      </c>
      <c r="AD466" s="294"/>
      <c r="AE466" s="294"/>
      <c r="AF466" s="294"/>
      <c r="AG466" s="369"/>
      <c r="AH466" s="369">
        <v>31.05</v>
      </c>
      <c r="AI466" s="370">
        <v>0</v>
      </c>
      <c r="AJ466" s="371">
        <v>43612</v>
      </c>
      <c r="AK466" s="370" t="s">
        <v>2493</v>
      </c>
      <c r="AL466" s="370" t="s">
        <v>2494</v>
      </c>
      <c r="AM466" s="369" t="s">
        <v>49</v>
      </c>
      <c r="AN466" s="369" t="s">
        <v>284</v>
      </c>
      <c r="AO466" s="369" t="s">
        <v>50</v>
      </c>
      <c r="AP466" s="369" t="s">
        <v>51</v>
      </c>
      <c r="AQ466" s="372" t="s">
        <v>439</v>
      </c>
    </row>
    <row r="467" spans="1:43" ht="15.75" customHeight="1">
      <c r="A467" s="69">
        <v>43587</v>
      </c>
      <c r="B467" s="70" t="s">
        <v>463</v>
      </c>
      <c r="C467" s="21">
        <v>504264</v>
      </c>
      <c r="D467" s="475" t="s">
        <v>970</v>
      </c>
      <c r="E467" s="23" t="s">
        <v>472</v>
      </c>
      <c r="F467" s="24">
        <v>1</v>
      </c>
      <c r="G467" s="143">
        <v>160</v>
      </c>
      <c r="H467" s="26">
        <f t="shared" si="42"/>
        <v>160</v>
      </c>
      <c r="I467" s="27" t="s">
        <v>302</v>
      </c>
      <c r="J467" s="24" t="s">
        <v>466</v>
      </c>
      <c r="K467" s="298">
        <v>43614</v>
      </c>
      <c r="L467" s="298"/>
      <c r="M467" s="606">
        <v>43608</v>
      </c>
      <c r="N467" s="672" t="s">
        <v>2221</v>
      </c>
      <c r="O467" s="608" t="s">
        <v>2495</v>
      </c>
      <c r="P467" s="612"/>
      <c r="Q467" s="612">
        <v>135.44999999999999</v>
      </c>
      <c r="R467" s="612"/>
      <c r="S467" s="612"/>
      <c r="T467" s="612"/>
      <c r="U467" s="612">
        <v>4271</v>
      </c>
      <c r="V467" s="611" t="s">
        <v>46</v>
      </c>
      <c r="W467" s="300">
        <v>43646</v>
      </c>
      <c r="X467" s="300">
        <v>43608</v>
      </c>
      <c r="Y467" s="294" t="s">
        <v>972</v>
      </c>
      <c r="Z467" s="294">
        <v>8542</v>
      </c>
      <c r="AA467" s="293">
        <v>43631</v>
      </c>
      <c r="AB467" s="294" t="s">
        <v>2491</v>
      </c>
      <c r="AC467" s="294">
        <v>106359576</v>
      </c>
      <c r="AD467" s="294"/>
      <c r="AE467" s="294"/>
      <c r="AF467" s="294"/>
      <c r="AG467" s="369"/>
      <c r="AH467" s="369">
        <v>31.05</v>
      </c>
      <c r="AI467" s="370">
        <v>0</v>
      </c>
      <c r="AJ467" s="371">
        <v>43612</v>
      </c>
      <c r="AK467" s="370" t="s">
        <v>2493</v>
      </c>
      <c r="AL467" s="370" t="s">
        <v>2494</v>
      </c>
      <c r="AM467" s="369" t="s">
        <v>49</v>
      </c>
      <c r="AN467" s="369" t="s">
        <v>284</v>
      </c>
      <c r="AO467" s="369" t="s">
        <v>50</v>
      </c>
      <c r="AP467" s="369" t="s">
        <v>51</v>
      </c>
      <c r="AQ467" s="372" t="s">
        <v>439</v>
      </c>
    </row>
    <row r="468" spans="1:43" ht="15.75" customHeight="1">
      <c r="A468" s="69">
        <v>43587</v>
      </c>
      <c r="B468" s="70" t="s">
        <v>463</v>
      </c>
      <c r="C468" s="21">
        <v>504264</v>
      </c>
      <c r="D468" s="475" t="s">
        <v>970</v>
      </c>
      <c r="E468" s="23" t="s">
        <v>973</v>
      </c>
      <c r="F468" s="24">
        <v>1</v>
      </c>
      <c r="G468" s="47">
        <v>4120</v>
      </c>
      <c r="H468" s="26">
        <f t="shared" si="42"/>
        <v>4120</v>
      </c>
      <c r="I468" s="27" t="s">
        <v>302</v>
      </c>
      <c r="J468" s="24" t="s">
        <v>466</v>
      </c>
      <c r="K468" s="298">
        <v>43614</v>
      </c>
      <c r="L468" s="298"/>
      <c r="M468" s="606">
        <v>43612</v>
      </c>
      <c r="N468" s="607" t="s">
        <v>89</v>
      </c>
      <c r="O468" s="608" t="s">
        <v>2496</v>
      </c>
      <c r="P468" s="612"/>
      <c r="Q468" s="612">
        <v>3863.16</v>
      </c>
      <c r="R468" s="612"/>
      <c r="S468" s="612"/>
      <c r="T468" s="612"/>
      <c r="U468" s="612">
        <v>119951</v>
      </c>
      <c r="V468" s="641" t="s">
        <v>93</v>
      </c>
      <c r="W468" s="300">
        <v>43677</v>
      </c>
      <c r="X468" s="300">
        <v>43612</v>
      </c>
      <c r="Y468" s="294" t="s">
        <v>974</v>
      </c>
      <c r="Z468" s="294">
        <v>122722</v>
      </c>
      <c r="AA468" s="470">
        <v>43677</v>
      </c>
      <c r="AB468" s="294" t="s">
        <v>2491</v>
      </c>
      <c r="AC468" s="294">
        <v>106359576</v>
      </c>
      <c r="AD468" s="294"/>
      <c r="AE468" s="294"/>
      <c r="AF468" s="294"/>
      <c r="AG468" s="369"/>
      <c r="AH468" s="369">
        <v>31.05</v>
      </c>
      <c r="AI468" s="370">
        <v>0</v>
      </c>
      <c r="AJ468" s="371">
        <v>43612</v>
      </c>
      <c r="AK468" s="370" t="s">
        <v>2493</v>
      </c>
      <c r="AL468" s="370" t="s">
        <v>2494</v>
      </c>
      <c r="AM468" s="369" t="s">
        <v>49</v>
      </c>
      <c r="AN468" s="369" t="s">
        <v>284</v>
      </c>
      <c r="AO468" s="369" t="s">
        <v>50</v>
      </c>
      <c r="AP468" s="369" t="s">
        <v>51</v>
      </c>
      <c r="AQ468" s="372" t="s">
        <v>439</v>
      </c>
    </row>
    <row r="469" spans="1:43" ht="15.75" customHeight="1">
      <c r="A469" s="69">
        <v>43587</v>
      </c>
      <c r="B469" s="70" t="s">
        <v>463</v>
      </c>
      <c r="C469" s="21">
        <v>504264</v>
      </c>
      <c r="D469" s="475" t="s">
        <v>970</v>
      </c>
      <c r="E469" s="23" t="s">
        <v>465</v>
      </c>
      <c r="F469" s="24">
        <v>1</v>
      </c>
      <c r="G469" s="47">
        <v>100</v>
      </c>
      <c r="H469" s="26">
        <f t="shared" si="42"/>
        <v>100</v>
      </c>
      <c r="I469" s="27" t="s">
        <v>302</v>
      </c>
      <c r="J469" s="24" t="s">
        <v>466</v>
      </c>
      <c r="K469" s="298">
        <v>43614</v>
      </c>
      <c r="L469" s="298"/>
      <c r="M469" s="606">
        <v>43612</v>
      </c>
      <c r="N469" s="607" t="s">
        <v>89</v>
      </c>
      <c r="O469" s="608" t="s">
        <v>2496</v>
      </c>
      <c r="P469" s="612"/>
      <c r="Q469" s="612">
        <v>89.25</v>
      </c>
      <c r="R469" s="612"/>
      <c r="S469" s="612"/>
      <c r="T469" s="612"/>
      <c r="U469" s="612">
        <v>2771</v>
      </c>
      <c r="V469" s="641" t="s">
        <v>93</v>
      </c>
      <c r="W469" s="300">
        <v>43677</v>
      </c>
      <c r="X469" s="300">
        <v>43612</v>
      </c>
      <c r="Y469" s="294" t="s">
        <v>974</v>
      </c>
      <c r="Z469" s="294" t="s">
        <v>2497</v>
      </c>
      <c r="AA469" s="470">
        <v>43677</v>
      </c>
      <c r="AB469" s="294" t="s">
        <v>2491</v>
      </c>
      <c r="AC469" s="294">
        <v>106359576</v>
      </c>
      <c r="AD469" s="294"/>
      <c r="AE469" s="294"/>
      <c r="AF469" s="294"/>
      <c r="AG469" s="369"/>
      <c r="AH469" s="369">
        <v>31.05</v>
      </c>
      <c r="AI469" s="370">
        <v>0</v>
      </c>
      <c r="AJ469" s="371">
        <v>43612</v>
      </c>
      <c r="AK469" s="370" t="s">
        <v>2493</v>
      </c>
      <c r="AL469" s="370" t="s">
        <v>2494</v>
      </c>
      <c r="AM469" s="369" t="s">
        <v>49</v>
      </c>
      <c r="AN469" s="369" t="s">
        <v>284</v>
      </c>
      <c r="AO469" s="369" t="s">
        <v>50</v>
      </c>
      <c r="AP469" s="369" t="s">
        <v>51</v>
      </c>
      <c r="AQ469" s="372" t="s">
        <v>439</v>
      </c>
    </row>
    <row r="470" spans="1:43" ht="15.75" customHeight="1">
      <c r="A470" s="397">
        <v>43587</v>
      </c>
      <c r="B470" s="476" t="s">
        <v>399</v>
      </c>
      <c r="C470" s="477" t="s">
        <v>975</v>
      </c>
      <c r="D470" s="478" t="s">
        <v>976</v>
      </c>
      <c r="E470" s="23" t="s">
        <v>402</v>
      </c>
      <c r="F470" s="479">
        <v>0</v>
      </c>
      <c r="G470" s="480">
        <v>231</v>
      </c>
      <c r="H470" s="379">
        <f t="shared" ref="H470:H473" si="43">G470*F470</f>
        <v>0</v>
      </c>
      <c r="I470" s="481" t="s">
        <v>302</v>
      </c>
      <c r="J470" s="381" t="s">
        <v>403</v>
      </c>
      <c r="K470" s="400" t="s">
        <v>70</v>
      </c>
      <c r="L470" s="400"/>
      <c r="M470" s="614"/>
      <c r="N470" s="673"/>
      <c r="O470" s="616"/>
      <c r="P470" s="194"/>
      <c r="Q470" s="194"/>
      <c r="R470" s="194"/>
      <c r="S470" s="194"/>
      <c r="T470" s="194"/>
      <c r="U470" s="194"/>
      <c r="V470" s="618"/>
      <c r="W470" s="195"/>
      <c r="X470" s="199"/>
      <c r="Y470" s="199"/>
      <c r="Z470" s="199"/>
      <c r="AA470" s="199"/>
      <c r="AB470" s="199"/>
      <c r="AC470" s="199"/>
      <c r="AD470" s="199"/>
      <c r="AE470" s="199"/>
      <c r="AF470" s="199"/>
      <c r="AG470" s="200"/>
      <c r="AH470" s="200"/>
      <c r="AI470" s="201"/>
      <c r="AJ470" s="54" t="s">
        <v>1212</v>
      </c>
      <c r="AK470" s="201"/>
      <c r="AL470" s="201"/>
      <c r="AM470" s="200" t="s">
        <v>49</v>
      </c>
      <c r="AN470" s="200" t="s">
        <v>295</v>
      </c>
      <c r="AO470" s="200" t="s">
        <v>50</v>
      </c>
      <c r="AP470" s="200" t="s">
        <v>51</v>
      </c>
      <c r="AQ470" s="203"/>
    </row>
    <row r="471" spans="1:43" ht="15.75" customHeight="1">
      <c r="A471" s="397">
        <v>43587</v>
      </c>
      <c r="B471" s="482" t="s">
        <v>399</v>
      </c>
      <c r="C471" s="483" t="s">
        <v>975</v>
      </c>
      <c r="D471" s="484" t="s">
        <v>976</v>
      </c>
      <c r="E471" s="23" t="s">
        <v>833</v>
      </c>
      <c r="F471" s="485">
        <v>0</v>
      </c>
      <c r="G471" s="486">
        <v>25</v>
      </c>
      <c r="H471" s="379">
        <f t="shared" si="43"/>
        <v>0</v>
      </c>
      <c r="I471" s="487" t="s">
        <v>302</v>
      </c>
      <c r="J471" s="488" t="s">
        <v>403</v>
      </c>
      <c r="K471" s="400" t="s">
        <v>70</v>
      </c>
      <c r="L471" s="400"/>
      <c r="M471" s="614"/>
      <c r="N471" s="190" t="s">
        <v>1074</v>
      </c>
      <c r="O471" s="616"/>
      <c r="P471" s="194"/>
      <c r="Q471" s="194"/>
      <c r="R471" s="194"/>
      <c r="S471" s="194"/>
      <c r="T471" s="194"/>
      <c r="U471" s="194"/>
      <c r="V471" s="618"/>
      <c r="W471" s="195"/>
      <c r="X471" s="199"/>
      <c r="Y471" s="199"/>
      <c r="Z471" s="199"/>
      <c r="AA471" s="199"/>
      <c r="AB471" s="199"/>
      <c r="AC471" s="199"/>
      <c r="AD471" s="199"/>
      <c r="AE471" s="199"/>
      <c r="AF471" s="199"/>
      <c r="AG471" s="200"/>
      <c r="AH471" s="200"/>
      <c r="AI471" s="201"/>
      <c r="AJ471" s="54" t="s">
        <v>1212</v>
      </c>
      <c r="AK471" s="201"/>
      <c r="AL471" s="201"/>
      <c r="AM471" s="200" t="s">
        <v>49</v>
      </c>
      <c r="AN471" s="200" t="s">
        <v>295</v>
      </c>
      <c r="AO471" s="200" t="s">
        <v>50</v>
      </c>
      <c r="AP471" s="200" t="s">
        <v>51</v>
      </c>
      <c r="AQ471" s="203"/>
    </row>
    <row r="472" spans="1:43" ht="15.75" customHeight="1">
      <c r="A472" s="69">
        <v>43587</v>
      </c>
      <c r="B472" s="489" t="s">
        <v>977</v>
      </c>
      <c r="C472" s="489" t="s">
        <v>978</v>
      </c>
      <c r="D472" s="489" t="s">
        <v>979</v>
      </c>
      <c r="E472" s="23" t="s">
        <v>980</v>
      </c>
      <c r="F472" s="24">
        <v>20</v>
      </c>
      <c r="G472" s="48">
        <v>33.6</v>
      </c>
      <c r="H472" s="165">
        <f t="shared" si="43"/>
        <v>672</v>
      </c>
      <c r="I472" s="27" t="s">
        <v>247</v>
      </c>
      <c r="J472" s="405" t="s">
        <v>962</v>
      </c>
      <c r="K472" s="29">
        <v>43595</v>
      </c>
      <c r="L472" s="29"/>
      <c r="M472" s="29">
        <v>43598</v>
      </c>
      <c r="N472" s="58" t="s">
        <v>89</v>
      </c>
      <c r="O472" s="93" t="s">
        <v>2498</v>
      </c>
      <c r="P472" s="406"/>
      <c r="Q472" s="406">
        <v>630</v>
      </c>
      <c r="R472" s="406"/>
      <c r="S472" s="406"/>
      <c r="T472" s="406"/>
      <c r="U472" s="406">
        <v>19432</v>
      </c>
      <c r="V472" s="35" t="s">
        <v>93</v>
      </c>
      <c r="W472" s="460">
        <v>43646</v>
      </c>
      <c r="X472" s="460">
        <v>43595</v>
      </c>
      <c r="Y472" s="304" t="s">
        <v>981</v>
      </c>
      <c r="Z472" s="304">
        <v>142504</v>
      </c>
      <c r="AA472" s="470">
        <v>43647</v>
      </c>
      <c r="AB472" s="304" t="s">
        <v>2499</v>
      </c>
      <c r="AC472" s="304" t="s">
        <v>2500</v>
      </c>
      <c r="AD472" s="304">
        <v>30.89</v>
      </c>
      <c r="AE472" s="304">
        <v>153740</v>
      </c>
      <c r="AF472" s="460">
        <v>43606</v>
      </c>
      <c r="AG472" s="296"/>
      <c r="AH472" s="296"/>
      <c r="AI472" s="297">
        <v>20971</v>
      </c>
      <c r="AJ472" s="298">
        <v>43601</v>
      </c>
      <c r="AK472" s="297">
        <v>194325</v>
      </c>
      <c r="AL472" s="297">
        <v>0</v>
      </c>
      <c r="AM472" s="296" t="s">
        <v>49</v>
      </c>
      <c r="AN472" s="296" t="s">
        <v>284</v>
      </c>
      <c r="AO472" s="296" t="s">
        <v>50</v>
      </c>
      <c r="AP472" s="296" t="s">
        <v>376</v>
      </c>
      <c r="AQ472" s="234" t="s">
        <v>304</v>
      </c>
    </row>
    <row r="473" spans="1:43" ht="15.75" customHeight="1">
      <c r="A473" s="69">
        <v>43587</v>
      </c>
      <c r="B473" s="70" t="s">
        <v>977</v>
      </c>
      <c r="C473" s="21" t="s">
        <v>978</v>
      </c>
      <c r="D473" s="21" t="s">
        <v>979</v>
      </c>
      <c r="E473" s="23" t="s">
        <v>982</v>
      </c>
      <c r="F473" s="24">
        <v>20</v>
      </c>
      <c r="G473" s="48">
        <v>215.25</v>
      </c>
      <c r="H473" s="60">
        <f t="shared" si="43"/>
        <v>4305</v>
      </c>
      <c r="I473" s="61" t="s">
        <v>247</v>
      </c>
      <c r="J473" s="50" t="s">
        <v>962</v>
      </c>
      <c r="K473" s="29">
        <v>43595</v>
      </c>
      <c r="L473" s="29"/>
      <c r="M473" s="29">
        <v>43598</v>
      </c>
      <c r="N473" s="58" t="s">
        <v>89</v>
      </c>
      <c r="O473" s="93" t="s">
        <v>2498</v>
      </c>
      <c r="P473" s="406"/>
      <c r="Q473" s="406">
        <v>3990</v>
      </c>
      <c r="R473" s="406"/>
      <c r="S473" s="406"/>
      <c r="T473" s="406"/>
      <c r="U473" s="406">
        <v>123072</v>
      </c>
      <c r="V473" s="35" t="s">
        <v>93</v>
      </c>
      <c r="W473" s="460">
        <v>43646</v>
      </c>
      <c r="X473" s="460">
        <v>43595</v>
      </c>
      <c r="Y473" s="304" t="s">
        <v>981</v>
      </c>
      <c r="Z473" s="304" t="s">
        <v>2501</v>
      </c>
      <c r="AA473" s="470">
        <v>43647</v>
      </c>
      <c r="AB473" s="304" t="s">
        <v>2499</v>
      </c>
      <c r="AC473" s="304" t="s">
        <v>2500</v>
      </c>
      <c r="AD473" s="304">
        <v>30.89</v>
      </c>
      <c r="AE473" s="304" t="s">
        <v>2502</v>
      </c>
      <c r="AF473" s="460">
        <v>43606</v>
      </c>
      <c r="AG473" s="296"/>
      <c r="AH473" s="296"/>
      <c r="AI473" s="297">
        <v>134345</v>
      </c>
      <c r="AJ473" s="298">
        <v>43601</v>
      </c>
      <c r="AK473" s="297" t="s">
        <v>2503</v>
      </c>
      <c r="AL473" s="297" t="s">
        <v>2504</v>
      </c>
      <c r="AM473" s="296" t="s">
        <v>49</v>
      </c>
      <c r="AN473" s="296" t="s">
        <v>284</v>
      </c>
      <c r="AO473" s="296" t="s">
        <v>50</v>
      </c>
      <c r="AP473" s="296" t="s">
        <v>376</v>
      </c>
      <c r="AQ473" s="234" t="s">
        <v>304</v>
      </c>
    </row>
    <row r="474" spans="1:43" ht="15.75" customHeight="1">
      <c r="A474" s="69">
        <v>43587</v>
      </c>
      <c r="B474" s="70" t="s">
        <v>100</v>
      </c>
      <c r="C474" s="21"/>
      <c r="D474" s="21" t="s">
        <v>983</v>
      </c>
      <c r="E474" s="23" t="s">
        <v>984</v>
      </c>
      <c r="F474" s="24">
        <v>1</v>
      </c>
      <c r="G474" s="48">
        <v>0</v>
      </c>
      <c r="H474" s="216">
        <v>0</v>
      </c>
      <c r="I474" s="61" t="s">
        <v>695</v>
      </c>
      <c r="J474" s="63" t="s">
        <v>920</v>
      </c>
      <c r="K474" s="43"/>
      <c r="L474" s="43"/>
      <c r="M474" s="302"/>
      <c r="N474" s="50" t="s">
        <v>920</v>
      </c>
      <c r="O474" s="93"/>
      <c r="P474" s="406"/>
      <c r="Q474" s="406"/>
      <c r="R474" s="406"/>
      <c r="S474" s="406"/>
      <c r="T474" s="406"/>
      <c r="U474" s="406">
        <v>1129</v>
      </c>
      <c r="V474" s="406"/>
      <c r="W474" s="460">
        <v>43646</v>
      </c>
      <c r="X474" s="460">
        <v>43609</v>
      </c>
      <c r="Y474" s="304" t="s">
        <v>985</v>
      </c>
      <c r="Z474" s="304">
        <v>1129</v>
      </c>
      <c r="AA474" s="460">
        <v>43647</v>
      </c>
      <c r="AB474" s="304" t="s">
        <v>2505</v>
      </c>
      <c r="AC474" s="304">
        <v>169853417</v>
      </c>
      <c r="AD474" s="304"/>
      <c r="AE474" s="304"/>
      <c r="AF474" s="304"/>
      <c r="AG474" s="296"/>
      <c r="AH474" s="296"/>
      <c r="AI474" s="297"/>
      <c r="AJ474" s="296" t="s">
        <v>1212</v>
      </c>
      <c r="AK474" s="297"/>
      <c r="AL474" s="297"/>
      <c r="AM474" s="296" t="s">
        <v>49</v>
      </c>
      <c r="AN474" s="296" t="s">
        <v>284</v>
      </c>
      <c r="AO474" s="296" t="s">
        <v>50</v>
      </c>
      <c r="AP474" s="296" t="s">
        <v>51</v>
      </c>
      <c r="AQ474" s="234" t="s">
        <v>506</v>
      </c>
    </row>
    <row r="475" spans="1:43" ht="15.75" customHeight="1">
      <c r="A475" s="69">
        <v>43587</v>
      </c>
      <c r="B475" s="375" t="s">
        <v>986</v>
      </c>
      <c r="C475" s="183" t="s">
        <v>987</v>
      </c>
      <c r="D475" s="183" t="s">
        <v>988</v>
      </c>
      <c r="E475" s="376" t="s">
        <v>989</v>
      </c>
      <c r="F475" s="186"/>
      <c r="G475" s="187">
        <v>379</v>
      </c>
      <c r="H475" s="490"/>
      <c r="I475" s="61" t="s">
        <v>104</v>
      </c>
      <c r="J475" s="63" t="s">
        <v>990</v>
      </c>
      <c r="K475" s="44"/>
      <c r="L475" s="44"/>
      <c r="M475" s="44"/>
      <c r="N475" s="58" t="s">
        <v>2043</v>
      </c>
      <c r="O475" s="21" t="s">
        <v>2506</v>
      </c>
      <c r="P475" s="34"/>
      <c r="Q475" s="34"/>
      <c r="R475" s="34"/>
      <c r="S475" s="34"/>
      <c r="T475" s="34"/>
      <c r="U475" s="34"/>
      <c r="V475" s="22" t="s">
        <v>2045</v>
      </c>
      <c r="W475" s="52"/>
      <c r="X475" s="53"/>
      <c r="Y475" s="53"/>
      <c r="Z475" s="53"/>
      <c r="AA475" s="53"/>
      <c r="AB475" s="53"/>
      <c r="AC475" s="53"/>
      <c r="AD475" s="53"/>
      <c r="AE475" s="53"/>
      <c r="AF475" s="53"/>
      <c r="AG475" s="54"/>
      <c r="AH475" s="54"/>
      <c r="AI475" s="55"/>
      <c r="AJ475" s="68"/>
      <c r="AK475" s="55"/>
      <c r="AL475" s="55"/>
      <c r="AM475" s="54" t="s">
        <v>295</v>
      </c>
      <c r="AN475" s="54" t="s">
        <v>295</v>
      </c>
      <c r="AO475" s="54" t="s">
        <v>50</v>
      </c>
      <c r="AP475" s="54" t="s">
        <v>51</v>
      </c>
      <c r="AQ475" s="57"/>
    </row>
    <row r="476" spans="1:43" ht="15.75" customHeight="1">
      <c r="A476" s="69">
        <v>43592</v>
      </c>
      <c r="B476" s="70" t="s">
        <v>977</v>
      </c>
      <c r="C476" s="70"/>
      <c r="D476" s="21" t="s">
        <v>991</v>
      </c>
      <c r="E476" s="23" t="s">
        <v>992</v>
      </c>
      <c r="F476" s="24">
        <v>50</v>
      </c>
      <c r="G476" s="48">
        <v>26.25</v>
      </c>
      <c r="H476" s="60">
        <f t="shared" ref="H476:H492" si="44">F476*G476</f>
        <v>1312.5</v>
      </c>
      <c r="I476" s="87" t="s">
        <v>247</v>
      </c>
      <c r="J476" s="50" t="s">
        <v>962</v>
      </c>
      <c r="K476" s="29">
        <v>43602</v>
      </c>
      <c r="L476" s="29"/>
      <c r="M476" s="29">
        <v>43602</v>
      </c>
      <c r="N476" s="58" t="s">
        <v>89</v>
      </c>
      <c r="O476" s="93" t="s">
        <v>2507</v>
      </c>
      <c r="P476" s="406"/>
      <c r="Q476" s="406">
        <v>1233.75</v>
      </c>
      <c r="R476" s="406"/>
      <c r="S476" s="406"/>
      <c r="T476" s="406"/>
      <c r="U476" s="406">
        <v>38055</v>
      </c>
      <c r="V476" s="51" t="s">
        <v>93</v>
      </c>
      <c r="W476" s="460">
        <v>43646</v>
      </c>
      <c r="X476" s="460">
        <v>43595</v>
      </c>
      <c r="Y476" s="304" t="s">
        <v>993</v>
      </c>
      <c r="Z476" s="304">
        <v>38055</v>
      </c>
      <c r="AA476" s="470">
        <v>43647</v>
      </c>
      <c r="AB476" s="304" t="s">
        <v>2508</v>
      </c>
      <c r="AC476" s="304" t="s">
        <v>2500</v>
      </c>
      <c r="AD476" s="304">
        <v>30.921600000000002</v>
      </c>
      <c r="AE476" s="304">
        <v>40585</v>
      </c>
      <c r="AF476" s="460">
        <v>43606</v>
      </c>
      <c r="AG476" s="296"/>
      <c r="AH476" s="296"/>
      <c r="AI476" s="297">
        <v>39009</v>
      </c>
      <c r="AJ476" s="298">
        <v>43601</v>
      </c>
      <c r="AK476" s="297" t="s">
        <v>2503</v>
      </c>
      <c r="AL476" s="297" t="s">
        <v>2504</v>
      </c>
      <c r="AM476" s="296" t="s">
        <v>49</v>
      </c>
      <c r="AN476" s="296" t="s">
        <v>284</v>
      </c>
      <c r="AO476" s="296" t="s">
        <v>50</v>
      </c>
      <c r="AP476" s="296" t="s">
        <v>376</v>
      </c>
      <c r="AQ476" s="234" t="s">
        <v>304</v>
      </c>
    </row>
    <row r="477" spans="1:43" ht="15.75" customHeight="1">
      <c r="A477" s="69">
        <v>43592</v>
      </c>
      <c r="B477" s="23" t="s">
        <v>405</v>
      </c>
      <c r="C477" s="21">
        <v>7000147214</v>
      </c>
      <c r="D477" s="21" t="s">
        <v>994</v>
      </c>
      <c r="E477" s="23" t="s">
        <v>995</v>
      </c>
      <c r="F477" s="24">
        <v>1</v>
      </c>
      <c r="G477" s="48">
        <v>468</v>
      </c>
      <c r="H477" s="60">
        <f t="shared" si="44"/>
        <v>468</v>
      </c>
      <c r="I477" s="87" t="s">
        <v>42</v>
      </c>
      <c r="J477" s="50" t="s">
        <v>512</v>
      </c>
      <c r="K477" s="29">
        <v>43606</v>
      </c>
      <c r="L477" s="29"/>
      <c r="M477" s="29">
        <v>43602</v>
      </c>
      <c r="N477" s="58" t="s">
        <v>2043</v>
      </c>
      <c r="O477" s="93" t="s">
        <v>2509</v>
      </c>
      <c r="P477" s="406"/>
      <c r="Q477" s="406"/>
      <c r="R477" s="406"/>
      <c r="S477" s="406"/>
      <c r="T477" s="22"/>
      <c r="U477" s="22">
        <v>13000</v>
      </c>
      <c r="V477" s="22" t="s">
        <v>2045</v>
      </c>
      <c r="W477" s="460">
        <v>43677</v>
      </c>
      <c r="X477" s="460">
        <v>43601</v>
      </c>
      <c r="Y477" s="304" t="s">
        <v>996</v>
      </c>
      <c r="Z477" s="304">
        <v>49113</v>
      </c>
      <c r="AA477" s="460">
        <v>43677</v>
      </c>
      <c r="AB477" s="304" t="s">
        <v>2510</v>
      </c>
      <c r="AC477" s="304">
        <v>3572419583</v>
      </c>
      <c r="AD477" s="304"/>
      <c r="AE477" s="304"/>
      <c r="AF477" s="304"/>
      <c r="AG477" s="296"/>
      <c r="AH477" s="296">
        <v>31.05</v>
      </c>
      <c r="AI477" s="297">
        <f>1771*31.05</f>
        <v>54989.55</v>
      </c>
      <c r="AJ477" s="298">
        <v>43650</v>
      </c>
      <c r="AK477" s="297"/>
      <c r="AL477" s="297"/>
      <c r="AM477" s="296" t="s">
        <v>49</v>
      </c>
      <c r="AN477" s="82" t="s">
        <v>284</v>
      </c>
      <c r="AO477" s="296" t="s">
        <v>50</v>
      </c>
      <c r="AP477" s="296" t="s">
        <v>51</v>
      </c>
      <c r="AQ477" s="457" t="s">
        <v>742</v>
      </c>
    </row>
    <row r="478" spans="1:43" ht="15.75" customHeight="1">
      <c r="A478" s="69">
        <v>43592</v>
      </c>
      <c r="B478" s="32" t="s">
        <v>405</v>
      </c>
      <c r="C478" s="21">
        <v>7000147214</v>
      </c>
      <c r="D478" s="21" t="s">
        <v>994</v>
      </c>
      <c r="E478" s="23" t="s">
        <v>997</v>
      </c>
      <c r="F478" s="24">
        <v>7</v>
      </c>
      <c r="G478" s="48">
        <v>87</v>
      </c>
      <c r="H478" s="60">
        <f t="shared" si="44"/>
        <v>609</v>
      </c>
      <c r="I478" s="87" t="s">
        <v>42</v>
      </c>
      <c r="J478" s="50" t="s">
        <v>512</v>
      </c>
      <c r="K478" s="29">
        <v>43606</v>
      </c>
      <c r="L478" s="29"/>
      <c r="M478" s="29">
        <v>43602</v>
      </c>
      <c r="N478" s="58" t="s">
        <v>2043</v>
      </c>
      <c r="O478" s="93" t="s">
        <v>2509</v>
      </c>
      <c r="P478" s="406"/>
      <c r="Q478" s="406"/>
      <c r="R478" s="406"/>
      <c r="S478" s="406"/>
      <c r="T478" s="22"/>
      <c r="U478" s="22">
        <v>16677</v>
      </c>
      <c r="V478" s="20" t="s">
        <v>2045</v>
      </c>
      <c r="W478" s="460">
        <v>43677</v>
      </c>
      <c r="X478" s="460">
        <v>43601</v>
      </c>
      <c r="Y478" s="304" t="s">
        <v>996</v>
      </c>
      <c r="Z478" s="304" t="s">
        <v>2511</v>
      </c>
      <c r="AA478" s="460">
        <v>43677</v>
      </c>
      <c r="AB478" s="304" t="s">
        <v>2510</v>
      </c>
      <c r="AC478" s="304">
        <v>3572419583</v>
      </c>
      <c r="AD478" s="304"/>
      <c r="AE478" s="304"/>
      <c r="AF478" s="304"/>
      <c r="AG478" s="296"/>
      <c r="AH478" s="296">
        <v>31.05</v>
      </c>
      <c r="AI478" s="297">
        <v>0</v>
      </c>
      <c r="AJ478" s="298">
        <v>43650</v>
      </c>
      <c r="AK478" s="297"/>
      <c r="AL478" s="297"/>
      <c r="AM478" s="296" t="s">
        <v>49</v>
      </c>
      <c r="AN478" s="82" t="s">
        <v>284</v>
      </c>
      <c r="AO478" s="296" t="s">
        <v>50</v>
      </c>
      <c r="AP478" s="296" t="s">
        <v>51</v>
      </c>
      <c r="AQ478" s="457" t="s">
        <v>742</v>
      </c>
    </row>
    <row r="479" spans="1:43" ht="15.75" customHeight="1">
      <c r="A479" s="69">
        <v>43592</v>
      </c>
      <c r="B479" s="32" t="s">
        <v>405</v>
      </c>
      <c r="C479" s="21">
        <v>7000147214</v>
      </c>
      <c r="D479" s="21" t="s">
        <v>994</v>
      </c>
      <c r="E479" s="23" t="s">
        <v>799</v>
      </c>
      <c r="F479" s="24">
        <v>1</v>
      </c>
      <c r="G479" s="48">
        <v>565</v>
      </c>
      <c r="H479" s="165">
        <f t="shared" si="44"/>
        <v>565</v>
      </c>
      <c r="I479" s="87" t="s">
        <v>42</v>
      </c>
      <c r="J479" s="50" t="s">
        <v>512</v>
      </c>
      <c r="K479" s="29">
        <v>43606</v>
      </c>
      <c r="L479" s="29"/>
      <c r="M479" s="29">
        <v>43602</v>
      </c>
      <c r="N479" s="58" t="s">
        <v>2043</v>
      </c>
      <c r="O479" s="93" t="s">
        <v>2509</v>
      </c>
      <c r="P479" s="406"/>
      <c r="Q479" s="406"/>
      <c r="R479" s="406"/>
      <c r="S479" s="406"/>
      <c r="T479" s="22"/>
      <c r="U479" s="22">
        <v>15825</v>
      </c>
      <c r="V479" s="20" t="s">
        <v>2045</v>
      </c>
      <c r="W479" s="460">
        <v>43677</v>
      </c>
      <c r="X479" s="460">
        <v>43601</v>
      </c>
      <c r="Y479" s="304" t="s">
        <v>996</v>
      </c>
      <c r="Z479" s="304" t="s">
        <v>2511</v>
      </c>
      <c r="AA479" s="460">
        <v>43677</v>
      </c>
      <c r="AB479" s="304" t="s">
        <v>2510</v>
      </c>
      <c r="AC479" s="304">
        <v>3572419583</v>
      </c>
      <c r="AD479" s="304"/>
      <c r="AE479" s="304"/>
      <c r="AF479" s="304"/>
      <c r="AG479" s="296"/>
      <c r="AH479" s="296">
        <v>31.05</v>
      </c>
      <c r="AI479" s="297">
        <v>0</v>
      </c>
      <c r="AJ479" s="298">
        <v>43650</v>
      </c>
      <c r="AK479" s="297"/>
      <c r="AL479" s="297"/>
      <c r="AM479" s="296" t="s">
        <v>49</v>
      </c>
      <c r="AN479" s="82" t="s">
        <v>284</v>
      </c>
      <c r="AO479" s="296" t="s">
        <v>50</v>
      </c>
      <c r="AP479" s="296" t="s">
        <v>51</v>
      </c>
      <c r="AQ479" s="457" t="s">
        <v>742</v>
      </c>
    </row>
    <row r="480" spans="1:43" ht="15.75" customHeight="1">
      <c r="A480" s="69">
        <v>43592</v>
      </c>
      <c r="B480" s="32" t="s">
        <v>405</v>
      </c>
      <c r="C480" s="21">
        <v>7000147214</v>
      </c>
      <c r="D480" s="21" t="s">
        <v>994</v>
      </c>
      <c r="E480" s="23" t="s">
        <v>676</v>
      </c>
      <c r="F480" s="24">
        <v>1</v>
      </c>
      <c r="G480" s="48">
        <v>129</v>
      </c>
      <c r="H480" s="165">
        <f t="shared" si="44"/>
        <v>129</v>
      </c>
      <c r="I480" s="87" t="s">
        <v>42</v>
      </c>
      <c r="J480" s="50" t="s">
        <v>512</v>
      </c>
      <c r="K480" s="29">
        <v>43606</v>
      </c>
      <c r="L480" s="29"/>
      <c r="M480" s="29">
        <v>43602</v>
      </c>
      <c r="N480" s="58" t="s">
        <v>2043</v>
      </c>
      <c r="O480" s="93" t="s">
        <v>2509</v>
      </c>
      <c r="P480" s="406"/>
      <c r="Q480" s="406"/>
      <c r="R480" s="406"/>
      <c r="S480" s="406"/>
      <c r="T480" s="22"/>
      <c r="U480" s="22">
        <v>3611</v>
      </c>
      <c r="V480" s="20" t="s">
        <v>2045</v>
      </c>
      <c r="W480" s="460">
        <v>43677</v>
      </c>
      <c r="X480" s="460">
        <v>43601</v>
      </c>
      <c r="Y480" s="304" t="s">
        <v>996</v>
      </c>
      <c r="Z480" s="304" t="s">
        <v>2511</v>
      </c>
      <c r="AA480" s="460">
        <v>43677</v>
      </c>
      <c r="AB480" s="304" t="s">
        <v>2510</v>
      </c>
      <c r="AC480" s="304">
        <v>3572419583</v>
      </c>
      <c r="AD480" s="304"/>
      <c r="AE480" s="304"/>
      <c r="AF480" s="304"/>
      <c r="AG480" s="296"/>
      <c r="AH480" s="296">
        <v>31.05</v>
      </c>
      <c r="AI480" s="297">
        <v>0</v>
      </c>
      <c r="AJ480" s="298">
        <v>43650</v>
      </c>
      <c r="AK480" s="297"/>
      <c r="AL480" s="297"/>
      <c r="AM480" s="296" t="s">
        <v>49</v>
      </c>
      <c r="AN480" s="82" t="s">
        <v>284</v>
      </c>
      <c r="AO480" s="296" t="s">
        <v>50</v>
      </c>
      <c r="AP480" s="296" t="s">
        <v>51</v>
      </c>
      <c r="AQ480" s="457" t="s">
        <v>742</v>
      </c>
    </row>
    <row r="481" spans="1:43" ht="15.75" customHeight="1">
      <c r="A481" s="69">
        <v>43593</v>
      </c>
      <c r="B481" s="21" t="s">
        <v>577</v>
      </c>
      <c r="C481" s="21">
        <v>20190507001</v>
      </c>
      <c r="D481" s="22" t="s">
        <v>998</v>
      </c>
      <c r="E481" s="23" t="s">
        <v>999</v>
      </c>
      <c r="F481" s="82">
        <v>2</v>
      </c>
      <c r="G481" s="47">
        <v>96.6</v>
      </c>
      <c r="H481" s="60">
        <f t="shared" si="44"/>
        <v>193.2</v>
      </c>
      <c r="I481" s="87" t="s">
        <v>170</v>
      </c>
      <c r="J481" s="63" t="s">
        <v>580</v>
      </c>
      <c r="K481" s="29">
        <v>43601</v>
      </c>
      <c r="L481" s="29"/>
      <c r="M481" s="645">
        <v>43601</v>
      </c>
      <c r="N481" s="646" t="s">
        <v>1414</v>
      </c>
      <c r="O481" s="396" t="s">
        <v>2512</v>
      </c>
      <c r="P481" s="612"/>
      <c r="Q481" s="612">
        <v>168</v>
      </c>
      <c r="R481" s="612"/>
      <c r="S481" s="612"/>
      <c r="T481" s="612"/>
      <c r="U481" s="612">
        <v>5193</v>
      </c>
      <c r="V481" s="631" t="s">
        <v>1947</v>
      </c>
      <c r="W481" s="300">
        <v>43646</v>
      </c>
      <c r="X481" s="300">
        <v>43600</v>
      </c>
      <c r="Y481" s="294" t="s">
        <v>1000</v>
      </c>
      <c r="Z481" s="294">
        <v>5193</v>
      </c>
      <c r="AA481" s="300">
        <v>43647</v>
      </c>
      <c r="AB481" s="294" t="s">
        <v>2513</v>
      </c>
      <c r="AC481" s="294" t="s">
        <v>2514</v>
      </c>
      <c r="AD481" s="294">
        <v>30</v>
      </c>
      <c r="AE481" s="294">
        <v>5796</v>
      </c>
      <c r="AF481" s="293">
        <v>43601</v>
      </c>
      <c r="AG481" s="369"/>
      <c r="AH481" s="369"/>
      <c r="AI481" s="370"/>
      <c r="AJ481" s="371">
        <v>43633</v>
      </c>
      <c r="AK481" s="370">
        <v>17810</v>
      </c>
      <c r="AL481" s="370">
        <v>30</v>
      </c>
      <c r="AM481" s="369" t="s">
        <v>49</v>
      </c>
      <c r="AN481" s="369" t="s">
        <v>284</v>
      </c>
      <c r="AO481" s="369" t="s">
        <v>50</v>
      </c>
      <c r="AP481" s="369" t="s">
        <v>376</v>
      </c>
      <c r="AQ481" s="372" t="s">
        <v>439</v>
      </c>
    </row>
    <row r="482" spans="1:43" ht="15.75" customHeight="1">
      <c r="A482" s="69">
        <v>43593</v>
      </c>
      <c r="B482" s="21" t="s">
        <v>100</v>
      </c>
      <c r="C482" s="21" t="s">
        <v>1001</v>
      </c>
      <c r="D482" s="21" t="s">
        <v>1002</v>
      </c>
      <c r="E482" s="23" t="s">
        <v>1003</v>
      </c>
      <c r="F482" s="24">
        <v>2</v>
      </c>
      <c r="G482" s="143">
        <v>309</v>
      </c>
      <c r="H482" s="60">
        <f t="shared" si="44"/>
        <v>618</v>
      </c>
      <c r="I482" s="87" t="s">
        <v>302</v>
      </c>
      <c r="J482" s="63" t="s">
        <v>1004</v>
      </c>
      <c r="K482" s="29">
        <v>43606</v>
      </c>
      <c r="L482" s="29"/>
      <c r="M482" s="645">
        <v>43601</v>
      </c>
      <c r="N482" s="431" t="s">
        <v>2099</v>
      </c>
      <c r="O482" s="608" t="s">
        <v>2515</v>
      </c>
      <c r="P482" s="674"/>
      <c r="Q482" s="612"/>
      <c r="R482" s="612"/>
      <c r="S482" s="612"/>
      <c r="T482" s="612"/>
      <c r="U482" s="640">
        <v>18115</v>
      </c>
      <c r="V482" s="660" t="s">
        <v>2101</v>
      </c>
      <c r="W482" s="300">
        <v>43646</v>
      </c>
      <c r="X482" s="300">
        <v>43599</v>
      </c>
      <c r="Y482" s="294" t="s">
        <v>1005</v>
      </c>
      <c r="Z482" s="294">
        <v>18115</v>
      </c>
      <c r="AA482" s="300">
        <v>43647</v>
      </c>
      <c r="AB482" s="294" t="s">
        <v>2516</v>
      </c>
      <c r="AC482" s="294">
        <v>8353152592</v>
      </c>
      <c r="AD482" s="294"/>
      <c r="AE482" s="294"/>
      <c r="AF482" s="294"/>
      <c r="AG482" s="369"/>
      <c r="AH482" s="369">
        <v>31.05</v>
      </c>
      <c r="AI482" s="370"/>
      <c r="AJ482" s="371">
        <v>43636</v>
      </c>
      <c r="AK482" s="370" t="s">
        <v>2067</v>
      </c>
      <c r="AL482" s="370" t="s">
        <v>2068</v>
      </c>
      <c r="AM482" s="369" t="s">
        <v>49</v>
      </c>
      <c r="AN482" s="369" t="s">
        <v>284</v>
      </c>
      <c r="AO482" s="369" t="s">
        <v>50</v>
      </c>
      <c r="AP482" s="369" t="s">
        <v>51</v>
      </c>
      <c r="AQ482" s="372" t="s">
        <v>439</v>
      </c>
    </row>
    <row r="483" spans="1:43" ht="15.75" customHeight="1">
      <c r="A483" s="69">
        <v>43593</v>
      </c>
      <c r="B483" s="70" t="s">
        <v>100</v>
      </c>
      <c r="C483" s="21" t="s">
        <v>1001</v>
      </c>
      <c r="D483" s="21" t="s">
        <v>1002</v>
      </c>
      <c r="E483" s="23" t="s">
        <v>1006</v>
      </c>
      <c r="F483" s="24">
        <v>3</v>
      </c>
      <c r="G483" s="143">
        <v>130</v>
      </c>
      <c r="H483" s="60">
        <f t="shared" si="44"/>
        <v>390</v>
      </c>
      <c r="I483" s="87" t="s">
        <v>302</v>
      </c>
      <c r="J483" s="63" t="s">
        <v>1004</v>
      </c>
      <c r="K483" s="29">
        <v>43606</v>
      </c>
      <c r="L483" s="29"/>
      <c r="M483" s="645">
        <v>43605</v>
      </c>
      <c r="N483" s="646" t="s">
        <v>89</v>
      </c>
      <c r="O483" s="608" t="s">
        <v>2517</v>
      </c>
      <c r="P483" s="612"/>
      <c r="Q483" s="612">
        <v>359.1</v>
      </c>
      <c r="R483" s="612"/>
      <c r="S483" s="612"/>
      <c r="T483" s="612"/>
      <c r="U483" s="612">
        <v>11076</v>
      </c>
      <c r="V483" s="641" t="s">
        <v>93</v>
      </c>
      <c r="W483" s="300">
        <v>43646</v>
      </c>
      <c r="X483" s="300">
        <v>43602</v>
      </c>
      <c r="Y483" s="294" t="s">
        <v>1007</v>
      </c>
      <c r="Z483" s="294">
        <v>11076</v>
      </c>
      <c r="AA483" s="300">
        <v>43647</v>
      </c>
      <c r="AB483" s="294" t="s">
        <v>2516</v>
      </c>
      <c r="AC483" s="294">
        <v>8353152592</v>
      </c>
      <c r="AD483" s="294"/>
      <c r="AE483" s="294"/>
      <c r="AF483" s="294"/>
      <c r="AG483" s="369"/>
      <c r="AH483" s="369">
        <v>31.05</v>
      </c>
      <c r="AI483" s="370"/>
      <c r="AJ483" s="371">
        <v>43636</v>
      </c>
      <c r="AK483" s="370" t="s">
        <v>2067</v>
      </c>
      <c r="AL483" s="370" t="s">
        <v>2068</v>
      </c>
      <c r="AM483" s="369" t="s">
        <v>49</v>
      </c>
      <c r="AN483" s="369" t="s">
        <v>284</v>
      </c>
      <c r="AO483" s="369" t="s">
        <v>50</v>
      </c>
      <c r="AP483" s="369" t="s">
        <v>51</v>
      </c>
      <c r="AQ483" s="372" t="s">
        <v>439</v>
      </c>
    </row>
    <row r="484" spans="1:43" ht="15.75" customHeight="1">
      <c r="A484" s="69">
        <v>43593</v>
      </c>
      <c r="B484" s="70" t="s">
        <v>100</v>
      </c>
      <c r="C484" s="21" t="s">
        <v>1001</v>
      </c>
      <c r="D484" s="21" t="s">
        <v>1002</v>
      </c>
      <c r="E484" s="23" t="s">
        <v>1008</v>
      </c>
      <c r="F484" s="24">
        <v>1</v>
      </c>
      <c r="G484" s="143">
        <v>313</v>
      </c>
      <c r="H484" s="60">
        <f t="shared" si="44"/>
        <v>313</v>
      </c>
      <c r="I484" s="87" t="s">
        <v>302</v>
      </c>
      <c r="J484" s="63" t="s">
        <v>1004</v>
      </c>
      <c r="K484" s="29">
        <v>43606</v>
      </c>
      <c r="L484" s="29"/>
      <c r="M484" s="645">
        <v>43602</v>
      </c>
      <c r="N484" s="646" t="s">
        <v>2518</v>
      </c>
      <c r="O484" s="608" t="s">
        <v>2519</v>
      </c>
      <c r="P484" s="612"/>
      <c r="Q484" s="612"/>
      <c r="R484" s="612"/>
      <c r="S484" s="612"/>
      <c r="T484" s="612"/>
      <c r="U484" s="612">
        <v>8663</v>
      </c>
      <c r="V484" s="641" t="s">
        <v>2520</v>
      </c>
      <c r="W484" s="300">
        <v>43646</v>
      </c>
      <c r="X484" s="300">
        <v>43601</v>
      </c>
      <c r="Y484" s="294" t="s">
        <v>1009</v>
      </c>
      <c r="Z484" s="294">
        <v>13860</v>
      </c>
      <c r="AA484" s="300">
        <v>43647</v>
      </c>
      <c r="AB484" s="294" t="s">
        <v>2516</v>
      </c>
      <c r="AC484" s="294">
        <v>8353152592</v>
      </c>
      <c r="AD484" s="294"/>
      <c r="AE484" s="294"/>
      <c r="AF484" s="294"/>
      <c r="AG484" s="369"/>
      <c r="AH484" s="369">
        <v>31.05</v>
      </c>
      <c r="AI484" s="370"/>
      <c r="AJ484" s="371">
        <v>43636</v>
      </c>
      <c r="AK484" s="370" t="s">
        <v>2067</v>
      </c>
      <c r="AL484" s="370" t="s">
        <v>2068</v>
      </c>
      <c r="AM484" s="369" t="s">
        <v>49</v>
      </c>
      <c r="AN484" s="369" t="s">
        <v>284</v>
      </c>
      <c r="AO484" s="369" t="s">
        <v>50</v>
      </c>
      <c r="AP484" s="369" t="s">
        <v>51</v>
      </c>
      <c r="AQ484" s="372" t="s">
        <v>439</v>
      </c>
    </row>
    <row r="485" spans="1:43" ht="15.75" customHeight="1">
      <c r="A485" s="69">
        <v>43593</v>
      </c>
      <c r="B485" s="70" t="s">
        <v>100</v>
      </c>
      <c r="C485" s="21" t="s">
        <v>1001</v>
      </c>
      <c r="D485" s="21" t="s">
        <v>1002</v>
      </c>
      <c r="E485" s="23" t="s">
        <v>1010</v>
      </c>
      <c r="F485" s="24">
        <v>1</v>
      </c>
      <c r="G485" s="143">
        <v>9</v>
      </c>
      <c r="H485" s="60">
        <f t="shared" si="44"/>
        <v>9</v>
      </c>
      <c r="I485" s="87" t="s">
        <v>302</v>
      </c>
      <c r="J485" s="63" t="s">
        <v>1004</v>
      </c>
      <c r="K485" s="29">
        <v>43606</v>
      </c>
      <c r="L485" s="29"/>
      <c r="M485" s="645">
        <v>43602</v>
      </c>
      <c r="N485" s="646" t="s">
        <v>2518</v>
      </c>
      <c r="O485" s="608" t="s">
        <v>2519</v>
      </c>
      <c r="P485" s="612"/>
      <c r="Q485" s="612"/>
      <c r="R485" s="612"/>
      <c r="S485" s="612"/>
      <c r="T485" s="612"/>
      <c r="U485" s="612">
        <v>236</v>
      </c>
      <c r="V485" s="641" t="s">
        <v>2520</v>
      </c>
      <c r="W485" s="300">
        <v>43646</v>
      </c>
      <c r="X485" s="300">
        <v>43601</v>
      </c>
      <c r="Y485" s="294" t="s">
        <v>1009</v>
      </c>
      <c r="Z485" s="294" t="s">
        <v>2521</v>
      </c>
      <c r="AA485" s="300">
        <v>43647</v>
      </c>
      <c r="AB485" s="294" t="s">
        <v>2516</v>
      </c>
      <c r="AC485" s="294">
        <v>8353152592</v>
      </c>
      <c r="AD485" s="294"/>
      <c r="AE485" s="294"/>
      <c r="AF485" s="294"/>
      <c r="AG485" s="369"/>
      <c r="AH485" s="369">
        <v>31.05</v>
      </c>
      <c r="AI485" s="370"/>
      <c r="AJ485" s="371">
        <v>43636</v>
      </c>
      <c r="AK485" s="370" t="s">
        <v>2067</v>
      </c>
      <c r="AL485" s="370" t="s">
        <v>2068</v>
      </c>
      <c r="AM485" s="369" t="s">
        <v>49</v>
      </c>
      <c r="AN485" s="369" t="s">
        <v>284</v>
      </c>
      <c r="AO485" s="369" t="s">
        <v>50</v>
      </c>
      <c r="AP485" s="369" t="s">
        <v>51</v>
      </c>
      <c r="AQ485" s="372" t="s">
        <v>439</v>
      </c>
    </row>
    <row r="486" spans="1:43" ht="15.75" customHeight="1">
      <c r="A486" s="69">
        <v>43593</v>
      </c>
      <c r="B486" s="70" t="s">
        <v>100</v>
      </c>
      <c r="C486" s="21" t="s">
        <v>1001</v>
      </c>
      <c r="D486" s="21" t="s">
        <v>1002</v>
      </c>
      <c r="E486" s="23" t="s">
        <v>1011</v>
      </c>
      <c r="F486" s="24">
        <v>1</v>
      </c>
      <c r="G486" s="143">
        <v>9</v>
      </c>
      <c r="H486" s="60">
        <f t="shared" si="44"/>
        <v>9</v>
      </c>
      <c r="I486" s="87" t="s">
        <v>302</v>
      </c>
      <c r="J486" s="63" t="s">
        <v>1004</v>
      </c>
      <c r="K486" s="29">
        <v>43606</v>
      </c>
      <c r="L486" s="29"/>
      <c r="M486" s="645">
        <v>43602</v>
      </c>
      <c r="N486" s="646" t="s">
        <v>2518</v>
      </c>
      <c r="O486" s="608" t="s">
        <v>2519</v>
      </c>
      <c r="P486" s="612"/>
      <c r="Q486" s="612"/>
      <c r="R486" s="612"/>
      <c r="S486" s="612"/>
      <c r="T486" s="612"/>
      <c r="U486" s="612">
        <v>236</v>
      </c>
      <c r="V486" s="641" t="s">
        <v>2520</v>
      </c>
      <c r="W486" s="300">
        <v>43646</v>
      </c>
      <c r="X486" s="300">
        <v>43601</v>
      </c>
      <c r="Y486" s="294" t="s">
        <v>1009</v>
      </c>
      <c r="Z486" s="294" t="s">
        <v>2521</v>
      </c>
      <c r="AA486" s="300">
        <v>43647</v>
      </c>
      <c r="AB486" s="294" t="s">
        <v>2516</v>
      </c>
      <c r="AC486" s="294">
        <v>8353152592</v>
      </c>
      <c r="AD486" s="294"/>
      <c r="AE486" s="294"/>
      <c r="AF486" s="294"/>
      <c r="AG486" s="369"/>
      <c r="AH486" s="369">
        <v>31.05</v>
      </c>
      <c r="AI486" s="370"/>
      <c r="AJ486" s="371">
        <v>43636</v>
      </c>
      <c r="AK486" s="370" t="s">
        <v>2067</v>
      </c>
      <c r="AL486" s="370" t="s">
        <v>2068</v>
      </c>
      <c r="AM486" s="369" t="s">
        <v>49</v>
      </c>
      <c r="AN486" s="369" t="s">
        <v>284</v>
      </c>
      <c r="AO486" s="369" t="s">
        <v>50</v>
      </c>
      <c r="AP486" s="369" t="s">
        <v>51</v>
      </c>
      <c r="AQ486" s="372" t="s">
        <v>439</v>
      </c>
    </row>
    <row r="487" spans="1:43" ht="15.75" customHeight="1">
      <c r="A487" s="69">
        <v>43593</v>
      </c>
      <c r="B487" s="70" t="s">
        <v>100</v>
      </c>
      <c r="C487" s="21" t="s">
        <v>1001</v>
      </c>
      <c r="D487" s="21" t="s">
        <v>1002</v>
      </c>
      <c r="E487" s="23" t="s">
        <v>1012</v>
      </c>
      <c r="F487" s="24">
        <v>1</v>
      </c>
      <c r="G487" s="143">
        <v>170</v>
      </c>
      <c r="H487" s="60">
        <f t="shared" si="44"/>
        <v>170</v>
      </c>
      <c r="I487" s="87" t="s">
        <v>302</v>
      </c>
      <c r="J487" s="63" t="s">
        <v>1004</v>
      </c>
      <c r="K487" s="29">
        <v>43606</v>
      </c>
      <c r="L487" s="29"/>
      <c r="M487" s="645">
        <v>43602</v>
      </c>
      <c r="N487" s="646" t="s">
        <v>2518</v>
      </c>
      <c r="O487" s="608" t="s">
        <v>2519</v>
      </c>
      <c r="P487" s="612"/>
      <c r="Q487" s="612"/>
      <c r="R487" s="612"/>
      <c r="S487" s="612"/>
      <c r="T487" s="612"/>
      <c r="U487" s="612">
        <v>4725</v>
      </c>
      <c r="V487" s="641" t="s">
        <v>2520</v>
      </c>
      <c r="W487" s="300">
        <v>43646</v>
      </c>
      <c r="X487" s="300">
        <v>43601</v>
      </c>
      <c r="Y487" s="294" t="s">
        <v>1009</v>
      </c>
      <c r="Z487" s="294" t="s">
        <v>2521</v>
      </c>
      <c r="AA487" s="300">
        <v>43647</v>
      </c>
      <c r="AB487" s="294" t="s">
        <v>2516</v>
      </c>
      <c r="AC487" s="294">
        <v>8353152592</v>
      </c>
      <c r="AD487" s="294"/>
      <c r="AE487" s="294"/>
      <c r="AF487" s="294"/>
      <c r="AG487" s="369"/>
      <c r="AH487" s="369">
        <v>31.05</v>
      </c>
      <c r="AI487" s="370"/>
      <c r="AJ487" s="371">
        <v>43636</v>
      </c>
      <c r="AK487" s="370" t="s">
        <v>2067</v>
      </c>
      <c r="AL487" s="370" t="s">
        <v>2068</v>
      </c>
      <c r="AM487" s="369" t="s">
        <v>49</v>
      </c>
      <c r="AN487" s="369" t="s">
        <v>284</v>
      </c>
      <c r="AO487" s="369" t="s">
        <v>50</v>
      </c>
      <c r="AP487" s="369" t="s">
        <v>51</v>
      </c>
      <c r="AQ487" s="372" t="s">
        <v>439</v>
      </c>
    </row>
    <row r="488" spans="1:43" ht="15.75" customHeight="1">
      <c r="A488" s="467">
        <v>43593</v>
      </c>
      <c r="B488" s="70" t="s">
        <v>100</v>
      </c>
      <c r="C488" s="21" t="s">
        <v>1001</v>
      </c>
      <c r="D488" s="21" t="s">
        <v>1013</v>
      </c>
      <c r="E488" s="23" t="s">
        <v>1006</v>
      </c>
      <c r="F488" s="24">
        <v>1</v>
      </c>
      <c r="G488" s="143">
        <v>130</v>
      </c>
      <c r="H488" s="60">
        <f t="shared" si="44"/>
        <v>130</v>
      </c>
      <c r="I488" s="87" t="s">
        <v>302</v>
      </c>
      <c r="J488" s="50" t="s">
        <v>1014</v>
      </c>
      <c r="K488" s="298">
        <v>43620</v>
      </c>
      <c r="L488" s="298"/>
      <c r="M488" s="30">
        <v>43619</v>
      </c>
      <c r="N488" s="405" t="s">
        <v>89</v>
      </c>
      <c r="O488" s="93" t="s">
        <v>2522</v>
      </c>
      <c r="P488" s="406"/>
      <c r="Q488" s="406">
        <v>119.7</v>
      </c>
      <c r="R488" s="406"/>
      <c r="S488" s="406"/>
      <c r="T488" s="406"/>
      <c r="U488" s="406">
        <v>3717</v>
      </c>
      <c r="V488" s="51" t="s">
        <v>93</v>
      </c>
      <c r="W488" s="460">
        <v>43677</v>
      </c>
      <c r="X488" s="460">
        <v>43616</v>
      </c>
      <c r="Y488" s="304" t="s">
        <v>1015</v>
      </c>
      <c r="Z488" s="304">
        <v>3717</v>
      </c>
      <c r="AA488" s="460">
        <v>43677</v>
      </c>
      <c r="AB488" s="304" t="s">
        <v>2523</v>
      </c>
      <c r="AC488" s="304">
        <v>1481437952</v>
      </c>
      <c r="AD488" s="304"/>
      <c r="AE488" s="304"/>
      <c r="AF488" s="304"/>
      <c r="AG488" s="296"/>
      <c r="AH488" s="296"/>
      <c r="AI488" s="297"/>
      <c r="AJ488" s="298">
        <v>43663</v>
      </c>
      <c r="AK488" s="297" t="s">
        <v>2524</v>
      </c>
      <c r="AL488" s="297" t="s">
        <v>2525</v>
      </c>
      <c r="AM488" s="296" t="s">
        <v>49</v>
      </c>
      <c r="AN488" s="82" t="s">
        <v>284</v>
      </c>
      <c r="AO488" s="296" t="s">
        <v>50</v>
      </c>
      <c r="AP488" s="296" t="s">
        <v>51</v>
      </c>
      <c r="AQ488" s="457" t="s">
        <v>742</v>
      </c>
    </row>
    <row r="489" spans="1:43" ht="15.75" customHeight="1">
      <c r="A489" s="69">
        <v>43593</v>
      </c>
      <c r="B489" s="144" t="s">
        <v>1016</v>
      </c>
      <c r="C489" s="21" t="s">
        <v>1017</v>
      </c>
      <c r="D489" s="491" t="s">
        <v>1018</v>
      </c>
      <c r="E489" s="23" t="s">
        <v>1019</v>
      </c>
      <c r="F489" s="24">
        <v>3</v>
      </c>
      <c r="G489" s="25">
        <v>78</v>
      </c>
      <c r="H489" s="60">
        <f t="shared" si="44"/>
        <v>234</v>
      </c>
      <c r="I489" s="87" t="s">
        <v>302</v>
      </c>
      <c r="J489" s="50" t="s">
        <v>1020</v>
      </c>
      <c r="K489" s="298">
        <v>43644</v>
      </c>
      <c r="L489" s="298"/>
      <c r="M489" s="30">
        <v>43612</v>
      </c>
      <c r="N489" s="405" t="s">
        <v>2526</v>
      </c>
      <c r="O489" s="93" t="s">
        <v>2527</v>
      </c>
      <c r="P489" s="406"/>
      <c r="Q489" s="406"/>
      <c r="R489" s="406"/>
      <c r="S489" s="406"/>
      <c r="T489" s="620"/>
      <c r="U489" s="581">
        <f>(2475*3)*1.05</f>
        <v>7796.25</v>
      </c>
      <c r="V489" s="35" t="s">
        <v>1954</v>
      </c>
      <c r="W489" s="460">
        <v>43621</v>
      </c>
      <c r="X489" s="460">
        <v>43609</v>
      </c>
      <c r="Y489" s="304" t="s">
        <v>1021</v>
      </c>
      <c r="Z489" s="304">
        <v>7796</v>
      </c>
      <c r="AA489" s="460">
        <v>43621</v>
      </c>
      <c r="AB489" s="304" t="s">
        <v>2528</v>
      </c>
      <c r="AC489" s="406">
        <v>590014509746</v>
      </c>
      <c r="AD489" s="304"/>
      <c r="AE489" s="304"/>
      <c r="AF489" s="304"/>
      <c r="AG489" s="296"/>
      <c r="AH489" s="296"/>
      <c r="AI489" s="297"/>
      <c r="AJ489" s="298">
        <v>43643</v>
      </c>
      <c r="AK489" s="297" t="s">
        <v>2529</v>
      </c>
      <c r="AL489" s="297" t="s">
        <v>2530</v>
      </c>
      <c r="AM489" s="296" t="s">
        <v>49</v>
      </c>
      <c r="AN489" s="82" t="s">
        <v>284</v>
      </c>
      <c r="AO489" s="296" t="s">
        <v>285</v>
      </c>
      <c r="AP489" s="296" t="s">
        <v>51</v>
      </c>
      <c r="AQ489" s="457" t="s">
        <v>742</v>
      </c>
    </row>
    <row r="490" spans="1:43" ht="15.75" customHeight="1">
      <c r="A490" s="69">
        <v>43593</v>
      </c>
      <c r="B490" s="144" t="s">
        <v>1016</v>
      </c>
      <c r="C490" s="21" t="s">
        <v>1017</v>
      </c>
      <c r="D490" s="491" t="s">
        <v>1018</v>
      </c>
      <c r="E490" s="23" t="s">
        <v>1022</v>
      </c>
      <c r="F490" s="24">
        <v>3</v>
      </c>
      <c r="G490" s="25">
        <v>35</v>
      </c>
      <c r="H490" s="60">
        <f t="shared" si="44"/>
        <v>105</v>
      </c>
      <c r="I490" s="87" t="s">
        <v>302</v>
      </c>
      <c r="J490" s="50" t="s">
        <v>1023</v>
      </c>
      <c r="K490" s="298">
        <v>43644</v>
      </c>
      <c r="L490" s="298"/>
      <c r="M490" s="30">
        <v>43614</v>
      </c>
      <c r="N490" s="405" t="s">
        <v>2531</v>
      </c>
      <c r="O490" s="93" t="s">
        <v>2532</v>
      </c>
      <c r="P490" s="406"/>
      <c r="Q490" s="406"/>
      <c r="R490" s="406"/>
      <c r="S490" s="406"/>
      <c r="T490" s="620"/>
      <c r="U490" s="581">
        <v>3900</v>
      </c>
      <c r="V490" s="21" t="s">
        <v>2533</v>
      </c>
      <c r="W490" s="460">
        <v>43614</v>
      </c>
      <c r="X490" s="460">
        <v>43614</v>
      </c>
      <c r="Y490" s="304" t="s">
        <v>1024</v>
      </c>
      <c r="Z490" s="304">
        <v>3900</v>
      </c>
      <c r="AA490" s="460">
        <v>43614</v>
      </c>
      <c r="AB490" s="304" t="s">
        <v>2528</v>
      </c>
      <c r="AC490" s="406">
        <v>590014509746</v>
      </c>
      <c r="AD490" s="304"/>
      <c r="AE490" s="304"/>
      <c r="AF490" s="304"/>
      <c r="AG490" s="296"/>
      <c r="AH490" s="296"/>
      <c r="AI490" s="297"/>
      <c r="AJ490" s="298">
        <v>43643</v>
      </c>
      <c r="AK490" s="297" t="s">
        <v>2529</v>
      </c>
      <c r="AL490" s="297" t="s">
        <v>2530</v>
      </c>
      <c r="AM490" s="296" t="s">
        <v>49</v>
      </c>
      <c r="AN490" s="82" t="s">
        <v>284</v>
      </c>
      <c r="AO490" s="296" t="s">
        <v>285</v>
      </c>
      <c r="AP490" s="296" t="s">
        <v>51</v>
      </c>
      <c r="AQ490" s="457" t="s">
        <v>742</v>
      </c>
    </row>
    <row r="491" spans="1:43" ht="15.75" customHeight="1">
      <c r="A491" s="69">
        <v>43593</v>
      </c>
      <c r="B491" s="144" t="s">
        <v>1016</v>
      </c>
      <c r="C491" s="21" t="s">
        <v>1017</v>
      </c>
      <c r="D491" s="491" t="s">
        <v>1018</v>
      </c>
      <c r="E491" s="23" t="s">
        <v>1025</v>
      </c>
      <c r="F491" s="24">
        <v>3</v>
      </c>
      <c r="G491" s="48">
        <v>2023</v>
      </c>
      <c r="H491" s="60">
        <f t="shared" si="44"/>
        <v>6069</v>
      </c>
      <c r="I491" s="87" t="s">
        <v>302</v>
      </c>
      <c r="J491" s="50" t="s">
        <v>1020</v>
      </c>
      <c r="K491" s="298">
        <v>43644</v>
      </c>
      <c r="L491" s="298"/>
      <c r="M491" s="145">
        <v>43642</v>
      </c>
      <c r="N491" s="50" t="s">
        <v>1309</v>
      </c>
      <c r="O491" s="93" t="s">
        <v>2534</v>
      </c>
      <c r="P491" s="406"/>
      <c r="Q491" s="406"/>
      <c r="R491" s="406"/>
      <c r="S491" s="406"/>
      <c r="T491" s="406"/>
      <c r="U491" s="675">
        <v>142913</v>
      </c>
      <c r="V491" s="22"/>
      <c r="W491" s="304"/>
      <c r="X491" s="304"/>
      <c r="Y491" s="304"/>
      <c r="Z491" s="304"/>
      <c r="AA491" s="304"/>
      <c r="AB491" s="304" t="s">
        <v>2535</v>
      </c>
      <c r="AC491" s="406">
        <v>590014509746</v>
      </c>
      <c r="AD491" s="304"/>
      <c r="AE491" s="304"/>
      <c r="AF491" s="304"/>
      <c r="AG491" s="296"/>
      <c r="AH491" s="296"/>
      <c r="AI491" s="297"/>
      <c r="AJ491" s="298">
        <v>43643</v>
      </c>
      <c r="AK491" s="297">
        <f>8612.42*31</f>
        <v>266985.02</v>
      </c>
      <c r="AL491" s="297">
        <f>(8652.87-8612.42)*31</f>
        <v>1253.9500000000226</v>
      </c>
      <c r="AM491" s="296" t="s">
        <v>49</v>
      </c>
      <c r="AN491" s="82" t="s">
        <v>284</v>
      </c>
      <c r="AO491" s="296" t="s">
        <v>285</v>
      </c>
      <c r="AP491" s="296" t="s">
        <v>51</v>
      </c>
      <c r="AQ491" s="457" t="s">
        <v>742</v>
      </c>
    </row>
    <row r="492" spans="1:43" ht="15.75" customHeight="1">
      <c r="A492" s="69">
        <v>43593</v>
      </c>
      <c r="B492" s="144" t="s">
        <v>1016</v>
      </c>
      <c r="C492" s="21" t="s">
        <v>1017</v>
      </c>
      <c r="D492" s="491" t="s">
        <v>1018</v>
      </c>
      <c r="E492" s="23" t="s">
        <v>1025</v>
      </c>
      <c r="F492" s="24">
        <v>3</v>
      </c>
      <c r="G492" s="48">
        <v>-257</v>
      </c>
      <c r="H492" s="60">
        <f t="shared" si="44"/>
        <v>-771</v>
      </c>
      <c r="I492" s="87" t="s">
        <v>302</v>
      </c>
      <c r="J492" s="63"/>
      <c r="K492" s="29"/>
      <c r="L492" s="29"/>
      <c r="M492" s="29"/>
      <c r="N492" s="50" t="s">
        <v>1309</v>
      </c>
      <c r="O492" s="64" t="s">
        <v>2536</v>
      </c>
      <c r="P492" s="406"/>
      <c r="Q492" s="406"/>
      <c r="R492" s="406"/>
      <c r="S492" s="406"/>
      <c r="T492" s="406"/>
      <c r="U492" s="675">
        <v>0</v>
      </c>
      <c r="V492" s="676"/>
      <c r="W492" s="460"/>
      <c r="X492" s="460"/>
      <c r="Y492" s="304"/>
      <c r="Z492" s="304"/>
      <c r="AA492" s="460"/>
      <c r="AB492" s="304"/>
      <c r="AC492" s="304"/>
      <c r="AD492" s="304"/>
      <c r="AE492" s="304"/>
      <c r="AF492" s="460"/>
      <c r="AG492" s="296"/>
      <c r="AH492" s="296"/>
      <c r="AI492" s="297"/>
      <c r="AJ492" s="296" t="s">
        <v>1026</v>
      </c>
      <c r="AK492" s="297" t="s">
        <v>2529</v>
      </c>
      <c r="AL492" s="297" t="s">
        <v>2530</v>
      </c>
      <c r="AM492" s="296" t="s">
        <v>49</v>
      </c>
      <c r="AN492" s="82" t="s">
        <v>284</v>
      </c>
      <c r="AO492" s="296" t="s">
        <v>285</v>
      </c>
      <c r="AP492" s="296" t="s">
        <v>51</v>
      </c>
      <c r="AQ492" s="457" t="s">
        <v>742</v>
      </c>
    </row>
    <row r="493" spans="1:43" ht="15.75" customHeight="1">
      <c r="A493" s="69">
        <v>43593</v>
      </c>
      <c r="B493" s="70" t="s">
        <v>222</v>
      </c>
      <c r="C493" s="21" t="s">
        <v>1027</v>
      </c>
      <c r="D493" s="21" t="s">
        <v>1028</v>
      </c>
      <c r="E493" s="23" t="s">
        <v>1029</v>
      </c>
      <c r="F493" s="24">
        <v>4</v>
      </c>
      <c r="G493" s="48">
        <v>131.25</v>
      </c>
      <c r="H493" s="60">
        <f>G493*F493</f>
        <v>525</v>
      </c>
      <c r="I493" s="87" t="s">
        <v>247</v>
      </c>
      <c r="J493" s="63" t="s">
        <v>89</v>
      </c>
      <c r="K493" s="29">
        <v>43605</v>
      </c>
      <c r="L493" s="29"/>
      <c r="M493" s="29">
        <v>43605</v>
      </c>
      <c r="N493" s="50" t="s">
        <v>89</v>
      </c>
      <c r="O493" s="93" t="s">
        <v>2537</v>
      </c>
      <c r="P493" s="406"/>
      <c r="Q493" s="406">
        <v>478.8</v>
      </c>
      <c r="R493" s="406"/>
      <c r="S493" s="406"/>
      <c r="T493" s="406"/>
      <c r="U493" s="22">
        <v>14769</v>
      </c>
      <c r="V493" s="35" t="s">
        <v>93</v>
      </c>
      <c r="W493" s="460">
        <v>43646</v>
      </c>
      <c r="X493" s="460">
        <v>43602</v>
      </c>
      <c r="Y493" s="304" t="s">
        <v>1030</v>
      </c>
      <c r="Z493" s="304">
        <v>14769</v>
      </c>
      <c r="AA493" s="460">
        <v>43647</v>
      </c>
      <c r="AB493" s="304" t="s">
        <v>2538</v>
      </c>
      <c r="AC493" s="304" t="s">
        <v>2539</v>
      </c>
      <c r="AD493" s="304">
        <v>31.285</v>
      </c>
      <c r="AE493" s="304">
        <v>16425</v>
      </c>
      <c r="AF493" s="460">
        <v>43605</v>
      </c>
      <c r="AG493" s="296"/>
      <c r="AH493" s="296"/>
      <c r="AI493" s="297"/>
      <c r="AJ493" s="298">
        <v>43649</v>
      </c>
      <c r="AK493" s="297">
        <v>16425</v>
      </c>
      <c r="AL493" s="297">
        <v>28</v>
      </c>
      <c r="AM493" s="296" t="s">
        <v>49</v>
      </c>
      <c r="AN493" s="82" t="s">
        <v>284</v>
      </c>
      <c r="AO493" s="296" t="s">
        <v>50</v>
      </c>
      <c r="AP493" s="296" t="s">
        <v>376</v>
      </c>
      <c r="AQ493" s="457" t="s">
        <v>742</v>
      </c>
    </row>
    <row r="494" spans="1:43" ht="15.75" customHeight="1">
      <c r="A494" s="69">
        <v>43593</v>
      </c>
      <c r="B494" s="70" t="s">
        <v>129</v>
      </c>
      <c r="C494" s="21"/>
      <c r="D494" s="21" t="s">
        <v>1031</v>
      </c>
      <c r="E494" s="23" t="s">
        <v>992</v>
      </c>
      <c r="F494" s="24">
        <v>50</v>
      </c>
      <c r="G494" s="48">
        <v>25</v>
      </c>
      <c r="H494" s="60">
        <f t="shared" ref="H494:H509" si="45">F494*G494</f>
        <v>1250</v>
      </c>
      <c r="I494" s="87" t="s">
        <v>247</v>
      </c>
      <c r="J494" s="50" t="s">
        <v>133</v>
      </c>
      <c r="K494" s="30">
        <v>43741</v>
      </c>
      <c r="L494" s="30"/>
      <c r="M494" s="30">
        <v>43734</v>
      </c>
      <c r="N494" s="58" t="s">
        <v>89</v>
      </c>
      <c r="O494" s="93" t="s">
        <v>2540</v>
      </c>
      <c r="P494" s="406">
        <v>23.5</v>
      </c>
      <c r="Q494" s="406">
        <f>(P494*F494)*1.05</f>
        <v>1233.75</v>
      </c>
      <c r="R494" s="406"/>
      <c r="S494" s="406"/>
      <c r="T494" s="406"/>
      <c r="U494" s="406">
        <v>38228</v>
      </c>
      <c r="V494" s="35" t="s">
        <v>93</v>
      </c>
      <c r="W494" s="303">
        <v>43769</v>
      </c>
      <c r="X494" s="460">
        <v>43733</v>
      </c>
      <c r="Y494" s="304" t="s">
        <v>1032</v>
      </c>
      <c r="Z494" s="304">
        <v>162997</v>
      </c>
      <c r="AA494" s="304"/>
      <c r="AB494" s="304" t="s">
        <v>2541</v>
      </c>
      <c r="AC494" s="304">
        <v>4652050782</v>
      </c>
      <c r="AD494" s="304">
        <v>30.97</v>
      </c>
      <c r="AE494" s="304"/>
      <c r="AF494" s="304"/>
      <c r="AG494" s="296"/>
      <c r="AH494" s="296"/>
      <c r="AI494" s="297"/>
      <c r="AJ494" s="29">
        <v>43756</v>
      </c>
      <c r="AK494" s="297">
        <f>5809.46*30.57</f>
        <v>177595.19219999999</v>
      </c>
      <c r="AL494" s="297">
        <f>(5832-5809.46)*30.57</f>
        <v>689.04779999999892</v>
      </c>
      <c r="AM494" s="296" t="s">
        <v>49</v>
      </c>
      <c r="AN494" s="296" t="s">
        <v>284</v>
      </c>
      <c r="AO494" s="296" t="s">
        <v>50</v>
      </c>
      <c r="AP494" s="296" t="s">
        <v>376</v>
      </c>
      <c r="AQ494" s="457" t="s">
        <v>755</v>
      </c>
    </row>
    <row r="495" spans="1:43" ht="15.75" customHeight="1">
      <c r="A495" s="69">
        <v>43594</v>
      </c>
      <c r="B495" s="70" t="s">
        <v>463</v>
      </c>
      <c r="C495" s="21">
        <v>504301</v>
      </c>
      <c r="D495" s="475" t="s">
        <v>1033</v>
      </c>
      <c r="E495" s="23" t="s">
        <v>636</v>
      </c>
      <c r="F495" s="24">
        <v>1</v>
      </c>
      <c r="G495" s="47">
        <v>80</v>
      </c>
      <c r="H495" s="26">
        <f t="shared" si="45"/>
        <v>80</v>
      </c>
      <c r="I495" s="49" t="s">
        <v>302</v>
      </c>
      <c r="J495" s="24" t="s">
        <v>466</v>
      </c>
      <c r="K495" s="298">
        <v>43614</v>
      </c>
      <c r="L495" s="298"/>
      <c r="M495" s="606">
        <v>43613</v>
      </c>
      <c r="N495" s="646" t="s">
        <v>2087</v>
      </c>
      <c r="O495" s="608" t="s">
        <v>2542</v>
      </c>
      <c r="P495" s="612"/>
      <c r="Q495" s="612"/>
      <c r="R495" s="612"/>
      <c r="S495" s="612"/>
      <c r="T495" s="612"/>
      <c r="U495" s="612">
        <v>1637</v>
      </c>
      <c r="V495" s="640" t="s">
        <v>2089</v>
      </c>
      <c r="W495" s="300">
        <v>43608</v>
      </c>
      <c r="X495" s="300">
        <v>43612</v>
      </c>
      <c r="Y495" s="294" t="s">
        <v>971</v>
      </c>
      <c r="Z495" s="294" t="s">
        <v>2492</v>
      </c>
      <c r="AA495" s="258">
        <v>43608</v>
      </c>
      <c r="AB495" s="294" t="s">
        <v>2491</v>
      </c>
      <c r="AC495" s="294">
        <v>106359576</v>
      </c>
      <c r="AD495" s="294"/>
      <c r="AE495" s="294"/>
      <c r="AF495" s="294"/>
      <c r="AG495" s="369"/>
      <c r="AH495" s="369">
        <v>31.05</v>
      </c>
      <c r="AI495" s="370">
        <f>4578*31.05</f>
        <v>142146.9</v>
      </c>
      <c r="AJ495" s="371">
        <v>43612</v>
      </c>
      <c r="AK495" s="370">
        <f>4571.64*31.43</f>
        <v>143686.6452</v>
      </c>
      <c r="AL495" s="370">
        <f>(4578-4571.64)*31.43</f>
        <v>199.89479999998971</v>
      </c>
      <c r="AM495" s="369" t="s">
        <v>49</v>
      </c>
      <c r="AN495" s="369" t="s">
        <v>284</v>
      </c>
      <c r="AO495" s="369" t="s">
        <v>50</v>
      </c>
      <c r="AP495" s="369" t="s">
        <v>51</v>
      </c>
      <c r="AQ495" s="372" t="s">
        <v>439</v>
      </c>
    </row>
    <row r="496" spans="1:43" ht="15.75" customHeight="1">
      <c r="A496" s="69">
        <v>43594</v>
      </c>
      <c r="B496" s="70" t="s">
        <v>463</v>
      </c>
      <c r="C496" s="21">
        <v>504301</v>
      </c>
      <c r="D496" s="475" t="s">
        <v>1033</v>
      </c>
      <c r="E496" s="23" t="s">
        <v>471</v>
      </c>
      <c r="F496" s="24">
        <v>1</v>
      </c>
      <c r="G496" s="47">
        <v>118</v>
      </c>
      <c r="H496" s="26">
        <f t="shared" si="45"/>
        <v>118</v>
      </c>
      <c r="I496" s="49" t="s">
        <v>302</v>
      </c>
      <c r="J496" s="24" t="s">
        <v>466</v>
      </c>
      <c r="K496" s="298">
        <v>43614</v>
      </c>
      <c r="L496" s="298"/>
      <c r="M496" s="606">
        <v>43613</v>
      </c>
      <c r="N496" s="646" t="s">
        <v>2087</v>
      </c>
      <c r="O496" s="608" t="s">
        <v>2542</v>
      </c>
      <c r="P496" s="612"/>
      <c r="Q496" s="612"/>
      <c r="R496" s="612"/>
      <c r="S496" s="612"/>
      <c r="T496" s="612"/>
      <c r="U496" s="612">
        <v>2151</v>
      </c>
      <c r="V496" s="640" t="s">
        <v>2089</v>
      </c>
      <c r="W496" s="300">
        <v>43608</v>
      </c>
      <c r="X496" s="300">
        <v>43612</v>
      </c>
      <c r="Y496" s="294" t="s">
        <v>971</v>
      </c>
      <c r="Z496" s="294" t="s">
        <v>2492</v>
      </c>
      <c r="AA496" s="258">
        <v>43608</v>
      </c>
      <c r="AB496" s="294" t="s">
        <v>2491</v>
      </c>
      <c r="AC496" s="294">
        <v>106359576</v>
      </c>
      <c r="AD496" s="294"/>
      <c r="AE496" s="294"/>
      <c r="AF496" s="294"/>
      <c r="AG496" s="369"/>
      <c r="AH496" s="369">
        <v>31.05</v>
      </c>
      <c r="AI496" s="370">
        <v>0</v>
      </c>
      <c r="AJ496" s="371">
        <v>43612</v>
      </c>
      <c r="AK496" s="370" t="s">
        <v>2543</v>
      </c>
      <c r="AL496" s="370" t="s">
        <v>2544</v>
      </c>
      <c r="AM496" s="369" t="s">
        <v>49</v>
      </c>
      <c r="AN496" s="369" t="s">
        <v>284</v>
      </c>
      <c r="AO496" s="369" t="s">
        <v>50</v>
      </c>
      <c r="AP496" s="369" t="s">
        <v>51</v>
      </c>
      <c r="AQ496" s="372" t="s">
        <v>439</v>
      </c>
    </row>
    <row r="497" spans="1:43" ht="15.75" customHeight="1">
      <c r="A497" s="69">
        <v>43594</v>
      </c>
      <c r="B497" s="70" t="s">
        <v>463</v>
      </c>
      <c r="C497" s="21">
        <v>504301</v>
      </c>
      <c r="D497" s="475" t="s">
        <v>1033</v>
      </c>
      <c r="E497" s="23" t="s">
        <v>472</v>
      </c>
      <c r="F497" s="24">
        <v>1</v>
      </c>
      <c r="G497" s="47">
        <v>160</v>
      </c>
      <c r="H497" s="26">
        <f t="shared" si="45"/>
        <v>160</v>
      </c>
      <c r="I497" s="27" t="s">
        <v>302</v>
      </c>
      <c r="J497" s="24" t="s">
        <v>466</v>
      </c>
      <c r="K497" s="298">
        <v>43614</v>
      </c>
      <c r="L497" s="298"/>
      <c r="M497" s="606">
        <v>43608</v>
      </c>
      <c r="N497" s="646" t="s">
        <v>2221</v>
      </c>
      <c r="O497" s="608" t="s">
        <v>2545</v>
      </c>
      <c r="P497" s="612"/>
      <c r="Q497" s="612"/>
      <c r="R497" s="612"/>
      <c r="S497" s="612"/>
      <c r="T497" s="612"/>
      <c r="U497" s="612">
        <v>4271</v>
      </c>
      <c r="V497" s="612" t="s">
        <v>46</v>
      </c>
      <c r="W497" s="300">
        <v>43646</v>
      </c>
      <c r="X497" s="300">
        <v>43608</v>
      </c>
      <c r="Y497" s="294" t="s">
        <v>972</v>
      </c>
      <c r="Z497" s="294" t="s">
        <v>2546</v>
      </c>
      <c r="AA497" s="293">
        <v>43631</v>
      </c>
      <c r="AB497" s="294" t="s">
        <v>2491</v>
      </c>
      <c r="AC497" s="294">
        <v>106359576</v>
      </c>
      <c r="AD497" s="294"/>
      <c r="AE497" s="294"/>
      <c r="AF497" s="294"/>
      <c r="AG497" s="369"/>
      <c r="AH497" s="369">
        <v>31.05</v>
      </c>
      <c r="AI497" s="370">
        <v>0</v>
      </c>
      <c r="AJ497" s="371">
        <v>43612</v>
      </c>
      <c r="AK497" s="370" t="s">
        <v>2543</v>
      </c>
      <c r="AL497" s="370" t="s">
        <v>2544</v>
      </c>
      <c r="AM497" s="369" t="s">
        <v>49</v>
      </c>
      <c r="AN497" s="369" t="s">
        <v>284</v>
      </c>
      <c r="AO497" s="369" t="s">
        <v>50</v>
      </c>
      <c r="AP497" s="369" t="s">
        <v>51</v>
      </c>
      <c r="AQ497" s="372" t="s">
        <v>439</v>
      </c>
    </row>
    <row r="498" spans="1:43" ht="15.75" customHeight="1">
      <c r="A498" s="69">
        <v>43594</v>
      </c>
      <c r="B498" s="70" t="s">
        <v>463</v>
      </c>
      <c r="C498" s="21">
        <v>504301</v>
      </c>
      <c r="D498" s="475" t="s">
        <v>1033</v>
      </c>
      <c r="E498" s="23" t="s">
        <v>973</v>
      </c>
      <c r="F498" s="24">
        <v>1</v>
      </c>
      <c r="G498" s="47">
        <v>4120</v>
      </c>
      <c r="H498" s="26">
        <f t="shared" si="45"/>
        <v>4120</v>
      </c>
      <c r="I498" s="27" t="s">
        <v>302</v>
      </c>
      <c r="J498" s="24" t="s">
        <v>466</v>
      </c>
      <c r="K498" s="298">
        <v>43614</v>
      </c>
      <c r="L498" s="298"/>
      <c r="M498" s="645">
        <v>43613</v>
      </c>
      <c r="N498" s="607" t="s">
        <v>89</v>
      </c>
      <c r="O498" s="608" t="s">
        <v>2547</v>
      </c>
      <c r="P498" s="612"/>
      <c r="Q498" s="612">
        <v>3863.16</v>
      </c>
      <c r="R498" s="612"/>
      <c r="S498" s="612"/>
      <c r="T498" s="612"/>
      <c r="U498" s="612">
        <v>119951</v>
      </c>
      <c r="V498" s="641" t="s">
        <v>93</v>
      </c>
      <c r="W498" s="300">
        <v>43677</v>
      </c>
      <c r="X498" s="300">
        <v>43612</v>
      </c>
      <c r="Y498" s="294" t="s">
        <v>1034</v>
      </c>
      <c r="Z498" s="294">
        <v>122722</v>
      </c>
      <c r="AA498" s="470">
        <v>43677</v>
      </c>
      <c r="AB498" s="294" t="s">
        <v>2491</v>
      </c>
      <c r="AC498" s="294">
        <v>106359576</v>
      </c>
      <c r="AD498" s="294"/>
      <c r="AE498" s="294"/>
      <c r="AF498" s="294"/>
      <c r="AG498" s="369"/>
      <c r="AH498" s="369">
        <v>31.05</v>
      </c>
      <c r="AI498" s="370">
        <v>0</v>
      </c>
      <c r="AJ498" s="371">
        <v>43612</v>
      </c>
      <c r="AK498" s="370" t="s">
        <v>2543</v>
      </c>
      <c r="AL498" s="370" t="s">
        <v>2544</v>
      </c>
      <c r="AM498" s="369" t="s">
        <v>49</v>
      </c>
      <c r="AN498" s="369" t="s">
        <v>284</v>
      </c>
      <c r="AO498" s="369" t="s">
        <v>50</v>
      </c>
      <c r="AP498" s="369" t="s">
        <v>51</v>
      </c>
      <c r="AQ498" s="372" t="s">
        <v>439</v>
      </c>
    </row>
    <row r="499" spans="1:43" ht="15.75" customHeight="1">
      <c r="A499" s="69">
        <v>43594</v>
      </c>
      <c r="B499" s="70" t="s">
        <v>463</v>
      </c>
      <c r="C499" s="21">
        <v>504301</v>
      </c>
      <c r="D499" s="475" t="s">
        <v>1033</v>
      </c>
      <c r="E499" s="23" t="s">
        <v>465</v>
      </c>
      <c r="F499" s="24">
        <v>1</v>
      </c>
      <c r="G499" s="47">
        <v>100</v>
      </c>
      <c r="H499" s="26">
        <f t="shared" si="45"/>
        <v>100</v>
      </c>
      <c r="I499" s="27" t="s">
        <v>302</v>
      </c>
      <c r="J499" s="24" t="s">
        <v>466</v>
      </c>
      <c r="K499" s="298">
        <v>43614</v>
      </c>
      <c r="L499" s="298"/>
      <c r="M499" s="645">
        <v>43613</v>
      </c>
      <c r="N499" s="607" t="s">
        <v>89</v>
      </c>
      <c r="O499" s="608" t="s">
        <v>2547</v>
      </c>
      <c r="P499" s="612"/>
      <c r="Q499" s="612">
        <v>89.25</v>
      </c>
      <c r="R499" s="612"/>
      <c r="S499" s="612"/>
      <c r="T499" s="612"/>
      <c r="U499" s="612">
        <v>2771</v>
      </c>
      <c r="V499" s="641" t="s">
        <v>93</v>
      </c>
      <c r="W499" s="300">
        <v>43677</v>
      </c>
      <c r="X499" s="300">
        <v>43612</v>
      </c>
      <c r="Y499" s="294" t="s">
        <v>1034</v>
      </c>
      <c r="Z499" s="294" t="s">
        <v>2548</v>
      </c>
      <c r="AA499" s="470">
        <v>43677</v>
      </c>
      <c r="AB499" s="294" t="s">
        <v>2491</v>
      </c>
      <c r="AC499" s="294">
        <v>106359576</v>
      </c>
      <c r="AD499" s="294"/>
      <c r="AE499" s="294"/>
      <c r="AF499" s="294"/>
      <c r="AG499" s="369"/>
      <c r="AH499" s="369">
        <v>31.05</v>
      </c>
      <c r="AI499" s="370">
        <v>0</v>
      </c>
      <c r="AJ499" s="371">
        <v>43612</v>
      </c>
      <c r="AK499" s="370" t="s">
        <v>2543</v>
      </c>
      <c r="AL499" s="370" t="s">
        <v>2544</v>
      </c>
      <c r="AM499" s="369" t="s">
        <v>49</v>
      </c>
      <c r="AN499" s="369" t="s">
        <v>284</v>
      </c>
      <c r="AO499" s="369" t="s">
        <v>50</v>
      </c>
      <c r="AP499" s="369" t="s">
        <v>51</v>
      </c>
      <c r="AQ499" s="372" t="s">
        <v>439</v>
      </c>
    </row>
    <row r="500" spans="1:43" ht="15.75" customHeight="1">
      <c r="A500" s="397">
        <v>43594</v>
      </c>
      <c r="B500" s="375" t="s">
        <v>100</v>
      </c>
      <c r="C500" s="183">
        <v>19000175</v>
      </c>
      <c r="D500" s="492" t="s">
        <v>1035</v>
      </c>
      <c r="E500" s="376" t="s">
        <v>1036</v>
      </c>
      <c r="F500" s="186">
        <v>0</v>
      </c>
      <c r="G500" s="399">
        <v>576</v>
      </c>
      <c r="H500" s="379">
        <f t="shared" si="45"/>
        <v>0</v>
      </c>
      <c r="I500" s="487" t="s">
        <v>302</v>
      </c>
      <c r="J500" s="493" t="s">
        <v>860</v>
      </c>
      <c r="K500" s="191">
        <v>43641</v>
      </c>
      <c r="L500" s="191"/>
      <c r="M500" s="614"/>
      <c r="N500" s="619"/>
      <c r="O500" s="64"/>
      <c r="P500" s="34"/>
      <c r="Q500" s="34"/>
      <c r="R500" s="34"/>
      <c r="S500" s="34"/>
      <c r="T500" s="34"/>
      <c r="U500" s="34"/>
      <c r="V500" s="76"/>
      <c r="W500" s="52"/>
      <c r="X500" s="53"/>
      <c r="Y500" s="53"/>
      <c r="Z500" s="53"/>
      <c r="AA500" s="53"/>
      <c r="AB500" s="53"/>
      <c r="AC500" s="53"/>
      <c r="AD500" s="53"/>
      <c r="AE500" s="53"/>
      <c r="AF500" s="53"/>
      <c r="AG500" s="54"/>
      <c r="AH500" s="54"/>
      <c r="AI500" s="55"/>
      <c r="AJ500" s="54" t="s">
        <v>1212</v>
      </c>
      <c r="AK500" s="55"/>
      <c r="AL500" s="55"/>
      <c r="AM500" s="54" t="s">
        <v>49</v>
      </c>
      <c r="AN500" s="54" t="s">
        <v>295</v>
      </c>
      <c r="AO500" s="54" t="s">
        <v>50</v>
      </c>
      <c r="AP500" s="54" t="s">
        <v>51</v>
      </c>
      <c r="AQ500" s="57"/>
    </row>
    <row r="501" spans="1:43" ht="15.75" customHeight="1">
      <c r="A501" s="397">
        <v>43594</v>
      </c>
      <c r="B501" s="375" t="s">
        <v>100</v>
      </c>
      <c r="C501" s="183">
        <v>19000175</v>
      </c>
      <c r="D501" s="492" t="s">
        <v>1035</v>
      </c>
      <c r="E501" s="376" t="s">
        <v>1037</v>
      </c>
      <c r="F501" s="494">
        <v>0</v>
      </c>
      <c r="G501" s="399">
        <v>219</v>
      </c>
      <c r="H501" s="379">
        <f t="shared" si="45"/>
        <v>0</v>
      </c>
      <c r="I501" s="487" t="s">
        <v>302</v>
      </c>
      <c r="J501" s="493" t="s">
        <v>860</v>
      </c>
      <c r="K501" s="191">
        <v>43641</v>
      </c>
      <c r="L501" s="191"/>
      <c r="M501" s="614"/>
      <c r="N501" s="619"/>
      <c r="O501" s="64"/>
      <c r="P501" s="34"/>
      <c r="Q501" s="34"/>
      <c r="R501" s="34"/>
      <c r="S501" s="34"/>
      <c r="T501" s="34"/>
      <c r="U501" s="34"/>
      <c r="V501" s="76"/>
      <c r="W501" s="52"/>
      <c r="X501" s="53"/>
      <c r="Y501" s="53"/>
      <c r="Z501" s="53"/>
      <c r="AA501" s="53"/>
      <c r="AB501" s="53"/>
      <c r="AC501" s="53"/>
      <c r="AD501" s="53"/>
      <c r="AE501" s="53"/>
      <c r="AF501" s="53"/>
      <c r="AG501" s="54"/>
      <c r="AH501" s="54"/>
      <c r="AI501" s="55"/>
      <c r="AJ501" s="54" t="s">
        <v>1212</v>
      </c>
      <c r="AK501" s="55"/>
      <c r="AL501" s="55"/>
      <c r="AM501" s="54" t="s">
        <v>49</v>
      </c>
      <c r="AN501" s="54" t="s">
        <v>295</v>
      </c>
      <c r="AO501" s="54" t="s">
        <v>50</v>
      </c>
      <c r="AP501" s="54" t="s">
        <v>51</v>
      </c>
      <c r="AQ501" s="57"/>
    </row>
    <row r="502" spans="1:43" ht="15.75" customHeight="1">
      <c r="A502" s="397">
        <v>43594</v>
      </c>
      <c r="B502" s="375" t="s">
        <v>100</v>
      </c>
      <c r="C502" s="183">
        <v>19000175</v>
      </c>
      <c r="D502" s="492" t="s">
        <v>1035</v>
      </c>
      <c r="E502" s="376" t="s">
        <v>1038</v>
      </c>
      <c r="F502" s="186">
        <v>0</v>
      </c>
      <c r="G502" s="399">
        <v>85</v>
      </c>
      <c r="H502" s="379">
        <f t="shared" si="45"/>
        <v>0</v>
      </c>
      <c r="I502" s="487" t="s">
        <v>302</v>
      </c>
      <c r="J502" s="493" t="s">
        <v>860</v>
      </c>
      <c r="K502" s="191">
        <v>43641</v>
      </c>
      <c r="L502" s="191"/>
      <c r="M502" s="614"/>
      <c r="N502" s="619"/>
      <c r="O502" s="64"/>
      <c r="P502" s="34"/>
      <c r="Q502" s="34"/>
      <c r="R502" s="34"/>
      <c r="S502" s="34"/>
      <c r="T502" s="34"/>
      <c r="U502" s="34"/>
      <c r="V502" s="76"/>
      <c r="W502" s="52"/>
      <c r="X502" s="53"/>
      <c r="Y502" s="53"/>
      <c r="Z502" s="53"/>
      <c r="AA502" s="53"/>
      <c r="AB502" s="53"/>
      <c r="AC502" s="53"/>
      <c r="AD502" s="53"/>
      <c r="AE502" s="53"/>
      <c r="AF502" s="53"/>
      <c r="AG502" s="54"/>
      <c r="AH502" s="54"/>
      <c r="AI502" s="55"/>
      <c r="AJ502" s="54" t="s">
        <v>1212</v>
      </c>
      <c r="AK502" s="55"/>
      <c r="AL502" s="55"/>
      <c r="AM502" s="54" t="s">
        <v>49</v>
      </c>
      <c r="AN502" s="54" t="s">
        <v>295</v>
      </c>
      <c r="AO502" s="54" t="s">
        <v>50</v>
      </c>
      <c r="AP502" s="54" t="s">
        <v>51</v>
      </c>
      <c r="AQ502" s="57"/>
    </row>
    <row r="503" spans="1:43" ht="15.75" customHeight="1">
      <c r="A503" s="69">
        <v>43594</v>
      </c>
      <c r="B503" s="70" t="s">
        <v>100</v>
      </c>
      <c r="C503" s="21" t="s">
        <v>1039</v>
      </c>
      <c r="D503" s="32" t="s">
        <v>1040</v>
      </c>
      <c r="E503" s="23" t="s">
        <v>1041</v>
      </c>
      <c r="F503" s="24">
        <v>10</v>
      </c>
      <c r="G503" s="47">
        <v>610</v>
      </c>
      <c r="H503" s="26">
        <f t="shared" si="45"/>
        <v>6100</v>
      </c>
      <c r="I503" s="27" t="s">
        <v>302</v>
      </c>
      <c r="J503" s="79" t="s">
        <v>1042</v>
      </c>
      <c r="K503" s="30">
        <v>43620</v>
      </c>
      <c r="L503" s="30"/>
      <c r="M503" s="30">
        <v>43620</v>
      </c>
      <c r="N503" s="58" t="s">
        <v>1414</v>
      </c>
      <c r="O503" s="93" t="s">
        <v>2549</v>
      </c>
      <c r="P503" s="406"/>
      <c r="Q503" s="406"/>
      <c r="R503" s="406"/>
      <c r="S503" s="406"/>
      <c r="T503" s="406"/>
      <c r="U503" s="406">
        <v>183613</v>
      </c>
      <c r="V503" s="22" t="s">
        <v>1947</v>
      </c>
      <c r="W503" s="460">
        <v>43677</v>
      </c>
      <c r="X503" s="460">
        <v>43619</v>
      </c>
      <c r="Y503" s="304" t="s">
        <v>1043</v>
      </c>
      <c r="Z503" s="304">
        <v>246981</v>
      </c>
      <c r="AA503" s="460">
        <v>43677</v>
      </c>
      <c r="AB503" s="304" t="s">
        <v>2523</v>
      </c>
      <c r="AC503" s="304">
        <v>1481437952</v>
      </c>
      <c r="AD503" s="304"/>
      <c r="AE503" s="304"/>
      <c r="AF503" s="304"/>
      <c r="AG503" s="296"/>
      <c r="AH503" s="296"/>
      <c r="AI503" s="297"/>
      <c r="AJ503" s="298">
        <v>43663</v>
      </c>
      <c r="AK503" s="297" t="s">
        <v>2524</v>
      </c>
      <c r="AL503" s="297" t="s">
        <v>2525</v>
      </c>
      <c r="AM503" s="296" t="s">
        <v>49</v>
      </c>
      <c r="AN503" s="82" t="s">
        <v>284</v>
      </c>
      <c r="AO503" s="296" t="s">
        <v>50</v>
      </c>
      <c r="AP503" s="296" t="s">
        <v>51</v>
      </c>
      <c r="AQ503" s="457" t="s">
        <v>742</v>
      </c>
    </row>
    <row r="504" spans="1:43" ht="15.75" customHeight="1">
      <c r="A504" s="69">
        <v>43594</v>
      </c>
      <c r="B504" s="70" t="s">
        <v>100</v>
      </c>
      <c r="C504" s="21" t="s">
        <v>1039</v>
      </c>
      <c r="D504" s="32" t="s">
        <v>1044</v>
      </c>
      <c r="E504" s="23" t="s">
        <v>1045</v>
      </c>
      <c r="F504" s="24">
        <v>10</v>
      </c>
      <c r="G504" s="47">
        <v>219</v>
      </c>
      <c r="H504" s="26">
        <f t="shared" si="45"/>
        <v>2190</v>
      </c>
      <c r="I504" s="27" t="s">
        <v>302</v>
      </c>
      <c r="J504" s="63" t="s">
        <v>1042</v>
      </c>
      <c r="K504" s="30">
        <v>43620</v>
      </c>
      <c r="L504" s="30"/>
      <c r="M504" s="30">
        <v>43620</v>
      </c>
      <c r="N504" s="58" t="s">
        <v>1414</v>
      </c>
      <c r="O504" s="93" t="s">
        <v>2549</v>
      </c>
      <c r="P504" s="406"/>
      <c r="Q504" s="406"/>
      <c r="R504" s="406"/>
      <c r="S504" s="406"/>
      <c r="T504" s="406"/>
      <c r="U504" s="406">
        <v>63368</v>
      </c>
      <c r="V504" s="22" t="s">
        <v>1947</v>
      </c>
      <c r="W504" s="460">
        <v>43677</v>
      </c>
      <c r="X504" s="460">
        <v>43619</v>
      </c>
      <c r="Y504" s="304" t="s">
        <v>1043</v>
      </c>
      <c r="Z504" s="304" t="s">
        <v>2550</v>
      </c>
      <c r="AA504" s="460">
        <v>43677</v>
      </c>
      <c r="AB504" s="304" t="s">
        <v>2523</v>
      </c>
      <c r="AC504" s="304">
        <v>1481437952</v>
      </c>
      <c r="AD504" s="304"/>
      <c r="AE504" s="304"/>
      <c r="AF504" s="304"/>
      <c r="AG504" s="296"/>
      <c r="AH504" s="296"/>
      <c r="AI504" s="297"/>
      <c r="AJ504" s="298">
        <v>43663</v>
      </c>
      <c r="AK504" s="297" t="s">
        <v>2524</v>
      </c>
      <c r="AL504" s="297" t="s">
        <v>2525</v>
      </c>
      <c r="AM504" s="296" t="s">
        <v>49</v>
      </c>
      <c r="AN504" s="82" t="s">
        <v>284</v>
      </c>
      <c r="AO504" s="296" t="s">
        <v>50</v>
      </c>
      <c r="AP504" s="296" t="s">
        <v>51</v>
      </c>
      <c r="AQ504" s="457" t="s">
        <v>742</v>
      </c>
    </row>
    <row r="505" spans="1:43" ht="15.75" customHeight="1">
      <c r="A505" s="69">
        <v>43594</v>
      </c>
      <c r="B505" s="70" t="s">
        <v>100</v>
      </c>
      <c r="C505" s="21" t="s">
        <v>1039</v>
      </c>
      <c r="D505" s="32" t="s">
        <v>1044</v>
      </c>
      <c r="E505" s="23" t="s">
        <v>1046</v>
      </c>
      <c r="F505" s="24">
        <v>10</v>
      </c>
      <c r="G505" s="47">
        <v>85</v>
      </c>
      <c r="H505" s="26">
        <f t="shared" si="45"/>
        <v>850</v>
      </c>
      <c r="I505" s="27" t="s">
        <v>302</v>
      </c>
      <c r="J505" s="63" t="s">
        <v>1042</v>
      </c>
      <c r="K505" s="29">
        <v>43620</v>
      </c>
      <c r="L505" s="29"/>
      <c r="M505" s="29">
        <v>43615</v>
      </c>
      <c r="N505" s="58" t="s">
        <v>2551</v>
      </c>
      <c r="O505" s="93" t="s">
        <v>2552</v>
      </c>
      <c r="P505" s="406"/>
      <c r="Q505" s="406"/>
      <c r="R505" s="406"/>
      <c r="S505" s="406"/>
      <c r="T505" s="406"/>
      <c r="U505" s="406">
        <v>24650</v>
      </c>
      <c r="V505" s="51" t="s">
        <v>1954</v>
      </c>
      <c r="W505" s="304"/>
      <c r="X505" s="304"/>
      <c r="Y505" s="304"/>
      <c r="Z505" s="304"/>
      <c r="AA505" s="304"/>
      <c r="AB505" s="304" t="s">
        <v>2523</v>
      </c>
      <c r="AC505" s="304">
        <v>1481437952</v>
      </c>
      <c r="AD505" s="304"/>
      <c r="AE505" s="304"/>
      <c r="AF505" s="304"/>
      <c r="AG505" s="296"/>
      <c r="AH505" s="296"/>
      <c r="AI505" s="297"/>
      <c r="AJ505" s="298">
        <v>43663</v>
      </c>
      <c r="AK505" s="297" t="s">
        <v>2524</v>
      </c>
      <c r="AL505" s="297" t="s">
        <v>2525</v>
      </c>
      <c r="AM505" s="296" t="s">
        <v>49</v>
      </c>
      <c r="AN505" s="82" t="s">
        <v>284</v>
      </c>
      <c r="AO505" s="296" t="s">
        <v>50</v>
      </c>
      <c r="AP505" s="296" t="s">
        <v>51</v>
      </c>
      <c r="AQ505" s="457" t="s">
        <v>742</v>
      </c>
    </row>
    <row r="506" spans="1:43" ht="15.75" customHeight="1">
      <c r="A506" s="69">
        <v>43598</v>
      </c>
      <c r="B506" s="23" t="s">
        <v>405</v>
      </c>
      <c r="C506" s="21">
        <v>7000147307</v>
      </c>
      <c r="D506" s="21" t="s">
        <v>1047</v>
      </c>
      <c r="E506" s="23" t="s">
        <v>1048</v>
      </c>
      <c r="F506" s="24">
        <v>1</v>
      </c>
      <c r="G506" s="48">
        <v>275</v>
      </c>
      <c r="H506" s="26">
        <f t="shared" si="45"/>
        <v>275</v>
      </c>
      <c r="I506" s="61" t="s">
        <v>42</v>
      </c>
      <c r="J506" s="50" t="s">
        <v>512</v>
      </c>
      <c r="K506" s="29">
        <v>43606</v>
      </c>
      <c r="L506" s="29"/>
      <c r="M506" s="30">
        <v>43602</v>
      </c>
      <c r="N506" s="58" t="s">
        <v>2043</v>
      </c>
      <c r="O506" s="93" t="s">
        <v>2553</v>
      </c>
      <c r="P506" s="406"/>
      <c r="Q506" s="406"/>
      <c r="R506" s="406"/>
      <c r="S506" s="406"/>
      <c r="T506" s="406"/>
      <c r="U506" s="406">
        <v>7562</v>
      </c>
      <c r="V506" s="20" t="s">
        <v>2045</v>
      </c>
      <c r="W506" s="460">
        <v>43677</v>
      </c>
      <c r="X506" s="460">
        <v>43601</v>
      </c>
      <c r="Y506" s="304" t="s">
        <v>1049</v>
      </c>
      <c r="Z506" s="304">
        <v>9131</v>
      </c>
      <c r="AA506" s="460">
        <v>43677</v>
      </c>
      <c r="AB506" s="304" t="s">
        <v>2510</v>
      </c>
      <c r="AC506" s="304">
        <v>3572419583</v>
      </c>
      <c r="AD506" s="304"/>
      <c r="AE506" s="304"/>
      <c r="AF506" s="304"/>
      <c r="AG506" s="296"/>
      <c r="AH506" s="296">
        <v>31.05</v>
      </c>
      <c r="AI506" s="297">
        <f>331.5*31.05</f>
        <v>10293.075000000001</v>
      </c>
      <c r="AJ506" s="298">
        <v>43650</v>
      </c>
      <c r="AK506" s="297"/>
      <c r="AL506" s="297"/>
      <c r="AM506" s="296" t="s">
        <v>49</v>
      </c>
      <c r="AN506" s="82" t="s">
        <v>284</v>
      </c>
      <c r="AO506" s="296" t="s">
        <v>50</v>
      </c>
      <c r="AP506" s="296" t="s">
        <v>51</v>
      </c>
      <c r="AQ506" s="457" t="s">
        <v>742</v>
      </c>
    </row>
    <row r="507" spans="1:43" ht="15.75" customHeight="1">
      <c r="A507" s="69">
        <v>43598</v>
      </c>
      <c r="B507" s="23" t="s">
        <v>405</v>
      </c>
      <c r="C507" s="21">
        <v>7000147307</v>
      </c>
      <c r="D507" s="21" t="s">
        <v>1047</v>
      </c>
      <c r="E507" s="23" t="s">
        <v>804</v>
      </c>
      <c r="F507" s="24">
        <v>1</v>
      </c>
      <c r="G507" s="48">
        <v>43</v>
      </c>
      <c r="H507" s="26">
        <f t="shared" si="45"/>
        <v>43</v>
      </c>
      <c r="I507" s="61" t="s">
        <v>42</v>
      </c>
      <c r="J507" s="50" t="s">
        <v>512</v>
      </c>
      <c r="K507" s="29">
        <v>43606</v>
      </c>
      <c r="L507" s="29"/>
      <c r="M507" s="30">
        <v>43602</v>
      </c>
      <c r="N507" s="601" t="s">
        <v>2043</v>
      </c>
      <c r="O507" s="93" t="s">
        <v>2553</v>
      </c>
      <c r="P507" s="406"/>
      <c r="Q507" s="406"/>
      <c r="R507" s="406"/>
      <c r="S507" s="406"/>
      <c r="T507" s="406"/>
      <c r="U507" s="406">
        <v>1154</v>
      </c>
      <c r="V507" s="20" t="s">
        <v>2045</v>
      </c>
      <c r="W507" s="460">
        <v>43677</v>
      </c>
      <c r="X507" s="460">
        <v>43601</v>
      </c>
      <c r="Y507" s="304" t="s">
        <v>1049</v>
      </c>
      <c r="Z507" s="495" t="s">
        <v>2554</v>
      </c>
      <c r="AA507" s="460">
        <v>43677</v>
      </c>
      <c r="AB507" s="304" t="s">
        <v>2510</v>
      </c>
      <c r="AC507" s="304">
        <v>3572419583</v>
      </c>
      <c r="AD507" s="304"/>
      <c r="AE507" s="304"/>
      <c r="AF507" s="304"/>
      <c r="AG507" s="296"/>
      <c r="AH507" s="296">
        <v>31.05</v>
      </c>
      <c r="AI507" s="297">
        <v>0</v>
      </c>
      <c r="AJ507" s="298">
        <v>43650</v>
      </c>
      <c r="AK507" s="297"/>
      <c r="AL507" s="297"/>
      <c r="AM507" s="296" t="s">
        <v>49</v>
      </c>
      <c r="AN507" s="82" t="s">
        <v>284</v>
      </c>
      <c r="AO507" s="296" t="s">
        <v>50</v>
      </c>
      <c r="AP507" s="296" t="s">
        <v>51</v>
      </c>
      <c r="AQ507" s="457" t="s">
        <v>742</v>
      </c>
    </row>
    <row r="508" spans="1:43" ht="15.75" customHeight="1">
      <c r="A508" s="69">
        <v>43598</v>
      </c>
      <c r="B508" s="23" t="s">
        <v>405</v>
      </c>
      <c r="C508" s="21">
        <v>7000147307</v>
      </c>
      <c r="D508" s="21" t="s">
        <v>1047</v>
      </c>
      <c r="E508" s="23" t="s">
        <v>1050</v>
      </c>
      <c r="F508" s="24">
        <v>1</v>
      </c>
      <c r="G508" s="48">
        <v>5</v>
      </c>
      <c r="H508" s="26">
        <f t="shared" si="45"/>
        <v>5</v>
      </c>
      <c r="I508" s="61" t="s">
        <v>42</v>
      </c>
      <c r="J508" s="50" t="s">
        <v>512</v>
      </c>
      <c r="K508" s="29">
        <v>43606</v>
      </c>
      <c r="L508" s="29"/>
      <c r="M508" s="30">
        <v>43602</v>
      </c>
      <c r="N508" s="58" t="s">
        <v>2043</v>
      </c>
      <c r="O508" s="93" t="s">
        <v>2553</v>
      </c>
      <c r="P508" s="406"/>
      <c r="Q508" s="406"/>
      <c r="R508" s="406"/>
      <c r="S508" s="406"/>
      <c r="T508" s="406"/>
      <c r="U508" s="406">
        <v>205</v>
      </c>
      <c r="V508" s="20" t="s">
        <v>2045</v>
      </c>
      <c r="W508" s="460">
        <v>43677</v>
      </c>
      <c r="X508" s="460">
        <v>43601</v>
      </c>
      <c r="Y508" s="304" t="s">
        <v>1049</v>
      </c>
      <c r="Z508" s="495" t="s">
        <v>2554</v>
      </c>
      <c r="AA508" s="460">
        <v>43677</v>
      </c>
      <c r="AB508" s="304" t="s">
        <v>2510</v>
      </c>
      <c r="AC508" s="304">
        <v>3572419583</v>
      </c>
      <c r="AD508" s="304"/>
      <c r="AE508" s="304"/>
      <c r="AF508" s="304"/>
      <c r="AG508" s="296"/>
      <c r="AH508" s="296">
        <v>31.05</v>
      </c>
      <c r="AI508" s="297">
        <v>0</v>
      </c>
      <c r="AJ508" s="298">
        <v>43650</v>
      </c>
      <c r="AK508" s="297"/>
      <c r="AL508" s="297"/>
      <c r="AM508" s="296" t="s">
        <v>49</v>
      </c>
      <c r="AN508" s="82" t="s">
        <v>284</v>
      </c>
      <c r="AO508" s="296" t="s">
        <v>50</v>
      </c>
      <c r="AP508" s="296" t="s">
        <v>51</v>
      </c>
      <c r="AQ508" s="457" t="s">
        <v>742</v>
      </c>
    </row>
    <row r="509" spans="1:43" ht="15.75" customHeight="1">
      <c r="A509" s="69">
        <v>43598</v>
      </c>
      <c r="B509" s="23" t="s">
        <v>405</v>
      </c>
      <c r="C509" s="21">
        <v>7000147307</v>
      </c>
      <c r="D509" s="21" t="s">
        <v>1047</v>
      </c>
      <c r="E509" s="23" t="s">
        <v>805</v>
      </c>
      <c r="F509" s="24">
        <v>1</v>
      </c>
      <c r="G509" s="48">
        <v>8.5</v>
      </c>
      <c r="H509" s="26">
        <f t="shared" si="45"/>
        <v>8.5</v>
      </c>
      <c r="I509" s="61" t="s">
        <v>42</v>
      </c>
      <c r="J509" s="50" t="s">
        <v>512</v>
      </c>
      <c r="K509" s="29">
        <v>43606</v>
      </c>
      <c r="L509" s="29"/>
      <c r="M509" s="30">
        <v>43602</v>
      </c>
      <c r="N509" s="58" t="s">
        <v>2043</v>
      </c>
      <c r="O509" s="93" t="s">
        <v>2553</v>
      </c>
      <c r="P509" s="406"/>
      <c r="Q509" s="406"/>
      <c r="R509" s="406"/>
      <c r="S509" s="406"/>
      <c r="T509" s="406"/>
      <c r="U509" s="406">
        <v>210</v>
      </c>
      <c r="V509" s="20" t="s">
        <v>2045</v>
      </c>
      <c r="W509" s="460">
        <v>43677</v>
      </c>
      <c r="X509" s="460">
        <v>43601</v>
      </c>
      <c r="Y509" s="304" t="s">
        <v>1049</v>
      </c>
      <c r="Z509" s="495" t="s">
        <v>2554</v>
      </c>
      <c r="AA509" s="460">
        <v>43677</v>
      </c>
      <c r="AB509" s="304" t="s">
        <v>2510</v>
      </c>
      <c r="AC509" s="304">
        <v>3572419583</v>
      </c>
      <c r="AD509" s="304"/>
      <c r="AE509" s="304"/>
      <c r="AF509" s="304"/>
      <c r="AG509" s="296"/>
      <c r="AH509" s="296">
        <v>31.05</v>
      </c>
      <c r="AI509" s="297">
        <v>0</v>
      </c>
      <c r="AJ509" s="298">
        <v>43650</v>
      </c>
      <c r="AK509" s="297"/>
      <c r="AL509" s="297"/>
      <c r="AM509" s="296" t="s">
        <v>49</v>
      </c>
      <c r="AN509" s="82" t="s">
        <v>284</v>
      </c>
      <c r="AO509" s="296" t="s">
        <v>50</v>
      </c>
      <c r="AP509" s="296" t="s">
        <v>51</v>
      </c>
      <c r="AQ509" s="457" t="s">
        <v>742</v>
      </c>
    </row>
    <row r="510" spans="1:43" ht="15.75" customHeight="1">
      <c r="A510" s="69">
        <v>43598</v>
      </c>
      <c r="B510" s="70" t="s">
        <v>372</v>
      </c>
      <c r="C510" s="21">
        <v>201905090033</v>
      </c>
      <c r="D510" s="21" t="s">
        <v>1051</v>
      </c>
      <c r="E510" s="23" t="s">
        <v>1052</v>
      </c>
      <c r="F510" s="24">
        <v>60</v>
      </c>
      <c r="G510" s="48">
        <v>61.95</v>
      </c>
      <c r="H510" s="60">
        <f t="shared" ref="H510:H520" si="46">G510*F510</f>
        <v>3717</v>
      </c>
      <c r="I510" s="61" t="s">
        <v>42</v>
      </c>
      <c r="J510" s="63" t="s">
        <v>89</v>
      </c>
      <c r="K510" s="29">
        <v>43606</v>
      </c>
      <c r="L510" s="29"/>
      <c r="M510" s="29">
        <v>43606</v>
      </c>
      <c r="N510" s="58" t="s">
        <v>89</v>
      </c>
      <c r="O510" s="93" t="s">
        <v>2555</v>
      </c>
      <c r="P510" s="406"/>
      <c r="Q510" s="406">
        <v>3528</v>
      </c>
      <c r="R510" s="406"/>
      <c r="S510" s="406"/>
      <c r="T510" s="406"/>
      <c r="U510" s="406">
        <v>108821</v>
      </c>
      <c r="V510" s="51" t="s">
        <v>93</v>
      </c>
      <c r="W510" s="460">
        <v>43646</v>
      </c>
      <c r="X510" s="460">
        <v>43605</v>
      </c>
      <c r="Y510" s="304" t="s">
        <v>1053</v>
      </c>
      <c r="Z510" s="304">
        <v>108821</v>
      </c>
      <c r="AA510" s="460">
        <v>43647</v>
      </c>
      <c r="AB510" s="304" t="s">
        <v>2556</v>
      </c>
      <c r="AC510" s="304" t="s">
        <v>2557</v>
      </c>
      <c r="AD510" s="304">
        <v>31.385000000000002</v>
      </c>
      <c r="AE510" s="304">
        <v>116658</v>
      </c>
      <c r="AF510" s="460">
        <v>43606</v>
      </c>
      <c r="AG510" s="296"/>
      <c r="AH510" s="296"/>
      <c r="AI510" s="297"/>
      <c r="AJ510" s="298">
        <v>43647</v>
      </c>
      <c r="AK510" s="297" t="s">
        <v>2558</v>
      </c>
      <c r="AL510" s="297" t="s">
        <v>2558</v>
      </c>
      <c r="AM510" s="296" t="s">
        <v>49</v>
      </c>
      <c r="AN510" s="82" t="s">
        <v>284</v>
      </c>
      <c r="AO510" s="296" t="s">
        <v>50</v>
      </c>
      <c r="AP510" s="296" t="s">
        <v>376</v>
      </c>
      <c r="AQ510" s="457" t="s">
        <v>742</v>
      </c>
    </row>
    <row r="511" spans="1:43" ht="15.75" customHeight="1">
      <c r="A511" s="69">
        <v>43598</v>
      </c>
      <c r="B511" s="70" t="s">
        <v>372</v>
      </c>
      <c r="C511" s="21">
        <v>201905090033</v>
      </c>
      <c r="D511" s="21" t="s">
        <v>1054</v>
      </c>
      <c r="E511" s="23" t="s">
        <v>1052</v>
      </c>
      <c r="F511" s="24">
        <v>60</v>
      </c>
      <c r="G511" s="48">
        <v>61.95</v>
      </c>
      <c r="H511" s="60">
        <f t="shared" si="46"/>
        <v>3717</v>
      </c>
      <c r="I511" s="61" t="s">
        <v>42</v>
      </c>
      <c r="J511" s="63" t="s">
        <v>89</v>
      </c>
      <c r="K511" s="29">
        <v>43623</v>
      </c>
      <c r="L511" s="29"/>
      <c r="M511" s="29">
        <v>43622</v>
      </c>
      <c r="N511" s="58" t="s">
        <v>89</v>
      </c>
      <c r="O511" s="93" t="s">
        <v>2559</v>
      </c>
      <c r="P511" s="406"/>
      <c r="Q511" s="406">
        <v>3528</v>
      </c>
      <c r="R511" s="406"/>
      <c r="S511" s="406"/>
      <c r="T511" s="406"/>
      <c r="U511" s="406">
        <v>110973</v>
      </c>
      <c r="V511" s="51" t="s">
        <v>93</v>
      </c>
      <c r="W511" s="460">
        <v>43677</v>
      </c>
      <c r="X511" s="460">
        <v>43622</v>
      </c>
      <c r="Y511" s="304" t="s">
        <v>1055</v>
      </c>
      <c r="Z511" s="304">
        <v>110973</v>
      </c>
      <c r="AA511" s="460">
        <v>43677</v>
      </c>
      <c r="AB511" s="304" t="s">
        <v>2560</v>
      </c>
      <c r="AC511" s="304" t="s">
        <v>2561</v>
      </c>
      <c r="AD511" s="304">
        <v>31.375</v>
      </c>
      <c r="AE511" s="304">
        <v>116621</v>
      </c>
      <c r="AF511" s="460">
        <v>43622</v>
      </c>
      <c r="AG511" s="296"/>
      <c r="AH511" s="296"/>
      <c r="AI511" s="297"/>
      <c r="AJ511" s="298">
        <v>43700</v>
      </c>
      <c r="AK511" s="297">
        <f>3710.61*31.313</f>
        <v>116190.33093</v>
      </c>
      <c r="AL511" s="297">
        <f>(3717-3710.61)*31.313</f>
        <v>200.09006999999602</v>
      </c>
      <c r="AM511" s="296" t="s">
        <v>49</v>
      </c>
      <c r="AN511" s="296" t="s">
        <v>284</v>
      </c>
      <c r="AO511" s="296" t="s">
        <v>50</v>
      </c>
      <c r="AP511" s="296" t="s">
        <v>376</v>
      </c>
      <c r="AQ511" s="234" t="s">
        <v>506</v>
      </c>
    </row>
    <row r="512" spans="1:43" ht="15.75" customHeight="1">
      <c r="A512" s="69">
        <v>43600</v>
      </c>
      <c r="B512" s="23" t="s">
        <v>405</v>
      </c>
      <c r="C512" s="21">
        <v>7000147355</v>
      </c>
      <c r="D512" s="21" t="s">
        <v>1056</v>
      </c>
      <c r="E512" s="23" t="s">
        <v>1057</v>
      </c>
      <c r="F512" s="24">
        <v>100</v>
      </c>
      <c r="G512" s="48">
        <v>138</v>
      </c>
      <c r="H512" s="60">
        <f t="shared" si="46"/>
        <v>13800</v>
      </c>
      <c r="I512" s="61" t="s">
        <v>42</v>
      </c>
      <c r="J512" s="50" t="s">
        <v>512</v>
      </c>
      <c r="K512" s="29">
        <v>43620</v>
      </c>
      <c r="L512" s="29"/>
      <c r="M512" s="30">
        <v>43614</v>
      </c>
      <c r="N512" s="50" t="s">
        <v>2221</v>
      </c>
      <c r="O512" s="21" t="s">
        <v>2562</v>
      </c>
      <c r="P512" s="22"/>
      <c r="Q512" s="22">
        <v>13440</v>
      </c>
      <c r="R512" s="22"/>
      <c r="S512" s="22"/>
      <c r="T512" s="22"/>
      <c r="U512" s="22">
        <v>423145</v>
      </c>
      <c r="V512" s="406" t="s">
        <v>46</v>
      </c>
      <c r="W512" s="349">
        <v>43646</v>
      </c>
      <c r="X512" s="349">
        <v>43614</v>
      </c>
      <c r="Y512" s="350" t="s">
        <v>1058</v>
      </c>
      <c r="Z512" s="350">
        <v>423145</v>
      </c>
      <c r="AA512" s="459">
        <v>43658</v>
      </c>
      <c r="AB512" s="350" t="s">
        <v>2563</v>
      </c>
      <c r="AC512" s="350">
        <v>5733378895</v>
      </c>
      <c r="AD512" s="350"/>
      <c r="AE512" s="350"/>
      <c r="AF512" s="350"/>
      <c r="AG512" s="82"/>
      <c r="AH512" s="82">
        <v>31.454999999999998</v>
      </c>
      <c r="AI512" s="430"/>
      <c r="AJ512" s="145">
        <v>43657</v>
      </c>
      <c r="AK512" s="430">
        <f>14030.99*30.97</f>
        <v>434539.76029999997</v>
      </c>
      <c r="AL512" s="430">
        <f>(14058-14030.99)*30.97</f>
        <v>836.49970000000678</v>
      </c>
      <c r="AM512" s="82" t="s">
        <v>49</v>
      </c>
      <c r="AN512" s="82" t="s">
        <v>284</v>
      </c>
      <c r="AO512" s="82" t="s">
        <v>50</v>
      </c>
      <c r="AP512" s="82" t="s">
        <v>51</v>
      </c>
      <c r="AQ512" s="457" t="s">
        <v>742</v>
      </c>
    </row>
    <row r="513" spans="1:43" ht="15.75" customHeight="1">
      <c r="A513" s="69">
        <v>43600</v>
      </c>
      <c r="B513" s="70" t="s">
        <v>665</v>
      </c>
      <c r="C513" s="21"/>
      <c r="D513" s="21" t="s">
        <v>1059</v>
      </c>
      <c r="E513" s="23" t="s">
        <v>1060</v>
      </c>
      <c r="F513" s="24">
        <v>5</v>
      </c>
      <c r="G513" s="48">
        <v>250</v>
      </c>
      <c r="H513" s="60">
        <f t="shared" si="46"/>
        <v>1250</v>
      </c>
      <c r="I513" s="61" t="s">
        <v>170</v>
      </c>
      <c r="J513" s="161" t="s">
        <v>668</v>
      </c>
      <c r="K513" s="29">
        <v>43619</v>
      </c>
      <c r="L513" s="29"/>
      <c r="M513" s="606">
        <v>43615</v>
      </c>
      <c r="N513" s="646" t="s">
        <v>2564</v>
      </c>
      <c r="O513" s="608" t="s">
        <v>2565</v>
      </c>
      <c r="P513" s="612"/>
      <c r="Q513" s="612"/>
      <c r="R513" s="612"/>
      <c r="S513" s="612"/>
      <c r="T513" s="609"/>
      <c r="U513" s="609">
        <f>(6842*F513)*1.05</f>
        <v>35920.5</v>
      </c>
      <c r="V513" s="677" t="s">
        <v>2566</v>
      </c>
      <c r="W513" s="300">
        <v>43602</v>
      </c>
      <c r="X513" s="300">
        <v>43614</v>
      </c>
      <c r="Y513" s="294" t="s">
        <v>1061</v>
      </c>
      <c r="Z513" s="294">
        <v>107901</v>
      </c>
      <c r="AA513" s="293">
        <v>43602</v>
      </c>
      <c r="AB513" s="294" t="s">
        <v>2567</v>
      </c>
      <c r="AC513" s="294">
        <v>7602861044</v>
      </c>
      <c r="AD513" s="294"/>
      <c r="AE513" s="294"/>
      <c r="AF513" s="294"/>
      <c r="AG513" s="369"/>
      <c r="AH513" s="369">
        <v>31.454999999999998</v>
      </c>
      <c r="AI513" s="370"/>
      <c r="AJ513" s="371">
        <v>43615</v>
      </c>
      <c r="AK513" s="370">
        <f>3743.66*31.57</f>
        <v>118187.3462</v>
      </c>
      <c r="AL513" s="370">
        <f>6.34*31.57</f>
        <v>200.15379999999999</v>
      </c>
      <c r="AM513" s="369" t="s">
        <v>49</v>
      </c>
      <c r="AN513" s="369" t="s">
        <v>284</v>
      </c>
      <c r="AO513" s="369" t="s">
        <v>50</v>
      </c>
      <c r="AP513" s="369" t="s">
        <v>51</v>
      </c>
      <c r="AQ513" s="372" t="s">
        <v>439</v>
      </c>
    </row>
    <row r="514" spans="1:43" ht="15.75" customHeight="1">
      <c r="A514" s="69">
        <v>43600</v>
      </c>
      <c r="B514" s="70" t="s">
        <v>1016</v>
      </c>
      <c r="C514" s="21">
        <v>19000180</v>
      </c>
      <c r="D514" s="21" t="s">
        <v>1062</v>
      </c>
      <c r="E514" s="23" t="s">
        <v>1063</v>
      </c>
      <c r="F514" s="24">
        <v>1</v>
      </c>
      <c r="G514" s="48">
        <v>150.5</v>
      </c>
      <c r="H514" s="60">
        <f t="shared" si="46"/>
        <v>150.5</v>
      </c>
      <c r="I514" s="61" t="s">
        <v>302</v>
      </c>
      <c r="J514" s="50" t="s">
        <v>860</v>
      </c>
      <c r="K514" s="29">
        <v>43608</v>
      </c>
      <c r="L514" s="29"/>
      <c r="M514" s="29">
        <v>43608</v>
      </c>
      <c r="N514" s="58" t="s">
        <v>89</v>
      </c>
      <c r="O514" s="93" t="s">
        <v>2568</v>
      </c>
      <c r="P514" s="406"/>
      <c r="Q514" s="406">
        <v>138.6</v>
      </c>
      <c r="R514" s="406"/>
      <c r="S514" s="406"/>
      <c r="T514" s="406"/>
      <c r="U514" s="406">
        <v>4304</v>
      </c>
      <c r="V514" s="35" t="s">
        <v>93</v>
      </c>
      <c r="W514" s="460">
        <v>43646</v>
      </c>
      <c r="X514" s="460">
        <v>43607</v>
      </c>
      <c r="Y514" s="304" t="s">
        <v>1064</v>
      </c>
      <c r="Z514" s="304">
        <v>40694</v>
      </c>
      <c r="AA514" s="460">
        <v>43647</v>
      </c>
      <c r="AB514" s="304" t="s">
        <v>2569</v>
      </c>
      <c r="AC514" s="304">
        <v>105230096</v>
      </c>
      <c r="AD514" s="304">
        <v>31.05</v>
      </c>
      <c r="AE514" s="304"/>
      <c r="AF514" s="304"/>
      <c r="AG514" s="296"/>
      <c r="AH514" s="296">
        <v>31.05</v>
      </c>
      <c r="AI514" s="297">
        <f>1394.5*31.05</f>
        <v>43299.224999999999</v>
      </c>
      <c r="AJ514" s="298">
        <v>43643</v>
      </c>
      <c r="AK514" s="297" t="s">
        <v>2529</v>
      </c>
      <c r="AL514" s="297" t="s">
        <v>2530</v>
      </c>
      <c r="AM514" s="296" t="s">
        <v>49</v>
      </c>
      <c r="AN514" s="82" t="s">
        <v>284</v>
      </c>
      <c r="AO514" s="296" t="s">
        <v>50</v>
      </c>
      <c r="AP514" s="296" t="s">
        <v>51</v>
      </c>
      <c r="AQ514" s="457" t="s">
        <v>742</v>
      </c>
    </row>
    <row r="515" spans="1:43" ht="15.75" customHeight="1">
      <c r="A515" s="69">
        <v>43600</v>
      </c>
      <c r="B515" s="70" t="s">
        <v>1016</v>
      </c>
      <c r="C515" s="21">
        <v>19000180</v>
      </c>
      <c r="D515" s="21" t="s">
        <v>1062</v>
      </c>
      <c r="E515" s="23" t="s">
        <v>1065</v>
      </c>
      <c r="F515" s="24">
        <v>1</v>
      </c>
      <c r="G515" s="48">
        <v>84</v>
      </c>
      <c r="H515" s="60">
        <f t="shared" si="46"/>
        <v>84</v>
      </c>
      <c r="I515" s="61" t="s">
        <v>302</v>
      </c>
      <c r="J515" s="50" t="s">
        <v>860</v>
      </c>
      <c r="K515" s="29">
        <v>43608</v>
      </c>
      <c r="L515" s="29"/>
      <c r="M515" s="29">
        <v>43608</v>
      </c>
      <c r="N515" s="58" t="s">
        <v>89</v>
      </c>
      <c r="O515" s="93" t="s">
        <v>2568</v>
      </c>
      <c r="P515" s="406"/>
      <c r="Q515" s="406">
        <v>80.849999999999994</v>
      </c>
      <c r="R515" s="406"/>
      <c r="S515" s="406"/>
      <c r="T515" s="406"/>
      <c r="U515" s="406">
        <v>2510</v>
      </c>
      <c r="V515" s="51" t="s">
        <v>93</v>
      </c>
      <c r="W515" s="460">
        <v>43646</v>
      </c>
      <c r="X515" s="460">
        <v>43607</v>
      </c>
      <c r="Y515" s="304" t="s">
        <v>1064</v>
      </c>
      <c r="Z515" s="304" t="s">
        <v>2570</v>
      </c>
      <c r="AA515" s="460">
        <v>43647</v>
      </c>
      <c r="AB515" s="350" t="s">
        <v>2569</v>
      </c>
      <c r="AC515" s="304">
        <v>105230096</v>
      </c>
      <c r="AD515" s="304">
        <v>31.05</v>
      </c>
      <c r="AE515" s="304"/>
      <c r="AF515" s="304"/>
      <c r="AG515" s="296"/>
      <c r="AH515" s="296">
        <v>31.05</v>
      </c>
      <c r="AI515" s="297">
        <v>0</v>
      </c>
      <c r="AJ515" s="298">
        <v>43643</v>
      </c>
      <c r="AK515" s="297" t="s">
        <v>2529</v>
      </c>
      <c r="AL515" s="297" t="s">
        <v>2530</v>
      </c>
      <c r="AM515" s="296" t="s">
        <v>49</v>
      </c>
      <c r="AN515" s="82" t="s">
        <v>284</v>
      </c>
      <c r="AO515" s="296" t="s">
        <v>50</v>
      </c>
      <c r="AP515" s="296" t="s">
        <v>51</v>
      </c>
      <c r="AQ515" s="457" t="s">
        <v>742</v>
      </c>
    </row>
    <row r="516" spans="1:43" ht="15.75" customHeight="1">
      <c r="A516" s="69">
        <v>43600</v>
      </c>
      <c r="B516" s="70" t="s">
        <v>1016</v>
      </c>
      <c r="C516" s="21">
        <v>19000180</v>
      </c>
      <c r="D516" s="21" t="s">
        <v>1062</v>
      </c>
      <c r="E516" s="23" t="s">
        <v>1066</v>
      </c>
      <c r="F516" s="24">
        <v>2</v>
      </c>
      <c r="G516" s="48">
        <v>113</v>
      </c>
      <c r="H516" s="60">
        <f t="shared" si="46"/>
        <v>226</v>
      </c>
      <c r="I516" s="61" t="s">
        <v>302</v>
      </c>
      <c r="J516" s="50" t="s">
        <v>860</v>
      </c>
      <c r="K516" s="29">
        <v>43608</v>
      </c>
      <c r="L516" s="29"/>
      <c r="M516" s="29">
        <v>43608</v>
      </c>
      <c r="N516" s="58" t="s">
        <v>89</v>
      </c>
      <c r="O516" s="93" t="s">
        <v>2568</v>
      </c>
      <c r="P516" s="406"/>
      <c r="Q516" s="406">
        <v>196.56</v>
      </c>
      <c r="R516" s="406"/>
      <c r="S516" s="406"/>
      <c r="T516" s="406"/>
      <c r="U516" s="406">
        <v>6103</v>
      </c>
      <c r="V516" s="676" t="s">
        <v>93</v>
      </c>
      <c r="W516" s="460">
        <v>43646</v>
      </c>
      <c r="X516" s="460">
        <v>43607</v>
      </c>
      <c r="Y516" s="304" t="s">
        <v>1064</v>
      </c>
      <c r="Z516" s="304" t="s">
        <v>2570</v>
      </c>
      <c r="AA516" s="460">
        <v>43647</v>
      </c>
      <c r="AB516" s="350" t="s">
        <v>2569</v>
      </c>
      <c r="AC516" s="304">
        <v>105230096</v>
      </c>
      <c r="AD516" s="304">
        <v>31.05</v>
      </c>
      <c r="AE516" s="304"/>
      <c r="AF516" s="304"/>
      <c r="AG516" s="296"/>
      <c r="AH516" s="296">
        <v>31.05</v>
      </c>
      <c r="AI516" s="297">
        <v>0</v>
      </c>
      <c r="AJ516" s="298">
        <v>43643</v>
      </c>
      <c r="AK516" s="297" t="s">
        <v>2529</v>
      </c>
      <c r="AL516" s="297" t="s">
        <v>2530</v>
      </c>
      <c r="AM516" s="296" t="s">
        <v>49</v>
      </c>
      <c r="AN516" s="82" t="s">
        <v>284</v>
      </c>
      <c r="AO516" s="296" t="s">
        <v>50</v>
      </c>
      <c r="AP516" s="296" t="s">
        <v>51</v>
      </c>
      <c r="AQ516" s="457" t="s">
        <v>742</v>
      </c>
    </row>
    <row r="517" spans="1:43" ht="15.75" customHeight="1">
      <c r="A517" s="69">
        <v>43600</v>
      </c>
      <c r="B517" s="70" t="s">
        <v>1016</v>
      </c>
      <c r="C517" s="21">
        <v>19000180</v>
      </c>
      <c r="D517" s="21" t="s">
        <v>1062</v>
      </c>
      <c r="E517" s="23" t="s">
        <v>1067</v>
      </c>
      <c r="F517" s="24">
        <v>2</v>
      </c>
      <c r="G517" s="48">
        <v>409</v>
      </c>
      <c r="H517" s="60">
        <f t="shared" si="46"/>
        <v>818</v>
      </c>
      <c r="I517" s="61" t="s">
        <v>302</v>
      </c>
      <c r="J517" s="50" t="s">
        <v>860</v>
      </c>
      <c r="K517" s="29">
        <v>43608</v>
      </c>
      <c r="L517" s="29"/>
      <c r="M517" s="29">
        <v>43608</v>
      </c>
      <c r="N517" s="58" t="s">
        <v>89</v>
      </c>
      <c r="O517" s="93" t="s">
        <v>2568</v>
      </c>
      <c r="P517" s="406"/>
      <c r="Q517" s="406">
        <v>781.2</v>
      </c>
      <c r="R517" s="406"/>
      <c r="S517" s="406"/>
      <c r="T517" s="406"/>
      <c r="U517" s="406">
        <v>24256</v>
      </c>
      <c r="V517" s="35" t="s">
        <v>93</v>
      </c>
      <c r="W517" s="460">
        <v>43646</v>
      </c>
      <c r="X517" s="460">
        <v>43607</v>
      </c>
      <c r="Y517" s="304" t="s">
        <v>1064</v>
      </c>
      <c r="Z517" s="304" t="s">
        <v>2570</v>
      </c>
      <c r="AA517" s="460">
        <v>43647</v>
      </c>
      <c r="AB517" s="350" t="s">
        <v>2569</v>
      </c>
      <c r="AC517" s="304">
        <v>105230096</v>
      </c>
      <c r="AD517" s="304">
        <v>31.05</v>
      </c>
      <c r="AE517" s="304"/>
      <c r="AF517" s="304"/>
      <c r="AG517" s="296"/>
      <c r="AH517" s="296">
        <v>31.05</v>
      </c>
      <c r="AI517" s="297">
        <v>0</v>
      </c>
      <c r="AJ517" s="298">
        <v>43643</v>
      </c>
      <c r="AK517" s="297" t="s">
        <v>2529</v>
      </c>
      <c r="AL517" s="297" t="s">
        <v>2530</v>
      </c>
      <c r="AM517" s="296" t="s">
        <v>49</v>
      </c>
      <c r="AN517" s="82" t="s">
        <v>284</v>
      </c>
      <c r="AO517" s="296" t="s">
        <v>50</v>
      </c>
      <c r="AP517" s="296" t="s">
        <v>51</v>
      </c>
      <c r="AQ517" s="457" t="s">
        <v>742</v>
      </c>
    </row>
    <row r="518" spans="1:43" ht="15.75" customHeight="1">
      <c r="A518" s="69">
        <v>43600</v>
      </c>
      <c r="B518" s="70" t="s">
        <v>1016</v>
      </c>
      <c r="C518" s="21">
        <v>19000180</v>
      </c>
      <c r="D518" s="21" t="s">
        <v>1062</v>
      </c>
      <c r="E518" s="23" t="s">
        <v>1068</v>
      </c>
      <c r="F518" s="24">
        <v>4</v>
      </c>
      <c r="G518" s="48">
        <v>29</v>
      </c>
      <c r="H518" s="60">
        <f t="shared" si="46"/>
        <v>116</v>
      </c>
      <c r="I518" s="61" t="s">
        <v>302</v>
      </c>
      <c r="J518" s="50" t="s">
        <v>860</v>
      </c>
      <c r="K518" s="29">
        <v>43608</v>
      </c>
      <c r="L518" s="29"/>
      <c r="M518" s="29">
        <v>43608</v>
      </c>
      <c r="N518" s="58" t="s">
        <v>89</v>
      </c>
      <c r="O518" s="93" t="s">
        <v>2568</v>
      </c>
      <c r="P518" s="406"/>
      <c r="Q518" s="406">
        <v>113.4</v>
      </c>
      <c r="R518" s="406"/>
      <c r="S518" s="406"/>
      <c r="T518" s="406"/>
      <c r="U518" s="406">
        <v>3521</v>
      </c>
      <c r="V518" s="35" t="s">
        <v>93</v>
      </c>
      <c r="W518" s="460">
        <v>43646</v>
      </c>
      <c r="X518" s="460">
        <v>43607</v>
      </c>
      <c r="Y518" s="304" t="s">
        <v>1064</v>
      </c>
      <c r="Z518" s="304" t="s">
        <v>2570</v>
      </c>
      <c r="AA518" s="460">
        <v>43647</v>
      </c>
      <c r="AB518" s="350" t="s">
        <v>2569</v>
      </c>
      <c r="AC518" s="304">
        <v>105230096</v>
      </c>
      <c r="AD518" s="304">
        <v>31.05</v>
      </c>
      <c r="AE518" s="304"/>
      <c r="AF518" s="304"/>
      <c r="AG518" s="296"/>
      <c r="AH518" s="296">
        <v>31.05</v>
      </c>
      <c r="AI518" s="297">
        <v>0</v>
      </c>
      <c r="AJ518" s="298">
        <v>43643</v>
      </c>
      <c r="AK518" s="297" t="s">
        <v>2529</v>
      </c>
      <c r="AL518" s="297" t="s">
        <v>2530</v>
      </c>
      <c r="AM518" s="296" t="s">
        <v>49</v>
      </c>
      <c r="AN518" s="82" t="s">
        <v>284</v>
      </c>
      <c r="AO518" s="296" t="s">
        <v>50</v>
      </c>
      <c r="AP518" s="296" t="s">
        <v>51</v>
      </c>
      <c r="AQ518" s="457" t="s">
        <v>742</v>
      </c>
    </row>
    <row r="519" spans="1:43" ht="15.75" customHeight="1">
      <c r="A519" s="69">
        <v>43602</v>
      </c>
      <c r="B519" s="70" t="s">
        <v>665</v>
      </c>
      <c r="C519" s="21"/>
      <c r="D519" s="21" t="s">
        <v>1069</v>
      </c>
      <c r="E519" s="23" t="s">
        <v>1060</v>
      </c>
      <c r="F519" s="24">
        <v>10</v>
      </c>
      <c r="G519" s="48">
        <v>250</v>
      </c>
      <c r="H519" s="60">
        <f t="shared" si="46"/>
        <v>2500</v>
      </c>
      <c r="I519" s="61" t="s">
        <v>170</v>
      </c>
      <c r="J519" s="161" t="s">
        <v>668</v>
      </c>
      <c r="K519" s="29">
        <v>43619</v>
      </c>
      <c r="L519" s="29"/>
      <c r="M519" s="606">
        <v>43615</v>
      </c>
      <c r="N519" s="646" t="s">
        <v>2564</v>
      </c>
      <c r="O519" s="396" t="s">
        <v>2571</v>
      </c>
      <c r="P519" s="612"/>
      <c r="Q519" s="612"/>
      <c r="R519" s="612"/>
      <c r="S519" s="612"/>
      <c r="T519" s="609"/>
      <c r="U519" s="609">
        <v>71980</v>
      </c>
      <c r="V519" s="677" t="s">
        <v>2566</v>
      </c>
      <c r="W519" s="300">
        <v>43602</v>
      </c>
      <c r="X519" s="300">
        <v>43614</v>
      </c>
      <c r="Y519" s="294" t="s">
        <v>1061</v>
      </c>
      <c r="Z519" s="294">
        <v>107901</v>
      </c>
      <c r="AA519" s="293">
        <v>43608</v>
      </c>
      <c r="AB519" s="294" t="s">
        <v>2567</v>
      </c>
      <c r="AC519" s="294">
        <v>7602861044</v>
      </c>
      <c r="AD519" s="294"/>
      <c r="AE519" s="294"/>
      <c r="AF519" s="294"/>
      <c r="AG519" s="369"/>
      <c r="AH519" s="369">
        <v>31.454999999999998</v>
      </c>
      <c r="AI519" s="370"/>
      <c r="AJ519" s="371">
        <v>43615</v>
      </c>
      <c r="AK519" s="370" t="s">
        <v>2572</v>
      </c>
      <c r="AL519" s="370">
        <v>0</v>
      </c>
      <c r="AM519" s="369" t="s">
        <v>49</v>
      </c>
      <c r="AN519" s="369" t="s">
        <v>284</v>
      </c>
      <c r="AO519" s="369" t="s">
        <v>50</v>
      </c>
      <c r="AP519" s="369" t="s">
        <v>51</v>
      </c>
      <c r="AQ519" s="372" t="s">
        <v>439</v>
      </c>
    </row>
    <row r="520" spans="1:43" ht="15.75" customHeight="1">
      <c r="A520" s="69">
        <v>43602</v>
      </c>
      <c r="B520" s="70" t="s">
        <v>1070</v>
      </c>
      <c r="C520" s="21" t="s">
        <v>1071</v>
      </c>
      <c r="D520" s="21" t="s">
        <v>1072</v>
      </c>
      <c r="E520" s="23" t="s">
        <v>1073</v>
      </c>
      <c r="F520" s="24">
        <v>1</v>
      </c>
      <c r="G520" s="48">
        <v>155.4</v>
      </c>
      <c r="H520" s="60">
        <f t="shared" si="46"/>
        <v>155.4</v>
      </c>
      <c r="I520" s="61" t="s">
        <v>247</v>
      </c>
      <c r="J520" s="161" t="s">
        <v>1074</v>
      </c>
      <c r="K520" s="29">
        <v>43608</v>
      </c>
      <c r="L520" s="29"/>
      <c r="M520" s="606">
        <v>43606</v>
      </c>
      <c r="N520" s="646" t="s">
        <v>178</v>
      </c>
      <c r="O520" s="396"/>
      <c r="P520" s="612">
        <v>135</v>
      </c>
      <c r="Q520" s="612">
        <f>P520*F520*1.05</f>
        <v>141.75</v>
      </c>
      <c r="R520" s="612"/>
      <c r="S520" s="612"/>
      <c r="T520" s="473"/>
      <c r="U520" s="473">
        <v>4096</v>
      </c>
      <c r="V520" s="677"/>
      <c r="W520" s="294"/>
      <c r="X520" s="294"/>
      <c r="Y520" s="294"/>
      <c r="Z520" s="294"/>
      <c r="AA520" s="294"/>
      <c r="AB520" s="294"/>
      <c r="AC520" s="294" t="s">
        <v>2573</v>
      </c>
      <c r="AD520" s="294">
        <v>31.535</v>
      </c>
      <c r="AE520" s="294">
        <v>4900</v>
      </c>
      <c r="AF520" s="300">
        <v>43608</v>
      </c>
      <c r="AG520" s="369"/>
      <c r="AH520" s="369"/>
      <c r="AI520" s="370"/>
      <c r="AJ520" s="371">
        <v>43621</v>
      </c>
      <c r="AK520" s="370">
        <v>4900</v>
      </c>
      <c r="AL520" s="370">
        <v>0</v>
      </c>
      <c r="AM520" s="369" t="s">
        <v>49</v>
      </c>
      <c r="AN520" s="369" t="s">
        <v>284</v>
      </c>
      <c r="AO520" s="369" t="s">
        <v>50</v>
      </c>
      <c r="AP520" s="369" t="s">
        <v>376</v>
      </c>
      <c r="AQ520" s="372" t="s">
        <v>439</v>
      </c>
    </row>
    <row r="521" spans="1:43" ht="15.75" customHeight="1">
      <c r="A521" s="69">
        <v>43605</v>
      </c>
      <c r="B521" s="70" t="s">
        <v>222</v>
      </c>
      <c r="C521" s="21" t="s">
        <v>1075</v>
      </c>
      <c r="D521" s="21" t="s">
        <v>1076</v>
      </c>
      <c r="E521" s="23" t="s">
        <v>1077</v>
      </c>
      <c r="F521" s="24">
        <v>3</v>
      </c>
      <c r="G521" s="48">
        <v>22.353333330000002</v>
      </c>
      <c r="H521" s="60">
        <v>67.06</v>
      </c>
      <c r="I521" s="61" t="s">
        <v>247</v>
      </c>
      <c r="J521" s="63" t="s">
        <v>89</v>
      </c>
      <c r="K521" s="29">
        <v>43609</v>
      </c>
      <c r="L521" s="29"/>
      <c r="M521" s="29">
        <v>43609</v>
      </c>
      <c r="N521" s="50" t="s">
        <v>89</v>
      </c>
      <c r="O521" s="93" t="s">
        <v>2574</v>
      </c>
      <c r="P521" s="406"/>
      <c r="Q521" s="406"/>
      <c r="R521" s="406"/>
      <c r="S521" s="406"/>
      <c r="T521" s="406"/>
      <c r="U521" s="406">
        <v>1909</v>
      </c>
      <c r="V521" s="35" t="s">
        <v>93</v>
      </c>
      <c r="W521" s="460">
        <v>43677</v>
      </c>
      <c r="X521" s="460">
        <v>43634</v>
      </c>
      <c r="Y521" s="304" t="s">
        <v>1078</v>
      </c>
      <c r="Z521" s="304">
        <v>1909</v>
      </c>
      <c r="AA521" s="460">
        <v>43677</v>
      </c>
      <c r="AB521" s="304" t="s">
        <v>2575</v>
      </c>
      <c r="AC521" s="304" t="s">
        <v>2576</v>
      </c>
      <c r="AD521" s="304"/>
      <c r="AE521" s="304">
        <v>2114</v>
      </c>
      <c r="AF521" s="460">
        <v>43643</v>
      </c>
      <c r="AG521" s="296"/>
      <c r="AH521" s="296"/>
      <c r="AI521" s="297"/>
      <c r="AJ521" s="298">
        <v>43649</v>
      </c>
      <c r="AK521" s="297">
        <v>2114</v>
      </c>
      <c r="AL521" s="297">
        <v>0</v>
      </c>
      <c r="AM521" s="296" t="s">
        <v>49</v>
      </c>
      <c r="AN521" s="82" t="s">
        <v>284</v>
      </c>
      <c r="AO521" s="296" t="s">
        <v>50</v>
      </c>
      <c r="AP521" s="296" t="s">
        <v>376</v>
      </c>
      <c r="AQ521" s="457" t="s">
        <v>742</v>
      </c>
    </row>
    <row r="522" spans="1:43" ht="15.75" customHeight="1">
      <c r="A522" s="69">
        <v>43606</v>
      </c>
      <c r="B522" s="70" t="s">
        <v>100</v>
      </c>
      <c r="C522" s="21" t="s">
        <v>1001</v>
      </c>
      <c r="D522" s="21" t="s">
        <v>1079</v>
      </c>
      <c r="E522" s="23" t="s">
        <v>346</v>
      </c>
      <c r="F522" s="24">
        <v>1</v>
      </c>
      <c r="G522" s="47">
        <v>92</v>
      </c>
      <c r="H522" s="60">
        <v>92</v>
      </c>
      <c r="I522" s="61" t="s">
        <v>302</v>
      </c>
      <c r="J522" s="50" t="s">
        <v>1004</v>
      </c>
      <c r="K522" s="298">
        <v>43606</v>
      </c>
      <c r="L522" s="298"/>
      <c r="M522" s="30"/>
      <c r="N522" s="50" t="s">
        <v>262</v>
      </c>
      <c r="O522" s="93"/>
      <c r="P522" s="406"/>
      <c r="Q522" s="406"/>
      <c r="R522" s="406"/>
      <c r="S522" s="406"/>
      <c r="T522" s="406"/>
      <c r="U522" s="406">
        <v>2412</v>
      </c>
      <c r="V522" s="678" t="s">
        <v>2577</v>
      </c>
      <c r="W522" s="460">
        <v>43646</v>
      </c>
      <c r="X522" s="460">
        <v>43609</v>
      </c>
      <c r="Y522" s="304" t="s">
        <v>1080</v>
      </c>
      <c r="Z522" s="304">
        <v>2412</v>
      </c>
      <c r="AA522" s="460">
        <v>43665</v>
      </c>
      <c r="AB522" s="304" t="s">
        <v>2516</v>
      </c>
      <c r="AC522" s="304">
        <v>8353152592</v>
      </c>
      <c r="AD522" s="304"/>
      <c r="AE522" s="304"/>
      <c r="AF522" s="304"/>
      <c r="AG522" s="296"/>
      <c r="AH522" s="296"/>
      <c r="AI522" s="297"/>
      <c r="AJ522" s="298">
        <v>43663</v>
      </c>
      <c r="AK522" s="297">
        <f>9335.55*31.02</f>
        <v>289588.761</v>
      </c>
      <c r="AL522" s="297">
        <f>26.45*31.02</f>
        <v>820.47899999999993</v>
      </c>
      <c r="AM522" s="296" t="s">
        <v>49</v>
      </c>
      <c r="AN522" s="82" t="s">
        <v>284</v>
      </c>
      <c r="AO522" s="296" t="s">
        <v>50</v>
      </c>
      <c r="AP522" s="296" t="s">
        <v>51</v>
      </c>
      <c r="AQ522" s="457" t="s">
        <v>742</v>
      </c>
    </row>
    <row r="523" spans="1:43" ht="15.75" customHeight="1">
      <c r="A523" s="69">
        <v>43606</v>
      </c>
      <c r="B523" s="70" t="s">
        <v>76</v>
      </c>
      <c r="C523" s="21">
        <v>385</v>
      </c>
      <c r="D523" s="21" t="s">
        <v>1081</v>
      </c>
      <c r="E523" s="23" t="s">
        <v>1082</v>
      </c>
      <c r="F523" s="24">
        <v>50</v>
      </c>
      <c r="G523" s="48">
        <v>2.7</v>
      </c>
      <c r="H523" s="60">
        <f t="shared" ref="H523:H542" si="47">G523*F523</f>
        <v>135</v>
      </c>
      <c r="I523" s="87" t="s">
        <v>42</v>
      </c>
      <c r="J523" s="58" t="s">
        <v>1083</v>
      </c>
      <c r="K523" s="29">
        <v>43622</v>
      </c>
      <c r="L523" s="29"/>
      <c r="M523" s="29">
        <v>43621</v>
      </c>
      <c r="N523" s="50" t="s">
        <v>2578</v>
      </c>
      <c r="O523" s="93" t="s">
        <v>2579</v>
      </c>
      <c r="P523" s="406"/>
      <c r="Q523" s="406"/>
      <c r="R523" s="406"/>
      <c r="S523" s="406"/>
      <c r="T523" s="406"/>
      <c r="U523" s="406">
        <f>(60*50)*1.05</f>
        <v>3150</v>
      </c>
      <c r="V523" s="451" t="s">
        <v>2580</v>
      </c>
      <c r="W523" s="460">
        <v>43651</v>
      </c>
      <c r="X523" s="460">
        <v>43620</v>
      </c>
      <c r="Y523" s="304" t="s">
        <v>1084</v>
      </c>
      <c r="Z523" s="304">
        <v>3150</v>
      </c>
      <c r="AA523" s="460">
        <v>43654</v>
      </c>
      <c r="AB523" s="304" t="s">
        <v>2581</v>
      </c>
      <c r="AC523" s="304">
        <v>108732415</v>
      </c>
      <c r="AD523" s="304"/>
      <c r="AE523" s="304"/>
      <c r="AF523" s="304"/>
      <c r="AG523" s="296"/>
      <c r="AH523" s="296"/>
      <c r="AI523" s="297"/>
      <c r="AJ523" s="298">
        <v>43649</v>
      </c>
      <c r="AK523" s="297">
        <f>135*31.04</f>
        <v>4190.3999999999996</v>
      </c>
      <c r="AL523" s="297">
        <v>0</v>
      </c>
      <c r="AM523" s="296" t="s">
        <v>49</v>
      </c>
      <c r="AN523" s="82" t="s">
        <v>284</v>
      </c>
      <c r="AO523" s="296" t="s">
        <v>50</v>
      </c>
      <c r="AP523" s="296" t="s">
        <v>51</v>
      </c>
      <c r="AQ523" s="457" t="s">
        <v>742</v>
      </c>
    </row>
    <row r="524" spans="1:43" ht="15.75" customHeight="1">
      <c r="A524" s="69">
        <v>43608</v>
      </c>
      <c r="B524" s="23" t="s">
        <v>405</v>
      </c>
      <c r="C524" s="21">
        <v>7000147355</v>
      </c>
      <c r="D524" s="21" t="s">
        <v>1056</v>
      </c>
      <c r="E524" s="23" t="s">
        <v>676</v>
      </c>
      <c r="F524" s="24">
        <v>2</v>
      </c>
      <c r="G524" s="48">
        <v>129</v>
      </c>
      <c r="H524" s="60">
        <f t="shared" si="47"/>
        <v>258</v>
      </c>
      <c r="I524" s="87" t="s">
        <v>42</v>
      </c>
      <c r="J524" s="50" t="s">
        <v>512</v>
      </c>
      <c r="K524" s="29">
        <v>43620</v>
      </c>
      <c r="L524" s="29"/>
      <c r="M524" s="30">
        <v>43615</v>
      </c>
      <c r="N524" s="58" t="s">
        <v>2043</v>
      </c>
      <c r="O524" s="21" t="s">
        <v>2565</v>
      </c>
      <c r="P524" s="406"/>
      <c r="Q524" s="406"/>
      <c r="R524" s="1396"/>
      <c r="S524" s="1396"/>
      <c r="T524" s="679"/>
      <c r="U524" s="620">
        <v>7222</v>
      </c>
      <c r="V524" s="22" t="s">
        <v>2045</v>
      </c>
      <c r="W524" s="460">
        <v>43708</v>
      </c>
      <c r="X524" s="460">
        <v>43614</v>
      </c>
      <c r="Y524" s="304" t="s">
        <v>1085</v>
      </c>
      <c r="Z524" s="304">
        <v>7222</v>
      </c>
      <c r="AA524" s="460">
        <v>43710</v>
      </c>
      <c r="AB524" s="350" t="s">
        <v>2563</v>
      </c>
      <c r="AC524" s="350">
        <v>5733378895</v>
      </c>
      <c r="AD524" s="304"/>
      <c r="AE524" s="304"/>
      <c r="AF524" s="304"/>
      <c r="AG524" s="296"/>
      <c r="AH524" s="296">
        <v>31.454999999999998</v>
      </c>
      <c r="AI524" s="297"/>
      <c r="AJ524" s="298">
        <v>43657</v>
      </c>
      <c r="AK524" s="297" t="s">
        <v>2582</v>
      </c>
      <c r="AL524" s="297" t="s">
        <v>2583</v>
      </c>
      <c r="AM524" s="296" t="s">
        <v>49</v>
      </c>
      <c r="AN524" s="82" t="s">
        <v>284</v>
      </c>
      <c r="AO524" s="296" t="s">
        <v>50</v>
      </c>
      <c r="AP524" s="296" t="s">
        <v>51</v>
      </c>
      <c r="AQ524" s="457" t="s">
        <v>742</v>
      </c>
    </row>
    <row r="525" spans="1:43" ht="15.75" customHeight="1">
      <c r="A525" s="69">
        <v>43608</v>
      </c>
      <c r="B525" s="70" t="s">
        <v>228</v>
      </c>
      <c r="C525" s="21" t="s">
        <v>1086</v>
      </c>
      <c r="D525" s="21" t="s">
        <v>1087</v>
      </c>
      <c r="E525" s="23" t="s">
        <v>231</v>
      </c>
      <c r="F525" s="24">
        <v>15</v>
      </c>
      <c r="G525" s="48">
        <v>407.4</v>
      </c>
      <c r="H525" s="60">
        <f t="shared" si="47"/>
        <v>6111</v>
      </c>
      <c r="I525" s="61" t="s">
        <v>170</v>
      </c>
      <c r="J525" s="63" t="s">
        <v>232</v>
      </c>
      <c r="K525" s="29">
        <v>43629</v>
      </c>
      <c r="L525" s="29"/>
      <c r="M525" s="29">
        <v>43629</v>
      </c>
      <c r="N525" s="50" t="s">
        <v>89</v>
      </c>
      <c r="O525" s="93" t="s">
        <v>2584</v>
      </c>
      <c r="P525" s="406"/>
      <c r="Q525" s="406">
        <v>5591.25</v>
      </c>
      <c r="R525" s="406"/>
      <c r="S525" s="406"/>
      <c r="T525" s="406"/>
      <c r="U525" s="406">
        <v>175146</v>
      </c>
      <c r="V525" s="676" t="s">
        <v>93</v>
      </c>
      <c r="W525" s="460">
        <v>43677</v>
      </c>
      <c r="X525" s="460">
        <v>43628</v>
      </c>
      <c r="Y525" s="304" t="s">
        <v>1088</v>
      </c>
      <c r="Z525" s="304">
        <v>183599</v>
      </c>
      <c r="AA525" s="460">
        <v>43677</v>
      </c>
      <c r="AB525" s="304" t="s">
        <v>2585</v>
      </c>
      <c r="AC525" s="304" t="s">
        <v>2586</v>
      </c>
      <c r="AD525" s="304">
        <v>31.42</v>
      </c>
      <c r="AE525" s="304">
        <v>202565</v>
      </c>
      <c r="AF525" s="460">
        <v>43629</v>
      </c>
      <c r="AG525" s="296"/>
      <c r="AH525" s="296"/>
      <c r="AI525" s="297"/>
      <c r="AJ525" s="296" t="s">
        <v>1089</v>
      </c>
      <c r="AK525" s="297">
        <f>170334+32231</f>
        <v>202565</v>
      </c>
      <c r="AL525" s="297">
        <v>0</v>
      </c>
      <c r="AM525" s="296" t="s">
        <v>49</v>
      </c>
      <c r="AN525" s="296" t="s">
        <v>284</v>
      </c>
      <c r="AO525" s="296" t="s">
        <v>50</v>
      </c>
      <c r="AP525" s="296" t="s">
        <v>376</v>
      </c>
      <c r="AQ525" s="234" t="s">
        <v>506</v>
      </c>
    </row>
    <row r="526" spans="1:43" ht="15.75" customHeight="1">
      <c r="A526" s="69">
        <v>43608</v>
      </c>
      <c r="B526" s="70" t="s">
        <v>228</v>
      </c>
      <c r="C526" s="21" t="s">
        <v>1086</v>
      </c>
      <c r="D526" s="21" t="s">
        <v>1087</v>
      </c>
      <c r="E526" s="23" t="s">
        <v>728</v>
      </c>
      <c r="F526" s="24">
        <v>1</v>
      </c>
      <c r="G526" s="434">
        <v>336</v>
      </c>
      <c r="H526" s="60">
        <f t="shared" si="47"/>
        <v>336</v>
      </c>
      <c r="I526" s="61" t="s">
        <v>170</v>
      </c>
      <c r="J526" s="63" t="s">
        <v>232</v>
      </c>
      <c r="K526" s="29">
        <v>43629</v>
      </c>
      <c r="L526" s="29"/>
      <c r="M526" s="29">
        <v>43629</v>
      </c>
      <c r="N526" s="50" t="s">
        <v>89</v>
      </c>
      <c r="O526" s="93" t="s">
        <v>2584</v>
      </c>
      <c r="P526" s="406"/>
      <c r="Q526" s="406">
        <v>269.85000000000002</v>
      </c>
      <c r="R526" s="406"/>
      <c r="S526" s="406"/>
      <c r="T526" s="406"/>
      <c r="U526" s="406">
        <v>8453</v>
      </c>
      <c r="V526" s="35" t="s">
        <v>93</v>
      </c>
      <c r="W526" s="460">
        <v>43677</v>
      </c>
      <c r="X526" s="460">
        <v>43628</v>
      </c>
      <c r="Y526" s="304" t="s">
        <v>1088</v>
      </c>
      <c r="Z526" s="304" t="s">
        <v>2587</v>
      </c>
      <c r="AA526" s="460">
        <v>43677</v>
      </c>
      <c r="AB526" s="304" t="s">
        <v>2585</v>
      </c>
      <c r="AC526" s="304" t="s">
        <v>2586</v>
      </c>
      <c r="AD526" s="304">
        <v>31.42</v>
      </c>
      <c r="AE526" s="304" t="s">
        <v>2588</v>
      </c>
      <c r="AF526" s="460">
        <v>43629</v>
      </c>
      <c r="AG526" s="296"/>
      <c r="AH526" s="296"/>
      <c r="AI526" s="297"/>
      <c r="AJ526" s="298">
        <v>43683</v>
      </c>
      <c r="AK526" s="297" t="s">
        <v>2589</v>
      </c>
      <c r="AL526" s="297">
        <v>0</v>
      </c>
      <c r="AM526" s="296" t="s">
        <v>49</v>
      </c>
      <c r="AN526" s="296" t="s">
        <v>284</v>
      </c>
      <c r="AO526" s="296" t="s">
        <v>50</v>
      </c>
      <c r="AP526" s="296" t="s">
        <v>376</v>
      </c>
      <c r="AQ526" s="234" t="s">
        <v>506</v>
      </c>
    </row>
    <row r="527" spans="1:43" ht="15.75" customHeight="1">
      <c r="A527" s="69">
        <v>43608</v>
      </c>
      <c r="B527" s="70" t="s">
        <v>589</v>
      </c>
      <c r="C527" s="21">
        <v>64505</v>
      </c>
      <c r="D527" s="21" t="s">
        <v>1090</v>
      </c>
      <c r="E527" s="23" t="s">
        <v>1091</v>
      </c>
      <c r="F527" s="24">
        <v>2</v>
      </c>
      <c r="G527" s="434">
        <v>515</v>
      </c>
      <c r="H527" s="496">
        <f t="shared" si="47"/>
        <v>1030</v>
      </c>
      <c r="I527" s="61" t="s">
        <v>302</v>
      </c>
      <c r="J527" s="63" t="s">
        <v>592</v>
      </c>
      <c r="K527" s="30">
        <v>43634</v>
      </c>
      <c r="L527" s="30"/>
      <c r="M527" s="606">
        <v>43629</v>
      </c>
      <c r="N527" s="607" t="s">
        <v>2008</v>
      </c>
      <c r="O527" s="608" t="s">
        <v>2590</v>
      </c>
      <c r="P527" s="612">
        <v>462</v>
      </c>
      <c r="Q527" s="612">
        <f>P527*F527*1.05</f>
        <v>970.2</v>
      </c>
      <c r="R527" s="612"/>
      <c r="S527" s="612"/>
      <c r="T527" s="612"/>
      <c r="U527" s="612">
        <v>30484</v>
      </c>
      <c r="V527" s="640" t="s">
        <v>2010</v>
      </c>
      <c r="W527" s="300">
        <v>43646</v>
      </c>
      <c r="X527" s="300">
        <v>43628</v>
      </c>
      <c r="Y527" s="294" t="s">
        <v>1092</v>
      </c>
      <c r="Z527" s="294">
        <v>36291</v>
      </c>
      <c r="AA527" s="300">
        <v>43647</v>
      </c>
      <c r="AB527" s="294" t="s">
        <v>2591</v>
      </c>
      <c r="AC527" s="294" t="s">
        <v>2592</v>
      </c>
      <c r="AD527" s="294"/>
      <c r="AE527" s="294"/>
      <c r="AF527" s="294"/>
      <c r="AG527" s="369"/>
      <c r="AH527" s="369">
        <v>31.324999999999999</v>
      </c>
      <c r="AI527" s="370"/>
      <c r="AJ527" s="371">
        <v>43630</v>
      </c>
      <c r="AK527" s="370" t="s">
        <v>2593</v>
      </c>
      <c r="AL527" s="370" t="s">
        <v>2594</v>
      </c>
      <c r="AM527" s="369" t="s">
        <v>49</v>
      </c>
      <c r="AN527" s="369" t="s">
        <v>284</v>
      </c>
      <c r="AO527" s="369" t="s">
        <v>50</v>
      </c>
      <c r="AP527" s="369" t="s">
        <v>51</v>
      </c>
      <c r="AQ527" s="372" t="s">
        <v>439</v>
      </c>
    </row>
    <row r="528" spans="1:43" ht="15.75" customHeight="1">
      <c r="A528" s="69">
        <v>43608</v>
      </c>
      <c r="B528" s="70" t="s">
        <v>589</v>
      </c>
      <c r="C528" s="21">
        <v>64505</v>
      </c>
      <c r="D528" s="21" t="s">
        <v>1090</v>
      </c>
      <c r="E528" s="23" t="s">
        <v>1093</v>
      </c>
      <c r="F528" s="24">
        <v>2</v>
      </c>
      <c r="G528" s="434">
        <v>21</v>
      </c>
      <c r="H528" s="496">
        <f t="shared" si="47"/>
        <v>42</v>
      </c>
      <c r="I528" s="61" t="s">
        <v>302</v>
      </c>
      <c r="J528" s="63" t="s">
        <v>592</v>
      </c>
      <c r="K528" s="30">
        <v>43634</v>
      </c>
      <c r="L528" s="30"/>
      <c r="M528" s="606">
        <v>43629</v>
      </c>
      <c r="N528" s="607" t="s">
        <v>2008</v>
      </c>
      <c r="O528" s="608" t="s">
        <v>2590</v>
      </c>
      <c r="P528" s="612">
        <v>18</v>
      </c>
      <c r="Q528" s="612">
        <f>P528*F528*1.05</f>
        <v>37.800000000000004</v>
      </c>
      <c r="R528" s="612"/>
      <c r="S528" s="612"/>
      <c r="T528" s="612"/>
      <c r="U528" s="612">
        <v>1188</v>
      </c>
      <c r="V528" s="640" t="s">
        <v>2010</v>
      </c>
      <c r="W528" s="300">
        <v>43646</v>
      </c>
      <c r="X528" s="300">
        <v>43628</v>
      </c>
      <c r="Y528" s="294" t="s">
        <v>1092</v>
      </c>
      <c r="Z528" s="294" t="s">
        <v>2595</v>
      </c>
      <c r="AA528" s="300">
        <v>43647</v>
      </c>
      <c r="AB528" s="294" t="s">
        <v>2591</v>
      </c>
      <c r="AC528" s="294" t="s">
        <v>2592</v>
      </c>
      <c r="AD528" s="294"/>
      <c r="AE528" s="294"/>
      <c r="AF528" s="294"/>
      <c r="AG528" s="369"/>
      <c r="AH528" s="369">
        <v>31.324999999999999</v>
      </c>
      <c r="AI528" s="370"/>
      <c r="AJ528" s="371">
        <v>43630</v>
      </c>
      <c r="AK528" s="370" t="s">
        <v>2593</v>
      </c>
      <c r="AL528" s="370" t="s">
        <v>2594</v>
      </c>
      <c r="AM528" s="369" t="s">
        <v>49</v>
      </c>
      <c r="AN528" s="369" t="s">
        <v>284</v>
      </c>
      <c r="AO528" s="369" t="s">
        <v>50</v>
      </c>
      <c r="AP528" s="369" t="s">
        <v>51</v>
      </c>
      <c r="AQ528" s="372" t="s">
        <v>439</v>
      </c>
    </row>
    <row r="529" spans="1:43" ht="15.75" customHeight="1">
      <c r="A529" s="69">
        <v>43608</v>
      </c>
      <c r="B529" s="70" t="s">
        <v>589</v>
      </c>
      <c r="C529" s="21">
        <v>64505</v>
      </c>
      <c r="D529" s="21" t="s">
        <v>1090</v>
      </c>
      <c r="E529" s="23" t="s">
        <v>1094</v>
      </c>
      <c r="F529" s="24">
        <v>2</v>
      </c>
      <c r="G529" s="434">
        <v>55</v>
      </c>
      <c r="H529" s="496">
        <f t="shared" si="47"/>
        <v>110</v>
      </c>
      <c r="I529" s="61" t="s">
        <v>302</v>
      </c>
      <c r="J529" s="63" t="s">
        <v>592</v>
      </c>
      <c r="K529" s="30">
        <v>43634</v>
      </c>
      <c r="L529" s="30"/>
      <c r="M529" s="606">
        <v>43629</v>
      </c>
      <c r="N529" s="607" t="s">
        <v>2008</v>
      </c>
      <c r="O529" s="608" t="s">
        <v>2590</v>
      </c>
      <c r="P529" s="612">
        <v>46</v>
      </c>
      <c r="Q529" s="612">
        <f>P529*F529*1.05</f>
        <v>96.600000000000009</v>
      </c>
      <c r="R529" s="612"/>
      <c r="S529" s="612"/>
      <c r="T529" s="612"/>
      <c r="U529" s="612">
        <v>3035</v>
      </c>
      <c r="V529" s="640" t="s">
        <v>2010</v>
      </c>
      <c r="W529" s="300">
        <v>43646</v>
      </c>
      <c r="X529" s="300">
        <v>43628</v>
      </c>
      <c r="Y529" s="294" t="s">
        <v>1092</v>
      </c>
      <c r="Z529" s="294" t="s">
        <v>2595</v>
      </c>
      <c r="AA529" s="300">
        <v>43647</v>
      </c>
      <c r="AB529" s="294" t="s">
        <v>2591</v>
      </c>
      <c r="AC529" s="294" t="s">
        <v>2592</v>
      </c>
      <c r="AD529" s="294"/>
      <c r="AE529" s="294"/>
      <c r="AF529" s="294"/>
      <c r="AG529" s="369"/>
      <c r="AH529" s="369">
        <v>31.324999999999999</v>
      </c>
      <c r="AI529" s="370"/>
      <c r="AJ529" s="371">
        <v>43630</v>
      </c>
      <c r="AK529" s="370" t="s">
        <v>2593</v>
      </c>
      <c r="AL529" s="370" t="s">
        <v>2594</v>
      </c>
      <c r="AM529" s="369" t="s">
        <v>49</v>
      </c>
      <c r="AN529" s="369" t="s">
        <v>284</v>
      </c>
      <c r="AO529" s="369" t="s">
        <v>50</v>
      </c>
      <c r="AP529" s="369" t="s">
        <v>51</v>
      </c>
      <c r="AQ529" s="57"/>
    </row>
    <row r="530" spans="1:43" ht="15.75" customHeight="1">
      <c r="A530" s="69">
        <v>43608</v>
      </c>
      <c r="B530" s="70" t="s">
        <v>589</v>
      </c>
      <c r="C530" s="21">
        <v>64505</v>
      </c>
      <c r="D530" s="21" t="s">
        <v>1090</v>
      </c>
      <c r="E530" s="23" t="s">
        <v>1095</v>
      </c>
      <c r="F530" s="24">
        <v>2</v>
      </c>
      <c r="G530" s="434">
        <v>32</v>
      </c>
      <c r="H530" s="496">
        <f t="shared" si="47"/>
        <v>64</v>
      </c>
      <c r="I530" s="61" t="s">
        <v>302</v>
      </c>
      <c r="J530" s="63" t="s">
        <v>592</v>
      </c>
      <c r="K530" s="30">
        <v>43634</v>
      </c>
      <c r="L530" s="30"/>
      <c r="M530" s="606">
        <v>43629</v>
      </c>
      <c r="N530" s="607" t="s">
        <v>2008</v>
      </c>
      <c r="O530" s="608" t="s">
        <v>2590</v>
      </c>
      <c r="P530" s="612">
        <v>24</v>
      </c>
      <c r="Q530" s="612">
        <f>P530*F530*1.05</f>
        <v>50.400000000000006</v>
      </c>
      <c r="R530" s="612"/>
      <c r="S530" s="612"/>
      <c r="T530" s="612"/>
      <c r="U530" s="612">
        <v>1584</v>
      </c>
      <c r="V530" s="640" t="s">
        <v>2010</v>
      </c>
      <c r="W530" s="300">
        <v>43646</v>
      </c>
      <c r="X530" s="300">
        <v>43628</v>
      </c>
      <c r="Y530" s="294" t="s">
        <v>1092</v>
      </c>
      <c r="Z530" s="294" t="s">
        <v>2595</v>
      </c>
      <c r="AA530" s="300">
        <v>43647</v>
      </c>
      <c r="AB530" s="294" t="s">
        <v>2591</v>
      </c>
      <c r="AC530" s="294" t="s">
        <v>2592</v>
      </c>
      <c r="AD530" s="294"/>
      <c r="AE530" s="294"/>
      <c r="AF530" s="294"/>
      <c r="AG530" s="369"/>
      <c r="AH530" s="369">
        <v>31.324999999999999</v>
      </c>
      <c r="AI530" s="370"/>
      <c r="AJ530" s="371">
        <v>43630</v>
      </c>
      <c r="AK530" s="370" t="s">
        <v>2593</v>
      </c>
      <c r="AL530" s="370" t="s">
        <v>2594</v>
      </c>
      <c r="AM530" s="369" t="s">
        <v>49</v>
      </c>
      <c r="AN530" s="369" t="s">
        <v>284</v>
      </c>
      <c r="AO530" s="369" t="s">
        <v>50</v>
      </c>
      <c r="AP530" s="369" t="s">
        <v>51</v>
      </c>
      <c r="AQ530" s="372" t="s">
        <v>439</v>
      </c>
    </row>
    <row r="531" spans="1:43" ht="15.75" customHeight="1">
      <c r="A531" s="69">
        <v>43608</v>
      </c>
      <c r="B531" s="70" t="s">
        <v>589</v>
      </c>
      <c r="C531" s="21">
        <v>64505</v>
      </c>
      <c r="D531" s="21" t="s">
        <v>1090</v>
      </c>
      <c r="E531" s="23" t="s">
        <v>1096</v>
      </c>
      <c r="F531" s="24">
        <v>1</v>
      </c>
      <c r="G531" s="434">
        <v>40</v>
      </c>
      <c r="H531" s="496">
        <f t="shared" si="47"/>
        <v>40</v>
      </c>
      <c r="I531" s="61" t="s">
        <v>302</v>
      </c>
      <c r="J531" s="63" t="s">
        <v>592</v>
      </c>
      <c r="K531" s="30">
        <v>43634</v>
      </c>
      <c r="L531" s="30"/>
      <c r="M531" s="30">
        <v>43633</v>
      </c>
      <c r="N531" s="58" t="s">
        <v>1074</v>
      </c>
      <c r="O531" s="64"/>
      <c r="P531" s="34">
        <v>0</v>
      </c>
      <c r="Q531" s="34">
        <v>0</v>
      </c>
      <c r="R531" s="34"/>
      <c r="S531" s="34"/>
      <c r="T531" s="34"/>
      <c r="U531" s="34"/>
      <c r="V531" s="76"/>
      <c r="W531" s="52"/>
      <c r="X531" s="53"/>
      <c r="Y531" s="53"/>
      <c r="Z531" s="53"/>
      <c r="AA531" s="53"/>
      <c r="AB531" s="53"/>
      <c r="AC531" s="53"/>
      <c r="AD531" s="53"/>
      <c r="AE531" s="53"/>
      <c r="AF531" s="53"/>
      <c r="AG531" s="54"/>
      <c r="AH531" s="54">
        <v>31.324999999999999</v>
      </c>
      <c r="AI531" s="55"/>
      <c r="AJ531" s="56">
        <v>43630</v>
      </c>
      <c r="AK531" s="55" t="s">
        <v>2593</v>
      </c>
      <c r="AL531" s="55" t="s">
        <v>2594</v>
      </c>
      <c r="AM531" s="54" t="s">
        <v>49</v>
      </c>
      <c r="AN531" s="54" t="s">
        <v>284</v>
      </c>
      <c r="AO531" s="54" t="s">
        <v>50</v>
      </c>
      <c r="AP531" s="54" t="s">
        <v>51</v>
      </c>
      <c r="AQ531" s="57"/>
    </row>
    <row r="532" spans="1:43" ht="15.75" customHeight="1">
      <c r="A532" s="69">
        <v>43609</v>
      </c>
      <c r="B532" s="70" t="s">
        <v>1097</v>
      </c>
      <c r="C532" s="21"/>
      <c r="D532" s="21" t="s">
        <v>1098</v>
      </c>
      <c r="E532" s="497" t="s">
        <v>1099</v>
      </c>
      <c r="F532" s="24">
        <v>4</v>
      </c>
      <c r="G532" s="48">
        <v>42</v>
      </c>
      <c r="H532" s="60">
        <f t="shared" si="47"/>
        <v>168</v>
      </c>
      <c r="I532" s="61" t="s">
        <v>247</v>
      </c>
      <c r="J532" s="63" t="s">
        <v>262</v>
      </c>
      <c r="K532" s="30">
        <v>43630</v>
      </c>
      <c r="L532" s="30"/>
      <c r="M532" s="645">
        <v>43615</v>
      </c>
      <c r="N532" s="607" t="s">
        <v>2043</v>
      </c>
      <c r="O532" s="608" t="s">
        <v>2596</v>
      </c>
      <c r="P532" s="612"/>
      <c r="Q532" s="612"/>
      <c r="R532" s="612"/>
      <c r="S532" s="612"/>
      <c r="T532" s="612"/>
      <c r="U532" s="612">
        <v>4616</v>
      </c>
      <c r="V532" s="631" t="s">
        <v>2045</v>
      </c>
      <c r="W532" s="300">
        <v>43708</v>
      </c>
      <c r="X532" s="300">
        <v>43614</v>
      </c>
      <c r="Y532" s="294" t="s">
        <v>1100</v>
      </c>
      <c r="Z532" s="294">
        <v>25326</v>
      </c>
      <c r="AA532" s="300">
        <v>43710</v>
      </c>
      <c r="AB532" s="294" t="s">
        <v>2597</v>
      </c>
      <c r="AC532" s="294">
        <v>9802364946</v>
      </c>
      <c r="AD532" s="294"/>
      <c r="AE532" s="294"/>
      <c r="AF532" s="294"/>
      <c r="AG532" s="369"/>
      <c r="AH532" s="369">
        <v>31.324999999999999</v>
      </c>
      <c r="AI532" s="370"/>
      <c r="AJ532" s="371">
        <v>43613</v>
      </c>
      <c r="AK532" s="370">
        <f>898.64*31.467</f>
        <v>28277.504879999997</v>
      </c>
      <c r="AL532" s="370">
        <f>(916-898.64)*31.467</f>
        <v>546.26712000000043</v>
      </c>
      <c r="AM532" s="369" t="s">
        <v>49</v>
      </c>
      <c r="AN532" s="369" t="s">
        <v>284</v>
      </c>
      <c r="AO532" s="369" t="s">
        <v>50</v>
      </c>
      <c r="AP532" s="369" t="s">
        <v>51</v>
      </c>
      <c r="AQ532" s="372" t="s">
        <v>439</v>
      </c>
    </row>
    <row r="533" spans="1:43" ht="15.75" customHeight="1">
      <c r="A533" s="69">
        <v>43609</v>
      </c>
      <c r="B533" s="76" t="s">
        <v>1097</v>
      </c>
      <c r="C533" s="21"/>
      <c r="D533" s="21" t="s">
        <v>1098</v>
      </c>
      <c r="E533" s="498" t="s">
        <v>1101</v>
      </c>
      <c r="F533" s="24">
        <v>1</v>
      </c>
      <c r="G533" s="48">
        <v>133</v>
      </c>
      <c r="H533" s="60">
        <f t="shared" si="47"/>
        <v>133</v>
      </c>
      <c r="I533" s="61" t="s">
        <v>247</v>
      </c>
      <c r="J533" s="63" t="s">
        <v>262</v>
      </c>
      <c r="K533" s="30">
        <v>43630</v>
      </c>
      <c r="L533" s="30"/>
      <c r="M533" s="645">
        <v>43615</v>
      </c>
      <c r="N533" s="607" t="s">
        <v>2043</v>
      </c>
      <c r="O533" s="608" t="s">
        <v>2596</v>
      </c>
      <c r="P533" s="612"/>
      <c r="Q533" s="612"/>
      <c r="R533" s="612"/>
      <c r="S533" s="612"/>
      <c r="T533" s="612"/>
      <c r="U533" s="612">
        <v>3679</v>
      </c>
      <c r="V533" s="631" t="s">
        <v>2045</v>
      </c>
      <c r="W533" s="300">
        <v>43708</v>
      </c>
      <c r="X533" s="300">
        <v>43614</v>
      </c>
      <c r="Y533" s="294" t="s">
        <v>1100</v>
      </c>
      <c r="Z533" s="294" t="s">
        <v>2598</v>
      </c>
      <c r="AA533" s="300">
        <v>43710</v>
      </c>
      <c r="AB533" s="294" t="s">
        <v>2597</v>
      </c>
      <c r="AC533" s="294">
        <v>9802364946</v>
      </c>
      <c r="AD533" s="294"/>
      <c r="AE533" s="294"/>
      <c r="AF533" s="294"/>
      <c r="AG533" s="369"/>
      <c r="AH533" s="369">
        <v>31.324999999999999</v>
      </c>
      <c r="AI533" s="370"/>
      <c r="AJ533" s="371">
        <v>43613</v>
      </c>
      <c r="AK533" s="370" t="s">
        <v>2599</v>
      </c>
      <c r="AL533" s="370" t="s">
        <v>2600</v>
      </c>
      <c r="AM533" s="369" t="s">
        <v>49</v>
      </c>
      <c r="AN533" s="369" t="s">
        <v>284</v>
      </c>
      <c r="AO533" s="369" t="s">
        <v>50</v>
      </c>
      <c r="AP533" s="369" t="s">
        <v>51</v>
      </c>
      <c r="AQ533" s="372" t="s">
        <v>439</v>
      </c>
    </row>
    <row r="534" spans="1:43" ht="15.75" customHeight="1">
      <c r="A534" s="69">
        <v>43609</v>
      </c>
      <c r="B534" s="21" t="s">
        <v>1097</v>
      </c>
      <c r="C534" s="21"/>
      <c r="D534" s="21" t="s">
        <v>1098</v>
      </c>
      <c r="E534" s="498" t="s">
        <v>1102</v>
      </c>
      <c r="F534" s="24">
        <v>5</v>
      </c>
      <c r="G534" s="48">
        <v>123</v>
      </c>
      <c r="H534" s="60">
        <f t="shared" si="47"/>
        <v>615</v>
      </c>
      <c r="I534" s="61" t="s">
        <v>247</v>
      </c>
      <c r="J534" s="63" t="s">
        <v>262</v>
      </c>
      <c r="K534" s="30">
        <v>43630</v>
      </c>
      <c r="L534" s="30"/>
      <c r="M534" s="645">
        <v>43615</v>
      </c>
      <c r="N534" s="607" t="s">
        <v>2043</v>
      </c>
      <c r="O534" s="608" t="s">
        <v>2596</v>
      </c>
      <c r="P534" s="612"/>
      <c r="Q534" s="612"/>
      <c r="R534" s="612"/>
      <c r="S534" s="612"/>
      <c r="T534" s="612"/>
      <c r="U534" s="612">
        <f>16220*1.05</f>
        <v>17031</v>
      </c>
      <c r="V534" s="631" t="s">
        <v>2045</v>
      </c>
      <c r="W534" s="300">
        <v>43708</v>
      </c>
      <c r="X534" s="300">
        <v>43614</v>
      </c>
      <c r="Y534" s="294" t="s">
        <v>1100</v>
      </c>
      <c r="Z534" s="294" t="s">
        <v>2598</v>
      </c>
      <c r="AA534" s="300">
        <v>43710</v>
      </c>
      <c r="AB534" s="294" t="s">
        <v>2597</v>
      </c>
      <c r="AC534" s="294">
        <v>9802364946</v>
      </c>
      <c r="AD534" s="294"/>
      <c r="AE534" s="294"/>
      <c r="AF534" s="294"/>
      <c r="AG534" s="369"/>
      <c r="AH534" s="369">
        <v>31.324999999999999</v>
      </c>
      <c r="AI534" s="370"/>
      <c r="AJ534" s="371">
        <v>43613</v>
      </c>
      <c r="AK534" s="370" t="s">
        <v>2599</v>
      </c>
      <c r="AL534" s="370" t="s">
        <v>2600</v>
      </c>
      <c r="AM534" s="369" t="s">
        <v>49</v>
      </c>
      <c r="AN534" s="369" t="s">
        <v>284</v>
      </c>
      <c r="AO534" s="369" t="s">
        <v>50</v>
      </c>
      <c r="AP534" s="369" t="s">
        <v>51</v>
      </c>
      <c r="AQ534" s="372" t="s">
        <v>439</v>
      </c>
    </row>
    <row r="535" spans="1:43" ht="15.75" customHeight="1">
      <c r="A535" s="69">
        <v>43609</v>
      </c>
      <c r="B535" s="147" t="s">
        <v>377</v>
      </c>
      <c r="C535" s="21" t="s">
        <v>1103</v>
      </c>
      <c r="D535" s="21" t="s">
        <v>1104</v>
      </c>
      <c r="E535" s="32" t="s">
        <v>1105</v>
      </c>
      <c r="F535" s="24">
        <v>1</v>
      </c>
      <c r="G535" s="48">
        <v>2000</v>
      </c>
      <c r="H535" s="60">
        <f t="shared" si="47"/>
        <v>2000</v>
      </c>
      <c r="I535" s="61" t="s">
        <v>1106</v>
      </c>
      <c r="J535" s="161" t="s">
        <v>1107</v>
      </c>
      <c r="K535" s="298">
        <v>43654</v>
      </c>
      <c r="L535" s="298"/>
      <c r="M535" s="30">
        <v>43620</v>
      </c>
      <c r="N535" s="50" t="s">
        <v>2601</v>
      </c>
      <c r="O535" s="21" t="s">
        <v>2602</v>
      </c>
      <c r="P535" s="468">
        <v>1000</v>
      </c>
      <c r="Q535" s="468">
        <f>(P535*F535)*1.05</f>
        <v>1050</v>
      </c>
      <c r="R535" s="468"/>
      <c r="S535" s="468"/>
      <c r="T535" s="620">
        <f t="shared" ref="T535:T537" si="48">P535*31.555</f>
        <v>31555</v>
      </c>
      <c r="U535" s="620">
        <f>(T535*F535)*1.05</f>
        <v>33132.75</v>
      </c>
      <c r="V535" s="70" t="s">
        <v>2603</v>
      </c>
      <c r="W535" s="460">
        <v>43621</v>
      </c>
      <c r="X535" s="460">
        <v>43665</v>
      </c>
      <c r="Y535" s="304" t="s">
        <v>1108</v>
      </c>
      <c r="Z535" s="304">
        <v>33133</v>
      </c>
      <c r="AA535" s="303">
        <v>43621</v>
      </c>
      <c r="AB535" s="304"/>
      <c r="AC535" s="304"/>
      <c r="AD535" s="304"/>
      <c r="AE535" s="304"/>
      <c r="AF535" s="304"/>
      <c r="AG535" s="296"/>
      <c r="AH535" s="296"/>
      <c r="AI535" s="297"/>
      <c r="AJ535" s="298">
        <v>43672</v>
      </c>
      <c r="AK535" s="297">
        <f>9737.56*31.05</f>
        <v>302351.23800000001</v>
      </c>
      <c r="AL535" s="297">
        <f>(9754-9737.56)*31.05</f>
        <v>510.46200000001585</v>
      </c>
      <c r="AM535" s="296" t="s">
        <v>49</v>
      </c>
      <c r="AN535" s="296" t="s">
        <v>284</v>
      </c>
      <c r="AO535" s="296" t="s">
        <v>285</v>
      </c>
      <c r="AP535" s="296" t="s">
        <v>51</v>
      </c>
      <c r="AQ535" s="234" t="s">
        <v>506</v>
      </c>
    </row>
    <row r="536" spans="1:43" ht="15.75" customHeight="1">
      <c r="A536" s="69">
        <v>43609</v>
      </c>
      <c r="B536" s="144" t="s">
        <v>377</v>
      </c>
      <c r="C536" s="21" t="s">
        <v>1103</v>
      </c>
      <c r="D536" s="21" t="s">
        <v>1104</v>
      </c>
      <c r="E536" s="23" t="s">
        <v>1109</v>
      </c>
      <c r="F536" s="24">
        <v>1</v>
      </c>
      <c r="G536" s="48">
        <v>350</v>
      </c>
      <c r="H536" s="60">
        <f t="shared" si="47"/>
        <v>350</v>
      </c>
      <c r="I536" s="61" t="s">
        <v>1106</v>
      </c>
      <c r="J536" s="161" t="s">
        <v>1107</v>
      </c>
      <c r="K536" s="298">
        <v>43654</v>
      </c>
      <c r="L536" s="298"/>
      <c r="M536" s="30">
        <v>43620</v>
      </c>
      <c r="N536" s="50" t="s">
        <v>2601</v>
      </c>
      <c r="O536" s="235" t="s">
        <v>2602</v>
      </c>
      <c r="P536" s="468">
        <v>500</v>
      </c>
      <c r="Q536" s="468">
        <f>(P536*F536)*1.05</f>
        <v>525</v>
      </c>
      <c r="R536" s="468"/>
      <c r="S536" s="468"/>
      <c r="T536" s="620">
        <f t="shared" si="48"/>
        <v>15777.5</v>
      </c>
      <c r="U536" s="620">
        <f>(T536*F536)*1.05</f>
        <v>16566.375</v>
      </c>
      <c r="V536" s="417" t="s">
        <v>2603</v>
      </c>
      <c r="W536" s="460">
        <v>43621</v>
      </c>
      <c r="X536" s="460">
        <v>43665</v>
      </c>
      <c r="Y536" s="304" t="s">
        <v>1108</v>
      </c>
      <c r="Z536" s="304">
        <v>16566</v>
      </c>
      <c r="AA536" s="303">
        <v>43621</v>
      </c>
      <c r="AB536" s="304"/>
      <c r="AC536" s="304"/>
      <c r="AD536" s="304"/>
      <c r="AE536" s="304"/>
      <c r="AF536" s="304"/>
      <c r="AG536" s="296"/>
      <c r="AH536" s="296"/>
      <c r="AI536" s="297"/>
      <c r="AJ536" s="298">
        <v>43672</v>
      </c>
      <c r="AK536" s="297" t="s">
        <v>2599</v>
      </c>
      <c r="AL536" s="297" t="s">
        <v>2600</v>
      </c>
      <c r="AM536" s="296" t="s">
        <v>49</v>
      </c>
      <c r="AN536" s="296" t="s">
        <v>284</v>
      </c>
      <c r="AO536" s="296" t="s">
        <v>285</v>
      </c>
      <c r="AP536" s="296" t="s">
        <v>51</v>
      </c>
      <c r="AQ536" s="234" t="s">
        <v>506</v>
      </c>
    </row>
    <row r="537" spans="1:43" ht="15.75" customHeight="1">
      <c r="A537" s="69">
        <v>43609</v>
      </c>
      <c r="B537" s="144" t="s">
        <v>377</v>
      </c>
      <c r="C537" s="21" t="s">
        <v>1103</v>
      </c>
      <c r="D537" s="21" t="s">
        <v>1110</v>
      </c>
      <c r="E537" s="151" t="s">
        <v>1111</v>
      </c>
      <c r="F537" s="24">
        <v>10</v>
      </c>
      <c r="G537" s="48">
        <v>301</v>
      </c>
      <c r="H537" s="60">
        <f t="shared" si="47"/>
        <v>3010</v>
      </c>
      <c r="I537" s="61" t="s">
        <v>1106</v>
      </c>
      <c r="J537" s="161" t="s">
        <v>1107</v>
      </c>
      <c r="K537" s="298">
        <v>43689</v>
      </c>
      <c r="L537" s="298"/>
      <c r="M537" s="29">
        <v>43668</v>
      </c>
      <c r="N537" s="50" t="s">
        <v>2601</v>
      </c>
      <c r="O537" s="93" t="s">
        <v>2602</v>
      </c>
      <c r="P537" s="468">
        <v>165</v>
      </c>
      <c r="Q537" s="468">
        <f>(P537*F537)*1.05</f>
        <v>1732.5</v>
      </c>
      <c r="R537" s="468"/>
      <c r="S537" s="468"/>
      <c r="T537" s="620">
        <f t="shared" si="48"/>
        <v>5206.5749999999998</v>
      </c>
      <c r="U537" s="620">
        <f>(T537*F537)*1.05</f>
        <v>54669.037500000006</v>
      </c>
      <c r="V537" s="417" t="s">
        <v>2603</v>
      </c>
      <c r="W537" s="460">
        <v>43664</v>
      </c>
      <c r="X537" s="460">
        <v>43665</v>
      </c>
      <c r="Y537" s="304" t="s">
        <v>1112</v>
      </c>
      <c r="Z537" s="304">
        <v>109338</v>
      </c>
      <c r="AA537" s="303">
        <v>43664</v>
      </c>
      <c r="AB537" s="304" t="s">
        <v>2604</v>
      </c>
      <c r="AC537" s="304" t="s">
        <v>2605</v>
      </c>
      <c r="AD537" s="304"/>
      <c r="AE537" s="304"/>
      <c r="AF537" s="304"/>
      <c r="AG537" s="296"/>
      <c r="AH537" s="296"/>
      <c r="AI537" s="297"/>
      <c r="AJ537" s="298">
        <v>43672</v>
      </c>
      <c r="AK537" s="297" t="s">
        <v>2599</v>
      </c>
      <c r="AL537" s="297" t="s">
        <v>2600</v>
      </c>
      <c r="AM537" s="296" t="s">
        <v>49</v>
      </c>
      <c r="AN537" s="296" t="s">
        <v>284</v>
      </c>
      <c r="AO537" s="296" t="s">
        <v>285</v>
      </c>
      <c r="AP537" s="296" t="s">
        <v>51</v>
      </c>
      <c r="AQ537" s="234" t="s">
        <v>506</v>
      </c>
    </row>
    <row r="538" spans="1:43" ht="15.75" customHeight="1">
      <c r="A538" s="69">
        <v>43609</v>
      </c>
      <c r="B538" s="144" t="s">
        <v>377</v>
      </c>
      <c r="C538" s="21" t="s">
        <v>1103</v>
      </c>
      <c r="D538" s="21" t="s">
        <v>1110</v>
      </c>
      <c r="E538" s="246" t="s">
        <v>1113</v>
      </c>
      <c r="F538" s="24">
        <v>10</v>
      </c>
      <c r="G538" s="48">
        <v>0</v>
      </c>
      <c r="H538" s="60">
        <f t="shared" si="47"/>
        <v>0</v>
      </c>
      <c r="I538" s="61" t="s">
        <v>1106</v>
      </c>
      <c r="J538" s="161" t="s">
        <v>1107</v>
      </c>
      <c r="K538" s="298">
        <v>43689</v>
      </c>
      <c r="L538" s="298"/>
      <c r="M538" s="30">
        <v>43684</v>
      </c>
      <c r="N538" s="82" t="s">
        <v>2021</v>
      </c>
      <c r="O538" s="93" t="s">
        <v>2606</v>
      </c>
      <c r="P538" s="406"/>
      <c r="Q538" s="406"/>
      <c r="R538" s="406"/>
      <c r="S538" s="406"/>
      <c r="T538" s="406">
        <v>2600</v>
      </c>
      <c r="U538" s="620">
        <f>(T538*F538)*1.05</f>
        <v>27300</v>
      </c>
      <c r="V538" s="417" t="s">
        <v>2023</v>
      </c>
      <c r="W538" s="460">
        <v>43713</v>
      </c>
      <c r="X538" s="460">
        <v>43684</v>
      </c>
      <c r="Y538" s="304" t="s">
        <v>1114</v>
      </c>
      <c r="Z538" s="304">
        <v>27300</v>
      </c>
      <c r="AA538" s="460">
        <v>43713</v>
      </c>
      <c r="AB538" s="304" t="s">
        <v>2604</v>
      </c>
      <c r="AC538" s="304" t="s">
        <v>2605</v>
      </c>
      <c r="AD538" s="304"/>
      <c r="AE538" s="304"/>
      <c r="AF538" s="304"/>
      <c r="AG538" s="296"/>
      <c r="AH538" s="296"/>
      <c r="AI538" s="297"/>
      <c r="AJ538" s="296" t="s">
        <v>1212</v>
      </c>
      <c r="AK538" s="297"/>
      <c r="AL538" s="297"/>
      <c r="AM538" s="296" t="s">
        <v>49</v>
      </c>
      <c r="AN538" s="296" t="s">
        <v>284</v>
      </c>
      <c r="AO538" s="296" t="s">
        <v>285</v>
      </c>
      <c r="AP538" s="296" t="s">
        <v>51</v>
      </c>
      <c r="AQ538" s="234" t="s">
        <v>506</v>
      </c>
    </row>
    <row r="539" spans="1:43" ht="15.75" customHeight="1">
      <c r="A539" s="69">
        <v>43609</v>
      </c>
      <c r="B539" s="144" t="s">
        <v>377</v>
      </c>
      <c r="C539" s="21" t="s">
        <v>1103</v>
      </c>
      <c r="D539" s="21" t="s">
        <v>1110</v>
      </c>
      <c r="E539" s="246" t="s">
        <v>1115</v>
      </c>
      <c r="F539" s="24">
        <v>10</v>
      </c>
      <c r="G539" s="48">
        <v>0</v>
      </c>
      <c r="H539" s="60">
        <f t="shared" si="47"/>
        <v>0</v>
      </c>
      <c r="I539" s="61" t="s">
        <v>1106</v>
      </c>
      <c r="J539" s="161" t="s">
        <v>1107</v>
      </c>
      <c r="K539" s="30">
        <v>43693</v>
      </c>
      <c r="L539" s="30"/>
      <c r="M539" s="145">
        <v>43641</v>
      </c>
      <c r="N539" s="50" t="s">
        <v>1941</v>
      </c>
      <c r="O539" s="93"/>
      <c r="P539" s="406"/>
      <c r="Q539" s="406"/>
      <c r="R539" s="406"/>
      <c r="S539" s="406"/>
      <c r="T539" s="406">
        <v>0</v>
      </c>
      <c r="U539" s="406">
        <v>0</v>
      </c>
      <c r="V539" s="415"/>
      <c r="W539" s="304"/>
      <c r="X539" s="304"/>
      <c r="Y539" s="304"/>
      <c r="Z539" s="304"/>
      <c r="AA539" s="304"/>
      <c r="AB539" s="304" t="s">
        <v>2604</v>
      </c>
      <c r="AC539" s="304" t="s">
        <v>2605</v>
      </c>
      <c r="AD539" s="304"/>
      <c r="AE539" s="304"/>
      <c r="AF539" s="304"/>
      <c r="AG539" s="296"/>
      <c r="AH539" s="296"/>
      <c r="AI539" s="297"/>
      <c r="AJ539" s="296" t="s">
        <v>1212</v>
      </c>
      <c r="AK539" s="297"/>
      <c r="AL539" s="297"/>
      <c r="AM539" s="296" t="s">
        <v>49</v>
      </c>
      <c r="AN539" s="296" t="s">
        <v>284</v>
      </c>
      <c r="AO539" s="296" t="s">
        <v>285</v>
      </c>
      <c r="AP539" s="296" t="s">
        <v>51</v>
      </c>
      <c r="AQ539" s="234" t="s">
        <v>506</v>
      </c>
    </row>
    <row r="540" spans="1:43" ht="15.75" customHeight="1">
      <c r="A540" s="69">
        <v>43609</v>
      </c>
      <c r="B540" s="144" t="s">
        <v>377</v>
      </c>
      <c r="C540" s="21" t="s">
        <v>1103</v>
      </c>
      <c r="D540" s="21" t="s">
        <v>1116</v>
      </c>
      <c r="E540" s="246" t="s">
        <v>1117</v>
      </c>
      <c r="F540" s="24">
        <v>10</v>
      </c>
      <c r="G540" s="48">
        <v>301</v>
      </c>
      <c r="H540" s="60">
        <f t="shared" si="47"/>
        <v>3010</v>
      </c>
      <c r="I540" s="61" t="s">
        <v>1106</v>
      </c>
      <c r="J540" s="161" t="s">
        <v>1107</v>
      </c>
      <c r="K540" s="30">
        <v>43727</v>
      </c>
      <c r="L540" s="30"/>
      <c r="M540" s="29">
        <v>43668</v>
      </c>
      <c r="N540" s="58" t="s">
        <v>2601</v>
      </c>
      <c r="O540" s="32" t="s">
        <v>2602</v>
      </c>
      <c r="P540" s="468">
        <v>165</v>
      </c>
      <c r="Q540" s="468">
        <f>(P540*F540)*1.05</f>
        <v>1732.5</v>
      </c>
      <c r="R540" s="468"/>
      <c r="S540" s="468"/>
      <c r="T540" s="620">
        <f>P540*31.555</f>
        <v>5206.5749999999998</v>
      </c>
      <c r="U540" s="620">
        <f>(T540*F540)*1.05</f>
        <v>54669.037500000006</v>
      </c>
      <c r="V540" s="70" t="s">
        <v>2603</v>
      </c>
      <c r="W540" s="460">
        <v>43664</v>
      </c>
      <c r="X540" s="460">
        <v>43665</v>
      </c>
      <c r="Y540" s="304" t="s">
        <v>1112</v>
      </c>
      <c r="Z540" s="304" t="s">
        <v>2607</v>
      </c>
      <c r="AA540" s="303">
        <v>43664</v>
      </c>
      <c r="AB540" s="304" t="s">
        <v>2608</v>
      </c>
      <c r="AC540" s="304" t="s">
        <v>2609</v>
      </c>
      <c r="AD540" s="304">
        <v>31.22</v>
      </c>
      <c r="AE540" s="304"/>
      <c r="AF540" s="304"/>
      <c r="AG540" s="296"/>
      <c r="AH540" s="296"/>
      <c r="AI540" s="297"/>
      <c r="AJ540" s="298">
        <v>43707</v>
      </c>
      <c r="AK540" s="297">
        <f>3447.61*31.31</f>
        <v>107944.6691</v>
      </c>
      <c r="AL540" s="297">
        <f>16.39*31.31</f>
        <v>513.17089999999996</v>
      </c>
      <c r="AM540" s="296" t="s">
        <v>49</v>
      </c>
      <c r="AN540" s="296" t="s">
        <v>284</v>
      </c>
      <c r="AO540" s="296" t="s">
        <v>285</v>
      </c>
      <c r="AP540" s="296" t="s">
        <v>51</v>
      </c>
      <c r="AQ540" s="234" t="s">
        <v>1118</v>
      </c>
    </row>
    <row r="541" spans="1:43" ht="15.75" customHeight="1">
      <c r="A541" s="69">
        <v>43609</v>
      </c>
      <c r="B541" s="144" t="s">
        <v>377</v>
      </c>
      <c r="C541" s="21" t="s">
        <v>1103</v>
      </c>
      <c r="D541" s="21" t="s">
        <v>1116</v>
      </c>
      <c r="E541" s="246" t="s">
        <v>1119</v>
      </c>
      <c r="F541" s="24">
        <v>10</v>
      </c>
      <c r="G541" s="48">
        <v>0</v>
      </c>
      <c r="H541" s="60">
        <f t="shared" si="47"/>
        <v>0</v>
      </c>
      <c r="I541" s="61" t="s">
        <v>1106</v>
      </c>
      <c r="J541" s="161" t="s">
        <v>1107</v>
      </c>
      <c r="K541" s="30">
        <v>43727</v>
      </c>
      <c r="L541" s="30"/>
      <c r="M541" s="30">
        <v>43718</v>
      </c>
      <c r="N541" s="82" t="s">
        <v>2021</v>
      </c>
      <c r="O541" s="93" t="s">
        <v>2606</v>
      </c>
      <c r="P541" s="406"/>
      <c r="Q541" s="406"/>
      <c r="R541" s="406"/>
      <c r="S541" s="406"/>
      <c r="T541" s="406">
        <v>2600</v>
      </c>
      <c r="U541" s="620">
        <f>(T541*F541)*1.05</f>
        <v>27300</v>
      </c>
      <c r="V541" s="70" t="s">
        <v>2023</v>
      </c>
      <c r="W541" s="460">
        <v>43743</v>
      </c>
      <c r="X541" s="460">
        <v>43718</v>
      </c>
      <c r="Y541" s="304" t="s">
        <v>1120</v>
      </c>
      <c r="Z541" s="304">
        <v>27300</v>
      </c>
      <c r="AA541" s="460">
        <v>43743</v>
      </c>
      <c r="AB541" s="304" t="s">
        <v>2608</v>
      </c>
      <c r="AC541" s="304" t="s">
        <v>2609</v>
      </c>
      <c r="AD541" s="304">
        <v>31.22</v>
      </c>
      <c r="AE541" s="304"/>
      <c r="AF541" s="304"/>
      <c r="AG541" s="296"/>
      <c r="AH541" s="296"/>
      <c r="AI541" s="297"/>
      <c r="AJ541" s="296" t="s">
        <v>1212</v>
      </c>
      <c r="AK541" s="297"/>
      <c r="AL541" s="297"/>
      <c r="AM541" s="296" t="s">
        <v>49</v>
      </c>
      <c r="AN541" s="296" t="s">
        <v>284</v>
      </c>
      <c r="AO541" s="296" t="s">
        <v>285</v>
      </c>
      <c r="AP541" s="296" t="s">
        <v>51</v>
      </c>
      <c r="AQ541" s="234" t="s">
        <v>1118</v>
      </c>
    </row>
    <row r="542" spans="1:43" ht="15.75" customHeight="1">
      <c r="A542" s="69">
        <v>43609</v>
      </c>
      <c r="B542" s="144" t="s">
        <v>377</v>
      </c>
      <c r="C542" s="21" t="s">
        <v>1103</v>
      </c>
      <c r="D542" s="21" t="s">
        <v>1116</v>
      </c>
      <c r="E542" s="246" t="s">
        <v>1115</v>
      </c>
      <c r="F542" s="24">
        <v>10</v>
      </c>
      <c r="G542" s="48">
        <v>0</v>
      </c>
      <c r="H542" s="60">
        <f t="shared" si="47"/>
        <v>0</v>
      </c>
      <c r="I542" s="61" t="s">
        <v>1106</v>
      </c>
      <c r="J542" s="161" t="s">
        <v>1107</v>
      </c>
      <c r="K542" s="30">
        <v>43727</v>
      </c>
      <c r="L542" s="30"/>
      <c r="M542" s="30">
        <v>43693</v>
      </c>
      <c r="N542" s="63" t="s">
        <v>1941</v>
      </c>
      <c r="O542" s="64"/>
      <c r="P542" s="34"/>
      <c r="Q542" s="34"/>
      <c r="R542" s="34"/>
      <c r="S542" s="34"/>
      <c r="T542" s="406">
        <v>0</v>
      </c>
      <c r="U542" s="406">
        <v>0</v>
      </c>
      <c r="V542" s="66"/>
      <c r="W542" s="304"/>
      <c r="X542" s="53"/>
      <c r="Y542" s="53"/>
      <c r="Z542" s="53"/>
      <c r="AA542" s="53"/>
      <c r="AB542" s="53" t="s">
        <v>2608</v>
      </c>
      <c r="AC542" s="53" t="s">
        <v>2609</v>
      </c>
      <c r="AD542" s="53">
        <v>31.22</v>
      </c>
      <c r="AE542" s="53"/>
      <c r="AF542" s="53"/>
      <c r="AG542" s="54"/>
      <c r="AH542" s="54"/>
      <c r="AI542" s="55"/>
      <c r="AJ542" s="56">
        <v>43707</v>
      </c>
      <c r="AK542" s="55" t="s">
        <v>2599</v>
      </c>
      <c r="AL542" s="55" t="s">
        <v>2600</v>
      </c>
      <c r="AM542" s="54" t="s">
        <v>49</v>
      </c>
      <c r="AN542" s="54" t="s">
        <v>284</v>
      </c>
      <c r="AO542" s="54" t="s">
        <v>285</v>
      </c>
      <c r="AP542" s="54" t="s">
        <v>51</v>
      </c>
      <c r="AQ542" s="57"/>
    </row>
    <row r="543" spans="1:43" ht="15.75" customHeight="1">
      <c r="A543" s="69">
        <v>43614</v>
      </c>
      <c r="B543" s="70" t="s">
        <v>713</v>
      </c>
      <c r="C543" s="21"/>
      <c r="D543" s="21" t="s">
        <v>1121</v>
      </c>
      <c r="E543" s="32" t="s">
        <v>1122</v>
      </c>
      <c r="F543" s="24">
        <v>1</v>
      </c>
      <c r="G543" s="48">
        <v>517</v>
      </c>
      <c r="H543" s="60">
        <v>517</v>
      </c>
      <c r="I543" s="346" t="s">
        <v>247</v>
      </c>
      <c r="J543" s="58" t="s">
        <v>1123</v>
      </c>
      <c r="K543" s="30">
        <v>43626</v>
      </c>
      <c r="L543" s="30"/>
      <c r="M543" s="606">
        <v>43622</v>
      </c>
      <c r="N543" s="607" t="s">
        <v>89</v>
      </c>
      <c r="O543" s="608" t="s">
        <v>2610</v>
      </c>
      <c r="P543" s="612"/>
      <c r="Q543" s="612">
        <v>477.75</v>
      </c>
      <c r="R543" s="612"/>
      <c r="S543" s="612"/>
      <c r="T543" s="612"/>
      <c r="U543" s="612">
        <v>15028</v>
      </c>
      <c r="V543" s="610" t="s">
        <v>93</v>
      </c>
      <c r="W543" s="300">
        <v>43677</v>
      </c>
      <c r="X543" s="300">
        <v>43621</v>
      </c>
      <c r="Y543" s="294" t="s">
        <v>1124</v>
      </c>
      <c r="Z543" s="294">
        <v>15028</v>
      </c>
      <c r="AA543" s="470">
        <v>43677</v>
      </c>
      <c r="AB543" s="294" t="s">
        <v>2611</v>
      </c>
      <c r="AC543" s="294">
        <v>6480616936</v>
      </c>
      <c r="AD543" s="294"/>
      <c r="AE543" s="294"/>
      <c r="AF543" s="294"/>
      <c r="AG543" s="369"/>
      <c r="AH543" s="369"/>
      <c r="AI543" s="370"/>
      <c r="AJ543" s="371">
        <v>43616</v>
      </c>
      <c r="AK543" s="370">
        <f>524.66*31.545</f>
        <v>16550.399699999998</v>
      </c>
      <c r="AL543" s="370">
        <f>(542-524.66)*31.545</f>
        <v>546.99030000000107</v>
      </c>
      <c r="AM543" s="369" t="s">
        <v>49</v>
      </c>
      <c r="AN543" s="369" t="s">
        <v>284</v>
      </c>
      <c r="AO543" s="369" t="s">
        <v>50</v>
      </c>
      <c r="AP543" s="369" t="s">
        <v>51</v>
      </c>
      <c r="AQ543" s="372" t="s">
        <v>439</v>
      </c>
    </row>
    <row r="544" spans="1:43" ht="15.75" customHeight="1">
      <c r="A544" s="69">
        <v>43614</v>
      </c>
      <c r="B544" s="70" t="s">
        <v>713</v>
      </c>
      <c r="C544" s="21"/>
      <c r="D544" s="21" t="s">
        <v>1121</v>
      </c>
      <c r="E544" s="23" t="s">
        <v>833</v>
      </c>
      <c r="F544" s="24">
        <v>1</v>
      </c>
      <c r="G544" s="48">
        <v>25</v>
      </c>
      <c r="H544" s="60">
        <v>25</v>
      </c>
      <c r="I544" s="346" t="s">
        <v>247</v>
      </c>
      <c r="J544" s="31" t="s">
        <v>1123</v>
      </c>
      <c r="K544" s="30">
        <v>43626</v>
      </c>
      <c r="L544" s="30"/>
      <c r="M544" s="44"/>
      <c r="N544" s="63" t="s">
        <v>1074</v>
      </c>
      <c r="O544" s="64"/>
      <c r="P544" s="34"/>
      <c r="Q544" s="34"/>
      <c r="R544" s="34"/>
      <c r="S544" s="34"/>
      <c r="T544" s="34"/>
      <c r="U544" s="34"/>
      <c r="V544" s="66"/>
      <c r="W544" s="52"/>
      <c r="X544" s="53"/>
      <c r="Y544" s="53"/>
      <c r="Z544" s="53"/>
      <c r="AA544" s="53"/>
      <c r="AB544" s="53" t="s">
        <v>2611</v>
      </c>
      <c r="AC544" s="53">
        <v>6480616936</v>
      </c>
      <c r="AD544" s="53"/>
      <c r="AE544" s="53"/>
      <c r="AF544" s="53"/>
      <c r="AG544" s="54"/>
      <c r="AH544" s="54"/>
      <c r="AI544" s="55"/>
      <c r="AJ544" s="56">
        <v>43616</v>
      </c>
      <c r="AK544" s="55" t="s">
        <v>2612</v>
      </c>
      <c r="AL544" s="55" t="s">
        <v>2613</v>
      </c>
      <c r="AM544" s="54" t="s">
        <v>49</v>
      </c>
      <c r="AN544" s="54" t="s">
        <v>284</v>
      </c>
      <c r="AO544" s="54" t="s">
        <v>50</v>
      </c>
      <c r="AP544" s="54" t="s">
        <v>51</v>
      </c>
      <c r="AQ544" s="57"/>
    </row>
    <row r="545" spans="1:43" ht="15.75" customHeight="1">
      <c r="A545" s="69">
        <v>43615</v>
      </c>
      <c r="B545" s="70" t="s">
        <v>1097</v>
      </c>
      <c r="C545" s="21"/>
      <c r="D545" s="21" t="s">
        <v>1125</v>
      </c>
      <c r="E545" s="23" t="s">
        <v>1126</v>
      </c>
      <c r="F545" s="24">
        <v>3</v>
      </c>
      <c r="G545" s="48">
        <v>265</v>
      </c>
      <c r="H545" s="60">
        <f t="shared" ref="H545:H589" si="49">G545*F545</f>
        <v>795</v>
      </c>
      <c r="I545" s="61" t="s">
        <v>247</v>
      </c>
      <c r="J545" s="79" t="s">
        <v>262</v>
      </c>
      <c r="K545" s="30">
        <v>43630</v>
      </c>
      <c r="L545" s="30"/>
      <c r="M545" s="606">
        <v>43621</v>
      </c>
      <c r="N545" s="646" t="s">
        <v>2411</v>
      </c>
      <c r="O545" s="396" t="s">
        <v>2614</v>
      </c>
      <c r="P545" s="612"/>
      <c r="Q545" s="612"/>
      <c r="R545" s="612"/>
      <c r="S545" s="612"/>
      <c r="T545" s="612">
        <v>5400</v>
      </c>
      <c r="U545" s="612">
        <v>17010</v>
      </c>
      <c r="V545" s="612" t="s">
        <v>2413</v>
      </c>
      <c r="W545" s="300">
        <v>43651</v>
      </c>
      <c r="X545" s="300">
        <v>43620</v>
      </c>
      <c r="Y545" s="294" t="s">
        <v>1127</v>
      </c>
      <c r="Z545" s="294">
        <v>22050</v>
      </c>
      <c r="AA545" s="300">
        <v>43654</v>
      </c>
      <c r="AB545" s="294" t="s">
        <v>2597</v>
      </c>
      <c r="AC545" s="294">
        <v>9802364946</v>
      </c>
      <c r="AD545" s="294"/>
      <c r="AE545" s="294"/>
      <c r="AF545" s="294"/>
      <c r="AG545" s="369"/>
      <c r="AH545" s="369">
        <v>31.324999999999999</v>
      </c>
      <c r="AI545" s="370"/>
      <c r="AJ545" s="371">
        <v>43620</v>
      </c>
      <c r="AK545" s="370">
        <f>777.63*31.386</f>
        <v>24406.695179999999</v>
      </c>
      <c r="AL545" s="370">
        <f>(795-777.63)*31.386</f>
        <v>545.17482000000018</v>
      </c>
      <c r="AM545" s="369" t="s">
        <v>49</v>
      </c>
      <c r="AN545" s="369" t="s">
        <v>284</v>
      </c>
      <c r="AO545" s="369" t="s">
        <v>50</v>
      </c>
      <c r="AP545" s="369" t="s">
        <v>51</v>
      </c>
      <c r="AQ545" s="372" t="s">
        <v>439</v>
      </c>
    </row>
    <row r="546" spans="1:43" ht="15.75" customHeight="1">
      <c r="A546" s="69">
        <v>43616</v>
      </c>
      <c r="B546" s="70" t="s">
        <v>222</v>
      </c>
      <c r="C546" s="21" t="s">
        <v>1128</v>
      </c>
      <c r="D546" s="21" t="s">
        <v>1129</v>
      </c>
      <c r="E546" s="23" t="s">
        <v>1130</v>
      </c>
      <c r="F546" s="24">
        <v>1</v>
      </c>
      <c r="G546" s="48">
        <v>805.35</v>
      </c>
      <c r="H546" s="60">
        <f t="shared" si="49"/>
        <v>805.35</v>
      </c>
      <c r="I546" s="61" t="s">
        <v>247</v>
      </c>
      <c r="J546" s="79" t="s">
        <v>962</v>
      </c>
      <c r="K546" s="30">
        <v>43622</v>
      </c>
      <c r="L546" s="30"/>
      <c r="M546" s="30">
        <v>43622</v>
      </c>
      <c r="N546" s="58" t="s">
        <v>89</v>
      </c>
      <c r="O546" s="93" t="s">
        <v>2615</v>
      </c>
      <c r="P546" s="406"/>
      <c r="Q546" s="406">
        <v>732.9</v>
      </c>
      <c r="R546" s="406"/>
      <c r="S546" s="406"/>
      <c r="T546" s="406"/>
      <c r="U546" s="406">
        <v>23053</v>
      </c>
      <c r="V546" s="51" t="s">
        <v>93</v>
      </c>
      <c r="W546" s="460">
        <v>43677</v>
      </c>
      <c r="X546" s="460">
        <v>43621</v>
      </c>
      <c r="Y546" s="304" t="s">
        <v>1131</v>
      </c>
      <c r="Z546" s="304">
        <v>23053</v>
      </c>
      <c r="AA546" s="460">
        <v>43677</v>
      </c>
      <c r="AB546" s="304" t="s">
        <v>2616</v>
      </c>
      <c r="AC546" s="304" t="s">
        <v>2617</v>
      </c>
      <c r="AD546" s="304">
        <v>31.375</v>
      </c>
      <c r="AE546" s="304">
        <v>25268</v>
      </c>
      <c r="AF546" s="303">
        <v>43622</v>
      </c>
      <c r="AG546" s="296"/>
      <c r="AH546" s="296"/>
      <c r="AI546" s="297"/>
      <c r="AJ546" s="298">
        <v>43682</v>
      </c>
      <c r="AK546" s="297">
        <v>38044</v>
      </c>
      <c r="AL546" s="297">
        <v>28</v>
      </c>
      <c r="AM546" s="296" t="s">
        <v>49</v>
      </c>
      <c r="AN546" s="296" t="s">
        <v>284</v>
      </c>
      <c r="AO546" s="296" t="s">
        <v>50</v>
      </c>
      <c r="AP546" s="296" t="s">
        <v>376</v>
      </c>
      <c r="AQ546" s="234" t="s">
        <v>506</v>
      </c>
    </row>
    <row r="547" spans="1:43" ht="15.75" customHeight="1">
      <c r="A547" s="69">
        <v>43619</v>
      </c>
      <c r="B547" s="21" t="s">
        <v>118</v>
      </c>
      <c r="C547" s="21" t="s">
        <v>1132</v>
      </c>
      <c r="D547" s="21" t="s">
        <v>1133</v>
      </c>
      <c r="E547" s="497" t="s">
        <v>1134</v>
      </c>
      <c r="F547" s="24">
        <v>10</v>
      </c>
      <c r="G547" s="48">
        <v>485</v>
      </c>
      <c r="H547" s="60">
        <f t="shared" si="49"/>
        <v>4850</v>
      </c>
      <c r="I547" s="61" t="s">
        <v>247</v>
      </c>
      <c r="J547" s="82" t="s">
        <v>121</v>
      </c>
      <c r="K547" s="30">
        <v>43669</v>
      </c>
      <c r="L547" s="30"/>
      <c r="M547" s="29">
        <v>43634</v>
      </c>
      <c r="N547" s="50" t="s">
        <v>89</v>
      </c>
      <c r="O547" s="93" t="s">
        <v>2618</v>
      </c>
      <c r="P547" s="406">
        <v>400</v>
      </c>
      <c r="Q547" s="406">
        <f t="shared" ref="Q547:Q569" si="50">(P547*F547)*1.05</f>
        <v>4200</v>
      </c>
      <c r="R547" s="406"/>
      <c r="S547" s="406"/>
      <c r="T547" s="406"/>
      <c r="U547" s="406">
        <v>131565</v>
      </c>
      <c r="V547" s="51" t="s">
        <v>93</v>
      </c>
      <c r="W547" s="460">
        <v>43677</v>
      </c>
      <c r="X547" s="460">
        <v>43634</v>
      </c>
      <c r="Y547" s="304" t="s">
        <v>1135</v>
      </c>
      <c r="Z547" s="304">
        <v>994237</v>
      </c>
      <c r="AA547" s="460">
        <v>43677</v>
      </c>
      <c r="AB547" s="304" t="s">
        <v>2619</v>
      </c>
      <c r="AC547" s="304">
        <v>23244885886</v>
      </c>
      <c r="AD547" s="304"/>
      <c r="AE547" s="304"/>
      <c r="AF547" s="304"/>
      <c r="AG547" s="296"/>
      <c r="AH547" s="296"/>
      <c r="AI547" s="297"/>
      <c r="AJ547" s="296" t="s">
        <v>1136</v>
      </c>
      <c r="AK547" s="297" t="s">
        <v>2620</v>
      </c>
      <c r="AL547" s="297" t="s">
        <v>2621</v>
      </c>
      <c r="AM547" s="296" t="s">
        <v>49</v>
      </c>
      <c r="AN547" s="296" t="s">
        <v>284</v>
      </c>
      <c r="AO547" s="296" t="s">
        <v>50</v>
      </c>
      <c r="AP547" s="296" t="s">
        <v>51</v>
      </c>
      <c r="AQ547" s="234" t="s">
        <v>506</v>
      </c>
    </row>
    <row r="548" spans="1:43" ht="15.75" customHeight="1">
      <c r="A548" s="69">
        <v>43619</v>
      </c>
      <c r="B548" s="70" t="s">
        <v>118</v>
      </c>
      <c r="C548" s="21" t="s">
        <v>1132</v>
      </c>
      <c r="D548" s="21" t="s">
        <v>1133</v>
      </c>
      <c r="E548" s="497" t="s">
        <v>1137</v>
      </c>
      <c r="F548" s="24">
        <v>8</v>
      </c>
      <c r="G548" s="48">
        <v>880</v>
      </c>
      <c r="H548" s="60">
        <f t="shared" si="49"/>
        <v>7040</v>
      </c>
      <c r="I548" s="61" t="s">
        <v>247</v>
      </c>
      <c r="J548" s="82" t="s">
        <v>121</v>
      </c>
      <c r="K548" s="30">
        <v>43669</v>
      </c>
      <c r="L548" s="30"/>
      <c r="M548" s="29">
        <v>43634</v>
      </c>
      <c r="N548" s="50" t="s">
        <v>89</v>
      </c>
      <c r="O548" s="93" t="s">
        <v>2618</v>
      </c>
      <c r="P548" s="406">
        <v>678.5</v>
      </c>
      <c r="Q548" s="406">
        <f t="shared" si="50"/>
        <v>5699.4000000000005</v>
      </c>
      <c r="R548" s="406"/>
      <c r="S548" s="406"/>
      <c r="T548" s="406"/>
      <c r="U548" s="406">
        <v>178534</v>
      </c>
      <c r="V548" s="35" t="s">
        <v>93</v>
      </c>
      <c r="W548" s="460">
        <v>43677</v>
      </c>
      <c r="X548" s="460">
        <v>43634</v>
      </c>
      <c r="Y548" s="304" t="s">
        <v>1135</v>
      </c>
      <c r="Z548" s="304" t="s">
        <v>2622</v>
      </c>
      <c r="AA548" s="460">
        <v>43677</v>
      </c>
      <c r="AB548" s="304" t="s">
        <v>2619</v>
      </c>
      <c r="AC548" s="304">
        <v>23244885886</v>
      </c>
      <c r="AD548" s="304"/>
      <c r="AE548" s="304"/>
      <c r="AF548" s="304"/>
      <c r="AG548" s="296"/>
      <c r="AH548" s="296"/>
      <c r="AI548" s="297"/>
      <c r="AJ548" s="296" t="s">
        <v>1138</v>
      </c>
      <c r="AK548" s="297" t="s">
        <v>2620</v>
      </c>
      <c r="AL548" s="297" t="s">
        <v>2621</v>
      </c>
      <c r="AM548" s="296" t="s">
        <v>49</v>
      </c>
      <c r="AN548" s="296" t="s">
        <v>284</v>
      </c>
      <c r="AO548" s="296" t="s">
        <v>50</v>
      </c>
      <c r="AP548" s="296" t="s">
        <v>51</v>
      </c>
      <c r="AQ548" s="234" t="s">
        <v>506</v>
      </c>
    </row>
    <row r="549" spans="1:43" ht="15.75" customHeight="1">
      <c r="A549" s="69">
        <v>43619</v>
      </c>
      <c r="B549" s="70" t="s">
        <v>118</v>
      </c>
      <c r="C549" s="21" t="s">
        <v>1132</v>
      </c>
      <c r="D549" s="21" t="s">
        <v>1133</v>
      </c>
      <c r="E549" s="499" t="s">
        <v>151</v>
      </c>
      <c r="F549" s="24">
        <v>10</v>
      </c>
      <c r="G549" s="48">
        <v>1045</v>
      </c>
      <c r="H549" s="60">
        <f t="shared" si="49"/>
        <v>10450</v>
      </c>
      <c r="I549" s="61" t="s">
        <v>247</v>
      </c>
      <c r="J549" s="82" t="s">
        <v>121</v>
      </c>
      <c r="K549" s="30">
        <v>43669</v>
      </c>
      <c r="L549" s="30"/>
      <c r="M549" s="29">
        <v>43634</v>
      </c>
      <c r="N549" s="50" t="s">
        <v>89</v>
      </c>
      <c r="O549" s="93" t="s">
        <v>2618</v>
      </c>
      <c r="P549" s="406">
        <v>920</v>
      </c>
      <c r="Q549" s="406">
        <f t="shared" si="50"/>
        <v>9660</v>
      </c>
      <c r="R549" s="406"/>
      <c r="S549" s="406"/>
      <c r="T549" s="406"/>
      <c r="U549" s="406">
        <v>302600</v>
      </c>
      <c r="V549" s="51" t="s">
        <v>93</v>
      </c>
      <c r="W549" s="460">
        <v>43677</v>
      </c>
      <c r="X549" s="460">
        <v>43634</v>
      </c>
      <c r="Y549" s="304" t="s">
        <v>1135</v>
      </c>
      <c r="Z549" s="304" t="s">
        <v>2622</v>
      </c>
      <c r="AA549" s="470">
        <v>43677</v>
      </c>
      <c r="AB549" s="304" t="s">
        <v>2619</v>
      </c>
      <c r="AC549" s="304">
        <v>23244885886</v>
      </c>
      <c r="AD549" s="304"/>
      <c r="AE549" s="304"/>
      <c r="AF549" s="304"/>
      <c r="AG549" s="296"/>
      <c r="AH549" s="296"/>
      <c r="AI549" s="297"/>
      <c r="AJ549" s="298">
        <v>43665</v>
      </c>
      <c r="AK549" s="297" t="s">
        <v>2558</v>
      </c>
      <c r="AL549" s="297" t="s">
        <v>2558</v>
      </c>
      <c r="AM549" s="296" t="s">
        <v>49</v>
      </c>
      <c r="AN549" s="82" t="s">
        <v>284</v>
      </c>
      <c r="AO549" s="296" t="s">
        <v>50</v>
      </c>
      <c r="AP549" s="296" t="s">
        <v>51</v>
      </c>
      <c r="AQ549" s="457" t="s">
        <v>742</v>
      </c>
    </row>
    <row r="550" spans="1:43" ht="15.75" customHeight="1">
      <c r="A550" s="69">
        <v>43619</v>
      </c>
      <c r="B550" s="70" t="s">
        <v>118</v>
      </c>
      <c r="C550" s="21" t="s">
        <v>1132</v>
      </c>
      <c r="D550" s="21" t="s">
        <v>1133</v>
      </c>
      <c r="E550" s="498" t="s">
        <v>324</v>
      </c>
      <c r="F550" s="24">
        <v>4</v>
      </c>
      <c r="G550" s="48">
        <v>577</v>
      </c>
      <c r="H550" s="60">
        <f t="shared" si="49"/>
        <v>2308</v>
      </c>
      <c r="I550" s="61" t="s">
        <v>247</v>
      </c>
      <c r="J550" s="82" t="s">
        <v>121</v>
      </c>
      <c r="K550" s="30">
        <v>43669</v>
      </c>
      <c r="L550" s="30"/>
      <c r="M550" s="29">
        <v>43634</v>
      </c>
      <c r="N550" s="50" t="s">
        <v>89</v>
      </c>
      <c r="O550" s="93" t="s">
        <v>2618</v>
      </c>
      <c r="P550" s="406">
        <v>460</v>
      </c>
      <c r="Q550" s="406">
        <f t="shared" si="50"/>
        <v>1932</v>
      </c>
      <c r="R550" s="406"/>
      <c r="S550" s="406"/>
      <c r="T550" s="406"/>
      <c r="U550" s="406">
        <v>60520</v>
      </c>
      <c r="V550" s="51" t="s">
        <v>93</v>
      </c>
      <c r="W550" s="460">
        <v>43677</v>
      </c>
      <c r="X550" s="460">
        <v>43634</v>
      </c>
      <c r="Y550" s="304" t="s">
        <v>1135</v>
      </c>
      <c r="Z550" s="304" t="s">
        <v>2622</v>
      </c>
      <c r="AA550" s="470">
        <v>43677</v>
      </c>
      <c r="AB550" s="304" t="s">
        <v>2619</v>
      </c>
      <c r="AC550" s="304">
        <v>23244885886</v>
      </c>
      <c r="AD550" s="304"/>
      <c r="AE550" s="304"/>
      <c r="AF550" s="304"/>
      <c r="AG550" s="296"/>
      <c r="AH550" s="296"/>
      <c r="AI550" s="297"/>
      <c r="AJ550" s="298">
        <v>43665</v>
      </c>
      <c r="AK550" s="297" t="s">
        <v>2558</v>
      </c>
      <c r="AL550" s="297" t="s">
        <v>2558</v>
      </c>
      <c r="AM550" s="296" t="s">
        <v>49</v>
      </c>
      <c r="AN550" s="82" t="s">
        <v>284</v>
      </c>
      <c r="AO550" s="296" t="s">
        <v>50</v>
      </c>
      <c r="AP550" s="296" t="s">
        <v>51</v>
      </c>
      <c r="AQ550" s="457" t="s">
        <v>742</v>
      </c>
    </row>
    <row r="551" spans="1:43" ht="15.75" customHeight="1">
      <c r="A551" s="69">
        <v>43619</v>
      </c>
      <c r="B551" s="70" t="s">
        <v>118</v>
      </c>
      <c r="C551" s="21" t="s">
        <v>1132</v>
      </c>
      <c r="D551" s="21" t="s">
        <v>1133</v>
      </c>
      <c r="E551" s="498" t="s">
        <v>156</v>
      </c>
      <c r="F551" s="24">
        <v>2</v>
      </c>
      <c r="G551" s="48">
        <v>118</v>
      </c>
      <c r="H551" s="60">
        <f t="shared" si="49"/>
        <v>236</v>
      </c>
      <c r="I551" s="61" t="s">
        <v>247</v>
      </c>
      <c r="J551" s="82" t="s">
        <v>121</v>
      </c>
      <c r="K551" s="30">
        <v>43669</v>
      </c>
      <c r="L551" s="30"/>
      <c r="M551" s="29">
        <v>43634</v>
      </c>
      <c r="N551" s="50" t="s">
        <v>89</v>
      </c>
      <c r="O551" s="93" t="s">
        <v>2618</v>
      </c>
      <c r="P551" s="406">
        <v>95</v>
      </c>
      <c r="Q551" s="406">
        <f t="shared" si="50"/>
        <v>199.5</v>
      </c>
      <c r="R551" s="406"/>
      <c r="S551" s="406"/>
      <c r="T551" s="406"/>
      <c r="U551" s="406">
        <v>6249</v>
      </c>
      <c r="V551" s="51" t="s">
        <v>93</v>
      </c>
      <c r="W551" s="460">
        <v>43677</v>
      </c>
      <c r="X551" s="460">
        <v>43634</v>
      </c>
      <c r="Y551" s="304" t="s">
        <v>1135</v>
      </c>
      <c r="Z551" s="304" t="s">
        <v>2622</v>
      </c>
      <c r="AA551" s="470">
        <v>43677</v>
      </c>
      <c r="AB551" s="304" t="s">
        <v>2619</v>
      </c>
      <c r="AC551" s="304">
        <v>23244885886</v>
      </c>
      <c r="AD551" s="304"/>
      <c r="AE551" s="304"/>
      <c r="AF551" s="304"/>
      <c r="AG551" s="296"/>
      <c r="AH551" s="296"/>
      <c r="AI551" s="297"/>
      <c r="AJ551" s="298">
        <v>43665</v>
      </c>
      <c r="AK551" s="297" t="s">
        <v>2558</v>
      </c>
      <c r="AL551" s="297" t="s">
        <v>2558</v>
      </c>
      <c r="AM551" s="296" t="s">
        <v>49</v>
      </c>
      <c r="AN551" s="82" t="s">
        <v>284</v>
      </c>
      <c r="AO551" s="296" t="s">
        <v>50</v>
      </c>
      <c r="AP551" s="296" t="s">
        <v>51</v>
      </c>
      <c r="AQ551" s="457" t="s">
        <v>742</v>
      </c>
    </row>
    <row r="552" spans="1:43" ht="15.75" customHeight="1">
      <c r="A552" s="69">
        <v>43619</v>
      </c>
      <c r="B552" s="70" t="s">
        <v>118</v>
      </c>
      <c r="C552" s="21" t="s">
        <v>1132</v>
      </c>
      <c r="D552" s="21" t="s">
        <v>1133</v>
      </c>
      <c r="E552" s="498" t="s">
        <v>161</v>
      </c>
      <c r="F552" s="24">
        <v>15</v>
      </c>
      <c r="G552" s="48">
        <v>738</v>
      </c>
      <c r="H552" s="60">
        <f t="shared" si="49"/>
        <v>11070</v>
      </c>
      <c r="I552" s="61" t="s">
        <v>247</v>
      </c>
      <c r="J552" s="82" t="s">
        <v>121</v>
      </c>
      <c r="K552" s="30">
        <v>43669</v>
      </c>
      <c r="L552" s="30"/>
      <c r="M552" s="29">
        <v>43634</v>
      </c>
      <c r="N552" s="50" t="s">
        <v>89</v>
      </c>
      <c r="O552" s="93" t="s">
        <v>2618</v>
      </c>
      <c r="P552" s="406">
        <v>638</v>
      </c>
      <c r="Q552" s="406">
        <f t="shared" si="50"/>
        <v>10048.5</v>
      </c>
      <c r="R552" s="406"/>
      <c r="S552" s="406"/>
      <c r="T552" s="406"/>
      <c r="U552" s="406">
        <v>314769</v>
      </c>
      <c r="V552" s="51" t="s">
        <v>93</v>
      </c>
      <c r="W552" s="460">
        <v>43677</v>
      </c>
      <c r="X552" s="460">
        <v>43634</v>
      </c>
      <c r="Y552" s="304" t="s">
        <v>1135</v>
      </c>
      <c r="Z552" s="304" t="s">
        <v>2622</v>
      </c>
      <c r="AA552" s="460">
        <v>43677</v>
      </c>
      <c r="AB552" s="304" t="s">
        <v>2619</v>
      </c>
      <c r="AC552" s="304">
        <v>23244885886</v>
      </c>
      <c r="AD552" s="304"/>
      <c r="AE552" s="304"/>
      <c r="AF552" s="304"/>
      <c r="AG552" s="296"/>
      <c r="AH552" s="296"/>
      <c r="AI552" s="297"/>
      <c r="AJ552" s="298">
        <v>43724</v>
      </c>
      <c r="AK552" s="297">
        <f>14436.79*30.92</f>
        <v>446385.54680000007</v>
      </c>
      <c r="AL552" s="297">
        <f>(14454-14436.79)*30.92</f>
        <v>532.13319999997304</v>
      </c>
      <c r="AM552" s="296" t="s">
        <v>49</v>
      </c>
      <c r="AN552" s="296" t="s">
        <v>284</v>
      </c>
      <c r="AO552" s="296" t="s">
        <v>50</v>
      </c>
      <c r="AP552" s="296" t="s">
        <v>51</v>
      </c>
      <c r="AQ552" s="234" t="s">
        <v>506</v>
      </c>
    </row>
    <row r="553" spans="1:43" ht="15.75" customHeight="1">
      <c r="A553" s="69">
        <v>43620</v>
      </c>
      <c r="B553" s="307" t="s">
        <v>100</v>
      </c>
      <c r="C553" s="22" t="s">
        <v>1139</v>
      </c>
      <c r="D553" s="59" t="s">
        <v>1140</v>
      </c>
      <c r="E553" s="22" t="s">
        <v>1141</v>
      </c>
      <c r="F553" s="24">
        <v>8</v>
      </c>
      <c r="G553" s="48">
        <v>621</v>
      </c>
      <c r="H553" s="60">
        <f t="shared" si="49"/>
        <v>4968</v>
      </c>
      <c r="I553" s="61" t="s">
        <v>104</v>
      </c>
      <c r="J553" s="63" t="s">
        <v>1004</v>
      </c>
      <c r="K553" s="29">
        <v>43651</v>
      </c>
      <c r="L553" s="29"/>
      <c r="M553" s="30">
        <v>43648</v>
      </c>
      <c r="N553" s="50" t="s">
        <v>1074</v>
      </c>
      <c r="O553" s="93" t="s">
        <v>2623</v>
      </c>
      <c r="P553" s="406"/>
      <c r="Q553" s="406">
        <f t="shared" si="50"/>
        <v>0</v>
      </c>
      <c r="R553" s="406"/>
      <c r="S553" s="406"/>
      <c r="T553" s="406">
        <v>15673</v>
      </c>
      <c r="U553" s="406">
        <f t="shared" ref="U553:U559" si="51">(T553*F553)*1.05</f>
        <v>131653.20000000001</v>
      </c>
      <c r="V553" s="406"/>
      <c r="W553" s="304"/>
      <c r="X553" s="304"/>
      <c r="Y553" s="304"/>
      <c r="Z553" s="304"/>
      <c r="AA553" s="304"/>
      <c r="AB553" s="304" t="s">
        <v>2624</v>
      </c>
      <c r="AC553" s="304">
        <v>2006144276</v>
      </c>
      <c r="AD553" s="304">
        <v>31.024999999999999</v>
      </c>
      <c r="AE553" s="304"/>
      <c r="AF553" s="304"/>
      <c r="AG553" s="296"/>
      <c r="AH553" s="296"/>
      <c r="AI553" s="297"/>
      <c r="AJ553" s="298">
        <v>43704</v>
      </c>
      <c r="AK553" s="297">
        <f>9416.62*31.34</f>
        <v>295116.87080000003</v>
      </c>
      <c r="AL553" s="297">
        <f>(9443-9416.62)*31.34</f>
        <v>826.74919999997496</v>
      </c>
      <c r="AM553" s="296" t="s">
        <v>49</v>
      </c>
      <c r="AN553" s="296" t="s">
        <v>284</v>
      </c>
      <c r="AO553" s="296" t="s">
        <v>285</v>
      </c>
      <c r="AP553" s="296" t="s">
        <v>51</v>
      </c>
      <c r="AQ553" s="234" t="s">
        <v>506</v>
      </c>
    </row>
    <row r="554" spans="1:43" ht="15.75" customHeight="1">
      <c r="A554" s="69">
        <v>43620</v>
      </c>
      <c r="B554" s="307" t="s">
        <v>100</v>
      </c>
      <c r="C554" s="22" t="s">
        <v>1139</v>
      </c>
      <c r="D554" s="22" t="s">
        <v>1140</v>
      </c>
      <c r="E554" s="35" t="s">
        <v>1142</v>
      </c>
      <c r="F554" s="24">
        <v>8</v>
      </c>
      <c r="G554" s="48">
        <v>71</v>
      </c>
      <c r="H554" s="60">
        <f t="shared" si="49"/>
        <v>568</v>
      </c>
      <c r="I554" s="61" t="s">
        <v>104</v>
      </c>
      <c r="J554" s="63" t="s">
        <v>1004</v>
      </c>
      <c r="K554" s="29">
        <v>43651</v>
      </c>
      <c r="L554" s="29"/>
      <c r="M554" s="50" t="s">
        <v>178</v>
      </c>
      <c r="N554" s="50" t="s">
        <v>1074</v>
      </c>
      <c r="O554" s="93" t="s">
        <v>2625</v>
      </c>
      <c r="P554" s="406"/>
      <c r="Q554" s="406">
        <f t="shared" si="50"/>
        <v>0</v>
      </c>
      <c r="R554" s="406"/>
      <c r="S554" s="406"/>
      <c r="T554" s="406">
        <v>1059</v>
      </c>
      <c r="U554" s="406">
        <f t="shared" si="51"/>
        <v>8895.6</v>
      </c>
      <c r="V554" s="501"/>
      <c r="W554" s="304"/>
      <c r="X554" s="304"/>
      <c r="Y554" s="304"/>
      <c r="Z554" s="304"/>
      <c r="AA554" s="304"/>
      <c r="AB554" s="304" t="s">
        <v>2624</v>
      </c>
      <c r="AC554" s="304">
        <v>2006144276</v>
      </c>
      <c r="AD554" s="304">
        <v>31.024999999999999</v>
      </c>
      <c r="AE554" s="304"/>
      <c r="AF554" s="304"/>
      <c r="AG554" s="296"/>
      <c r="AH554" s="296"/>
      <c r="AI554" s="297"/>
      <c r="AJ554" s="298">
        <v>43704</v>
      </c>
      <c r="AK554" s="297" t="s">
        <v>2626</v>
      </c>
      <c r="AL554" s="297" t="s">
        <v>2627</v>
      </c>
      <c r="AM554" s="296" t="s">
        <v>49</v>
      </c>
      <c r="AN554" s="296" t="s">
        <v>284</v>
      </c>
      <c r="AO554" s="296" t="s">
        <v>285</v>
      </c>
      <c r="AP554" s="296" t="s">
        <v>51</v>
      </c>
      <c r="AQ554" s="234" t="s">
        <v>506</v>
      </c>
    </row>
    <row r="555" spans="1:43" ht="15.75" customHeight="1">
      <c r="A555" s="69">
        <v>43620</v>
      </c>
      <c r="B555" s="307" t="s">
        <v>100</v>
      </c>
      <c r="C555" s="22" t="s">
        <v>1139</v>
      </c>
      <c r="D555" s="22" t="s">
        <v>1140</v>
      </c>
      <c r="E555" s="35" t="s">
        <v>1143</v>
      </c>
      <c r="F555" s="24">
        <v>8</v>
      </c>
      <c r="G555" s="48">
        <v>60</v>
      </c>
      <c r="H555" s="60">
        <f t="shared" si="49"/>
        <v>480</v>
      </c>
      <c r="I555" s="61" t="s">
        <v>104</v>
      </c>
      <c r="J555" s="63" t="s">
        <v>1004</v>
      </c>
      <c r="K555" s="29">
        <v>43651</v>
      </c>
      <c r="L555" s="29"/>
      <c r="M555" s="50" t="s">
        <v>178</v>
      </c>
      <c r="N555" s="50" t="s">
        <v>1074</v>
      </c>
      <c r="O555" s="93" t="s">
        <v>2628</v>
      </c>
      <c r="P555" s="406"/>
      <c r="Q555" s="406">
        <f t="shared" si="50"/>
        <v>0</v>
      </c>
      <c r="R555" s="406"/>
      <c r="S555" s="406"/>
      <c r="T555" s="406">
        <v>1235</v>
      </c>
      <c r="U555" s="406">
        <f t="shared" si="51"/>
        <v>10374</v>
      </c>
      <c r="V555" s="501"/>
      <c r="W555" s="304"/>
      <c r="X555" s="304"/>
      <c r="Y555" s="304"/>
      <c r="Z555" s="304"/>
      <c r="AA555" s="304"/>
      <c r="AB555" s="304" t="s">
        <v>2624</v>
      </c>
      <c r="AC555" s="304">
        <v>2006144276</v>
      </c>
      <c r="AD555" s="304">
        <v>31.024999999999999</v>
      </c>
      <c r="AE555" s="304"/>
      <c r="AF555" s="304"/>
      <c r="AG555" s="296"/>
      <c r="AH555" s="296"/>
      <c r="AI555" s="297"/>
      <c r="AJ555" s="298">
        <v>43704</v>
      </c>
      <c r="AK555" s="297" t="s">
        <v>2626</v>
      </c>
      <c r="AL555" s="297" t="s">
        <v>2627</v>
      </c>
      <c r="AM555" s="296" t="s">
        <v>49</v>
      </c>
      <c r="AN555" s="296" t="s">
        <v>284</v>
      </c>
      <c r="AO555" s="296" t="s">
        <v>285</v>
      </c>
      <c r="AP555" s="296" t="s">
        <v>51</v>
      </c>
      <c r="AQ555" s="234" t="s">
        <v>506</v>
      </c>
    </row>
    <row r="556" spans="1:43" ht="15.75" customHeight="1">
      <c r="A556" s="110">
        <v>43620</v>
      </c>
      <c r="B556" s="500" t="s">
        <v>100</v>
      </c>
      <c r="C556" s="59" t="s">
        <v>1139</v>
      </c>
      <c r="D556" s="59" t="s">
        <v>1140</v>
      </c>
      <c r="E556" s="59" t="s">
        <v>1144</v>
      </c>
      <c r="F556" s="24">
        <v>8</v>
      </c>
      <c r="G556" s="48">
        <v>38</v>
      </c>
      <c r="H556" s="60">
        <f t="shared" si="49"/>
        <v>304</v>
      </c>
      <c r="I556" s="61" t="s">
        <v>104</v>
      </c>
      <c r="J556" s="63" t="s">
        <v>1004</v>
      </c>
      <c r="K556" s="29">
        <v>43651</v>
      </c>
      <c r="L556" s="29"/>
      <c r="M556" s="50" t="s">
        <v>178</v>
      </c>
      <c r="N556" s="50" t="s">
        <v>1074</v>
      </c>
      <c r="O556" s="93"/>
      <c r="P556" s="406"/>
      <c r="Q556" s="406">
        <f t="shared" si="50"/>
        <v>0</v>
      </c>
      <c r="R556" s="406"/>
      <c r="S556" s="406"/>
      <c r="T556" s="406">
        <v>825</v>
      </c>
      <c r="U556" s="406">
        <f t="shared" si="51"/>
        <v>6930</v>
      </c>
      <c r="V556" s="501"/>
      <c r="W556" s="304"/>
      <c r="X556" s="304"/>
      <c r="Y556" s="304"/>
      <c r="Z556" s="304"/>
      <c r="AA556" s="304"/>
      <c r="AB556" s="304" t="s">
        <v>2624</v>
      </c>
      <c r="AC556" s="304">
        <v>2006144276</v>
      </c>
      <c r="AD556" s="304">
        <v>31.024999999999999</v>
      </c>
      <c r="AE556" s="304"/>
      <c r="AF556" s="304"/>
      <c r="AG556" s="296"/>
      <c r="AH556" s="296"/>
      <c r="AI556" s="297"/>
      <c r="AJ556" s="298">
        <v>43704</v>
      </c>
      <c r="AK556" s="297" t="s">
        <v>2626</v>
      </c>
      <c r="AL556" s="297" t="s">
        <v>2627</v>
      </c>
      <c r="AM556" s="296" t="s">
        <v>49</v>
      </c>
      <c r="AN556" s="296" t="s">
        <v>284</v>
      </c>
      <c r="AO556" s="296" t="s">
        <v>285</v>
      </c>
      <c r="AP556" s="296" t="s">
        <v>51</v>
      </c>
      <c r="AQ556" s="234" t="s">
        <v>506</v>
      </c>
    </row>
    <row r="557" spans="1:43" ht="15.75" customHeight="1">
      <c r="A557" s="69">
        <v>43620</v>
      </c>
      <c r="B557" s="307" t="s">
        <v>100</v>
      </c>
      <c r="C557" s="20" t="s">
        <v>1139</v>
      </c>
      <c r="D557" s="20" t="s">
        <v>1140</v>
      </c>
      <c r="E557" s="20" t="s">
        <v>1145</v>
      </c>
      <c r="F557" s="24">
        <v>8</v>
      </c>
      <c r="G557" s="48">
        <v>10</v>
      </c>
      <c r="H557" s="60">
        <f t="shared" si="49"/>
        <v>80</v>
      </c>
      <c r="I557" s="61" t="s">
        <v>104</v>
      </c>
      <c r="J557" s="63" t="s">
        <v>1004</v>
      </c>
      <c r="K557" s="29">
        <v>43651</v>
      </c>
      <c r="L557" s="29"/>
      <c r="M557" s="50" t="s">
        <v>178</v>
      </c>
      <c r="N557" s="50" t="s">
        <v>1074</v>
      </c>
      <c r="O557" s="93"/>
      <c r="P557" s="406"/>
      <c r="Q557" s="406">
        <f t="shared" si="50"/>
        <v>0</v>
      </c>
      <c r="R557" s="406"/>
      <c r="S557" s="406"/>
      <c r="T557" s="406">
        <v>76</v>
      </c>
      <c r="U557" s="406">
        <f t="shared" si="51"/>
        <v>638.4</v>
      </c>
      <c r="V557" s="501"/>
      <c r="W557" s="304"/>
      <c r="X557" s="304"/>
      <c r="Y557" s="304"/>
      <c r="Z557" s="304"/>
      <c r="AA557" s="304"/>
      <c r="AB557" s="304" t="s">
        <v>2624</v>
      </c>
      <c r="AC557" s="304">
        <v>2006144276</v>
      </c>
      <c r="AD557" s="304">
        <v>31.024999999999999</v>
      </c>
      <c r="AE557" s="304"/>
      <c r="AF557" s="304"/>
      <c r="AG557" s="296"/>
      <c r="AH557" s="296"/>
      <c r="AI557" s="297"/>
      <c r="AJ557" s="298">
        <v>43704</v>
      </c>
      <c r="AK557" s="297" t="s">
        <v>2626</v>
      </c>
      <c r="AL557" s="297" t="s">
        <v>2627</v>
      </c>
      <c r="AM557" s="296" t="s">
        <v>49</v>
      </c>
      <c r="AN557" s="296" t="s">
        <v>284</v>
      </c>
      <c r="AO557" s="296" t="s">
        <v>285</v>
      </c>
      <c r="AP557" s="296" t="s">
        <v>51</v>
      </c>
      <c r="AQ557" s="234" t="s">
        <v>506</v>
      </c>
    </row>
    <row r="558" spans="1:43" ht="15.75" customHeight="1">
      <c r="A558" s="69">
        <v>43620</v>
      </c>
      <c r="B558" s="307" t="s">
        <v>100</v>
      </c>
      <c r="C558" s="20" t="s">
        <v>1139</v>
      </c>
      <c r="D558" s="20" t="s">
        <v>1140</v>
      </c>
      <c r="E558" s="20" t="s">
        <v>1146</v>
      </c>
      <c r="F558" s="24">
        <v>8</v>
      </c>
      <c r="G558" s="48">
        <v>47</v>
      </c>
      <c r="H558" s="60">
        <f t="shared" si="49"/>
        <v>376</v>
      </c>
      <c r="I558" s="61" t="s">
        <v>104</v>
      </c>
      <c r="J558" s="63" t="s">
        <v>1004</v>
      </c>
      <c r="K558" s="29">
        <v>43651</v>
      </c>
      <c r="L558" s="29"/>
      <c r="M558" s="50" t="s">
        <v>178</v>
      </c>
      <c r="N558" s="50" t="s">
        <v>1074</v>
      </c>
      <c r="O558" s="93" t="s">
        <v>2629</v>
      </c>
      <c r="P558" s="406"/>
      <c r="Q558" s="406">
        <f t="shared" si="50"/>
        <v>0</v>
      </c>
      <c r="R558" s="406"/>
      <c r="S558" s="406"/>
      <c r="T558" s="406">
        <v>1103.48</v>
      </c>
      <c r="U558" s="406">
        <f t="shared" si="51"/>
        <v>9269.232</v>
      </c>
      <c r="V558" s="501"/>
      <c r="W558" s="304"/>
      <c r="X558" s="304"/>
      <c r="Y558" s="304"/>
      <c r="Z558" s="304"/>
      <c r="AA558" s="304"/>
      <c r="AB558" s="304" t="s">
        <v>2624</v>
      </c>
      <c r="AC558" s="304">
        <v>2006144276</v>
      </c>
      <c r="AD558" s="304">
        <v>31.024999999999999</v>
      </c>
      <c r="AE558" s="304"/>
      <c r="AF558" s="304"/>
      <c r="AG558" s="296"/>
      <c r="AH558" s="296"/>
      <c r="AI558" s="297"/>
      <c r="AJ558" s="298">
        <v>43704</v>
      </c>
      <c r="AK558" s="297" t="s">
        <v>2626</v>
      </c>
      <c r="AL558" s="297" t="s">
        <v>2627</v>
      </c>
      <c r="AM558" s="296" t="s">
        <v>49</v>
      </c>
      <c r="AN558" s="296" t="s">
        <v>284</v>
      </c>
      <c r="AO558" s="296" t="s">
        <v>285</v>
      </c>
      <c r="AP558" s="296" t="s">
        <v>51</v>
      </c>
      <c r="AQ558" s="234" t="s">
        <v>506</v>
      </c>
    </row>
    <row r="559" spans="1:43" ht="15.75" customHeight="1">
      <c r="A559" s="69">
        <v>43620</v>
      </c>
      <c r="B559" s="70" t="s">
        <v>1070</v>
      </c>
      <c r="C559" s="70" t="s">
        <v>1147</v>
      </c>
      <c r="D559" s="70" t="s">
        <v>1148</v>
      </c>
      <c r="E559" s="23" t="s">
        <v>1073</v>
      </c>
      <c r="F559" s="24">
        <v>6</v>
      </c>
      <c r="G559" s="48">
        <v>155.4</v>
      </c>
      <c r="H559" s="440">
        <f t="shared" si="49"/>
        <v>932.40000000000009</v>
      </c>
      <c r="I559" s="61" t="s">
        <v>247</v>
      </c>
      <c r="J559" s="161" t="s">
        <v>1149</v>
      </c>
      <c r="K559" s="29">
        <v>43622</v>
      </c>
      <c r="L559" s="29"/>
      <c r="M559" s="29">
        <v>43620</v>
      </c>
      <c r="N559" s="50" t="s">
        <v>178</v>
      </c>
      <c r="O559" s="93"/>
      <c r="P559" s="406"/>
      <c r="Q559" s="406">
        <f t="shared" si="50"/>
        <v>0</v>
      </c>
      <c r="R559" s="406"/>
      <c r="S559" s="406"/>
      <c r="T559" s="406">
        <v>3901.02</v>
      </c>
      <c r="U559" s="406">
        <f t="shared" si="51"/>
        <v>24576.425999999999</v>
      </c>
      <c r="V559" s="501"/>
      <c r="W559" s="304"/>
      <c r="X559" s="304"/>
      <c r="Y559" s="304"/>
      <c r="Z559" s="304"/>
      <c r="AA559" s="304"/>
      <c r="AB559" s="304" t="s">
        <v>2630</v>
      </c>
      <c r="AC559" s="304" t="s">
        <v>2631</v>
      </c>
      <c r="AD559" s="304">
        <v>31.375</v>
      </c>
      <c r="AE559" s="304">
        <v>29254</v>
      </c>
      <c r="AF559" s="460">
        <v>43622</v>
      </c>
      <c r="AG559" s="296"/>
      <c r="AH559" s="296"/>
      <c r="AI559" s="297"/>
      <c r="AJ559" s="298">
        <v>43651</v>
      </c>
      <c r="AK559" s="297">
        <v>0</v>
      </c>
      <c r="AL559" s="297">
        <v>0</v>
      </c>
      <c r="AM559" s="296" t="s">
        <v>49</v>
      </c>
      <c r="AN559" s="296" t="s">
        <v>284</v>
      </c>
      <c r="AO559" s="296" t="s">
        <v>285</v>
      </c>
      <c r="AP559" s="296" t="s">
        <v>376</v>
      </c>
      <c r="AQ559" s="234" t="s">
        <v>506</v>
      </c>
    </row>
    <row r="560" spans="1:43" ht="15.75" customHeight="1">
      <c r="A560" s="69">
        <v>43620</v>
      </c>
      <c r="B560" s="70" t="s">
        <v>577</v>
      </c>
      <c r="C560" s="501"/>
      <c r="D560" s="70" t="s">
        <v>1150</v>
      </c>
      <c r="E560" s="497" t="s">
        <v>1151</v>
      </c>
      <c r="F560" s="24">
        <v>2</v>
      </c>
      <c r="G560" s="48">
        <v>194.25</v>
      </c>
      <c r="H560" s="60">
        <f t="shared" si="49"/>
        <v>388.5</v>
      </c>
      <c r="I560" s="61" t="s">
        <v>247</v>
      </c>
      <c r="J560" s="63" t="s">
        <v>580</v>
      </c>
      <c r="K560" s="29">
        <v>43628</v>
      </c>
      <c r="L560" s="29"/>
      <c r="M560" s="606">
        <v>43628</v>
      </c>
      <c r="N560" s="431" t="s">
        <v>1414</v>
      </c>
      <c r="O560" s="608" t="s">
        <v>2632</v>
      </c>
      <c r="P560" s="612"/>
      <c r="Q560" s="612">
        <f t="shared" si="50"/>
        <v>0</v>
      </c>
      <c r="R560" s="612"/>
      <c r="S560" s="612"/>
      <c r="T560" s="612">
        <v>5034</v>
      </c>
      <c r="U560" s="612">
        <v>10570</v>
      </c>
      <c r="V560" s="611" t="s">
        <v>1947</v>
      </c>
      <c r="W560" s="300">
        <v>43677</v>
      </c>
      <c r="X560" s="300">
        <v>43626</v>
      </c>
      <c r="Y560" s="294" t="s">
        <v>1152</v>
      </c>
      <c r="Z560" s="294">
        <v>10570</v>
      </c>
      <c r="AA560" s="300">
        <v>43677</v>
      </c>
      <c r="AB560" s="294" t="s">
        <v>2633</v>
      </c>
      <c r="AC560" s="294" t="s">
        <v>2634</v>
      </c>
      <c r="AD560" s="294">
        <v>31</v>
      </c>
      <c r="AE560" s="294">
        <v>12044</v>
      </c>
      <c r="AF560" s="680">
        <v>43629</v>
      </c>
      <c r="AG560" s="369"/>
      <c r="AH560" s="369"/>
      <c r="AI560" s="370"/>
      <c r="AJ560" s="371">
        <v>43633</v>
      </c>
      <c r="AK560" s="370" t="s">
        <v>2635</v>
      </c>
      <c r="AL560" s="370" t="s">
        <v>2636</v>
      </c>
      <c r="AM560" s="369" t="s">
        <v>49</v>
      </c>
      <c r="AN560" s="369" t="s">
        <v>284</v>
      </c>
      <c r="AO560" s="369" t="s">
        <v>50</v>
      </c>
      <c r="AP560" s="369" t="s">
        <v>376</v>
      </c>
      <c r="AQ560" s="372" t="s">
        <v>439</v>
      </c>
    </row>
    <row r="561" spans="1:43" ht="15.75" customHeight="1">
      <c r="A561" s="69">
        <v>43620</v>
      </c>
      <c r="B561" s="70" t="s">
        <v>129</v>
      </c>
      <c r="C561" s="70" t="s">
        <v>1153</v>
      </c>
      <c r="D561" s="70" t="s">
        <v>1154</v>
      </c>
      <c r="E561" s="497" t="s">
        <v>936</v>
      </c>
      <c r="F561" s="24">
        <v>1</v>
      </c>
      <c r="G561" s="48">
        <v>245</v>
      </c>
      <c r="H561" s="60">
        <f t="shared" si="49"/>
        <v>245</v>
      </c>
      <c r="I561" s="61" t="s">
        <v>247</v>
      </c>
      <c r="J561" s="63" t="s">
        <v>133</v>
      </c>
      <c r="K561" s="29">
        <v>43636</v>
      </c>
      <c r="L561" s="29"/>
      <c r="M561" s="29">
        <v>43630</v>
      </c>
      <c r="N561" s="50" t="s">
        <v>89</v>
      </c>
      <c r="O561" s="93" t="s">
        <v>2637</v>
      </c>
      <c r="P561" s="406">
        <v>228</v>
      </c>
      <c r="Q561" s="406">
        <f t="shared" si="50"/>
        <v>239.4</v>
      </c>
      <c r="R561" s="406"/>
      <c r="S561" s="406"/>
      <c r="T561" s="406"/>
      <c r="U561" s="406">
        <v>7499</v>
      </c>
      <c r="V561" s="51" t="s">
        <v>93</v>
      </c>
      <c r="W561" s="460">
        <v>43677</v>
      </c>
      <c r="X561" s="460">
        <v>43630</v>
      </c>
      <c r="Y561" s="304" t="s">
        <v>1155</v>
      </c>
      <c r="Z561" s="304">
        <v>63710</v>
      </c>
      <c r="AA561" s="460">
        <v>43677</v>
      </c>
      <c r="AB561" s="304" t="s">
        <v>2638</v>
      </c>
      <c r="AC561" s="304">
        <v>6783765446</v>
      </c>
      <c r="AD561" s="304"/>
      <c r="AE561" s="304"/>
      <c r="AF561" s="304"/>
      <c r="AG561" s="296"/>
      <c r="AH561" s="296">
        <v>31.324999999999999</v>
      </c>
      <c r="AI561" s="297"/>
      <c r="AJ561" s="298">
        <v>43654</v>
      </c>
      <c r="AK561" s="297">
        <f>2282.58*31.13</f>
        <v>71056.715400000001</v>
      </c>
      <c r="AL561" s="297">
        <f>17.42*31.13</f>
        <v>542.28460000000007</v>
      </c>
      <c r="AM561" s="296" t="s">
        <v>49</v>
      </c>
      <c r="AN561" s="82" t="s">
        <v>284</v>
      </c>
      <c r="AO561" s="296" t="s">
        <v>50</v>
      </c>
      <c r="AP561" s="296" t="s">
        <v>51</v>
      </c>
      <c r="AQ561" s="457" t="s">
        <v>742</v>
      </c>
    </row>
    <row r="562" spans="1:43" ht="15.75" customHeight="1">
      <c r="A562" s="69">
        <v>43620</v>
      </c>
      <c r="B562" s="70" t="s">
        <v>129</v>
      </c>
      <c r="C562" s="70" t="s">
        <v>1153</v>
      </c>
      <c r="D562" s="70" t="s">
        <v>1154</v>
      </c>
      <c r="E562" s="23" t="s">
        <v>876</v>
      </c>
      <c r="F562" s="24">
        <v>5</v>
      </c>
      <c r="G562" s="48">
        <v>90</v>
      </c>
      <c r="H562" s="60">
        <f t="shared" si="49"/>
        <v>450</v>
      </c>
      <c r="I562" s="61" t="s">
        <v>247</v>
      </c>
      <c r="J562" s="63" t="s">
        <v>133</v>
      </c>
      <c r="K562" s="29">
        <v>43636</v>
      </c>
      <c r="L562" s="29"/>
      <c r="M562" s="29">
        <v>43630</v>
      </c>
      <c r="N562" s="50" t="s">
        <v>89</v>
      </c>
      <c r="O562" s="93" t="s">
        <v>2637</v>
      </c>
      <c r="P562" s="406">
        <v>77</v>
      </c>
      <c r="Q562" s="406">
        <f t="shared" si="50"/>
        <v>404.25</v>
      </c>
      <c r="R562" s="406"/>
      <c r="S562" s="406"/>
      <c r="T562" s="406"/>
      <c r="U562" s="406">
        <v>12663</v>
      </c>
      <c r="V562" s="51" t="s">
        <v>93</v>
      </c>
      <c r="W562" s="460">
        <v>43677</v>
      </c>
      <c r="X562" s="460">
        <v>43630</v>
      </c>
      <c r="Y562" s="304" t="s">
        <v>1155</v>
      </c>
      <c r="Z562" s="304" t="s">
        <v>2639</v>
      </c>
      <c r="AA562" s="460">
        <v>43677</v>
      </c>
      <c r="AB562" s="304" t="s">
        <v>2638</v>
      </c>
      <c r="AC562" s="304">
        <v>6783765446</v>
      </c>
      <c r="AD562" s="304"/>
      <c r="AE562" s="304"/>
      <c r="AF562" s="304"/>
      <c r="AG562" s="296"/>
      <c r="AH562" s="296">
        <v>31.324999999999999</v>
      </c>
      <c r="AI562" s="297"/>
      <c r="AJ562" s="298">
        <v>43654</v>
      </c>
      <c r="AK562" s="297" t="s">
        <v>2640</v>
      </c>
      <c r="AL562" s="297" t="s">
        <v>2641</v>
      </c>
      <c r="AM562" s="296" t="s">
        <v>49</v>
      </c>
      <c r="AN562" s="82" t="s">
        <v>284</v>
      </c>
      <c r="AO562" s="296" t="s">
        <v>50</v>
      </c>
      <c r="AP562" s="296" t="s">
        <v>51</v>
      </c>
      <c r="AQ562" s="457" t="s">
        <v>742</v>
      </c>
    </row>
    <row r="563" spans="1:43" ht="15.75" customHeight="1">
      <c r="A563" s="69">
        <v>43620</v>
      </c>
      <c r="B563" s="70" t="s">
        <v>129</v>
      </c>
      <c r="C563" s="21" t="s">
        <v>1153</v>
      </c>
      <c r="D563" s="21" t="s">
        <v>1154</v>
      </c>
      <c r="E563" s="23" t="s">
        <v>873</v>
      </c>
      <c r="F563" s="24">
        <v>8</v>
      </c>
      <c r="G563" s="48">
        <v>4</v>
      </c>
      <c r="H563" s="60">
        <f t="shared" si="49"/>
        <v>32</v>
      </c>
      <c r="I563" s="87" t="s">
        <v>247</v>
      </c>
      <c r="J563" s="63" t="s">
        <v>133</v>
      </c>
      <c r="K563" s="29">
        <v>43636</v>
      </c>
      <c r="L563" s="29"/>
      <c r="M563" s="29">
        <v>43630</v>
      </c>
      <c r="N563" s="50" t="s">
        <v>89</v>
      </c>
      <c r="O563" s="93" t="s">
        <v>2637</v>
      </c>
      <c r="P563" s="406">
        <v>3</v>
      </c>
      <c r="Q563" s="406">
        <f t="shared" si="50"/>
        <v>25.200000000000003</v>
      </c>
      <c r="R563" s="406"/>
      <c r="S563" s="406"/>
      <c r="T563" s="406"/>
      <c r="U563" s="406">
        <v>789</v>
      </c>
      <c r="V563" s="51" t="s">
        <v>93</v>
      </c>
      <c r="W563" s="460">
        <v>43677</v>
      </c>
      <c r="X563" s="460">
        <v>43630</v>
      </c>
      <c r="Y563" s="304" t="s">
        <v>1155</v>
      </c>
      <c r="Z563" s="304" t="s">
        <v>2639</v>
      </c>
      <c r="AA563" s="460">
        <v>43677</v>
      </c>
      <c r="AB563" s="304" t="s">
        <v>2638</v>
      </c>
      <c r="AC563" s="304">
        <v>6783765446</v>
      </c>
      <c r="AD563" s="304"/>
      <c r="AE563" s="304"/>
      <c r="AF563" s="304"/>
      <c r="AG563" s="296"/>
      <c r="AH563" s="296">
        <v>31.324999999999999</v>
      </c>
      <c r="AI563" s="297"/>
      <c r="AJ563" s="298">
        <v>43654</v>
      </c>
      <c r="AK563" s="297" t="s">
        <v>2640</v>
      </c>
      <c r="AL563" s="297" t="s">
        <v>2641</v>
      </c>
      <c r="AM563" s="296" t="s">
        <v>49</v>
      </c>
      <c r="AN563" s="82" t="s">
        <v>284</v>
      </c>
      <c r="AO563" s="296" t="s">
        <v>50</v>
      </c>
      <c r="AP563" s="296" t="s">
        <v>51</v>
      </c>
      <c r="AQ563" s="457" t="s">
        <v>742</v>
      </c>
    </row>
    <row r="564" spans="1:43" ht="15.75" customHeight="1">
      <c r="A564" s="69">
        <v>43620</v>
      </c>
      <c r="B564" s="21" t="s">
        <v>129</v>
      </c>
      <c r="C564" s="240" t="s">
        <v>1153</v>
      </c>
      <c r="D564" s="21" t="s">
        <v>1154</v>
      </c>
      <c r="E564" s="32" t="s">
        <v>238</v>
      </c>
      <c r="F564" s="24">
        <v>25</v>
      </c>
      <c r="G564" s="48">
        <v>58</v>
      </c>
      <c r="H564" s="60">
        <f t="shared" si="49"/>
        <v>1450</v>
      </c>
      <c r="I564" s="87" t="s">
        <v>247</v>
      </c>
      <c r="J564" s="63" t="s">
        <v>133</v>
      </c>
      <c r="K564" s="29">
        <v>43636</v>
      </c>
      <c r="L564" s="29"/>
      <c r="M564" s="29">
        <v>43630</v>
      </c>
      <c r="N564" s="50" t="s">
        <v>89</v>
      </c>
      <c r="O564" s="93" t="s">
        <v>2637</v>
      </c>
      <c r="P564" s="406">
        <v>52</v>
      </c>
      <c r="Q564" s="406">
        <f t="shared" si="50"/>
        <v>1365</v>
      </c>
      <c r="R564" s="406"/>
      <c r="S564" s="406"/>
      <c r="T564" s="406"/>
      <c r="U564" s="406">
        <v>42759</v>
      </c>
      <c r="V564" s="51" t="s">
        <v>93</v>
      </c>
      <c r="W564" s="460">
        <v>43677</v>
      </c>
      <c r="X564" s="460">
        <v>43630</v>
      </c>
      <c r="Y564" s="304" t="s">
        <v>1155</v>
      </c>
      <c r="Z564" s="304" t="s">
        <v>2639</v>
      </c>
      <c r="AA564" s="460">
        <v>43677</v>
      </c>
      <c r="AB564" s="304" t="s">
        <v>2638</v>
      </c>
      <c r="AC564" s="304">
        <v>6783765446</v>
      </c>
      <c r="AD564" s="304"/>
      <c r="AE564" s="304"/>
      <c r="AF564" s="304"/>
      <c r="AG564" s="296"/>
      <c r="AH564" s="296">
        <v>31.324999999999999</v>
      </c>
      <c r="AI564" s="297"/>
      <c r="AJ564" s="298">
        <v>43654</v>
      </c>
      <c r="AK564" s="297" t="s">
        <v>2640</v>
      </c>
      <c r="AL564" s="297" t="s">
        <v>2641</v>
      </c>
      <c r="AM564" s="296" t="s">
        <v>49</v>
      </c>
      <c r="AN564" s="82" t="s">
        <v>284</v>
      </c>
      <c r="AO564" s="296" t="s">
        <v>50</v>
      </c>
      <c r="AP564" s="296" t="s">
        <v>51</v>
      </c>
      <c r="AQ564" s="457" t="s">
        <v>742</v>
      </c>
    </row>
    <row r="565" spans="1:43" ht="15.75" customHeight="1">
      <c r="A565" s="69">
        <v>43621</v>
      </c>
      <c r="B565" s="70" t="s">
        <v>1097</v>
      </c>
      <c r="C565" s="21"/>
      <c r="D565" s="21" t="s">
        <v>1156</v>
      </c>
      <c r="E565" s="32" t="s">
        <v>1157</v>
      </c>
      <c r="F565" s="24">
        <v>6</v>
      </c>
      <c r="G565" s="48">
        <v>3</v>
      </c>
      <c r="H565" s="60">
        <f t="shared" si="49"/>
        <v>18</v>
      </c>
      <c r="I565" s="87" t="s">
        <v>247</v>
      </c>
      <c r="J565" s="63" t="s">
        <v>262</v>
      </c>
      <c r="K565" s="30">
        <v>43630</v>
      </c>
      <c r="L565" s="30"/>
      <c r="M565" s="606">
        <v>43622</v>
      </c>
      <c r="N565" s="646" t="s">
        <v>2642</v>
      </c>
      <c r="O565" s="608" t="s">
        <v>2643</v>
      </c>
      <c r="P565" s="612"/>
      <c r="Q565" s="612">
        <f t="shared" si="50"/>
        <v>0</v>
      </c>
      <c r="R565" s="612"/>
      <c r="S565" s="612"/>
      <c r="T565" s="612">
        <v>50</v>
      </c>
      <c r="U565" s="612">
        <f>(T565*F565)*1.05</f>
        <v>315</v>
      </c>
      <c r="V565" s="681" t="s">
        <v>2644</v>
      </c>
      <c r="W565" s="300">
        <v>43622</v>
      </c>
      <c r="X565" s="300">
        <v>43621</v>
      </c>
      <c r="Y565" s="294" t="s">
        <v>1158</v>
      </c>
      <c r="Z565" s="294">
        <v>315</v>
      </c>
      <c r="AA565" s="300">
        <v>43622</v>
      </c>
      <c r="AB565" s="294" t="s">
        <v>2597</v>
      </c>
      <c r="AC565" s="294">
        <v>9802364946</v>
      </c>
      <c r="AD565" s="294"/>
      <c r="AE565" s="294"/>
      <c r="AF565" s="294"/>
      <c r="AG565" s="369"/>
      <c r="AH565" s="369">
        <v>31.324999999999999</v>
      </c>
      <c r="AI565" s="370"/>
      <c r="AJ565" s="371">
        <v>43626</v>
      </c>
      <c r="AK565" s="370" t="s">
        <v>2645</v>
      </c>
      <c r="AL565" s="370" t="s">
        <v>2646</v>
      </c>
      <c r="AM565" s="369" t="s">
        <v>49</v>
      </c>
      <c r="AN565" s="369" t="s">
        <v>284</v>
      </c>
      <c r="AO565" s="369" t="s">
        <v>50</v>
      </c>
      <c r="AP565" s="369" t="s">
        <v>51</v>
      </c>
      <c r="AQ565" s="372" t="s">
        <v>439</v>
      </c>
    </row>
    <row r="566" spans="1:43" ht="15.75" customHeight="1">
      <c r="A566" s="69">
        <v>43621</v>
      </c>
      <c r="B566" s="70" t="s">
        <v>1097</v>
      </c>
      <c r="C566" s="21"/>
      <c r="D566" s="21" t="s">
        <v>1156</v>
      </c>
      <c r="E566" s="23" t="s">
        <v>1159</v>
      </c>
      <c r="F566" s="24">
        <v>3</v>
      </c>
      <c r="G566" s="48">
        <v>152</v>
      </c>
      <c r="H566" s="60">
        <f t="shared" si="49"/>
        <v>456</v>
      </c>
      <c r="I566" s="87" t="s">
        <v>247</v>
      </c>
      <c r="J566" s="79" t="s">
        <v>262</v>
      </c>
      <c r="K566" s="30">
        <v>43630</v>
      </c>
      <c r="L566" s="30"/>
      <c r="M566" s="606">
        <v>43628</v>
      </c>
      <c r="N566" s="607" t="s">
        <v>2043</v>
      </c>
      <c r="O566" s="608" t="s">
        <v>2647</v>
      </c>
      <c r="P566" s="612"/>
      <c r="Q566" s="612">
        <f t="shared" si="50"/>
        <v>0</v>
      </c>
      <c r="R566" s="612"/>
      <c r="S566" s="612"/>
      <c r="T566" s="612">
        <v>4456</v>
      </c>
      <c r="U566" s="612">
        <v>14036</v>
      </c>
      <c r="V566" s="631" t="s">
        <v>2045</v>
      </c>
      <c r="W566" s="300">
        <v>43708</v>
      </c>
      <c r="X566" s="300">
        <v>43627</v>
      </c>
      <c r="Y566" s="294" t="s">
        <v>1160</v>
      </c>
      <c r="Z566" s="294">
        <v>22646</v>
      </c>
      <c r="AA566" s="300">
        <v>43710</v>
      </c>
      <c r="AB566" s="294" t="s">
        <v>2597</v>
      </c>
      <c r="AC566" s="294">
        <v>9802364946</v>
      </c>
      <c r="AD566" s="294"/>
      <c r="AE566" s="294"/>
      <c r="AF566" s="294"/>
      <c r="AG566" s="369"/>
      <c r="AH566" s="369">
        <v>31.324999999999999</v>
      </c>
      <c r="AI566" s="370"/>
      <c r="AJ566" s="371">
        <v>43626</v>
      </c>
      <c r="AK566" s="370">
        <f>736.63*31.373</f>
        <v>23110.292990000002</v>
      </c>
      <c r="AL566" s="370">
        <f>(754-736.63)*31.373</f>
        <v>544.94901000000016</v>
      </c>
      <c r="AM566" s="369" t="s">
        <v>49</v>
      </c>
      <c r="AN566" s="369" t="s">
        <v>284</v>
      </c>
      <c r="AO566" s="369" t="s">
        <v>50</v>
      </c>
      <c r="AP566" s="369" t="s">
        <v>51</v>
      </c>
      <c r="AQ566" s="372" t="s">
        <v>439</v>
      </c>
    </row>
    <row r="567" spans="1:43" ht="15.75" customHeight="1">
      <c r="A567" s="69">
        <v>43621</v>
      </c>
      <c r="B567" s="70" t="s">
        <v>1097</v>
      </c>
      <c r="C567" s="21"/>
      <c r="D567" s="21" t="s">
        <v>1156</v>
      </c>
      <c r="E567" s="23" t="s">
        <v>1161</v>
      </c>
      <c r="F567" s="24">
        <v>1</v>
      </c>
      <c r="G567" s="48">
        <v>280</v>
      </c>
      <c r="H567" s="60">
        <f t="shared" si="49"/>
        <v>280</v>
      </c>
      <c r="I567" s="87" t="s">
        <v>247</v>
      </c>
      <c r="J567" s="79" t="s">
        <v>262</v>
      </c>
      <c r="K567" s="30">
        <v>43630</v>
      </c>
      <c r="L567" s="30"/>
      <c r="M567" s="606">
        <v>43628</v>
      </c>
      <c r="N567" s="607" t="s">
        <v>2043</v>
      </c>
      <c r="O567" s="608" t="s">
        <v>2647</v>
      </c>
      <c r="P567" s="612"/>
      <c r="Q567" s="612">
        <f t="shared" si="50"/>
        <v>0</v>
      </c>
      <c r="R567" s="612"/>
      <c r="S567" s="612"/>
      <c r="T567" s="612">
        <v>8200</v>
      </c>
      <c r="U567" s="612">
        <f>(T567*F567)*1.05</f>
        <v>8610</v>
      </c>
      <c r="V567" s="631" t="s">
        <v>2045</v>
      </c>
      <c r="W567" s="300">
        <v>43708</v>
      </c>
      <c r="X567" s="300">
        <v>43627</v>
      </c>
      <c r="Y567" s="294" t="s">
        <v>1160</v>
      </c>
      <c r="Z567" s="294" t="s">
        <v>2648</v>
      </c>
      <c r="AA567" s="300">
        <v>43710</v>
      </c>
      <c r="AB567" s="294" t="s">
        <v>2597</v>
      </c>
      <c r="AC567" s="294">
        <v>9802364946</v>
      </c>
      <c r="AD567" s="294"/>
      <c r="AE567" s="294"/>
      <c r="AF567" s="294"/>
      <c r="AG567" s="369"/>
      <c r="AH567" s="369">
        <v>31.324999999999999</v>
      </c>
      <c r="AI567" s="370"/>
      <c r="AJ567" s="371">
        <v>43626</v>
      </c>
      <c r="AK567" s="370" t="s">
        <v>2645</v>
      </c>
      <c r="AL567" s="370" t="s">
        <v>2646</v>
      </c>
      <c r="AM567" s="369" t="s">
        <v>49</v>
      </c>
      <c r="AN567" s="369" t="s">
        <v>284</v>
      </c>
      <c r="AO567" s="369" t="s">
        <v>50</v>
      </c>
      <c r="AP567" s="369" t="s">
        <v>51</v>
      </c>
      <c r="AQ567" s="372" t="s">
        <v>439</v>
      </c>
    </row>
    <row r="568" spans="1:43" ht="15.75" customHeight="1">
      <c r="A568" s="69">
        <v>43622</v>
      </c>
      <c r="B568" s="70" t="s">
        <v>629</v>
      </c>
      <c r="C568" s="21" t="s">
        <v>1162</v>
      </c>
      <c r="D568" s="21" t="s">
        <v>1163</v>
      </c>
      <c r="E568" s="23" t="s">
        <v>632</v>
      </c>
      <c r="F568" s="24">
        <v>10</v>
      </c>
      <c r="G568" s="48">
        <v>173.25</v>
      </c>
      <c r="H568" s="165">
        <f t="shared" si="49"/>
        <v>1732.5</v>
      </c>
      <c r="I568" s="87" t="s">
        <v>247</v>
      </c>
      <c r="J568" s="79" t="s">
        <v>1164</v>
      </c>
      <c r="K568" s="30">
        <v>43627</v>
      </c>
      <c r="L568" s="30"/>
      <c r="M568" s="30">
        <v>43626</v>
      </c>
      <c r="N568" s="58" t="s">
        <v>2212</v>
      </c>
      <c r="O568" s="93" t="s">
        <v>2649</v>
      </c>
      <c r="P568" s="406"/>
      <c r="Q568" s="406">
        <f t="shared" si="50"/>
        <v>0</v>
      </c>
      <c r="R568" s="406"/>
      <c r="S568" s="406"/>
      <c r="T568" s="406">
        <v>4850</v>
      </c>
      <c r="U568" s="406">
        <f>(T568*F568)*1.05</f>
        <v>50925</v>
      </c>
      <c r="V568" s="20" t="s">
        <v>2214</v>
      </c>
      <c r="W568" s="460">
        <v>43651</v>
      </c>
      <c r="X568" s="460">
        <v>43626</v>
      </c>
      <c r="Y568" s="304" t="s">
        <v>1165</v>
      </c>
      <c r="Z568" s="304">
        <v>50925</v>
      </c>
      <c r="AA568" s="460">
        <v>43654</v>
      </c>
      <c r="AB568" s="304" t="s">
        <v>2650</v>
      </c>
      <c r="AC568" s="304" t="s">
        <v>2651</v>
      </c>
      <c r="AD568" s="304">
        <v>31.43</v>
      </c>
      <c r="AE568" s="304">
        <v>54452</v>
      </c>
      <c r="AF568" s="460">
        <v>43627</v>
      </c>
      <c r="AG568" s="296"/>
      <c r="AH568" s="296"/>
      <c r="AI568" s="297"/>
      <c r="AJ568" s="298">
        <v>43664</v>
      </c>
      <c r="AK568" s="297">
        <v>54452</v>
      </c>
      <c r="AL568" s="297">
        <v>0</v>
      </c>
      <c r="AM568" s="296" t="s">
        <v>49</v>
      </c>
      <c r="AN568" s="82" t="s">
        <v>284</v>
      </c>
      <c r="AO568" s="296" t="s">
        <v>50</v>
      </c>
      <c r="AP568" s="296" t="s">
        <v>376</v>
      </c>
      <c r="AQ568" s="457" t="s">
        <v>742</v>
      </c>
    </row>
    <row r="569" spans="1:43" ht="15.75" customHeight="1">
      <c r="A569" s="69">
        <v>43622</v>
      </c>
      <c r="B569" s="21" t="s">
        <v>1166</v>
      </c>
      <c r="C569" s="21"/>
      <c r="D569" s="21" t="s">
        <v>1167</v>
      </c>
      <c r="E569" s="23" t="s">
        <v>1168</v>
      </c>
      <c r="F569" s="24">
        <v>6</v>
      </c>
      <c r="G569" s="48">
        <v>101</v>
      </c>
      <c r="H569" s="60">
        <f t="shared" si="49"/>
        <v>606</v>
      </c>
      <c r="I569" s="87" t="s">
        <v>247</v>
      </c>
      <c r="J569" s="50" t="s">
        <v>1169</v>
      </c>
      <c r="K569" s="30">
        <v>43658</v>
      </c>
      <c r="L569" s="30"/>
      <c r="M569" s="298">
        <v>43649</v>
      </c>
      <c r="N569" s="50" t="s">
        <v>89</v>
      </c>
      <c r="O569" s="32" t="s">
        <v>2652</v>
      </c>
      <c r="P569" s="406">
        <v>89</v>
      </c>
      <c r="Q569" s="406">
        <f t="shared" si="50"/>
        <v>560.70000000000005</v>
      </c>
      <c r="R569" s="406"/>
      <c r="S569" s="406"/>
      <c r="T569" s="406"/>
      <c r="U569" s="406">
        <v>0</v>
      </c>
      <c r="V569" s="51" t="s">
        <v>93</v>
      </c>
      <c r="W569" s="460">
        <v>43708</v>
      </c>
      <c r="X569" s="460">
        <v>43648</v>
      </c>
      <c r="Y569" s="304" t="s">
        <v>1170</v>
      </c>
      <c r="Z569" s="304">
        <v>17396</v>
      </c>
      <c r="AA569" s="460">
        <v>43706</v>
      </c>
      <c r="AB569" s="304" t="s">
        <v>2653</v>
      </c>
      <c r="AC569" s="304">
        <v>50080012925</v>
      </c>
      <c r="AD569" s="304"/>
      <c r="AE569" s="304"/>
      <c r="AF569" s="304"/>
      <c r="AG569" s="296"/>
      <c r="AH569" s="296"/>
      <c r="AI569" s="297"/>
      <c r="AJ569" s="298">
        <v>43656</v>
      </c>
      <c r="AK569" s="297">
        <f>617.56*31.08</f>
        <v>19193.764799999997</v>
      </c>
      <c r="AL569" s="297">
        <f>28.44*31.08</f>
        <v>883.91520000000003</v>
      </c>
      <c r="AM569" s="296" t="s">
        <v>49</v>
      </c>
      <c r="AN569" s="82" t="s">
        <v>284</v>
      </c>
      <c r="AO569" s="296" t="s">
        <v>50</v>
      </c>
      <c r="AP569" s="296" t="s">
        <v>51</v>
      </c>
      <c r="AQ569" s="457" t="s">
        <v>742</v>
      </c>
    </row>
    <row r="570" spans="1:43" ht="15.75" customHeight="1">
      <c r="A570" s="69">
        <v>43622</v>
      </c>
      <c r="B570" s="21" t="s">
        <v>1166</v>
      </c>
      <c r="C570" s="21"/>
      <c r="D570" s="21" t="s">
        <v>1167</v>
      </c>
      <c r="E570" s="32" t="s">
        <v>833</v>
      </c>
      <c r="F570" s="24">
        <v>1</v>
      </c>
      <c r="G570" s="48">
        <v>40</v>
      </c>
      <c r="H570" s="60">
        <f t="shared" si="49"/>
        <v>40</v>
      </c>
      <c r="I570" s="87" t="s">
        <v>247</v>
      </c>
      <c r="J570" s="50" t="s">
        <v>1169</v>
      </c>
      <c r="K570" s="30">
        <v>43658</v>
      </c>
      <c r="L570" s="30"/>
      <c r="M570" s="43"/>
      <c r="N570" s="63" t="s">
        <v>219</v>
      </c>
      <c r="O570" s="93"/>
      <c r="P570" s="34"/>
      <c r="Q570" s="34"/>
      <c r="R570" s="34"/>
      <c r="S570" s="34"/>
      <c r="T570" s="34">
        <v>0</v>
      </c>
      <c r="U570" s="34">
        <v>0</v>
      </c>
      <c r="V570" s="51"/>
      <c r="W570" s="52"/>
      <c r="X570" s="53"/>
      <c r="Y570" s="53"/>
      <c r="Z570" s="53"/>
      <c r="AA570" s="53"/>
      <c r="AB570" s="53" t="s">
        <v>2653</v>
      </c>
      <c r="AC570" s="53">
        <v>50080012925</v>
      </c>
      <c r="AD570" s="53"/>
      <c r="AE570" s="53"/>
      <c r="AF570" s="53"/>
      <c r="AG570" s="54"/>
      <c r="AH570" s="54"/>
      <c r="AI570" s="55"/>
      <c r="AJ570" s="56">
        <v>43656</v>
      </c>
      <c r="AK570" s="55" t="s">
        <v>2654</v>
      </c>
      <c r="AL570" s="55" t="s">
        <v>2655</v>
      </c>
      <c r="AM570" s="54" t="s">
        <v>49</v>
      </c>
      <c r="AN570" s="24" t="s">
        <v>284</v>
      </c>
      <c r="AO570" s="54" t="s">
        <v>50</v>
      </c>
      <c r="AP570" s="54" t="s">
        <v>51</v>
      </c>
      <c r="AQ570" s="57"/>
    </row>
    <row r="571" spans="1:43" ht="15.75" customHeight="1">
      <c r="A571" s="69">
        <v>43622</v>
      </c>
      <c r="B571" s="70" t="s">
        <v>118</v>
      </c>
      <c r="C571" s="21" t="s">
        <v>1171</v>
      </c>
      <c r="D571" s="21" t="s">
        <v>1172</v>
      </c>
      <c r="E571" s="32" t="s">
        <v>164</v>
      </c>
      <c r="F571" s="24">
        <v>100</v>
      </c>
      <c r="G571" s="48">
        <v>105</v>
      </c>
      <c r="H571" s="60">
        <f t="shared" si="49"/>
        <v>10500</v>
      </c>
      <c r="I571" s="87" t="s">
        <v>247</v>
      </c>
      <c r="J571" s="82" t="s">
        <v>121</v>
      </c>
      <c r="K571" s="30">
        <v>43669</v>
      </c>
      <c r="L571" s="30"/>
      <c r="M571" s="29">
        <v>43634</v>
      </c>
      <c r="N571" s="50" t="s">
        <v>89</v>
      </c>
      <c r="O571" s="93" t="s">
        <v>2656</v>
      </c>
      <c r="P571" s="406">
        <v>82</v>
      </c>
      <c r="Q571" s="406">
        <f t="shared" ref="Q571:Q618" si="52">(P571*F571)*1.05</f>
        <v>8610</v>
      </c>
      <c r="R571" s="406"/>
      <c r="S571" s="406"/>
      <c r="T571" s="406"/>
      <c r="U571" s="406">
        <v>269708</v>
      </c>
      <c r="V571" s="35" t="s">
        <v>93</v>
      </c>
      <c r="W571" s="460">
        <v>43677</v>
      </c>
      <c r="X571" s="460">
        <v>43634</v>
      </c>
      <c r="Y571" s="304" t="s">
        <v>1173</v>
      </c>
      <c r="Z571" s="304">
        <v>269708</v>
      </c>
      <c r="AA571" s="460">
        <v>43677</v>
      </c>
      <c r="AB571" s="304" t="s">
        <v>2619</v>
      </c>
      <c r="AC571" s="304">
        <v>23244885886</v>
      </c>
      <c r="AD571" s="304"/>
      <c r="AE571" s="304"/>
      <c r="AF571" s="304"/>
      <c r="AG571" s="296"/>
      <c r="AH571" s="296"/>
      <c r="AI571" s="297"/>
      <c r="AJ571" s="298">
        <v>43770</v>
      </c>
      <c r="AK571" s="297">
        <f>10483.43*30.44</f>
        <v>319115.60920000001</v>
      </c>
      <c r="AL571" s="297">
        <f>(10500-10483.43)*30.44</f>
        <v>504.39079999999115</v>
      </c>
      <c r="AM571" s="296" t="s">
        <v>49</v>
      </c>
      <c r="AN571" s="296" t="s">
        <v>284</v>
      </c>
      <c r="AO571" s="296" t="s">
        <v>50</v>
      </c>
      <c r="AP571" s="296" t="s">
        <v>51</v>
      </c>
      <c r="AQ571" s="234" t="s">
        <v>506</v>
      </c>
    </row>
    <row r="572" spans="1:43" ht="15.75" customHeight="1">
      <c r="A572" s="69">
        <v>43622</v>
      </c>
      <c r="B572" s="144" t="s">
        <v>76</v>
      </c>
      <c r="C572" s="21">
        <v>425</v>
      </c>
      <c r="D572" s="21" t="s">
        <v>1174</v>
      </c>
      <c r="E572" s="32" t="s">
        <v>642</v>
      </c>
      <c r="F572" s="24">
        <v>2</v>
      </c>
      <c r="G572" s="48">
        <v>200</v>
      </c>
      <c r="H572" s="26">
        <f t="shared" si="49"/>
        <v>400</v>
      </c>
      <c r="I572" s="87" t="s">
        <v>42</v>
      </c>
      <c r="J572" s="58" t="s">
        <v>315</v>
      </c>
      <c r="K572" s="29">
        <v>43643</v>
      </c>
      <c r="L572" s="29"/>
      <c r="M572" s="29">
        <v>43640</v>
      </c>
      <c r="N572" s="50" t="s">
        <v>1512</v>
      </c>
      <c r="O572" s="93" t="s">
        <v>2657</v>
      </c>
      <c r="P572" s="406"/>
      <c r="Q572" s="406">
        <f t="shared" si="52"/>
        <v>0</v>
      </c>
      <c r="R572" s="406"/>
      <c r="S572" s="406"/>
      <c r="T572" s="406">
        <v>4788</v>
      </c>
      <c r="U572" s="648">
        <f>(T572*F572)*1.05</f>
        <v>10054.800000000001</v>
      </c>
      <c r="V572" s="70" t="s">
        <v>2109</v>
      </c>
      <c r="W572" s="460">
        <v>43651</v>
      </c>
      <c r="X572" s="460">
        <v>43636</v>
      </c>
      <c r="Y572" s="304" t="s">
        <v>1175</v>
      </c>
      <c r="Z572" s="304">
        <v>10055</v>
      </c>
      <c r="AA572" s="460">
        <v>43656</v>
      </c>
      <c r="AB572" s="304" t="s">
        <v>2658</v>
      </c>
      <c r="AC572" s="304">
        <v>114576745</v>
      </c>
      <c r="AD572" s="304"/>
      <c r="AE572" s="304"/>
      <c r="AF572" s="304"/>
      <c r="AG572" s="296"/>
      <c r="AH572" s="296"/>
      <c r="AI572" s="297"/>
      <c r="AJ572" s="298">
        <v>43679</v>
      </c>
      <c r="AK572" s="297" t="s">
        <v>2659</v>
      </c>
      <c r="AL572" s="297" t="s">
        <v>2660</v>
      </c>
      <c r="AM572" s="296" t="s">
        <v>49</v>
      </c>
      <c r="AN572" s="296" t="s">
        <v>284</v>
      </c>
      <c r="AO572" s="296" t="s">
        <v>285</v>
      </c>
      <c r="AP572" s="296" t="s">
        <v>51</v>
      </c>
      <c r="AQ572" s="234" t="s">
        <v>506</v>
      </c>
    </row>
    <row r="573" spans="1:43" ht="15.75" customHeight="1">
      <c r="A573" s="69">
        <v>43622</v>
      </c>
      <c r="B573" s="147" t="s">
        <v>76</v>
      </c>
      <c r="C573" s="21">
        <v>425</v>
      </c>
      <c r="D573" s="21" t="s">
        <v>1174</v>
      </c>
      <c r="E573" s="32" t="s">
        <v>648</v>
      </c>
      <c r="F573" s="24">
        <v>2</v>
      </c>
      <c r="G573" s="48">
        <v>2</v>
      </c>
      <c r="H573" s="26">
        <f t="shared" si="49"/>
        <v>4</v>
      </c>
      <c r="I573" s="87" t="s">
        <v>42</v>
      </c>
      <c r="J573" s="58" t="s">
        <v>315</v>
      </c>
      <c r="K573" s="29">
        <v>43643</v>
      </c>
      <c r="L573" s="29"/>
      <c r="M573" s="682">
        <v>43640</v>
      </c>
      <c r="N573" s="50" t="s">
        <v>178</v>
      </c>
      <c r="O573" s="93"/>
      <c r="P573" s="406"/>
      <c r="Q573" s="406">
        <f t="shared" si="52"/>
        <v>0</v>
      </c>
      <c r="R573" s="406"/>
      <c r="S573" s="406"/>
      <c r="T573" s="406">
        <v>24</v>
      </c>
      <c r="U573" s="406">
        <f>(T573*F573)*1.05</f>
        <v>50.400000000000006</v>
      </c>
      <c r="V573" s="415"/>
      <c r="W573" s="304"/>
      <c r="X573" s="304"/>
      <c r="Y573" s="304"/>
      <c r="Z573" s="304"/>
      <c r="AA573" s="304"/>
      <c r="AB573" s="304" t="s">
        <v>2658</v>
      </c>
      <c r="AC573" s="304">
        <v>114576745</v>
      </c>
      <c r="AD573" s="304"/>
      <c r="AE573" s="304"/>
      <c r="AF573" s="304"/>
      <c r="AG573" s="296"/>
      <c r="AH573" s="296"/>
      <c r="AI573" s="297"/>
      <c r="AJ573" s="298">
        <v>43679</v>
      </c>
      <c r="AK573" s="297">
        <f>541*31.29</f>
        <v>16927.89</v>
      </c>
      <c r="AL573" s="297">
        <v>0</v>
      </c>
      <c r="AM573" s="296" t="s">
        <v>49</v>
      </c>
      <c r="AN573" s="296" t="s">
        <v>284</v>
      </c>
      <c r="AO573" s="296" t="s">
        <v>285</v>
      </c>
      <c r="AP573" s="296" t="s">
        <v>51</v>
      </c>
      <c r="AQ573" s="234" t="s">
        <v>506</v>
      </c>
    </row>
    <row r="574" spans="1:43" ht="15.75" customHeight="1">
      <c r="A574" s="69">
        <v>43622</v>
      </c>
      <c r="B574" s="144" t="s">
        <v>76</v>
      </c>
      <c r="C574" s="21">
        <v>425</v>
      </c>
      <c r="D574" s="21" t="s">
        <v>1174</v>
      </c>
      <c r="E574" s="32" t="s">
        <v>649</v>
      </c>
      <c r="F574" s="24">
        <v>2</v>
      </c>
      <c r="G574" s="48">
        <v>6</v>
      </c>
      <c r="H574" s="26">
        <f t="shared" si="49"/>
        <v>12</v>
      </c>
      <c r="I574" s="87" t="s">
        <v>42</v>
      </c>
      <c r="J574" s="58" t="s">
        <v>315</v>
      </c>
      <c r="K574" s="29">
        <v>43643</v>
      </c>
      <c r="L574" s="29"/>
      <c r="M574" s="682">
        <v>43640</v>
      </c>
      <c r="N574" s="50" t="s">
        <v>178</v>
      </c>
      <c r="O574" s="93"/>
      <c r="P574" s="406"/>
      <c r="Q574" s="406">
        <f t="shared" si="52"/>
        <v>0</v>
      </c>
      <c r="R574" s="406"/>
      <c r="S574" s="406"/>
      <c r="T574" s="511">
        <v>28</v>
      </c>
      <c r="U574" s="638">
        <v>58.8</v>
      </c>
      <c r="V574" s="501"/>
      <c r="W574" s="304"/>
      <c r="X574" s="304"/>
      <c r="Y574" s="304"/>
      <c r="Z574" s="304"/>
      <c r="AA574" s="304"/>
      <c r="AB574" s="304" t="s">
        <v>2658</v>
      </c>
      <c r="AC574" s="304">
        <v>114576745</v>
      </c>
      <c r="AD574" s="304"/>
      <c r="AE574" s="304"/>
      <c r="AF574" s="304"/>
      <c r="AG574" s="296"/>
      <c r="AH574" s="296"/>
      <c r="AI574" s="297"/>
      <c r="AJ574" s="298">
        <v>43679</v>
      </c>
      <c r="AK574" s="297" t="s">
        <v>2659</v>
      </c>
      <c r="AL574" s="297" t="s">
        <v>2660</v>
      </c>
      <c r="AM574" s="296" t="s">
        <v>49</v>
      </c>
      <c r="AN574" s="296" t="s">
        <v>284</v>
      </c>
      <c r="AO574" s="296" t="s">
        <v>285</v>
      </c>
      <c r="AP574" s="296" t="s">
        <v>51</v>
      </c>
      <c r="AQ574" s="234" t="s">
        <v>506</v>
      </c>
    </row>
    <row r="575" spans="1:43" ht="15.75" customHeight="1">
      <c r="A575" s="69">
        <v>43622</v>
      </c>
      <c r="B575" s="144" t="s">
        <v>76</v>
      </c>
      <c r="C575" s="21">
        <v>425</v>
      </c>
      <c r="D575" s="21" t="s">
        <v>1174</v>
      </c>
      <c r="E575" s="32" t="s">
        <v>644</v>
      </c>
      <c r="F575" s="24">
        <v>2</v>
      </c>
      <c r="G575" s="48">
        <v>0</v>
      </c>
      <c r="H575" s="26">
        <f t="shared" si="49"/>
        <v>0</v>
      </c>
      <c r="I575" s="87" t="s">
        <v>42</v>
      </c>
      <c r="J575" s="58" t="s">
        <v>315</v>
      </c>
      <c r="K575" s="29">
        <v>43643</v>
      </c>
      <c r="L575" s="29"/>
      <c r="M575" s="29">
        <v>43640</v>
      </c>
      <c r="N575" s="50" t="s">
        <v>1512</v>
      </c>
      <c r="O575" s="93" t="s">
        <v>2657</v>
      </c>
      <c r="P575" s="406"/>
      <c r="Q575" s="406">
        <f t="shared" si="52"/>
        <v>0</v>
      </c>
      <c r="R575" s="406"/>
      <c r="S575" s="406"/>
      <c r="T575" s="406" t="s">
        <v>2661</v>
      </c>
      <c r="U575" s="406" t="e">
        <f>(T575*F575)*1.05</f>
        <v>#VALUE!</v>
      </c>
      <c r="V575" s="70" t="s">
        <v>2109</v>
      </c>
      <c r="W575" s="304"/>
      <c r="X575" s="304"/>
      <c r="Y575" s="304"/>
      <c r="Z575" s="304"/>
      <c r="AA575" s="304"/>
      <c r="AB575" s="304" t="s">
        <v>2658</v>
      </c>
      <c r="AC575" s="304">
        <v>114576745</v>
      </c>
      <c r="AD575" s="304"/>
      <c r="AE575" s="304"/>
      <c r="AF575" s="304"/>
      <c r="AG575" s="296"/>
      <c r="AH575" s="296"/>
      <c r="AI575" s="297"/>
      <c r="AJ575" s="298">
        <v>43679</v>
      </c>
      <c r="AK575" s="297" t="s">
        <v>2659</v>
      </c>
      <c r="AL575" s="297" t="s">
        <v>2660</v>
      </c>
      <c r="AM575" s="296" t="s">
        <v>49</v>
      </c>
      <c r="AN575" s="296" t="s">
        <v>284</v>
      </c>
      <c r="AO575" s="296" t="s">
        <v>285</v>
      </c>
      <c r="AP575" s="296" t="s">
        <v>51</v>
      </c>
      <c r="AQ575" s="234" t="s">
        <v>506</v>
      </c>
    </row>
    <row r="576" spans="1:43" ht="15.75" customHeight="1">
      <c r="A576" s="69">
        <v>43622</v>
      </c>
      <c r="B576" s="144" t="s">
        <v>76</v>
      </c>
      <c r="C576" s="21">
        <v>425</v>
      </c>
      <c r="D576" s="21" t="s">
        <v>1174</v>
      </c>
      <c r="E576" s="23" t="s">
        <v>645</v>
      </c>
      <c r="F576" s="24">
        <v>2</v>
      </c>
      <c r="G576" s="48">
        <v>0</v>
      </c>
      <c r="H576" s="26">
        <f t="shared" si="49"/>
        <v>0</v>
      </c>
      <c r="I576" s="61" t="s">
        <v>42</v>
      </c>
      <c r="J576" s="58" t="s">
        <v>315</v>
      </c>
      <c r="K576" s="29">
        <v>43643</v>
      </c>
      <c r="L576" s="29"/>
      <c r="M576" s="29">
        <v>43640</v>
      </c>
      <c r="N576" s="50" t="s">
        <v>1512</v>
      </c>
      <c r="O576" s="93" t="s">
        <v>2657</v>
      </c>
      <c r="P576" s="406"/>
      <c r="Q576" s="406">
        <f t="shared" si="52"/>
        <v>0</v>
      </c>
      <c r="R576" s="406"/>
      <c r="S576" s="406"/>
      <c r="T576" s="406" t="s">
        <v>2661</v>
      </c>
      <c r="U576" s="406" t="e">
        <f>(T576*F576)*1.05</f>
        <v>#VALUE!</v>
      </c>
      <c r="V576" s="21" t="s">
        <v>2109</v>
      </c>
      <c r="W576" s="304"/>
      <c r="X576" s="304"/>
      <c r="Y576" s="304"/>
      <c r="Z576" s="304"/>
      <c r="AA576" s="304"/>
      <c r="AB576" s="304" t="s">
        <v>2658</v>
      </c>
      <c r="AC576" s="304">
        <v>114576745</v>
      </c>
      <c r="AD576" s="304"/>
      <c r="AE576" s="304"/>
      <c r="AF576" s="304"/>
      <c r="AG576" s="296"/>
      <c r="AH576" s="296"/>
      <c r="AI576" s="297"/>
      <c r="AJ576" s="298">
        <v>43679</v>
      </c>
      <c r="AK576" s="297" t="s">
        <v>2659</v>
      </c>
      <c r="AL576" s="297" t="s">
        <v>2660</v>
      </c>
      <c r="AM576" s="296" t="s">
        <v>49</v>
      </c>
      <c r="AN576" s="296" t="s">
        <v>284</v>
      </c>
      <c r="AO576" s="296" t="s">
        <v>285</v>
      </c>
      <c r="AP576" s="296" t="s">
        <v>51</v>
      </c>
      <c r="AQ576" s="234" t="s">
        <v>506</v>
      </c>
    </row>
    <row r="577" spans="1:43" ht="15.75" customHeight="1">
      <c r="A577" s="69">
        <v>43622</v>
      </c>
      <c r="B577" s="144" t="s">
        <v>76</v>
      </c>
      <c r="C577" s="21">
        <v>425</v>
      </c>
      <c r="D577" s="21" t="s">
        <v>1174</v>
      </c>
      <c r="E577" s="23" t="s">
        <v>646</v>
      </c>
      <c r="F577" s="24">
        <v>2</v>
      </c>
      <c r="G577" s="48">
        <v>0</v>
      </c>
      <c r="H577" s="26">
        <f t="shared" si="49"/>
        <v>0</v>
      </c>
      <c r="I577" s="61" t="s">
        <v>42</v>
      </c>
      <c r="J577" s="58" t="s">
        <v>315</v>
      </c>
      <c r="K577" s="29">
        <v>43643</v>
      </c>
      <c r="L577" s="29"/>
      <c r="M577" s="29">
        <v>43640</v>
      </c>
      <c r="N577" s="50" t="s">
        <v>1512</v>
      </c>
      <c r="O577" s="93" t="s">
        <v>2657</v>
      </c>
      <c r="P577" s="406"/>
      <c r="Q577" s="406">
        <f t="shared" si="52"/>
        <v>0</v>
      </c>
      <c r="R577" s="406"/>
      <c r="S577" s="406"/>
      <c r="T577" s="406" t="s">
        <v>2661</v>
      </c>
      <c r="U577" s="406" t="e">
        <f>(T577*F577)*1.05</f>
        <v>#VALUE!</v>
      </c>
      <c r="V577" s="21" t="s">
        <v>2109</v>
      </c>
      <c r="W577" s="304"/>
      <c r="X577" s="304"/>
      <c r="Y577" s="304"/>
      <c r="Z577" s="304"/>
      <c r="AA577" s="304"/>
      <c r="AB577" s="304" t="s">
        <v>2658</v>
      </c>
      <c r="AC577" s="304">
        <v>114576745</v>
      </c>
      <c r="AD577" s="304"/>
      <c r="AE577" s="304"/>
      <c r="AF577" s="304"/>
      <c r="AG577" s="296"/>
      <c r="AH577" s="296"/>
      <c r="AI577" s="297"/>
      <c r="AJ577" s="298">
        <v>43679</v>
      </c>
      <c r="AK577" s="297" t="s">
        <v>2659</v>
      </c>
      <c r="AL577" s="297" t="s">
        <v>2660</v>
      </c>
      <c r="AM577" s="296" t="s">
        <v>49</v>
      </c>
      <c r="AN577" s="296" t="s">
        <v>284</v>
      </c>
      <c r="AO577" s="296" t="s">
        <v>285</v>
      </c>
      <c r="AP577" s="296" t="s">
        <v>51</v>
      </c>
      <c r="AQ577" s="234" t="s">
        <v>506</v>
      </c>
    </row>
    <row r="578" spans="1:43" ht="15.75" customHeight="1">
      <c r="A578" s="69">
        <v>43622</v>
      </c>
      <c r="B578" s="144" t="s">
        <v>76</v>
      </c>
      <c r="C578" s="21">
        <v>425</v>
      </c>
      <c r="D578" s="21" t="s">
        <v>1174</v>
      </c>
      <c r="E578" s="23" t="s">
        <v>647</v>
      </c>
      <c r="F578" s="24">
        <v>2</v>
      </c>
      <c r="G578" s="48">
        <v>0</v>
      </c>
      <c r="H578" s="26">
        <f t="shared" si="49"/>
        <v>0</v>
      </c>
      <c r="I578" s="61" t="s">
        <v>42</v>
      </c>
      <c r="J578" s="58" t="s">
        <v>315</v>
      </c>
      <c r="K578" s="29">
        <v>43643</v>
      </c>
      <c r="L578" s="29"/>
      <c r="M578" s="29">
        <v>43640</v>
      </c>
      <c r="N578" s="50" t="s">
        <v>1512</v>
      </c>
      <c r="O578" s="93" t="s">
        <v>2657</v>
      </c>
      <c r="P578" s="406"/>
      <c r="Q578" s="406">
        <f t="shared" si="52"/>
        <v>0</v>
      </c>
      <c r="R578" s="406"/>
      <c r="S578" s="406"/>
      <c r="T578" s="406" t="s">
        <v>2661</v>
      </c>
      <c r="U578" s="406" t="e">
        <f>(T578*F578)*1.05</f>
        <v>#VALUE!</v>
      </c>
      <c r="V578" s="21" t="s">
        <v>2109</v>
      </c>
      <c r="W578" s="304"/>
      <c r="X578" s="304"/>
      <c r="Y578" s="304"/>
      <c r="Z578" s="304"/>
      <c r="AA578" s="304"/>
      <c r="AB578" s="304" t="s">
        <v>2658</v>
      </c>
      <c r="AC578" s="304">
        <v>114576745</v>
      </c>
      <c r="AD578" s="304"/>
      <c r="AE578" s="304"/>
      <c r="AF578" s="304"/>
      <c r="AG578" s="296"/>
      <c r="AH578" s="296"/>
      <c r="AI578" s="297"/>
      <c r="AJ578" s="298">
        <v>43679</v>
      </c>
      <c r="AK578" s="297" t="s">
        <v>2659</v>
      </c>
      <c r="AL578" s="297" t="s">
        <v>2660</v>
      </c>
      <c r="AM578" s="296" t="s">
        <v>49</v>
      </c>
      <c r="AN578" s="296" t="s">
        <v>284</v>
      </c>
      <c r="AO578" s="296" t="s">
        <v>285</v>
      </c>
      <c r="AP578" s="296" t="s">
        <v>51</v>
      </c>
      <c r="AQ578" s="234" t="s">
        <v>506</v>
      </c>
    </row>
    <row r="579" spans="1:43" ht="15.75" customHeight="1">
      <c r="A579" s="69">
        <v>43622</v>
      </c>
      <c r="B579" s="144" t="s">
        <v>76</v>
      </c>
      <c r="C579" s="21">
        <v>425</v>
      </c>
      <c r="D579" s="21" t="s">
        <v>1174</v>
      </c>
      <c r="E579" s="23" t="s">
        <v>650</v>
      </c>
      <c r="F579" s="24">
        <v>2</v>
      </c>
      <c r="G579" s="48">
        <v>0</v>
      </c>
      <c r="H579" s="26">
        <f t="shared" si="49"/>
        <v>0</v>
      </c>
      <c r="I579" s="61" t="s">
        <v>42</v>
      </c>
      <c r="J579" s="58" t="s">
        <v>315</v>
      </c>
      <c r="K579" s="29">
        <v>43643</v>
      </c>
      <c r="L579" s="29"/>
      <c r="M579" s="682">
        <v>43640</v>
      </c>
      <c r="N579" s="50" t="s">
        <v>178</v>
      </c>
      <c r="O579" s="93"/>
      <c r="P579" s="406"/>
      <c r="Q579" s="406">
        <f t="shared" si="52"/>
        <v>0</v>
      </c>
      <c r="R579" s="406"/>
      <c r="S579" s="406"/>
      <c r="T579" s="406">
        <v>92</v>
      </c>
      <c r="U579" s="406">
        <f>(T579*F579)*1.05</f>
        <v>193.20000000000002</v>
      </c>
      <c r="V579" s="406"/>
      <c r="W579" s="304"/>
      <c r="X579" s="304"/>
      <c r="Y579" s="304"/>
      <c r="Z579" s="304"/>
      <c r="AA579" s="304"/>
      <c r="AB579" s="304" t="s">
        <v>2658</v>
      </c>
      <c r="AC579" s="304">
        <v>114576745</v>
      </c>
      <c r="AD579" s="304"/>
      <c r="AE579" s="304"/>
      <c r="AF579" s="304"/>
      <c r="AG579" s="296"/>
      <c r="AH579" s="296"/>
      <c r="AI579" s="297"/>
      <c r="AJ579" s="298">
        <v>43679</v>
      </c>
      <c r="AK579" s="297" t="s">
        <v>2659</v>
      </c>
      <c r="AL579" s="297" t="s">
        <v>2660</v>
      </c>
      <c r="AM579" s="296" t="s">
        <v>49</v>
      </c>
      <c r="AN579" s="296" t="s">
        <v>284</v>
      </c>
      <c r="AO579" s="296" t="s">
        <v>285</v>
      </c>
      <c r="AP579" s="296" t="s">
        <v>51</v>
      </c>
      <c r="AQ579" s="234" t="s">
        <v>506</v>
      </c>
    </row>
    <row r="580" spans="1:43" ht="15.75" customHeight="1">
      <c r="A580" s="69">
        <v>43623</v>
      </c>
      <c r="B580" s="23" t="s">
        <v>405</v>
      </c>
      <c r="C580" s="21">
        <v>7000147891</v>
      </c>
      <c r="D580" s="21" t="s">
        <v>1176</v>
      </c>
      <c r="E580" s="23" t="s">
        <v>556</v>
      </c>
      <c r="F580" s="24">
        <v>3</v>
      </c>
      <c r="G580" s="48">
        <v>148</v>
      </c>
      <c r="H580" s="26">
        <f t="shared" si="49"/>
        <v>444</v>
      </c>
      <c r="I580" s="61" t="s">
        <v>42</v>
      </c>
      <c r="J580" s="50" t="s">
        <v>512</v>
      </c>
      <c r="K580" s="29">
        <v>43629</v>
      </c>
      <c r="L580" s="29"/>
      <c r="M580" s="29">
        <v>43628</v>
      </c>
      <c r="N580" s="58" t="s">
        <v>2043</v>
      </c>
      <c r="O580" s="93" t="s">
        <v>2662</v>
      </c>
      <c r="P580" s="406"/>
      <c r="Q580" s="406">
        <f t="shared" si="52"/>
        <v>0</v>
      </c>
      <c r="R580" s="406"/>
      <c r="S580" s="406"/>
      <c r="T580" s="406">
        <v>4385</v>
      </c>
      <c r="U580" s="406">
        <v>13813</v>
      </c>
      <c r="V580" s="22" t="s">
        <v>2045</v>
      </c>
      <c r="W580" s="460">
        <v>43708</v>
      </c>
      <c r="X580" s="460">
        <v>43627</v>
      </c>
      <c r="Y580" s="304" t="s">
        <v>1177</v>
      </c>
      <c r="Z580" s="304">
        <v>13813</v>
      </c>
      <c r="AA580" s="460">
        <v>43710</v>
      </c>
      <c r="AB580" s="304" t="s">
        <v>2663</v>
      </c>
      <c r="AC580" s="304">
        <v>3217025420</v>
      </c>
      <c r="AD580" s="304"/>
      <c r="AE580" s="304"/>
      <c r="AF580" s="304"/>
      <c r="AG580" s="296"/>
      <c r="AH580" s="296">
        <v>31.324999999999999</v>
      </c>
      <c r="AI580" s="297"/>
      <c r="AJ580" s="298">
        <v>43677</v>
      </c>
      <c r="AK580" s="297"/>
      <c r="AL580" s="297"/>
      <c r="AM580" s="296" t="s">
        <v>49</v>
      </c>
      <c r="AN580" s="296" t="s">
        <v>284</v>
      </c>
      <c r="AO580" s="296" t="s">
        <v>50</v>
      </c>
      <c r="AP580" s="296" t="s">
        <v>51</v>
      </c>
      <c r="AQ580" s="234" t="s">
        <v>506</v>
      </c>
    </row>
    <row r="581" spans="1:43" ht="15.75" customHeight="1">
      <c r="A581" s="69">
        <v>43625</v>
      </c>
      <c r="B581" s="23" t="s">
        <v>405</v>
      </c>
      <c r="C581" s="21">
        <v>7000147924</v>
      </c>
      <c r="D581" s="21" t="s">
        <v>1178</v>
      </c>
      <c r="E581" s="23" t="s">
        <v>799</v>
      </c>
      <c r="F581" s="24">
        <v>1</v>
      </c>
      <c r="G581" s="48">
        <v>565</v>
      </c>
      <c r="H581" s="60">
        <f t="shared" si="49"/>
        <v>565</v>
      </c>
      <c r="I581" s="61" t="s">
        <v>42</v>
      </c>
      <c r="J581" s="50" t="s">
        <v>512</v>
      </c>
      <c r="K581" s="29">
        <v>43636</v>
      </c>
      <c r="L581" s="29"/>
      <c r="M581" s="30">
        <v>43634</v>
      </c>
      <c r="N581" s="58" t="s">
        <v>2043</v>
      </c>
      <c r="O581" s="93" t="s">
        <v>2664</v>
      </c>
      <c r="P581" s="406"/>
      <c r="Q581" s="406">
        <f t="shared" si="52"/>
        <v>0</v>
      </c>
      <c r="R581" s="406"/>
      <c r="S581" s="406"/>
      <c r="T581" s="406">
        <v>15071</v>
      </c>
      <c r="U581" s="406">
        <v>15825</v>
      </c>
      <c r="V581" s="22" t="s">
        <v>2045</v>
      </c>
      <c r="W581" s="460">
        <v>43708</v>
      </c>
      <c r="X581" s="460">
        <v>43630</v>
      </c>
      <c r="Y581" s="304" t="s">
        <v>1179</v>
      </c>
      <c r="Z581" s="304">
        <v>15825</v>
      </c>
      <c r="AA581" s="460">
        <v>43710</v>
      </c>
      <c r="AB581" s="304" t="s">
        <v>2665</v>
      </c>
      <c r="AC581" s="304">
        <v>7760071314</v>
      </c>
      <c r="AD581" s="304"/>
      <c r="AE581" s="304"/>
      <c r="AF581" s="304"/>
      <c r="AG581" s="296"/>
      <c r="AH581" s="296">
        <v>31.324999999999999</v>
      </c>
      <c r="AI581" s="297"/>
      <c r="AJ581" s="298">
        <v>43677</v>
      </c>
      <c r="AK581" s="297"/>
      <c r="AL581" s="297"/>
      <c r="AM581" s="296" t="s">
        <v>49</v>
      </c>
      <c r="AN581" s="296" t="s">
        <v>284</v>
      </c>
      <c r="AO581" s="296" t="s">
        <v>50</v>
      </c>
      <c r="AP581" s="296" t="s">
        <v>51</v>
      </c>
      <c r="AQ581" s="234" t="s">
        <v>506</v>
      </c>
    </row>
    <row r="582" spans="1:43" ht="15.75" customHeight="1">
      <c r="A582" s="69">
        <v>43626</v>
      </c>
      <c r="B582" s="144" t="s">
        <v>166</v>
      </c>
      <c r="C582" s="502" t="s">
        <v>1180</v>
      </c>
      <c r="D582" s="491" t="s">
        <v>1181</v>
      </c>
      <c r="E582" s="23" t="s">
        <v>1182</v>
      </c>
      <c r="F582" s="24">
        <v>1</v>
      </c>
      <c r="G582" s="48">
        <v>132</v>
      </c>
      <c r="H582" s="60">
        <f t="shared" si="49"/>
        <v>132</v>
      </c>
      <c r="I582" s="346" t="s">
        <v>104</v>
      </c>
      <c r="J582" s="58" t="s">
        <v>171</v>
      </c>
      <c r="K582" s="29">
        <v>43664</v>
      </c>
      <c r="L582" s="29"/>
      <c r="M582" s="29">
        <v>43649</v>
      </c>
      <c r="N582" s="58" t="s">
        <v>2666</v>
      </c>
      <c r="O582" s="93" t="s">
        <v>2667</v>
      </c>
      <c r="P582" s="406">
        <v>42.9</v>
      </c>
      <c r="Q582" s="406">
        <f t="shared" si="52"/>
        <v>45.045000000000002</v>
      </c>
      <c r="R582" s="406"/>
      <c r="S582" s="406"/>
      <c r="T582" s="406">
        <v>1352</v>
      </c>
      <c r="U582" s="22">
        <v>1419</v>
      </c>
      <c r="V582" s="35" t="s">
        <v>1954</v>
      </c>
      <c r="W582" s="460">
        <v>43682</v>
      </c>
      <c r="X582" s="460">
        <v>43649</v>
      </c>
      <c r="Y582" s="304" t="s">
        <v>1183</v>
      </c>
      <c r="Z582" s="304" t="s">
        <v>2668</v>
      </c>
      <c r="AA582" s="460">
        <v>43682</v>
      </c>
      <c r="AB582" s="304" t="s">
        <v>2669</v>
      </c>
      <c r="AC582" s="304">
        <v>8191455473</v>
      </c>
      <c r="AD582" s="304">
        <v>31.045000000000002</v>
      </c>
      <c r="AE582" s="304"/>
      <c r="AF582" s="304"/>
      <c r="AG582" s="296"/>
      <c r="AH582" s="296"/>
      <c r="AI582" s="297"/>
      <c r="AJ582" s="298">
        <v>43629</v>
      </c>
      <c r="AK582" s="297" t="s">
        <v>2670</v>
      </c>
      <c r="AL582" s="297" t="s">
        <v>2671</v>
      </c>
      <c r="AM582" s="296" t="s">
        <v>49</v>
      </c>
      <c r="AN582" s="82" t="s">
        <v>284</v>
      </c>
      <c r="AO582" s="296" t="s">
        <v>285</v>
      </c>
      <c r="AP582" s="296" t="s">
        <v>51</v>
      </c>
      <c r="AQ582" s="457" t="s">
        <v>742</v>
      </c>
    </row>
    <row r="583" spans="1:43" ht="15.75" customHeight="1">
      <c r="A583" s="69">
        <v>43626</v>
      </c>
      <c r="B583" s="144" t="s">
        <v>166</v>
      </c>
      <c r="C583" s="502" t="s">
        <v>1180</v>
      </c>
      <c r="D583" s="503" t="s">
        <v>1181</v>
      </c>
      <c r="E583" s="23" t="s">
        <v>1184</v>
      </c>
      <c r="F583" s="24">
        <v>1</v>
      </c>
      <c r="G583" s="48">
        <v>1608</v>
      </c>
      <c r="H583" s="60">
        <f t="shared" si="49"/>
        <v>1608</v>
      </c>
      <c r="I583" s="346" t="s">
        <v>104</v>
      </c>
      <c r="J583" s="58" t="s">
        <v>171</v>
      </c>
      <c r="K583" s="29">
        <v>43664</v>
      </c>
      <c r="L583" s="29"/>
      <c r="M583" s="29">
        <v>43664</v>
      </c>
      <c r="N583" s="50" t="s">
        <v>1074</v>
      </c>
      <c r="O583" s="93" t="s">
        <v>2672</v>
      </c>
      <c r="P583" s="406"/>
      <c r="Q583" s="406">
        <f t="shared" si="52"/>
        <v>0</v>
      </c>
      <c r="R583" s="406"/>
      <c r="S583" s="406"/>
      <c r="T583" s="406"/>
      <c r="U583" s="350">
        <v>36722.699999999997</v>
      </c>
      <c r="V583" s="406"/>
      <c r="W583" s="304"/>
      <c r="X583" s="304"/>
      <c r="Y583" s="304"/>
      <c r="Z583" s="304"/>
      <c r="AA583" s="304"/>
      <c r="AB583" s="304" t="s">
        <v>2669</v>
      </c>
      <c r="AC583" s="304">
        <v>8191455473</v>
      </c>
      <c r="AD583" s="304">
        <v>31.045000000000002</v>
      </c>
      <c r="AE583" s="304"/>
      <c r="AF583" s="304"/>
      <c r="AG583" s="296"/>
      <c r="AH583" s="296"/>
      <c r="AI583" s="297"/>
      <c r="AJ583" s="298">
        <v>43629</v>
      </c>
      <c r="AK583" s="297" t="s">
        <v>2670</v>
      </c>
      <c r="AL583" s="297" t="s">
        <v>2671</v>
      </c>
      <c r="AM583" s="296" t="s">
        <v>49</v>
      </c>
      <c r="AN583" s="82" t="s">
        <v>284</v>
      </c>
      <c r="AO583" s="296" t="s">
        <v>285</v>
      </c>
      <c r="AP583" s="296" t="s">
        <v>51</v>
      </c>
      <c r="AQ583" s="457" t="s">
        <v>742</v>
      </c>
    </row>
    <row r="584" spans="1:43" ht="15.75" customHeight="1">
      <c r="A584" s="69">
        <v>43626</v>
      </c>
      <c r="B584" s="144" t="s">
        <v>166</v>
      </c>
      <c r="C584" s="502" t="s">
        <v>1180</v>
      </c>
      <c r="D584" s="503" t="s">
        <v>1185</v>
      </c>
      <c r="E584" s="32" t="s">
        <v>1182</v>
      </c>
      <c r="F584" s="24">
        <v>1</v>
      </c>
      <c r="G584" s="48">
        <v>132</v>
      </c>
      <c r="H584" s="60">
        <f t="shared" si="49"/>
        <v>132</v>
      </c>
      <c r="I584" s="346" t="s">
        <v>104</v>
      </c>
      <c r="J584" s="58" t="s">
        <v>171</v>
      </c>
      <c r="K584" s="145">
        <v>43710</v>
      </c>
      <c r="L584" s="145"/>
      <c r="M584" s="29">
        <v>43649</v>
      </c>
      <c r="N584" s="58" t="s">
        <v>2666</v>
      </c>
      <c r="O584" s="93" t="s">
        <v>2667</v>
      </c>
      <c r="P584" s="406">
        <v>42.9</v>
      </c>
      <c r="Q584" s="406">
        <f t="shared" si="52"/>
        <v>45.045000000000002</v>
      </c>
      <c r="R584" s="406"/>
      <c r="S584" s="406"/>
      <c r="T584" s="406">
        <v>1352</v>
      </c>
      <c r="U584" s="406">
        <v>1420</v>
      </c>
      <c r="V584" s="51" t="s">
        <v>1954</v>
      </c>
      <c r="W584" s="460">
        <v>43682</v>
      </c>
      <c r="X584" s="460">
        <v>43649</v>
      </c>
      <c r="Y584" s="304" t="s">
        <v>1183</v>
      </c>
      <c r="Z584" s="304">
        <v>9837</v>
      </c>
      <c r="AA584" s="460">
        <v>43682</v>
      </c>
      <c r="AB584" s="304" t="s">
        <v>2673</v>
      </c>
      <c r="AC584" s="406">
        <v>8523017403</v>
      </c>
      <c r="AD584" s="304">
        <v>31.324999999999999</v>
      </c>
      <c r="AE584" s="304"/>
      <c r="AF584" s="304"/>
      <c r="AG584" s="296"/>
      <c r="AH584" s="296"/>
      <c r="AI584" s="297"/>
      <c r="AJ584" s="298">
        <v>43629</v>
      </c>
      <c r="AK584" s="297" t="s">
        <v>2670</v>
      </c>
      <c r="AL584" s="297" t="s">
        <v>2671</v>
      </c>
      <c r="AM584" s="296" t="s">
        <v>49</v>
      </c>
      <c r="AN584" s="82" t="s">
        <v>284</v>
      </c>
      <c r="AO584" s="296" t="s">
        <v>285</v>
      </c>
      <c r="AP584" s="296" t="s">
        <v>51</v>
      </c>
      <c r="AQ584" s="457" t="s">
        <v>742</v>
      </c>
    </row>
    <row r="585" spans="1:43" ht="15.75" customHeight="1">
      <c r="A585" s="69">
        <v>43626</v>
      </c>
      <c r="B585" s="144" t="s">
        <v>166</v>
      </c>
      <c r="C585" s="502" t="s">
        <v>1180</v>
      </c>
      <c r="D585" s="503" t="s">
        <v>1185</v>
      </c>
      <c r="E585" s="23" t="s">
        <v>1186</v>
      </c>
      <c r="F585" s="24">
        <v>1</v>
      </c>
      <c r="G585" s="48">
        <v>1667</v>
      </c>
      <c r="H585" s="60">
        <f t="shared" si="49"/>
        <v>1667</v>
      </c>
      <c r="I585" s="346" t="s">
        <v>104</v>
      </c>
      <c r="J585" s="58" t="s">
        <v>171</v>
      </c>
      <c r="K585" s="145">
        <v>43711</v>
      </c>
      <c r="L585" s="145"/>
      <c r="M585" s="298">
        <v>43710</v>
      </c>
      <c r="N585" s="50" t="s">
        <v>1074</v>
      </c>
      <c r="O585" s="93" t="s">
        <v>2674</v>
      </c>
      <c r="P585" s="406"/>
      <c r="Q585" s="406">
        <f t="shared" si="52"/>
        <v>0</v>
      </c>
      <c r="R585" s="406"/>
      <c r="S585" s="406"/>
      <c r="T585" s="406"/>
      <c r="U585" s="406">
        <f>(T585*F585)*1.05</f>
        <v>0</v>
      </c>
      <c r="V585" s="501"/>
      <c r="W585" s="304"/>
      <c r="X585" s="304"/>
      <c r="Y585" s="304"/>
      <c r="Z585" s="304"/>
      <c r="AA585" s="304"/>
      <c r="AB585" s="304" t="s">
        <v>2673</v>
      </c>
      <c r="AC585" s="406">
        <v>8523017403</v>
      </c>
      <c r="AD585" s="304">
        <v>31.324999999999999</v>
      </c>
      <c r="AE585" s="304"/>
      <c r="AF585" s="304"/>
      <c r="AG585" s="296"/>
      <c r="AH585" s="296"/>
      <c r="AI585" s="297"/>
      <c r="AJ585" s="298">
        <v>43629</v>
      </c>
      <c r="AK585" s="297">
        <f>3492.64*31.47</f>
        <v>109913.3808</v>
      </c>
      <c r="AL585" s="297">
        <f>46.36*31.47</f>
        <v>1458.9492</v>
      </c>
      <c r="AM585" s="296" t="s">
        <v>49</v>
      </c>
      <c r="AN585" s="82" t="s">
        <v>284</v>
      </c>
      <c r="AO585" s="296" t="s">
        <v>285</v>
      </c>
      <c r="AP585" s="296" t="s">
        <v>51</v>
      </c>
      <c r="AQ585" s="457" t="s">
        <v>742</v>
      </c>
    </row>
    <row r="586" spans="1:43" ht="15.75" customHeight="1">
      <c r="A586" s="69">
        <v>43627</v>
      </c>
      <c r="B586" s="70" t="s">
        <v>129</v>
      </c>
      <c r="C586" s="21" t="s">
        <v>1187</v>
      </c>
      <c r="D586" s="504" t="s">
        <v>169</v>
      </c>
      <c r="E586" s="23" t="s">
        <v>1029</v>
      </c>
      <c r="F586" s="24">
        <v>1</v>
      </c>
      <c r="G586" s="48">
        <v>123</v>
      </c>
      <c r="H586" s="60">
        <f t="shared" si="49"/>
        <v>123</v>
      </c>
      <c r="I586" s="61" t="s">
        <v>247</v>
      </c>
      <c r="J586" s="63" t="s">
        <v>133</v>
      </c>
      <c r="K586" s="29">
        <v>43636</v>
      </c>
      <c r="L586" s="29"/>
      <c r="M586" s="29">
        <v>43635</v>
      </c>
      <c r="N586" s="50" t="s">
        <v>89</v>
      </c>
      <c r="O586" s="93" t="s">
        <v>2675</v>
      </c>
      <c r="P586" s="406">
        <v>114</v>
      </c>
      <c r="Q586" s="406">
        <f t="shared" si="52"/>
        <v>119.7</v>
      </c>
      <c r="R586" s="406"/>
      <c r="S586" s="406"/>
      <c r="T586" s="406"/>
      <c r="U586" s="406">
        <v>3750</v>
      </c>
      <c r="V586" s="35" t="s">
        <v>93</v>
      </c>
      <c r="W586" s="460">
        <v>43677</v>
      </c>
      <c r="X586" s="460">
        <v>43634</v>
      </c>
      <c r="Y586" s="304" t="s">
        <v>1188</v>
      </c>
      <c r="Z586" s="304">
        <v>3750</v>
      </c>
      <c r="AA586" s="460">
        <v>43677</v>
      </c>
      <c r="AB586" s="304" t="s">
        <v>2638</v>
      </c>
      <c r="AC586" s="304">
        <v>6783765446</v>
      </c>
      <c r="AD586" s="304"/>
      <c r="AE586" s="304"/>
      <c r="AF586" s="304"/>
      <c r="AG586" s="296"/>
      <c r="AH586" s="296">
        <v>31.324999999999999</v>
      </c>
      <c r="AI586" s="297"/>
      <c r="AJ586" s="298">
        <v>43654</v>
      </c>
      <c r="AK586" s="297" t="s">
        <v>2640</v>
      </c>
      <c r="AL586" s="297" t="s">
        <v>2641</v>
      </c>
      <c r="AM586" s="296" t="s">
        <v>49</v>
      </c>
      <c r="AN586" s="82" t="s">
        <v>284</v>
      </c>
      <c r="AO586" s="296" t="s">
        <v>50</v>
      </c>
      <c r="AP586" s="296" t="s">
        <v>51</v>
      </c>
      <c r="AQ586" s="457" t="s">
        <v>742</v>
      </c>
    </row>
    <row r="587" spans="1:43" ht="15.75" customHeight="1">
      <c r="A587" s="69">
        <v>43628</v>
      </c>
      <c r="B587" s="70" t="s">
        <v>1189</v>
      </c>
      <c r="C587" s="21" t="s">
        <v>1190</v>
      </c>
      <c r="D587" s="21" t="s">
        <v>1191</v>
      </c>
      <c r="E587" s="23" t="s">
        <v>1192</v>
      </c>
      <c r="F587" s="24">
        <v>2</v>
      </c>
      <c r="G587" s="48">
        <v>120</v>
      </c>
      <c r="H587" s="60">
        <f t="shared" si="49"/>
        <v>240</v>
      </c>
      <c r="I587" s="61" t="s">
        <v>42</v>
      </c>
      <c r="J587" s="50" t="s">
        <v>1193</v>
      </c>
      <c r="K587" s="29">
        <v>43643</v>
      </c>
      <c r="L587" s="29"/>
      <c r="M587" s="29">
        <v>43635</v>
      </c>
      <c r="N587" s="601" t="s">
        <v>2043</v>
      </c>
      <c r="O587" s="93" t="s">
        <v>2676</v>
      </c>
      <c r="P587" s="406"/>
      <c r="Q587" s="406">
        <f t="shared" si="52"/>
        <v>0</v>
      </c>
      <c r="R587" s="406"/>
      <c r="S587" s="406"/>
      <c r="T587" s="406">
        <v>3162</v>
      </c>
      <c r="U587" s="406">
        <v>6640</v>
      </c>
      <c r="V587" s="22" t="s">
        <v>2045</v>
      </c>
      <c r="W587" s="460">
        <v>43708</v>
      </c>
      <c r="X587" s="460">
        <v>43634</v>
      </c>
      <c r="Y587" s="304" t="s">
        <v>1194</v>
      </c>
      <c r="Z587" s="304">
        <v>6640</v>
      </c>
      <c r="AA587" s="460">
        <v>43710</v>
      </c>
      <c r="AB587" s="304" t="s">
        <v>2677</v>
      </c>
      <c r="AC587" s="304">
        <v>114503310</v>
      </c>
      <c r="AD587" s="304"/>
      <c r="AE587" s="304"/>
      <c r="AF587" s="304"/>
      <c r="AG587" s="296"/>
      <c r="AH587" s="296"/>
      <c r="AI587" s="297"/>
      <c r="AJ587" s="298">
        <v>43636</v>
      </c>
      <c r="AK587" s="297" t="s">
        <v>2678</v>
      </c>
      <c r="AL587" s="297" t="s">
        <v>2679</v>
      </c>
      <c r="AM587" s="296" t="s">
        <v>49</v>
      </c>
      <c r="AN587" s="82" t="s">
        <v>284</v>
      </c>
      <c r="AO587" s="296" t="s">
        <v>50</v>
      </c>
      <c r="AP587" s="296" t="s">
        <v>51</v>
      </c>
      <c r="AQ587" s="457" t="s">
        <v>742</v>
      </c>
    </row>
    <row r="588" spans="1:43" ht="15.75" customHeight="1">
      <c r="A588" s="69">
        <v>43628</v>
      </c>
      <c r="B588" s="23" t="s">
        <v>405</v>
      </c>
      <c r="C588" s="21">
        <v>7000148034</v>
      </c>
      <c r="D588" s="21" t="s">
        <v>1195</v>
      </c>
      <c r="E588" s="23" t="s">
        <v>676</v>
      </c>
      <c r="F588" s="24">
        <v>2</v>
      </c>
      <c r="G588" s="48">
        <v>129</v>
      </c>
      <c r="H588" s="60">
        <f t="shared" si="49"/>
        <v>258</v>
      </c>
      <c r="I588" s="61" t="s">
        <v>42</v>
      </c>
      <c r="J588" s="50" t="s">
        <v>512</v>
      </c>
      <c r="K588" s="29">
        <v>43636</v>
      </c>
      <c r="L588" s="29"/>
      <c r="M588" s="29">
        <v>43634</v>
      </c>
      <c r="N588" s="58" t="s">
        <v>2043</v>
      </c>
      <c r="O588" s="93" t="s">
        <v>2680</v>
      </c>
      <c r="P588" s="406"/>
      <c r="Q588" s="406">
        <f t="shared" si="52"/>
        <v>0</v>
      </c>
      <c r="R588" s="406"/>
      <c r="S588" s="406"/>
      <c r="T588" s="406">
        <v>3450</v>
      </c>
      <c r="U588" s="406">
        <f>(T588*F588)*1.05</f>
        <v>7245</v>
      </c>
      <c r="V588" s="22" t="s">
        <v>2045</v>
      </c>
      <c r="W588" s="460">
        <v>43708</v>
      </c>
      <c r="X588" s="460">
        <v>43633</v>
      </c>
      <c r="Y588" s="304" t="s">
        <v>1196</v>
      </c>
      <c r="Z588" s="304">
        <v>7245</v>
      </c>
      <c r="AA588" s="460">
        <v>43710</v>
      </c>
      <c r="AB588" s="304" t="s">
        <v>2665</v>
      </c>
      <c r="AC588" s="304">
        <v>7760071314</v>
      </c>
      <c r="AD588" s="304"/>
      <c r="AE588" s="304"/>
      <c r="AF588" s="304"/>
      <c r="AG588" s="296"/>
      <c r="AH588" s="296">
        <v>31.324999999999999</v>
      </c>
      <c r="AI588" s="297"/>
      <c r="AJ588" s="298">
        <v>43677</v>
      </c>
      <c r="AK588" s="297"/>
      <c r="AL588" s="297"/>
      <c r="AM588" s="296" t="s">
        <v>49</v>
      </c>
      <c r="AN588" s="296" t="s">
        <v>284</v>
      </c>
      <c r="AO588" s="296" t="s">
        <v>50</v>
      </c>
      <c r="AP588" s="296" t="s">
        <v>51</v>
      </c>
      <c r="AQ588" s="234" t="s">
        <v>506</v>
      </c>
    </row>
    <row r="589" spans="1:43" ht="15.75" customHeight="1">
      <c r="A589" s="69">
        <v>43628</v>
      </c>
      <c r="B589" s="70" t="s">
        <v>1189</v>
      </c>
      <c r="C589" s="21" t="s">
        <v>1190</v>
      </c>
      <c r="D589" s="21" t="s">
        <v>1197</v>
      </c>
      <c r="E589" s="23" t="s">
        <v>961</v>
      </c>
      <c r="F589" s="24">
        <v>1</v>
      </c>
      <c r="G589" s="48">
        <v>88</v>
      </c>
      <c r="H589" s="60">
        <f t="shared" si="49"/>
        <v>88</v>
      </c>
      <c r="I589" s="61" t="s">
        <v>42</v>
      </c>
      <c r="J589" s="50" t="s">
        <v>1193</v>
      </c>
      <c r="K589" s="29">
        <v>43643</v>
      </c>
      <c r="L589" s="29"/>
      <c r="M589" s="29">
        <v>43637</v>
      </c>
      <c r="N589" s="542" t="s">
        <v>89</v>
      </c>
      <c r="O589" s="93" t="s">
        <v>2681</v>
      </c>
      <c r="P589" s="406">
        <v>76.349999999999994</v>
      </c>
      <c r="Q589" s="406">
        <f t="shared" si="52"/>
        <v>80.167500000000004</v>
      </c>
      <c r="R589" s="406"/>
      <c r="S589" s="406"/>
      <c r="T589" s="406"/>
      <c r="U589" s="406">
        <v>2511</v>
      </c>
      <c r="V589" s="35" t="s">
        <v>93</v>
      </c>
      <c r="W589" s="460">
        <v>43677</v>
      </c>
      <c r="X589" s="460">
        <v>43636</v>
      </c>
      <c r="Y589" s="304" t="s">
        <v>1198</v>
      </c>
      <c r="Z589" s="304">
        <v>2511</v>
      </c>
      <c r="AA589" s="460">
        <v>43677</v>
      </c>
      <c r="AB589" s="304" t="s">
        <v>2677</v>
      </c>
      <c r="AC589" s="304">
        <v>114503310</v>
      </c>
      <c r="AD589" s="304"/>
      <c r="AE589" s="304"/>
      <c r="AF589" s="304"/>
      <c r="AG589" s="296"/>
      <c r="AH589" s="296"/>
      <c r="AI589" s="297"/>
      <c r="AJ589" s="298">
        <v>43636</v>
      </c>
      <c r="AK589" s="297">
        <f>291.55*31</f>
        <v>9038.0500000000011</v>
      </c>
      <c r="AL589" s="297">
        <f>(328-291.55)*31</f>
        <v>1129.9499999999996</v>
      </c>
      <c r="AM589" s="296" t="s">
        <v>49</v>
      </c>
      <c r="AN589" s="82" t="s">
        <v>284</v>
      </c>
      <c r="AO589" s="296" t="s">
        <v>50</v>
      </c>
      <c r="AP589" s="296" t="s">
        <v>51</v>
      </c>
      <c r="AQ589" s="457" t="s">
        <v>742</v>
      </c>
    </row>
    <row r="590" spans="1:43" ht="15.75" customHeight="1">
      <c r="A590" s="69">
        <v>43629</v>
      </c>
      <c r="B590" s="70" t="s">
        <v>222</v>
      </c>
      <c r="C590" s="21" t="s">
        <v>1199</v>
      </c>
      <c r="D590" s="21" t="s">
        <v>1200</v>
      </c>
      <c r="E590" s="32" t="s">
        <v>1201</v>
      </c>
      <c r="F590" s="24">
        <v>3</v>
      </c>
      <c r="G590" s="48">
        <v>135.44999999999999</v>
      </c>
      <c r="H590" s="60">
        <f>G590*F590*1.05</f>
        <v>426.66749999999996</v>
      </c>
      <c r="I590" s="61" t="s">
        <v>247</v>
      </c>
      <c r="J590" s="63" t="s">
        <v>89</v>
      </c>
      <c r="K590" s="29">
        <v>43634</v>
      </c>
      <c r="L590" s="29"/>
      <c r="M590" s="29">
        <v>43633</v>
      </c>
      <c r="N590" s="50" t="s">
        <v>89</v>
      </c>
      <c r="O590" s="93" t="s">
        <v>2682</v>
      </c>
      <c r="P590" s="406">
        <v>121</v>
      </c>
      <c r="Q590" s="406">
        <f t="shared" si="52"/>
        <v>381.15000000000003</v>
      </c>
      <c r="R590" s="406"/>
      <c r="S590" s="406"/>
      <c r="T590" s="406"/>
      <c r="U590" s="406">
        <v>11940</v>
      </c>
      <c r="V590" s="51" t="s">
        <v>93</v>
      </c>
      <c r="W590" s="460">
        <v>43677</v>
      </c>
      <c r="X590" s="460">
        <v>43633</v>
      </c>
      <c r="Y590" s="304" t="s">
        <v>1202</v>
      </c>
      <c r="Z590" s="304">
        <v>11940</v>
      </c>
      <c r="AA590" s="460">
        <v>43677</v>
      </c>
      <c r="AB590" s="304" t="s">
        <v>2683</v>
      </c>
      <c r="AC590" s="304" t="s">
        <v>2684</v>
      </c>
      <c r="AD590" s="304">
        <v>31.51</v>
      </c>
      <c r="AE590" s="304">
        <v>12804</v>
      </c>
      <c r="AF590" s="303">
        <v>43634</v>
      </c>
      <c r="AG590" s="296"/>
      <c r="AH590" s="296"/>
      <c r="AI590" s="297"/>
      <c r="AJ590" s="298">
        <v>43682</v>
      </c>
      <c r="AK590" s="297" t="s">
        <v>2685</v>
      </c>
      <c r="AL590" s="297" t="s">
        <v>2686</v>
      </c>
      <c r="AM590" s="296" t="s">
        <v>49</v>
      </c>
      <c r="AN590" s="296" t="s">
        <v>284</v>
      </c>
      <c r="AO590" s="296" t="s">
        <v>50</v>
      </c>
      <c r="AP590" s="296" t="s">
        <v>376</v>
      </c>
      <c r="AQ590" s="234" t="s">
        <v>506</v>
      </c>
    </row>
    <row r="591" spans="1:43" ht="15.75" customHeight="1">
      <c r="A591" s="69">
        <v>43633</v>
      </c>
      <c r="B591" s="70" t="s">
        <v>76</v>
      </c>
      <c r="C591" s="21">
        <v>450</v>
      </c>
      <c r="D591" s="21" t="s">
        <v>1203</v>
      </c>
      <c r="E591" s="32" t="s">
        <v>1204</v>
      </c>
      <c r="F591" s="24">
        <v>50</v>
      </c>
      <c r="G591" s="48">
        <v>2.5</v>
      </c>
      <c r="H591" s="60">
        <f t="shared" ref="H591:H607" si="53">G591*F591</f>
        <v>125</v>
      </c>
      <c r="I591" s="61" t="s">
        <v>42</v>
      </c>
      <c r="J591" s="58" t="s">
        <v>315</v>
      </c>
      <c r="K591" s="29">
        <v>43643</v>
      </c>
      <c r="L591" s="29"/>
      <c r="M591" s="30">
        <v>43637</v>
      </c>
      <c r="N591" s="50" t="s">
        <v>2578</v>
      </c>
      <c r="O591" s="93" t="s">
        <v>2687</v>
      </c>
      <c r="P591" s="406"/>
      <c r="Q591" s="406">
        <f t="shared" si="52"/>
        <v>0</v>
      </c>
      <c r="R591" s="406"/>
      <c r="S591" s="406"/>
      <c r="T591" s="406">
        <v>36</v>
      </c>
      <c r="U591" s="406">
        <f>(T591*F591)*1.05</f>
        <v>1890</v>
      </c>
      <c r="V591" s="451" t="s">
        <v>2580</v>
      </c>
      <c r="W591" s="460">
        <v>43651</v>
      </c>
      <c r="X591" s="460">
        <v>43635</v>
      </c>
      <c r="Y591" s="304" t="s">
        <v>1205</v>
      </c>
      <c r="Z591" s="304">
        <v>1890</v>
      </c>
      <c r="AA591" s="460">
        <v>43654</v>
      </c>
      <c r="AB591" s="304" t="s">
        <v>2658</v>
      </c>
      <c r="AC591" s="304">
        <v>114576745</v>
      </c>
      <c r="AD591" s="304"/>
      <c r="AE591" s="304"/>
      <c r="AF591" s="304"/>
      <c r="AG591" s="296"/>
      <c r="AH591" s="296"/>
      <c r="AI591" s="297"/>
      <c r="AJ591" s="298">
        <v>43679</v>
      </c>
      <c r="AK591" s="297" t="s">
        <v>2659</v>
      </c>
      <c r="AL591" s="297" t="s">
        <v>2660</v>
      </c>
      <c r="AM591" s="296" t="s">
        <v>49</v>
      </c>
      <c r="AN591" s="296" t="s">
        <v>284</v>
      </c>
      <c r="AO591" s="296" t="s">
        <v>50</v>
      </c>
      <c r="AP591" s="296" t="s">
        <v>51</v>
      </c>
      <c r="AQ591" s="234" t="s">
        <v>506</v>
      </c>
    </row>
    <row r="592" spans="1:43" ht="15.75" customHeight="1">
      <c r="A592" s="69">
        <v>43635</v>
      </c>
      <c r="B592" s="70" t="s">
        <v>1016</v>
      </c>
      <c r="C592" s="21" t="s">
        <v>1206</v>
      </c>
      <c r="D592" s="21" t="s">
        <v>1207</v>
      </c>
      <c r="E592" s="21" t="s">
        <v>1208</v>
      </c>
      <c r="F592" s="24">
        <v>6</v>
      </c>
      <c r="G592" s="48">
        <v>134</v>
      </c>
      <c r="H592" s="60">
        <f t="shared" si="53"/>
        <v>804</v>
      </c>
      <c r="I592" s="61" t="s">
        <v>104</v>
      </c>
      <c r="J592" s="63" t="s">
        <v>1023</v>
      </c>
      <c r="K592" s="29">
        <v>43644</v>
      </c>
      <c r="L592" s="29"/>
      <c r="M592" s="29">
        <v>43640</v>
      </c>
      <c r="N592" s="50" t="s">
        <v>89</v>
      </c>
      <c r="O592" s="93" t="s">
        <v>2688</v>
      </c>
      <c r="P592" s="406">
        <v>120</v>
      </c>
      <c r="Q592" s="406">
        <f t="shared" si="52"/>
        <v>756</v>
      </c>
      <c r="R592" s="406"/>
      <c r="S592" s="406"/>
      <c r="T592" s="406"/>
      <c r="U592" s="406">
        <v>23788</v>
      </c>
      <c r="V592" s="51" t="s">
        <v>93</v>
      </c>
      <c r="W592" s="460">
        <v>43677</v>
      </c>
      <c r="X592" s="460">
        <v>43640</v>
      </c>
      <c r="Y592" s="304" t="s">
        <v>1209</v>
      </c>
      <c r="Z592" s="304">
        <v>23788</v>
      </c>
      <c r="AA592" s="460">
        <v>43677</v>
      </c>
      <c r="AB592" s="304" t="s">
        <v>2528</v>
      </c>
      <c r="AC592" s="304">
        <v>590014509746</v>
      </c>
      <c r="AD592" s="304"/>
      <c r="AE592" s="304"/>
      <c r="AF592" s="304"/>
      <c r="AG592" s="296"/>
      <c r="AH592" s="296"/>
      <c r="AI592" s="297"/>
      <c r="AJ592" s="298">
        <v>43643</v>
      </c>
      <c r="AK592" s="297" t="s">
        <v>2529</v>
      </c>
      <c r="AL592" s="297" t="s">
        <v>2530</v>
      </c>
      <c r="AM592" s="296" t="s">
        <v>49</v>
      </c>
      <c r="AN592" s="82" t="s">
        <v>284</v>
      </c>
      <c r="AO592" s="296" t="s">
        <v>50</v>
      </c>
      <c r="AP592" s="296" t="s">
        <v>51</v>
      </c>
      <c r="AQ592" s="457" t="s">
        <v>742</v>
      </c>
    </row>
    <row r="593" spans="1:43" ht="15.75" customHeight="1">
      <c r="A593" s="69">
        <v>43636</v>
      </c>
      <c r="B593" s="144" t="s">
        <v>377</v>
      </c>
      <c r="C593" s="21">
        <v>8998</v>
      </c>
      <c r="D593" s="21" t="s">
        <v>1210</v>
      </c>
      <c r="E593" s="32" t="s">
        <v>379</v>
      </c>
      <c r="F593" s="433">
        <v>90</v>
      </c>
      <c r="G593" s="434">
        <v>62</v>
      </c>
      <c r="H593" s="60">
        <f t="shared" si="53"/>
        <v>5580</v>
      </c>
      <c r="I593" s="61" t="s">
        <v>1106</v>
      </c>
      <c r="J593" s="161" t="s">
        <v>1107</v>
      </c>
      <c r="K593" s="474">
        <v>43676</v>
      </c>
      <c r="L593" s="474"/>
      <c r="M593" s="683">
        <v>43670</v>
      </c>
      <c r="N593" s="82" t="s">
        <v>2021</v>
      </c>
      <c r="O593" s="93" t="s">
        <v>2689</v>
      </c>
      <c r="P593" s="406"/>
      <c r="Q593" s="468">
        <f t="shared" si="52"/>
        <v>0</v>
      </c>
      <c r="R593" s="468"/>
      <c r="S593" s="468"/>
      <c r="T593" s="406">
        <v>1358</v>
      </c>
      <c r="U593" s="406">
        <f t="shared" ref="U593:U598" si="54">(T593*F593)*1.05</f>
        <v>128331</v>
      </c>
      <c r="V593" s="70" t="s">
        <v>2023</v>
      </c>
      <c r="W593" s="460">
        <v>43682</v>
      </c>
      <c r="X593" s="460">
        <v>43668</v>
      </c>
      <c r="Y593" s="304" t="s">
        <v>1211</v>
      </c>
      <c r="Z593" s="304">
        <v>128331</v>
      </c>
      <c r="AA593" s="460">
        <v>43682</v>
      </c>
      <c r="AB593" s="304" t="s">
        <v>2690</v>
      </c>
      <c r="AC593" s="237" t="s">
        <v>2691</v>
      </c>
      <c r="AD593" s="304"/>
      <c r="AE593" s="304"/>
      <c r="AF593" s="304"/>
      <c r="AG593" s="296"/>
      <c r="AH593" s="296"/>
      <c r="AI593" s="297"/>
      <c r="AJ593" s="298">
        <v>43711</v>
      </c>
      <c r="AK593" s="297">
        <f>5563.6*31.24</f>
        <v>173806.864</v>
      </c>
      <c r="AL593" s="297">
        <f>(5580-5563.6)*31.24</f>
        <v>512.33599999998864</v>
      </c>
      <c r="AM593" s="296" t="s">
        <v>49</v>
      </c>
      <c r="AN593" s="296" t="s">
        <v>284</v>
      </c>
      <c r="AO593" s="296" t="s">
        <v>285</v>
      </c>
      <c r="AP593" s="296" t="s">
        <v>51</v>
      </c>
      <c r="AQ593" s="234" t="s">
        <v>506</v>
      </c>
    </row>
    <row r="594" spans="1:43" ht="15.75" customHeight="1">
      <c r="A594" s="69">
        <v>43636</v>
      </c>
      <c r="B594" s="144" t="s">
        <v>377</v>
      </c>
      <c r="C594" s="21">
        <v>8998</v>
      </c>
      <c r="D594" s="21" t="s">
        <v>1210</v>
      </c>
      <c r="E594" s="32" t="s">
        <v>382</v>
      </c>
      <c r="F594" s="433">
        <v>90</v>
      </c>
      <c r="G594" s="48">
        <v>0</v>
      </c>
      <c r="H594" s="60">
        <f t="shared" si="53"/>
        <v>0</v>
      </c>
      <c r="I594" s="61" t="s">
        <v>1106</v>
      </c>
      <c r="J594" s="161" t="s">
        <v>1107</v>
      </c>
      <c r="K594" s="474">
        <v>43676</v>
      </c>
      <c r="L594" s="474"/>
      <c r="M594" s="298">
        <v>43641</v>
      </c>
      <c r="N594" s="82" t="s">
        <v>2692</v>
      </c>
      <c r="O594" s="93"/>
      <c r="P594" s="406"/>
      <c r="Q594" s="406">
        <f t="shared" si="52"/>
        <v>0</v>
      </c>
      <c r="R594" s="406"/>
      <c r="S594" s="406"/>
      <c r="T594" s="406"/>
      <c r="U594" s="406">
        <f t="shared" si="54"/>
        <v>0</v>
      </c>
      <c r="V594" s="501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296"/>
      <c r="AH594" s="296"/>
      <c r="AI594" s="297"/>
      <c r="AJ594" s="296" t="s">
        <v>1212</v>
      </c>
      <c r="AK594" s="297"/>
      <c r="AL594" s="297"/>
      <c r="AM594" s="296" t="s">
        <v>1212</v>
      </c>
      <c r="AN594" s="296" t="s">
        <v>284</v>
      </c>
      <c r="AO594" s="296" t="s">
        <v>285</v>
      </c>
      <c r="AP594" s="296" t="s">
        <v>51</v>
      </c>
      <c r="AQ594" s="234" t="s">
        <v>506</v>
      </c>
    </row>
    <row r="595" spans="1:43" ht="15.75" customHeight="1">
      <c r="A595" s="69">
        <v>43636</v>
      </c>
      <c r="B595" s="144" t="s">
        <v>377</v>
      </c>
      <c r="C595" s="21">
        <v>8998</v>
      </c>
      <c r="D595" s="21" t="s">
        <v>1213</v>
      </c>
      <c r="E595" s="23" t="s">
        <v>379</v>
      </c>
      <c r="F595" s="24">
        <v>200</v>
      </c>
      <c r="G595" s="434">
        <v>62</v>
      </c>
      <c r="H595" s="60">
        <f t="shared" si="53"/>
        <v>12400</v>
      </c>
      <c r="I595" s="61" t="s">
        <v>143</v>
      </c>
      <c r="J595" s="58" t="s">
        <v>1107</v>
      </c>
      <c r="K595" s="30">
        <v>43781</v>
      </c>
      <c r="L595" s="30"/>
      <c r="M595" s="84">
        <v>43770</v>
      </c>
      <c r="N595" s="82" t="s">
        <v>2021</v>
      </c>
      <c r="O595" s="93" t="s">
        <v>2693</v>
      </c>
      <c r="P595" s="406"/>
      <c r="Q595" s="22">
        <f t="shared" si="52"/>
        <v>0</v>
      </c>
      <c r="R595" s="22"/>
      <c r="S595" s="22"/>
      <c r="T595" s="22">
        <v>1358</v>
      </c>
      <c r="U595" s="581">
        <f t="shared" si="54"/>
        <v>285180</v>
      </c>
      <c r="V595" s="417" t="s">
        <v>2023</v>
      </c>
      <c r="W595" s="460">
        <v>43804</v>
      </c>
      <c r="X595" s="460">
        <v>43770</v>
      </c>
      <c r="Y595" s="304" t="s">
        <v>1214</v>
      </c>
      <c r="Z595" s="304" t="s">
        <v>2694</v>
      </c>
      <c r="AA595" s="304"/>
      <c r="AB595" s="304" t="s">
        <v>2695</v>
      </c>
      <c r="AC595" s="304"/>
      <c r="AD595" s="304"/>
      <c r="AE595" s="304"/>
      <c r="AF595" s="304"/>
      <c r="AG595" s="296"/>
      <c r="AH595" s="296"/>
      <c r="AI595" s="297"/>
      <c r="AJ595" s="298">
        <v>43775</v>
      </c>
      <c r="AK595" s="297" t="s">
        <v>2696</v>
      </c>
      <c r="AL595" s="297" t="s">
        <v>2697</v>
      </c>
      <c r="AM595" s="296" t="s">
        <v>49</v>
      </c>
      <c r="AN595" s="296" t="s">
        <v>284</v>
      </c>
      <c r="AO595" s="296" t="s">
        <v>285</v>
      </c>
      <c r="AP595" s="296" t="s">
        <v>51</v>
      </c>
      <c r="AQ595" s="457" t="s">
        <v>755</v>
      </c>
    </row>
    <row r="596" spans="1:43" ht="15.75" customHeight="1">
      <c r="A596" s="69">
        <v>43636</v>
      </c>
      <c r="B596" s="144" t="s">
        <v>377</v>
      </c>
      <c r="C596" s="21">
        <v>8998</v>
      </c>
      <c r="D596" s="21" t="s">
        <v>1215</v>
      </c>
      <c r="E596" s="23" t="s">
        <v>382</v>
      </c>
      <c r="F596" s="24">
        <v>200</v>
      </c>
      <c r="G596" s="48">
        <v>0</v>
      </c>
      <c r="H596" s="60">
        <f t="shared" si="53"/>
        <v>0</v>
      </c>
      <c r="I596" s="61" t="s">
        <v>143</v>
      </c>
      <c r="J596" s="58" t="s">
        <v>1107</v>
      </c>
      <c r="K596" s="30">
        <v>43781</v>
      </c>
      <c r="L596" s="30"/>
      <c r="M596" s="30">
        <v>43746</v>
      </c>
      <c r="N596" s="82" t="s">
        <v>2692</v>
      </c>
      <c r="O596" s="93"/>
      <c r="P596" s="406"/>
      <c r="Q596" s="22">
        <f t="shared" si="52"/>
        <v>0</v>
      </c>
      <c r="R596" s="22"/>
      <c r="S596" s="22"/>
      <c r="T596" s="22"/>
      <c r="U596" s="581">
        <f t="shared" si="54"/>
        <v>0</v>
      </c>
      <c r="V596" s="501"/>
      <c r="W596" s="304"/>
      <c r="X596" s="304"/>
      <c r="Y596" s="304"/>
      <c r="Z596" s="304"/>
      <c r="AA596" s="304"/>
      <c r="AB596" s="237" t="s">
        <v>2695</v>
      </c>
      <c r="AC596" s="304"/>
      <c r="AD596" s="304"/>
      <c r="AE596" s="304"/>
      <c r="AF596" s="304"/>
      <c r="AG596" s="296"/>
      <c r="AH596" s="296"/>
      <c r="AI596" s="297"/>
      <c r="AJ596" s="296" t="s">
        <v>1212</v>
      </c>
      <c r="AK596" s="297"/>
      <c r="AL596" s="297"/>
      <c r="AM596" s="296" t="s">
        <v>1212</v>
      </c>
      <c r="AN596" s="296" t="s">
        <v>284</v>
      </c>
      <c r="AO596" s="296" t="s">
        <v>285</v>
      </c>
      <c r="AP596" s="296" t="s">
        <v>51</v>
      </c>
      <c r="AQ596" s="457" t="s">
        <v>755</v>
      </c>
    </row>
    <row r="597" spans="1:43" ht="15.75" customHeight="1">
      <c r="A597" s="69">
        <v>43636</v>
      </c>
      <c r="B597" s="144" t="s">
        <v>377</v>
      </c>
      <c r="C597" s="21">
        <v>8998</v>
      </c>
      <c r="D597" s="21" t="s">
        <v>1216</v>
      </c>
      <c r="E597" s="23" t="s">
        <v>382</v>
      </c>
      <c r="F597" s="24">
        <v>120</v>
      </c>
      <c r="G597" s="48">
        <v>0</v>
      </c>
      <c r="H597" s="60">
        <f t="shared" si="53"/>
        <v>0</v>
      </c>
      <c r="I597" s="61" t="s">
        <v>143</v>
      </c>
      <c r="J597" s="58" t="s">
        <v>1107</v>
      </c>
      <c r="K597" s="30">
        <v>43781</v>
      </c>
      <c r="L597" s="30"/>
      <c r="M597" s="30">
        <v>43746</v>
      </c>
      <c r="N597" s="82" t="s">
        <v>2692</v>
      </c>
      <c r="O597" s="93"/>
      <c r="P597" s="406"/>
      <c r="Q597" s="22">
        <f t="shared" si="52"/>
        <v>0</v>
      </c>
      <c r="R597" s="22"/>
      <c r="S597" s="22"/>
      <c r="T597" s="22"/>
      <c r="U597" s="22">
        <f t="shared" si="54"/>
        <v>0</v>
      </c>
      <c r="V597" s="406"/>
      <c r="W597" s="304"/>
      <c r="X597" s="304"/>
      <c r="Y597" s="304"/>
      <c r="Z597" s="304"/>
      <c r="AA597" s="304"/>
      <c r="AB597" s="304" t="s">
        <v>2695</v>
      </c>
      <c r="AC597" s="304"/>
      <c r="AD597" s="304"/>
      <c r="AE597" s="304"/>
      <c r="AF597" s="304"/>
      <c r="AG597" s="296"/>
      <c r="AH597" s="296"/>
      <c r="AI597" s="297"/>
      <c r="AJ597" s="296" t="s">
        <v>1212</v>
      </c>
      <c r="AK597" s="297"/>
      <c r="AL597" s="297"/>
      <c r="AM597" s="296" t="s">
        <v>1212</v>
      </c>
      <c r="AN597" s="296" t="s">
        <v>284</v>
      </c>
      <c r="AO597" s="296" t="s">
        <v>285</v>
      </c>
      <c r="AP597" s="296" t="s">
        <v>51</v>
      </c>
      <c r="AQ597" s="457" t="s">
        <v>755</v>
      </c>
    </row>
    <row r="598" spans="1:43" ht="15.75" customHeight="1">
      <c r="A598" s="69">
        <v>43636</v>
      </c>
      <c r="B598" s="144" t="s">
        <v>377</v>
      </c>
      <c r="C598" s="21">
        <v>8998</v>
      </c>
      <c r="D598" s="21" t="s">
        <v>1217</v>
      </c>
      <c r="E598" s="23" t="s">
        <v>379</v>
      </c>
      <c r="F598" s="24">
        <v>120</v>
      </c>
      <c r="G598" s="434">
        <v>62</v>
      </c>
      <c r="H598" s="60">
        <f t="shared" si="53"/>
        <v>7440</v>
      </c>
      <c r="I598" s="61" t="s">
        <v>143</v>
      </c>
      <c r="J598" s="58" t="s">
        <v>1107</v>
      </c>
      <c r="K598" s="30">
        <v>43781</v>
      </c>
      <c r="L598" s="30"/>
      <c r="M598" s="84">
        <v>43770</v>
      </c>
      <c r="N598" s="82" t="s">
        <v>2021</v>
      </c>
      <c r="O598" s="93" t="s">
        <v>2698</v>
      </c>
      <c r="P598" s="406"/>
      <c r="Q598" s="22">
        <f t="shared" si="52"/>
        <v>0</v>
      </c>
      <c r="R598" s="22"/>
      <c r="S598" s="22"/>
      <c r="T598" s="22">
        <v>1358</v>
      </c>
      <c r="U598" s="581">
        <f t="shared" si="54"/>
        <v>171108</v>
      </c>
      <c r="V598" s="21" t="s">
        <v>2023</v>
      </c>
      <c r="W598" s="460">
        <v>43804</v>
      </c>
      <c r="X598" s="460">
        <v>43770</v>
      </c>
      <c r="Y598" s="304" t="s">
        <v>1214</v>
      </c>
      <c r="Z598" s="304">
        <v>456288</v>
      </c>
      <c r="AA598" s="304"/>
      <c r="AB598" s="304" t="s">
        <v>2695</v>
      </c>
      <c r="AC598" s="304"/>
      <c r="AD598" s="304"/>
      <c r="AE598" s="304"/>
      <c r="AF598" s="304"/>
      <c r="AG598" s="296"/>
      <c r="AH598" s="296"/>
      <c r="AI598" s="297"/>
      <c r="AJ598" s="298">
        <v>43775</v>
      </c>
      <c r="AK598" s="297">
        <f>19820.08*30.35</f>
        <v>601539.42800000007</v>
      </c>
      <c r="AL598" s="297">
        <f>(19840-19820.08)*30.35</f>
        <v>604.57199999994702</v>
      </c>
      <c r="AM598" s="296" t="s">
        <v>49</v>
      </c>
      <c r="AN598" s="296" t="s">
        <v>284</v>
      </c>
      <c r="AO598" s="296" t="s">
        <v>285</v>
      </c>
      <c r="AP598" s="296" t="s">
        <v>51</v>
      </c>
      <c r="AQ598" s="457" t="s">
        <v>755</v>
      </c>
    </row>
    <row r="599" spans="1:43" ht="15.75" customHeight="1">
      <c r="A599" s="69">
        <v>43641</v>
      </c>
      <c r="B599" s="70" t="s">
        <v>76</v>
      </c>
      <c r="C599" s="21">
        <v>471</v>
      </c>
      <c r="D599" s="21" t="s">
        <v>1218</v>
      </c>
      <c r="E599" s="151" t="s">
        <v>314</v>
      </c>
      <c r="F599" s="24">
        <v>20</v>
      </c>
      <c r="G599" s="48">
        <v>285</v>
      </c>
      <c r="H599" s="26">
        <f t="shared" si="53"/>
        <v>5700</v>
      </c>
      <c r="I599" s="27" t="s">
        <v>42</v>
      </c>
      <c r="J599" s="431" t="s">
        <v>922</v>
      </c>
      <c r="K599" s="29">
        <v>43707</v>
      </c>
      <c r="L599" s="29"/>
      <c r="M599" s="29">
        <v>43705</v>
      </c>
      <c r="N599" s="50" t="s">
        <v>1967</v>
      </c>
      <c r="O599" s="21" t="s">
        <v>2699</v>
      </c>
      <c r="P599" s="580">
        <v>250</v>
      </c>
      <c r="Q599" s="406">
        <f t="shared" si="52"/>
        <v>5250</v>
      </c>
      <c r="R599" s="406"/>
      <c r="S599" s="406"/>
      <c r="T599" s="22"/>
      <c r="U599" s="22">
        <v>164850</v>
      </c>
      <c r="V599" s="406" t="s">
        <v>1969</v>
      </c>
      <c r="W599" s="459">
        <v>43769</v>
      </c>
      <c r="X599" s="459">
        <v>43705</v>
      </c>
      <c r="Y599" s="350" t="s">
        <v>1219</v>
      </c>
      <c r="Z599" s="471">
        <v>346185</v>
      </c>
      <c r="AA599" s="459"/>
      <c r="AB599" s="350" t="s">
        <v>2700</v>
      </c>
      <c r="AC599" s="350" t="s">
        <v>2701</v>
      </c>
      <c r="AD599" s="350">
        <v>31.315000000000001</v>
      </c>
      <c r="AE599" s="350"/>
      <c r="AF599" s="350"/>
      <c r="AG599" s="82"/>
      <c r="AH599" s="82"/>
      <c r="AI599" s="430"/>
      <c r="AJ599" s="145">
        <v>43739</v>
      </c>
      <c r="AK599" s="430">
        <f>12075*30.98</f>
        <v>374083.5</v>
      </c>
      <c r="AL599" s="430">
        <v>0</v>
      </c>
      <c r="AM599" s="82" t="s">
        <v>49</v>
      </c>
      <c r="AN599" s="296" t="s">
        <v>284</v>
      </c>
      <c r="AO599" s="296" t="s">
        <v>50</v>
      </c>
      <c r="AP599" s="296" t="s">
        <v>51</v>
      </c>
      <c r="AQ599" s="234" t="s">
        <v>506</v>
      </c>
    </row>
    <row r="600" spans="1:43" ht="15.75" customHeight="1">
      <c r="A600" s="69">
        <v>43641</v>
      </c>
      <c r="B600" s="70" t="s">
        <v>76</v>
      </c>
      <c r="C600" s="21">
        <v>471</v>
      </c>
      <c r="D600" s="21" t="s">
        <v>1218</v>
      </c>
      <c r="E600" s="151" t="s">
        <v>317</v>
      </c>
      <c r="F600" s="433">
        <v>25</v>
      </c>
      <c r="G600" s="48">
        <v>255</v>
      </c>
      <c r="H600" s="26">
        <f t="shared" si="53"/>
        <v>6375</v>
      </c>
      <c r="I600" s="27" t="s">
        <v>42</v>
      </c>
      <c r="J600" s="431" t="s">
        <v>922</v>
      </c>
      <c r="K600" s="29">
        <v>43707</v>
      </c>
      <c r="L600" s="29"/>
      <c r="M600" s="29">
        <v>43705</v>
      </c>
      <c r="N600" s="50" t="s">
        <v>1967</v>
      </c>
      <c r="O600" s="21" t="s">
        <v>2699</v>
      </c>
      <c r="P600" s="580">
        <v>220</v>
      </c>
      <c r="Q600" s="406">
        <f t="shared" si="52"/>
        <v>5775</v>
      </c>
      <c r="R600" s="406"/>
      <c r="S600" s="406"/>
      <c r="T600" s="581"/>
      <c r="U600" s="581">
        <v>181335</v>
      </c>
      <c r="V600" s="406" t="s">
        <v>1969</v>
      </c>
      <c r="W600" s="459">
        <v>43769</v>
      </c>
      <c r="X600" s="459">
        <v>43705</v>
      </c>
      <c r="Y600" s="350" t="s">
        <v>1219</v>
      </c>
      <c r="Z600" s="350" t="s">
        <v>2702</v>
      </c>
      <c r="AA600" s="459"/>
      <c r="AB600" s="350" t="s">
        <v>2700</v>
      </c>
      <c r="AC600" s="350" t="s">
        <v>2701</v>
      </c>
      <c r="AD600" s="350">
        <v>31.315000000000001</v>
      </c>
      <c r="AE600" s="350"/>
      <c r="AF600" s="350"/>
      <c r="AG600" s="82"/>
      <c r="AH600" s="82"/>
      <c r="AI600" s="430"/>
      <c r="AJ600" s="145">
        <v>43739</v>
      </c>
      <c r="AK600" s="430" t="s">
        <v>2703</v>
      </c>
      <c r="AL600" s="430">
        <v>0</v>
      </c>
      <c r="AM600" s="82" t="s">
        <v>49</v>
      </c>
      <c r="AN600" s="296" t="s">
        <v>284</v>
      </c>
      <c r="AO600" s="296" t="s">
        <v>50</v>
      </c>
      <c r="AP600" s="296" t="s">
        <v>51</v>
      </c>
      <c r="AQ600" s="234" t="s">
        <v>506</v>
      </c>
    </row>
    <row r="601" spans="1:43" ht="15.75" customHeight="1">
      <c r="A601" s="110">
        <v>43641</v>
      </c>
      <c r="B601" s="147" t="s">
        <v>166</v>
      </c>
      <c r="C601" s="502" t="s">
        <v>1220</v>
      </c>
      <c r="D601" s="21" t="s">
        <v>1221</v>
      </c>
      <c r="E601" s="23" t="s">
        <v>176</v>
      </c>
      <c r="F601" s="58">
        <v>4</v>
      </c>
      <c r="G601" s="47">
        <v>105</v>
      </c>
      <c r="H601" s="26">
        <f t="shared" si="53"/>
        <v>420</v>
      </c>
      <c r="I601" s="82" t="s">
        <v>104</v>
      </c>
      <c r="J601" s="58" t="s">
        <v>171</v>
      </c>
      <c r="K601" s="39">
        <v>43682</v>
      </c>
      <c r="L601" s="39"/>
      <c r="M601" s="29">
        <v>43649</v>
      </c>
      <c r="N601" s="58" t="s">
        <v>2666</v>
      </c>
      <c r="O601" s="93" t="s">
        <v>2704</v>
      </c>
      <c r="P601" s="406"/>
      <c r="Q601" s="406">
        <f t="shared" si="52"/>
        <v>0</v>
      </c>
      <c r="R601" s="406"/>
      <c r="S601" s="406"/>
      <c r="T601" s="406">
        <v>1333</v>
      </c>
      <c r="U601" s="648">
        <f>(T601*F601)*1.05</f>
        <v>5598.6</v>
      </c>
      <c r="V601" s="51" t="s">
        <v>1954</v>
      </c>
      <c r="W601" s="460">
        <v>43682</v>
      </c>
      <c r="X601" s="460">
        <v>43649</v>
      </c>
      <c r="Y601" s="304" t="s">
        <v>1183</v>
      </c>
      <c r="Z601" s="304" t="s">
        <v>2668</v>
      </c>
      <c r="AA601" s="460">
        <v>43682</v>
      </c>
      <c r="AB601" s="304" t="s">
        <v>2705</v>
      </c>
      <c r="AC601" s="304">
        <v>5034703516</v>
      </c>
      <c r="AD601" s="304">
        <v>31.02</v>
      </c>
      <c r="AE601" s="304"/>
      <c r="AF601" s="304"/>
      <c r="AG601" s="296"/>
      <c r="AH601" s="296"/>
      <c r="AI601" s="297"/>
      <c r="AJ601" s="298">
        <v>43644</v>
      </c>
      <c r="AK601" s="297"/>
      <c r="AL601" s="297"/>
      <c r="AM601" s="296" t="s">
        <v>49</v>
      </c>
      <c r="AN601" s="296" t="s">
        <v>284</v>
      </c>
      <c r="AO601" s="296" t="s">
        <v>285</v>
      </c>
      <c r="AP601" s="296" t="s">
        <v>51</v>
      </c>
      <c r="AQ601" s="234" t="s">
        <v>506</v>
      </c>
    </row>
    <row r="602" spans="1:43" ht="15.75" customHeight="1">
      <c r="A602" s="69">
        <v>43641</v>
      </c>
      <c r="B602" s="144" t="s">
        <v>166</v>
      </c>
      <c r="C602" s="502" t="s">
        <v>1220</v>
      </c>
      <c r="D602" s="21" t="s">
        <v>1221</v>
      </c>
      <c r="E602" s="23" t="s">
        <v>1222</v>
      </c>
      <c r="F602" s="58">
        <v>4</v>
      </c>
      <c r="G602" s="47">
        <v>1429</v>
      </c>
      <c r="H602" s="26">
        <f t="shared" si="53"/>
        <v>5716</v>
      </c>
      <c r="I602" s="429" t="s">
        <v>104</v>
      </c>
      <c r="J602" s="58" t="s">
        <v>171</v>
      </c>
      <c r="K602" s="39">
        <v>43682</v>
      </c>
      <c r="L602" s="39"/>
      <c r="M602" s="29">
        <v>43682</v>
      </c>
      <c r="N602" s="50" t="s">
        <v>1074</v>
      </c>
      <c r="O602" s="93" t="s">
        <v>2706</v>
      </c>
      <c r="P602" s="406"/>
      <c r="Q602" s="406">
        <f t="shared" si="52"/>
        <v>0</v>
      </c>
      <c r="R602" s="406"/>
      <c r="S602" s="406"/>
      <c r="T602" s="511">
        <v>34015</v>
      </c>
      <c r="U602" s="638">
        <v>142863</v>
      </c>
      <c r="V602" s="406"/>
      <c r="W602" s="304"/>
      <c r="X602" s="304"/>
      <c r="Y602" s="304"/>
      <c r="Z602" s="304"/>
      <c r="AA602" s="304"/>
      <c r="AB602" s="304" t="s">
        <v>2705</v>
      </c>
      <c r="AC602" s="304">
        <v>5034703516</v>
      </c>
      <c r="AD602" s="304">
        <v>31.02</v>
      </c>
      <c r="AE602" s="304"/>
      <c r="AF602" s="304"/>
      <c r="AG602" s="296"/>
      <c r="AH602" s="296"/>
      <c r="AI602" s="297"/>
      <c r="AJ602" s="298">
        <v>43644</v>
      </c>
      <c r="AK602" s="297"/>
      <c r="AL602" s="297"/>
      <c r="AM602" s="296" t="s">
        <v>49</v>
      </c>
      <c r="AN602" s="296" t="s">
        <v>284</v>
      </c>
      <c r="AO602" s="296" t="s">
        <v>285</v>
      </c>
      <c r="AP602" s="296" t="s">
        <v>51</v>
      </c>
      <c r="AQ602" s="234" t="s">
        <v>506</v>
      </c>
    </row>
    <row r="603" spans="1:43" ht="15.75" customHeight="1">
      <c r="A603" s="69">
        <v>43641</v>
      </c>
      <c r="B603" s="144" t="s">
        <v>166</v>
      </c>
      <c r="C603" s="502" t="s">
        <v>1220</v>
      </c>
      <c r="D603" s="21" t="s">
        <v>1223</v>
      </c>
      <c r="E603" s="23" t="s">
        <v>176</v>
      </c>
      <c r="F603" s="58">
        <v>1</v>
      </c>
      <c r="G603" s="47">
        <v>105</v>
      </c>
      <c r="H603" s="26">
        <f t="shared" si="53"/>
        <v>105</v>
      </c>
      <c r="I603" s="429" t="s">
        <v>104</v>
      </c>
      <c r="J603" s="58" t="s">
        <v>171</v>
      </c>
      <c r="K603" s="145">
        <v>43703</v>
      </c>
      <c r="L603" s="145"/>
      <c r="M603" s="29">
        <v>43649</v>
      </c>
      <c r="N603" s="58" t="s">
        <v>2666</v>
      </c>
      <c r="O603" s="93" t="s">
        <v>2704</v>
      </c>
      <c r="P603" s="406"/>
      <c r="Q603" s="406">
        <f t="shared" si="52"/>
        <v>0</v>
      </c>
      <c r="R603" s="406"/>
      <c r="S603" s="406"/>
      <c r="T603" s="406">
        <v>1333</v>
      </c>
      <c r="U603" s="648">
        <f>(T603*F603)*1.05</f>
        <v>1399.65</v>
      </c>
      <c r="V603" s="35" t="s">
        <v>1954</v>
      </c>
      <c r="W603" s="460">
        <v>43682</v>
      </c>
      <c r="X603" s="460">
        <v>43649</v>
      </c>
      <c r="Y603" s="304" t="s">
        <v>1183</v>
      </c>
      <c r="Z603" s="304" t="s">
        <v>2668</v>
      </c>
      <c r="AA603" s="460">
        <v>43682</v>
      </c>
      <c r="AB603" s="304" t="s">
        <v>2707</v>
      </c>
      <c r="AC603" s="406">
        <v>5699229642</v>
      </c>
      <c r="AD603" s="304">
        <v>31.315000000000001</v>
      </c>
      <c r="AE603" s="304"/>
      <c r="AF603" s="304"/>
      <c r="AG603" s="296"/>
      <c r="AH603" s="296"/>
      <c r="AI603" s="297"/>
      <c r="AJ603" s="298"/>
      <c r="AK603" s="297"/>
      <c r="AL603" s="297"/>
      <c r="AM603" s="296" t="s">
        <v>49</v>
      </c>
      <c r="AN603" s="296" t="s">
        <v>284</v>
      </c>
      <c r="AO603" s="296" t="s">
        <v>285</v>
      </c>
      <c r="AP603" s="296" t="s">
        <v>51</v>
      </c>
      <c r="AQ603" s="234" t="s">
        <v>506</v>
      </c>
    </row>
    <row r="604" spans="1:43" ht="15.75" customHeight="1">
      <c r="A604" s="69">
        <v>43641</v>
      </c>
      <c r="B604" s="144" t="s">
        <v>166</v>
      </c>
      <c r="C604" s="502" t="s">
        <v>1220</v>
      </c>
      <c r="D604" s="21" t="s">
        <v>1223</v>
      </c>
      <c r="E604" s="23" t="s">
        <v>1224</v>
      </c>
      <c r="F604" s="58">
        <v>1</v>
      </c>
      <c r="G604" s="47">
        <v>1429</v>
      </c>
      <c r="H604" s="26">
        <f t="shared" si="53"/>
        <v>1429</v>
      </c>
      <c r="I604" s="429" t="s">
        <v>104</v>
      </c>
      <c r="J604" s="58" t="s">
        <v>171</v>
      </c>
      <c r="K604" s="30">
        <v>43703</v>
      </c>
      <c r="L604" s="30"/>
      <c r="M604" s="298">
        <v>43703</v>
      </c>
      <c r="N604" s="50" t="s">
        <v>1074</v>
      </c>
      <c r="O604" s="93" t="s">
        <v>2706</v>
      </c>
      <c r="P604" s="406"/>
      <c r="Q604" s="406">
        <f t="shared" si="52"/>
        <v>0</v>
      </c>
      <c r="R604" s="406"/>
      <c r="S604" s="406"/>
      <c r="T604" s="511">
        <v>34015</v>
      </c>
      <c r="U604" s="638">
        <v>35715.75</v>
      </c>
      <c r="V604" s="35"/>
      <c r="W604" s="460"/>
      <c r="X604" s="460"/>
      <c r="Y604" s="304"/>
      <c r="Z604" s="304"/>
      <c r="AA604" s="304"/>
      <c r="AB604" s="304" t="s">
        <v>2707</v>
      </c>
      <c r="AC604" s="406">
        <v>5699229642</v>
      </c>
      <c r="AD604" s="304">
        <v>31.315000000000001</v>
      </c>
      <c r="AE604" s="304"/>
      <c r="AF604" s="304"/>
      <c r="AG604" s="296"/>
      <c r="AH604" s="296"/>
      <c r="AI604" s="297"/>
      <c r="AJ604" s="298"/>
      <c r="AK604" s="297"/>
      <c r="AL604" s="297"/>
      <c r="AM604" s="296" t="s">
        <v>49</v>
      </c>
      <c r="AN604" s="296" t="s">
        <v>284</v>
      </c>
      <c r="AO604" s="296" t="s">
        <v>285</v>
      </c>
      <c r="AP604" s="296" t="s">
        <v>51</v>
      </c>
      <c r="AQ604" s="234" t="s">
        <v>506</v>
      </c>
    </row>
    <row r="605" spans="1:43" ht="15.75" customHeight="1">
      <c r="A605" s="69">
        <v>43641</v>
      </c>
      <c r="B605" s="70" t="s">
        <v>1016</v>
      </c>
      <c r="C605" s="21">
        <v>19000247</v>
      </c>
      <c r="D605" s="21" t="s">
        <v>1225</v>
      </c>
      <c r="E605" s="23" t="s">
        <v>1226</v>
      </c>
      <c r="F605" s="24">
        <v>1</v>
      </c>
      <c r="G605" s="48">
        <v>46.37</v>
      </c>
      <c r="H605" s="26">
        <f t="shared" si="53"/>
        <v>46.37</v>
      </c>
      <c r="I605" s="61" t="s">
        <v>104</v>
      </c>
      <c r="J605" s="50" t="s">
        <v>1023</v>
      </c>
      <c r="K605" s="29">
        <v>43644</v>
      </c>
      <c r="L605" s="29"/>
      <c r="M605" s="29">
        <v>43643</v>
      </c>
      <c r="N605" s="50" t="s">
        <v>89</v>
      </c>
      <c r="O605" s="93" t="s">
        <v>2708</v>
      </c>
      <c r="P605" s="406">
        <v>43</v>
      </c>
      <c r="Q605" s="406">
        <f t="shared" si="52"/>
        <v>45.15</v>
      </c>
      <c r="R605" s="406"/>
      <c r="S605" s="406"/>
      <c r="T605" s="406">
        <v>1353</v>
      </c>
      <c r="U605" s="406">
        <v>1421</v>
      </c>
      <c r="V605" s="35" t="s">
        <v>93</v>
      </c>
      <c r="W605" s="460">
        <v>43708</v>
      </c>
      <c r="X605" s="460">
        <v>43642</v>
      </c>
      <c r="Y605" s="304" t="s">
        <v>1227</v>
      </c>
      <c r="Z605" s="304">
        <v>1421</v>
      </c>
      <c r="AA605" s="460">
        <v>43706</v>
      </c>
      <c r="AB605" s="304" t="s">
        <v>2528</v>
      </c>
      <c r="AC605" s="406">
        <v>590014509746</v>
      </c>
      <c r="AD605" s="304"/>
      <c r="AE605" s="304"/>
      <c r="AF605" s="304"/>
      <c r="AG605" s="296"/>
      <c r="AH605" s="296"/>
      <c r="AI605" s="297"/>
      <c r="AJ605" s="298">
        <v>43643</v>
      </c>
      <c r="AK605" s="297" t="s">
        <v>2529</v>
      </c>
      <c r="AL605" s="297" t="s">
        <v>2530</v>
      </c>
      <c r="AM605" s="296" t="s">
        <v>49</v>
      </c>
      <c r="AN605" s="82" t="s">
        <v>284</v>
      </c>
      <c r="AO605" s="296" t="s">
        <v>50</v>
      </c>
      <c r="AP605" s="296" t="s">
        <v>51</v>
      </c>
      <c r="AQ605" s="457" t="s">
        <v>742</v>
      </c>
    </row>
    <row r="606" spans="1:43" ht="15.75" customHeight="1">
      <c r="A606" s="19">
        <v>43642</v>
      </c>
      <c r="B606" s="51" t="s">
        <v>76</v>
      </c>
      <c r="C606" s="21">
        <v>487</v>
      </c>
      <c r="D606" s="22" t="s">
        <v>1228</v>
      </c>
      <c r="E606" s="22" t="s">
        <v>1229</v>
      </c>
      <c r="F606" s="433">
        <v>15</v>
      </c>
      <c r="G606" s="47">
        <v>2.2999999999999998</v>
      </c>
      <c r="H606" s="26">
        <f t="shared" si="53"/>
        <v>34.5</v>
      </c>
      <c r="I606" s="61" t="s">
        <v>42</v>
      </c>
      <c r="J606" s="505" t="s">
        <v>922</v>
      </c>
      <c r="K606" s="29">
        <v>43700</v>
      </c>
      <c r="L606" s="29"/>
      <c r="M606" s="29">
        <v>43669</v>
      </c>
      <c r="N606" s="50" t="s">
        <v>2006</v>
      </c>
      <c r="O606" s="21" t="s">
        <v>2709</v>
      </c>
      <c r="P606" s="406"/>
      <c r="Q606" s="406">
        <f t="shared" si="52"/>
        <v>0</v>
      </c>
      <c r="R606" s="406"/>
      <c r="S606" s="406"/>
      <c r="T606" s="406">
        <v>55</v>
      </c>
      <c r="U606" s="648">
        <f>(T606*F606)*1.05</f>
        <v>866.25</v>
      </c>
      <c r="V606" s="20" t="s">
        <v>2146</v>
      </c>
      <c r="W606" s="460">
        <v>43682</v>
      </c>
      <c r="X606" s="460">
        <v>43665</v>
      </c>
      <c r="Y606" s="304" t="s">
        <v>1230</v>
      </c>
      <c r="Z606" s="304">
        <v>866</v>
      </c>
      <c r="AA606" s="460">
        <v>43682</v>
      </c>
      <c r="AB606" s="304" t="s">
        <v>2710</v>
      </c>
      <c r="AC606" s="296" t="s">
        <v>2711</v>
      </c>
      <c r="AD606" s="304">
        <v>31.315000000000001</v>
      </c>
      <c r="AE606" s="304"/>
      <c r="AF606" s="304"/>
      <c r="AG606" s="296"/>
      <c r="AH606" s="296"/>
      <c r="AI606" s="297"/>
      <c r="AJ606" s="298">
        <v>43731</v>
      </c>
      <c r="AK606" s="297">
        <f>14587*30.96</f>
        <v>451613.52</v>
      </c>
      <c r="AL606" s="297">
        <v>0</v>
      </c>
      <c r="AM606" s="296" t="s">
        <v>49</v>
      </c>
      <c r="AN606" s="296" t="s">
        <v>284</v>
      </c>
      <c r="AO606" s="296" t="s">
        <v>50</v>
      </c>
      <c r="AP606" s="296" t="s">
        <v>51</v>
      </c>
      <c r="AQ606" s="234" t="s">
        <v>506</v>
      </c>
    </row>
    <row r="607" spans="1:43" ht="15.75" customHeight="1">
      <c r="A607" s="19">
        <v>43642</v>
      </c>
      <c r="B607" s="51" t="s">
        <v>76</v>
      </c>
      <c r="C607" s="21">
        <v>487</v>
      </c>
      <c r="D607" s="22" t="s">
        <v>1228</v>
      </c>
      <c r="E607" s="246" t="s">
        <v>361</v>
      </c>
      <c r="F607" s="433">
        <v>15</v>
      </c>
      <c r="G607" s="48">
        <v>20</v>
      </c>
      <c r="H607" s="26">
        <f t="shared" si="53"/>
        <v>300</v>
      </c>
      <c r="I607" s="61" t="s">
        <v>42</v>
      </c>
      <c r="J607" s="505" t="s">
        <v>922</v>
      </c>
      <c r="K607" s="29">
        <v>43700</v>
      </c>
      <c r="L607" s="29"/>
      <c r="M607" s="29">
        <v>43696</v>
      </c>
      <c r="N607" s="58" t="s">
        <v>2008</v>
      </c>
      <c r="O607" s="21" t="s">
        <v>2712</v>
      </c>
      <c r="P607" s="406">
        <v>17.399999999999999</v>
      </c>
      <c r="Q607" s="406">
        <f t="shared" si="52"/>
        <v>274.05</v>
      </c>
      <c r="R607" s="406"/>
      <c r="S607" s="406"/>
      <c r="T607" s="406"/>
      <c r="U607" s="406">
        <v>8602</v>
      </c>
      <c r="V607" s="20" t="s">
        <v>2010</v>
      </c>
      <c r="W607" s="460">
        <v>43708</v>
      </c>
      <c r="X607" s="460">
        <v>43692</v>
      </c>
      <c r="Y607" s="304" t="s">
        <v>1231</v>
      </c>
      <c r="Z607" s="304">
        <v>16514</v>
      </c>
      <c r="AA607" s="460">
        <v>43710</v>
      </c>
      <c r="AB607" s="304" t="s">
        <v>2710</v>
      </c>
      <c r="AC607" s="296" t="s">
        <v>2711</v>
      </c>
      <c r="AD607" s="304">
        <v>31.315000000000001</v>
      </c>
      <c r="AE607" s="304"/>
      <c r="AF607" s="304"/>
      <c r="AG607" s="296"/>
      <c r="AH607" s="296"/>
      <c r="AI607" s="297"/>
      <c r="AJ607" s="298">
        <v>43731</v>
      </c>
      <c r="AK607" s="297" t="s">
        <v>2713</v>
      </c>
      <c r="AL607" s="297" t="s">
        <v>2714</v>
      </c>
      <c r="AM607" s="296" t="s">
        <v>49</v>
      </c>
      <c r="AN607" s="296" t="s">
        <v>284</v>
      </c>
      <c r="AO607" s="296" t="s">
        <v>50</v>
      </c>
      <c r="AP607" s="296" t="s">
        <v>51</v>
      </c>
      <c r="AQ607" s="234" t="s">
        <v>506</v>
      </c>
    </row>
    <row r="608" spans="1:43" ht="15.75" customHeight="1">
      <c r="A608" s="69">
        <v>43642</v>
      </c>
      <c r="B608" s="70" t="s">
        <v>222</v>
      </c>
      <c r="C608" s="21" t="s">
        <v>1232</v>
      </c>
      <c r="D608" s="21" t="s">
        <v>1233</v>
      </c>
      <c r="E608" s="23" t="s">
        <v>1234</v>
      </c>
      <c r="F608" s="24">
        <v>5</v>
      </c>
      <c r="G608" s="48">
        <v>112.35</v>
      </c>
      <c r="H608" s="26">
        <v>562</v>
      </c>
      <c r="I608" s="61" t="s">
        <v>247</v>
      </c>
      <c r="J608" s="63" t="s">
        <v>89</v>
      </c>
      <c r="K608" s="29">
        <v>43650</v>
      </c>
      <c r="L608" s="29"/>
      <c r="M608" s="29">
        <v>43650</v>
      </c>
      <c r="N608" s="50" t="s">
        <v>89</v>
      </c>
      <c r="O608" s="93" t="s">
        <v>2715</v>
      </c>
      <c r="P608" s="406">
        <v>97.5</v>
      </c>
      <c r="Q608" s="406">
        <f t="shared" si="52"/>
        <v>511.875</v>
      </c>
      <c r="R608" s="406"/>
      <c r="S608" s="406"/>
      <c r="T608" s="406"/>
      <c r="U608" s="406">
        <v>15881</v>
      </c>
      <c r="V608" s="35" t="s">
        <v>93</v>
      </c>
      <c r="W608" s="460">
        <v>43708</v>
      </c>
      <c r="X608" s="460">
        <v>43649</v>
      </c>
      <c r="Y608" s="304" t="s">
        <v>1235</v>
      </c>
      <c r="Z608" s="304">
        <v>15881</v>
      </c>
      <c r="AA608" s="460">
        <v>43706</v>
      </c>
      <c r="AB608" s="304" t="s">
        <v>2716</v>
      </c>
      <c r="AC608" s="304" t="s">
        <v>2717</v>
      </c>
      <c r="AD608" s="304">
        <v>31.114999999999998</v>
      </c>
      <c r="AE608" s="304">
        <v>17487</v>
      </c>
      <c r="AF608" s="460">
        <v>43650</v>
      </c>
      <c r="AG608" s="296"/>
      <c r="AH608" s="296"/>
      <c r="AI608" s="297"/>
      <c r="AJ608" s="298">
        <v>43683</v>
      </c>
      <c r="AK608" s="297">
        <v>55253</v>
      </c>
      <c r="AL608" s="297">
        <v>15</v>
      </c>
      <c r="AM608" s="296" t="s">
        <v>49</v>
      </c>
      <c r="AN608" s="296" t="s">
        <v>284</v>
      </c>
      <c r="AO608" s="296" t="s">
        <v>50</v>
      </c>
      <c r="AP608" s="296" t="s">
        <v>376</v>
      </c>
      <c r="AQ608" s="234" t="s">
        <v>506</v>
      </c>
    </row>
    <row r="609" spans="1:43" ht="15.75" customHeight="1">
      <c r="A609" s="69">
        <v>43644</v>
      </c>
      <c r="B609" s="70" t="s">
        <v>1236</v>
      </c>
      <c r="C609" s="506" t="s">
        <v>1237</v>
      </c>
      <c r="D609" s="21" t="s">
        <v>1238</v>
      </c>
      <c r="E609" s="23" t="s">
        <v>1239</v>
      </c>
      <c r="F609" s="24">
        <v>2</v>
      </c>
      <c r="G609" s="48">
        <v>994</v>
      </c>
      <c r="H609" s="26">
        <f t="shared" ref="H609:H625" si="55">G609*F609</f>
        <v>1988</v>
      </c>
      <c r="I609" s="61" t="s">
        <v>104</v>
      </c>
      <c r="J609" s="63" t="s">
        <v>1042</v>
      </c>
      <c r="K609" s="29">
        <v>43668</v>
      </c>
      <c r="L609" s="29"/>
      <c r="M609" s="30">
        <v>43664</v>
      </c>
      <c r="N609" s="542" t="s">
        <v>2718</v>
      </c>
      <c r="O609" s="93" t="s">
        <v>2719</v>
      </c>
      <c r="P609" s="406">
        <v>883</v>
      </c>
      <c r="Q609" s="406">
        <f t="shared" si="52"/>
        <v>1854.3000000000002</v>
      </c>
      <c r="R609" s="406"/>
      <c r="S609" s="406"/>
      <c r="T609" s="406"/>
      <c r="U609" s="406">
        <v>57410</v>
      </c>
      <c r="V609" s="581" t="s">
        <v>2274</v>
      </c>
      <c r="W609" s="460">
        <v>43682</v>
      </c>
      <c r="X609" s="460">
        <v>43663</v>
      </c>
      <c r="Y609" s="304" t="s">
        <v>1240</v>
      </c>
      <c r="Z609" s="304">
        <v>57410</v>
      </c>
      <c r="AA609" s="460">
        <v>43682</v>
      </c>
      <c r="AB609" s="304" t="s">
        <v>2720</v>
      </c>
      <c r="AC609" s="304">
        <v>9750899045</v>
      </c>
      <c r="AD609" s="304"/>
      <c r="AE609" s="304"/>
      <c r="AF609" s="304"/>
      <c r="AG609" s="296"/>
      <c r="AH609" s="296"/>
      <c r="AI609" s="297"/>
      <c r="AJ609" s="298">
        <v>43704</v>
      </c>
      <c r="AK609" s="297" t="s">
        <v>2626</v>
      </c>
      <c r="AL609" s="297" t="s">
        <v>2627</v>
      </c>
      <c r="AM609" s="296" t="s">
        <v>49</v>
      </c>
      <c r="AN609" s="296" t="s">
        <v>284</v>
      </c>
      <c r="AO609" s="296" t="s">
        <v>50</v>
      </c>
      <c r="AP609" s="296" t="s">
        <v>51</v>
      </c>
      <c r="AQ609" s="234" t="s">
        <v>506</v>
      </c>
    </row>
    <row r="610" spans="1:43" ht="15.75" customHeight="1">
      <c r="A610" s="69">
        <v>43644</v>
      </c>
      <c r="B610" s="70" t="s">
        <v>986</v>
      </c>
      <c r="C610" s="21" t="s">
        <v>1241</v>
      </c>
      <c r="D610" s="21" t="s">
        <v>1242</v>
      </c>
      <c r="E610" s="23" t="s">
        <v>1243</v>
      </c>
      <c r="F610" s="24">
        <v>28</v>
      </c>
      <c r="G610" s="48">
        <v>80</v>
      </c>
      <c r="H610" s="26">
        <f t="shared" si="55"/>
        <v>2240</v>
      </c>
      <c r="I610" s="61" t="s">
        <v>104</v>
      </c>
      <c r="J610" s="63" t="s">
        <v>1244</v>
      </c>
      <c r="K610" s="29">
        <v>43651</v>
      </c>
      <c r="L610" s="29"/>
      <c r="M610" s="29">
        <v>43651</v>
      </c>
      <c r="N610" s="50" t="s">
        <v>89</v>
      </c>
      <c r="O610" s="93" t="s">
        <v>2721</v>
      </c>
      <c r="P610" s="406">
        <v>75</v>
      </c>
      <c r="Q610" s="406">
        <f t="shared" si="52"/>
        <v>2205</v>
      </c>
      <c r="R610" s="406"/>
      <c r="S610" s="406"/>
      <c r="T610" s="406"/>
      <c r="U610" s="406">
        <v>68410</v>
      </c>
      <c r="V610" s="35" t="s">
        <v>93</v>
      </c>
      <c r="W610" s="460">
        <v>43708</v>
      </c>
      <c r="X610" s="460">
        <v>43649</v>
      </c>
      <c r="Y610" s="304" t="s">
        <v>1245</v>
      </c>
      <c r="Z610" s="304">
        <v>68410</v>
      </c>
      <c r="AA610" s="460">
        <v>43706</v>
      </c>
      <c r="AB610" s="304" t="s">
        <v>2722</v>
      </c>
      <c r="AC610" s="304">
        <v>117008955</v>
      </c>
      <c r="AD610" s="304"/>
      <c r="AE610" s="304"/>
      <c r="AF610" s="304"/>
      <c r="AG610" s="296"/>
      <c r="AH610" s="296"/>
      <c r="AI610" s="297"/>
      <c r="AJ610" s="298">
        <v>43685</v>
      </c>
      <c r="AK610" s="297">
        <f>2240*31.34</f>
        <v>70201.600000000006</v>
      </c>
      <c r="AL610" s="297">
        <v>0</v>
      </c>
      <c r="AM610" s="296" t="s">
        <v>49</v>
      </c>
      <c r="AN610" s="296" t="s">
        <v>284</v>
      </c>
      <c r="AO610" s="296" t="s">
        <v>50</v>
      </c>
      <c r="AP610" s="296" t="s">
        <v>51</v>
      </c>
      <c r="AQ610" s="234" t="s">
        <v>506</v>
      </c>
    </row>
    <row r="611" spans="1:43" ht="15.75" customHeight="1">
      <c r="A611" s="69">
        <v>43647</v>
      </c>
      <c r="B611" s="70" t="s">
        <v>222</v>
      </c>
      <c r="C611" s="21" t="s">
        <v>1246</v>
      </c>
      <c r="D611" s="21" t="s">
        <v>1247</v>
      </c>
      <c r="E611" s="23" t="s">
        <v>1248</v>
      </c>
      <c r="F611" s="24">
        <v>2</v>
      </c>
      <c r="G611" s="48">
        <f>500*1.05</f>
        <v>525</v>
      </c>
      <c r="H611" s="60">
        <f t="shared" si="55"/>
        <v>1050</v>
      </c>
      <c r="I611" s="61" t="s">
        <v>247</v>
      </c>
      <c r="J611" s="63" t="s">
        <v>89</v>
      </c>
      <c r="K611" s="30">
        <v>43657</v>
      </c>
      <c r="L611" s="30"/>
      <c r="M611" s="30">
        <v>43657</v>
      </c>
      <c r="N611" s="542" t="s">
        <v>89</v>
      </c>
      <c r="O611" s="93" t="s">
        <v>2723</v>
      </c>
      <c r="P611" s="406">
        <v>355</v>
      </c>
      <c r="Q611" s="406">
        <f t="shared" si="52"/>
        <v>745.5</v>
      </c>
      <c r="R611" s="406"/>
      <c r="S611" s="406"/>
      <c r="T611" s="406"/>
      <c r="U611" s="406">
        <v>23129</v>
      </c>
      <c r="V611" s="35" t="s">
        <v>93</v>
      </c>
      <c r="W611" s="460">
        <v>43708</v>
      </c>
      <c r="X611" s="460">
        <v>43656</v>
      </c>
      <c r="Y611" s="304" t="s">
        <v>1249</v>
      </c>
      <c r="Z611" s="304">
        <v>23129</v>
      </c>
      <c r="AA611" s="460">
        <v>43706</v>
      </c>
      <c r="AB611" s="304" t="s">
        <v>2724</v>
      </c>
      <c r="AC611" s="304" t="s">
        <v>2725</v>
      </c>
      <c r="AD611" s="304">
        <v>31.135000000000002</v>
      </c>
      <c r="AE611" s="304">
        <v>32692</v>
      </c>
      <c r="AF611" s="304"/>
      <c r="AG611" s="296"/>
      <c r="AH611" s="296"/>
      <c r="AI611" s="297"/>
      <c r="AJ611" s="298">
        <v>43683</v>
      </c>
      <c r="AK611" s="297" t="s">
        <v>2726</v>
      </c>
      <c r="AL611" s="297" t="s">
        <v>2727</v>
      </c>
      <c r="AM611" s="296" t="s">
        <v>49</v>
      </c>
      <c r="AN611" s="296" t="s">
        <v>284</v>
      </c>
      <c r="AO611" s="296" t="s">
        <v>50</v>
      </c>
      <c r="AP611" s="296" t="s">
        <v>376</v>
      </c>
      <c r="AQ611" s="234" t="s">
        <v>506</v>
      </c>
    </row>
    <row r="612" spans="1:43" ht="15.75" customHeight="1">
      <c r="A612" s="69">
        <v>43647</v>
      </c>
      <c r="B612" s="70" t="s">
        <v>577</v>
      </c>
      <c r="C612" s="21">
        <v>20190701003</v>
      </c>
      <c r="D612" s="21" t="s">
        <v>1250</v>
      </c>
      <c r="E612" s="32" t="s">
        <v>1251</v>
      </c>
      <c r="F612" s="24">
        <v>6</v>
      </c>
      <c r="G612" s="48">
        <v>96.6</v>
      </c>
      <c r="H612" s="440">
        <f t="shared" si="55"/>
        <v>579.59999999999991</v>
      </c>
      <c r="I612" s="61" t="s">
        <v>247</v>
      </c>
      <c r="J612" s="63" t="s">
        <v>580</v>
      </c>
      <c r="K612" s="30">
        <v>43655</v>
      </c>
      <c r="L612" s="30"/>
      <c r="M612" s="30">
        <v>43654</v>
      </c>
      <c r="N612" s="82" t="s">
        <v>1414</v>
      </c>
      <c r="O612" s="93" t="s">
        <v>2728</v>
      </c>
      <c r="P612" s="406">
        <v>80</v>
      </c>
      <c r="Q612" s="406">
        <f t="shared" si="52"/>
        <v>504</v>
      </c>
      <c r="R612" s="406"/>
      <c r="S612" s="406"/>
      <c r="T612" s="406"/>
      <c r="U612" s="406">
        <f>15626</f>
        <v>15626</v>
      </c>
      <c r="V612" s="501" t="s">
        <v>1947</v>
      </c>
      <c r="W612" s="460">
        <v>43708</v>
      </c>
      <c r="X612" s="460">
        <v>43654</v>
      </c>
      <c r="Y612" s="304" t="s">
        <v>1252</v>
      </c>
      <c r="Z612" s="304">
        <v>15626</v>
      </c>
      <c r="AA612" s="460">
        <v>43710</v>
      </c>
      <c r="AB612" s="304" t="s">
        <v>2729</v>
      </c>
      <c r="AC612" s="304" t="s">
        <v>2730</v>
      </c>
      <c r="AD612" s="304">
        <v>31</v>
      </c>
      <c r="AE612" s="304">
        <v>17968</v>
      </c>
      <c r="AF612" s="460">
        <v>43656</v>
      </c>
      <c r="AG612" s="296"/>
      <c r="AH612" s="296"/>
      <c r="AI612" s="297"/>
      <c r="AJ612" s="298">
        <v>43661</v>
      </c>
      <c r="AK612" s="297">
        <v>17968</v>
      </c>
      <c r="AL612" s="297">
        <v>0</v>
      </c>
      <c r="AM612" s="296" t="s">
        <v>49</v>
      </c>
      <c r="AN612" s="82" t="s">
        <v>284</v>
      </c>
      <c r="AO612" s="296" t="s">
        <v>50</v>
      </c>
      <c r="AP612" s="296" t="s">
        <v>376</v>
      </c>
      <c r="AQ612" s="457" t="s">
        <v>742</v>
      </c>
    </row>
    <row r="613" spans="1:43" ht="15.75" customHeight="1">
      <c r="A613" s="69">
        <v>43648</v>
      </c>
      <c r="B613" s="70" t="s">
        <v>228</v>
      </c>
      <c r="C613" s="21">
        <v>190702</v>
      </c>
      <c r="D613" s="21" t="s">
        <v>1253</v>
      </c>
      <c r="E613" s="32" t="s">
        <v>231</v>
      </c>
      <c r="F613" s="24">
        <v>13</v>
      </c>
      <c r="G613" s="48">
        <v>407.4</v>
      </c>
      <c r="H613" s="60">
        <f t="shared" si="55"/>
        <v>5296.2</v>
      </c>
      <c r="I613" s="61" t="s">
        <v>170</v>
      </c>
      <c r="J613" s="63" t="s">
        <v>89</v>
      </c>
      <c r="K613" s="30">
        <v>43664</v>
      </c>
      <c r="L613" s="30"/>
      <c r="M613" s="30">
        <v>43664</v>
      </c>
      <c r="N613" s="50" t="s">
        <v>89</v>
      </c>
      <c r="O613" s="93" t="s">
        <v>2731</v>
      </c>
      <c r="P613" s="406">
        <v>355</v>
      </c>
      <c r="Q613" s="406">
        <f t="shared" si="52"/>
        <v>4845.75</v>
      </c>
      <c r="R613" s="406"/>
      <c r="S613" s="406"/>
      <c r="T613" s="406"/>
      <c r="U613" s="406">
        <v>150436</v>
      </c>
      <c r="V613" s="51" t="s">
        <v>93</v>
      </c>
      <c r="W613" s="460">
        <v>43708</v>
      </c>
      <c r="X613" s="460">
        <v>43663</v>
      </c>
      <c r="Y613" s="304" t="s">
        <v>1254</v>
      </c>
      <c r="Z613" s="304">
        <v>168293</v>
      </c>
      <c r="AA613" s="460">
        <v>43706</v>
      </c>
      <c r="AB613" s="304" t="s">
        <v>2732</v>
      </c>
      <c r="AC613" s="304" t="s">
        <v>2733</v>
      </c>
      <c r="AD613" s="304">
        <v>31.07</v>
      </c>
      <c r="AE613" s="304">
        <v>186737</v>
      </c>
      <c r="AF613" s="460">
        <v>43664</v>
      </c>
      <c r="AG613" s="296"/>
      <c r="AH613" s="296"/>
      <c r="AI613" s="297"/>
      <c r="AJ613" s="298">
        <v>43683</v>
      </c>
      <c r="AK613" s="297" t="s">
        <v>2589</v>
      </c>
      <c r="AL613" s="297">
        <v>0</v>
      </c>
      <c r="AM613" s="296" t="s">
        <v>49</v>
      </c>
      <c r="AN613" s="296" t="s">
        <v>284</v>
      </c>
      <c r="AO613" s="296" t="s">
        <v>50</v>
      </c>
      <c r="AP613" s="296" t="s">
        <v>376</v>
      </c>
      <c r="AQ613" s="234" t="s">
        <v>506</v>
      </c>
    </row>
    <row r="614" spans="1:43" ht="15.75" customHeight="1">
      <c r="A614" s="69">
        <v>43648</v>
      </c>
      <c r="B614" s="70" t="s">
        <v>228</v>
      </c>
      <c r="C614" s="21">
        <v>190702</v>
      </c>
      <c r="D614" s="21" t="s">
        <v>1253</v>
      </c>
      <c r="E614" s="32" t="s">
        <v>728</v>
      </c>
      <c r="F614" s="24">
        <v>2</v>
      </c>
      <c r="G614" s="434">
        <v>336</v>
      </c>
      <c r="H614" s="60">
        <f t="shared" si="55"/>
        <v>672</v>
      </c>
      <c r="I614" s="61" t="s">
        <v>170</v>
      </c>
      <c r="J614" s="63" t="s">
        <v>89</v>
      </c>
      <c r="K614" s="30">
        <v>43664</v>
      </c>
      <c r="L614" s="30"/>
      <c r="M614" s="30">
        <v>43664</v>
      </c>
      <c r="N614" s="50" t="s">
        <v>89</v>
      </c>
      <c r="O614" s="93" t="s">
        <v>2731</v>
      </c>
      <c r="P614" s="406">
        <v>257</v>
      </c>
      <c r="Q614" s="406">
        <f t="shared" si="52"/>
        <v>539.70000000000005</v>
      </c>
      <c r="R614" s="406"/>
      <c r="S614" s="406"/>
      <c r="T614" s="406"/>
      <c r="U614" s="406">
        <v>16755</v>
      </c>
      <c r="V614" s="35" t="s">
        <v>93</v>
      </c>
      <c r="W614" s="460">
        <v>43708</v>
      </c>
      <c r="X614" s="460">
        <v>43663</v>
      </c>
      <c r="Y614" s="304" t="s">
        <v>1254</v>
      </c>
      <c r="Z614" s="304" t="s">
        <v>2734</v>
      </c>
      <c r="AA614" s="460">
        <v>43706</v>
      </c>
      <c r="AB614" s="304" t="s">
        <v>2732</v>
      </c>
      <c r="AC614" s="304" t="s">
        <v>2733</v>
      </c>
      <c r="AD614" s="304">
        <v>31.07</v>
      </c>
      <c r="AE614" s="304" t="s">
        <v>2735</v>
      </c>
      <c r="AF614" s="460">
        <v>43664</v>
      </c>
      <c r="AG614" s="296"/>
      <c r="AH614" s="296"/>
      <c r="AI614" s="297"/>
      <c r="AJ614" s="298">
        <v>43683</v>
      </c>
      <c r="AK614" s="297" t="s">
        <v>2589</v>
      </c>
      <c r="AL614" s="297">
        <v>0</v>
      </c>
      <c r="AM614" s="296" t="s">
        <v>49</v>
      </c>
      <c r="AN614" s="296" t="s">
        <v>284</v>
      </c>
      <c r="AO614" s="296" t="s">
        <v>50</v>
      </c>
      <c r="AP614" s="296" t="s">
        <v>376</v>
      </c>
      <c r="AQ614" s="234" t="s">
        <v>506</v>
      </c>
    </row>
    <row r="615" spans="1:43" ht="15.75" customHeight="1">
      <c r="A615" s="69">
        <v>43648</v>
      </c>
      <c r="B615" s="70" t="s">
        <v>228</v>
      </c>
      <c r="C615" s="21">
        <v>190702</v>
      </c>
      <c r="D615" s="21" t="s">
        <v>1253</v>
      </c>
      <c r="E615" s="32" t="s">
        <v>729</v>
      </c>
      <c r="F615" s="24">
        <v>2</v>
      </c>
      <c r="G615" s="48">
        <v>21</v>
      </c>
      <c r="H615" s="60">
        <f t="shared" si="55"/>
        <v>42</v>
      </c>
      <c r="I615" s="61" t="s">
        <v>170</v>
      </c>
      <c r="J615" s="63" t="s">
        <v>89</v>
      </c>
      <c r="K615" s="30">
        <v>43664</v>
      </c>
      <c r="L615" s="30"/>
      <c r="M615" s="30">
        <v>43664</v>
      </c>
      <c r="N615" s="50" t="s">
        <v>89</v>
      </c>
      <c r="O615" s="93" t="s">
        <v>2731</v>
      </c>
      <c r="P615" s="406">
        <v>16.899999999999999</v>
      </c>
      <c r="Q615" s="406">
        <f t="shared" si="52"/>
        <v>35.49</v>
      </c>
      <c r="R615" s="406"/>
      <c r="S615" s="406"/>
      <c r="T615" s="406"/>
      <c r="U615" s="406">
        <v>1102</v>
      </c>
      <c r="V615" s="51" t="s">
        <v>93</v>
      </c>
      <c r="W615" s="460">
        <v>43708</v>
      </c>
      <c r="X615" s="460">
        <v>43663</v>
      </c>
      <c r="Y615" s="304" t="s">
        <v>1254</v>
      </c>
      <c r="Z615" s="304" t="s">
        <v>2734</v>
      </c>
      <c r="AA615" s="460">
        <v>43706</v>
      </c>
      <c r="AB615" s="304" t="s">
        <v>2732</v>
      </c>
      <c r="AC615" s="304" t="s">
        <v>2733</v>
      </c>
      <c r="AD615" s="304">
        <v>31.07</v>
      </c>
      <c r="AE615" s="304" t="s">
        <v>2735</v>
      </c>
      <c r="AF615" s="460">
        <v>43664</v>
      </c>
      <c r="AG615" s="296"/>
      <c r="AH615" s="296"/>
      <c r="AI615" s="297"/>
      <c r="AJ615" s="298">
        <v>43683</v>
      </c>
      <c r="AK615" s="297" t="s">
        <v>2589</v>
      </c>
      <c r="AL615" s="297">
        <v>0</v>
      </c>
      <c r="AM615" s="296" t="s">
        <v>49</v>
      </c>
      <c r="AN615" s="296" t="s">
        <v>284</v>
      </c>
      <c r="AO615" s="296" t="s">
        <v>50</v>
      </c>
      <c r="AP615" s="296" t="s">
        <v>376</v>
      </c>
      <c r="AQ615" s="234" t="s">
        <v>506</v>
      </c>
    </row>
    <row r="616" spans="1:43" ht="15.75" customHeight="1">
      <c r="A616" s="69">
        <v>43649</v>
      </c>
      <c r="B616" s="70" t="s">
        <v>377</v>
      </c>
      <c r="C616" s="21" t="s">
        <v>1255</v>
      </c>
      <c r="D616" s="21" t="s">
        <v>1256</v>
      </c>
      <c r="E616" s="32" t="s">
        <v>1257</v>
      </c>
      <c r="F616" s="24">
        <v>1</v>
      </c>
      <c r="G616" s="48">
        <v>60</v>
      </c>
      <c r="H616" s="60">
        <f t="shared" si="55"/>
        <v>60</v>
      </c>
      <c r="I616" s="87" t="s">
        <v>1106</v>
      </c>
      <c r="J616" s="161" t="s">
        <v>1107</v>
      </c>
      <c r="K616" s="29">
        <v>43655</v>
      </c>
      <c r="L616" s="29"/>
      <c r="M616" s="30">
        <v>43655</v>
      </c>
      <c r="N616" s="50" t="s">
        <v>254</v>
      </c>
      <c r="O616" s="21" t="s">
        <v>2736</v>
      </c>
      <c r="P616" s="406"/>
      <c r="Q616" s="406">
        <f t="shared" si="52"/>
        <v>0</v>
      </c>
      <c r="R616" s="406"/>
      <c r="S616" s="406"/>
      <c r="T616" s="406">
        <v>1390</v>
      </c>
      <c r="U616" s="406">
        <f>1460</f>
        <v>1460</v>
      </c>
      <c r="V616" s="70" t="s">
        <v>256</v>
      </c>
      <c r="W616" s="460">
        <v>43682</v>
      </c>
      <c r="X616" s="460">
        <v>43655</v>
      </c>
      <c r="Y616" s="304" t="s">
        <v>1258</v>
      </c>
      <c r="Z616" s="304">
        <v>3024</v>
      </c>
      <c r="AA616" s="460">
        <v>43682</v>
      </c>
      <c r="AB616" s="304" t="s">
        <v>2737</v>
      </c>
      <c r="AC616" s="304" t="s">
        <v>2738</v>
      </c>
      <c r="AD616" s="304"/>
      <c r="AE616" s="304"/>
      <c r="AF616" s="304"/>
      <c r="AG616" s="296"/>
      <c r="AH616" s="296"/>
      <c r="AI616" s="297"/>
      <c r="AJ616" s="298">
        <v>43672</v>
      </c>
      <c r="AK616" s="297" t="s">
        <v>2599</v>
      </c>
      <c r="AL616" s="297" t="s">
        <v>2600</v>
      </c>
      <c r="AM616" s="296" t="s">
        <v>49</v>
      </c>
      <c r="AN616" s="296" t="s">
        <v>284</v>
      </c>
      <c r="AO616" s="296" t="s">
        <v>50</v>
      </c>
      <c r="AP616" s="296" t="s">
        <v>51</v>
      </c>
      <c r="AQ616" s="234" t="s">
        <v>506</v>
      </c>
    </row>
    <row r="617" spans="1:43" ht="15.75" customHeight="1">
      <c r="A617" s="69">
        <v>43649</v>
      </c>
      <c r="B617" s="70" t="s">
        <v>377</v>
      </c>
      <c r="C617" s="21" t="s">
        <v>1255</v>
      </c>
      <c r="D617" s="21" t="s">
        <v>1256</v>
      </c>
      <c r="E617" s="32" t="s">
        <v>1259</v>
      </c>
      <c r="F617" s="24">
        <v>1</v>
      </c>
      <c r="G617" s="48">
        <v>70</v>
      </c>
      <c r="H617" s="60">
        <f t="shared" si="55"/>
        <v>70</v>
      </c>
      <c r="I617" s="507" t="s">
        <v>1106</v>
      </c>
      <c r="J617" s="161" t="s">
        <v>1107</v>
      </c>
      <c r="K617" s="29">
        <v>43655</v>
      </c>
      <c r="L617" s="29"/>
      <c r="M617" s="30">
        <v>43655</v>
      </c>
      <c r="N617" s="50" t="s">
        <v>254</v>
      </c>
      <c r="O617" s="21" t="s">
        <v>2736</v>
      </c>
      <c r="P617" s="406"/>
      <c r="Q617" s="406">
        <f t="shared" si="52"/>
        <v>0</v>
      </c>
      <c r="R617" s="406"/>
      <c r="S617" s="406"/>
      <c r="T617" s="406">
        <v>1490</v>
      </c>
      <c r="U617" s="406">
        <v>1564</v>
      </c>
      <c r="V617" s="70" t="s">
        <v>256</v>
      </c>
      <c r="W617" s="460">
        <v>43682</v>
      </c>
      <c r="X617" s="460">
        <v>43655</v>
      </c>
      <c r="Y617" s="304" t="s">
        <v>1258</v>
      </c>
      <c r="Z617" s="304" t="s">
        <v>2739</v>
      </c>
      <c r="AA617" s="460">
        <v>43682</v>
      </c>
      <c r="AB617" s="304" t="s">
        <v>2737</v>
      </c>
      <c r="AC617" s="304" t="s">
        <v>2738</v>
      </c>
      <c r="AD617" s="304"/>
      <c r="AE617" s="304"/>
      <c r="AF617" s="304"/>
      <c r="AG617" s="296"/>
      <c r="AH617" s="296"/>
      <c r="AI617" s="297"/>
      <c r="AJ617" s="298">
        <v>43672</v>
      </c>
      <c r="AK617" s="297" t="s">
        <v>2599</v>
      </c>
      <c r="AL617" s="297" t="s">
        <v>2600</v>
      </c>
      <c r="AM617" s="296" t="s">
        <v>49</v>
      </c>
      <c r="AN617" s="296" t="s">
        <v>284</v>
      </c>
      <c r="AO617" s="296" t="s">
        <v>50</v>
      </c>
      <c r="AP617" s="296" t="s">
        <v>51</v>
      </c>
      <c r="AQ617" s="234" t="s">
        <v>506</v>
      </c>
    </row>
    <row r="618" spans="1:43" ht="15.75" customHeight="1">
      <c r="A618" s="69">
        <v>43649</v>
      </c>
      <c r="B618" s="70" t="s">
        <v>76</v>
      </c>
      <c r="C618" s="240">
        <v>492</v>
      </c>
      <c r="D618" s="21" t="s">
        <v>1260</v>
      </c>
      <c r="E618" s="246" t="s">
        <v>314</v>
      </c>
      <c r="F618" s="24">
        <v>30</v>
      </c>
      <c r="G618" s="48">
        <v>285</v>
      </c>
      <c r="H618" s="26">
        <f t="shared" si="55"/>
        <v>8550</v>
      </c>
      <c r="I618" s="508" t="s">
        <v>42</v>
      </c>
      <c r="J618" s="431" t="s">
        <v>922</v>
      </c>
      <c r="K618" s="29">
        <v>43700</v>
      </c>
      <c r="L618" s="29"/>
      <c r="M618" s="30">
        <v>43690</v>
      </c>
      <c r="N618" s="50" t="s">
        <v>1967</v>
      </c>
      <c r="O618" s="32" t="s">
        <v>2740</v>
      </c>
      <c r="P618" s="406">
        <v>250</v>
      </c>
      <c r="Q618" s="406">
        <f t="shared" si="52"/>
        <v>7875</v>
      </c>
      <c r="R618" s="406"/>
      <c r="S618" s="406"/>
      <c r="T618" s="406"/>
      <c r="U618" s="406">
        <v>246803</v>
      </c>
      <c r="V618" s="501" t="s">
        <v>1969</v>
      </c>
      <c r="W618" s="460">
        <v>43738</v>
      </c>
      <c r="X618" s="460">
        <v>43689</v>
      </c>
      <c r="Y618" s="304" t="s">
        <v>1261</v>
      </c>
      <c r="Z618" s="304">
        <v>246803</v>
      </c>
      <c r="AA618" s="460">
        <v>43739</v>
      </c>
      <c r="AB618" s="304" t="s">
        <v>2710</v>
      </c>
      <c r="AC618" s="296" t="s">
        <v>2711</v>
      </c>
      <c r="AD618" s="304">
        <v>31.315000000000001</v>
      </c>
      <c r="AE618" s="304"/>
      <c r="AF618" s="304"/>
      <c r="AG618" s="296"/>
      <c r="AH618" s="296"/>
      <c r="AI618" s="297"/>
      <c r="AJ618" s="298">
        <v>43731</v>
      </c>
      <c r="AK618" s="297" t="s">
        <v>2713</v>
      </c>
      <c r="AL618" s="297" t="s">
        <v>2714</v>
      </c>
      <c r="AM618" s="296" t="s">
        <v>49</v>
      </c>
      <c r="AN618" s="296" t="s">
        <v>284</v>
      </c>
      <c r="AO618" s="296" t="s">
        <v>50</v>
      </c>
      <c r="AP618" s="296" t="s">
        <v>51</v>
      </c>
      <c r="AQ618" s="234" t="s">
        <v>506</v>
      </c>
    </row>
    <row r="619" spans="1:43" ht="15.75" customHeight="1">
      <c r="A619" s="69">
        <v>43650</v>
      </c>
      <c r="B619" s="307" t="s">
        <v>100</v>
      </c>
      <c r="C619" s="22" t="s">
        <v>0</v>
      </c>
      <c r="D619" s="509" t="s">
        <v>1262</v>
      </c>
      <c r="E619" s="22" t="s">
        <v>1263</v>
      </c>
      <c r="F619" s="24">
        <v>1</v>
      </c>
      <c r="G619" s="48">
        <v>655</v>
      </c>
      <c r="H619" s="60">
        <f t="shared" si="55"/>
        <v>655</v>
      </c>
      <c r="I619" s="61" t="s">
        <v>104</v>
      </c>
      <c r="J619" s="50" t="s">
        <v>532</v>
      </c>
      <c r="K619" s="145">
        <v>43671</v>
      </c>
      <c r="L619" s="145"/>
      <c r="M619" s="30"/>
      <c r="N619" s="50" t="s">
        <v>178</v>
      </c>
      <c r="O619" s="93" t="s">
        <v>2741</v>
      </c>
      <c r="P619" s="406"/>
      <c r="Q619" s="406"/>
      <c r="R619" s="406"/>
      <c r="S619" s="406"/>
      <c r="T619" s="406">
        <v>15170</v>
      </c>
      <c r="U619" s="406">
        <f>T619*1.05</f>
        <v>15928.5</v>
      </c>
      <c r="V619" s="501"/>
      <c r="W619" s="460"/>
      <c r="X619" s="460"/>
      <c r="Y619" s="304"/>
      <c r="Z619" s="304"/>
      <c r="AA619" s="304"/>
      <c r="AB619" s="304"/>
      <c r="AC619" s="304"/>
      <c r="AD619" s="304"/>
      <c r="AE619" s="304"/>
      <c r="AF619" s="304"/>
      <c r="AG619" s="296"/>
      <c r="AH619" s="296"/>
      <c r="AI619" s="297"/>
      <c r="AJ619" s="298">
        <v>43734</v>
      </c>
      <c r="AK619" s="297" t="s">
        <v>2742</v>
      </c>
      <c r="AL619" s="297" t="s">
        <v>2743</v>
      </c>
      <c r="AM619" s="296" t="s">
        <v>49</v>
      </c>
      <c r="AN619" s="296" t="s">
        <v>284</v>
      </c>
      <c r="AO619" s="296" t="s">
        <v>285</v>
      </c>
      <c r="AP619" s="296" t="s">
        <v>51</v>
      </c>
      <c r="AQ619" s="234" t="s">
        <v>506</v>
      </c>
    </row>
    <row r="620" spans="1:43" ht="15.75" customHeight="1">
      <c r="A620" s="69">
        <v>43650</v>
      </c>
      <c r="B620" s="21" t="s">
        <v>1264</v>
      </c>
      <c r="C620" s="21">
        <v>45719</v>
      </c>
      <c r="D620" s="21" t="s">
        <v>1265</v>
      </c>
      <c r="E620" s="32" t="s">
        <v>1266</v>
      </c>
      <c r="F620" s="24">
        <v>1</v>
      </c>
      <c r="G620" s="47">
        <v>1020</v>
      </c>
      <c r="H620" s="26">
        <f t="shared" si="55"/>
        <v>1020</v>
      </c>
      <c r="I620" s="61" t="s">
        <v>104</v>
      </c>
      <c r="J620" s="62" t="s">
        <v>1267</v>
      </c>
      <c r="K620" s="29">
        <v>43669</v>
      </c>
      <c r="L620" s="29"/>
      <c r="M620" s="30">
        <v>43665</v>
      </c>
      <c r="N620" s="50" t="s">
        <v>1414</v>
      </c>
      <c r="O620" s="93" t="s">
        <v>2744</v>
      </c>
      <c r="P620" s="406">
        <v>895</v>
      </c>
      <c r="Q620" s="406">
        <f>(P620*F620)*1.05</f>
        <v>939.75</v>
      </c>
      <c r="R620" s="406"/>
      <c r="S620" s="406"/>
      <c r="T620" s="406"/>
      <c r="U620" s="406">
        <v>29307</v>
      </c>
      <c r="V620" s="501" t="s">
        <v>1947</v>
      </c>
      <c r="W620" s="460">
        <v>43708</v>
      </c>
      <c r="X620" s="460">
        <v>43664</v>
      </c>
      <c r="Y620" s="304" t="s">
        <v>1268</v>
      </c>
      <c r="Z620" s="304">
        <v>29307</v>
      </c>
      <c r="AA620" s="460">
        <v>43710</v>
      </c>
      <c r="AB620" s="304" t="s">
        <v>2745</v>
      </c>
      <c r="AC620" s="304" t="s">
        <v>2746</v>
      </c>
      <c r="AD620" s="304"/>
      <c r="AE620" s="304"/>
      <c r="AF620" s="304"/>
      <c r="AG620" s="296"/>
      <c r="AH620" s="296"/>
      <c r="AI620" s="297"/>
      <c r="AJ620" s="298">
        <v>43669</v>
      </c>
      <c r="AK620" s="297">
        <f>1020*31.02</f>
        <v>31640.399999999998</v>
      </c>
      <c r="AL620" s="297">
        <v>0</v>
      </c>
      <c r="AM620" s="296" t="s">
        <v>49</v>
      </c>
      <c r="AN620" s="82" t="s">
        <v>284</v>
      </c>
      <c r="AO620" s="296" t="s">
        <v>50</v>
      </c>
      <c r="AP620" s="296" t="s">
        <v>51</v>
      </c>
      <c r="AQ620" s="457" t="s">
        <v>742</v>
      </c>
    </row>
    <row r="621" spans="1:43" ht="15.75" customHeight="1">
      <c r="A621" s="69">
        <v>43651</v>
      </c>
      <c r="B621" s="307" t="s">
        <v>100</v>
      </c>
      <c r="C621" s="22" t="s">
        <v>1139</v>
      </c>
      <c r="D621" s="22" t="s">
        <v>1269</v>
      </c>
      <c r="E621" s="20" t="s">
        <v>346</v>
      </c>
      <c r="F621" s="24">
        <v>1</v>
      </c>
      <c r="G621" s="48">
        <v>427</v>
      </c>
      <c r="H621" s="60">
        <f t="shared" si="55"/>
        <v>427</v>
      </c>
      <c r="I621" s="61" t="s">
        <v>104</v>
      </c>
      <c r="J621" s="63" t="s">
        <v>1004</v>
      </c>
      <c r="K621" s="29">
        <v>43651</v>
      </c>
      <c r="L621" s="29"/>
      <c r="M621" s="29"/>
      <c r="N621" s="50" t="s">
        <v>262</v>
      </c>
      <c r="O621" s="93"/>
      <c r="P621" s="406"/>
      <c r="Q621" s="406"/>
      <c r="R621" s="406"/>
      <c r="S621" s="406"/>
      <c r="T621" s="406">
        <v>11646</v>
      </c>
      <c r="U621" s="406">
        <v>12228</v>
      </c>
      <c r="V621" s="501"/>
      <c r="W621" s="460">
        <v>43677</v>
      </c>
      <c r="X621" s="460">
        <v>43658</v>
      </c>
      <c r="Y621" s="304" t="s">
        <v>1270</v>
      </c>
      <c r="Z621" s="304">
        <v>12228</v>
      </c>
      <c r="AA621" s="460">
        <v>43677</v>
      </c>
      <c r="AB621" s="304" t="s">
        <v>2624</v>
      </c>
      <c r="AC621" s="304">
        <v>2006144276</v>
      </c>
      <c r="AD621" s="304"/>
      <c r="AE621" s="304"/>
      <c r="AF621" s="460"/>
      <c r="AG621" s="296"/>
      <c r="AH621" s="296"/>
      <c r="AI621" s="297"/>
      <c r="AJ621" s="298">
        <v>43704</v>
      </c>
      <c r="AK621" s="297" t="s">
        <v>2626</v>
      </c>
      <c r="AL621" s="297" t="s">
        <v>2627</v>
      </c>
      <c r="AM621" s="296" t="s">
        <v>49</v>
      </c>
      <c r="AN621" s="296" t="s">
        <v>284</v>
      </c>
      <c r="AO621" s="296" t="s">
        <v>285</v>
      </c>
      <c r="AP621" s="296" t="s">
        <v>51</v>
      </c>
      <c r="AQ621" s="234" t="s">
        <v>506</v>
      </c>
    </row>
    <row r="622" spans="1:43" ht="15.75" customHeight="1">
      <c r="A622" s="69">
        <v>43654</v>
      </c>
      <c r="B622" s="70" t="s">
        <v>129</v>
      </c>
      <c r="C622" s="21" t="s">
        <v>1271</v>
      </c>
      <c r="D622" s="21" t="s">
        <v>1272</v>
      </c>
      <c r="E622" s="23" t="s">
        <v>240</v>
      </c>
      <c r="F622" s="55">
        <v>20</v>
      </c>
      <c r="G622" s="48">
        <v>90</v>
      </c>
      <c r="H622" s="409">
        <f t="shared" si="55"/>
        <v>1800</v>
      </c>
      <c r="I622" s="61" t="s">
        <v>247</v>
      </c>
      <c r="J622" s="63" t="s">
        <v>133</v>
      </c>
      <c r="K622" s="30">
        <v>43668</v>
      </c>
      <c r="L622" s="30"/>
      <c r="M622" s="30">
        <v>43665</v>
      </c>
      <c r="N622" s="50" t="s">
        <v>89</v>
      </c>
      <c r="O622" s="93" t="s">
        <v>2747</v>
      </c>
      <c r="P622" s="406">
        <v>77</v>
      </c>
      <c r="Q622" s="406">
        <f t="shared" ref="Q622:Q651" si="56">(P622*F622)*1.05</f>
        <v>1617</v>
      </c>
      <c r="R622" s="406"/>
      <c r="S622" s="406"/>
      <c r="T622" s="406"/>
      <c r="U622" s="406">
        <v>50200</v>
      </c>
      <c r="V622" s="51" t="s">
        <v>93</v>
      </c>
      <c r="W622" s="460">
        <v>43708</v>
      </c>
      <c r="X622" s="460">
        <v>43665</v>
      </c>
      <c r="Y622" s="304" t="s">
        <v>1273</v>
      </c>
      <c r="Z622" s="304">
        <v>71714</v>
      </c>
      <c r="AA622" s="460">
        <v>43706</v>
      </c>
      <c r="AB622" s="304" t="s">
        <v>2748</v>
      </c>
      <c r="AC622" s="304">
        <v>1505249653</v>
      </c>
      <c r="AD622" s="304"/>
      <c r="AE622" s="304"/>
      <c r="AF622" s="304"/>
      <c r="AG622" s="296"/>
      <c r="AH622" s="296"/>
      <c r="AI622" s="297"/>
      <c r="AJ622" s="298">
        <v>43685</v>
      </c>
      <c r="AK622" s="297">
        <f>4532.64*31.43</f>
        <v>142460.87520000001</v>
      </c>
      <c r="AL622" s="297">
        <f>(4555-4532.64)*31.43</f>
        <v>702.77479999998968</v>
      </c>
      <c r="AM622" s="296" t="s">
        <v>49</v>
      </c>
      <c r="AN622" s="296" t="s">
        <v>284</v>
      </c>
      <c r="AO622" s="296" t="s">
        <v>50</v>
      </c>
      <c r="AP622" s="296" t="s">
        <v>51</v>
      </c>
      <c r="AQ622" s="234" t="s">
        <v>506</v>
      </c>
    </row>
    <row r="623" spans="1:43" ht="15.75" customHeight="1">
      <c r="A623" s="69">
        <v>43654</v>
      </c>
      <c r="B623" s="70" t="s">
        <v>129</v>
      </c>
      <c r="C623" s="21" t="s">
        <v>1271</v>
      </c>
      <c r="D623" s="21" t="s">
        <v>1272</v>
      </c>
      <c r="E623" s="23" t="s">
        <v>873</v>
      </c>
      <c r="F623" s="24">
        <v>20</v>
      </c>
      <c r="G623" s="48">
        <v>4</v>
      </c>
      <c r="H623" s="409">
        <f t="shared" si="55"/>
        <v>80</v>
      </c>
      <c r="I623" s="61" t="s">
        <v>247</v>
      </c>
      <c r="J623" s="63" t="s">
        <v>133</v>
      </c>
      <c r="K623" s="30">
        <v>43668</v>
      </c>
      <c r="L623" s="30"/>
      <c r="M623" s="30">
        <v>43665</v>
      </c>
      <c r="N623" s="50" t="s">
        <v>89</v>
      </c>
      <c r="O623" s="93" t="s">
        <v>2747</v>
      </c>
      <c r="P623" s="406">
        <v>3</v>
      </c>
      <c r="Q623" s="406">
        <f t="shared" si="56"/>
        <v>63</v>
      </c>
      <c r="R623" s="406"/>
      <c r="S623" s="406"/>
      <c r="T623" s="406"/>
      <c r="U623" s="406">
        <v>1956</v>
      </c>
      <c r="V623" s="51" t="s">
        <v>93</v>
      </c>
      <c r="W623" s="460">
        <v>43708</v>
      </c>
      <c r="X623" s="460">
        <v>43665</v>
      </c>
      <c r="Y623" s="304" t="s">
        <v>1273</v>
      </c>
      <c r="Z623" s="304" t="s">
        <v>2749</v>
      </c>
      <c r="AA623" s="460">
        <v>43706</v>
      </c>
      <c r="AB623" s="304" t="s">
        <v>2748</v>
      </c>
      <c r="AC623" s="304">
        <v>1505249653</v>
      </c>
      <c r="AD623" s="304"/>
      <c r="AE623" s="304"/>
      <c r="AF623" s="304"/>
      <c r="AG623" s="296"/>
      <c r="AH623" s="296"/>
      <c r="AI623" s="297"/>
      <c r="AJ623" s="298">
        <v>43685</v>
      </c>
      <c r="AK623" s="297" t="s">
        <v>2750</v>
      </c>
      <c r="AL623" s="297" t="s">
        <v>2751</v>
      </c>
      <c r="AM623" s="296" t="s">
        <v>49</v>
      </c>
      <c r="AN623" s="296" t="s">
        <v>284</v>
      </c>
      <c r="AO623" s="296" t="s">
        <v>50</v>
      </c>
      <c r="AP623" s="296" t="s">
        <v>51</v>
      </c>
      <c r="AQ623" s="234" t="s">
        <v>506</v>
      </c>
    </row>
    <row r="624" spans="1:43" ht="15.75" customHeight="1">
      <c r="A624" s="69">
        <v>43654</v>
      </c>
      <c r="B624" s="70" t="s">
        <v>129</v>
      </c>
      <c r="C624" s="21" t="s">
        <v>1271</v>
      </c>
      <c r="D624" s="21" t="s">
        <v>1272</v>
      </c>
      <c r="E624" s="23" t="s">
        <v>241</v>
      </c>
      <c r="F624" s="24">
        <v>10</v>
      </c>
      <c r="G624" s="48">
        <v>66</v>
      </c>
      <c r="H624" s="409">
        <f t="shared" si="55"/>
        <v>660</v>
      </c>
      <c r="I624" s="61" t="s">
        <v>247</v>
      </c>
      <c r="J624" s="63" t="s">
        <v>133</v>
      </c>
      <c r="K624" s="30">
        <v>43668</v>
      </c>
      <c r="L624" s="30"/>
      <c r="M624" s="30">
        <v>43665</v>
      </c>
      <c r="N624" s="50" t="s">
        <v>89</v>
      </c>
      <c r="O624" s="93" t="s">
        <v>2747</v>
      </c>
      <c r="P624" s="406">
        <v>60</v>
      </c>
      <c r="Q624" s="406">
        <f t="shared" si="56"/>
        <v>630</v>
      </c>
      <c r="R624" s="406"/>
      <c r="S624" s="406"/>
      <c r="T624" s="406"/>
      <c r="U624" s="406">
        <v>19558</v>
      </c>
      <c r="V624" s="51" t="s">
        <v>93</v>
      </c>
      <c r="W624" s="510">
        <v>43708</v>
      </c>
      <c r="X624" s="510">
        <v>43665</v>
      </c>
      <c r="Y624" s="511" t="s">
        <v>1273</v>
      </c>
      <c r="Z624" s="304" t="s">
        <v>2749</v>
      </c>
      <c r="AA624" s="460">
        <v>43706</v>
      </c>
      <c r="AB624" s="304" t="s">
        <v>2748</v>
      </c>
      <c r="AC624" s="304">
        <v>1505249653</v>
      </c>
      <c r="AD624" s="304"/>
      <c r="AE624" s="304"/>
      <c r="AF624" s="304"/>
      <c r="AG624" s="296"/>
      <c r="AH624" s="296"/>
      <c r="AI624" s="297"/>
      <c r="AJ624" s="298">
        <v>43685</v>
      </c>
      <c r="AK624" s="297" t="s">
        <v>2750</v>
      </c>
      <c r="AL624" s="297" t="s">
        <v>2751</v>
      </c>
      <c r="AM624" s="296" t="s">
        <v>49</v>
      </c>
      <c r="AN624" s="296" t="s">
        <v>284</v>
      </c>
      <c r="AO624" s="296" t="s">
        <v>50</v>
      </c>
      <c r="AP624" s="296" t="s">
        <v>51</v>
      </c>
      <c r="AQ624" s="234" t="s">
        <v>506</v>
      </c>
    </row>
    <row r="625" spans="1:43" ht="15.75" customHeight="1">
      <c r="A625" s="69">
        <v>43655</v>
      </c>
      <c r="B625" s="144" t="s">
        <v>665</v>
      </c>
      <c r="C625" s="32" t="s">
        <v>1274</v>
      </c>
      <c r="D625" s="21" t="s">
        <v>1275</v>
      </c>
      <c r="E625" s="23" t="s">
        <v>1276</v>
      </c>
      <c r="F625" s="24">
        <v>1</v>
      </c>
      <c r="G625" s="76">
        <v>277</v>
      </c>
      <c r="H625" s="409">
        <f t="shared" si="55"/>
        <v>277</v>
      </c>
      <c r="I625" s="61" t="s">
        <v>104</v>
      </c>
      <c r="J625" s="63" t="s">
        <v>1277</v>
      </c>
      <c r="K625" s="29">
        <v>43656</v>
      </c>
      <c r="L625" s="29"/>
      <c r="M625" s="29">
        <v>43656</v>
      </c>
      <c r="N625" s="50" t="s">
        <v>178</v>
      </c>
      <c r="O625" s="93" t="s">
        <v>1275</v>
      </c>
      <c r="P625" s="406"/>
      <c r="Q625" s="406">
        <f t="shared" si="56"/>
        <v>0</v>
      </c>
      <c r="R625" s="406"/>
      <c r="S625" s="406"/>
      <c r="T625" s="406"/>
      <c r="U625" s="580">
        <v>683.87096770000005</v>
      </c>
      <c r="V625" s="415"/>
      <c r="W625" s="304"/>
      <c r="X625" s="304"/>
      <c r="Y625" s="304"/>
      <c r="Z625" s="304"/>
      <c r="AA625" s="304"/>
      <c r="AB625" s="304" t="s">
        <v>2752</v>
      </c>
      <c r="AC625" s="304" t="s">
        <v>2753</v>
      </c>
      <c r="AD625" s="304"/>
      <c r="AE625" s="304"/>
      <c r="AF625" s="304"/>
      <c r="AG625" s="296"/>
      <c r="AH625" s="296"/>
      <c r="AI625" s="297"/>
      <c r="AJ625" s="298">
        <v>43655</v>
      </c>
      <c r="AK625" s="297"/>
      <c r="AL625" s="297"/>
      <c r="AM625" s="296" t="s">
        <v>49</v>
      </c>
      <c r="AN625" s="82" t="s">
        <v>284</v>
      </c>
      <c r="AO625" s="296" t="s">
        <v>285</v>
      </c>
      <c r="AP625" s="296" t="s">
        <v>51</v>
      </c>
      <c r="AQ625" s="457" t="s">
        <v>742</v>
      </c>
    </row>
    <row r="626" spans="1:43" ht="15.75" customHeight="1">
      <c r="A626" s="69">
        <v>43657</v>
      </c>
      <c r="B626" s="70" t="s">
        <v>986</v>
      </c>
      <c r="C626" s="21" t="s">
        <v>1278</v>
      </c>
      <c r="D626" s="21" t="s">
        <v>1279</v>
      </c>
      <c r="E626" s="23" t="s">
        <v>1280</v>
      </c>
      <c r="F626" s="24">
        <v>3</v>
      </c>
      <c r="G626" s="48">
        <v>277</v>
      </c>
      <c r="H626" s="409">
        <f>G625*F626</f>
        <v>831</v>
      </c>
      <c r="I626" s="61" t="s">
        <v>104</v>
      </c>
      <c r="J626" s="63" t="s">
        <v>1281</v>
      </c>
      <c r="K626" s="298">
        <v>43662</v>
      </c>
      <c r="L626" s="298"/>
      <c r="M626" s="683">
        <v>43661</v>
      </c>
      <c r="N626" s="50" t="s">
        <v>89</v>
      </c>
      <c r="O626" s="93" t="s">
        <v>2754</v>
      </c>
      <c r="P626" s="406">
        <v>243.75</v>
      </c>
      <c r="Q626" s="406">
        <f t="shared" si="56"/>
        <v>767.8125</v>
      </c>
      <c r="R626" s="406"/>
      <c r="S626" s="406"/>
      <c r="T626" s="406"/>
      <c r="U626" s="406">
        <v>23837</v>
      </c>
      <c r="V626" s="676" t="s">
        <v>93</v>
      </c>
      <c r="W626" s="460">
        <v>43708</v>
      </c>
      <c r="X626" s="460">
        <v>43658</v>
      </c>
      <c r="Y626" s="304" t="s">
        <v>1282</v>
      </c>
      <c r="Z626" s="304">
        <v>23837</v>
      </c>
      <c r="AA626" s="460">
        <v>43706</v>
      </c>
      <c r="AB626" s="304" t="s">
        <v>2755</v>
      </c>
      <c r="AC626" s="304">
        <v>120682907</v>
      </c>
      <c r="AD626" s="304"/>
      <c r="AE626" s="304"/>
      <c r="AF626" s="304"/>
      <c r="AG626" s="296"/>
      <c r="AH626" s="296"/>
      <c r="AI626" s="297"/>
      <c r="AJ626" s="298">
        <v>43658</v>
      </c>
      <c r="AK626" s="297">
        <f>831*31.03</f>
        <v>25785.93</v>
      </c>
      <c r="AL626" s="297">
        <v>0</v>
      </c>
      <c r="AM626" s="296" t="s">
        <v>49</v>
      </c>
      <c r="AN626" s="82" t="s">
        <v>284</v>
      </c>
      <c r="AO626" s="296" t="s">
        <v>50</v>
      </c>
      <c r="AP626" s="296" t="s">
        <v>51</v>
      </c>
      <c r="AQ626" s="457" t="s">
        <v>742</v>
      </c>
    </row>
    <row r="627" spans="1:43" ht="15.75" customHeight="1">
      <c r="A627" s="69">
        <v>43657</v>
      </c>
      <c r="B627" s="70" t="s">
        <v>129</v>
      </c>
      <c r="C627" s="21" t="s">
        <v>1283</v>
      </c>
      <c r="D627" s="21" t="s">
        <v>1284</v>
      </c>
      <c r="E627" s="32" t="s">
        <v>1285</v>
      </c>
      <c r="F627" s="24">
        <v>10</v>
      </c>
      <c r="G627" s="48">
        <v>103</v>
      </c>
      <c r="H627" s="409">
        <f t="shared" ref="H627:H668" si="57">G627*F627</f>
        <v>1030</v>
      </c>
      <c r="I627" s="61" t="s">
        <v>247</v>
      </c>
      <c r="J627" s="63" t="s">
        <v>133</v>
      </c>
      <c r="K627" s="145">
        <v>43668</v>
      </c>
      <c r="L627" s="145"/>
      <c r="M627" s="145">
        <v>43665</v>
      </c>
      <c r="N627" s="50" t="s">
        <v>89</v>
      </c>
      <c r="O627" s="93" t="s">
        <v>2756</v>
      </c>
      <c r="P627" s="406">
        <v>96</v>
      </c>
      <c r="Q627" s="406">
        <f t="shared" si="56"/>
        <v>1008</v>
      </c>
      <c r="R627" s="406"/>
      <c r="S627" s="406"/>
      <c r="T627" s="406"/>
      <c r="U627" s="406">
        <v>31293</v>
      </c>
      <c r="V627" s="51" t="s">
        <v>93</v>
      </c>
      <c r="W627" s="460">
        <v>43708</v>
      </c>
      <c r="X627" s="460">
        <v>43664</v>
      </c>
      <c r="Y627" s="304" t="s">
        <v>1286</v>
      </c>
      <c r="Z627" s="304">
        <v>41112</v>
      </c>
      <c r="AA627" s="460">
        <v>43706</v>
      </c>
      <c r="AB627" s="304" t="s">
        <v>2748</v>
      </c>
      <c r="AC627" s="304">
        <v>1505249653</v>
      </c>
      <c r="AD627" s="304"/>
      <c r="AE627" s="304"/>
      <c r="AF627" s="304"/>
      <c r="AG627" s="296"/>
      <c r="AH627" s="296"/>
      <c r="AI627" s="297"/>
      <c r="AJ627" s="298">
        <v>43685</v>
      </c>
      <c r="AK627" s="297" t="s">
        <v>2750</v>
      </c>
      <c r="AL627" s="297" t="s">
        <v>2751</v>
      </c>
      <c r="AM627" s="296" t="s">
        <v>49</v>
      </c>
      <c r="AN627" s="296" t="s">
        <v>284</v>
      </c>
      <c r="AO627" s="296" t="s">
        <v>50</v>
      </c>
      <c r="AP627" s="296" t="s">
        <v>51</v>
      </c>
      <c r="AQ627" s="234" t="s">
        <v>506</v>
      </c>
    </row>
    <row r="628" spans="1:43" ht="15.75" customHeight="1">
      <c r="A628" s="69">
        <v>43657</v>
      </c>
      <c r="B628" s="512" t="s">
        <v>129</v>
      </c>
      <c r="C628" s="21" t="s">
        <v>1283</v>
      </c>
      <c r="D628" s="21" t="s">
        <v>1284</v>
      </c>
      <c r="E628" s="23" t="s">
        <v>136</v>
      </c>
      <c r="F628" s="24">
        <v>10</v>
      </c>
      <c r="G628" s="48">
        <v>29</v>
      </c>
      <c r="H628" s="409">
        <f t="shared" si="57"/>
        <v>290</v>
      </c>
      <c r="I628" s="61" t="s">
        <v>247</v>
      </c>
      <c r="J628" s="63" t="s">
        <v>133</v>
      </c>
      <c r="K628" s="145">
        <v>43668</v>
      </c>
      <c r="L628" s="145"/>
      <c r="M628" s="145">
        <v>43665</v>
      </c>
      <c r="N628" s="50" t="s">
        <v>89</v>
      </c>
      <c r="O628" s="93" t="s">
        <v>2756</v>
      </c>
      <c r="P628" s="406">
        <v>27</v>
      </c>
      <c r="Q628" s="406">
        <f t="shared" si="56"/>
        <v>283.5</v>
      </c>
      <c r="R628" s="406"/>
      <c r="S628" s="406"/>
      <c r="T628" s="406"/>
      <c r="U628" s="406">
        <v>8802</v>
      </c>
      <c r="V628" s="51" t="s">
        <v>93</v>
      </c>
      <c r="W628" s="460">
        <v>43708</v>
      </c>
      <c r="X628" s="460">
        <v>43664</v>
      </c>
      <c r="Y628" s="304" t="s">
        <v>1286</v>
      </c>
      <c r="Z628" s="304" t="s">
        <v>2757</v>
      </c>
      <c r="AA628" s="460">
        <v>43706</v>
      </c>
      <c r="AB628" s="304" t="s">
        <v>2748</v>
      </c>
      <c r="AC628" s="304">
        <v>1505249653</v>
      </c>
      <c r="AD628" s="304"/>
      <c r="AE628" s="304"/>
      <c r="AF628" s="304"/>
      <c r="AG628" s="296"/>
      <c r="AH628" s="296"/>
      <c r="AI628" s="297"/>
      <c r="AJ628" s="298">
        <v>43685</v>
      </c>
      <c r="AK628" s="297" t="s">
        <v>2750</v>
      </c>
      <c r="AL628" s="297" t="s">
        <v>2751</v>
      </c>
      <c r="AM628" s="296" t="s">
        <v>49</v>
      </c>
      <c r="AN628" s="296" t="s">
        <v>284</v>
      </c>
      <c r="AO628" s="296" t="s">
        <v>50</v>
      </c>
      <c r="AP628" s="296" t="s">
        <v>51</v>
      </c>
      <c r="AQ628" s="234" t="s">
        <v>506</v>
      </c>
    </row>
    <row r="629" spans="1:43" ht="15.75" customHeight="1">
      <c r="A629" s="69">
        <v>43657</v>
      </c>
      <c r="B629" s="70" t="s">
        <v>129</v>
      </c>
      <c r="C629" s="21" t="s">
        <v>1283</v>
      </c>
      <c r="D629" s="21" t="s">
        <v>1284</v>
      </c>
      <c r="E629" s="23" t="s">
        <v>792</v>
      </c>
      <c r="F629" s="24">
        <v>1</v>
      </c>
      <c r="G629" s="48">
        <v>35</v>
      </c>
      <c r="H629" s="409">
        <f t="shared" si="57"/>
        <v>35</v>
      </c>
      <c r="I629" s="61" t="s">
        <v>247</v>
      </c>
      <c r="J629" s="63" t="s">
        <v>133</v>
      </c>
      <c r="K629" s="145">
        <v>43668</v>
      </c>
      <c r="L629" s="145"/>
      <c r="M629" s="145">
        <v>43665</v>
      </c>
      <c r="N629" s="50" t="s">
        <v>89</v>
      </c>
      <c r="O629" s="93" t="s">
        <v>2756</v>
      </c>
      <c r="P629" s="406">
        <v>31.2</v>
      </c>
      <c r="Q629" s="406">
        <f t="shared" si="56"/>
        <v>32.76</v>
      </c>
      <c r="R629" s="406"/>
      <c r="S629" s="406"/>
      <c r="T629" s="406"/>
      <c r="U629" s="406">
        <v>1017</v>
      </c>
      <c r="V629" s="51" t="s">
        <v>93</v>
      </c>
      <c r="W629" s="460">
        <v>43708</v>
      </c>
      <c r="X629" s="460">
        <v>43664</v>
      </c>
      <c r="Y629" s="304" t="s">
        <v>1286</v>
      </c>
      <c r="Z629" s="304" t="s">
        <v>2757</v>
      </c>
      <c r="AA629" s="460">
        <v>43706</v>
      </c>
      <c r="AB629" s="304" t="s">
        <v>2748</v>
      </c>
      <c r="AC629" s="304">
        <v>1505249653</v>
      </c>
      <c r="AD629" s="304"/>
      <c r="AE629" s="304"/>
      <c r="AF629" s="304"/>
      <c r="AG629" s="296"/>
      <c r="AH629" s="296"/>
      <c r="AI629" s="297"/>
      <c r="AJ629" s="298">
        <v>43685</v>
      </c>
      <c r="AK629" s="297" t="s">
        <v>2750</v>
      </c>
      <c r="AL629" s="297" t="s">
        <v>2751</v>
      </c>
      <c r="AM629" s="296" t="s">
        <v>49</v>
      </c>
      <c r="AN629" s="296" t="s">
        <v>284</v>
      </c>
      <c r="AO629" s="296" t="s">
        <v>50</v>
      </c>
      <c r="AP629" s="296" t="s">
        <v>51</v>
      </c>
      <c r="AQ629" s="234" t="s">
        <v>506</v>
      </c>
    </row>
    <row r="630" spans="1:43" ht="15.75" customHeight="1">
      <c r="A630" s="69">
        <v>43657</v>
      </c>
      <c r="B630" s="23" t="s">
        <v>405</v>
      </c>
      <c r="C630" s="21" t="s">
        <v>1287</v>
      </c>
      <c r="D630" s="32" t="s">
        <v>1288</v>
      </c>
      <c r="E630" s="23" t="s">
        <v>1289</v>
      </c>
      <c r="F630" s="24">
        <v>1</v>
      </c>
      <c r="G630" s="513">
        <v>60</v>
      </c>
      <c r="H630" s="406">
        <f t="shared" si="57"/>
        <v>60</v>
      </c>
      <c r="I630" s="61" t="s">
        <v>42</v>
      </c>
      <c r="J630" s="63" t="s">
        <v>626</v>
      </c>
      <c r="K630" s="30">
        <v>43661</v>
      </c>
      <c r="L630" s="30"/>
      <c r="M630" s="30"/>
      <c r="N630" s="495"/>
      <c r="O630" s="93" t="s">
        <v>2758</v>
      </c>
      <c r="P630" s="406"/>
      <c r="Q630" s="406">
        <f t="shared" si="56"/>
        <v>0</v>
      </c>
      <c r="R630" s="406"/>
      <c r="S630" s="406"/>
      <c r="T630" s="406"/>
      <c r="U630" s="406">
        <f>(T630*F630)*1.05</f>
        <v>0</v>
      </c>
      <c r="V630" s="501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296"/>
      <c r="AH630" s="296"/>
      <c r="AI630" s="297"/>
      <c r="AJ630" s="298">
        <v>43691</v>
      </c>
      <c r="AK630" s="297">
        <v>1683</v>
      </c>
      <c r="AL630" s="297">
        <v>200</v>
      </c>
      <c r="AM630" s="296" t="s">
        <v>49</v>
      </c>
      <c r="AN630" s="296" t="s">
        <v>284</v>
      </c>
      <c r="AO630" s="296" t="s">
        <v>50</v>
      </c>
      <c r="AP630" s="296" t="s">
        <v>51</v>
      </c>
      <c r="AQ630" s="234" t="s">
        <v>506</v>
      </c>
    </row>
    <row r="631" spans="1:43" ht="15.75" customHeight="1">
      <c r="A631" s="467">
        <v>43658</v>
      </c>
      <c r="B631" s="70" t="s">
        <v>129</v>
      </c>
      <c r="C631" s="21" t="s">
        <v>1290</v>
      </c>
      <c r="D631" s="21" t="s">
        <v>1291</v>
      </c>
      <c r="E631" s="23" t="s">
        <v>241</v>
      </c>
      <c r="F631" s="24">
        <v>10</v>
      </c>
      <c r="G631" s="48">
        <v>66</v>
      </c>
      <c r="H631" s="468">
        <f t="shared" si="57"/>
        <v>660</v>
      </c>
      <c r="I631" s="61" t="s">
        <v>247</v>
      </c>
      <c r="J631" s="63" t="s">
        <v>133</v>
      </c>
      <c r="K631" s="145">
        <v>43668</v>
      </c>
      <c r="L631" s="145"/>
      <c r="M631" s="145">
        <v>43664</v>
      </c>
      <c r="N631" s="50" t="s">
        <v>89</v>
      </c>
      <c r="O631" s="93" t="s">
        <v>2759</v>
      </c>
      <c r="P631" s="406">
        <v>60</v>
      </c>
      <c r="Q631" s="406">
        <f t="shared" si="56"/>
        <v>630</v>
      </c>
      <c r="R631" s="406"/>
      <c r="S631" s="406"/>
      <c r="T631" s="406"/>
      <c r="U631" s="406">
        <v>19558</v>
      </c>
      <c r="V631" s="51" t="s">
        <v>93</v>
      </c>
      <c r="W631" s="460">
        <v>43708</v>
      </c>
      <c r="X631" s="460">
        <v>43664</v>
      </c>
      <c r="Y631" s="304" t="s">
        <v>1292</v>
      </c>
      <c r="Z631" s="304">
        <v>19558</v>
      </c>
      <c r="AA631" s="460">
        <v>43706</v>
      </c>
      <c r="AB631" s="304" t="s">
        <v>2748</v>
      </c>
      <c r="AC631" s="304">
        <v>1505249653</v>
      </c>
      <c r="AD631" s="304"/>
      <c r="AE631" s="304"/>
      <c r="AF631" s="304"/>
      <c r="AG631" s="296"/>
      <c r="AH631" s="296"/>
      <c r="AI631" s="297"/>
      <c r="AJ631" s="298">
        <v>43685</v>
      </c>
      <c r="AK631" s="297" t="s">
        <v>2750</v>
      </c>
      <c r="AL631" s="297" t="s">
        <v>2751</v>
      </c>
      <c r="AM631" s="296" t="s">
        <v>49</v>
      </c>
      <c r="AN631" s="296" t="s">
        <v>284</v>
      </c>
      <c r="AO631" s="296" t="s">
        <v>50</v>
      </c>
      <c r="AP631" s="296" t="s">
        <v>51</v>
      </c>
      <c r="AQ631" s="234" t="s">
        <v>506</v>
      </c>
    </row>
    <row r="632" spans="1:43" ht="15.75" customHeight="1">
      <c r="A632" s="69">
        <v>43661</v>
      </c>
      <c r="B632" s="23" t="s">
        <v>405</v>
      </c>
      <c r="C632" s="21">
        <v>7000148797</v>
      </c>
      <c r="D632" s="32" t="s">
        <v>1293</v>
      </c>
      <c r="E632" s="23" t="s">
        <v>1294</v>
      </c>
      <c r="F632" s="24">
        <v>1</v>
      </c>
      <c r="G632" s="48">
        <v>135</v>
      </c>
      <c r="H632" s="22">
        <f t="shared" si="57"/>
        <v>135</v>
      </c>
      <c r="I632" s="27" t="s">
        <v>42</v>
      </c>
      <c r="J632" s="50" t="s">
        <v>512</v>
      </c>
      <c r="K632" s="30">
        <v>43675</v>
      </c>
      <c r="L632" s="30"/>
      <c r="M632" s="29">
        <v>43670</v>
      </c>
      <c r="N632" s="58" t="s">
        <v>2043</v>
      </c>
      <c r="O632" s="32" t="s">
        <v>2760</v>
      </c>
      <c r="P632" s="406"/>
      <c r="Q632" s="406">
        <f t="shared" si="56"/>
        <v>0</v>
      </c>
      <c r="R632" s="406"/>
      <c r="S632" s="406"/>
      <c r="T632" s="406">
        <v>3522</v>
      </c>
      <c r="U632" s="406">
        <v>3698</v>
      </c>
      <c r="V632" s="20" t="s">
        <v>2045</v>
      </c>
      <c r="W632" s="460">
        <v>43738</v>
      </c>
      <c r="X632" s="514">
        <v>43669</v>
      </c>
      <c r="Y632" s="515" t="s">
        <v>1295</v>
      </c>
      <c r="Z632" s="304">
        <v>3698</v>
      </c>
      <c r="AA632" s="460">
        <v>43739</v>
      </c>
      <c r="AB632" s="304" t="s">
        <v>2761</v>
      </c>
      <c r="AC632" s="304">
        <v>8976951815</v>
      </c>
      <c r="AD632" s="304"/>
      <c r="AE632" s="304"/>
      <c r="AF632" s="304"/>
      <c r="AG632" s="296"/>
      <c r="AH632" s="296"/>
      <c r="AI632" s="297"/>
      <c r="AJ632" s="298">
        <v>43707</v>
      </c>
      <c r="AK632" s="297">
        <f>576.61*31.3</f>
        <v>18047.893</v>
      </c>
      <c r="AL632" s="297">
        <f>(603-576.61)*31.3</f>
        <v>826.00699999999961</v>
      </c>
      <c r="AM632" s="296" t="s">
        <v>49</v>
      </c>
      <c r="AN632" s="296" t="s">
        <v>284</v>
      </c>
      <c r="AO632" s="296" t="s">
        <v>50</v>
      </c>
      <c r="AP632" s="296" t="s">
        <v>51</v>
      </c>
      <c r="AQ632" s="234" t="s">
        <v>506</v>
      </c>
    </row>
    <row r="633" spans="1:43" ht="15.75" customHeight="1">
      <c r="A633" s="69">
        <v>43661</v>
      </c>
      <c r="B633" s="32" t="s">
        <v>405</v>
      </c>
      <c r="C633" s="21">
        <v>7000149230</v>
      </c>
      <c r="D633" s="21" t="s">
        <v>1296</v>
      </c>
      <c r="E633" s="23" t="s">
        <v>799</v>
      </c>
      <c r="F633" s="24">
        <v>1</v>
      </c>
      <c r="G633" s="48">
        <v>565</v>
      </c>
      <c r="H633" s="468">
        <f t="shared" si="57"/>
        <v>565</v>
      </c>
      <c r="I633" s="61" t="s">
        <v>42</v>
      </c>
      <c r="J633" s="50" t="s">
        <v>512</v>
      </c>
      <c r="K633" s="30">
        <v>43692</v>
      </c>
      <c r="L633" s="30"/>
      <c r="M633" s="29">
        <v>43690</v>
      </c>
      <c r="N633" s="58" t="s">
        <v>2043</v>
      </c>
      <c r="O633" s="93" t="s">
        <v>2762</v>
      </c>
      <c r="P633" s="406"/>
      <c r="Q633" s="406">
        <f t="shared" si="56"/>
        <v>0</v>
      </c>
      <c r="R633" s="406"/>
      <c r="S633" s="406"/>
      <c r="T633" s="406"/>
      <c r="U633" s="406">
        <v>15071</v>
      </c>
      <c r="V633" s="501" t="s">
        <v>2763</v>
      </c>
      <c r="W633" s="303">
        <v>43769</v>
      </c>
      <c r="X633" s="460">
        <v>43689</v>
      </c>
      <c r="Y633" s="304" t="s">
        <v>1297</v>
      </c>
      <c r="Z633" s="304">
        <v>18162</v>
      </c>
      <c r="AA633" s="304"/>
      <c r="AB633" s="304" t="s">
        <v>2764</v>
      </c>
      <c r="AC633" s="304">
        <v>4780457931</v>
      </c>
      <c r="AD633" s="304">
        <v>31.565000000000001</v>
      </c>
      <c r="AE633" s="304"/>
      <c r="AF633" s="304"/>
      <c r="AG633" s="296"/>
      <c r="AH633" s="296"/>
      <c r="AI633" s="297"/>
      <c r="AJ633" s="298">
        <v>43733</v>
      </c>
      <c r="AK633" s="297">
        <f>625.54*30.96</f>
        <v>19366.718399999998</v>
      </c>
      <c r="AL633" s="297">
        <f>(652-625.54)*30.96</f>
        <v>819.20160000000112</v>
      </c>
      <c r="AM633" s="296" t="s">
        <v>49</v>
      </c>
      <c r="AN633" s="296" t="s">
        <v>284</v>
      </c>
      <c r="AO633" s="296" t="s">
        <v>50</v>
      </c>
      <c r="AP633" s="296" t="s">
        <v>51</v>
      </c>
      <c r="AQ633" s="234" t="s">
        <v>506</v>
      </c>
    </row>
    <row r="634" spans="1:43" ht="15.75" customHeight="1">
      <c r="A634" s="69">
        <v>43661</v>
      </c>
      <c r="B634" s="23" t="s">
        <v>405</v>
      </c>
      <c r="C634" s="21">
        <v>7000149230</v>
      </c>
      <c r="D634" s="21" t="s">
        <v>1296</v>
      </c>
      <c r="E634" s="23" t="s">
        <v>997</v>
      </c>
      <c r="F634" s="24">
        <v>1</v>
      </c>
      <c r="G634" s="513">
        <v>87</v>
      </c>
      <c r="H634" s="468">
        <f t="shared" si="57"/>
        <v>87</v>
      </c>
      <c r="I634" s="61" t="s">
        <v>42</v>
      </c>
      <c r="J634" s="50" t="s">
        <v>512</v>
      </c>
      <c r="K634" s="30">
        <v>43692</v>
      </c>
      <c r="L634" s="30"/>
      <c r="M634" s="29">
        <v>43690</v>
      </c>
      <c r="N634" s="58" t="s">
        <v>2043</v>
      </c>
      <c r="O634" s="93" t="s">
        <v>2762</v>
      </c>
      <c r="P634" s="406"/>
      <c r="Q634" s="406">
        <f t="shared" si="56"/>
        <v>0</v>
      </c>
      <c r="R634" s="406"/>
      <c r="S634" s="406"/>
      <c r="T634" s="406"/>
      <c r="U634" s="406">
        <v>2226</v>
      </c>
      <c r="V634" s="501" t="s">
        <v>2763</v>
      </c>
      <c r="W634" s="303">
        <v>43769</v>
      </c>
      <c r="X634" s="460">
        <v>43689</v>
      </c>
      <c r="Y634" s="304" t="s">
        <v>1297</v>
      </c>
      <c r="Z634" s="304" t="s">
        <v>2765</v>
      </c>
      <c r="AA634" s="304"/>
      <c r="AB634" s="304" t="s">
        <v>2764</v>
      </c>
      <c r="AC634" s="304">
        <v>4780457931</v>
      </c>
      <c r="AD634" s="304">
        <v>31.565000000000001</v>
      </c>
      <c r="AE634" s="304"/>
      <c r="AF634" s="304"/>
      <c r="AG634" s="296"/>
      <c r="AH634" s="296"/>
      <c r="AI634" s="297"/>
      <c r="AJ634" s="298">
        <v>43733</v>
      </c>
      <c r="AK634" s="297" t="s">
        <v>2766</v>
      </c>
      <c r="AL634" s="297" t="s">
        <v>2767</v>
      </c>
      <c r="AM634" s="296" t="s">
        <v>49</v>
      </c>
      <c r="AN634" s="296" t="s">
        <v>284</v>
      </c>
      <c r="AO634" s="296" t="s">
        <v>50</v>
      </c>
      <c r="AP634" s="296" t="s">
        <v>51</v>
      </c>
      <c r="AQ634" s="234" t="s">
        <v>506</v>
      </c>
    </row>
    <row r="635" spans="1:43" ht="15.75" customHeight="1">
      <c r="A635" s="69">
        <v>43662</v>
      </c>
      <c r="B635" s="70" t="s">
        <v>222</v>
      </c>
      <c r="C635" s="21" t="s">
        <v>1298</v>
      </c>
      <c r="D635" s="21" t="s">
        <v>1299</v>
      </c>
      <c r="E635" s="23" t="s">
        <v>1300</v>
      </c>
      <c r="F635" s="24">
        <v>1</v>
      </c>
      <c r="G635" s="48">
        <v>163.80000000000001</v>
      </c>
      <c r="H635" s="468">
        <f t="shared" si="57"/>
        <v>163.80000000000001</v>
      </c>
      <c r="I635" s="61" t="s">
        <v>247</v>
      </c>
      <c r="J635" s="63" t="s">
        <v>962</v>
      </c>
      <c r="K635" s="30">
        <v>43664</v>
      </c>
      <c r="L635" s="30"/>
      <c r="M635" s="30">
        <v>43664</v>
      </c>
      <c r="N635" s="50" t="s">
        <v>89</v>
      </c>
      <c r="O635" s="21" t="s">
        <v>2768</v>
      </c>
      <c r="P635" s="406">
        <v>142</v>
      </c>
      <c r="Q635" s="406">
        <f t="shared" si="56"/>
        <v>149.1</v>
      </c>
      <c r="R635" s="406"/>
      <c r="S635" s="406"/>
      <c r="T635" s="406"/>
      <c r="U635" s="406">
        <v>4629</v>
      </c>
      <c r="V635" s="51" t="s">
        <v>93</v>
      </c>
      <c r="W635" s="460">
        <v>43708</v>
      </c>
      <c r="X635" s="460">
        <v>43663</v>
      </c>
      <c r="Y635" s="304" t="s">
        <v>1301</v>
      </c>
      <c r="Z635" s="304">
        <v>4629</v>
      </c>
      <c r="AA635" s="460">
        <v>43706</v>
      </c>
      <c r="AB635" s="304" t="s">
        <v>2769</v>
      </c>
      <c r="AC635" s="304" t="s">
        <v>2770</v>
      </c>
      <c r="AD635" s="304">
        <v>31.07</v>
      </c>
      <c r="AE635" s="304">
        <v>5089</v>
      </c>
      <c r="AF635" s="460">
        <v>43664</v>
      </c>
      <c r="AG635" s="296"/>
      <c r="AH635" s="296"/>
      <c r="AI635" s="297"/>
      <c r="AJ635" s="298">
        <v>43683</v>
      </c>
      <c r="AK635" s="297" t="s">
        <v>2726</v>
      </c>
      <c r="AL635" s="297" t="s">
        <v>2727</v>
      </c>
      <c r="AM635" s="296" t="s">
        <v>49</v>
      </c>
      <c r="AN635" s="296" t="s">
        <v>284</v>
      </c>
      <c r="AO635" s="296" t="s">
        <v>50</v>
      </c>
      <c r="AP635" s="296" t="s">
        <v>376</v>
      </c>
      <c r="AQ635" s="234" t="s">
        <v>506</v>
      </c>
    </row>
    <row r="636" spans="1:43" ht="15.75" customHeight="1">
      <c r="A636" s="19">
        <v>43663</v>
      </c>
      <c r="B636" s="20" t="s">
        <v>39</v>
      </c>
      <c r="C636" s="21">
        <v>2029844</v>
      </c>
      <c r="D636" s="22" t="s">
        <v>1302</v>
      </c>
      <c r="E636" s="23" t="s">
        <v>41</v>
      </c>
      <c r="F636" s="24">
        <v>70</v>
      </c>
      <c r="G636" s="48">
        <v>273</v>
      </c>
      <c r="H636" s="47">
        <f t="shared" si="57"/>
        <v>19110</v>
      </c>
      <c r="I636" s="27" t="s">
        <v>42</v>
      </c>
      <c r="J636" s="58" t="s">
        <v>1303</v>
      </c>
      <c r="K636" s="29">
        <v>43790</v>
      </c>
      <c r="L636" s="29"/>
      <c r="M636" s="30">
        <v>43773</v>
      </c>
      <c r="N636" s="50" t="s">
        <v>44</v>
      </c>
      <c r="O636" s="32" t="s">
        <v>2771</v>
      </c>
      <c r="P636" s="406">
        <v>200</v>
      </c>
      <c r="Q636" s="406">
        <f t="shared" si="56"/>
        <v>14700</v>
      </c>
      <c r="R636" s="406"/>
      <c r="S636" s="406"/>
      <c r="T636" s="406"/>
      <c r="U636" s="406">
        <v>447791</v>
      </c>
      <c r="V636" s="51" t="s">
        <v>46</v>
      </c>
      <c r="W636" s="303">
        <v>43799</v>
      </c>
      <c r="X636" s="460">
        <v>43770</v>
      </c>
      <c r="Y636" s="304" t="s">
        <v>1304</v>
      </c>
      <c r="Z636" s="304">
        <v>447791</v>
      </c>
      <c r="AA636" s="304"/>
      <c r="AB636" s="93" t="s">
        <v>2772</v>
      </c>
      <c r="AC636" s="93" t="s">
        <v>2773</v>
      </c>
      <c r="AD636" s="304"/>
      <c r="AE636" s="304"/>
      <c r="AF636" s="304"/>
      <c r="AG636" s="296"/>
      <c r="AH636" s="296"/>
      <c r="AI636" s="297"/>
      <c r="AJ636" s="29">
        <v>43788</v>
      </c>
      <c r="AK636" s="297" t="s">
        <v>2558</v>
      </c>
      <c r="AL636" s="297" t="s">
        <v>2558</v>
      </c>
      <c r="AM636" s="296" t="s">
        <v>49</v>
      </c>
      <c r="AN636" s="296" t="s">
        <v>284</v>
      </c>
      <c r="AO636" s="296" t="s">
        <v>50</v>
      </c>
      <c r="AP636" s="296" t="s">
        <v>51</v>
      </c>
      <c r="AQ636" s="457" t="s">
        <v>755</v>
      </c>
    </row>
    <row r="637" spans="1:43" ht="15.75" customHeight="1">
      <c r="A637" s="19">
        <v>43663</v>
      </c>
      <c r="B637" s="20" t="s">
        <v>39</v>
      </c>
      <c r="C637" s="21">
        <v>2029844</v>
      </c>
      <c r="D637" s="22" t="s">
        <v>1302</v>
      </c>
      <c r="E637" s="23" t="s">
        <v>52</v>
      </c>
      <c r="F637" s="24">
        <v>70</v>
      </c>
      <c r="G637" s="48">
        <v>31</v>
      </c>
      <c r="H637" s="47">
        <f t="shared" si="57"/>
        <v>2170</v>
      </c>
      <c r="I637" s="27" t="s">
        <v>42</v>
      </c>
      <c r="J637" s="58" t="s">
        <v>1303</v>
      </c>
      <c r="K637" s="29">
        <v>43790</v>
      </c>
      <c r="L637" s="29"/>
      <c r="M637" s="30">
        <v>43784</v>
      </c>
      <c r="N637" s="58" t="s">
        <v>53</v>
      </c>
      <c r="O637" s="32" t="s">
        <v>2774</v>
      </c>
      <c r="P637" s="406">
        <v>28</v>
      </c>
      <c r="Q637" s="406">
        <f t="shared" si="56"/>
        <v>2058</v>
      </c>
      <c r="R637" s="406"/>
      <c r="S637" s="406"/>
      <c r="T637" s="406"/>
      <c r="U637" s="406">
        <v>1113666</v>
      </c>
      <c r="V637" s="23" t="s">
        <v>55</v>
      </c>
      <c r="W637" s="303">
        <v>43830</v>
      </c>
      <c r="X637" s="303">
        <v>43784</v>
      </c>
      <c r="Y637" s="304" t="s">
        <v>1305</v>
      </c>
      <c r="Z637" s="304">
        <v>1113666</v>
      </c>
      <c r="AA637" s="304"/>
      <c r="AB637" s="93" t="s">
        <v>2772</v>
      </c>
      <c r="AC637" s="93" t="s">
        <v>2773</v>
      </c>
      <c r="AD637" s="304"/>
      <c r="AE637" s="304"/>
      <c r="AF637" s="304"/>
      <c r="AG637" s="296"/>
      <c r="AH637" s="296"/>
      <c r="AI637" s="297"/>
      <c r="AJ637" s="29">
        <v>43788</v>
      </c>
      <c r="AK637" s="297" t="s">
        <v>2558</v>
      </c>
      <c r="AL637" s="297" t="s">
        <v>2558</v>
      </c>
      <c r="AM637" s="296" t="s">
        <v>49</v>
      </c>
      <c r="AN637" s="296" t="s">
        <v>284</v>
      </c>
      <c r="AO637" s="296" t="s">
        <v>50</v>
      </c>
      <c r="AP637" s="296" t="s">
        <v>51</v>
      </c>
      <c r="AQ637" s="457" t="s">
        <v>755</v>
      </c>
    </row>
    <row r="638" spans="1:43" ht="15.75" customHeight="1">
      <c r="A638" s="19">
        <v>43663</v>
      </c>
      <c r="B638" s="20" t="s">
        <v>39</v>
      </c>
      <c r="C638" s="21">
        <v>2029844</v>
      </c>
      <c r="D638" s="22" t="s">
        <v>1302</v>
      </c>
      <c r="E638" s="23" t="s">
        <v>58</v>
      </c>
      <c r="F638" s="24">
        <v>70</v>
      </c>
      <c r="G638" s="48">
        <v>4</v>
      </c>
      <c r="H638" s="47">
        <f t="shared" si="57"/>
        <v>280</v>
      </c>
      <c r="I638" s="27" t="s">
        <v>42</v>
      </c>
      <c r="J638" s="58" t="s">
        <v>1303</v>
      </c>
      <c r="K638" s="29">
        <v>43790</v>
      </c>
      <c r="L638" s="29"/>
      <c r="M638" s="30">
        <v>43784</v>
      </c>
      <c r="N638" s="58" t="s">
        <v>53</v>
      </c>
      <c r="O638" s="32" t="s">
        <v>2774</v>
      </c>
      <c r="P638" s="406">
        <v>2.5</v>
      </c>
      <c r="Q638" s="406">
        <f t="shared" si="56"/>
        <v>183.75</v>
      </c>
      <c r="R638" s="406"/>
      <c r="S638" s="406"/>
      <c r="T638" s="406"/>
      <c r="U638" s="406" t="s">
        <v>2775</v>
      </c>
      <c r="V638" s="23" t="s">
        <v>55</v>
      </c>
      <c r="W638" s="303">
        <v>43830</v>
      </c>
      <c r="X638" s="303">
        <v>43784</v>
      </c>
      <c r="Y638" s="304" t="s">
        <v>1305</v>
      </c>
      <c r="Z638" s="304" t="s">
        <v>2776</v>
      </c>
      <c r="AA638" s="304"/>
      <c r="AB638" s="93" t="s">
        <v>2772</v>
      </c>
      <c r="AC638" s="93" t="s">
        <v>2773</v>
      </c>
      <c r="AD638" s="304"/>
      <c r="AE638" s="304"/>
      <c r="AF638" s="304"/>
      <c r="AG638" s="296"/>
      <c r="AH638" s="296"/>
      <c r="AI638" s="297"/>
      <c r="AJ638" s="29">
        <v>43788</v>
      </c>
      <c r="AK638" s="297" t="s">
        <v>2558</v>
      </c>
      <c r="AL638" s="297" t="s">
        <v>2558</v>
      </c>
      <c r="AM638" s="296" t="s">
        <v>49</v>
      </c>
      <c r="AN638" s="296" t="s">
        <v>284</v>
      </c>
      <c r="AO638" s="296" t="s">
        <v>50</v>
      </c>
      <c r="AP638" s="296" t="s">
        <v>51</v>
      </c>
      <c r="AQ638" s="457" t="s">
        <v>755</v>
      </c>
    </row>
    <row r="639" spans="1:43" ht="15.75" customHeight="1">
      <c r="A639" s="19">
        <v>43663</v>
      </c>
      <c r="B639" s="20" t="s">
        <v>39</v>
      </c>
      <c r="C639" s="21">
        <v>2029844</v>
      </c>
      <c r="D639" s="22" t="s">
        <v>1306</v>
      </c>
      <c r="E639" s="23" t="s">
        <v>60</v>
      </c>
      <c r="F639" s="24">
        <v>70</v>
      </c>
      <c r="G639" s="48">
        <v>532</v>
      </c>
      <c r="H639" s="26">
        <f t="shared" si="57"/>
        <v>37240</v>
      </c>
      <c r="I639" s="27" t="s">
        <v>42</v>
      </c>
      <c r="J639" s="58" t="s">
        <v>1303</v>
      </c>
      <c r="K639" s="29">
        <v>43790</v>
      </c>
      <c r="L639" s="29"/>
      <c r="M639" s="30">
        <v>43784</v>
      </c>
      <c r="N639" s="58" t="s">
        <v>53</v>
      </c>
      <c r="O639" s="32" t="s">
        <v>2774</v>
      </c>
      <c r="P639" s="406">
        <v>468</v>
      </c>
      <c r="Q639" s="406">
        <f t="shared" si="56"/>
        <v>34398</v>
      </c>
      <c r="R639" s="406"/>
      <c r="S639" s="406"/>
      <c r="T639" s="406"/>
      <c r="U639" s="406" t="s">
        <v>2775</v>
      </c>
      <c r="V639" s="23" t="s">
        <v>55</v>
      </c>
      <c r="W639" s="303">
        <v>43830</v>
      </c>
      <c r="X639" s="303">
        <v>43784</v>
      </c>
      <c r="Y639" s="304" t="s">
        <v>1305</v>
      </c>
      <c r="Z639" s="304" t="s">
        <v>2776</v>
      </c>
      <c r="AA639" s="304"/>
      <c r="AB639" s="93" t="s">
        <v>2772</v>
      </c>
      <c r="AC639" s="93" t="s">
        <v>2773</v>
      </c>
      <c r="AD639" s="304"/>
      <c r="AE639" s="304"/>
      <c r="AF639" s="304"/>
      <c r="AG639" s="296"/>
      <c r="AH639" s="296"/>
      <c r="AI639" s="297"/>
      <c r="AJ639" s="29">
        <v>43788</v>
      </c>
      <c r="AK639" s="297" t="s">
        <v>2558</v>
      </c>
      <c r="AL639" s="297" t="s">
        <v>2558</v>
      </c>
      <c r="AM639" s="296" t="s">
        <v>49</v>
      </c>
      <c r="AN639" s="296" t="s">
        <v>284</v>
      </c>
      <c r="AO639" s="296" t="s">
        <v>50</v>
      </c>
      <c r="AP639" s="296" t="s">
        <v>51</v>
      </c>
      <c r="AQ639" s="457" t="s">
        <v>755</v>
      </c>
    </row>
    <row r="640" spans="1:43" ht="15.75" customHeight="1">
      <c r="A640" s="69">
        <v>43663</v>
      </c>
      <c r="B640" s="70" t="s">
        <v>619</v>
      </c>
      <c r="C640" s="21"/>
      <c r="D640" s="21" t="s">
        <v>1307</v>
      </c>
      <c r="E640" s="23" t="s">
        <v>1308</v>
      </c>
      <c r="F640" s="24">
        <v>1</v>
      </c>
      <c r="G640" s="25">
        <v>-130</v>
      </c>
      <c r="H640" s="26">
        <f t="shared" si="57"/>
        <v>-130</v>
      </c>
      <c r="I640" s="27" t="s">
        <v>42</v>
      </c>
      <c r="J640" s="50" t="s">
        <v>1309</v>
      </c>
      <c r="K640" s="29">
        <v>43697</v>
      </c>
      <c r="L640" s="29"/>
      <c r="M640" s="302"/>
      <c r="N640" s="50" t="s">
        <v>1309</v>
      </c>
      <c r="O640" s="93" t="s">
        <v>2536</v>
      </c>
      <c r="P640" s="406"/>
      <c r="Q640" s="406">
        <f t="shared" si="56"/>
        <v>0</v>
      </c>
      <c r="R640" s="406"/>
      <c r="S640" s="406"/>
      <c r="T640" s="406"/>
      <c r="U640" s="406">
        <f>(T640*F640)*1.05</f>
        <v>0</v>
      </c>
      <c r="V640" s="501"/>
      <c r="W640" s="304"/>
      <c r="X640" s="304"/>
      <c r="Y640" s="304"/>
      <c r="Z640" s="304"/>
      <c r="AA640" s="304"/>
      <c r="AB640" s="304" t="s">
        <v>2777</v>
      </c>
      <c r="AC640" s="304" t="s">
        <v>2778</v>
      </c>
      <c r="AD640" s="304">
        <v>31.34</v>
      </c>
      <c r="AE640" s="304" t="s">
        <v>2779</v>
      </c>
      <c r="AF640" s="460">
        <v>43699</v>
      </c>
      <c r="AG640" s="296"/>
      <c r="AH640" s="296"/>
      <c r="AI640" s="297"/>
      <c r="AJ640" s="298">
        <v>43699</v>
      </c>
      <c r="AK640" s="297" t="s">
        <v>2780</v>
      </c>
      <c r="AL640" s="297" t="s">
        <v>2781</v>
      </c>
      <c r="AM640" s="296" t="s">
        <v>49</v>
      </c>
      <c r="AN640" s="296" t="s">
        <v>284</v>
      </c>
      <c r="AO640" s="296" t="s">
        <v>50</v>
      </c>
      <c r="AP640" s="296" t="s">
        <v>51</v>
      </c>
      <c r="AQ640" s="234" t="s">
        <v>506</v>
      </c>
    </row>
    <row r="641" spans="1:43" ht="15.75" customHeight="1">
      <c r="A641" s="69">
        <v>43663</v>
      </c>
      <c r="B641" s="70" t="s">
        <v>619</v>
      </c>
      <c r="C641" s="21"/>
      <c r="D641" s="21" t="s">
        <v>1310</v>
      </c>
      <c r="E641" s="23" t="s">
        <v>1311</v>
      </c>
      <c r="F641" s="82">
        <v>25</v>
      </c>
      <c r="G641" s="25">
        <v>143.22</v>
      </c>
      <c r="H641" s="26">
        <f t="shared" si="57"/>
        <v>3580.5</v>
      </c>
      <c r="I641" s="27" t="s">
        <v>42</v>
      </c>
      <c r="J641" s="50" t="s">
        <v>1309</v>
      </c>
      <c r="K641" s="29">
        <v>43697</v>
      </c>
      <c r="L641" s="29"/>
      <c r="M641" s="30">
        <v>43684</v>
      </c>
      <c r="N641" s="50" t="s">
        <v>89</v>
      </c>
      <c r="O641" s="93" t="s">
        <v>2782</v>
      </c>
      <c r="P641" s="406">
        <v>119</v>
      </c>
      <c r="Q641" s="406">
        <f t="shared" si="56"/>
        <v>3123.75</v>
      </c>
      <c r="R641" s="406"/>
      <c r="S641" s="406"/>
      <c r="T641" s="406"/>
      <c r="U641" s="406">
        <v>96899</v>
      </c>
      <c r="V641" s="51" t="s">
        <v>93</v>
      </c>
      <c r="W641" s="460">
        <v>43738</v>
      </c>
      <c r="X641" s="460">
        <v>43683</v>
      </c>
      <c r="Y641" s="304" t="s">
        <v>1312</v>
      </c>
      <c r="Z641" s="304">
        <v>115985</v>
      </c>
      <c r="AA641" s="460">
        <v>43739</v>
      </c>
      <c r="AB641" s="304" t="s">
        <v>2777</v>
      </c>
      <c r="AC641" s="304" t="s">
        <v>2778</v>
      </c>
      <c r="AD641" s="304">
        <v>31.34</v>
      </c>
      <c r="AE641" s="304" t="s">
        <v>2779</v>
      </c>
      <c r="AF641" s="460">
        <v>43699</v>
      </c>
      <c r="AG641" s="296"/>
      <c r="AH641" s="296"/>
      <c r="AI641" s="297"/>
      <c r="AJ641" s="298">
        <v>43699</v>
      </c>
      <c r="AK641" s="297" t="s">
        <v>2780</v>
      </c>
      <c r="AL641" s="297" t="s">
        <v>2781</v>
      </c>
      <c r="AM641" s="296" t="s">
        <v>49</v>
      </c>
      <c r="AN641" s="296" t="s">
        <v>284</v>
      </c>
      <c r="AO641" s="296" t="s">
        <v>50</v>
      </c>
      <c r="AP641" s="296" t="s">
        <v>51</v>
      </c>
      <c r="AQ641" s="234" t="s">
        <v>506</v>
      </c>
    </row>
    <row r="642" spans="1:43" ht="15.75" customHeight="1">
      <c r="A642" s="69">
        <v>43663</v>
      </c>
      <c r="B642" s="70" t="s">
        <v>619</v>
      </c>
      <c r="C642" s="21"/>
      <c r="D642" s="21" t="s">
        <v>1310</v>
      </c>
      <c r="E642" s="23" t="s">
        <v>1313</v>
      </c>
      <c r="F642" s="82">
        <v>2</v>
      </c>
      <c r="G642" s="25">
        <v>375.9</v>
      </c>
      <c r="H642" s="26">
        <f t="shared" si="57"/>
        <v>751.8</v>
      </c>
      <c r="I642" s="27" t="s">
        <v>42</v>
      </c>
      <c r="J642" s="50" t="s">
        <v>1309</v>
      </c>
      <c r="K642" s="29">
        <v>43697</v>
      </c>
      <c r="L642" s="29"/>
      <c r="M642" s="30">
        <v>43684</v>
      </c>
      <c r="N642" s="50" t="s">
        <v>89</v>
      </c>
      <c r="O642" s="93" t="s">
        <v>2782</v>
      </c>
      <c r="P642" s="406">
        <v>293</v>
      </c>
      <c r="Q642" s="406">
        <f t="shared" si="56"/>
        <v>615.30000000000007</v>
      </c>
      <c r="R642" s="406"/>
      <c r="S642" s="406"/>
      <c r="T642" s="406"/>
      <c r="U642" s="406">
        <v>19086</v>
      </c>
      <c r="V642" s="51" t="s">
        <v>93</v>
      </c>
      <c r="W642" s="460">
        <v>43738</v>
      </c>
      <c r="X642" s="460">
        <v>43683</v>
      </c>
      <c r="Y642" s="304" t="s">
        <v>1312</v>
      </c>
      <c r="Z642" s="304" t="s">
        <v>2783</v>
      </c>
      <c r="AA642" s="460">
        <v>43739</v>
      </c>
      <c r="AB642" s="304" t="s">
        <v>2777</v>
      </c>
      <c r="AC642" s="304" t="s">
        <v>2778</v>
      </c>
      <c r="AD642" s="304">
        <v>31.34</v>
      </c>
      <c r="AE642" s="304" t="s">
        <v>2779</v>
      </c>
      <c r="AF642" s="460">
        <v>43699</v>
      </c>
      <c r="AG642" s="296"/>
      <c r="AH642" s="296"/>
      <c r="AI642" s="297"/>
      <c r="AJ642" s="298">
        <v>43699</v>
      </c>
      <c r="AK642" s="297" t="s">
        <v>2780</v>
      </c>
      <c r="AL642" s="297" t="s">
        <v>2781</v>
      </c>
      <c r="AM642" s="296" t="s">
        <v>49</v>
      </c>
      <c r="AN642" s="296" t="s">
        <v>284</v>
      </c>
      <c r="AO642" s="296" t="s">
        <v>50</v>
      </c>
      <c r="AP642" s="296" t="s">
        <v>51</v>
      </c>
      <c r="AQ642" s="234" t="s">
        <v>506</v>
      </c>
    </row>
    <row r="643" spans="1:43" ht="15.75" customHeight="1">
      <c r="A643" s="69">
        <v>43663</v>
      </c>
      <c r="B643" s="70" t="s">
        <v>619</v>
      </c>
      <c r="C643" s="21"/>
      <c r="D643" s="21" t="s">
        <v>1310</v>
      </c>
      <c r="E643" s="23" t="s">
        <v>1314</v>
      </c>
      <c r="F643" s="82">
        <v>1</v>
      </c>
      <c r="G643" s="25">
        <v>344.4</v>
      </c>
      <c r="H643" s="26">
        <f t="shared" si="57"/>
        <v>344.4</v>
      </c>
      <c r="I643" s="27" t="s">
        <v>42</v>
      </c>
      <c r="J643" s="50" t="s">
        <v>1309</v>
      </c>
      <c r="K643" s="29">
        <v>43697</v>
      </c>
      <c r="L643" s="29"/>
      <c r="M643" s="30">
        <v>43686</v>
      </c>
      <c r="N643" s="50" t="s">
        <v>89</v>
      </c>
      <c r="O643" s="93" t="s">
        <v>2784</v>
      </c>
      <c r="P643" s="406">
        <v>269</v>
      </c>
      <c r="Q643" s="406">
        <f t="shared" si="56"/>
        <v>282.45</v>
      </c>
      <c r="R643" s="406"/>
      <c r="S643" s="406"/>
      <c r="T643" s="406"/>
      <c r="U643" s="406">
        <v>8762</v>
      </c>
      <c r="V643" s="51" t="s">
        <v>93</v>
      </c>
      <c r="W643" s="460">
        <v>43738</v>
      </c>
      <c r="X643" s="460">
        <v>43685</v>
      </c>
      <c r="Y643" s="304" t="s">
        <v>1315</v>
      </c>
      <c r="Z643" s="304">
        <v>83968</v>
      </c>
      <c r="AA643" s="460">
        <v>43739</v>
      </c>
      <c r="AB643" s="304" t="s">
        <v>2777</v>
      </c>
      <c r="AC643" s="304" t="s">
        <v>2778</v>
      </c>
      <c r="AD643" s="304">
        <v>31.34</v>
      </c>
      <c r="AE643" s="304" t="s">
        <v>2779</v>
      </c>
      <c r="AF643" s="460">
        <v>43699</v>
      </c>
      <c r="AG643" s="296"/>
      <c r="AH643" s="296"/>
      <c r="AI643" s="297"/>
      <c r="AJ643" s="298">
        <v>43699</v>
      </c>
      <c r="AK643" s="297" t="s">
        <v>2780</v>
      </c>
      <c r="AL643" s="297" t="s">
        <v>2781</v>
      </c>
      <c r="AM643" s="296" t="s">
        <v>49</v>
      </c>
      <c r="AN643" s="296" t="s">
        <v>284</v>
      </c>
      <c r="AO643" s="296" t="s">
        <v>50</v>
      </c>
      <c r="AP643" s="296" t="s">
        <v>51</v>
      </c>
      <c r="AQ643" s="234" t="s">
        <v>506</v>
      </c>
    </row>
    <row r="644" spans="1:43" ht="15.75" customHeight="1">
      <c r="A644" s="69">
        <v>43663</v>
      </c>
      <c r="B644" s="70" t="s">
        <v>619</v>
      </c>
      <c r="C644" s="21"/>
      <c r="D644" s="21" t="s">
        <v>1310</v>
      </c>
      <c r="E644" s="23" t="s">
        <v>1316</v>
      </c>
      <c r="F644" s="82">
        <v>1</v>
      </c>
      <c r="G644" s="25">
        <v>2892.75</v>
      </c>
      <c r="H644" s="26">
        <f t="shared" si="57"/>
        <v>2892.75</v>
      </c>
      <c r="I644" s="27" t="s">
        <v>42</v>
      </c>
      <c r="J644" s="50" t="s">
        <v>1309</v>
      </c>
      <c r="K644" s="29">
        <v>43697</v>
      </c>
      <c r="L644" s="29"/>
      <c r="M644" s="30">
        <v>43686</v>
      </c>
      <c r="N644" s="50" t="s">
        <v>89</v>
      </c>
      <c r="O644" s="93" t="s">
        <v>2784</v>
      </c>
      <c r="P644" s="406">
        <v>2309</v>
      </c>
      <c r="Q644" s="406">
        <f t="shared" si="56"/>
        <v>2424.4500000000003</v>
      </c>
      <c r="R644" s="406"/>
      <c r="S644" s="406"/>
      <c r="T644" s="406"/>
      <c r="U644" s="406">
        <v>75206</v>
      </c>
      <c r="V644" s="51" t="s">
        <v>93</v>
      </c>
      <c r="W644" s="460">
        <v>43738</v>
      </c>
      <c r="X644" s="460">
        <v>43685</v>
      </c>
      <c r="Y644" s="304" t="s">
        <v>1315</v>
      </c>
      <c r="Z644" s="304" t="s">
        <v>2785</v>
      </c>
      <c r="AA644" s="460">
        <v>43739</v>
      </c>
      <c r="AB644" s="304" t="s">
        <v>2777</v>
      </c>
      <c r="AC644" s="304" t="s">
        <v>2778</v>
      </c>
      <c r="AD644" s="304">
        <v>31.34</v>
      </c>
      <c r="AE644" s="304" t="s">
        <v>2779</v>
      </c>
      <c r="AF644" s="460">
        <v>43699</v>
      </c>
      <c r="AG644" s="296"/>
      <c r="AH644" s="296"/>
      <c r="AI644" s="297"/>
      <c r="AJ644" s="298">
        <v>43699</v>
      </c>
      <c r="AK644" s="297" t="s">
        <v>2780</v>
      </c>
      <c r="AL644" s="297" t="s">
        <v>2781</v>
      </c>
      <c r="AM644" s="296" t="s">
        <v>49</v>
      </c>
      <c r="AN644" s="296" t="s">
        <v>284</v>
      </c>
      <c r="AO644" s="296" t="s">
        <v>50</v>
      </c>
      <c r="AP644" s="296" t="s">
        <v>51</v>
      </c>
      <c r="AQ644" s="234" t="s">
        <v>506</v>
      </c>
    </row>
    <row r="645" spans="1:43" ht="15.75" customHeight="1">
      <c r="A645" s="69">
        <v>43663</v>
      </c>
      <c r="B645" s="70" t="s">
        <v>619</v>
      </c>
      <c r="C645" s="21"/>
      <c r="D645" s="21" t="s">
        <v>1310</v>
      </c>
      <c r="E645" s="23" t="s">
        <v>1317</v>
      </c>
      <c r="F645" s="82">
        <v>35</v>
      </c>
      <c r="G645" s="25">
        <v>143.22</v>
      </c>
      <c r="H645" s="26">
        <f t="shared" si="57"/>
        <v>5012.7</v>
      </c>
      <c r="I645" s="27" t="s">
        <v>42</v>
      </c>
      <c r="J645" s="50" t="s">
        <v>1309</v>
      </c>
      <c r="K645" s="29">
        <v>43697</v>
      </c>
      <c r="L645" s="29"/>
      <c r="M645" s="30">
        <v>43686</v>
      </c>
      <c r="N645" s="50" t="s">
        <v>89</v>
      </c>
      <c r="O645" s="93" t="s">
        <v>2786</v>
      </c>
      <c r="P645" s="406">
        <v>119</v>
      </c>
      <c r="Q645" s="406">
        <f t="shared" si="56"/>
        <v>4373.25</v>
      </c>
      <c r="R645" s="406"/>
      <c r="S645" s="406"/>
      <c r="T645" s="406"/>
      <c r="U645" s="406">
        <v>135658</v>
      </c>
      <c r="V645" s="51" t="s">
        <v>93</v>
      </c>
      <c r="W645" s="460">
        <v>43738</v>
      </c>
      <c r="X645" s="460">
        <v>43685</v>
      </c>
      <c r="Y645" s="304" t="s">
        <v>1318</v>
      </c>
      <c r="Z645" s="304">
        <v>181811</v>
      </c>
      <c r="AA645" s="460">
        <v>43739</v>
      </c>
      <c r="AB645" s="304" t="s">
        <v>2777</v>
      </c>
      <c r="AC645" s="304" t="s">
        <v>2778</v>
      </c>
      <c r="AD645" s="304">
        <v>31.34</v>
      </c>
      <c r="AE645" s="304" t="s">
        <v>2779</v>
      </c>
      <c r="AF645" s="460">
        <v>43699</v>
      </c>
      <c r="AG645" s="296"/>
      <c r="AH645" s="296"/>
      <c r="AI645" s="297"/>
      <c r="AJ645" s="298">
        <v>43699</v>
      </c>
      <c r="AK645" s="297" t="s">
        <v>2780</v>
      </c>
      <c r="AL645" s="297" t="s">
        <v>2781</v>
      </c>
      <c r="AM645" s="296" t="s">
        <v>49</v>
      </c>
      <c r="AN645" s="296" t="s">
        <v>284</v>
      </c>
      <c r="AO645" s="296" t="s">
        <v>50</v>
      </c>
      <c r="AP645" s="296" t="s">
        <v>51</v>
      </c>
      <c r="AQ645" s="234" t="s">
        <v>506</v>
      </c>
    </row>
    <row r="646" spans="1:43" ht="15.75" customHeight="1">
      <c r="A646" s="69">
        <v>43663</v>
      </c>
      <c r="B646" s="70" t="s">
        <v>619</v>
      </c>
      <c r="C646" s="21"/>
      <c r="D646" s="21" t="s">
        <v>1310</v>
      </c>
      <c r="E646" s="32" t="s">
        <v>1319</v>
      </c>
      <c r="F646" s="82">
        <v>3</v>
      </c>
      <c r="G646" s="48">
        <v>344.4</v>
      </c>
      <c r="H646" s="26">
        <f t="shared" si="57"/>
        <v>1033.1999999999998</v>
      </c>
      <c r="I646" s="27" t="s">
        <v>42</v>
      </c>
      <c r="J646" s="50" t="s">
        <v>1309</v>
      </c>
      <c r="K646" s="29">
        <v>43697</v>
      </c>
      <c r="L646" s="29"/>
      <c r="M646" s="30">
        <v>43686</v>
      </c>
      <c r="N646" s="50" t="s">
        <v>89</v>
      </c>
      <c r="O646" s="93" t="s">
        <v>2786</v>
      </c>
      <c r="P646" s="406">
        <v>269</v>
      </c>
      <c r="Q646" s="406">
        <f t="shared" si="56"/>
        <v>847.35</v>
      </c>
      <c r="R646" s="406"/>
      <c r="S646" s="406"/>
      <c r="T646" s="406"/>
      <c r="U646" s="406">
        <v>26285</v>
      </c>
      <c r="V646" s="51" t="s">
        <v>93</v>
      </c>
      <c r="W646" s="460">
        <v>43738</v>
      </c>
      <c r="X646" s="460">
        <v>43685</v>
      </c>
      <c r="Y646" s="304" t="s">
        <v>1318</v>
      </c>
      <c r="Z646" s="304" t="s">
        <v>2787</v>
      </c>
      <c r="AA646" s="460">
        <v>43739</v>
      </c>
      <c r="AB646" s="304" t="s">
        <v>2777</v>
      </c>
      <c r="AC646" s="304" t="s">
        <v>2778</v>
      </c>
      <c r="AD646" s="304">
        <v>31.34</v>
      </c>
      <c r="AE646" s="304" t="s">
        <v>2779</v>
      </c>
      <c r="AF646" s="460">
        <v>43699</v>
      </c>
      <c r="AG646" s="296"/>
      <c r="AH646" s="296"/>
      <c r="AI646" s="297"/>
      <c r="AJ646" s="298">
        <v>43699</v>
      </c>
      <c r="AK646" s="297" t="s">
        <v>2780</v>
      </c>
      <c r="AL646" s="297" t="s">
        <v>2781</v>
      </c>
      <c r="AM646" s="296" t="s">
        <v>49</v>
      </c>
      <c r="AN646" s="296" t="s">
        <v>284</v>
      </c>
      <c r="AO646" s="296" t="s">
        <v>50</v>
      </c>
      <c r="AP646" s="296" t="s">
        <v>51</v>
      </c>
      <c r="AQ646" s="234" t="s">
        <v>506</v>
      </c>
    </row>
    <row r="647" spans="1:43" ht="15.75" customHeight="1">
      <c r="A647" s="69">
        <v>43663</v>
      </c>
      <c r="B647" s="70" t="s">
        <v>619</v>
      </c>
      <c r="C647" s="21"/>
      <c r="D647" s="21" t="s">
        <v>1310</v>
      </c>
      <c r="E647" s="32" t="s">
        <v>1320</v>
      </c>
      <c r="F647" s="82">
        <v>2</v>
      </c>
      <c r="G647" s="48">
        <v>391.65</v>
      </c>
      <c r="H647" s="26">
        <f t="shared" si="57"/>
        <v>783.3</v>
      </c>
      <c r="I647" s="27" t="s">
        <v>42</v>
      </c>
      <c r="J647" s="50" t="s">
        <v>1309</v>
      </c>
      <c r="K647" s="29">
        <v>43697</v>
      </c>
      <c r="L647" s="29"/>
      <c r="M647" s="30">
        <v>43686</v>
      </c>
      <c r="N647" s="50" t="s">
        <v>89</v>
      </c>
      <c r="O647" s="93" t="s">
        <v>2786</v>
      </c>
      <c r="P647" s="406">
        <v>305</v>
      </c>
      <c r="Q647" s="406">
        <f t="shared" si="56"/>
        <v>640.5</v>
      </c>
      <c r="R647" s="406"/>
      <c r="S647" s="406"/>
      <c r="T647" s="406"/>
      <c r="U647" s="406">
        <v>19868</v>
      </c>
      <c r="V647" s="51" t="s">
        <v>93</v>
      </c>
      <c r="W647" s="460">
        <v>43738</v>
      </c>
      <c r="X647" s="460">
        <v>43685</v>
      </c>
      <c r="Y647" s="304" t="s">
        <v>1318</v>
      </c>
      <c r="Z647" s="304" t="s">
        <v>2787</v>
      </c>
      <c r="AA647" s="460">
        <v>43739</v>
      </c>
      <c r="AB647" s="304" t="s">
        <v>2777</v>
      </c>
      <c r="AC647" s="304" t="s">
        <v>2778</v>
      </c>
      <c r="AD647" s="304">
        <v>31.34</v>
      </c>
      <c r="AE647" s="304" t="s">
        <v>2779</v>
      </c>
      <c r="AF647" s="460">
        <v>43699</v>
      </c>
      <c r="AG647" s="296"/>
      <c r="AH647" s="296"/>
      <c r="AI647" s="297"/>
      <c r="AJ647" s="298">
        <v>43699</v>
      </c>
      <c r="AK647" s="297" t="s">
        <v>2780</v>
      </c>
      <c r="AL647" s="297" t="s">
        <v>2781</v>
      </c>
      <c r="AM647" s="296" t="s">
        <v>49</v>
      </c>
      <c r="AN647" s="296" t="s">
        <v>284</v>
      </c>
      <c r="AO647" s="296" t="s">
        <v>50</v>
      </c>
      <c r="AP647" s="296" t="s">
        <v>51</v>
      </c>
      <c r="AQ647" s="234" t="s">
        <v>506</v>
      </c>
    </row>
    <row r="648" spans="1:43" ht="15.75" customHeight="1">
      <c r="A648" s="69">
        <v>43663</v>
      </c>
      <c r="B648" s="70" t="s">
        <v>619</v>
      </c>
      <c r="C648" s="21"/>
      <c r="D648" s="21" t="s">
        <v>1310</v>
      </c>
      <c r="E648" s="32" t="s">
        <v>1321</v>
      </c>
      <c r="F648" s="82">
        <v>14</v>
      </c>
      <c r="G648" s="48">
        <v>960.75</v>
      </c>
      <c r="H648" s="26">
        <f t="shared" si="57"/>
        <v>13450.5</v>
      </c>
      <c r="I648" s="27" t="s">
        <v>42</v>
      </c>
      <c r="J648" s="50" t="s">
        <v>1309</v>
      </c>
      <c r="K648" s="29">
        <v>43697</v>
      </c>
      <c r="L648" s="29"/>
      <c r="M648" s="30">
        <v>43692</v>
      </c>
      <c r="N648" s="50" t="s">
        <v>89</v>
      </c>
      <c r="O648" s="93" t="s">
        <v>2788</v>
      </c>
      <c r="P648" s="406">
        <v>860</v>
      </c>
      <c r="Q648" s="406">
        <f t="shared" si="56"/>
        <v>12642</v>
      </c>
      <c r="R648" s="406"/>
      <c r="S648" s="406"/>
      <c r="T648" s="406"/>
      <c r="U648" s="406">
        <v>399045</v>
      </c>
      <c r="V648" s="51" t="s">
        <v>93</v>
      </c>
      <c r="W648" s="460">
        <v>43738</v>
      </c>
      <c r="X648" s="460">
        <v>43691</v>
      </c>
      <c r="Y648" s="304" t="s">
        <v>1322</v>
      </c>
      <c r="Z648" s="304">
        <v>475572</v>
      </c>
      <c r="AA648" s="460">
        <v>43739</v>
      </c>
      <c r="AB648" s="304" t="s">
        <v>2777</v>
      </c>
      <c r="AC648" s="304" t="s">
        <v>2778</v>
      </c>
      <c r="AD648" s="304">
        <v>31.34</v>
      </c>
      <c r="AE648" s="304" t="s">
        <v>2779</v>
      </c>
      <c r="AF648" s="460">
        <v>43699</v>
      </c>
      <c r="AG648" s="296"/>
      <c r="AH648" s="296"/>
      <c r="AI648" s="297"/>
      <c r="AJ648" s="298">
        <v>43699</v>
      </c>
      <c r="AK648" s="297" t="s">
        <v>2780</v>
      </c>
      <c r="AL648" s="297" t="s">
        <v>2781</v>
      </c>
      <c r="AM648" s="296" t="s">
        <v>49</v>
      </c>
      <c r="AN648" s="296" t="s">
        <v>284</v>
      </c>
      <c r="AO648" s="296" t="s">
        <v>50</v>
      </c>
      <c r="AP648" s="296" t="s">
        <v>51</v>
      </c>
      <c r="AQ648" s="234" t="s">
        <v>506</v>
      </c>
    </row>
    <row r="649" spans="1:43" ht="15.75" customHeight="1">
      <c r="A649" s="69">
        <v>43663</v>
      </c>
      <c r="B649" s="70" t="s">
        <v>619</v>
      </c>
      <c r="C649" s="21"/>
      <c r="D649" s="21" t="s">
        <v>1310</v>
      </c>
      <c r="E649" s="32" t="s">
        <v>1323</v>
      </c>
      <c r="F649" s="82">
        <v>1</v>
      </c>
      <c r="G649" s="48">
        <v>2892.75</v>
      </c>
      <c r="H649" s="26">
        <f t="shared" si="57"/>
        <v>2892.75</v>
      </c>
      <c r="I649" s="27" t="s">
        <v>42</v>
      </c>
      <c r="J649" s="50" t="s">
        <v>1309</v>
      </c>
      <c r="K649" s="29">
        <v>43697</v>
      </c>
      <c r="L649" s="29"/>
      <c r="M649" s="30">
        <v>43692</v>
      </c>
      <c r="N649" s="50" t="s">
        <v>89</v>
      </c>
      <c r="O649" s="93" t="s">
        <v>2788</v>
      </c>
      <c r="P649" s="406">
        <v>2309</v>
      </c>
      <c r="Q649" s="406">
        <f t="shared" si="56"/>
        <v>2424.4500000000003</v>
      </c>
      <c r="R649" s="406"/>
      <c r="S649" s="406"/>
      <c r="T649" s="406"/>
      <c r="U649" s="406">
        <v>76527</v>
      </c>
      <c r="V649" s="51" t="s">
        <v>93</v>
      </c>
      <c r="W649" s="460">
        <v>43738</v>
      </c>
      <c r="X649" s="460">
        <v>43691</v>
      </c>
      <c r="Y649" s="304" t="s">
        <v>1322</v>
      </c>
      <c r="Z649" s="304" t="s">
        <v>2783</v>
      </c>
      <c r="AA649" s="460">
        <v>43739</v>
      </c>
      <c r="AB649" s="304" t="s">
        <v>2777</v>
      </c>
      <c r="AC649" s="304" t="s">
        <v>2778</v>
      </c>
      <c r="AD649" s="304">
        <v>31.34</v>
      </c>
      <c r="AE649" s="304" t="s">
        <v>2779</v>
      </c>
      <c r="AF649" s="460">
        <v>43699</v>
      </c>
      <c r="AG649" s="296"/>
      <c r="AH649" s="296"/>
      <c r="AI649" s="297"/>
      <c r="AJ649" s="298">
        <v>43699</v>
      </c>
      <c r="AK649" s="297" t="s">
        <v>2780</v>
      </c>
      <c r="AL649" s="297" t="s">
        <v>2781</v>
      </c>
      <c r="AM649" s="296" t="s">
        <v>49</v>
      </c>
      <c r="AN649" s="296" t="s">
        <v>284</v>
      </c>
      <c r="AO649" s="296" t="s">
        <v>50</v>
      </c>
      <c r="AP649" s="296" t="s">
        <v>51</v>
      </c>
      <c r="AQ649" s="234" t="s">
        <v>506</v>
      </c>
    </row>
    <row r="650" spans="1:43" ht="15.75" customHeight="1">
      <c r="A650" s="69">
        <v>43663</v>
      </c>
      <c r="B650" s="70" t="s">
        <v>619</v>
      </c>
      <c r="C650" s="21"/>
      <c r="D650" s="21" t="s">
        <v>1310</v>
      </c>
      <c r="E650" s="32" t="s">
        <v>1324</v>
      </c>
      <c r="F650" s="82">
        <v>20</v>
      </c>
      <c r="G650" s="48">
        <v>960.75</v>
      </c>
      <c r="H650" s="26">
        <f t="shared" si="57"/>
        <v>19215</v>
      </c>
      <c r="I650" s="27" t="s">
        <v>42</v>
      </c>
      <c r="J650" s="50" t="s">
        <v>1309</v>
      </c>
      <c r="K650" s="29">
        <v>43697</v>
      </c>
      <c r="L650" s="29"/>
      <c r="M650" s="30">
        <v>43692</v>
      </c>
      <c r="N650" s="50" t="s">
        <v>89</v>
      </c>
      <c r="O650" s="93" t="s">
        <v>2789</v>
      </c>
      <c r="P650" s="406">
        <v>860</v>
      </c>
      <c r="Q650" s="406">
        <f t="shared" si="56"/>
        <v>18060</v>
      </c>
      <c r="R650" s="406"/>
      <c r="S650" s="406"/>
      <c r="T650" s="406"/>
      <c r="U650" s="406">
        <v>570064</v>
      </c>
      <c r="V650" s="51" t="s">
        <v>93</v>
      </c>
      <c r="W650" s="460">
        <v>43738</v>
      </c>
      <c r="X650" s="460">
        <v>43691</v>
      </c>
      <c r="Y650" s="304" t="s">
        <v>1325</v>
      </c>
      <c r="Z650" s="304">
        <v>590281</v>
      </c>
      <c r="AA650" s="460">
        <v>43739</v>
      </c>
      <c r="AB650" s="304" t="s">
        <v>2777</v>
      </c>
      <c r="AC650" s="304" t="s">
        <v>2778</v>
      </c>
      <c r="AD650" s="304">
        <v>31.34</v>
      </c>
      <c r="AE650" s="304">
        <v>1586124</v>
      </c>
      <c r="AF650" s="460">
        <v>43699</v>
      </c>
      <c r="AG650" s="296"/>
      <c r="AH650" s="296"/>
      <c r="AI650" s="297"/>
      <c r="AJ650" s="298">
        <v>43699</v>
      </c>
      <c r="AK650" s="297">
        <f>1596000+1978</f>
        <v>1597978</v>
      </c>
      <c r="AL650" s="297">
        <v>0</v>
      </c>
      <c r="AM650" s="296" t="s">
        <v>49</v>
      </c>
      <c r="AN650" s="296" t="s">
        <v>284</v>
      </c>
      <c r="AO650" s="296" t="s">
        <v>50</v>
      </c>
      <c r="AP650" s="296" t="s">
        <v>51</v>
      </c>
      <c r="AQ650" s="234" t="s">
        <v>506</v>
      </c>
    </row>
    <row r="651" spans="1:43" ht="15.75" customHeight="1">
      <c r="A651" s="69">
        <v>43663</v>
      </c>
      <c r="B651" s="70" t="s">
        <v>619</v>
      </c>
      <c r="C651" s="21"/>
      <c r="D651" s="21" t="s">
        <v>1310</v>
      </c>
      <c r="E651" s="32" t="s">
        <v>1326</v>
      </c>
      <c r="F651" s="82">
        <v>2</v>
      </c>
      <c r="G651" s="48">
        <v>391.65</v>
      </c>
      <c r="H651" s="26">
        <f t="shared" si="57"/>
        <v>783.3</v>
      </c>
      <c r="I651" s="27" t="s">
        <v>42</v>
      </c>
      <c r="J651" s="50" t="s">
        <v>1309</v>
      </c>
      <c r="K651" s="29">
        <v>43697</v>
      </c>
      <c r="L651" s="29"/>
      <c r="M651" s="30">
        <v>43692</v>
      </c>
      <c r="N651" s="50" t="s">
        <v>89</v>
      </c>
      <c r="O651" s="93" t="s">
        <v>2789</v>
      </c>
      <c r="P651" s="406">
        <v>305</v>
      </c>
      <c r="Q651" s="406">
        <f t="shared" si="56"/>
        <v>640.5</v>
      </c>
      <c r="R651" s="406"/>
      <c r="S651" s="406"/>
      <c r="T651" s="406"/>
      <c r="U651" s="406">
        <v>20217</v>
      </c>
      <c r="V651" s="51" t="s">
        <v>93</v>
      </c>
      <c r="W651" s="460">
        <v>43738</v>
      </c>
      <c r="X651" s="460">
        <v>43691</v>
      </c>
      <c r="Y651" s="304" t="s">
        <v>1325</v>
      </c>
      <c r="Z651" s="304" t="s">
        <v>2787</v>
      </c>
      <c r="AA651" s="460">
        <v>43739</v>
      </c>
      <c r="AB651" s="304" t="s">
        <v>2777</v>
      </c>
      <c r="AC651" s="304" t="s">
        <v>2778</v>
      </c>
      <c r="AD651" s="304">
        <v>31.34</v>
      </c>
      <c r="AE651" s="304" t="s">
        <v>2779</v>
      </c>
      <c r="AF651" s="460">
        <v>43699</v>
      </c>
      <c r="AG651" s="296"/>
      <c r="AH651" s="296"/>
      <c r="AI651" s="297"/>
      <c r="AJ651" s="298">
        <v>43699</v>
      </c>
      <c r="AK651" s="297" t="s">
        <v>2780</v>
      </c>
      <c r="AL651" s="297" t="s">
        <v>2781</v>
      </c>
      <c r="AM651" s="296" t="s">
        <v>49</v>
      </c>
      <c r="AN651" s="296" t="s">
        <v>284</v>
      </c>
      <c r="AO651" s="296" t="s">
        <v>50</v>
      </c>
      <c r="AP651" s="296" t="s">
        <v>51</v>
      </c>
      <c r="AQ651" s="234" t="s">
        <v>506</v>
      </c>
    </row>
    <row r="652" spans="1:43" ht="15.75" customHeight="1">
      <c r="A652" s="69">
        <v>43663</v>
      </c>
      <c r="B652" s="144" t="s">
        <v>463</v>
      </c>
      <c r="C652" s="21">
        <v>504602</v>
      </c>
      <c r="D652" s="21" t="s">
        <v>1327</v>
      </c>
      <c r="E652" s="32" t="s">
        <v>1328</v>
      </c>
      <c r="F652" s="24">
        <v>1</v>
      </c>
      <c r="G652" s="48">
        <v>470</v>
      </c>
      <c r="H652" s="26">
        <f t="shared" si="57"/>
        <v>470</v>
      </c>
      <c r="I652" s="61" t="s">
        <v>104</v>
      </c>
      <c r="J652" s="63" t="s">
        <v>466</v>
      </c>
      <c r="K652" s="29">
        <v>43692</v>
      </c>
      <c r="L652" s="29"/>
      <c r="M652" s="30">
        <v>43685</v>
      </c>
      <c r="N652" s="50" t="s">
        <v>1512</v>
      </c>
      <c r="O652" s="93" t="s">
        <v>2790</v>
      </c>
      <c r="P652" s="406"/>
      <c r="Q652" s="406"/>
      <c r="R652" s="406"/>
      <c r="S652" s="406"/>
      <c r="T652" s="406"/>
      <c r="U652" s="304" t="s">
        <v>2791</v>
      </c>
      <c r="V652" s="501"/>
      <c r="W652" s="304"/>
      <c r="X652" s="304"/>
      <c r="Y652" s="304"/>
      <c r="Z652" s="304"/>
      <c r="AA652" s="304"/>
      <c r="AB652" s="304" t="s">
        <v>2792</v>
      </c>
      <c r="AC652" s="304">
        <v>130279808</v>
      </c>
      <c r="AD652" s="304">
        <v>31.565000000000001</v>
      </c>
      <c r="AE652" s="304"/>
      <c r="AF652" s="304"/>
      <c r="AG652" s="296"/>
      <c r="AH652" s="296"/>
      <c r="AI652" s="297"/>
      <c r="AJ652" s="298">
        <v>43692</v>
      </c>
      <c r="AK652" s="297">
        <f>463.61*31.32</f>
        <v>14520.2652</v>
      </c>
      <c r="AL652" s="297">
        <f>(470-463.61)*31.32</f>
        <v>200.13479999999959</v>
      </c>
      <c r="AM652" s="296" t="s">
        <v>49</v>
      </c>
      <c r="AN652" s="296" t="s">
        <v>284</v>
      </c>
      <c r="AO652" s="296" t="s">
        <v>285</v>
      </c>
      <c r="AP652" s="296" t="s">
        <v>51</v>
      </c>
      <c r="AQ652" s="234" t="s">
        <v>506</v>
      </c>
    </row>
    <row r="653" spans="1:43" ht="15.75" customHeight="1">
      <c r="A653" s="69">
        <v>43663</v>
      </c>
      <c r="B653" s="70" t="s">
        <v>1236</v>
      </c>
      <c r="C653" s="21" t="s">
        <v>1329</v>
      </c>
      <c r="D653" s="491" t="s">
        <v>1330</v>
      </c>
      <c r="E653" s="32" t="s">
        <v>1331</v>
      </c>
      <c r="F653" s="296">
        <v>13</v>
      </c>
      <c r="G653" s="74">
        <v>610</v>
      </c>
      <c r="H653" s="26">
        <f t="shared" si="57"/>
        <v>7930</v>
      </c>
      <c r="I653" s="61" t="s">
        <v>104</v>
      </c>
      <c r="J653" s="63" t="s">
        <v>532</v>
      </c>
      <c r="K653" s="29">
        <v>43684</v>
      </c>
      <c r="L653" s="29"/>
      <c r="M653" s="30">
        <v>43677</v>
      </c>
      <c r="N653" s="58" t="s">
        <v>1414</v>
      </c>
      <c r="O653" s="32" t="s">
        <v>2793</v>
      </c>
      <c r="P653" s="406">
        <v>565</v>
      </c>
      <c r="Q653" s="406">
        <f>(P653*F653)*1.05</f>
        <v>7712.25</v>
      </c>
      <c r="R653" s="406"/>
      <c r="S653" s="406"/>
      <c r="T653" s="406"/>
      <c r="U653" s="406">
        <v>239581</v>
      </c>
      <c r="V653" s="501" t="s">
        <v>1947</v>
      </c>
      <c r="W653" s="460">
        <v>43738</v>
      </c>
      <c r="X653" s="460">
        <v>43676</v>
      </c>
      <c r="Y653" s="304" t="s">
        <v>1332</v>
      </c>
      <c r="Z653" s="304">
        <v>322268</v>
      </c>
      <c r="AA653" s="460">
        <v>43738</v>
      </c>
      <c r="AB653" s="304" t="s">
        <v>2794</v>
      </c>
      <c r="AC653" s="304">
        <v>4242192426</v>
      </c>
      <c r="AD653" s="304"/>
      <c r="AE653" s="304"/>
      <c r="AF653" s="304"/>
      <c r="AG653" s="296"/>
      <c r="AH653" s="296"/>
      <c r="AI653" s="297"/>
      <c r="AJ653" s="298">
        <v>43734</v>
      </c>
      <c r="AK653" s="297" t="s">
        <v>2742</v>
      </c>
      <c r="AL653" s="297" t="s">
        <v>2743</v>
      </c>
      <c r="AM653" s="296" t="s">
        <v>49</v>
      </c>
      <c r="AN653" s="296" t="s">
        <v>284</v>
      </c>
      <c r="AO653" s="296" t="s">
        <v>50</v>
      </c>
      <c r="AP653" s="296" t="s">
        <v>51</v>
      </c>
      <c r="AQ653" s="234" t="s">
        <v>506</v>
      </c>
    </row>
    <row r="654" spans="1:43" ht="15.75" customHeight="1">
      <c r="A654" s="69">
        <v>43663</v>
      </c>
      <c r="B654" s="70" t="s">
        <v>1236</v>
      </c>
      <c r="C654" s="21" t="s">
        <v>1329</v>
      </c>
      <c r="D654" s="491" t="s">
        <v>1330</v>
      </c>
      <c r="E654" s="32" t="s">
        <v>1045</v>
      </c>
      <c r="F654" s="296">
        <v>13</v>
      </c>
      <c r="G654" s="74">
        <v>219</v>
      </c>
      <c r="H654" s="26">
        <f t="shared" si="57"/>
        <v>2847</v>
      </c>
      <c r="I654" s="61" t="s">
        <v>104</v>
      </c>
      <c r="J654" s="63" t="s">
        <v>532</v>
      </c>
      <c r="K654" s="29">
        <v>43684</v>
      </c>
      <c r="L654" s="29"/>
      <c r="M654" s="30">
        <v>43677</v>
      </c>
      <c r="N654" s="58" t="s">
        <v>1414</v>
      </c>
      <c r="O654" s="32" t="s">
        <v>2793</v>
      </c>
      <c r="P654" s="406">
        <v>195</v>
      </c>
      <c r="Q654" s="406">
        <f>(P654*F654)*1.05</f>
        <v>2661.75</v>
      </c>
      <c r="R654" s="406"/>
      <c r="S654" s="406"/>
      <c r="T654" s="406"/>
      <c r="U654" s="406">
        <v>82687</v>
      </c>
      <c r="V654" s="501" t="s">
        <v>1947</v>
      </c>
      <c r="W654" s="460">
        <v>43738</v>
      </c>
      <c r="X654" s="460">
        <v>43676</v>
      </c>
      <c r="Y654" s="304" t="s">
        <v>1332</v>
      </c>
      <c r="Z654" s="304" t="s">
        <v>2795</v>
      </c>
      <c r="AA654" s="460">
        <v>43738</v>
      </c>
      <c r="AB654" s="304" t="s">
        <v>2794</v>
      </c>
      <c r="AC654" s="304">
        <v>4242192426</v>
      </c>
      <c r="AD654" s="304"/>
      <c r="AE654" s="304"/>
      <c r="AF654" s="304"/>
      <c r="AG654" s="296"/>
      <c r="AH654" s="296"/>
      <c r="AI654" s="297"/>
      <c r="AJ654" s="298">
        <v>43734</v>
      </c>
      <c r="AK654" s="297" t="s">
        <v>2742</v>
      </c>
      <c r="AL654" s="297" t="s">
        <v>2743</v>
      </c>
      <c r="AM654" s="296" t="s">
        <v>49</v>
      </c>
      <c r="AN654" s="296" t="s">
        <v>284</v>
      </c>
      <c r="AO654" s="296" t="s">
        <v>50</v>
      </c>
      <c r="AP654" s="296" t="s">
        <v>51</v>
      </c>
      <c r="AQ654" s="234" t="s">
        <v>506</v>
      </c>
    </row>
    <row r="655" spans="1:43" ht="15.75" customHeight="1">
      <c r="A655" s="69">
        <v>43663</v>
      </c>
      <c r="B655" s="70" t="s">
        <v>1236</v>
      </c>
      <c r="C655" s="21" t="s">
        <v>1329</v>
      </c>
      <c r="D655" s="491" t="s">
        <v>1330</v>
      </c>
      <c r="E655" s="32" t="s">
        <v>1333</v>
      </c>
      <c r="F655" s="296">
        <v>13</v>
      </c>
      <c r="G655" s="74">
        <v>54</v>
      </c>
      <c r="H655" s="26">
        <f t="shared" si="57"/>
        <v>702</v>
      </c>
      <c r="I655" s="61" t="s">
        <v>104</v>
      </c>
      <c r="J655" s="63" t="s">
        <v>532</v>
      </c>
      <c r="K655" s="29">
        <v>43684</v>
      </c>
      <c r="L655" s="29"/>
      <c r="M655" s="30">
        <v>43669</v>
      </c>
      <c r="N655" s="50" t="s">
        <v>2035</v>
      </c>
      <c r="O655" s="32" t="s">
        <v>2796</v>
      </c>
      <c r="P655" s="406"/>
      <c r="Q655" s="406">
        <f>(P655*F655)*1.05</f>
        <v>0</v>
      </c>
      <c r="R655" s="406"/>
      <c r="S655" s="406"/>
      <c r="T655" s="406">
        <v>1180</v>
      </c>
      <c r="U655" s="406">
        <f>(T655*F655)*1.05</f>
        <v>16107</v>
      </c>
      <c r="V655" s="51" t="s">
        <v>1954</v>
      </c>
      <c r="W655" s="460">
        <v>43682</v>
      </c>
      <c r="X655" s="460">
        <v>43668</v>
      </c>
      <c r="Y655" s="304" t="s">
        <v>1334</v>
      </c>
      <c r="Z655" s="304">
        <v>16107</v>
      </c>
      <c r="AA655" s="460">
        <v>43682</v>
      </c>
      <c r="AB655" s="304" t="s">
        <v>2794</v>
      </c>
      <c r="AC655" s="304">
        <v>4242192426</v>
      </c>
      <c r="AD655" s="304"/>
      <c r="AE655" s="304"/>
      <c r="AF655" s="304"/>
      <c r="AG655" s="296"/>
      <c r="AH655" s="296"/>
      <c r="AI655" s="297"/>
      <c r="AJ655" s="298">
        <v>43734</v>
      </c>
      <c r="AK655" s="297">
        <f>16628.67*30.98</f>
        <v>515156.19659999997</v>
      </c>
      <c r="AL655" s="297">
        <f>(16657-16628.67)*30.98</f>
        <v>877.66340000005414</v>
      </c>
      <c r="AM655" s="296" t="s">
        <v>49</v>
      </c>
      <c r="AN655" s="296" t="s">
        <v>284</v>
      </c>
      <c r="AO655" s="296" t="s">
        <v>50</v>
      </c>
      <c r="AP655" s="296" t="s">
        <v>51</v>
      </c>
      <c r="AQ655" s="234" t="s">
        <v>506</v>
      </c>
    </row>
    <row r="656" spans="1:43" ht="15.75" customHeight="1">
      <c r="A656" s="69">
        <v>43664</v>
      </c>
      <c r="B656" s="70" t="s">
        <v>1236</v>
      </c>
      <c r="C656" s="506" t="s">
        <v>1237</v>
      </c>
      <c r="D656" s="21" t="s">
        <v>1335</v>
      </c>
      <c r="E656" s="32" t="s">
        <v>346</v>
      </c>
      <c r="F656" s="24">
        <v>1</v>
      </c>
      <c r="G656" s="48">
        <v>252</v>
      </c>
      <c r="H656" s="26">
        <f t="shared" si="57"/>
        <v>252</v>
      </c>
      <c r="I656" s="61" t="s">
        <v>104</v>
      </c>
      <c r="J656" s="63" t="s">
        <v>1336</v>
      </c>
      <c r="K656" s="29">
        <v>43668</v>
      </c>
      <c r="L656" s="29"/>
      <c r="M656" s="29"/>
      <c r="N656" s="50" t="s">
        <v>262</v>
      </c>
      <c r="O656" s="93"/>
      <c r="P656" s="406"/>
      <c r="Q656" s="406"/>
      <c r="R656" s="406"/>
      <c r="S656" s="406"/>
      <c r="T656" s="406"/>
      <c r="U656" s="406">
        <v>5439</v>
      </c>
      <c r="V656" s="51"/>
      <c r="W656" s="460">
        <v>43738</v>
      </c>
      <c r="X656" s="460">
        <v>43672</v>
      </c>
      <c r="Y656" s="304" t="s">
        <v>1337</v>
      </c>
      <c r="Z656" s="304">
        <v>5439</v>
      </c>
      <c r="AA656" s="460">
        <v>43710</v>
      </c>
      <c r="AB656" s="304"/>
      <c r="AC656" s="304"/>
      <c r="AD656" s="304"/>
      <c r="AE656" s="304"/>
      <c r="AF656" s="304"/>
      <c r="AG656" s="296"/>
      <c r="AH656" s="296"/>
      <c r="AI656" s="297"/>
      <c r="AJ656" s="298">
        <v>43704</v>
      </c>
      <c r="AK656" s="297" t="s">
        <v>2626</v>
      </c>
      <c r="AL656" s="297" t="s">
        <v>2627</v>
      </c>
      <c r="AM656" s="296" t="s">
        <v>49</v>
      </c>
      <c r="AN656" s="296" t="s">
        <v>284</v>
      </c>
      <c r="AO656" s="296" t="s">
        <v>50</v>
      </c>
      <c r="AP656" s="296" t="s">
        <v>51</v>
      </c>
      <c r="AQ656" s="234" t="s">
        <v>506</v>
      </c>
    </row>
    <row r="657" spans="1:43" ht="15.75" customHeight="1">
      <c r="A657" s="69">
        <v>43665</v>
      </c>
      <c r="B657" s="70" t="s">
        <v>222</v>
      </c>
      <c r="C657" s="21" t="s">
        <v>1338</v>
      </c>
      <c r="D657" s="21" t="s">
        <v>1339</v>
      </c>
      <c r="E657" s="32" t="s">
        <v>1340</v>
      </c>
      <c r="F657" s="24">
        <v>10</v>
      </c>
      <c r="G657" s="48">
        <f>90*1.05</f>
        <v>94.5</v>
      </c>
      <c r="H657" s="60">
        <f t="shared" si="57"/>
        <v>945</v>
      </c>
      <c r="I657" s="61" t="s">
        <v>143</v>
      </c>
      <c r="J657" s="63" t="s">
        <v>89</v>
      </c>
      <c r="K657" s="30">
        <v>43675</v>
      </c>
      <c r="L657" s="30"/>
      <c r="M657" s="30">
        <v>43675</v>
      </c>
      <c r="N657" s="50" t="s">
        <v>89</v>
      </c>
      <c r="O657" s="93" t="s">
        <v>2797</v>
      </c>
      <c r="P657" s="406">
        <v>82</v>
      </c>
      <c r="Q657" s="406">
        <f t="shared" ref="Q657:Q675" si="58">(P657*F657)*1.05</f>
        <v>861</v>
      </c>
      <c r="R657" s="406"/>
      <c r="S657" s="406"/>
      <c r="T657" s="406"/>
      <c r="U657" s="406">
        <v>26683</v>
      </c>
      <c r="V657" s="35" t="s">
        <v>93</v>
      </c>
      <c r="W657" s="460">
        <v>43738</v>
      </c>
      <c r="X657" s="460">
        <v>43672</v>
      </c>
      <c r="Y657" s="304" t="s">
        <v>1341</v>
      </c>
      <c r="Z657" s="304">
        <v>31824</v>
      </c>
      <c r="AA657" s="460">
        <v>43739</v>
      </c>
      <c r="AB657" s="304" t="s">
        <v>2798</v>
      </c>
      <c r="AC657" s="304"/>
      <c r="AD657" s="304">
        <v>31.08</v>
      </c>
      <c r="AE657" s="304">
        <v>35049</v>
      </c>
      <c r="AF657" s="460">
        <v>43675</v>
      </c>
      <c r="AG657" s="296"/>
      <c r="AH657" s="296"/>
      <c r="AI657" s="297"/>
      <c r="AJ657" s="298">
        <v>43718</v>
      </c>
      <c r="AK657" s="297">
        <v>108650</v>
      </c>
      <c r="AL657" s="297">
        <v>15</v>
      </c>
      <c r="AM657" s="296" t="s">
        <v>49</v>
      </c>
      <c r="AN657" s="296" t="s">
        <v>284</v>
      </c>
      <c r="AO657" s="296" t="s">
        <v>50</v>
      </c>
      <c r="AP657" s="296" t="s">
        <v>376</v>
      </c>
      <c r="AQ657" s="234" t="s">
        <v>506</v>
      </c>
    </row>
    <row r="658" spans="1:43" ht="15.75" customHeight="1">
      <c r="A658" s="69">
        <v>43665</v>
      </c>
      <c r="B658" s="70" t="s">
        <v>222</v>
      </c>
      <c r="C658" s="21" t="s">
        <v>1338</v>
      </c>
      <c r="D658" s="21" t="s">
        <v>1339</v>
      </c>
      <c r="E658" s="32" t="s">
        <v>1342</v>
      </c>
      <c r="F658" s="24">
        <v>2</v>
      </c>
      <c r="G658" s="48">
        <f>87*1.05</f>
        <v>91.350000000000009</v>
      </c>
      <c r="H658" s="60">
        <f t="shared" si="57"/>
        <v>182.70000000000002</v>
      </c>
      <c r="I658" s="61" t="s">
        <v>143</v>
      </c>
      <c r="J658" s="63" t="s">
        <v>89</v>
      </c>
      <c r="K658" s="30">
        <v>43675</v>
      </c>
      <c r="L658" s="30"/>
      <c r="M658" s="30">
        <v>43675</v>
      </c>
      <c r="N658" s="50" t="s">
        <v>89</v>
      </c>
      <c r="O658" s="93" t="s">
        <v>2797</v>
      </c>
      <c r="P658" s="406">
        <v>79</v>
      </c>
      <c r="Q658" s="406">
        <f t="shared" si="58"/>
        <v>165.9</v>
      </c>
      <c r="R658" s="406"/>
      <c r="S658" s="406"/>
      <c r="T658" s="406"/>
      <c r="U658" s="406">
        <v>5141</v>
      </c>
      <c r="V658" s="35" t="s">
        <v>93</v>
      </c>
      <c r="W658" s="460">
        <v>43738</v>
      </c>
      <c r="X658" s="460">
        <v>43672</v>
      </c>
      <c r="Y658" s="304" t="s">
        <v>1341</v>
      </c>
      <c r="Z658" s="304" t="s">
        <v>2799</v>
      </c>
      <c r="AA658" s="460">
        <v>43739</v>
      </c>
      <c r="AB658" s="304" t="s">
        <v>2798</v>
      </c>
      <c r="AC658" s="304" t="s">
        <v>2800</v>
      </c>
      <c r="AD658" s="304">
        <v>31.08</v>
      </c>
      <c r="AE658" s="304" t="s">
        <v>2801</v>
      </c>
      <c r="AF658" s="460">
        <v>43675</v>
      </c>
      <c r="AG658" s="296"/>
      <c r="AH658" s="296"/>
      <c r="AI658" s="297"/>
      <c r="AJ658" s="298">
        <v>43718</v>
      </c>
      <c r="AK658" s="297" t="s">
        <v>2802</v>
      </c>
      <c r="AL658" s="297" t="s">
        <v>2803</v>
      </c>
      <c r="AM658" s="296" t="s">
        <v>49</v>
      </c>
      <c r="AN658" s="296" t="s">
        <v>284</v>
      </c>
      <c r="AO658" s="296" t="s">
        <v>50</v>
      </c>
      <c r="AP658" s="296" t="s">
        <v>376</v>
      </c>
      <c r="AQ658" s="234" t="s">
        <v>506</v>
      </c>
    </row>
    <row r="659" spans="1:43" ht="15.75" customHeight="1">
      <c r="A659" s="69">
        <v>43665</v>
      </c>
      <c r="B659" s="144" t="s">
        <v>377</v>
      </c>
      <c r="C659" s="21" t="s">
        <v>1343</v>
      </c>
      <c r="D659" s="21" t="s">
        <v>1344</v>
      </c>
      <c r="E659" s="32" t="s">
        <v>1345</v>
      </c>
      <c r="F659" s="24">
        <v>3</v>
      </c>
      <c r="G659" s="48">
        <v>0</v>
      </c>
      <c r="H659" s="60">
        <f t="shared" si="57"/>
        <v>0</v>
      </c>
      <c r="I659" s="61" t="s">
        <v>143</v>
      </c>
      <c r="J659" s="58" t="s">
        <v>1107</v>
      </c>
      <c r="K659" s="30">
        <v>43804</v>
      </c>
      <c r="L659" s="30"/>
      <c r="M659" s="30">
        <v>43724</v>
      </c>
      <c r="N659" s="50" t="s">
        <v>2804</v>
      </c>
      <c r="O659" s="93"/>
      <c r="P659" s="406"/>
      <c r="Q659" s="22">
        <f t="shared" si="58"/>
        <v>0</v>
      </c>
      <c r="R659" s="22"/>
      <c r="S659" s="22"/>
      <c r="T659" s="22"/>
      <c r="U659" s="684">
        <f>(T659*H659)*1.05</f>
        <v>0</v>
      </c>
      <c r="V659" s="501"/>
      <c r="W659" s="304"/>
      <c r="X659" s="304"/>
      <c r="Y659" s="304"/>
      <c r="Z659" s="304"/>
      <c r="AA659" s="304"/>
      <c r="AB659" s="304" t="s">
        <v>2805</v>
      </c>
      <c r="AC659" s="304" t="s">
        <v>2806</v>
      </c>
      <c r="AD659" s="304"/>
      <c r="AE659" s="304"/>
      <c r="AF659" s="304"/>
      <c r="AG659" s="296"/>
      <c r="AH659" s="296"/>
      <c r="AI659" s="297"/>
      <c r="AJ659" s="296" t="s">
        <v>1212</v>
      </c>
      <c r="AK659" s="296" t="s">
        <v>1212</v>
      </c>
      <c r="AL659" s="296" t="s">
        <v>1212</v>
      </c>
      <c r="AM659" s="296" t="s">
        <v>1212</v>
      </c>
      <c r="AN659" s="82" t="s">
        <v>284</v>
      </c>
      <c r="AO659" s="296" t="s">
        <v>285</v>
      </c>
      <c r="AP659" s="296" t="s">
        <v>51</v>
      </c>
      <c r="AQ659" s="296" t="s">
        <v>1346</v>
      </c>
    </row>
    <row r="660" spans="1:43" ht="15.75" customHeight="1">
      <c r="A660" s="69">
        <v>43665</v>
      </c>
      <c r="B660" s="144" t="s">
        <v>377</v>
      </c>
      <c r="C660" s="21" t="s">
        <v>1343</v>
      </c>
      <c r="D660" s="21" t="s">
        <v>1347</v>
      </c>
      <c r="E660" s="32" t="s">
        <v>1348</v>
      </c>
      <c r="F660" s="24">
        <v>3</v>
      </c>
      <c r="G660" s="48">
        <v>76</v>
      </c>
      <c r="H660" s="60">
        <f t="shared" si="57"/>
        <v>228</v>
      </c>
      <c r="I660" s="61" t="s">
        <v>143</v>
      </c>
      <c r="J660" s="58" t="s">
        <v>1107</v>
      </c>
      <c r="K660" s="30">
        <v>43804</v>
      </c>
      <c r="L660" s="30"/>
      <c r="M660" s="30">
        <v>43781</v>
      </c>
      <c r="N660" s="50" t="s">
        <v>254</v>
      </c>
      <c r="O660" s="93" t="s">
        <v>2807</v>
      </c>
      <c r="P660" s="406"/>
      <c r="Q660" s="22">
        <f t="shared" si="58"/>
        <v>0</v>
      </c>
      <c r="R660" s="22"/>
      <c r="S660" s="22"/>
      <c r="T660" s="22">
        <v>1390</v>
      </c>
      <c r="U660" s="685">
        <f>(T660*F660)*1.05</f>
        <v>4378.5</v>
      </c>
      <c r="V660" s="70" t="s">
        <v>256</v>
      </c>
      <c r="W660" s="460"/>
      <c r="X660" s="460"/>
      <c r="Y660" s="304"/>
      <c r="Z660" s="304"/>
      <c r="AA660" s="304"/>
      <c r="AB660" s="304" t="s">
        <v>2805</v>
      </c>
      <c r="AC660" s="304" t="s">
        <v>2808</v>
      </c>
      <c r="AD660" s="304"/>
      <c r="AE660" s="304"/>
      <c r="AF660" s="304"/>
      <c r="AG660" s="296"/>
      <c r="AH660" s="296"/>
      <c r="AI660" s="297"/>
      <c r="AJ660" s="298">
        <v>43672</v>
      </c>
      <c r="AK660" s="297" t="s">
        <v>2599</v>
      </c>
      <c r="AL660" s="297" t="s">
        <v>2600</v>
      </c>
      <c r="AM660" s="296" t="s">
        <v>49</v>
      </c>
      <c r="AN660" s="82" t="s">
        <v>284</v>
      </c>
      <c r="AO660" s="296" t="s">
        <v>285</v>
      </c>
      <c r="AP660" s="296" t="s">
        <v>51</v>
      </c>
      <c r="AQ660" s="296" t="s">
        <v>1346</v>
      </c>
    </row>
    <row r="661" spans="1:43" ht="15.75" customHeight="1">
      <c r="A661" s="69">
        <v>43665</v>
      </c>
      <c r="B661" s="144" t="s">
        <v>377</v>
      </c>
      <c r="C661" s="21" t="s">
        <v>1343</v>
      </c>
      <c r="D661" s="21" t="s">
        <v>1347</v>
      </c>
      <c r="E661" s="32" t="s">
        <v>1349</v>
      </c>
      <c r="F661" s="24">
        <v>3</v>
      </c>
      <c r="G661" s="48">
        <v>100</v>
      </c>
      <c r="H661" s="60">
        <f t="shared" si="57"/>
        <v>300</v>
      </c>
      <c r="I661" s="61" t="s">
        <v>143</v>
      </c>
      <c r="J661" s="58" t="s">
        <v>1107</v>
      </c>
      <c r="K661" s="30">
        <v>43804</v>
      </c>
      <c r="L661" s="30"/>
      <c r="M661" s="30">
        <v>43797</v>
      </c>
      <c r="N661" s="82" t="s">
        <v>2021</v>
      </c>
      <c r="O661" s="93" t="s">
        <v>2809</v>
      </c>
      <c r="P661" s="406"/>
      <c r="Q661" s="22">
        <f t="shared" si="58"/>
        <v>0</v>
      </c>
      <c r="R661" s="22"/>
      <c r="S661" s="22"/>
      <c r="T661" s="22">
        <v>2100</v>
      </c>
      <c r="U661" s="684">
        <f>(T661*F661)*1.05</f>
        <v>6615</v>
      </c>
      <c r="V661" s="21" t="s">
        <v>2023</v>
      </c>
      <c r="W661" s="304"/>
      <c r="X661" s="304"/>
      <c r="Y661" s="304"/>
      <c r="Z661" s="304"/>
      <c r="AA661" s="304"/>
      <c r="AB661" s="304" t="s">
        <v>2805</v>
      </c>
      <c r="AC661" s="304" t="s">
        <v>2808</v>
      </c>
      <c r="AD661" s="304"/>
      <c r="AE661" s="304"/>
      <c r="AF661" s="304"/>
      <c r="AG661" s="296"/>
      <c r="AH661" s="296"/>
      <c r="AI661" s="297"/>
      <c r="AJ661" s="298">
        <v>43837</v>
      </c>
      <c r="AK661" s="297">
        <f>3231.34*30.013</f>
        <v>96982.207420000006</v>
      </c>
      <c r="AL661" s="297">
        <f>(3248-3231.34)*30.013</f>
        <v>500.01657999999566</v>
      </c>
      <c r="AM661" s="296" t="s">
        <v>49</v>
      </c>
      <c r="AN661" s="82" t="s">
        <v>284</v>
      </c>
      <c r="AO661" s="296" t="s">
        <v>285</v>
      </c>
      <c r="AP661" s="296" t="s">
        <v>51</v>
      </c>
      <c r="AQ661" s="296" t="s">
        <v>1346</v>
      </c>
    </row>
    <row r="662" spans="1:43" ht="15.75" customHeight="1">
      <c r="A662" s="69">
        <v>43665</v>
      </c>
      <c r="B662" s="144" t="s">
        <v>377</v>
      </c>
      <c r="C662" s="21" t="s">
        <v>1343</v>
      </c>
      <c r="D662" s="475" t="s">
        <v>1350</v>
      </c>
      <c r="E662" s="32" t="s">
        <v>1351</v>
      </c>
      <c r="F662" s="24">
        <v>3</v>
      </c>
      <c r="G662" s="48">
        <v>25</v>
      </c>
      <c r="H662" s="60">
        <f t="shared" si="57"/>
        <v>75</v>
      </c>
      <c r="I662" s="61" t="s">
        <v>143</v>
      </c>
      <c r="J662" s="58" t="s">
        <v>1107</v>
      </c>
      <c r="K662" s="30">
        <v>43804</v>
      </c>
      <c r="L662" s="30"/>
      <c r="M662" s="30">
        <v>43781</v>
      </c>
      <c r="N662" s="50" t="s">
        <v>254</v>
      </c>
      <c r="O662" s="93" t="s">
        <v>2810</v>
      </c>
      <c r="P662" s="406">
        <v>15</v>
      </c>
      <c r="Q662" s="22">
        <f t="shared" si="58"/>
        <v>47.25</v>
      </c>
      <c r="R662" s="22"/>
      <c r="S662" s="22"/>
      <c r="T662" s="406">
        <f t="shared" ref="T662:T663" si="59">P662*30.5</f>
        <v>457.5</v>
      </c>
      <c r="U662" s="686">
        <f>(T662*F662)*1.05</f>
        <v>1441.125</v>
      </c>
      <c r="V662" s="70" t="s">
        <v>2023</v>
      </c>
      <c r="W662" s="304"/>
      <c r="X662" s="304"/>
      <c r="Y662" s="304"/>
      <c r="Z662" s="304"/>
      <c r="AA662" s="304"/>
      <c r="AB662" s="304" t="s">
        <v>2805</v>
      </c>
      <c r="AC662" s="304" t="s">
        <v>2808</v>
      </c>
      <c r="AD662" s="304"/>
      <c r="AE662" s="304"/>
      <c r="AF662" s="304"/>
      <c r="AG662" s="296"/>
      <c r="AH662" s="296"/>
      <c r="AI662" s="297"/>
      <c r="AJ662" s="298">
        <v>43837</v>
      </c>
      <c r="AK662" s="297" t="s">
        <v>2811</v>
      </c>
      <c r="AL662" s="297" t="s">
        <v>2812</v>
      </c>
      <c r="AM662" s="296" t="s">
        <v>49</v>
      </c>
      <c r="AN662" s="82" t="s">
        <v>284</v>
      </c>
      <c r="AO662" s="296" t="s">
        <v>285</v>
      </c>
      <c r="AP662" s="296" t="s">
        <v>51</v>
      </c>
      <c r="AQ662" s="296" t="s">
        <v>1346</v>
      </c>
    </row>
    <row r="663" spans="1:43" ht="15.75" customHeight="1">
      <c r="A663" s="69">
        <v>43665</v>
      </c>
      <c r="B663" s="144" t="s">
        <v>377</v>
      </c>
      <c r="C663" s="21" t="s">
        <v>1343</v>
      </c>
      <c r="D663" s="21" t="s">
        <v>1352</v>
      </c>
      <c r="E663" s="32" t="s">
        <v>1353</v>
      </c>
      <c r="F663" s="24">
        <v>1</v>
      </c>
      <c r="G663" s="48">
        <v>1600</v>
      </c>
      <c r="H663" s="60">
        <f t="shared" si="57"/>
        <v>1600</v>
      </c>
      <c r="I663" s="61" t="s">
        <v>143</v>
      </c>
      <c r="J663" s="58" t="s">
        <v>1107</v>
      </c>
      <c r="K663" s="30">
        <v>43762</v>
      </c>
      <c r="L663" s="30"/>
      <c r="M663" s="441" t="s">
        <v>70</v>
      </c>
      <c r="N663" s="50" t="s">
        <v>254</v>
      </c>
      <c r="O663" s="93" t="s">
        <v>2807</v>
      </c>
      <c r="P663" s="406">
        <v>500</v>
      </c>
      <c r="Q663" s="406">
        <f t="shared" si="58"/>
        <v>525</v>
      </c>
      <c r="R663" s="406"/>
      <c r="S663" s="406"/>
      <c r="T663" s="620">
        <f t="shared" si="59"/>
        <v>15250</v>
      </c>
      <c r="U663" s="687">
        <v>16013</v>
      </c>
      <c r="V663" s="70" t="s">
        <v>256</v>
      </c>
      <c r="W663" s="304"/>
      <c r="X663" s="304"/>
      <c r="Y663" s="304"/>
      <c r="Z663" s="304"/>
      <c r="AA663" s="304"/>
      <c r="AB663" s="304" t="s">
        <v>2813</v>
      </c>
      <c r="AC663" s="304" t="s">
        <v>2814</v>
      </c>
      <c r="AD663" s="304"/>
      <c r="AE663" s="304"/>
      <c r="AF663" s="304"/>
      <c r="AG663" s="296"/>
      <c r="AH663" s="296"/>
      <c r="AI663" s="297"/>
      <c r="AJ663" s="298">
        <v>43672</v>
      </c>
      <c r="AK663" s="297" t="s">
        <v>2599</v>
      </c>
      <c r="AL663" s="297" t="s">
        <v>2600</v>
      </c>
      <c r="AM663" s="296" t="s">
        <v>49</v>
      </c>
      <c r="AN663" s="296" t="s">
        <v>284</v>
      </c>
      <c r="AO663" s="296" t="s">
        <v>285</v>
      </c>
      <c r="AP663" s="296" t="s">
        <v>51</v>
      </c>
      <c r="AQ663" s="82" t="s">
        <v>755</v>
      </c>
    </row>
    <row r="664" spans="1:43" ht="15.75" customHeight="1">
      <c r="A664" s="69">
        <v>43665</v>
      </c>
      <c r="B664" s="144" t="s">
        <v>377</v>
      </c>
      <c r="C664" s="21" t="s">
        <v>1343</v>
      </c>
      <c r="D664" s="21" t="s">
        <v>1354</v>
      </c>
      <c r="E664" s="32" t="s">
        <v>1349</v>
      </c>
      <c r="F664" s="24">
        <v>4</v>
      </c>
      <c r="G664" s="48">
        <v>100</v>
      </c>
      <c r="H664" s="60">
        <f t="shared" si="57"/>
        <v>400</v>
      </c>
      <c r="I664" s="61" t="s">
        <v>143</v>
      </c>
      <c r="J664" s="58" t="s">
        <v>1107</v>
      </c>
      <c r="K664" s="30">
        <v>43762</v>
      </c>
      <c r="L664" s="30"/>
      <c r="M664" s="30">
        <v>43760</v>
      </c>
      <c r="N664" s="82" t="s">
        <v>2021</v>
      </c>
      <c r="O664" s="93" t="s">
        <v>2815</v>
      </c>
      <c r="P664" s="22"/>
      <c r="Q664" s="22">
        <f t="shared" si="58"/>
        <v>0</v>
      </c>
      <c r="R664" s="22"/>
      <c r="S664" s="22"/>
      <c r="T664" s="22">
        <v>2100</v>
      </c>
      <c r="U664" s="22">
        <f>(T664*F664)*1.05</f>
        <v>8820</v>
      </c>
      <c r="V664" s="21" t="s">
        <v>2023</v>
      </c>
      <c r="W664" s="460">
        <v>43774</v>
      </c>
      <c r="X664" s="303">
        <v>43759</v>
      </c>
      <c r="Y664" s="304" t="s">
        <v>1355</v>
      </c>
      <c r="Z664" s="304">
        <v>11970</v>
      </c>
      <c r="AA664" s="304"/>
      <c r="AB664" s="304" t="s">
        <v>2813</v>
      </c>
      <c r="AC664" s="304" t="s">
        <v>2814</v>
      </c>
      <c r="AD664" s="304"/>
      <c r="AE664" s="304"/>
      <c r="AF664" s="304"/>
      <c r="AG664" s="296"/>
      <c r="AH664" s="296"/>
      <c r="AI664" s="297"/>
      <c r="AJ664" s="298">
        <v>43777</v>
      </c>
      <c r="AK664" s="297" t="s">
        <v>2816</v>
      </c>
      <c r="AL664" s="297" t="s">
        <v>2817</v>
      </c>
      <c r="AM664" s="296" t="s">
        <v>49</v>
      </c>
      <c r="AN664" s="296" t="s">
        <v>284</v>
      </c>
      <c r="AO664" s="296" t="s">
        <v>285</v>
      </c>
      <c r="AP664" s="296" t="s">
        <v>51</v>
      </c>
      <c r="AQ664" s="82" t="s">
        <v>755</v>
      </c>
    </row>
    <row r="665" spans="1:43" ht="15.75" customHeight="1">
      <c r="A665" s="69">
        <v>43665</v>
      </c>
      <c r="B665" s="144" t="s">
        <v>377</v>
      </c>
      <c r="C665" s="21" t="s">
        <v>1343</v>
      </c>
      <c r="D665" s="21" t="s">
        <v>1356</v>
      </c>
      <c r="E665" s="32" t="s">
        <v>1357</v>
      </c>
      <c r="F665" s="24">
        <v>4</v>
      </c>
      <c r="G665" s="48">
        <v>0</v>
      </c>
      <c r="H665" s="60">
        <f t="shared" si="57"/>
        <v>0</v>
      </c>
      <c r="I665" s="61" t="s">
        <v>143</v>
      </c>
      <c r="J665" s="161" t="s">
        <v>1107</v>
      </c>
      <c r="K665" s="30">
        <v>43762</v>
      </c>
      <c r="L665" s="30"/>
      <c r="M665" s="30">
        <v>43724</v>
      </c>
      <c r="N665" s="63" t="s">
        <v>2804</v>
      </c>
      <c r="O665" s="64"/>
      <c r="P665" s="34"/>
      <c r="Q665" s="34">
        <f t="shared" si="58"/>
        <v>0</v>
      </c>
      <c r="R665" s="34"/>
      <c r="S665" s="34"/>
      <c r="T665" s="41"/>
      <c r="U665" s="41">
        <f>(T665*H665)*1.05</f>
        <v>0</v>
      </c>
      <c r="V665" s="76"/>
      <c r="W665" s="52"/>
      <c r="X665" s="53"/>
      <c r="Y665" s="53"/>
      <c r="Z665" s="53"/>
      <c r="AA665" s="53"/>
      <c r="AB665" s="53" t="s">
        <v>2813</v>
      </c>
      <c r="AC665" s="53" t="s">
        <v>2814</v>
      </c>
      <c r="AD665" s="53"/>
      <c r="AE665" s="53"/>
      <c r="AF665" s="53"/>
      <c r="AG665" s="54"/>
      <c r="AH665" s="54"/>
      <c r="AI665" s="55"/>
      <c r="AJ665" s="296" t="s">
        <v>1212</v>
      </c>
      <c r="AK665" s="55"/>
      <c r="AL665" s="55"/>
      <c r="AM665" s="296" t="s">
        <v>1212</v>
      </c>
      <c r="AN665" s="54" t="s">
        <v>284</v>
      </c>
      <c r="AO665" s="54"/>
      <c r="AP665" s="54"/>
      <c r="AQ665" s="54"/>
    </row>
    <row r="666" spans="1:43" ht="15.75" customHeight="1">
      <c r="A666" s="69">
        <v>43665</v>
      </c>
      <c r="B666" s="144" t="s">
        <v>377</v>
      </c>
      <c r="C666" s="21" t="s">
        <v>1343</v>
      </c>
      <c r="D666" s="21" t="s">
        <v>1358</v>
      </c>
      <c r="E666" s="32" t="s">
        <v>1348</v>
      </c>
      <c r="F666" s="24">
        <v>4</v>
      </c>
      <c r="G666" s="48">
        <v>76</v>
      </c>
      <c r="H666" s="60">
        <f t="shared" si="57"/>
        <v>304</v>
      </c>
      <c r="I666" s="61" t="s">
        <v>143</v>
      </c>
      <c r="J666" s="58" t="s">
        <v>1107</v>
      </c>
      <c r="K666" s="30">
        <v>43762</v>
      </c>
      <c r="L666" s="30"/>
      <c r="M666" s="30">
        <v>43728</v>
      </c>
      <c r="N666" s="50" t="s">
        <v>254</v>
      </c>
      <c r="O666" s="93" t="s">
        <v>2807</v>
      </c>
      <c r="P666" s="406"/>
      <c r="Q666" s="406">
        <f t="shared" si="58"/>
        <v>0</v>
      </c>
      <c r="R666" s="406"/>
      <c r="S666" s="406"/>
      <c r="T666" s="22">
        <v>1390</v>
      </c>
      <c r="U666" s="687">
        <v>5838</v>
      </c>
      <c r="V666" s="70" t="s">
        <v>256</v>
      </c>
      <c r="W666" s="460">
        <v>43743</v>
      </c>
      <c r="X666" s="460">
        <v>43728</v>
      </c>
      <c r="Y666" s="304" t="s">
        <v>1359</v>
      </c>
      <c r="Z666" s="304" t="s">
        <v>1360</v>
      </c>
      <c r="AA666" s="460">
        <v>43743</v>
      </c>
      <c r="AB666" s="304" t="s">
        <v>2813</v>
      </c>
      <c r="AC666" s="304" t="s">
        <v>2814</v>
      </c>
      <c r="AD666" s="304"/>
      <c r="AE666" s="304"/>
      <c r="AF666" s="304"/>
      <c r="AG666" s="296"/>
      <c r="AH666" s="296"/>
      <c r="AI666" s="297"/>
      <c r="AJ666" s="298">
        <v>43672</v>
      </c>
      <c r="AK666" s="297" t="s">
        <v>2599</v>
      </c>
      <c r="AL666" s="297" t="s">
        <v>2600</v>
      </c>
      <c r="AM666" s="296" t="s">
        <v>49</v>
      </c>
      <c r="AN666" s="296" t="s">
        <v>284</v>
      </c>
      <c r="AO666" s="296" t="s">
        <v>285</v>
      </c>
      <c r="AP666" s="296" t="s">
        <v>51</v>
      </c>
      <c r="AQ666" s="82" t="s">
        <v>755</v>
      </c>
    </row>
    <row r="667" spans="1:43" ht="15.75" customHeight="1">
      <c r="A667" s="69">
        <v>43665</v>
      </c>
      <c r="B667" s="144" t="s">
        <v>377</v>
      </c>
      <c r="C667" s="21" t="s">
        <v>1343</v>
      </c>
      <c r="D667" s="21" t="s">
        <v>1361</v>
      </c>
      <c r="E667" s="32" t="s">
        <v>1353</v>
      </c>
      <c r="F667" s="24">
        <v>1</v>
      </c>
      <c r="G667" s="48">
        <v>1600</v>
      </c>
      <c r="H667" s="60">
        <f t="shared" si="57"/>
        <v>1600</v>
      </c>
      <c r="I667" s="61" t="s">
        <v>143</v>
      </c>
      <c r="J667" s="161" t="s">
        <v>1362</v>
      </c>
      <c r="K667" s="30">
        <v>43753</v>
      </c>
      <c r="L667" s="30"/>
      <c r="M667" s="30">
        <v>43731</v>
      </c>
      <c r="N667" s="63" t="s">
        <v>254</v>
      </c>
      <c r="O667" s="93" t="s">
        <v>2818</v>
      </c>
      <c r="P667" s="34">
        <v>500</v>
      </c>
      <c r="Q667" s="34">
        <f t="shared" si="58"/>
        <v>525</v>
      </c>
      <c r="R667" s="34"/>
      <c r="S667" s="34"/>
      <c r="T667" s="65">
        <f>P667*30.5</f>
        <v>15250</v>
      </c>
      <c r="U667" s="65">
        <f>(T667*F667)*1.05</f>
        <v>16012.5</v>
      </c>
      <c r="V667" s="70" t="s">
        <v>256</v>
      </c>
      <c r="W667" s="52"/>
      <c r="X667" s="53"/>
      <c r="Y667" s="53"/>
      <c r="Z667" s="53"/>
      <c r="AA667" s="53"/>
      <c r="AB667" s="53" t="s">
        <v>2819</v>
      </c>
      <c r="AC667" s="53" t="s">
        <v>2820</v>
      </c>
      <c r="AD667" s="53">
        <v>30.89</v>
      </c>
      <c r="AE667" s="53"/>
      <c r="AF667" s="53"/>
      <c r="AG667" s="54"/>
      <c r="AH667" s="54"/>
      <c r="AI667" s="55"/>
      <c r="AJ667" s="56">
        <v>43672</v>
      </c>
      <c r="AK667" s="55" t="s">
        <v>2599</v>
      </c>
      <c r="AL667" s="55" t="s">
        <v>2600</v>
      </c>
      <c r="AM667" s="54" t="s">
        <v>49</v>
      </c>
      <c r="AN667" s="54" t="s">
        <v>284</v>
      </c>
      <c r="AO667" s="54" t="s">
        <v>285</v>
      </c>
      <c r="AP667" s="54" t="s">
        <v>51</v>
      </c>
      <c r="AQ667" s="54"/>
    </row>
    <row r="668" spans="1:43" ht="15.75" customHeight="1">
      <c r="A668" s="69">
        <v>43665</v>
      </c>
      <c r="B668" s="144" t="s">
        <v>377</v>
      </c>
      <c r="C668" s="21" t="s">
        <v>1343</v>
      </c>
      <c r="D668" s="21" t="s">
        <v>1363</v>
      </c>
      <c r="E668" s="32" t="s">
        <v>1349</v>
      </c>
      <c r="F668" s="24">
        <v>9</v>
      </c>
      <c r="G668" s="48">
        <v>121</v>
      </c>
      <c r="H668" s="60">
        <f t="shared" si="57"/>
        <v>1089</v>
      </c>
      <c r="I668" s="61" t="s">
        <v>143</v>
      </c>
      <c r="J668" s="58" t="s">
        <v>1362</v>
      </c>
      <c r="K668" s="30">
        <v>43753</v>
      </c>
      <c r="L668" s="30"/>
      <c r="M668" s="30">
        <v>43747</v>
      </c>
      <c r="N668" s="82" t="s">
        <v>2021</v>
      </c>
      <c r="O668" s="93" t="s">
        <v>2821</v>
      </c>
      <c r="P668" s="406"/>
      <c r="Q668" s="406">
        <f t="shared" si="58"/>
        <v>0</v>
      </c>
      <c r="R668" s="406"/>
      <c r="S668" s="406"/>
      <c r="T668" s="22">
        <v>2600</v>
      </c>
      <c r="U668" s="688">
        <v>24570</v>
      </c>
      <c r="V668" s="417" t="s">
        <v>2023</v>
      </c>
      <c r="W668" s="460">
        <v>43774</v>
      </c>
      <c r="X668" s="460">
        <v>43746</v>
      </c>
      <c r="Y668" s="304" t="s">
        <v>1364</v>
      </c>
      <c r="Z668" s="304">
        <v>24570</v>
      </c>
      <c r="AA668" s="304"/>
      <c r="AB668" s="304" t="s">
        <v>2819</v>
      </c>
      <c r="AC668" s="304" t="s">
        <v>2820</v>
      </c>
      <c r="AD668" s="304">
        <v>30.89</v>
      </c>
      <c r="AE668" s="304"/>
      <c r="AF668" s="304"/>
      <c r="AG668" s="296"/>
      <c r="AH668" s="296"/>
      <c r="AI668" s="297"/>
      <c r="AJ668" s="298">
        <v>43777</v>
      </c>
      <c r="AK668" s="297">
        <f>2120.41*30.33</f>
        <v>64312.035299999989</v>
      </c>
      <c r="AL668" s="297">
        <f>(2134-2120.41)*30.33</f>
        <v>412.1847000000044</v>
      </c>
      <c r="AM668" s="296" t="s">
        <v>49</v>
      </c>
      <c r="AN668" s="296" t="s">
        <v>284</v>
      </c>
      <c r="AO668" s="296" t="s">
        <v>285</v>
      </c>
      <c r="AP668" s="296" t="s">
        <v>51</v>
      </c>
      <c r="AQ668" s="82" t="s">
        <v>755</v>
      </c>
    </row>
    <row r="669" spans="1:43" ht="15.75" customHeight="1">
      <c r="A669" s="69">
        <v>43665</v>
      </c>
      <c r="B669" s="144" t="s">
        <v>377</v>
      </c>
      <c r="C669" s="21" t="s">
        <v>1343</v>
      </c>
      <c r="D669" s="21" t="s">
        <v>1365</v>
      </c>
      <c r="E669" s="32" t="s">
        <v>1366</v>
      </c>
      <c r="F669" s="24">
        <v>9</v>
      </c>
      <c r="G669" s="48">
        <v>0</v>
      </c>
      <c r="H669" s="115">
        <v>0</v>
      </c>
      <c r="I669" s="61" t="s">
        <v>143</v>
      </c>
      <c r="J669" s="161" t="s">
        <v>1362</v>
      </c>
      <c r="K669" s="30">
        <v>43753</v>
      </c>
      <c r="L669" s="30"/>
      <c r="M669" s="30">
        <v>43732</v>
      </c>
      <c r="N669" s="63" t="s">
        <v>2804</v>
      </c>
      <c r="O669" s="64"/>
      <c r="P669" s="34"/>
      <c r="Q669" s="34">
        <f t="shared" si="58"/>
        <v>0</v>
      </c>
      <c r="R669" s="34"/>
      <c r="S669" s="34"/>
      <c r="T669" s="41"/>
      <c r="U669" s="41">
        <f>(T669*H669)*1.05</f>
        <v>0</v>
      </c>
      <c r="V669" s="66"/>
      <c r="W669" s="52"/>
      <c r="X669" s="53"/>
      <c r="Y669" s="53"/>
      <c r="Z669" s="53"/>
      <c r="AA669" s="53"/>
      <c r="AB669" s="53" t="s">
        <v>2819</v>
      </c>
      <c r="AC669" s="350" t="s">
        <v>2822</v>
      </c>
      <c r="AD669" s="53">
        <v>30.89</v>
      </c>
      <c r="AE669" s="53"/>
      <c r="AF669" s="53"/>
      <c r="AG669" s="54"/>
      <c r="AH669" s="54"/>
      <c r="AI669" s="55"/>
      <c r="AJ669" s="296" t="s">
        <v>1212</v>
      </c>
      <c r="AK669" s="55"/>
      <c r="AL669" s="55"/>
      <c r="AM669" s="296" t="s">
        <v>1212</v>
      </c>
      <c r="AN669" s="54" t="s">
        <v>284</v>
      </c>
      <c r="AO669" s="54" t="s">
        <v>285</v>
      </c>
      <c r="AP669" s="54" t="s">
        <v>51</v>
      </c>
      <c r="AQ669" s="54"/>
    </row>
    <row r="670" spans="1:43" ht="15.75" customHeight="1">
      <c r="A670" s="69">
        <v>43665</v>
      </c>
      <c r="B670" s="144" t="s">
        <v>377</v>
      </c>
      <c r="C670" s="21" t="s">
        <v>1343</v>
      </c>
      <c r="D670" s="21" t="s">
        <v>1367</v>
      </c>
      <c r="E670" s="32" t="s">
        <v>1368</v>
      </c>
      <c r="F670" s="24">
        <v>9</v>
      </c>
      <c r="G670" s="48">
        <v>85</v>
      </c>
      <c r="H670" s="60">
        <f>G670*F670</f>
        <v>765</v>
      </c>
      <c r="I670" s="61" t="s">
        <v>143</v>
      </c>
      <c r="J670" s="58" t="s">
        <v>1362</v>
      </c>
      <c r="K670" s="30">
        <v>43753</v>
      </c>
      <c r="L670" s="30"/>
      <c r="M670" s="30">
        <v>43731</v>
      </c>
      <c r="N670" s="50" t="s">
        <v>254</v>
      </c>
      <c r="O670" s="93" t="s">
        <v>2823</v>
      </c>
      <c r="P670" s="406"/>
      <c r="Q670" s="406">
        <f t="shared" si="58"/>
        <v>0</v>
      </c>
      <c r="R670" s="406"/>
      <c r="S670" s="406"/>
      <c r="T670" s="22">
        <v>1490</v>
      </c>
      <c r="U670" s="689">
        <v>13136</v>
      </c>
      <c r="V670" s="70" t="s">
        <v>256</v>
      </c>
      <c r="W670" s="460">
        <v>43743</v>
      </c>
      <c r="X670" s="304" t="s">
        <v>1369</v>
      </c>
      <c r="Y670" s="304" t="s">
        <v>1370</v>
      </c>
      <c r="Z670" s="304" t="s">
        <v>1371</v>
      </c>
      <c r="AA670" s="460">
        <v>43743</v>
      </c>
      <c r="AB670" s="304" t="s">
        <v>2819</v>
      </c>
      <c r="AC670" s="350" t="s">
        <v>2822</v>
      </c>
      <c r="AD670" s="304">
        <v>30.89</v>
      </c>
      <c r="AE670" s="304"/>
      <c r="AF670" s="304"/>
      <c r="AG670" s="296"/>
      <c r="AH670" s="296"/>
      <c r="AI670" s="297"/>
      <c r="AJ670" s="296" t="s">
        <v>1372</v>
      </c>
      <c r="AK670" s="297" t="s">
        <v>2824</v>
      </c>
      <c r="AL670" s="297" t="s">
        <v>2825</v>
      </c>
      <c r="AM670" s="296" t="s">
        <v>49</v>
      </c>
      <c r="AN670" s="296" t="s">
        <v>284</v>
      </c>
      <c r="AO670" s="296" t="s">
        <v>285</v>
      </c>
      <c r="AP670" s="296" t="s">
        <v>51</v>
      </c>
      <c r="AQ670" s="82" t="s">
        <v>755</v>
      </c>
    </row>
    <row r="671" spans="1:43" ht="15.75" customHeight="1">
      <c r="A671" s="69">
        <v>43665</v>
      </c>
      <c r="B671" s="144" t="s">
        <v>377</v>
      </c>
      <c r="C671" s="21" t="s">
        <v>1343</v>
      </c>
      <c r="D671" s="21" t="s">
        <v>1373</v>
      </c>
      <c r="E671" s="32" t="s">
        <v>1374</v>
      </c>
      <c r="F671" s="24">
        <v>4</v>
      </c>
      <c r="G671" s="48">
        <v>0</v>
      </c>
      <c r="H671" s="115">
        <v>0</v>
      </c>
      <c r="I671" s="61" t="s">
        <v>143</v>
      </c>
      <c r="J671" s="58" t="s">
        <v>1107</v>
      </c>
      <c r="K671" s="58" t="s">
        <v>1375</v>
      </c>
      <c r="L671" s="58"/>
      <c r="M671" s="30">
        <v>43732</v>
      </c>
      <c r="N671" s="50" t="s">
        <v>2804</v>
      </c>
      <c r="O671" s="93"/>
      <c r="P671" s="406"/>
      <c r="Q671" s="406">
        <f t="shared" si="58"/>
        <v>0</v>
      </c>
      <c r="R671" s="406"/>
      <c r="S671" s="406"/>
      <c r="T671" s="22"/>
      <c r="U671" s="684">
        <f>(T671*H671)*1.05</f>
        <v>0</v>
      </c>
      <c r="V671" s="415"/>
      <c r="W671" s="304"/>
      <c r="X671" s="304"/>
      <c r="Y671" s="304"/>
      <c r="Z671" s="304"/>
      <c r="AA671" s="304"/>
      <c r="AB671" s="304" t="s">
        <v>2826</v>
      </c>
      <c r="AC671" s="350" t="s">
        <v>2808</v>
      </c>
      <c r="AD671" s="304"/>
      <c r="AE671" s="304"/>
      <c r="AF671" s="304"/>
      <c r="AG671" s="296"/>
      <c r="AH671" s="296"/>
      <c r="AI671" s="297"/>
      <c r="AJ671" s="296" t="s">
        <v>1212</v>
      </c>
      <c r="AK671" s="297"/>
      <c r="AL671" s="297"/>
      <c r="AM671" s="296" t="s">
        <v>1212</v>
      </c>
      <c r="AN671" s="82" t="s">
        <v>284</v>
      </c>
      <c r="AO671" s="296" t="s">
        <v>285</v>
      </c>
      <c r="AP671" s="296" t="s">
        <v>51</v>
      </c>
      <c r="AQ671" s="296" t="s">
        <v>1346</v>
      </c>
    </row>
    <row r="672" spans="1:43" ht="15.75" customHeight="1">
      <c r="A672" s="69">
        <v>43665</v>
      </c>
      <c r="B672" s="144" t="s">
        <v>377</v>
      </c>
      <c r="C672" s="21" t="s">
        <v>1343</v>
      </c>
      <c r="D672" s="21" t="s">
        <v>1376</v>
      </c>
      <c r="E672" s="32" t="s">
        <v>1368</v>
      </c>
      <c r="F672" s="24">
        <v>4</v>
      </c>
      <c r="G672" s="48">
        <v>85</v>
      </c>
      <c r="H672" s="60">
        <f t="shared" ref="H672:H680" si="60">G672*F672</f>
        <v>340</v>
      </c>
      <c r="I672" s="61" t="s">
        <v>143</v>
      </c>
      <c r="J672" s="58" t="s">
        <v>1107</v>
      </c>
      <c r="K672" s="58" t="s">
        <v>1375</v>
      </c>
      <c r="L672" s="58"/>
      <c r="M672" s="82" t="s">
        <v>2827</v>
      </c>
      <c r="N672" s="50" t="s">
        <v>254</v>
      </c>
      <c r="O672" s="93" t="s">
        <v>2823</v>
      </c>
      <c r="P672" s="406"/>
      <c r="Q672" s="406">
        <f t="shared" si="58"/>
        <v>0</v>
      </c>
      <c r="R672" s="406"/>
      <c r="S672" s="406"/>
      <c r="T672" s="22">
        <v>1490</v>
      </c>
      <c r="U672" s="685">
        <f>(T672*F672)*1.05</f>
        <v>6258</v>
      </c>
      <c r="V672" s="417" t="s">
        <v>256</v>
      </c>
      <c r="W672" s="304"/>
      <c r="X672" s="304"/>
      <c r="Y672" s="304"/>
      <c r="Z672" s="304"/>
      <c r="AA672" s="304"/>
      <c r="AB672" s="304" t="s">
        <v>2828</v>
      </c>
      <c r="AC672" s="304" t="s">
        <v>2808</v>
      </c>
      <c r="AD672" s="304"/>
      <c r="AE672" s="304"/>
      <c r="AF672" s="304"/>
      <c r="AG672" s="296"/>
      <c r="AH672" s="296"/>
      <c r="AI672" s="297"/>
      <c r="AJ672" s="298">
        <v>43837</v>
      </c>
      <c r="AK672" s="297" t="s">
        <v>2811</v>
      </c>
      <c r="AL672" s="297" t="s">
        <v>2812</v>
      </c>
      <c r="AM672" s="296" t="s">
        <v>49</v>
      </c>
      <c r="AN672" s="82" t="s">
        <v>284</v>
      </c>
      <c r="AO672" s="296" t="s">
        <v>285</v>
      </c>
      <c r="AP672" s="296" t="s">
        <v>51</v>
      </c>
      <c r="AQ672" s="296" t="s">
        <v>1346</v>
      </c>
    </row>
    <row r="673" spans="1:43" ht="15.75" customHeight="1">
      <c r="A673" s="69">
        <v>43665</v>
      </c>
      <c r="B673" s="144" t="s">
        <v>377</v>
      </c>
      <c r="C673" s="21" t="s">
        <v>1343</v>
      </c>
      <c r="D673" s="21" t="s">
        <v>1377</v>
      </c>
      <c r="E673" s="32" t="s">
        <v>1349</v>
      </c>
      <c r="F673" s="24">
        <v>4</v>
      </c>
      <c r="G673" s="48">
        <v>121</v>
      </c>
      <c r="H673" s="60">
        <f t="shared" si="60"/>
        <v>484</v>
      </c>
      <c r="I673" s="61" t="s">
        <v>143</v>
      </c>
      <c r="J673" s="58" t="s">
        <v>1107</v>
      </c>
      <c r="K673" s="58" t="s">
        <v>1375</v>
      </c>
      <c r="L673" s="58"/>
      <c r="M673" s="58" t="s">
        <v>2829</v>
      </c>
      <c r="N673" s="82" t="s">
        <v>2021</v>
      </c>
      <c r="O673" s="93" t="s">
        <v>2830</v>
      </c>
      <c r="P673" s="406"/>
      <c r="Q673" s="406">
        <f t="shared" si="58"/>
        <v>0</v>
      </c>
      <c r="R673" s="406"/>
      <c r="S673" s="406"/>
      <c r="T673" s="22">
        <v>2600</v>
      </c>
      <c r="U673" s="684">
        <f>(T673*F673)*1.05</f>
        <v>10920</v>
      </c>
      <c r="V673" s="21" t="s">
        <v>2023</v>
      </c>
      <c r="W673" s="304"/>
      <c r="X673" s="460">
        <v>43777</v>
      </c>
      <c r="Y673" s="304" t="s">
        <v>1378</v>
      </c>
      <c r="Z673" s="304" t="s">
        <v>2831</v>
      </c>
      <c r="AA673" s="304"/>
      <c r="AB673" s="304" t="s">
        <v>2826</v>
      </c>
      <c r="AC673" s="304" t="s">
        <v>2808</v>
      </c>
      <c r="AD673" s="304"/>
      <c r="AE673" s="304"/>
      <c r="AF673" s="304"/>
      <c r="AG673" s="296"/>
      <c r="AH673" s="296"/>
      <c r="AI673" s="297"/>
      <c r="AJ673" s="298">
        <v>43837</v>
      </c>
      <c r="AK673" s="297" t="s">
        <v>2811</v>
      </c>
      <c r="AL673" s="297" t="s">
        <v>2812</v>
      </c>
      <c r="AM673" s="296" t="s">
        <v>49</v>
      </c>
      <c r="AN673" s="82" t="s">
        <v>284</v>
      </c>
      <c r="AO673" s="296" t="s">
        <v>285</v>
      </c>
      <c r="AP673" s="296" t="s">
        <v>51</v>
      </c>
      <c r="AQ673" s="296" t="s">
        <v>1346</v>
      </c>
    </row>
    <row r="674" spans="1:43" ht="15.75" customHeight="1">
      <c r="A674" s="69">
        <v>43665</v>
      </c>
      <c r="B674" s="70" t="s">
        <v>76</v>
      </c>
      <c r="C674" s="21">
        <v>535</v>
      </c>
      <c r="D674" s="21" t="s">
        <v>1379</v>
      </c>
      <c r="E674" s="246" t="s">
        <v>317</v>
      </c>
      <c r="F674" s="433">
        <v>20</v>
      </c>
      <c r="G674" s="48">
        <v>255</v>
      </c>
      <c r="H674" s="60">
        <f t="shared" si="60"/>
        <v>5100</v>
      </c>
      <c r="I674" s="61" t="s">
        <v>42</v>
      </c>
      <c r="J674" s="431" t="s">
        <v>922</v>
      </c>
      <c r="K674" s="29">
        <v>43700</v>
      </c>
      <c r="L674" s="29"/>
      <c r="M674" s="30">
        <v>43696</v>
      </c>
      <c r="N674" s="50" t="s">
        <v>1967</v>
      </c>
      <c r="O674" s="32" t="s">
        <v>2832</v>
      </c>
      <c r="P674" s="406">
        <v>220</v>
      </c>
      <c r="Q674" s="406">
        <f t="shared" si="58"/>
        <v>4620</v>
      </c>
      <c r="R674" s="406"/>
      <c r="S674" s="406"/>
      <c r="T674" s="406"/>
      <c r="U674" s="690">
        <v>3780</v>
      </c>
      <c r="V674" s="406" t="s">
        <v>1969</v>
      </c>
      <c r="W674" s="460">
        <v>43738</v>
      </c>
      <c r="X674" s="460">
        <v>43696</v>
      </c>
      <c r="Y674" s="304" t="s">
        <v>1380</v>
      </c>
      <c r="Z674" s="304">
        <v>144606</v>
      </c>
      <c r="AA674" s="460">
        <v>43739</v>
      </c>
      <c r="AB674" s="304" t="s">
        <v>2710</v>
      </c>
      <c r="AC674" s="296" t="s">
        <v>2711</v>
      </c>
      <c r="AD674" s="304">
        <v>31.315000000000001</v>
      </c>
      <c r="AE674" s="304"/>
      <c r="AF674" s="304"/>
      <c r="AG674" s="296"/>
      <c r="AH674" s="296"/>
      <c r="AI674" s="297"/>
      <c r="AJ674" s="298">
        <v>43731</v>
      </c>
      <c r="AK674" s="297" t="s">
        <v>2713</v>
      </c>
      <c r="AL674" s="297" t="s">
        <v>2714</v>
      </c>
      <c r="AM674" s="296" t="s">
        <v>49</v>
      </c>
      <c r="AN674" s="296" t="s">
        <v>284</v>
      </c>
      <c r="AO674" s="296" t="s">
        <v>50</v>
      </c>
      <c r="AP674" s="296" t="s">
        <v>51</v>
      </c>
      <c r="AQ674" s="296" t="s">
        <v>506</v>
      </c>
    </row>
    <row r="675" spans="1:43" ht="15.75" customHeight="1">
      <c r="A675" s="69">
        <v>43665</v>
      </c>
      <c r="B675" s="70" t="s">
        <v>76</v>
      </c>
      <c r="C675" s="21">
        <v>535</v>
      </c>
      <c r="D675" s="21" t="s">
        <v>1379</v>
      </c>
      <c r="E675" s="32" t="s">
        <v>477</v>
      </c>
      <c r="F675" s="82">
        <v>50</v>
      </c>
      <c r="G675" s="48">
        <v>2.25</v>
      </c>
      <c r="H675" s="60">
        <f t="shared" si="60"/>
        <v>112.5</v>
      </c>
      <c r="I675" s="61" t="s">
        <v>42</v>
      </c>
      <c r="J675" s="431" t="s">
        <v>922</v>
      </c>
      <c r="K675" s="29">
        <v>43700</v>
      </c>
      <c r="L675" s="29"/>
      <c r="M675" s="29">
        <v>43669</v>
      </c>
      <c r="N675" s="50" t="s">
        <v>178</v>
      </c>
      <c r="O675" s="93"/>
      <c r="P675" s="406">
        <v>72</v>
      </c>
      <c r="Q675" s="406">
        <f t="shared" si="58"/>
        <v>3780</v>
      </c>
      <c r="R675" s="406"/>
      <c r="S675" s="406"/>
      <c r="T675" s="406"/>
      <c r="U675" s="406">
        <f>(T675*F675)*1.05</f>
        <v>0</v>
      </c>
      <c r="V675" s="406"/>
      <c r="W675" s="304"/>
      <c r="X675" s="304"/>
      <c r="Y675" s="304"/>
      <c r="Z675" s="304"/>
      <c r="AA675" s="304"/>
      <c r="AB675" s="304" t="s">
        <v>2710</v>
      </c>
      <c r="AC675" s="296" t="s">
        <v>2711</v>
      </c>
      <c r="AD675" s="304">
        <v>31.315000000000001</v>
      </c>
      <c r="AE675" s="304"/>
      <c r="AF675" s="304"/>
      <c r="AG675" s="296"/>
      <c r="AH675" s="296"/>
      <c r="AI675" s="297"/>
      <c r="AJ675" s="298">
        <v>43731</v>
      </c>
      <c r="AK675" s="297" t="s">
        <v>2713</v>
      </c>
      <c r="AL675" s="297" t="s">
        <v>2714</v>
      </c>
      <c r="AM675" s="296" t="s">
        <v>49</v>
      </c>
      <c r="AN675" s="296" t="s">
        <v>284</v>
      </c>
      <c r="AO675" s="296" t="s">
        <v>50</v>
      </c>
      <c r="AP675" s="296" t="s">
        <v>51</v>
      </c>
      <c r="AQ675" s="296" t="s">
        <v>506</v>
      </c>
    </row>
    <row r="676" spans="1:43" ht="15.75" customHeight="1">
      <c r="A676" s="69">
        <v>43665</v>
      </c>
      <c r="B676" s="144" t="s">
        <v>377</v>
      </c>
      <c r="C676" s="21" t="s">
        <v>1343</v>
      </c>
      <c r="D676" s="21" t="s">
        <v>1381</v>
      </c>
      <c r="E676" s="32" t="s">
        <v>1382</v>
      </c>
      <c r="F676" s="24">
        <v>4</v>
      </c>
      <c r="G676" s="48">
        <v>26</v>
      </c>
      <c r="H676" s="60">
        <f t="shared" si="60"/>
        <v>104</v>
      </c>
      <c r="I676" s="61" t="s">
        <v>143</v>
      </c>
      <c r="J676" s="58" t="s">
        <v>1107</v>
      </c>
      <c r="K676" s="58" t="s">
        <v>1383</v>
      </c>
      <c r="L676" s="58"/>
      <c r="M676" s="30">
        <v>43763</v>
      </c>
      <c r="N676" s="82" t="s">
        <v>2833</v>
      </c>
      <c r="O676" s="93" t="s">
        <v>2834</v>
      </c>
      <c r="P676" s="406"/>
      <c r="Q676" s="406"/>
      <c r="R676" s="406"/>
      <c r="S676" s="406"/>
      <c r="T676" s="22">
        <v>350</v>
      </c>
      <c r="U676" s="686">
        <f t="shared" ref="U676:U677" si="61">(T676*4)*1.05</f>
        <v>1470</v>
      </c>
      <c r="V676" s="21"/>
      <c r="W676" s="304"/>
      <c r="X676" s="304"/>
      <c r="Y676" s="304"/>
      <c r="Z676" s="304"/>
      <c r="AA676" s="304"/>
      <c r="AB676" s="304" t="s">
        <v>2826</v>
      </c>
      <c r="AC676" s="304" t="s">
        <v>2808</v>
      </c>
      <c r="AD676" s="535"/>
      <c r="AE676" s="304"/>
      <c r="AF676" s="304"/>
      <c r="AG676" s="296"/>
      <c r="AH676" s="304"/>
      <c r="AI676" s="297"/>
      <c r="AJ676" s="298">
        <v>43837</v>
      </c>
      <c r="AK676" s="297" t="s">
        <v>2811</v>
      </c>
      <c r="AL676" s="297" t="s">
        <v>2812</v>
      </c>
      <c r="AM676" s="296" t="s">
        <v>49</v>
      </c>
      <c r="AN676" s="82" t="s">
        <v>284</v>
      </c>
      <c r="AO676" s="296" t="s">
        <v>285</v>
      </c>
      <c r="AP676" s="296" t="s">
        <v>51</v>
      </c>
      <c r="AQ676" s="296" t="s">
        <v>1346</v>
      </c>
    </row>
    <row r="677" spans="1:43" ht="15.75" customHeight="1">
      <c r="A677" s="69">
        <v>43665</v>
      </c>
      <c r="B677" s="144" t="s">
        <v>377</v>
      </c>
      <c r="C677" s="21" t="s">
        <v>1343</v>
      </c>
      <c r="D677" s="21" t="s">
        <v>1384</v>
      </c>
      <c r="E677" s="32" t="s">
        <v>1385</v>
      </c>
      <c r="F677" s="24">
        <v>4</v>
      </c>
      <c r="G677" s="48">
        <v>20</v>
      </c>
      <c r="H677" s="60">
        <f t="shared" si="60"/>
        <v>80</v>
      </c>
      <c r="I677" s="61" t="s">
        <v>143</v>
      </c>
      <c r="J677" s="58" t="s">
        <v>1107</v>
      </c>
      <c r="K677" s="58" t="s">
        <v>1375</v>
      </c>
      <c r="L677" s="58"/>
      <c r="M677" s="58" t="s">
        <v>2835</v>
      </c>
      <c r="N677" s="82" t="s">
        <v>2836</v>
      </c>
      <c r="O677" s="93" t="s">
        <v>2830</v>
      </c>
      <c r="P677" s="406"/>
      <c r="Q677" s="406"/>
      <c r="R677" s="406"/>
      <c r="S677" s="406"/>
      <c r="T677" s="22">
        <v>350</v>
      </c>
      <c r="U677" s="686">
        <f t="shared" si="61"/>
        <v>1470</v>
      </c>
      <c r="V677" s="21" t="s">
        <v>2023</v>
      </c>
      <c r="W677" s="304"/>
      <c r="X677" s="460">
        <v>43777</v>
      </c>
      <c r="Y677" s="304" t="s">
        <v>1378</v>
      </c>
      <c r="Z677" s="304" t="s">
        <v>2831</v>
      </c>
      <c r="AA677" s="304"/>
      <c r="AB677" s="304" t="s">
        <v>2826</v>
      </c>
      <c r="AC677" s="304" t="s">
        <v>2808</v>
      </c>
      <c r="AD677" s="535"/>
      <c r="AE677" s="304"/>
      <c r="AF677" s="304"/>
      <c r="AG677" s="296"/>
      <c r="AH677" s="304"/>
      <c r="AI677" s="297"/>
      <c r="AJ677" s="298">
        <v>43837</v>
      </c>
      <c r="AK677" s="297" t="s">
        <v>2811</v>
      </c>
      <c r="AL677" s="297" t="s">
        <v>2812</v>
      </c>
      <c r="AM677" s="296" t="s">
        <v>49</v>
      </c>
      <c r="AN677" s="82" t="s">
        <v>284</v>
      </c>
      <c r="AO677" s="296" t="s">
        <v>285</v>
      </c>
      <c r="AP677" s="296" t="s">
        <v>51</v>
      </c>
      <c r="AQ677" s="296" t="s">
        <v>1346</v>
      </c>
    </row>
    <row r="678" spans="1:43" ht="15.75" customHeight="1">
      <c r="A678" s="69">
        <v>43668</v>
      </c>
      <c r="B678" s="144" t="s">
        <v>76</v>
      </c>
      <c r="C678" s="21">
        <v>560</v>
      </c>
      <c r="D678" s="21" t="s">
        <v>1386</v>
      </c>
      <c r="E678" s="32" t="s">
        <v>1387</v>
      </c>
      <c r="F678" s="24">
        <v>1</v>
      </c>
      <c r="G678" s="48">
        <v>120</v>
      </c>
      <c r="H678" s="60">
        <f t="shared" si="60"/>
        <v>120</v>
      </c>
      <c r="I678" s="61" t="s">
        <v>42</v>
      </c>
      <c r="J678" s="431" t="s">
        <v>922</v>
      </c>
      <c r="K678" s="29">
        <v>43700</v>
      </c>
      <c r="L678" s="29"/>
      <c r="M678" s="29">
        <v>43690</v>
      </c>
      <c r="N678" s="50" t="s">
        <v>178</v>
      </c>
      <c r="O678" s="93"/>
      <c r="P678" s="406"/>
      <c r="Q678" s="406">
        <f t="shared" ref="Q678:Q696" si="62">(P678*F678)*1.05</f>
        <v>0</v>
      </c>
      <c r="R678" s="406"/>
      <c r="S678" s="406"/>
      <c r="T678" s="406">
        <v>2400</v>
      </c>
      <c r="U678" s="406">
        <f>(T678*F678)*1.05</f>
        <v>2520</v>
      </c>
      <c r="V678" s="406"/>
      <c r="W678" s="304"/>
      <c r="X678" s="304"/>
      <c r="Y678" s="304"/>
      <c r="Z678" s="304"/>
      <c r="AA678" s="304"/>
      <c r="AB678" s="304" t="s">
        <v>2710</v>
      </c>
      <c r="AC678" s="296" t="s">
        <v>2711</v>
      </c>
      <c r="AD678" s="304">
        <v>31.315000000000001</v>
      </c>
      <c r="AE678" s="304"/>
      <c r="AF678" s="304"/>
      <c r="AG678" s="296"/>
      <c r="AH678" s="296"/>
      <c r="AI678" s="297"/>
      <c r="AJ678" s="298">
        <v>43731</v>
      </c>
      <c r="AK678" s="297" t="s">
        <v>2713</v>
      </c>
      <c r="AL678" s="297" t="s">
        <v>2714</v>
      </c>
      <c r="AM678" s="296" t="s">
        <v>49</v>
      </c>
      <c r="AN678" s="296" t="s">
        <v>284</v>
      </c>
      <c r="AO678" s="296" t="s">
        <v>285</v>
      </c>
      <c r="AP678" s="296" t="s">
        <v>51</v>
      </c>
      <c r="AQ678" s="296" t="s">
        <v>506</v>
      </c>
    </row>
    <row r="679" spans="1:43" ht="15.75" customHeight="1">
      <c r="A679" s="69">
        <v>43668</v>
      </c>
      <c r="B679" s="144" t="s">
        <v>76</v>
      </c>
      <c r="C679" s="21">
        <v>560</v>
      </c>
      <c r="D679" s="21" t="s">
        <v>1386</v>
      </c>
      <c r="E679" s="32" t="s">
        <v>1388</v>
      </c>
      <c r="F679" s="24">
        <v>1</v>
      </c>
      <c r="G679" s="48">
        <v>80</v>
      </c>
      <c r="H679" s="468">
        <f t="shared" si="60"/>
        <v>80</v>
      </c>
      <c r="I679" s="61" t="s">
        <v>42</v>
      </c>
      <c r="J679" s="431" t="s">
        <v>922</v>
      </c>
      <c r="K679" s="29">
        <v>43700</v>
      </c>
      <c r="L679" s="29"/>
      <c r="M679" s="29">
        <v>43690</v>
      </c>
      <c r="N679" s="50" t="s">
        <v>178</v>
      </c>
      <c r="O679" s="93"/>
      <c r="P679" s="406">
        <v>66</v>
      </c>
      <c r="Q679" s="406">
        <f t="shared" si="62"/>
        <v>69.3</v>
      </c>
      <c r="R679" s="406"/>
      <c r="S679" s="406"/>
      <c r="T679" s="691"/>
      <c r="U679" s="692">
        <v>2103</v>
      </c>
      <c r="V679" s="406"/>
      <c r="W679" s="304"/>
      <c r="X679" s="304"/>
      <c r="Y679" s="304"/>
      <c r="Z679" s="304"/>
      <c r="AA679" s="304"/>
      <c r="AB679" s="304" t="s">
        <v>2710</v>
      </c>
      <c r="AC679" s="296" t="s">
        <v>2711</v>
      </c>
      <c r="AD679" s="304">
        <v>31.315000000000001</v>
      </c>
      <c r="AE679" s="304"/>
      <c r="AF679" s="304"/>
      <c r="AG679" s="296"/>
      <c r="AH679" s="296"/>
      <c r="AI679" s="297"/>
      <c r="AJ679" s="298">
        <v>43731</v>
      </c>
      <c r="AK679" s="297" t="s">
        <v>2713</v>
      </c>
      <c r="AL679" s="297" t="s">
        <v>2714</v>
      </c>
      <c r="AM679" s="296" t="s">
        <v>49</v>
      </c>
      <c r="AN679" s="296" t="s">
        <v>284</v>
      </c>
      <c r="AO679" s="296" t="s">
        <v>285</v>
      </c>
      <c r="AP679" s="296" t="s">
        <v>51</v>
      </c>
      <c r="AQ679" s="296" t="s">
        <v>506</v>
      </c>
    </row>
    <row r="680" spans="1:43" ht="15.75" customHeight="1">
      <c r="A680" s="69">
        <v>43668</v>
      </c>
      <c r="B680" s="144" t="s">
        <v>76</v>
      </c>
      <c r="C680" s="21">
        <v>560</v>
      </c>
      <c r="D680" s="21" t="s">
        <v>1386</v>
      </c>
      <c r="E680" s="32" t="s">
        <v>1389</v>
      </c>
      <c r="F680" s="24">
        <v>1</v>
      </c>
      <c r="G680" s="48">
        <v>10</v>
      </c>
      <c r="H680" s="60">
        <f t="shared" si="60"/>
        <v>10</v>
      </c>
      <c r="I680" s="61" t="s">
        <v>42</v>
      </c>
      <c r="J680" s="431" t="s">
        <v>922</v>
      </c>
      <c r="K680" s="29">
        <v>43700</v>
      </c>
      <c r="L680" s="29"/>
      <c r="M680" s="29">
        <v>43669</v>
      </c>
      <c r="N680" s="50" t="s">
        <v>2837</v>
      </c>
      <c r="O680" s="93"/>
      <c r="P680" s="406"/>
      <c r="Q680" s="406">
        <f t="shared" si="62"/>
        <v>0</v>
      </c>
      <c r="R680" s="406"/>
      <c r="S680" s="406"/>
      <c r="T680" s="406"/>
      <c r="U680" s="693">
        <v>120</v>
      </c>
      <c r="V680" s="415"/>
      <c r="W680" s="304"/>
      <c r="X680" s="304"/>
      <c r="Y680" s="304"/>
      <c r="Z680" s="304"/>
      <c r="AA680" s="304"/>
      <c r="AB680" s="304" t="s">
        <v>2710</v>
      </c>
      <c r="AC680" s="296" t="s">
        <v>2711</v>
      </c>
      <c r="AD680" s="304">
        <v>31.315000000000001</v>
      </c>
      <c r="AE680" s="304"/>
      <c r="AF680" s="304"/>
      <c r="AG680" s="296"/>
      <c r="AH680" s="296"/>
      <c r="AI680" s="297"/>
      <c r="AJ680" s="298">
        <v>43731</v>
      </c>
      <c r="AK680" s="297" t="s">
        <v>2713</v>
      </c>
      <c r="AL680" s="297" t="s">
        <v>2714</v>
      </c>
      <c r="AM680" s="296" t="s">
        <v>49</v>
      </c>
      <c r="AN680" s="296" t="s">
        <v>284</v>
      </c>
      <c r="AO680" s="296" t="s">
        <v>285</v>
      </c>
      <c r="AP680" s="296" t="s">
        <v>51</v>
      </c>
      <c r="AQ680" s="296" t="s">
        <v>506</v>
      </c>
    </row>
    <row r="681" spans="1:43" ht="15.75" customHeight="1">
      <c r="A681" s="69">
        <v>43668</v>
      </c>
      <c r="B681" s="70" t="s">
        <v>222</v>
      </c>
      <c r="C681" s="21" t="s">
        <v>1390</v>
      </c>
      <c r="D681" s="21" t="s">
        <v>1391</v>
      </c>
      <c r="E681" s="32" t="s">
        <v>1342</v>
      </c>
      <c r="F681" s="24">
        <v>1</v>
      </c>
      <c r="G681" s="48">
        <f>87*1.05</f>
        <v>91.350000000000009</v>
      </c>
      <c r="H681" s="60">
        <f>G681*1</f>
        <v>91.350000000000009</v>
      </c>
      <c r="I681" s="61" t="s">
        <v>143</v>
      </c>
      <c r="J681" s="63" t="s">
        <v>89</v>
      </c>
      <c r="K681" s="30">
        <v>43675</v>
      </c>
      <c r="L681" s="30"/>
      <c r="M681" s="30">
        <v>43675</v>
      </c>
      <c r="N681" s="50" t="s">
        <v>89</v>
      </c>
      <c r="O681" s="93" t="s">
        <v>2807</v>
      </c>
      <c r="P681" s="406">
        <v>79</v>
      </c>
      <c r="Q681" s="406">
        <f t="shared" si="62"/>
        <v>82.95</v>
      </c>
      <c r="R681" s="406"/>
      <c r="S681" s="406"/>
      <c r="T681" s="406"/>
      <c r="U681" s="406">
        <v>2571</v>
      </c>
      <c r="V681" s="35" t="s">
        <v>93</v>
      </c>
      <c r="W681" s="460">
        <v>43738</v>
      </c>
      <c r="X681" s="460">
        <v>43672</v>
      </c>
      <c r="Y681" s="304" t="s">
        <v>1392</v>
      </c>
      <c r="Z681" s="304">
        <v>2571</v>
      </c>
      <c r="AA681" s="460">
        <v>43739</v>
      </c>
      <c r="AB681" s="304" t="s">
        <v>2838</v>
      </c>
      <c r="AC681" s="304" t="s">
        <v>2800</v>
      </c>
      <c r="AD681" s="304">
        <v>31.08</v>
      </c>
      <c r="AE681" s="304">
        <v>2839</v>
      </c>
      <c r="AF681" s="460">
        <v>43675</v>
      </c>
      <c r="AG681" s="296"/>
      <c r="AH681" s="296"/>
      <c r="AI681" s="297"/>
      <c r="AJ681" s="298">
        <v>43718</v>
      </c>
      <c r="AK681" s="297" t="s">
        <v>2802</v>
      </c>
      <c r="AL681" s="297" t="s">
        <v>2803</v>
      </c>
      <c r="AM681" s="296" t="s">
        <v>49</v>
      </c>
      <c r="AN681" s="296" t="s">
        <v>284</v>
      </c>
      <c r="AO681" s="296" t="s">
        <v>50</v>
      </c>
      <c r="AP681" s="296" t="s">
        <v>51</v>
      </c>
      <c r="AQ681" s="296" t="s">
        <v>506</v>
      </c>
    </row>
    <row r="682" spans="1:43" ht="15.75" customHeight="1">
      <c r="A682" s="69">
        <v>43668</v>
      </c>
      <c r="B682" s="70" t="s">
        <v>129</v>
      </c>
      <c r="C682" s="21" t="s">
        <v>1393</v>
      </c>
      <c r="D682" s="21" t="s">
        <v>1394</v>
      </c>
      <c r="E682" s="32" t="s">
        <v>1395</v>
      </c>
      <c r="F682" s="24">
        <v>10</v>
      </c>
      <c r="G682" s="48">
        <v>112</v>
      </c>
      <c r="H682" s="60">
        <f t="shared" ref="H682:H685" si="63">G682*F682</f>
        <v>1120</v>
      </c>
      <c r="I682" s="61" t="s">
        <v>143</v>
      </c>
      <c r="J682" s="63" t="s">
        <v>133</v>
      </c>
      <c r="K682" s="30">
        <v>43684</v>
      </c>
      <c r="L682" s="30"/>
      <c r="M682" s="30">
        <v>43682</v>
      </c>
      <c r="N682" s="50" t="s">
        <v>89</v>
      </c>
      <c r="O682" s="93" t="s">
        <v>2839</v>
      </c>
      <c r="P682" s="406">
        <v>104</v>
      </c>
      <c r="Q682" s="406">
        <f t="shared" si="62"/>
        <v>1092</v>
      </c>
      <c r="R682" s="406"/>
      <c r="S682" s="406"/>
      <c r="T682" s="406"/>
      <c r="U682" s="406">
        <v>33874</v>
      </c>
      <c r="V682" s="676" t="s">
        <v>93</v>
      </c>
      <c r="W682" s="460">
        <v>43738</v>
      </c>
      <c r="X682" s="460">
        <v>43682</v>
      </c>
      <c r="Y682" s="304" t="s">
        <v>1396</v>
      </c>
      <c r="Z682" s="304">
        <v>33874</v>
      </c>
      <c r="AA682" s="460">
        <v>43739</v>
      </c>
      <c r="AB682" s="304" t="s">
        <v>2840</v>
      </c>
      <c r="AC682" s="304">
        <v>3082292146</v>
      </c>
      <c r="AD682" s="304"/>
      <c r="AE682" s="304"/>
      <c r="AF682" s="304"/>
      <c r="AG682" s="296"/>
      <c r="AH682" s="296"/>
      <c r="AI682" s="297"/>
      <c r="AJ682" s="298">
        <v>43704</v>
      </c>
      <c r="AK682" s="297">
        <f>1526.62*31.35</f>
        <v>47859.536999999997</v>
      </c>
      <c r="AL682" s="297">
        <f>(1544-1526.62)*31.35</f>
        <v>544.86300000000347</v>
      </c>
      <c r="AM682" s="296" t="s">
        <v>49</v>
      </c>
      <c r="AN682" s="296" t="s">
        <v>284</v>
      </c>
      <c r="AO682" s="296" t="s">
        <v>50</v>
      </c>
      <c r="AP682" s="296" t="s">
        <v>51</v>
      </c>
      <c r="AQ682" s="296" t="s">
        <v>506</v>
      </c>
    </row>
    <row r="683" spans="1:43" ht="15.75" customHeight="1">
      <c r="A683" s="69">
        <v>43668</v>
      </c>
      <c r="B683" s="70" t="s">
        <v>129</v>
      </c>
      <c r="C683" s="21" t="s">
        <v>1393</v>
      </c>
      <c r="D683" s="21" t="s">
        <v>1394</v>
      </c>
      <c r="E683" s="32" t="s">
        <v>243</v>
      </c>
      <c r="F683" s="24">
        <v>5</v>
      </c>
      <c r="G683" s="48">
        <v>50</v>
      </c>
      <c r="H683" s="468">
        <f t="shared" si="63"/>
        <v>250</v>
      </c>
      <c r="I683" s="61" t="s">
        <v>143</v>
      </c>
      <c r="J683" s="63" t="s">
        <v>133</v>
      </c>
      <c r="K683" s="30">
        <v>43684</v>
      </c>
      <c r="L683" s="30"/>
      <c r="M683" s="30">
        <v>43684</v>
      </c>
      <c r="N683" s="50" t="s">
        <v>89</v>
      </c>
      <c r="O683" s="93" t="s">
        <v>2789</v>
      </c>
      <c r="P683" s="406">
        <v>43</v>
      </c>
      <c r="Q683" s="406">
        <f t="shared" si="62"/>
        <v>225.75</v>
      </c>
      <c r="R683" s="406"/>
      <c r="S683" s="406"/>
      <c r="T683" s="406"/>
      <c r="U683" s="406">
        <v>7003</v>
      </c>
      <c r="V683" s="676" t="s">
        <v>93</v>
      </c>
      <c r="W683" s="460">
        <v>43738</v>
      </c>
      <c r="X683" s="460">
        <v>43683</v>
      </c>
      <c r="Y683" s="304" t="s">
        <v>1397</v>
      </c>
      <c r="Z683" s="304">
        <v>11302</v>
      </c>
      <c r="AA683" s="460">
        <v>43739</v>
      </c>
      <c r="AB683" s="304" t="s">
        <v>2840</v>
      </c>
      <c r="AC683" s="237">
        <v>3082292146</v>
      </c>
      <c r="AD683" s="304"/>
      <c r="AE683" s="304"/>
      <c r="AF683" s="304"/>
      <c r="AG683" s="296"/>
      <c r="AH683" s="296"/>
      <c r="AI683" s="297"/>
      <c r="AJ683" s="298">
        <v>43704</v>
      </c>
      <c r="AK683" s="297" t="s">
        <v>2841</v>
      </c>
      <c r="AL683" s="297" t="s">
        <v>2842</v>
      </c>
      <c r="AM683" s="296" t="s">
        <v>49</v>
      </c>
      <c r="AN683" s="296" t="s">
        <v>284</v>
      </c>
      <c r="AO683" s="296" t="s">
        <v>50</v>
      </c>
      <c r="AP683" s="296" t="s">
        <v>51</v>
      </c>
      <c r="AQ683" s="296" t="s">
        <v>506</v>
      </c>
    </row>
    <row r="684" spans="1:43" ht="15.75" customHeight="1">
      <c r="A684" s="69">
        <v>43668</v>
      </c>
      <c r="B684" s="70" t="s">
        <v>129</v>
      </c>
      <c r="C684" s="21" t="s">
        <v>1393</v>
      </c>
      <c r="D684" s="21" t="s">
        <v>1394</v>
      </c>
      <c r="E684" s="32" t="s">
        <v>238</v>
      </c>
      <c r="F684" s="24">
        <v>3</v>
      </c>
      <c r="G684" s="48">
        <v>58</v>
      </c>
      <c r="H684" s="60">
        <f t="shared" si="63"/>
        <v>174</v>
      </c>
      <c r="I684" s="61" t="s">
        <v>143</v>
      </c>
      <c r="J684" s="63" t="s">
        <v>133</v>
      </c>
      <c r="K684" s="30">
        <v>43684</v>
      </c>
      <c r="L684" s="30"/>
      <c r="M684" s="30">
        <v>43684</v>
      </c>
      <c r="N684" s="50" t="s">
        <v>89</v>
      </c>
      <c r="O684" s="93" t="s">
        <v>2789</v>
      </c>
      <c r="P684" s="406">
        <v>44</v>
      </c>
      <c r="Q684" s="406">
        <f t="shared" si="62"/>
        <v>138.6</v>
      </c>
      <c r="R684" s="406"/>
      <c r="S684" s="406"/>
      <c r="T684" s="406"/>
      <c r="U684" s="406">
        <v>4299</v>
      </c>
      <c r="V684" s="676" t="s">
        <v>93</v>
      </c>
      <c r="W684" s="460">
        <v>43738</v>
      </c>
      <c r="X684" s="460">
        <v>43683</v>
      </c>
      <c r="Y684" s="304" t="s">
        <v>1397</v>
      </c>
      <c r="Z684" s="304" t="s">
        <v>2843</v>
      </c>
      <c r="AA684" s="460">
        <v>43739</v>
      </c>
      <c r="AB684" s="304" t="s">
        <v>2840</v>
      </c>
      <c r="AC684" s="304">
        <v>3082292146</v>
      </c>
      <c r="AD684" s="304"/>
      <c r="AE684" s="304"/>
      <c r="AF684" s="304"/>
      <c r="AG684" s="296"/>
      <c r="AH684" s="296"/>
      <c r="AI684" s="297"/>
      <c r="AJ684" s="298">
        <v>43704</v>
      </c>
      <c r="AK684" s="297" t="s">
        <v>2841</v>
      </c>
      <c r="AL684" s="297" t="s">
        <v>2842</v>
      </c>
      <c r="AM684" s="296" t="s">
        <v>49</v>
      </c>
      <c r="AN684" s="296" t="s">
        <v>284</v>
      </c>
      <c r="AO684" s="296" t="s">
        <v>50</v>
      </c>
      <c r="AP684" s="296" t="s">
        <v>51</v>
      </c>
      <c r="AQ684" s="296" t="s">
        <v>506</v>
      </c>
    </row>
    <row r="685" spans="1:43" ht="15.75" customHeight="1">
      <c r="A685" s="69">
        <v>43668</v>
      </c>
      <c r="B685" s="23" t="s">
        <v>405</v>
      </c>
      <c r="C685" s="21">
        <v>7000148954</v>
      </c>
      <c r="D685" s="21" t="s">
        <v>1398</v>
      </c>
      <c r="E685" s="32" t="s">
        <v>995</v>
      </c>
      <c r="F685" s="24">
        <v>1</v>
      </c>
      <c r="G685" s="48">
        <v>468</v>
      </c>
      <c r="H685" s="60">
        <f t="shared" si="63"/>
        <v>468</v>
      </c>
      <c r="I685" s="61" t="s">
        <v>42</v>
      </c>
      <c r="J685" s="50" t="s">
        <v>512</v>
      </c>
      <c r="K685" s="30">
        <v>43675</v>
      </c>
      <c r="L685" s="30"/>
      <c r="M685" s="30">
        <v>43675</v>
      </c>
      <c r="N685" s="58" t="s">
        <v>2043</v>
      </c>
      <c r="O685" s="32" t="s">
        <v>2844</v>
      </c>
      <c r="P685" s="406"/>
      <c r="Q685" s="406">
        <f t="shared" si="62"/>
        <v>0</v>
      </c>
      <c r="R685" s="406"/>
      <c r="S685" s="406"/>
      <c r="T685" s="406">
        <v>12381</v>
      </c>
      <c r="U685" s="406">
        <v>13000</v>
      </c>
      <c r="V685" s="406" t="s">
        <v>2763</v>
      </c>
      <c r="W685" s="303">
        <v>43769</v>
      </c>
      <c r="X685" s="460">
        <v>43672</v>
      </c>
      <c r="Y685" s="304" t="s">
        <v>1399</v>
      </c>
      <c r="Z685" s="304">
        <v>13000</v>
      </c>
      <c r="AA685" s="304"/>
      <c r="AB685" s="304" t="s">
        <v>2761</v>
      </c>
      <c r="AC685" s="304">
        <v>8976951815</v>
      </c>
      <c r="AD685" s="304"/>
      <c r="AE685" s="304"/>
      <c r="AF685" s="304"/>
      <c r="AG685" s="296"/>
      <c r="AH685" s="296"/>
      <c r="AI685" s="297"/>
      <c r="AJ685" s="298">
        <v>43707</v>
      </c>
      <c r="AK685" s="297" t="s">
        <v>2845</v>
      </c>
      <c r="AL685" s="297" t="s">
        <v>2846</v>
      </c>
      <c r="AM685" s="296" t="s">
        <v>49</v>
      </c>
      <c r="AN685" s="296" t="s">
        <v>284</v>
      </c>
      <c r="AO685" s="296" t="s">
        <v>50</v>
      </c>
      <c r="AP685" s="296" t="s">
        <v>51</v>
      </c>
      <c r="AQ685" s="296" t="s">
        <v>506</v>
      </c>
    </row>
    <row r="686" spans="1:43" ht="15.75" customHeight="1">
      <c r="A686" s="69">
        <v>43669</v>
      </c>
      <c r="B686" s="70" t="s">
        <v>1016</v>
      </c>
      <c r="C686" s="21">
        <v>19000283</v>
      </c>
      <c r="D686" s="21" t="s">
        <v>1400</v>
      </c>
      <c r="E686" s="32" t="s">
        <v>1066</v>
      </c>
      <c r="F686" s="24">
        <v>8</v>
      </c>
      <c r="G686" s="48">
        <v>115</v>
      </c>
      <c r="H686" s="60">
        <f t="shared" ref="H686:H695" si="64">F686*G686</f>
        <v>920</v>
      </c>
      <c r="I686" s="61" t="s">
        <v>104</v>
      </c>
      <c r="J686" s="63" t="s">
        <v>198</v>
      </c>
      <c r="K686" s="30">
        <v>43675</v>
      </c>
      <c r="L686" s="30"/>
      <c r="M686" s="30">
        <v>43672</v>
      </c>
      <c r="N686" s="50" t="s">
        <v>89</v>
      </c>
      <c r="O686" s="93" t="s">
        <v>2788</v>
      </c>
      <c r="P686" s="406">
        <v>93.6</v>
      </c>
      <c r="Q686" s="406">
        <f t="shared" si="62"/>
        <v>786.24</v>
      </c>
      <c r="R686" s="406"/>
      <c r="S686" s="406"/>
      <c r="T686" s="406"/>
      <c r="U686" s="406">
        <v>24366</v>
      </c>
      <c r="V686" s="51" t="s">
        <v>93</v>
      </c>
      <c r="W686" s="460">
        <v>43708</v>
      </c>
      <c r="X686" s="460">
        <v>43671</v>
      </c>
      <c r="Y686" s="304" t="s">
        <v>1401</v>
      </c>
      <c r="Z686" s="304">
        <v>50278</v>
      </c>
      <c r="AA686" s="460">
        <v>43706</v>
      </c>
      <c r="AB686" s="304" t="s">
        <v>2847</v>
      </c>
      <c r="AC686" s="304">
        <v>124730903</v>
      </c>
      <c r="AD686" s="304"/>
      <c r="AE686" s="304"/>
      <c r="AF686" s="304"/>
      <c r="AG686" s="296"/>
      <c r="AH686" s="296"/>
      <c r="AI686" s="297"/>
      <c r="AJ686" s="298">
        <v>43676</v>
      </c>
      <c r="AK686" s="297" t="s">
        <v>2112</v>
      </c>
      <c r="AL686" s="297" t="s">
        <v>2113</v>
      </c>
      <c r="AM686" s="296" t="s">
        <v>49</v>
      </c>
      <c r="AN686" s="296" t="s">
        <v>284</v>
      </c>
      <c r="AO686" s="296" t="s">
        <v>50</v>
      </c>
      <c r="AP686" s="296" t="s">
        <v>51</v>
      </c>
      <c r="AQ686" s="296" t="s">
        <v>506</v>
      </c>
    </row>
    <row r="687" spans="1:43" ht="15.75" customHeight="1">
      <c r="A687" s="69">
        <v>43669</v>
      </c>
      <c r="B687" s="70" t="s">
        <v>1016</v>
      </c>
      <c r="C687" s="21">
        <v>19000283</v>
      </c>
      <c r="D687" s="21" t="s">
        <v>1400</v>
      </c>
      <c r="E687" s="32" t="s">
        <v>1402</v>
      </c>
      <c r="F687" s="24">
        <v>6</v>
      </c>
      <c r="G687" s="48">
        <v>134</v>
      </c>
      <c r="H687" s="60">
        <f t="shared" si="64"/>
        <v>804</v>
      </c>
      <c r="I687" s="61" t="s">
        <v>104</v>
      </c>
      <c r="J687" s="63" t="s">
        <v>198</v>
      </c>
      <c r="K687" s="30">
        <v>43675</v>
      </c>
      <c r="L687" s="30"/>
      <c r="M687" s="30">
        <v>43672</v>
      </c>
      <c r="N687" s="50" t="s">
        <v>89</v>
      </c>
      <c r="O687" s="93" t="s">
        <v>2788</v>
      </c>
      <c r="P687" s="406">
        <v>120</v>
      </c>
      <c r="Q687" s="406">
        <f t="shared" si="62"/>
        <v>756</v>
      </c>
      <c r="R687" s="406"/>
      <c r="S687" s="406"/>
      <c r="T687" s="406"/>
      <c r="U687" s="406">
        <v>23428</v>
      </c>
      <c r="V687" s="51" t="s">
        <v>93</v>
      </c>
      <c r="W687" s="460">
        <v>43708</v>
      </c>
      <c r="X687" s="460">
        <v>43671</v>
      </c>
      <c r="Y687" s="304" t="s">
        <v>1401</v>
      </c>
      <c r="Z687" s="304" t="s">
        <v>2848</v>
      </c>
      <c r="AA687" s="460">
        <v>43706</v>
      </c>
      <c r="AB687" s="304" t="s">
        <v>2847</v>
      </c>
      <c r="AC687" s="304">
        <v>124730903</v>
      </c>
      <c r="AD687" s="304"/>
      <c r="AE687" s="304"/>
      <c r="AF687" s="304"/>
      <c r="AG687" s="296"/>
      <c r="AH687" s="296"/>
      <c r="AI687" s="297"/>
      <c r="AJ687" s="298">
        <v>43676</v>
      </c>
      <c r="AK687" s="297" t="s">
        <v>2112</v>
      </c>
      <c r="AL687" s="297" t="s">
        <v>2113</v>
      </c>
      <c r="AM687" s="296" t="s">
        <v>49</v>
      </c>
      <c r="AN687" s="296" t="s">
        <v>284</v>
      </c>
      <c r="AO687" s="296" t="s">
        <v>50</v>
      </c>
      <c r="AP687" s="296" t="s">
        <v>51</v>
      </c>
      <c r="AQ687" s="296" t="s">
        <v>506</v>
      </c>
    </row>
    <row r="688" spans="1:43" ht="15.75" customHeight="1">
      <c r="A688" s="69">
        <v>43669</v>
      </c>
      <c r="B688" s="70" t="s">
        <v>1016</v>
      </c>
      <c r="C688" s="21">
        <v>19000283</v>
      </c>
      <c r="D688" s="21" t="s">
        <v>1400</v>
      </c>
      <c r="E688" s="516" t="s">
        <v>961</v>
      </c>
      <c r="F688" s="24">
        <v>1</v>
      </c>
      <c r="G688" s="48">
        <v>89.2</v>
      </c>
      <c r="H688" s="60">
        <f t="shared" si="64"/>
        <v>89.2</v>
      </c>
      <c r="I688" s="61" t="s">
        <v>104</v>
      </c>
      <c r="J688" s="63" t="s">
        <v>198</v>
      </c>
      <c r="K688" s="30">
        <v>43675</v>
      </c>
      <c r="L688" s="30"/>
      <c r="M688" s="30">
        <v>43672</v>
      </c>
      <c r="N688" s="50" t="s">
        <v>89</v>
      </c>
      <c r="O688" s="93" t="s">
        <v>2788</v>
      </c>
      <c r="P688" s="406">
        <v>76.349999999999994</v>
      </c>
      <c r="Q688" s="406">
        <f t="shared" si="62"/>
        <v>80.167500000000004</v>
      </c>
      <c r="R688" s="406"/>
      <c r="S688" s="406"/>
      <c r="T688" s="406"/>
      <c r="U688" s="406">
        <v>2484</v>
      </c>
      <c r="V688" s="51" t="s">
        <v>93</v>
      </c>
      <c r="W688" s="460">
        <v>43708</v>
      </c>
      <c r="X688" s="460">
        <v>43671</v>
      </c>
      <c r="Y688" s="304" t="s">
        <v>1401</v>
      </c>
      <c r="Z688" s="304" t="s">
        <v>2848</v>
      </c>
      <c r="AA688" s="460">
        <v>43706</v>
      </c>
      <c r="AB688" s="304" t="s">
        <v>2847</v>
      </c>
      <c r="AC688" s="304">
        <v>124730903</v>
      </c>
      <c r="AD688" s="304"/>
      <c r="AE688" s="304"/>
      <c r="AF688" s="304"/>
      <c r="AG688" s="296"/>
      <c r="AH688" s="296"/>
      <c r="AI688" s="297"/>
      <c r="AJ688" s="298">
        <v>43676</v>
      </c>
      <c r="AK688" s="297" t="s">
        <v>2112</v>
      </c>
      <c r="AL688" s="297" t="s">
        <v>2113</v>
      </c>
      <c r="AM688" s="296" t="s">
        <v>49</v>
      </c>
      <c r="AN688" s="296" t="s">
        <v>284</v>
      </c>
      <c r="AO688" s="296" t="s">
        <v>50</v>
      </c>
      <c r="AP688" s="296" t="s">
        <v>51</v>
      </c>
      <c r="AQ688" s="296" t="s">
        <v>506</v>
      </c>
    </row>
    <row r="689" spans="1:43" ht="15.75" customHeight="1">
      <c r="A689" s="69">
        <v>43669</v>
      </c>
      <c r="B689" s="70" t="s">
        <v>1016</v>
      </c>
      <c r="C689" s="21">
        <v>19000283</v>
      </c>
      <c r="D689" s="21" t="s">
        <v>1400</v>
      </c>
      <c r="E689" s="516" t="s">
        <v>964</v>
      </c>
      <c r="F689" s="24">
        <v>1</v>
      </c>
      <c r="G689" s="48">
        <v>20</v>
      </c>
      <c r="H689" s="60">
        <f t="shared" si="64"/>
        <v>20</v>
      </c>
      <c r="I689" s="61" t="s">
        <v>104</v>
      </c>
      <c r="J689" s="63" t="s">
        <v>198</v>
      </c>
      <c r="K689" s="30">
        <v>43675</v>
      </c>
      <c r="L689" s="30"/>
      <c r="M689" s="30">
        <v>43672</v>
      </c>
      <c r="N689" s="50" t="s">
        <v>178</v>
      </c>
      <c r="O689" s="93"/>
      <c r="P689" s="406"/>
      <c r="Q689" s="406">
        <f t="shared" si="62"/>
        <v>0</v>
      </c>
      <c r="R689" s="406"/>
      <c r="S689" s="406"/>
      <c r="T689" s="406">
        <v>225</v>
      </c>
      <c r="U689" s="406">
        <f>(T689*F689)*1.05</f>
        <v>236.25</v>
      </c>
      <c r="V689" s="51" t="s">
        <v>93</v>
      </c>
      <c r="W689" s="304"/>
      <c r="X689" s="304"/>
      <c r="Y689" s="304"/>
      <c r="Z689" s="304"/>
      <c r="AA689" s="304"/>
      <c r="AB689" s="304" t="s">
        <v>2847</v>
      </c>
      <c r="AC689" s="304">
        <v>124730903</v>
      </c>
      <c r="AD689" s="304"/>
      <c r="AE689" s="304"/>
      <c r="AF689" s="304"/>
      <c r="AG689" s="296"/>
      <c r="AH689" s="296"/>
      <c r="AI689" s="297"/>
      <c r="AJ689" s="298">
        <v>43676</v>
      </c>
      <c r="AK689" s="297" t="s">
        <v>2112</v>
      </c>
      <c r="AL689" s="297" t="s">
        <v>2113</v>
      </c>
      <c r="AM689" s="296" t="s">
        <v>49</v>
      </c>
      <c r="AN689" s="296" t="s">
        <v>284</v>
      </c>
      <c r="AO689" s="296" t="s">
        <v>50</v>
      </c>
      <c r="AP689" s="296" t="s">
        <v>51</v>
      </c>
      <c r="AQ689" s="296" t="s">
        <v>506</v>
      </c>
    </row>
    <row r="690" spans="1:43" ht="15.75" customHeight="1">
      <c r="A690" s="69">
        <v>43669</v>
      </c>
      <c r="B690" s="70" t="s">
        <v>1403</v>
      </c>
      <c r="C690" s="21" t="s">
        <v>1404</v>
      </c>
      <c r="D690" s="491" t="s">
        <v>1405</v>
      </c>
      <c r="E690" s="32" t="s">
        <v>1406</v>
      </c>
      <c r="F690" s="24">
        <v>7</v>
      </c>
      <c r="G690" s="48">
        <v>2475</v>
      </c>
      <c r="H690" s="60">
        <f t="shared" si="64"/>
        <v>17325</v>
      </c>
      <c r="I690" s="61" t="s">
        <v>104</v>
      </c>
      <c r="J690" s="517"/>
      <c r="K690" s="298">
        <v>43685</v>
      </c>
      <c r="L690" s="298"/>
      <c r="M690" s="30">
        <v>43682</v>
      </c>
      <c r="N690" s="58" t="s">
        <v>2212</v>
      </c>
      <c r="O690" s="93" t="s">
        <v>2849</v>
      </c>
      <c r="P690" s="406"/>
      <c r="Q690" s="406">
        <f t="shared" si="62"/>
        <v>0</v>
      </c>
      <c r="R690" s="406"/>
      <c r="S690" s="406"/>
      <c r="T690" s="406">
        <v>69800</v>
      </c>
      <c r="U690" s="406">
        <f>(T690*F690)*1.05</f>
        <v>513030</v>
      </c>
      <c r="V690" s="20" t="s">
        <v>2214</v>
      </c>
      <c r="W690" s="460">
        <v>43713</v>
      </c>
      <c r="X690" s="460">
        <v>43684</v>
      </c>
      <c r="Y690" s="304" t="s">
        <v>1407</v>
      </c>
      <c r="Z690" s="304">
        <v>513030</v>
      </c>
      <c r="AA690" s="460">
        <v>43713</v>
      </c>
      <c r="AB690" s="304" t="s">
        <v>2850</v>
      </c>
      <c r="AC690" s="304" t="s">
        <v>2851</v>
      </c>
      <c r="AD690" s="304"/>
      <c r="AE690" s="304"/>
      <c r="AF690" s="304"/>
      <c r="AG690" s="296"/>
      <c r="AH690" s="296"/>
      <c r="AI690" s="297"/>
      <c r="AJ690" s="298">
        <v>43675</v>
      </c>
      <c r="AK690" s="297">
        <f>17310.34*31.05</f>
        <v>537486.05700000003</v>
      </c>
      <c r="AL690" s="297">
        <f>(17325-17310.34)*31.05</f>
        <v>455.19299999999549</v>
      </c>
      <c r="AM690" s="296" t="s">
        <v>49</v>
      </c>
      <c r="AN690" s="296" t="s">
        <v>284</v>
      </c>
      <c r="AO690" s="296" t="s">
        <v>50</v>
      </c>
      <c r="AP690" s="296" t="s">
        <v>51</v>
      </c>
      <c r="AQ690" s="296" t="s">
        <v>506</v>
      </c>
    </row>
    <row r="691" spans="1:43" ht="15.75" customHeight="1">
      <c r="A691" s="69">
        <v>43671</v>
      </c>
      <c r="B691" s="70" t="s">
        <v>222</v>
      </c>
      <c r="C691" s="21" t="s">
        <v>1408</v>
      </c>
      <c r="D691" s="21" t="s">
        <v>1409</v>
      </c>
      <c r="E691" s="32" t="s">
        <v>1410</v>
      </c>
      <c r="F691" s="24">
        <v>5</v>
      </c>
      <c r="G691" s="48">
        <f>251*1.05</f>
        <v>263.55</v>
      </c>
      <c r="H691" s="60">
        <f t="shared" si="64"/>
        <v>1317.75</v>
      </c>
      <c r="I691" s="61" t="s">
        <v>143</v>
      </c>
      <c r="J691" s="50" t="s">
        <v>89</v>
      </c>
      <c r="K691" s="145">
        <v>43696</v>
      </c>
      <c r="L691" s="145"/>
      <c r="M691" s="145">
        <v>43696</v>
      </c>
      <c r="N691" s="50" t="s">
        <v>89</v>
      </c>
      <c r="O691" s="93" t="s">
        <v>2852</v>
      </c>
      <c r="P691" s="406">
        <v>228</v>
      </c>
      <c r="Q691" s="406">
        <f t="shared" si="62"/>
        <v>1197</v>
      </c>
      <c r="R691" s="406"/>
      <c r="S691" s="406"/>
      <c r="T691" s="406"/>
      <c r="U691" s="406">
        <v>37783</v>
      </c>
      <c r="V691" s="20" t="s">
        <v>2214</v>
      </c>
      <c r="W691" s="460">
        <v>43738</v>
      </c>
      <c r="X691" s="460">
        <v>43691</v>
      </c>
      <c r="Y691" s="304" t="s">
        <v>1411</v>
      </c>
      <c r="Z691" s="304">
        <v>37783</v>
      </c>
      <c r="AA691" s="460">
        <v>43739</v>
      </c>
      <c r="AB691" s="304" t="s">
        <v>2853</v>
      </c>
      <c r="AC691" s="304" t="s">
        <v>2854</v>
      </c>
      <c r="AD691" s="304">
        <v>31.36</v>
      </c>
      <c r="AE691" s="304">
        <v>41325</v>
      </c>
      <c r="AF691" s="460">
        <v>43697</v>
      </c>
      <c r="AG691" s="296"/>
      <c r="AH691" s="296"/>
      <c r="AI691" s="297"/>
      <c r="AJ691" s="298">
        <v>43718</v>
      </c>
      <c r="AK691" s="297" t="s">
        <v>2802</v>
      </c>
      <c r="AL691" s="297" t="s">
        <v>2803</v>
      </c>
      <c r="AM691" s="296" t="s">
        <v>49</v>
      </c>
      <c r="AN691" s="296" t="s">
        <v>284</v>
      </c>
      <c r="AO691" s="296" t="s">
        <v>50</v>
      </c>
      <c r="AP691" s="296" t="s">
        <v>376</v>
      </c>
      <c r="AQ691" s="296" t="s">
        <v>506</v>
      </c>
    </row>
    <row r="692" spans="1:43" ht="15.75" customHeight="1">
      <c r="A692" s="69">
        <v>43672</v>
      </c>
      <c r="B692" s="70" t="s">
        <v>577</v>
      </c>
      <c r="C692" s="21">
        <v>20190723004</v>
      </c>
      <c r="D692" s="21" t="s">
        <v>1412</v>
      </c>
      <c r="E692" s="32" t="s">
        <v>1413</v>
      </c>
      <c r="F692" s="24">
        <v>1</v>
      </c>
      <c r="G692" s="48">
        <v>96.6</v>
      </c>
      <c r="H692" s="60">
        <f t="shared" si="64"/>
        <v>96.6</v>
      </c>
      <c r="I692" s="61" t="s">
        <v>247</v>
      </c>
      <c r="J692" s="58" t="s">
        <v>1414</v>
      </c>
      <c r="K692" s="298">
        <v>43676</v>
      </c>
      <c r="L692" s="298"/>
      <c r="M692" s="298">
        <v>43676</v>
      </c>
      <c r="N692" s="58" t="s">
        <v>1414</v>
      </c>
      <c r="O692" s="93" t="s">
        <v>2855</v>
      </c>
      <c r="P692" s="406">
        <v>80</v>
      </c>
      <c r="Q692" s="406">
        <f t="shared" si="62"/>
        <v>84</v>
      </c>
      <c r="R692" s="406"/>
      <c r="S692" s="406"/>
      <c r="T692" s="406"/>
      <c r="U692" s="406">
        <v>2610</v>
      </c>
      <c r="V692" s="501" t="s">
        <v>1947</v>
      </c>
      <c r="W692" s="460">
        <v>43738</v>
      </c>
      <c r="X692" s="460">
        <v>43676</v>
      </c>
      <c r="Y692" s="304" t="s">
        <v>1415</v>
      </c>
      <c r="Z692" s="304">
        <v>2610</v>
      </c>
      <c r="AA692" s="460">
        <v>43738</v>
      </c>
      <c r="AB692" s="304" t="s">
        <v>2856</v>
      </c>
      <c r="AC692" s="304" t="s">
        <v>2857</v>
      </c>
      <c r="AD692" s="304">
        <v>31</v>
      </c>
      <c r="AE692" s="304">
        <v>2995</v>
      </c>
      <c r="AF692" s="304"/>
      <c r="AG692" s="296"/>
      <c r="AH692" s="296"/>
      <c r="AI692" s="297"/>
      <c r="AJ692" s="298">
        <v>43661</v>
      </c>
      <c r="AK692" s="297" t="s">
        <v>2858</v>
      </c>
      <c r="AL692" s="297">
        <v>0</v>
      </c>
      <c r="AM692" s="296" t="s">
        <v>49</v>
      </c>
      <c r="AN692" s="296" t="s">
        <v>284</v>
      </c>
      <c r="AO692" s="296" t="s">
        <v>50</v>
      </c>
      <c r="AP692" s="296" t="s">
        <v>376</v>
      </c>
      <c r="AQ692" s="296" t="s">
        <v>506</v>
      </c>
    </row>
    <row r="693" spans="1:43" ht="15.75" customHeight="1">
      <c r="A693" s="69">
        <v>43672</v>
      </c>
      <c r="B693" s="70" t="s">
        <v>1236</v>
      </c>
      <c r="C693" s="21" t="s">
        <v>1416</v>
      </c>
      <c r="D693" s="518" t="s">
        <v>1417</v>
      </c>
      <c r="E693" s="32" t="s">
        <v>1418</v>
      </c>
      <c r="F693" s="24">
        <v>5</v>
      </c>
      <c r="G693" s="74">
        <v>576</v>
      </c>
      <c r="H693" s="60">
        <f t="shared" si="64"/>
        <v>2880</v>
      </c>
      <c r="I693" s="61" t="s">
        <v>104</v>
      </c>
      <c r="J693" s="517" t="s">
        <v>133</v>
      </c>
      <c r="K693" s="29">
        <v>43692</v>
      </c>
      <c r="L693" s="29"/>
      <c r="M693" s="296" t="s">
        <v>2859</v>
      </c>
      <c r="N693" s="50" t="s">
        <v>1995</v>
      </c>
      <c r="O693" s="93" t="s">
        <v>2860</v>
      </c>
      <c r="P693" s="406"/>
      <c r="Q693" s="406">
        <f t="shared" si="62"/>
        <v>0</v>
      </c>
      <c r="R693" s="406"/>
      <c r="S693" s="406"/>
      <c r="T693" s="406">
        <v>16477.7</v>
      </c>
      <c r="U693" s="406">
        <v>86508</v>
      </c>
      <c r="V693" s="51" t="s">
        <v>1997</v>
      </c>
      <c r="W693" s="460">
        <v>43738</v>
      </c>
      <c r="X693" s="460">
        <v>43684</v>
      </c>
      <c r="Y693" s="304" t="s">
        <v>1419</v>
      </c>
      <c r="Z693" s="304">
        <v>86508</v>
      </c>
      <c r="AA693" s="460">
        <v>43739</v>
      </c>
      <c r="AB693" s="304" t="s">
        <v>2861</v>
      </c>
      <c r="AC693" s="304">
        <v>1970329620</v>
      </c>
      <c r="AD693" s="304">
        <v>31.565000000000001</v>
      </c>
      <c r="AE693" s="304"/>
      <c r="AF693" s="304"/>
      <c r="AG693" s="296"/>
      <c r="AH693" s="296"/>
      <c r="AI693" s="297"/>
      <c r="AJ693" s="298">
        <v>43734</v>
      </c>
      <c r="AK693" s="297" t="s">
        <v>2742</v>
      </c>
      <c r="AL693" s="297" t="s">
        <v>2743</v>
      </c>
      <c r="AM693" s="296" t="s">
        <v>49</v>
      </c>
      <c r="AN693" s="296" t="s">
        <v>284</v>
      </c>
      <c r="AO693" s="296" t="s">
        <v>50</v>
      </c>
      <c r="AP693" s="296" t="s">
        <v>51</v>
      </c>
      <c r="AQ693" s="296" t="s">
        <v>506</v>
      </c>
    </row>
    <row r="694" spans="1:43" ht="15.75" customHeight="1">
      <c r="A694" s="69">
        <v>43672</v>
      </c>
      <c r="B694" s="70" t="s">
        <v>1236</v>
      </c>
      <c r="C694" s="21" t="s">
        <v>1416</v>
      </c>
      <c r="D694" s="518" t="s">
        <v>1417</v>
      </c>
      <c r="E694" s="32" t="s">
        <v>1045</v>
      </c>
      <c r="F694" s="24">
        <v>5</v>
      </c>
      <c r="G694" s="74">
        <v>219</v>
      </c>
      <c r="H694" s="60">
        <f t="shared" si="64"/>
        <v>1095</v>
      </c>
      <c r="I694" s="61" t="s">
        <v>104</v>
      </c>
      <c r="J694" s="517" t="s">
        <v>133</v>
      </c>
      <c r="K694" s="29">
        <v>43692</v>
      </c>
      <c r="L694" s="29"/>
      <c r="M694" s="29">
        <v>43690</v>
      </c>
      <c r="N694" s="58" t="s">
        <v>1414</v>
      </c>
      <c r="O694" s="93" t="s">
        <v>2862</v>
      </c>
      <c r="P694" s="406">
        <v>195</v>
      </c>
      <c r="Q694" s="406">
        <f t="shared" si="62"/>
        <v>1023.75</v>
      </c>
      <c r="R694" s="406"/>
      <c r="S694" s="406"/>
      <c r="T694" s="406"/>
      <c r="U694" s="406">
        <v>31802</v>
      </c>
      <c r="V694" s="415" t="s">
        <v>1947</v>
      </c>
      <c r="W694" s="460">
        <v>43738</v>
      </c>
      <c r="X694" s="460">
        <v>43689</v>
      </c>
      <c r="Y694" s="304" t="s">
        <v>1420</v>
      </c>
      <c r="Z694" s="304">
        <v>31802</v>
      </c>
      <c r="AA694" s="460">
        <v>43738</v>
      </c>
      <c r="AB694" s="304" t="s">
        <v>2861</v>
      </c>
      <c r="AC694" s="304">
        <v>1970329620</v>
      </c>
      <c r="AD694" s="304">
        <v>31.565000000000001</v>
      </c>
      <c r="AE694" s="304"/>
      <c r="AF694" s="304"/>
      <c r="AG694" s="296"/>
      <c r="AH694" s="296"/>
      <c r="AI694" s="297"/>
      <c r="AJ694" s="298">
        <v>43734</v>
      </c>
      <c r="AK694" s="297" t="s">
        <v>2742</v>
      </c>
      <c r="AL694" s="297" t="s">
        <v>2743</v>
      </c>
      <c r="AM694" s="296" t="s">
        <v>49</v>
      </c>
      <c r="AN694" s="296" t="s">
        <v>284</v>
      </c>
      <c r="AO694" s="296" t="s">
        <v>50</v>
      </c>
      <c r="AP694" s="296" t="s">
        <v>51</v>
      </c>
      <c r="AQ694" s="296" t="s">
        <v>506</v>
      </c>
    </row>
    <row r="695" spans="1:43" ht="15.75" customHeight="1">
      <c r="A695" s="69">
        <v>43672</v>
      </c>
      <c r="B695" s="70" t="s">
        <v>1236</v>
      </c>
      <c r="C695" s="21" t="s">
        <v>1416</v>
      </c>
      <c r="D695" s="491" t="s">
        <v>1417</v>
      </c>
      <c r="E695" s="32" t="s">
        <v>1421</v>
      </c>
      <c r="F695" s="24">
        <v>5</v>
      </c>
      <c r="G695" s="74">
        <v>54</v>
      </c>
      <c r="H695" s="60">
        <f t="shared" si="64"/>
        <v>270</v>
      </c>
      <c r="I695" s="61" t="s">
        <v>104</v>
      </c>
      <c r="J695" s="517" t="s">
        <v>133</v>
      </c>
      <c r="K695" s="29">
        <v>43692</v>
      </c>
      <c r="L695" s="29"/>
      <c r="M695" s="29">
        <v>43677</v>
      </c>
      <c r="N695" s="50" t="s">
        <v>1952</v>
      </c>
      <c r="O695" s="93" t="s">
        <v>2863</v>
      </c>
      <c r="P695" s="406"/>
      <c r="Q695" s="406">
        <f t="shared" si="62"/>
        <v>0</v>
      </c>
      <c r="R695" s="406"/>
      <c r="S695" s="406"/>
      <c r="T695" s="406">
        <v>1181.42</v>
      </c>
      <c r="U695" s="406">
        <v>6202</v>
      </c>
      <c r="V695" s="51" t="s">
        <v>1954</v>
      </c>
      <c r="W695" s="460">
        <v>43713</v>
      </c>
      <c r="X695" s="460">
        <v>43676</v>
      </c>
      <c r="Y695" s="304" t="s">
        <v>1422</v>
      </c>
      <c r="Z695" s="304">
        <v>6202</v>
      </c>
      <c r="AA695" s="460">
        <v>43713</v>
      </c>
      <c r="AB695" s="304" t="s">
        <v>2861</v>
      </c>
      <c r="AC695" s="304">
        <v>1970329620</v>
      </c>
      <c r="AD695" s="304">
        <v>31.565000000000001</v>
      </c>
      <c r="AE695" s="304"/>
      <c r="AF695" s="304"/>
      <c r="AG695" s="296"/>
      <c r="AH695" s="296"/>
      <c r="AI695" s="297"/>
      <c r="AJ695" s="298">
        <v>43734</v>
      </c>
      <c r="AK695" s="297" t="s">
        <v>2742</v>
      </c>
      <c r="AL695" s="297" t="s">
        <v>2743</v>
      </c>
      <c r="AM695" s="296" t="s">
        <v>49</v>
      </c>
      <c r="AN695" s="296" t="s">
        <v>284</v>
      </c>
      <c r="AO695" s="296" t="s">
        <v>50</v>
      </c>
      <c r="AP695" s="296" t="s">
        <v>51</v>
      </c>
      <c r="AQ695" s="296" t="s">
        <v>506</v>
      </c>
    </row>
    <row r="696" spans="1:43" ht="15.75" customHeight="1">
      <c r="A696" s="69">
        <v>43672</v>
      </c>
      <c r="B696" s="70" t="s">
        <v>118</v>
      </c>
      <c r="C696" s="21" t="s">
        <v>1423</v>
      </c>
      <c r="D696" s="21" t="s">
        <v>1424</v>
      </c>
      <c r="E696" s="519" t="s">
        <v>164</v>
      </c>
      <c r="F696" s="24">
        <v>100</v>
      </c>
      <c r="G696" s="48">
        <v>105</v>
      </c>
      <c r="H696" s="60">
        <f t="shared" ref="H696:H702" si="65">G696*F696</f>
        <v>10500</v>
      </c>
      <c r="I696" s="61" t="s">
        <v>247</v>
      </c>
      <c r="J696" s="82" t="s">
        <v>121</v>
      </c>
      <c r="K696" s="84">
        <v>43732</v>
      </c>
      <c r="L696" s="84"/>
      <c r="M696" s="84">
        <v>43728</v>
      </c>
      <c r="N696" s="50" t="s">
        <v>89</v>
      </c>
      <c r="O696" s="32" t="s">
        <v>2864</v>
      </c>
      <c r="P696" s="406">
        <v>82</v>
      </c>
      <c r="Q696" s="406">
        <f t="shared" si="62"/>
        <v>8610</v>
      </c>
      <c r="R696" s="406"/>
      <c r="S696" s="406"/>
      <c r="T696" s="406"/>
      <c r="U696" s="406">
        <v>268804</v>
      </c>
      <c r="V696" s="35" t="s">
        <v>93</v>
      </c>
      <c r="W696" s="303">
        <v>43769</v>
      </c>
      <c r="X696" s="460">
        <v>43728</v>
      </c>
      <c r="Y696" s="304" t="s">
        <v>1425</v>
      </c>
      <c r="Z696" s="304" t="s">
        <v>2865</v>
      </c>
      <c r="AA696" s="304"/>
      <c r="AB696" s="304" t="s">
        <v>2866</v>
      </c>
      <c r="AC696" s="304" t="s">
        <v>2867</v>
      </c>
      <c r="AD696" s="304">
        <v>30.984999999999999</v>
      </c>
      <c r="AE696" s="304"/>
      <c r="AF696" s="304"/>
      <c r="AG696" s="296"/>
      <c r="AH696" s="296"/>
      <c r="AI696" s="297"/>
      <c r="AJ696" s="298">
        <v>43696</v>
      </c>
      <c r="AK696" s="297">
        <f>15982.01*31.3</f>
        <v>500236.913</v>
      </c>
      <c r="AL696" s="297">
        <f>(16000-15982.01)*31.3</f>
        <v>563.08699999999317</v>
      </c>
      <c r="AM696" s="296" t="s">
        <v>49</v>
      </c>
      <c r="AN696" s="296" t="s">
        <v>284</v>
      </c>
      <c r="AO696" s="296" t="s">
        <v>50</v>
      </c>
      <c r="AP696" s="296" t="s">
        <v>51</v>
      </c>
      <c r="AQ696" s="296" t="s">
        <v>1118</v>
      </c>
    </row>
    <row r="697" spans="1:43" ht="15.75" customHeight="1">
      <c r="A697" s="69">
        <v>43676</v>
      </c>
      <c r="B697" s="144" t="s">
        <v>1236</v>
      </c>
      <c r="C697" s="21"/>
      <c r="D697" s="21" t="s">
        <v>1426</v>
      </c>
      <c r="E697" s="32" t="s">
        <v>346</v>
      </c>
      <c r="F697" s="24">
        <v>1</v>
      </c>
      <c r="G697" s="48">
        <v>96</v>
      </c>
      <c r="H697" s="26">
        <f t="shared" si="65"/>
        <v>96</v>
      </c>
      <c r="I697" s="61" t="s">
        <v>104</v>
      </c>
      <c r="J697" s="50" t="s">
        <v>1427</v>
      </c>
      <c r="K697" s="29">
        <v>43676</v>
      </c>
      <c r="L697" s="29"/>
      <c r="M697" s="30"/>
      <c r="N697" s="50" t="s">
        <v>262</v>
      </c>
      <c r="O697" s="93"/>
      <c r="P697" s="406"/>
      <c r="Q697" s="406"/>
      <c r="R697" s="406"/>
      <c r="S697" s="406"/>
      <c r="T697" s="406"/>
      <c r="U697" s="406">
        <v>2482</v>
      </c>
      <c r="V697" s="406"/>
      <c r="W697" s="460">
        <v>43708</v>
      </c>
      <c r="X697" s="460">
        <v>43686</v>
      </c>
      <c r="Y697" s="304" t="s">
        <v>1428</v>
      </c>
      <c r="Z697" s="304">
        <v>2482</v>
      </c>
      <c r="AA697" s="460">
        <v>43710</v>
      </c>
      <c r="AB697" s="304" t="s">
        <v>2868</v>
      </c>
      <c r="AC697" s="304">
        <v>5695874096</v>
      </c>
      <c r="AD697" s="304"/>
      <c r="AE697" s="304"/>
      <c r="AF697" s="304"/>
      <c r="AG697" s="296"/>
      <c r="AH697" s="296"/>
      <c r="AI697" s="297"/>
      <c r="AJ697" s="298">
        <v>43734</v>
      </c>
      <c r="AK697" s="297" t="s">
        <v>2742</v>
      </c>
      <c r="AL697" s="297" t="s">
        <v>2743</v>
      </c>
      <c r="AM697" s="296" t="s">
        <v>49</v>
      </c>
      <c r="AN697" s="296" t="s">
        <v>284</v>
      </c>
      <c r="AO697" s="296" t="s">
        <v>285</v>
      </c>
      <c r="AP697" s="296" t="s">
        <v>51</v>
      </c>
      <c r="AQ697" s="296" t="s">
        <v>506</v>
      </c>
    </row>
    <row r="698" spans="1:43" ht="15.75" customHeight="1">
      <c r="A698" s="69">
        <v>43677</v>
      </c>
      <c r="B698" s="70" t="s">
        <v>892</v>
      </c>
      <c r="C698" s="21" t="s">
        <v>1429</v>
      </c>
      <c r="D698" s="21" t="s">
        <v>1430</v>
      </c>
      <c r="E698" s="22" t="s">
        <v>1431</v>
      </c>
      <c r="F698" s="24">
        <v>28</v>
      </c>
      <c r="G698" s="48">
        <v>212</v>
      </c>
      <c r="H698" s="60">
        <f t="shared" si="65"/>
        <v>5936</v>
      </c>
      <c r="I698" s="61" t="s">
        <v>104</v>
      </c>
      <c r="J698" s="63" t="s">
        <v>920</v>
      </c>
      <c r="K698" s="29">
        <v>43686</v>
      </c>
      <c r="L698" s="29"/>
      <c r="M698" s="84">
        <v>43684</v>
      </c>
      <c r="N698" s="50" t="s">
        <v>89</v>
      </c>
      <c r="O698" s="93" t="s">
        <v>2869</v>
      </c>
      <c r="P698" s="406">
        <v>180</v>
      </c>
      <c r="Q698" s="406">
        <f t="shared" ref="Q698:Q703" si="66">(P698*F698)*1.05</f>
        <v>5292</v>
      </c>
      <c r="R698" s="406"/>
      <c r="S698" s="406"/>
      <c r="T698" s="406"/>
      <c r="U698" s="406">
        <v>164158</v>
      </c>
      <c r="V698" s="35" t="s">
        <v>93</v>
      </c>
      <c r="W698" s="460">
        <v>43738</v>
      </c>
      <c r="X698" s="460">
        <v>43683</v>
      </c>
      <c r="Y698" s="304" t="s">
        <v>1432</v>
      </c>
      <c r="Z698" s="304">
        <v>237642</v>
      </c>
      <c r="AA698" s="460">
        <v>43739</v>
      </c>
      <c r="AB698" s="304" t="s">
        <v>2870</v>
      </c>
      <c r="AC698" s="304">
        <v>128371168</v>
      </c>
      <c r="AD698" s="304"/>
      <c r="AE698" s="304"/>
      <c r="AF698" s="304"/>
      <c r="AG698" s="296"/>
      <c r="AH698" s="296"/>
      <c r="AI698" s="297"/>
      <c r="AJ698" s="298">
        <v>43678</v>
      </c>
      <c r="AK698" s="297">
        <f>8521.17*31.09</f>
        <v>264923.1753</v>
      </c>
      <c r="AL698" s="297">
        <f>(8538.6-8521.17)*31.09</f>
        <v>541.89870000000906</v>
      </c>
      <c r="AM698" s="296" t="s">
        <v>49</v>
      </c>
      <c r="AN698" s="296" t="s">
        <v>284</v>
      </c>
      <c r="AO698" s="296" t="s">
        <v>50</v>
      </c>
      <c r="AP698" s="296" t="s">
        <v>51</v>
      </c>
      <c r="AQ698" s="296" t="s">
        <v>506</v>
      </c>
    </row>
    <row r="699" spans="1:43" ht="15.75" customHeight="1">
      <c r="A699" s="69">
        <v>43677</v>
      </c>
      <c r="B699" s="70" t="s">
        <v>892</v>
      </c>
      <c r="C699" s="21" t="s">
        <v>1429</v>
      </c>
      <c r="D699" s="21" t="s">
        <v>1430</v>
      </c>
      <c r="E699" s="22" t="s">
        <v>947</v>
      </c>
      <c r="F699" s="24">
        <v>4</v>
      </c>
      <c r="G699" s="48">
        <v>340</v>
      </c>
      <c r="H699" s="60">
        <f t="shared" si="65"/>
        <v>1360</v>
      </c>
      <c r="I699" s="61" t="s">
        <v>104</v>
      </c>
      <c r="J699" s="63" t="s">
        <v>920</v>
      </c>
      <c r="K699" s="29">
        <v>43686</v>
      </c>
      <c r="L699" s="29"/>
      <c r="M699" s="84">
        <v>43684</v>
      </c>
      <c r="N699" s="50" t="s">
        <v>89</v>
      </c>
      <c r="O699" s="93" t="s">
        <v>2869</v>
      </c>
      <c r="P699" s="406">
        <v>290.27999999999997</v>
      </c>
      <c r="Q699" s="406">
        <f t="shared" si="66"/>
        <v>1219.1759999999999</v>
      </c>
      <c r="R699" s="406"/>
      <c r="S699" s="406"/>
      <c r="T699" s="406"/>
      <c r="U699" s="406">
        <v>37818</v>
      </c>
      <c r="V699" s="35" t="s">
        <v>93</v>
      </c>
      <c r="W699" s="460">
        <v>43738</v>
      </c>
      <c r="X699" s="460">
        <v>43683</v>
      </c>
      <c r="Y699" s="304" t="s">
        <v>1432</v>
      </c>
      <c r="Z699" s="304" t="s">
        <v>2871</v>
      </c>
      <c r="AA699" s="460">
        <v>43739</v>
      </c>
      <c r="AB699" s="304" t="s">
        <v>2870</v>
      </c>
      <c r="AC699" s="304">
        <v>128371168</v>
      </c>
      <c r="AD699" s="304"/>
      <c r="AE699" s="304"/>
      <c r="AF699" s="304"/>
      <c r="AG699" s="296"/>
      <c r="AH699" s="296"/>
      <c r="AI699" s="297"/>
      <c r="AJ699" s="298">
        <v>43678</v>
      </c>
      <c r="AK699" s="297" t="s">
        <v>2872</v>
      </c>
      <c r="AL699" s="297" t="s">
        <v>2873</v>
      </c>
      <c r="AM699" s="296" t="s">
        <v>49</v>
      </c>
      <c r="AN699" s="296" t="s">
        <v>284</v>
      </c>
      <c r="AO699" s="296" t="s">
        <v>50</v>
      </c>
      <c r="AP699" s="296" t="s">
        <v>51</v>
      </c>
      <c r="AQ699" s="296" t="s">
        <v>506</v>
      </c>
    </row>
    <row r="700" spans="1:43" ht="15.75" customHeight="1">
      <c r="A700" s="69">
        <v>43677</v>
      </c>
      <c r="B700" s="70" t="s">
        <v>892</v>
      </c>
      <c r="C700" s="21" t="s">
        <v>1429</v>
      </c>
      <c r="D700" s="21" t="s">
        <v>1430</v>
      </c>
      <c r="E700" s="22" t="s">
        <v>1433</v>
      </c>
      <c r="F700" s="24">
        <v>72</v>
      </c>
      <c r="G700" s="48">
        <v>5.8</v>
      </c>
      <c r="H700" s="60">
        <f t="shared" si="65"/>
        <v>417.59999999999997</v>
      </c>
      <c r="I700" s="61" t="s">
        <v>104</v>
      </c>
      <c r="J700" s="63" t="s">
        <v>920</v>
      </c>
      <c r="K700" s="29">
        <v>43686</v>
      </c>
      <c r="L700" s="29"/>
      <c r="M700" s="84">
        <v>43684</v>
      </c>
      <c r="N700" s="50" t="s">
        <v>89</v>
      </c>
      <c r="O700" s="93" t="s">
        <v>2869</v>
      </c>
      <c r="P700" s="406">
        <v>5</v>
      </c>
      <c r="Q700" s="406">
        <f t="shared" si="66"/>
        <v>378</v>
      </c>
      <c r="R700" s="406"/>
      <c r="S700" s="406"/>
      <c r="T700" s="406"/>
      <c r="U700" s="406">
        <v>11726</v>
      </c>
      <c r="V700" s="51" t="s">
        <v>93</v>
      </c>
      <c r="W700" s="460">
        <v>43738</v>
      </c>
      <c r="X700" s="460">
        <v>43683</v>
      </c>
      <c r="Y700" s="304" t="s">
        <v>1432</v>
      </c>
      <c r="Z700" s="304" t="s">
        <v>2871</v>
      </c>
      <c r="AA700" s="460">
        <v>43739</v>
      </c>
      <c r="AB700" s="304" t="s">
        <v>2870</v>
      </c>
      <c r="AC700" s="304">
        <v>128371168</v>
      </c>
      <c r="AD700" s="304"/>
      <c r="AE700" s="304"/>
      <c r="AF700" s="304"/>
      <c r="AG700" s="296"/>
      <c r="AH700" s="296"/>
      <c r="AI700" s="297"/>
      <c r="AJ700" s="298">
        <v>43678</v>
      </c>
      <c r="AK700" s="297" t="s">
        <v>2872</v>
      </c>
      <c r="AL700" s="297" t="s">
        <v>2873</v>
      </c>
      <c r="AM700" s="296" t="s">
        <v>49</v>
      </c>
      <c r="AN700" s="296" t="s">
        <v>284</v>
      </c>
      <c r="AO700" s="296" t="s">
        <v>50</v>
      </c>
      <c r="AP700" s="296" t="s">
        <v>51</v>
      </c>
      <c r="AQ700" s="296" t="s">
        <v>506</v>
      </c>
    </row>
    <row r="701" spans="1:43" ht="15.75" customHeight="1">
      <c r="A701" s="69">
        <v>43677</v>
      </c>
      <c r="B701" s="70" t="s">
        <v>892</v>
      </c>
      <c r="C701" s="21" t="s">
        <v>1429</v>
      </c>
      <c r="D701" s="21" t="s">
        <v>1430</v>
      </c>
      <c r="E701" s="22" t="s">
        <v>1434</v>
      </c>
      <c r="F701" s="24">
        <v>3</v>
      </c>
      <c r="G701" s="48">
        <v>275</v>
      </c>
      <c r="H701" s="60">
        <f t="shared" si="65"/>
        <v>825</v>
      </c>
      <c r="I701" s="61" t="s">
        <v>104</v>
      </c>
      <c r="J701" s="63" t="s">
        <v>70</v>
      </c>
      <c r="K701" s="29">
        <v>43686</v>
      </c>
      <c r="L701" s="29"/>
      <c r="M701" s="84">
        <v>43684</v>
      </c>
      <c r="N701" s="50" t="s">
        <v>89</v>
      </c>
      <c r="O701" s="93" t="s">
        <v>2869</v>
      </c>
      <c r="P701" s="406">
        <v>245</v>
      </c>
      <c r="Q701" s="406">
        <f t="shared" si="66"/>
        <v>771.75</v>
      </c>
      <c r="R701" s="406"/>
      <c r="S701" s="406"/>
      <c r="T701" s="406"/>
      <c r="U701" s="406">
        <v>23940</v>
      </c>
      <c r="V701" s="51" t="s">
        <v>93</v>
      </c>
      <c r="W701" s="460">
        <v>43738</v>
      </c>
      <c r="X701" s="460">
        <v>43683</v>
      </c>
      <c r="Y701" s="304" t="s">
        <v>1432</v>
      </c>
      <c r="Z701" s="304" t="s">
        <v>2871</v>
      </c>
      <c r="AA701" s="460">
        <v>43739</v>
      </c>
      <c r="AB701" s="304" t="s">
        <v>2870</v>
      </c>
      <c r="AC701" s="304">
        <v>128371168</v>
      </c>
      <c r="AD701" s="304"/>
      <c r="AE701" s="304"/>
      <c r="AF701" s="304"/>
      <c r="AG701" s="296"/>
      <c r="AH701" s="296"/>
      <c r="AI701" s="297"/>
      <c r="AJ701" s="298">
        <v>43678</v>
      </c>
      <c r="AK701" s="297" t="s">
        <v>2872</v>
      </c>
      <c r="AL701" s="297" t="s">
        <v>2873</v>
      </c>
      <c r="AM701" s="296" t="s">
        <v>49</v>
      </c>
      <c r="AN701" s="296" t="s">
        <v>284</v>
      </c>
      <c r="AO701" s="296" t="s">
        <v>50</v>
      </c>
      <c r="AP701" s="296" t="s">
        <v>51</v>
      </c>
      <c r="AQ701" s="296" t="s">
        <v>506</v>
      </c>
    </row>
    <row r="702" spans="1:43" ht="15.75" customHeight="1">
      <c r="A702" s="19">
        <v>43677</v>
      </c>
      <c r="B702" s="51" t="s">
        <v>53</v>
      </c>
      <c r="C702" s="21" t="s">
        <v>1435</v>
      </c>
      <c r="D702" s="22" t="s">
        <v>1436</v>
      </c>
      <c r="E702" s="32" t="s">
        <v>385</v>
      </c>
      <c r="F702" s="24">
        <v>10</v>
      </c>
      <c r="G702" s="48">
        <v>150.15</v>
      </c>
      <c r="H702" s="26">
        <f t="shared" si="65"/>
        <v>1501.5</v>
      </c>
      <c r="I702" s="27" t="s">
        <v>42</v>
      </c>
      <c r="J702" s="161" t="s">
        <v>89</v>
      </c>
      <c r="K702" s="30">
        <v>43699</v>
      </c>
      <c r="L702" s="30"/>
      <c r="M702" s="30">
        <v>43699</v>
      </c>
      <c r="N702" s="50" t="s">
        <v>89</v>
      </c>
      <c r="O702" s="32" t="s">
        <v>2874</v>
      </c>
      <c r="P702" s="406">
        <v>128</v>
      </c>
      <c r="Q702" s="406">
        <f t="shared" si="66"/>
        <v>1344</v>
      </c>
      <c r="R702" s="406"/>
      <c r="S702" s="406"/>
      <c r="T702" s="406"/>
      <c r="U702" s="406">
        <f>42087</f>
        <v>42087</v>
      </c>
      <c r="V702" s="51" t="s">
        <v>93</v>
      </c>
      <c r="W702" s="460">
        <v>43738</v>
      </c>
      <c r="X702" s="460">
        <v>43698</v>
      </c>
      <c r="Y702" s="304" t="s">
        <v>1437</v>
      </c>
      <c r="Z702" s="304">
        <v>42087</v>
      </c>
      <c r="AA702" s="460">
        <v>43739</v>
      </c>
      <c r="AB702" s="304" t="s">
        <v>2875</v>
      </c>
      <c r="AC702" s="304" t="s">
        <v>2876</v>
      </c>
      <c r="AD702" s="304">
        <v>31.366</v>
      </c>
      <c r="AE702" s="304">
        <v>47096</v>
      </c>
      <c r="AF702" s="460">
        <v>43699</v>
      </c>
      <c r="AG702" s="296"/>
      <c r="AH702" s="296"/>
      <c r="AI702" s="297"/>
      <c r="AJ702" s="298">
        <v>43733</v>
      </c>
      <c r="AK702" s="297">
        <v>47081</v>
      </c>
      <c r="AL702" s="297">
        <v>15</v>
      </c>
      <c r="AM702" s="296" t="s">
        <v>49</v>
      </c>
      <c r="AN702" s="296" t="s">
        <v>284</v>
      </c>
      <c r="AO702" s="296" t="s">
        <v>50</v>
      </c>
      <c r="AP702" s="296" t="s">
        <v>376</v>
      </c>
      <c r="AQ702" s="296" t="s">
        <v>506</v>
      </c>
    </row>
    <row r="703" spans="1:43" ht="15.75" customHeight="1">
      <c r="A703" s="69">
        <v>43678</v>
      </c>
      <c r="B703" s="70" t="s">
        <v>809</v>
      </c>
      <c r="C703" s="21"/>
      <c r="D703" s="21" t="s">
        <v>1438</v>
      </c>
      <c r="E703" s="23" t="s">
        <v>1439</v>
      </c>
      <c r="F703" s="24">
        <v>1</v>
      </c>
      <c r="G703" s="48">
        <v>303</v>
      </c>
      <c r="H703" s="60">
        <f>G703*1</f>
        <v>303</v>
      </c>
      <c r="I703" s="61" t="s">
        <v>247</v>
      </c>
      <c r="J703" s="50" t="s">
        <v>532</v>
      </c>
      <c r="K703" s="29">
        <v>43706</v>
      </c>
      <c r="L703" s="29"/>
      <c r="M703" s="694">
        <v>43704</v>
      </c>
      <c r="N703" s="50" t="s">
        <v>89</v>
      </c>
      <c r="O703" s="93" t="s">
        <v>2877</v>
      </c>
      <c r="P703" s="406">
        <v>266.5</v>
      </c>
      <c r="Q703" s="695">
        <f t="shared" si="66"/>
        <v>279.82499999999999</v>
      </c>
      <c r="R703" s="695"/>
      <c r="S703" s="695"/>
      <c r="T703" s="406"/>
      <c r="U703" s="406">
        <v>8763</v>
      </c>
      <c r="V703" s="35" t="s">
        <v>93</v>
      </c>
      <c r="W703" s="303">
        <v>43769</v>
      </c>
      <c r="X703" s="460">
        <v>43703</v>
      </c>
      <c r="Y703" s="304" t="s">
        <v>1440</v>
      </c>
      <c r="Z703" s="304">
        <v>8763</v>
      </c>
      <c r="AA703" s="304"/>
      <c r="AB703" s="304" t="s">
        <v>2878</v>
      </c>
      <c r="AC703" s="304">
        <v>5412011706</v>
      </c>
      <c r="AD703" s="304">
        <v>31.315000000000001</v>
      </c>
      <c r="AE703" s="304"/>
      <c r="AF703" s="304"/>
      <c r="AG703" s="296"/>
      <c r="AH703" s="296"/>
      <c r="AI703" s="297"/>
      <c r="AJ703" s="298">
        <v>43698</v>
      </c>
      <c r="AK703" s="297">
        <f>337.61*31.32</f>
        <v>10573.9452</v>
      </c>
      <c r="AL703" s="297">
        <f>(374-337.61)*31.32</f>
        <v>1139.7347999999995</v>
      </c>
      <c r="AM703" s="296" t="s">
        <v>49</v>
      </c>
      <c r="AN703" s="296" t="s">
        <v>284</v>
      </c>
      <c r="AO703" s="296" t="s">
        <v>50</v>
      </c>
      <c r="AP703" s="296" t="s">
        <v>51</v>
      </c>
      <c r="AQ703" s="296" t="s">
        <v>506</v>
      </c>
    </row>
    <row r="704" spans="1:43" ht="15.75" customHeight="1">
      <c r="A704" s="69">
        <v>43678</v>
      </c>
      <c r="B704" s="70" t="s">
        <v>809</v>
      </c>
      <c r="C704" s="21"/>
      <c r="D704" s="21" t="s">
        <v>1438</v>
      </c>
      <c r="E704" s="32" t="s">
        <v>346</v>
      </c>
      <c r="F704" s="24">
        <v>1</v>
      </c>
      <c r="G704" s="48">
        <v>31</v>
      </c>
      <c r="H704" s="60">
        <f t="shared" ref="H704:H712" si="67">G704*F704</f>
        <v>31</v>
      </c>
      <c r="I704" s="61" t="s">
        <v>247</v>
      </c>
      <c r="J704" s="50" t="s">
        <v>532</v>
      </c>
      <c r="K704" s="29">
        <v>43706</v>
      </c>
      <c r="L704" s="29"/>
      <c r="M704" s="302"/>
      <c r="N704" s="50" t="s">
        <v>532</v>
      </c>
      <c r="O704" s="93"/>
      <c r="P704" s="406"/>
      <c r="Q704" s="406"/>
      <c r="R704" s="406"/>
      <c r="S704" s="406"/>
      <c r="T704" s="406"/>
      <c r="U704" s="406">
        <v>1057</v>
      </c>
      <c r="V704" s="501" t="s">
        <v>262</v>
      </c>
      <c r="W704" s="460">
        <v>43738</v>
      </c>
      <c r="X704" s="460">
        <v>43708</v>
      </c>
      <c r="Y704" s="304" t="s">
        <v>1441</v>
      </c>
      <c r="Z704" s="304">
        <v>1057</v>
      </c>
      <c r="AA704" s="460">
        <v>43745</v>
      </c>
      <c r="AB704" s="304" t="s">
        <v>2878</v>
      </c>
      <c r="AC704" s="304">
        <v>5412011706</v>
      </c>
      <c r="AD704" s="304">
        <v>31.315000000000001</v>
      </c>
      <c r="AE704" s="304"/>
      <c r="AF704" s="304"/>
      <c r="AG704" s="296"/>
      <c r="AH704" s="296"/>
      <c r="AI704" s="297"/>
      <c r="AJ704" s="298">
        <v>43698</v>
      </c>
      <c r="AK704" s="297" t="s">
        <v>2879</v>
      </c>
      <c r="AL704" s="297" t="s">
        <v>2880</v>
      </c>
      <c r="AM704" s="296" t="s">
        <v>49</v>
      </c>
      <c r="AN704" s="296" t="s">
        <v>284</v>
      </c>
      <c r="AO704" s="296" t="s">
        <v>50</v>
      </c>
      <c r="AP704" s="296" t="s">
        <v>51</v>
      </c>
      <c r="AQ704" s="296" t="s">
        <v>506</v>
      </c>
    </row>
    <row r="705" spans="1:43" ht="15.75" customHeight="1">
      <c r="A705" s="69">
        <v>43678</v>
      </c>
      <c r="B705" s="70" t="s">
        <v>809</v>
      </c>
      <c r="C705" s="21"/>
      <c r="D705" s="21" t="s">
        <v>1442</v>
      </c>
      <c r="E705" s="32" t="s">
        <v>692</v>
      </c>
      <c r="F705" s="24">
        <v>1</v>
      </c>
      <c r="G705" s="48">
        <v>40</v>
      </c>
      <c r="H705" s="60">
        <f t="shared" si="67"/>
        <v>40</v>
      </c>
      <c r="I705" s="61" t="s">
        <v>247</v>
      </c>
      <c r="J705" s="50" t="s">
        <v>532</v>
      </c>
      <c r="K705" s="29">
        <v>43706</v>
      </c>
      <c r="L705" s="29"/>
      <c r="M705" s="665"/>
      <c r="N705" s="63" t="s">
        <v>219</v>
      </c>
      <c r="O705" s="64"/>
      <c r="P705" s="34"/>
      <c r="Q705" s="34"/>
      <c r="R705" s="34"/>
      <c r="S705" s="34"/>
      <c r="T705" s="34"/>
      <c r="U705" s="34"/>
      <c r="V705" s="66"/>
      <c r="W705" s="52"/>
      <c r="X705" s="53"/>
      <c r="Y705" s="53"/>
      <c r="Z705" s="53"/>
      <c r="AA705" s="53"/>
      <c r="AB705" s="53" t="s">
        <v>2878</v>
      </c>
      <c r="AC705" s="53">
        <v>5412011706</v>
      </c>
      <c r="AD705" s="53">
        <v>31.315000000000001</v>
      </c>
      <c r="AE705" s="53"/>
      <c r="AF705" s="53"/>
      <c r="AG705" s="54"/>
      <c r="AH705" s="54"/>
      <c r="AI705" s="55"/>
      <c r="AJ705" s="56">
        <v>43698</v>
      </c>
      <c r="AK705" s="55" t="s">
        <v>2879</v>
      </c>
      <c r="AL705" s="55" t="s">
        <v>2880</v>
      </c>
      <c r="AM705" s="54" t="s">
        <v>49</v>
      </c>
      <c r="AN705" s="54" t="s">
        <v>284</v>
      </c>
      <c r="AO705" s="54" t="s">
        <v>50</v>
      </c>
      <c r="AP705" s="54" t="s">
        <v>51</v>
      </c>
      <c r="AQ705" s="54"/>
    </row>
    <row r="706" spans="1:43" ht="15.75" customHeight="1">
      <c r="A706" s="69">
        <v>43678</v>
      </c>
      <c r="B706" s="70" t="s">
        <v>892</v>
      </c>
      <c r="C706" s="21" t="s">
        <v>1429</v>
      </c>
      <c r="D706" s="21" t="s">
        <v>1443</v>
      </c>
      <c r="E706" s="520" t="s">
        <v>1433</v>
      </c>
      <c r="F706" s="24">
        <v>18</v>
      </c>
      <c r="G706" s="48">
        <v>5.8</v>
      </c>
      <c r="H706" s="26">
        <f t="shared" si="67"/>
        <v>104.39999999999999</v>
      </c>
      <c r="I706" s="61" t="s">
        <v>104</v>
      </c>
      <c r="J706" s="63" t="s">
        <v>920</v>
      </c>
      <c r="K706" s="29">
        <v>43686</v>
      </c>
      <c r="L706" s="29"/>
      <c r="M706" s="30">
        <v>43684</v>
      </c>
      <c r="N706" s="50" t="s">
        <v>89</v>
      </c>
      <c r="O706" s="93" t="s">
        <v>2881</v>
      </c>
      <c r="P706" s="406">
        <v>5</v>
      </c>
      <c r="Q706" s="406">
        <f t="shared" ref="Q706:Q711" si="68">(P706*F706)*1.05</f>
        <v>94.5</v>
      </c>
      <c r="R706" s="406"/>
      <c r="S706" s="406"/>
      <c r="T706" s="406"/>
      <c r="U706" s="406">
        <v>2931</v>
      </c>
      <c r="V706" s="51" t="s">
        <v>93</v>
      </c>
      <c r="W706" s="460">
        <v>43738</v>
      </c>
      <c r="X706" s="460">
        <v>43683</v>
      </c>
      <c r="Y706" s="304" t="s">
        <v>1444</v>
      </c>
      <c r="Z706" s="304">
        <v>43906</v>
      </c>
      <c r="AA706" s="460">
        <v>43739</v>
      </c>
      <c r="AB706" s="304" t="s">
        <v>2870</v>
      </c>
      <c r="AC706" s="304">
        <v>128371168</v>
      </c>
      <c r="AD706" s="304"/>
      <c r="AE706" s="304"/>
      <c r="AF706" s="304"/>
      <c r="AG706" s="296"/>
      <c r="AH706" s="296"/>
      <c r="AI706" s="297"/>
      <c r="AJ706" s="298">
        <v>43679</v>
      </c>
      <c r="AK706" s="297">
        <f>1512.01*31.29</f>
        <v>47310.7929</v>
      </c>
      <c r="AL706" s="297">
        <f>(1529.4-1512.01)*31.29</f>
        <v>544.13310000000308</v>
      </c>
      <c r="AM706" s="296" t="s">
        <v>49</v>
      </c>
      <c r="AN706" s="296" t="s">
        <v>284</v>
      </c>
      <c r="AO706" s="296" t="s">
        <v>50</v>
      </c>
      <c r="AP706" s="296" t="s">
        <v>51</v>
      </c>
      <c r="AQ706" s="296" t="s">
        <v>506</v>
      </c>
    </row>
    <row r="707" spans="1:43" ht="15.75" customHeight="1" thickBot="1">
      <c r="A707" s="69">
        <v>43678</v>
      </c>
      <c r="B707" s="70" t="s">
        <v>892</v>
      </c>
      <c r="C707" s="21" t="s">
        <v>1429</v>
      </c>
      <c r="D707" s="21" t="s">
        <v>1443</v>
      </c>
      <c r="E707" s="521" t="s">
        <v>1445</v>
      </c>
      <c r="F707" s="24">
        <v>1</v>
      </c>
      <c r="G707" s="48">
        <v>345</v>
      </c>
      <c r="H707" s="26">
        <f t="shared" si="67"/>
        <v>345</v>
      </c>
      <c r="I707" s="61" t="s">
        <v>104</v>
      </c>
      <c r="J707" s="63" t="s">
        <v>920</v>
      </c>
      <c r="K707" s="29">
        <v>43686</v>
      </c>
      <c r="L707" s="29"/>
      <c r="M707" s="30">
        <v>43684</v>
      </c>
      <c r="N707" s="50" t="s">
        <v>89</v>
      </c>
      <c r="O707" s="93" t="s">
        <v>2881</v>
      </c>
      <c r="P707" s="406">
        <v>304</v>
      </c>
      <c r="Q707" s="406">
        <f t="shared" si="68"/>
        <v>319.2</v>
      </c>
      <c r="R707" s="406"/>
      <c r="S707" s="406"/>
      <c r="T707" s="406"/>
      <c r="U707" s="406">
        <v>9902</v>
      </c>
      <c r="V707" s="51" t="s">
        <v>93</v>
      </c>
      <c r="W707" s="460">
        <v>43738</v>
      </c>
      <c r="X707" s="460">
        <v>43683</v>
      </c>
      <c r="Y707" s="304" t="s">
        <v>1444</v>
      </c>
      <c r="Z707" s="304" t="s">
        <v>2882</v>
      </c>
      <c r="AA707" s="460">
        <v>43739</v>
      </c>
      <c r="AB707" s="304" t="s">
        <v>2870</v>
      </c>
      <c r="AC707" s="304">
        <v>128371168</v>
      </c>
      <c r="AD707" s="304"/>
      <c r="AE707" s="304"/>
      <c r="AF707" s="304"/>
      <c r="AG707" s="296"/>
      <c r="AH707" s="296"/>
      <c r="AI707" s="297"/>
      <c r="AJ707" s="298">
        <v>43679</v>
      </c>
      <c r="AK707" s="297" t="s">
        <v>2883</v>
      </c>
      <c r="AL707" s="297" t="s">
        <v>2884</v>
      </c>
      <c r="AM707" s="296" t="s">
        <v>49</v>
      </c>
      <c r="AN707" s="296" t="s">
        <v>284</v>
      </c>
      <c r="AO707" s="296" t="s">
        <v>50</v>
      </c>
      <c r="AP707" s="296" t="s">
        <v>51</v>
      </c>
      <c r="AQ707" s="296" t="s">
        <v>506</v>
      </c>
    </row>
    <row r="708" spans="1:43" ht="15.75" customHeight="1" thickTop="1" thickBot="1">
      <c r="A708" s="69">
        <v>43678</v>
      </c>
      <c r="B708" s="70" t="s">
        <v>892</v>
      </c>
      <c r="C708" s="21" t="s">
        <v>1429</v>
      </c>
      <c r="D708" s="21" t="s">
        <v>1443</v>
      </c>
      <c r="E708" s="522" t="s">
        <v>1446</v>
      </c>
      <c r="F708" s="24">
        <v>9</v>
      </c>
      <c r="G708" s="48">
        <v>120</v>
      </c>
      <c r="H708" s="26">
        <f t="shared" si="67"/>
        <v>1080</v>
      </c>
      <c r="I708" s="61" t="s">
        <v>104</v>
      </c>
      <c r="J708" s="63" t="s">
        <v>920</v>
      </c>
      <c r="K708" s="29">
        <v>43686</v>
      </c>
      <c r="L708" s="29"/>
      <c r="M708" s="30">
        <v>43684</v>
      </c>
      <c r="N708" s="50" t="s">
        <v>89</v>
      </c>
      <c r="O708" s="93" t="s">
        <v>2881</v>
      </c>
      <c r="P708" s="406">
        <v>106</v>
      </c>
      <c r="Q708" s="406">
        <f t="shared" si="68"/>
        <v>1001.7</v>
      </c>
      <c r="R708" s="406"/>
      <c r="S708" s="406"/>
      <c r="T708" s="406"/>
      <c r="U708" s="406">
        <v>31073</v>
      </c>
      <c r="V708" s="51" t="s">
        <v>93</v>
      </c>
      <c r="W708" s="460">
        <v>43738</v>
      </c>
      <c r="X708" s="460">
        <v>43683</v>
      </c>
      <c r="Y708" s="304" t="s">
        <v>1444</v>
      </c>
      <c r="Z708" s="304" t="s">
        <v>2882</v>
      </c>
      <c r="AA708" s="460">
        <v>43739</v>
      </c>
      <c r="AB708" s="304" t="s">
        <v>2870</v>
      </c>
      <c r="AC708" s="304">
        <v>128371168</v>
      </c>
      <c r="AD708" s="304"/>
      <c r="AE708" s="304"/>
      <c r="AF708" s="304"/>
      <c r="AG708" s="296"/>
      <c r="AH708" s="296"/>
      <c r="AI708" s="297"/>
      <c r="AJ708" s="298">
        <v>43679</v>
      </c>
      <c r="AK708" s="297" t="s">
        <v>2883</v>
      </c>
      <c r="AL708" s="297" t="s">
        <v>2884</v>
      </c>
      <c r="AM708" s="296" t="s">
        <v>49</v>
      </c>
      <c r="AN708" s="296" t="s">
        <v>284</v>
      </c>
      <c r="AO708" s="296" t="s">
        <v>50</v>
      </c>
      <c r="AP708" s="296" t="s">
        <v>51</v>
      </c>
      <c r="AQ708" s="296" t="s">
        <v>506</v>
      </c>
    </row>
    <row r="709" spans="1:43" ht="15.75" customHeight="1" thickTop="1" thickBot="1">
      <c r="A709" s="69">
        <v>43678</v>
      </c>
      <c r="B709" s="23" t="s">
        <v>76</v>
      </c>
      <c r="C709" s="21">
        <v>605</v>
      </c>
      <c r="D709" s="21" t="s">
        <v>1447</v>
      </c>
      <c r="E709" s="523" t="s">
        <v>819</v>
      </c>
      <c r="F709" s="24">
        <v>20</v>
      </c>
      <c r="G709" s="48">
        <v>14</v>
      </c>
      <c r="H709" s="26">
        <f t="shared" si="67"/>
        <v>280</v>
      </c>
      <c r="I709" s="61" t="s">
        <v>42</v>
      </c>
      <c r="J709" s="431" t="s">
        <v>922</v>
      </c>
      <c r="K709" s="29">
        <v>43700</v>
      </c>
      <c r="L709" s="29"/>
      <c r="M709" s="29">
        <v>43696</v>
      </c>
      <c r="N709" s="58" t="s">
        <v>2008</v>
      </c>
      <c r="O709" s="93" t="s">
        <v>2885</v>
      </c>
      <c r="P709" s="406">
        <v>12</v>
      </c>
      <c r="Q709" s="406">
        <f t="shared" si="68"/>
        <v>252</v>
      </c>
      <c r="R709" s="406"/>
      <c r="S709" s="406"/>
      <c r="T709" s="406"/>
      <c r="U709" s="406">
        <v>7912</v>
      </c>
      <c r="V709" s="20" t="s">
        <v>2010</v>
      </c>
      <c r="W709" s="460">
        <v>43708</v>
      </c>
      <c r="X709" s="460">
        <v>43692</v>
      </c>
      <c r="Y709" s="304" t="s">
        <v>1231</v>
      </c>
      <c r="Z709" s="304" t="s">
        <v>2886</v>
      </c>
      <c r="AA709" s="460">
        <v>43710</v>
      </c>
      <c r="AB709" s="304" t="s">
        <v>2710</v>
      </c>
      <c r="AC709" s="296" t="s">
        <v>2711</v>
      </c>
      <c r="AD709" s="304">
        <v>31.315000000000001</v>
      </c>
      <c r="AE709" s="304"/>
      <c r="AF709" s="304"/>
      <c r="AG709" s="296"/>
      <c r="AH709" s="296"/>
      <c r="AI709" s="297"/>
      <c r="AJ709" s="298">
        <v>43731</v>
      </c>
      <c r="AK709" s="297" t="s">
        <v>2713</v>
      </c>
      <c r="AL709" s="297" t="s">
        <v>2714</v>
      </c>
      <c r="AM709" s="296" t="s">
        <v>49</v>
      </c>
      <c r="AN709" s="296" t="s">
        <v>284</v>
      </c>
      <c r="AO709" s="296" t="s">
        <v>50</v>
      </c>
      <c r="AP709" s="296" t="s">
        <v>51</v>
      </c>
      <c r="AQ709" s="296" t="s">
        <v>506</v>
      </c>
    </row>
    <row r="710" spans="1:43" ht="15.75" customHeight="1" thickTop="1">
      <c r="A710" s="69">
        <v>43678</v>
      </c>
      <c r="B710" s="70" t="s">
        <v>118</v>
      </c>
      <c r="C710" s="21" t="s">
        <v>1448</v>
      </c>
      <c r="D710" s="21" t="s">
        <v>1449</v>
      </c>
      <c r="E710" s="150" t="s">
        <v>164</v>
      </c>
      <c r="F710" s="24">
        <v>100</v>
      </c>
      <c r="G710" s="48">
        <v>105</v>
      </c>
      <c r="H710" s="60">
        <f t="shared" si="67"/>
        <v>10500</v>
      </c>
      <c r="I710" s="61" t="s">
        <v>247</v>
      </c>
      <c r="J710" s="82" t="s">
        <v>121</v>
      </c>
      <c r="K710" s="84">
        <v>43732</v>
      </c>
      <c r="L710" s="84"/>
      <c r="M710" s="84">
        <v>43728</v>
      </c>
      <c r="N710" s="50" t="s">
        <v>89</v>
      </c>
      <c r="O710" s="93" t="s">
        <v>2864</v>
      </c>
      <c r="P710" s="406">
        <v>82</v>
      </c>
      <c r="Q710" s="406">
        <f t="shared" si="68"/>
        <v>8610</v>
      </c>
      <c r="R710" s="406"/>
      <c r="S710" s="406"/>
      <c r="T710" s="406"/>
      <c r="U710" s="406">
        <v>268804</v>
      </c>
      <c r="V710" s="35" t="s">
        <v>93</v>
      </c>
      <c r="W710" s="303">
        <v>43769</v>
      </c>
      <c r="X710" s="460">
        <v>43728</v>
      </c>
      <c r="Y710" s="304" t="s">
        <v>1425</v>
      </c>
      <c r="Z710" s="304">
        <v>537608</v>
      </c>
      <c r="AA710" s="304"/>
      <c r="AB710" s="304" t="s">
        <v>2866</v>
      </c>
      <c r="AC710" s="304" t="s">
        <v>2867</v>
      </c>
      <c r="AD710" s="304">
        <v>30.984999999999999</v>
      </c>
      <c r="AE710" s="304"/>
      <c r="AF710" s="304"/>
      <c r="AG710" s="296"/>
      <c r="AH710" s="296"/>
      <c r="AI710" s="297"/>
      <c r="AJ710" s="298">
        <v>43726</v>
      </c>
      <c r="AK710" s="297">
        <f>10483.53*30.92</f>
        <v>324150.74760000006</v>
      </c>
      <c r="AL710" s="297">
        <f>(10500-10483.53)*30.92</f>
        <v>509.25239999997979</v>
      </c>
      <c r="AM710" s="296" t="s">
        <v>49</v>
      </c>
      <c r="AN710" s="296" t="s">
        <v>284</v>
      </c>
      <c r="AO710" s="296" t="s">
        <v>50</v>
      </c>
      <c r="AP710" s="296" t="s">
        <v>51</v>
      </c>
      <c r="AQ710" s="296" t="s">
        <v>1118</v>
      </c>
    </row>
    <row r="711" spans="1:43" ht="15.75" customHeight="1">
      <c r="A711" s="69">
        <v>43678</v>
      </c>
      <c r="B711" s="70" t="s">
        <v>1070</v>
      </c>
      <c r="C711" s="21" t="s">
        <v>1450</v>
      </c>
      <c r="D711" s="21" t="s">
        <v>1451</v>
      </c>
      <c r="E711" s="32" t="s">
        <v>1073</v>
      </c>
      <c r="F711" s="24">
        <v>1</v>
      </c>
      <c r="G711" s="48">
        <v>155.4</v>
      </c>
      <c r="H711" s="60">
        <f t="shared" si="67"/>
        <v>155.4</v>
      </c>
      <c r="I711" s="61" t="s">
        <v>247</v>
      </c>
      <c r="J711" s="161" t="s">
        <v>1149</v>
      </c>
      <c r="K711" s="29">
        <v>43683</v>
      </c>
      <c r="L711" s="29"/>
      <c r="M711" s="29">
        <v>43679</v>
      </c>
      <c r="N711" s="50" t="s">
        <v>178</v>
      </c>
      <c r="O711" s="93"/>
      <c r="P711" s="406"/>
      <c r="Q711" s="406">
        <f t="shared" si="68"/>
        <v>0</v>
      </c>
      <c r="R711" s="406"/>
      <c r="S711" s="406"/>
      <c r="T711" s="406">
        <v>3901.02</v>
      </c>
      <c r="U711" s="406">
        <f>(T711*F711)*1.05</f>
        <v>4096.0709999999999</v>
      </c>
      <c r="V711" s="406"/>
      <c r="W711" s="304"/>
      <c r="X711" s="304"/>
      <c r="Y711" s="304"/>
      <c r="Z711" s="304"/>
      <c r="AA711" s="304"/>
      <c r="AB711" s="304" t="s">
        <v>2887</v>
      </c>
      <c r="AC711" s="304" t="s">
        <v>2888</v>
      </c>
      <c r="AD711" s="304">
        <v>31.614999999999998</v>
      </c>
      <c r="AE711" s="304">
        <v>4913</v>
      </c>
      <c r="AF711" s="460">
        <v>43683</v>
      </c>
      <c r="AG711" s="296"/>
      <c r="AH711" s="296"/>
      <c r="AI711" s="297"/>
      <c r="AJ711" s="298">
        <v>43739</v>
      </c>
      <c r="AK711" s="297">
        <v>14645</v>
      </c>
      <c r="AL711" s="297">
        <v>15</v>
      </c>
      <c r="AM711" s="296" t="s">
        <v>49</v>
      </c>
      <c r="AN711" s="296" t="s">
        <v>284</v>
      </c>
      <c r="AO711" s="296" t="s">
        <v>50</v>
      </c>
      <c r="AP711" s="296" t="s">
        <v>376</v>
      </c>
      <c r="AQ711" s="296" t="s">
        <v>506</v>
      </c>
    </row>
    <row r="712" spans="1:43" ht="15.75" customHeight="1">
      <c r="A712" s="69">
        <v>43682</v>
      </c>
      <c r="B712" s="21" t="s">
        <v>1236</v>
      </c>
      <c r="C712" s="21" t="s">
        <v>1329</v>
      </c>
      <c r="D712" s="491" t="s">
        <v>1452</v>
      </c>
      <c r="E712" s="32" t="s">
        <v>346</v>
      </c>
      <c r="F712" s="24">
        <v>1</v>
      </c>
      <c r="G712" s="48">
        <v>442</v>
      </c>
      <c r="H712" s="26">
        <f t="shared" si="67"/>
        <v>442</v>
      </c>
      <c r="I712" s="87" t="s">
        <v>104</v>
      </c>
      <c r="J712" s="63" t="s">
        <v>532</v>
      </c>
      <c r="K712" s="30">
        <v>43684</v>
      </c>
      <c r="L712" s="30"/>
      <c r="M712" s="30"/>
      <c r="N712" s="50" t="s">
        <v>532</v>
      </c>
      <c r="O712" s="93"/>
      <c r="P712" s="406"/>
      <c r="Q712" s="406"/>
      <c r="R712" s="406"/>
      <c r="S712" s="406"/>
      <c r="T712" s="406"/>
      <c r="U712" s="406">
        <v>11945</v>
      </c>
      <c r="V712" s="51"/>
      <c r="W712" s="460">
        <v>43708</v>
      </c>
      <c r="X712" s="460">
        <v>43693</v>
      </c>
      <c r="Y712" s="304" t="s">
        <v>1453</v>
      </c>
      <c r="Z712" s="304">
        <v>11945</v>
      </c>
      <c r="AA712" s="460">
        <v>43710</v>
      </c>
      <c r="AB712" s="304" t="s">
        <v>2794</v>
      </c>
      <c r="AC712" s="304">
        <v>4242192426</v>
      </c>
      <c r="AD712" s="304"/>
      <c r="AE712" s="304"/>
      <c r="AF712" s="460"/>
      <c r="AG712" s="296"/>
      <c r="AH712" s="296"/>
      <c r="AI712" s="297"/>
      <c r="AJ712" s="29">
        <v>43789</v>
      </c>
      <c r="AK712" s="297">
        <f>11359.43*30.43</f>
        <v>345667.45490000001</v>
      </c>
      <c r="AL712" s="297">
        <f>(11418-10359.43)*30.43</f>
        <v>32212.28509999999</v>
      </c>
      <c r="AM712" s="296" t="s">
        <v>49</v>
      </c>
      <c r="AN712" s="296" t="s">
        <v>284</v>
      </c>
      <c r="AO712" s="296" t="s">
        <v>50</v>
      </c>
      <c r="AP712" s="296" t="s">
        <v>51</v>
      </c>
      <c r="AQ712" s="296" t="s">
        <v>506</v>
      </c>
    </row>
    <row r="713" spans="1:43" ht="15.75" customHeight="1">
      <c r="A713" s="69">
        <v>43683</v>
      </c>
      <c r="B713" s="23" t="s">
        <v>1454</v>
      </c>
      <c r="C713" s="21" t="s">
        <v>1455</v>
      </c>
      <c r="D713" s="21" t="s">
        <v>1456</v>
      </c>
      <c r="E713" s="32" t="s">
        <v>1457</v>
      </c>
      <c r="F713" s="24">
        <v>1</v>
      </c>
      <c r="G713" s="48">
        <v>1888.53</v>
      </c>
      <c r="H713" s="524">
        <v>1888.53</v>
      </c>
      <c r="I713" s="61" t="s">
        <v>104</v>
      </c>
      <c r="J713" s="63" t="s">
        <v>1458</v>
      </c>
      <c r="K713" s="50" t="s">
        <v>1459</v>
      </c>
      <c r="L713" s="50"/>
      <c r="M713" s="665"/>
      <c r="N713" s="619"/>
      <c r="O713" s="64"/>
      <c r="P713" s="34"/>
      <c r="Q713" s="34">
        <f>(P713*F713)*1.05</f>
        <v>0</v>
      </c>
      <c r="R713" s="34"/>
      <c r="S713" s="34"/>
      <c r="T713" s="34">
        <v>56782</v>
      </c>
      <c r="U713" s="34">
        <f>(T713*F713)*1.05</f>
        <v>59621.100000000006</v>
      </c>
      <c r="V713" s="66"/>
      <c r="W713" s="52"/>
      <c r="X713" s="53"/>
      <c r="Y713" s="53"/>
      <c r="Z713" s="53"/>
      <c r="AA713" s="53"/>
      <c r="AB713" s="53" t="s">
        <v>2889</v>
      </c>
      <c r="AC713" s="53" t="s">
        <v>2890</v>
      </c>
      <c r="AD713" s="53"/>
      <c r="AE713" s="53">
        <v>59621</v>
      </c>
      <c r="AF713" s="78">
        <v>43689</v>
      </c>
      <c r="AG713" s="54"/>
      <c r="AH713" s="54"/>
      <c r="AI713" s="55"/>
      <c r="AJ713" s="56">
        <v>43705</v>
      </c>
      <c r="AK713" s="55">
        <v>59611</v>
      </c>
      <c r="AL713" s="55">
        <v>10</v>
      </c>
      <c r="AM713" s="54" t="s">
        <v>49</v>
      </c>
      <c r="AN713" s="54" t="s">
        <v>284</v>
      </c>
      <c r="AO713" s="54" t="s">
        <v>50</v>
      </c>
      <c r="AP713" s="54" t="s">
        <v>376</v>
      </c>
      <c r="AQ713" s="54"/>
    </row>
    <row r="714" spans="1:43" ht="15.75" customHeight="1">
      <c r="A714" s="69">
        <v>43685</v>
      </c>
      <c r="B714" s="23" t="s">
        <v>399</v>
      </c>
      <c r="C714" s="21" t="s">
        <v>1460</v>
      </c>
      <c r="D714" s="21" t="s">
        <v>1461</v>
      </c>
      <c r="E714" s="32" t="s">
        <v>402</v>
      </c>
      <c r="F714" s="24">
        <v>5</v>
      </c>
      <c r="G714" s="48">
        <v>231</v>
      </c>
      <c r="H714" s="26">
        <f>G714*F714</f>
        <v>1155</v>
      </c>
      <c r="I714" s="61" t="s">
        <v>302</v>
      </c>
      <c r="J714" s="50" t="s">
        <v>403</v>
      </c>
      <c r="K714" s="525" t="s">
        <v>1462</v>
      </c>
      <c r="L714" s="525"/>
      <c r="M714" s="30">
        <v>43741</v>
      </c>
      <c r="N714" s="50" t="s">
        <v>89</v>
      </c>
      <c r="O714" s="93" t="s">
        <v>2891</v>
      </c>
      <c r="P714" s="406">
        <v>170</v>
      </c>
      <c r="Q714" s="406">
        <f>(P714*F714)*1.05</f>
        <v>892.5</v>
      </c>
      <c r="R714" s="406"/>
      <c r="S714" s="406"/>
      <c r="T714" s="406"/>
      <c r="U714" s="406">
        <v>27641</v>
      </c>
      <c r="V714" s="51" t="s">
        <v>93</v>
      </c>
      <c r="W714" s="303">
        <v>43799</v>
      </c>
      <c r="X714" s="460">
        <v>43740</v>
      </c>
      <c r="Y714" s="304" t="s">
        <v>1463</v>
      </c>
      <c r="Z714" s="304">
        <v>27641</v>
      </c>
      <c r="AA714" s="304"/>
      <c r="AB714" s="304" t="s">
        <v>2892</v>
      </c>
      <c r="AC714" s="304">
        <v>149950220</v>
      </c>
      <c r="AD714" s="304"/>
      <c r="AE714" s="304"/>
      <c r="AF714" s="304"/>
      <c r="AG714" s="296"/>
      <c r="AH714" s="296"/>
      <c r="AI714" s="297"/>
      <c r="AJ714" s="298">
        <v>43717</v>
      </c>
      <c r="AK714" s="297" t="s">
        <v>2558</v>
      </c>
      <c r="AL714" s="297" t="s">
        <v>2558</v>
      </c>
      <c r="AM714" s="296" t="s">
        <v>49</v>
      </c>
      <c r="AN714" s="296" t="s">
        <v>284</v>
      </c>
      <c r="AO714" s="296" t="s">
        <v>50</v>
      </c>
      <c r="AP714" s="296" t="s">
        <v>51</v>
      </c>
      <c r="AQ714" s="296" t="s">
        <v>755</v>
      </c>
    </row>
    <row r="715" spans="1:43" ht="15.75" customHeight="1">
      <c r="A715" s="69">
        <v>43685</v>
      </c>
      <c r="B715" s="23" t="s">
        <v>399</v>
      </c>
      <c r="C715" s="21" t="s">
        <v>1460</v>
      </c>
      <c r="D715" s="21" t="s">
        <v>1464</v>
      </c>
      <c r="E715" s="32" t="s">
        <v>692</v>
      </c>
      <c r="F715" s="24">
        <v>1</v>
      </c>
      <c r="G715" s="48">
        <v>25</v>
      </c>
      <c r="H715" s="60">
        <v>25</v>
      </c>
      <c r="I715" s="61" t="s">
        <v>302</v>
      </c>
      <c r="J715" s="63" t="s">
        <v>403</v>
      </c>
      <c r="K715" s="525" t="s">
        <v>1465</v>
      </c>
      <c r="L715" s="525"/>
      <c r="M715" s="665"/>
      <c r="N715" s="63" t="s">
        <v>219</v>
      </c>
      <c r="O715" s="64"/>
      <c r="P715" s="34"/>
      <c r="Q715" s="34">
        <f>(P715*F715)*1.05</f>
        <v>0</v>
      </c>
      <c r="R715" s="34"/>
      <c r="S715" s="34"/>
      <c r="T715" s="34"/>
      <c r="U715" s="34">
        <f>(T715*F715)*1.05</f>
        <v>0</v>
      </c>
      <c r="V715" s="76"/>
      <c r="W715" s="52"/>
      <c r="X715" s="53"/>
      <c r="Y715" s="53"/>
      <c r="Z715" s="53"/>
      <c r="AA715" s="53"/>
      <c r="AB715" s="53" t="s">
        <v>2892</v>
      </c>
      <c r="AC715" s="53">
        <v>149950220</v>
      </c>
      <c r="AD715" s="53"/>
      <c r="AE715" s="53"/>
      <c r="AF715" s="53"/>
      <c r="AG715" s="54"/>
      <c r="AH715" s="54"/>
      <c r="AI715" s="55"/>
      <c r="AJ715" s="56">
        <v>43717</v>
      </c>
      <c r="AK715" s="55" t="s">
        <v>2558</v>
      </c>
      <c r="AL715" s="55" t="s">
        <v>2558</v>
      </c>
      <c r="AM715" s="54" t="s">
        <v>49</v>
      </c>
      <c r="AN715" s="54" t="s">
        <v>284</v>
      </c>
      <c r="AO715" s="54" t="s">
        <v>50</v>
      </c>
      <c r="AP715" s="54" t="s">
        <v>51</v>
      </c>
      <c r="AQ715" s="54"/>
    </row>
    <row r="716" spans="1:43" ht="15.75" customHeight="1" thickBot="1">
      <c r="A716" s="69">
        <v>43689</v>
      </c>
      <c r="B716" s="70" t="s">
        <v>892</v>
      </c>
      <c r="C716" s="21" t="s">
        <v>1429</v>
      </c>
      <c r="D716" s="21" t="s">
        <v>1466</v>
      </c>
      <c r="E716" s="521" t="s">
        <v>1467</v>
      </c>
      <c r="F716" s="24">
        <v>14</v>
      </c>
      <c r="G716" s="48">
        <v>212</v>
      </c>
      <c r="H716" s="26">
        <f>F716*G716</f>
        <v>2968</v>
      </c>
      <c r="I716" s="61" t="s">
        <v>104</v>
      </c>
      <c r="J716" s="63" t="s">
        <v>920</v>
      </c>
      <c r="K716" s="526">
        <v>43696</v>
      </c>
      <c r="L716" s="526"/>
      <c r="M716" s="30">
        <v>43693</v>
      </c>
      <c r="N716" s="50" t="s">
        <v>2893</v>
      </c>
      <c r="O716" s="21" t="s">
        <v>2894</v>
      </c>
      <c r="P716" s="406">
        <v>180</v>
      </c>
      <c r="Q716" s="406">
        <f>(P716*F716)*1.05</f>
        <v>2646</v>
      </c>
      <c r="R716" s="406"/>
      <c r="S716" s="406"/>
      <c r="T716" s="406"/>
      <c r="U716" s="406">
        <v>83521</v>
      </c>
      <c r="V716" s="51" t="s">
        <v>93</v>
      </c>
      <c r="W716" s="460">
        <v>43738</v>
      </c>
      <c r="X716" s="460">
        <v>43692</v>
      </c>
      <c r="Y716" s="304" t="s">
        <v>1468</v>
      </c>
      <c r="Z716" s="304">
        <v>83521</v>
      </c>
      <c r="AA716" s="460">
        <v>43739</v>
      </c>
      <c r="AB716" s="304" t="s">
        <v>2895</v>
      </c>
      <c r="AC716" s="304">
        <v>130936566</v>
      </c>
      <c r="AD716" s="304">
        <v>31.565000000000001</v>
      </c>
      <c r="AE716" s="304"/>
      <c r="AF716" s="304"/>
      <c r="AG716" s="296"/>
      <c r="AH716" s="296"/>
      <c r="AI716" s="297"/>
      <c r="AJ716" s="298">
        <v>43690</v>
      </c>
      <c r="AK716" s="297">
        <f>2957*31.38</f>
        <v>92790.66</v>
      </c>
      <c r="AL716" s="297">
        <f>(2968-2957)*31.38</f>
        <v>345.18</v>
      </c>
      <c r="AM716" s="296" t="s">
        <v>49</v>
      </c>
      <c r="AN716" s="296" t="s">
        <v>284</v>
      </c>
      <c r="AO716" s="296" t="s">
        <v>50</v>
      </c>
      <c r="AP716" s="296" t="s">
        <v>51</v>
      </c>
      <c r="AQ716" s="296" t="s">
        <v>506</v>
      </c>
    </row>
    <row r="717" spans="1:43" ht="15.75" customHeight="1" thickTop="1" thickBot="1">
      <c r="A717" s="69">
        <v>43690</v>
      </c>
      <c r="B717" s="70" t="s">
        <v>1469</v>
      </c>
      <c r="C717" s="21"/>
      <c r="D717" s="21" t="s">
        <v>1470</v>
      </c>
      <c r="E717" s="527" t="s">
        <v>1471</v>
      </c>
      <c r="F717" s="24">
        <v>13</v>
      </c>
      <c r="G717" s="48">
        <v>12</v>
      </c>
      <c r="H717" s="60">
        <f t="shared" ref="H717:H724" si="69">G717*F717</f>
        <v>156</v>
      </c>
      <c r="I717" s="87" t="s">
        <v>143</v>
      </c>
      <c r="J717" s="58" t="s">
        <v>1472</v>
      </c>
      <c r="K717" s="30">
        <v>43718</v>
      </c>
      <c r="L717" s="30"/>
      <c r="M717" s="30">
        <v>43706</v>
      </c>
      <c r="N717" s="50" t="s">
        <v>2896</v>
      </c>
      <c r="O717" s="93" t="s">
        <v>2897</v>
      </c>
      <c r="P717" s="406"/>
      <c r="Q717" s="406"/>
      <c r="R717" s="406"/>
      <c r="S717" s="406"/>
      <c r="T717" s="406">
        <v>320</v>
      </c>
      <c r="U717" s="406">
        <f>(T717*F717)*1.05</f>
        <v>4368</v>
      </c>
      <c r="V717" s="51" t="s">
        <v>2898</v>
      </c>
      <c r="W717" s="460">
        <v>43703</v>
      </c>
      <c r="X717" s="460">
        <v>43705</v>
      </c>
      <c r="Y717" s="304" t="s">
        <v>1473</v>
      </c>
      <c r="Z717" s="304">
        <v>4368</v>
      </c>
      <c r="AA717" s="460">
        <v>43703</v>
      </c>
      <c r="AB717" s="304" t="s">
        <v>2899</v>
      </c>
      <c r="AC717" s="304">
        <v>138696243</v>
      </c>
      <c r="AD717" s="304">
        <v>31.324999999999999</v>
      </c>
      <c r="AE717" s="304"/>
      <c r="AF717" s="304"/>
      <c r="AG717" s="296"/>
      <c r="AH717" s="296"/>
      <c r="AI717" s="297"/>
      <c r="AJ717" s="298">
        <v>43718</v>
      </c>
      <c r="AK717" s="297">
        <f>5589.58*31.17</f>
        <v>174227.20860000001</v>
      </c>
      <c r="AL717" s="297">
        <f>(5607-5589.58)*31.17</f>
        <v>542.98140000000228</v>
      </c>
      <c r="AM717" s="296" t="s">
        <v>49</v>
      </c>
      <c r="AN717" s="296" t="s">
        <v>284</v>
      </c>
      <c r="AO717" s="296" t="s">
        <v>50</v>
      </c>
      <c r="AP717" s="296" t="s">
        <v>51</v>
      </c>
      <c r="AQ717" s="296" t="s">
        <v>1118</v>
      </c>
    </row>
    <row r="718" spans="1:43" ht="15.75" customHeight="1" thickTop="1">
      <c r="A718" s="69">
        <v>43690</v>
      </c>
      <c r="B718" s="70" t="s">
        <v>1469</v>
      </c>
      <c r="C718" s="21"/>
      <c r="D718" s="21" t="s">
        <v>1470</v>
      </c>
      <c r="E718" s="32" t="s">
        <v>1474</v>
      </c>
      <c r="F718" s="24">
        <v>23</v>
      </c>
      <c r="G718" s="48">
        <v>217</v>
      </c>
      <c r="H718" s="60">
        <f t="shared" si="69"/>
        <v>4991</v>
      </c>
      <c r="I718" s="61" t="s">
        <v>143</v>
      </c>
      <c r="J718" s="58" t="s">
        <v>1472</v>
      </c>
      <c r="K718" s="30">
        <v>43718</v>
      </c>
      <c r="L718" s="30"/>
      <c r="M718" s="30">
        <v>43717</v>
      </c>
      <c r="N718" s="50" t="s">
        <v>89</v>
      </c>
      <c r="O718" s="93" t="s">
        <v>2900</v>
      </c>
      <c r="P718" s="406">
        <v>195</v>
      </c>
      <c r="Q718" s="406">
        <f t="shared" ref="Q718:Q724" si="70">(P718*F718)*1.05</f>
        <v>4709.25</v>
      </c>
      <c r="R718" s="406"/>
      <c r="S718" s="406"/>
      <c r="T718" s="406"/>
      <c r="U718" s="406">
        <v>147518</v>
      </c>
      <c r="V718" s="51" t="s">
        <v>93</v>
      </c>
      <c r="W718" s="303">
        <v>43769</v>
      </c>
      <c r="X718" s="460">
        <v>43713</v>
      </c>
      <c r="Y718" s="304" t="s">
        <v>1475</v>
      </c>
      <c r="Z718" s="304" t="s">
        <v>2901</v>
      </c>
      <c r="AA718" s="304"/>
      <c r="AB718" s="304" t="s">
        <v>2899</v>
      </c>
      <c r="AC718" s="304">
        <v>138696243</v>
      </c>
      <c r="AD718" s="304">
        <v>31.324999999999999</v>
      </c>
      <c r="AE718" s="304"/>
      <c r="AF718" s="304"/>
      <c r="AG718" s="296"/>
      <c r="AH718" s="296"/>
      <c r="AI718" s="297"/>
      <c r="AJ718" s="298">
        <v>43718</v>
      </c>
      <c r="AK718" s="297" t="s">
        <v>2902</v>
      </c>
      <c r="AL718" s="297" t="s">
        <v>2903</v>
      </c>
      <c r="AM718" s="296" t="s">
        <v>49</v>
      </c>
      <c r="AN718" s="296" t="s">
        <v>284</v>
      </c>
      <c r="AO718" s="296" t="s">
        <v>50</v>
      </c>
      <c r="AP718" s="296" t="s">
        <v>51</v>
      </c>
      <c r="AQ718" s="296" t="s">
        <v>1118</v>
      </c>
    </row>
    <row r="719" spans="1:43" ht="15.75" customHeight="1">
      <c r="A719" s="69">
        <v>43690</v>
      </c>
      <c r="B719" s="70" t="s">
        <v>1469</v>
      </c>
      <c r="C719" s="21"/>
      <c r="D719" s="21" t="s">
        <v>1476</v>
      </c>
      <c r="E719" s="32" t="s">
        <v>1477</v>
      </c>
      <c r="F719" s="24">
        <v>23</v>
      </c>
      <c r="G719" s="48">
        <v>20</v>
      </c>
      <c r="H719" s="60">
        <f t="shared" si="69"/>
        <v>460</v>
      </c>
      <c r="I719" s="61" t="s">
        <v>143</v>
      </c>
      <c r="J719" s="58" t="s">
        <v>1472</v>
      </c>
      <c r="K719" s="205">
        <v>43720</v>
      </c>
      <c r="L719" s="205"/>
      <c r="M719" s="30">
        <v>43717</v>
      </c>
      <c r="N719" s="50" t="s">
        <v>89</v>
      </c>
      <c r="O719" s="93" t="s">
        <v>2900</v>
      </c>
      <c r="P719" s="406">
        <v>15.6</v>
      </c>
      <c r="Q719" s="406">
        <f t="shared" si="70"/>
        <v>376.74</v>
      </c>
      <c r="R719" s="406"/>
      <c r="S719" s="406"/>
      <c r="T719" s="406"/>
      <c r="U719" s="406">
        <v>11801</v>
      </c>
      <c r="V719" s="51" t="s">
        <v>93</v>
      </c>
      <c r="W719" s="303">
        <v>43769</v>
      </c>
      <c r="X719" s="460">
        <v>43713</v>
      </c>
      <c r="Y719" s="304" t="s">
        <v>1475</v>
      </c>
      <c r="Z719" s="304">
        <v>159319</v>
      </c>
      <c r="AA719" s="304"/>
      <c r="AB719" s="304" t="s">
        <v>2904</v>
      </c>
      <c r="AC719" s="304">
        <v>139759069</v>
      </c>
      <c r="AD719" s="304">
        <v>31.22</v>
      </c>
      <c r="AE719" s="304"/>
      <c r="AF719" s="304"/>
      <c r="AG719" s="296"/>
      <c r="AH719" s="296"/>
      <c r="AI719" s="297"/>
      <c r="AJ719" s="298">
        <v>43718</v>
      </c>
      <c r="AK719" s="297" t="s">
        <v>2902</v>
      </c>
      <c r="AL719" s="297" t="s">
        <v>2903</v>
      </c>
      <c r="AM719" s="296" t="s">
        <v>49</v>
      </c>
      <c r="AN719" s="296" t="s">
        <v>284</v>
      </c>
      <c r="AO719" s="296" t="s">
        <v>50</v>
      </c>
      <c r="AP719" s="296" t="s">
        <v>51</v>
      </c>
      <c r="AQ719" s="296" t="s">
        <v>1118</v>
      </c>
    </row>
    <row r="720" spans="1:43" ht="15.75" customHeight="1">
      <c r="A720" s="69">
        <v>43690</v>
      </c>
      <c r="B720" s="70" t="s">
        <v>222</v>
      </c>
      <c r="C720" s="21" t="s">
        <v>1478</v>
      </c>
      <c r="D720" s="21" t="s">
        <v>1479</v>
      </c>
      <c r="E720" s="32" t="s">
        <v>1480</v>
      </c>
      <c r="F720" s="24">
        <v>7</v>
      </c>
      <c r="G720" s="48">
        <v>7.35</v>
      </c>
      <c r="H720" s="60">
        <f t="shared" si="69"/>
        <v>51.449999999999996</v>
      </c>
      <c r="I720" s="61" t="s">
        <v>143</v>
      </c>
      <c r="J720" s="63" t="s">
        <v>89</v>
      </c>
      <c r="K720" s="205">
        <v>43697</v>
      </c>
      <c r="L720" s="205"/>
      <c r="M720" s="30">
        <v>43697</v>
      </c>
      <c r="N720" s="50" t="s">
        <v>89</v>
      </c>
      <c r="O720" s="93" t="s">
        <v>2905</v>
      </c>
      <c r="P720" s="406">
        <v>5</v>
      </c>
      <c r="Q720" s="406">
        <f t="shared" si="70"/>
        <v>36.75</v>
      </c>
      <c r="R720" s="406"/>
      <c r="S720" s="406"/>
      <c r="T720" s="406"/>
      <c r="U720" s="406">
        <v>1160</v>
      </c>
      <c r="V720" s="51" t="s">
        <v>93</v>
      </c>
      <c r="W720" s="460">
        <v>43738</v>
      </c>
      <c r="X720" s="460">
        <v>43696</v>
      </c>
      <c r="Y720" s="304" t="s">
        <v>1481</v>
      </c>
      <c r="Z720" s="304">
        <v>25023</v>
      </c>
      <c r="AA720" s="460">
        <v>43739</v>
      </c>
      <c r="AB720" s="304" t="s">
        <v>2906</v>
      </c>
      <c r="AC720" s="304" t="s">
        <v>2854</v>
      </c>
      <c r="AD720" s="304">
        <v>31.34</v>
      </c>
      <c r="AE720" s="304">
        <v>29452</v>
      </c>
      <c r="AF720" s="460">
        <v>43699</v>
      </c>
      <c r="AG720" s="296"/>
      <c r="AH720" s="296"/>
      <c r="AI720" s="297"/>
      <c r="AJ720" s="298">
        <v>43718</v>
      </c>
      <c r="AK720" s="297" t="s">
        <v>2802</v>
      </c>
      <c r="AL720" s="297" t="s">
        <v>2803</v>
      </c>
      <c r="AM720" s="296" t="s">
        <v>49</v>
      </c>
      <c r="AN720" s="296" t="s">
        <v>284</v>
      </c>
      <c r="AO720" s="296" t="s">
        <v>50</v>
      </c>
      <c r="AP720" s="296" t="s">
        <v>376</v>
      </c>
      <c r="AQ720" s="296" t="s">
        <v>506</v>
      </c>
    </row>
    <row r="721" spans="1:43" ht="15.75" customHeight="1">
      <c r="A721" s="69">
        <v>43690</v>
      </c>
      <c r="B721" s="70" t="s">
        <v>222</v>
      </c>
      <c r="C721" s="21" t="s">
        <v>1478</v>
      </c>
      <c r="D721" s="21" t="s">
        <v>1479</v>
      </c>
      <c r="E721" s="32" t="s">
        <v>1402</v>
      </c>
      <c r="F721" s="24">
        <v>6</v>
      </c>
      <c r="G721" s="48">
        <v>148.05000000000001</v>
      </c>
      <c r="H721" s="60">
        <f t="shared" si="69"/>
        <v>888.30000000000007</v>
      </c>
      <c r="I721" s="61" t="s">
        <v>143</v>
      </c>
      <c r="J721" s="63" t="s">
        <v>89</v>
      </c>
      <c r="K721" s="205">
        <v>43697</v>
      </c>
      <c r="L721" s="205"/>
      <c r="M721" s="30">
        <v>43697</v>
      </c>
      <c r="N721" s="50" t="s">
        <v>89</v>
      </c>
      <c r="O721" s="93" t="s">
        <v>2905</v>
      </c>
      <c r="P721" s="406">
        <v>120</v>
      </c>
      <c r="Q721" s="406">
        <f t="shared" si="70"/>
        <v>756</v>
      </c>
      <c r="R721" s="406"/>
      <c r="S721" s="406"/>
      <c r="T721" s="406"/>
      <c r="U721" s="406">
        <v>23863</v>
      </c>
      <c r="V721" s="51" t="s">
        <v>93</v>
      </c>
      <c r="W721" s="460">
        <v>43738</v>
      </c>
      <c r="X721" s="460">
        <v>43696</v>
      </c>
      <c r="Y721" s="304" t="s">
        <v>1481</v>
      </c>
      <c r="Z721" s="304" t="s">
        <v>2907</v>
      </c>
      <c r="AA721" s="460">
        <v>43739</v>
      </c>
      <c r="AB721" s="304" t="s">
        <v>2906</v>
      </c>
      <c r="AC721" s="304" t="s">
        <v>2854</v>
      </c>
      <c r="AD721" s="304">
        <v>31.34</v>
      </c>
      <c r="AE721" s="304" t="s">
        <v>2908</v>
      </c>
      <c r="AF721" s="460">
        <v>43699</v>
      </c>
      <c r="AG721" s="296"/>
      <c r="AH721" s="296"/>
      <c r="AI721" s="297"/>
      <c r="AJ721" s="298">
        <v>43718</v>
      </c>
      <c r="AK721" s="297" t="s">
        <v>2802</v>
      </c>
      <c r="AL721" s="297" t="s">
        <v>2803</v>
      </c>
      <c r="AM721" s="296" t="s">
        <v>49</v>
      </c>
      <c r="AN721" s="296" t="s">
        <v>284</v>
      </c>
      <c r="AO721" s="296" t="s">
        <v>50</v>
      </c>
      <c r="AP721" s="296" t="s">
        <v>376</v>
      </c>
      <c r="AQ721" s="296" t="s">
        <v>506</v>
      </c>
    </row>
    <row r="722" spans="1:43" ht="15.75" customHeight="1">
      <c r="A722" s="69">
        <v>43691</v>
      </c>
      <c r="B722" s="70" t="s">
        <v>619</v>
      </c>
      <c r="C722" s="21"/>
      <c r="D722" s="21" t="s">
        <v>1482</v>
      </c>
      <c r="E722" s="23" t="s">
        <v>1483</v>
      </c>
      <c r="F722" s="82">
        <v>1</v>
      </c>
      <c r="G722" s="48">
        <v>378</v>
      </c>
      <c r="H722" s="60">
        <f t="shared" si="69"/>
        <v>378</v>
      </c>
      <c r="I722" s="61" t="s">
        <v>42</v>
      </c>
      <c r="J722" s="63" t="s">
        <v>89</v>
      </c>
      <c r="K722" s="29">
        <v>43696</v>
      </c>
      <c r="L722" s="29"/>
      <c r="M722" s="30">
        <v>43696</v>
      </c>
      <c r="N722" s="50" t="s">
        <v>89</v>
      </c>
      <c r="O722" s="93" t="s">
        <v>2909</v>
      </c>
      <c r="P722" s="406">
        <v>332</v>
      </c>
      <c r="Q722" s="406">
        <f t="shared" si="70"/>
        <v>348.6</v>
      </c>
      <c r="R722" s="406"/>
      <c r="S722" s="406"/>
      <c r="T722" s="406"/>
      <c r="U722" s="406">
        <v>11004</v>
      </c>
      <c r="V722" s="35" t="s">
        <v>93</v>
      </c>
      <c r="W722" s="460">
        <v>43738</v>
      </c>
      <c r="X722" s="460">
        <v>43693</v>
      </c>
      <c r="Y722" s="304" t="s">
        <v>1484</v>
      </c>
      <c r="Z722" s="304">
        <v>11004</v>
      </c>
      <c r="AA722" s="460">
        <v>43739</v>
      </c>
      <c r="AB722" s="304" t="s">
        <v>2910</v>
      </c>
      <c r="AC722" s="304" t="s">
        <v>2911</v>
      </c>
      <c r="AD722" s="304">
        <v>31.36</v>
      </c>
      <c r="AE722" s="304">
        <v>11854</v>
      </c>
      <c r="AF722" s="460">
        <v>43699</v>
      </c>
      <c r="AG722" s="296"/>
      <c r="AH722" s="296"/>
      <c r="AI722" s="297"/>
      <c r="AJ722" s="298">
        <v>43699</v>
      </c>
      <c r="AK722" s="297" t="s">
        <v>2780</v>
      </c>
      <c r="AL722" s="297" t="s">
        <v>2781</v>
      </c>
      <c r="AM722" s="296" t="s">
        <v>49</v>
      </c>
      <c r="AN722" s="296" t="s">
        <v>284</v>
      </c>
      <c r="AO722" s="296" t="s">
        <v>50</v>
      </c>
      <c r="AP722" s="296" t="s">
        <v>376</v>
      </c>
      <c r="AQ722" s="296" t="s">
        <v>506</v>
      </c>
    </row>
    <row r="723" spans="1:43" ht="15.75" customHeight="1">
      <c r="A723" s="69">
        <v>43691</v>
      </c>
      <c r="B723" s="70" t="s">
        <v>228</v>
      </c>
      <c r="C723" s="21"/>
      <c r="D723" s="21" t="s">
        <v>1485</v>
      </c>
      <c r="E723" s="32" t="s">
        <v>1486</v>
      </c>
      <c r="F723" s="24">
        <v>24</v>
      </c>
      <c r="G723" s="48">
        <v>407.4</v>
      </c>
      <c r="H723" s="60">
        <f t="shared" si="69"/>
        <v>9777.5999999999985</v>
      </c>
      <c r="I723" s="61" t="s">
        <v>170</v>
      </c>
      <c r="J723" s="63" t="s">
        <v>89</v>
      </c>
      <c r="K723" s="29">
        <v>43724</v>
      </c>
      <c r="L723" s="29"/>
      <c r="M723" s="30">
        <v>43724</v>
      </c>
      <c r="N723" s="50" t="s">
        <v>89</v>
      </c>
      <c r="O723" s="93" t="s">
        <v>2912</v>
      </c>
      <c r="P723" s="406">
        <v>355</v>
      </c>
      <c r="Q723" s="406">
        <f t="shared" si="70"/>
        <v>8946</v>
      </c>
      <c r="R723" s="406"/>
      <c r="S723" s="406"/>
      <c r="T723" s="406"/>
      <c r="U723" s="406">
        <v>279294</v>
      </c>
      <c r="V723" s="35" t="s">
        <v>93</v>
      </c>
      <c r="W723" s="303">
        <v>43769</v>
      </c>
      <c r="X723" s="460">
        <v>43720</v>
      </c>
      <c r="Y723" s="304" t="s">
        <v>1487</v>
      </c>
      <c r="Z723" s="304">
        <v>279294</v>
      </c>
      <c r="AA723" s="304"/>
      <c r="AB723" s="304" t="s">
        <v>2913</v>
      </c>
      <c r="AC723" s="304" t="s">
        <v>2914</v>
      </c>
      <c r="AD723" s="304">
        <v>31.04</v>
      </c>
      <c r="AE723" s="304">
        <v>303497</v>
      </c>
      <c r="AF723" s="303">
        <v>43725</v>
      </c>
      <c r="AG723" s="296"/>
      <c r="AH723" s="296"/>
      <c r="AI723" s="297"/>
      <c r="AJ723" s="298">
        <v>43741</v>
      </c>
      <c r="AK723" s="297">
        <v>303467</v>
      </c>
      <c r="AL723" s="297">
        <v>30</v>
      </c>
      <c r="AM723" s="296" t="s">
        <v>49</v>
      </c>
      <c r="AN723" s="296" t="s">
        <v>284</v>
      </c>
      <c r="AO723" s="296" t="s">
        <v>50</v>
      </c>
      <c r="AP723" s="296" t="s">
        <v>376</v>
      </c>
      <c r="AQ723" s="296" t="s">
        <v>1118</v>
      </c>
    </row>
    <row r="724" spans="1:43" ht="15.75" customHeight="1">
      <c r="A724" s="69">
        <v>43691</v>
      </c>
      <c r="B724" s="70" t="s">
        <v>986</v>
      </c>
      <c r="C724" s="21" t="s">
        <v>1488</v>
      </c>
      <c r="D724" s="21" t="s">
        <v>1489</v>
      </c>
      <c r="E724" s="23" t="s">
        <v>1490</v>
      </c>
      <c r="F724" s="24">
        <v>1</v>
      </c>
      <c r="G724" s="48">
        <v>120</v>
      </c>
      <c r="H724" s="60">
        <f t="shared" si="69"/>
        <v>120</v>
      </c>
      <c r="I724" s="61" t="s">
        <v>104</v>
      </c>
      <c r="J724" s="528" t="s">
        <v>1281</v>
      </c>
      <c r="K724" s="298">
        <v>43703</v>
      </c>
      <c r="L724" s="298"/>
      <c r="M724" s="30">
        <v>43696</v>
      </c>
      <c r="N724" s="58" t="s">
        <v>2043</v>
      </c>
      <c r="O724" s="93" t="s">
        <v>2915</v>
      </c>
      <c r="P724" s="406"/>
      <c r="Q724" s="406">
        <f t="shared" si="70"/>
        <v>0</v>
      </c>
      <c r="R724" s="406"/>
      <c r="S724" s="406"/>
      <c r="T724" s="406">
        <v>3162</v>
      </c>
      <c r="U724" s="406">
        <v>3320</v>
      </c>
      <c r="V724" s="501" t="s">
        <v>2763</v>
      </c>
      <c r="W724" s="303">
        <v>43769</v>
      </c>
      <c r="X724" s="460">
        <v>43693</v>
      </c>
      <c r="Y724" s="304" t="s">
        <v>1491</v>
      </c>
      <c r="Z724" s="304">
        <v>3320</v>
      </c>
      <c r="AA724" s="304"/>
      <c r="AB724" s="304" t="s">
        <v>2916</v>
      </c>
      <c r="AC724" s="304">
        <v>133077416</v>
      </c>
      <c r="AD724" s="304">
        <v>31.315000000000001</v>
      </c>
      <c r="AE724" s="304"/>
      <c r="AF724" s="304"/>
      <c r="AG724" s="296"/>
      <c r="AH724" s="296"/>
      <c r="AI724" s="297"/>
      <c r="AJ724" s="298">
        <v>43734</v>
      </c>
      <c r="AK724" s="297">
        <f>1212*30.97</f>
        <v>37535.64</v>
      </c>
      <c r="AL724" s="297">
        <v>0</v>
      </c>
      <c r="AM724" s="296" t="s">
        <v>49</v>
      </c>
      <c r="AN724" s="296" t="s">
        <v>284</v>
      </c>
      <c r="AO724" s="296" t="s">
        <v>50</v>
      </c>
      <c r="AP724" s="296" t="s">
        <v>51</v>
      </c>
      <c r="AQ724" s="296" t="s">
        <v>506</v>
      </c>
    </row>
    <row r="725" spans="1:43" ht="15.75" customHeight="1">
      <c r="A725" s="69">
        <v>43692</v>
      </c>
      <c r="B725" s="70" t="s">
        <v>1492</v>
      </c>
      <c r="C725" s="21" t="s">
        <v>1416</v>
      </c>
      <c r="D725" s="491" t="s">
        <v>1493</v>
      </c>
      <c r="E725" s="23" t="s">
        <v>346</v>
      </c>
      <c r="F725" s="24">
        <v>1</v>
      </c>
      <c r="G725" s="25">
        <v>182</v>
      </c>
      <c r="H725" s="60">
        <f>F725*G725</f>
        <v>182</v>
      </c>
      <c r="I725" s="61" t="s">
        <v>104</v>
      </c>
      <c r="J725" s="63" t="s">
        <v>133</v>
      </c>
      <c r="K725" s="29">
        <v>43692</v>
      </c>
      <c r="L725" s="29"/>
      <c r="M725" s="84"/>
      <c r="N725" s="50" t="s">
        <v>262</v>
      </c>
      <c r="O725" s="93"/>
      <c r="P725" s="406"/>
      <c r="Q725" s="406"/>
      <c r="R725" s="406"/>
      <c r="S725" s="406"/>
      <c r="T725" s="406"/>
      <c r="U725" s="406">
        <v>5455</v>
      </c>
      <c r="V725" s="51"/>
      <c r="W725" s="460">
        <v>43738</v>
      </c>
      <c r="X725" s="460">
        <v>43700</v>
      </c>
      <c r="Y725" s="304" t="s">
        <v>1494</v>
      </c>
      <c r="Z725" s="304">
        <v>5455</v>
      </c>
      <c r="AA725" s="460">
        <v>43710</v>
      </c>
      <c r="AB725" s="304" t="s">
        <v>2861</v>
      </c>
      <c r="AC725" s="304">
        <v>1970329620</v>
      </c>
      <c r="AD725" s="304"/>
      <c r="AE725" s="304"/>
      <c r="AF725" s="304"/>
      <c r="AG725" s="296"/>
      <c r="AH725" s="296"/>
      <c r="AI725" s="297"/>
      <c r="AJ725" s="298">
        <v>43734</v>
      </c>
      <c r="AK725" s="297" t="s">
        <v>2742</v>
      </c>
      <c r="AL725" s="297" t="s">
        <v>2743</v>
      </c>
      <c r="AM725" s="296" t="s">
        <v>49</v>
      </c>
      <c r="AN725" s="296" t="s">
        <v>284</v>
      </c>
      <c r="AO725" s="296" t="s">
        <v>50</v>
      </c>
      <c r="AP725" s="296" t="s">
        <v>51</v>
      </c>
      <c r="AQ725" s="296" t="s">
        <v>506</v>
      </c>
    </row>
    <row r="726" spans="1:43" ht="15.75" customHeight="1">
      <c r="A726" s="69">
        <v>43692</v>
      </c>
      <c r="B726" s="70" t="s">
        <v>892</v>
      </c>
      <c r="C726" s="21" t="s">
        <v>1429</v>
      </c>
      <c r="D726" s="21" t="s">
        <v>1495</v>
      </c>
      <c r="E726" s="520" t="s">
        <v>1433</v>
      </c>
      <c r="F726" s="24">
        <v>47</v>
      </c>
      <c r="G726" s="48">
        <v>5.8</v>
      </c>
      <c r="H726" s="60">
        <f t="shared" ref="H726:H747" si="71">G726*F726</f>
        <v>272.59999999999997</v>
      </c>
      <c r="I726" s="61" t="s">
        <v>104</v>
      </c>
      <c r="J726" s="63"/>
      <c r="K726" s="29">
        <v>43711</v>
      </c>
      <c r="L726" s="29"/>
      <c r="M726" s="30">
        <v>43707</v>
      </c>
      <c r="N726" s="50" t="s">
        <v>89</v>
      </c>
      <c r="O726" s="93" t="s">
        <v>2917</v>
      </c>
      <c r="P726" s="406">
        <v>5</v>
      </c>
      <c r="Q726" s="406">
        <f>(P726*F726)*1.05</f>
        <v>246.75</v>
      </c>
      <c r="R726" s="406"/>
      <c r="S726" s="406"/>
      <c r="T726" s="406"/>
      <c r="U726" s="406">
        <v>7727</v>
      </c>
      <c r="V726" s="51" t="s">
        <v>93</v>
      </c>
      <c r="W726" s="303">
        <v>43769</v>
      </c>
      <c r="X726" s="460">
        <v>43706</v>
      </c>
      <c r="Y726" s="304" t="s">
        <v>1496</v>
      </c>
      <c r="Z726" s="304">
        <v>126098</v>
      </c>
      <c r="AA726" s="304"/>
      <c r="AB726" s="304" t="s">
        <v>2918</v>
      </c>
      <c r="AC726" s="304">
        <v>135395880</v>
      </c>
      <c r="AD726" s="304">
        <v>31.324999999999999</v>
      </c>
      <c r="AE726" s="304"/>
      <c r="AF726" s="304"/>
      <c r="AG726" s="296"/>
      <c r="AH726" s="296"/>
      <c r="AI726" s="297"/>
      <c r="AJ726" s="298">
        <v>43699</v>
      </c>
      <c r="AK726" s="297">
        <f>4495.21*31.29</f>
        <v>140655.12090000001</v>
      </c>
      <c r="AL726" s="297">
        <f>(4512.6-4495.21)*31.29</f>
        <v>544.13310000001024</v>
      </c>
      <c r="AM726" s="296" t="s">
        <v>49</v>
      </c>
      <c r="AN726" s="296" t="s">
        <v>284</v>
      </c>
      <c r="AO726" s="296" t="s">
        <v>50</v>
      </c>
      <c r="AP726" s="296" t="s">
        <v>51</v>
      </c>
      <c r="AQ726" s="296" t="s">
        <v>1118</v>
      </c>
    </row>
    <row r="727" spans="1:43" ht="15.75" customHeight="1">
      <c r="A727" s="69">
        <v>43692</v>
      </c>
      <c r="B727" s="70" t="s">
        <v>892</v>
      </c>
      <c r="C727" s="21" t="s">
        <v>1429</v>
      </c>
      <c r="D727" s="21" t="s">
        <v>1495</v>
      </c>
      <c r="E727" s="520" t="s">
        <v>1431</v>
      </c>
      <c r="F727" s="24">
        <v>20</v>
      </c>
      <c r="G727" s="48">
        <v>212</v>
      </c>
      <c r="H727" s="60">
        <f t="shared" si="71"/>
        <v>4240</v>
      </c>
      <c r="I727" s="61" t="s">
        <v>104</v>
      </c>
      <c r="J727" s="63"/>
      <c r="K727" s="29">
        <v>43711</v>
      </c>
      <c r="L727" s="29"/>
      <c r="M727" s="30">
        <v>43707</v>
      </c>
      <c r="N727" s="50" t="s">
        <v>89</v>
      </c>
      <c r="O727" s="93" t="s">
        <v>2917</v>
      </c>
      <c r="P727" s="406">
        <v>180</v>
      </c>
      <c r="Q727" s="406">
        <f>(P727*F727)*1.05</f>
        <v>3780</v>
      </c>
      <c r="R727" s="406"/>
      <c r="S727" s="406"/>
      <c r="T727" s="406"/>
      <c r="U727" s="406">
        <v>118371</v>
      </c>
      <c r="V727" s="51" t="s">
        <v>93</v>
      </c>
      <c r="W727" s="303">
        <v>43769</v>
      </c>
      <c r="X727" s="460">
        <v>43706</v>
      </c>
      <c r="Y727" s="304" t="s">
        <v>1496</v>
      </c>
      <c r="Z727" s="304" t="s">
        <v>2919</v>
      </c>
      <c r="AA727" s="304"/>
      <c r="AB727" s="304" t="s">
        <v>2918</v>
      </c>
      <c r="AC727" s="304">
        <v>135395880</v>
      </c>
      <c r="AD727" s="304">
        <v>31.324999999999999</v>
      </c>
      <c r="AE727" s="304"/>
      <c r="AF727" s="304"/>
      <c r="AG727" s="296"/>
      <c r="AH727" s="296"/>
      <c r="AI727" s="297"/>
      <c r="AJ727" s="298">
        <v>43699</v>
      </c>
      <c r="AK727" s="297" t="s">
        <v>2920</v>
      </c>
      <c r="AL727" s="297" t="s">
        <v>2921</v>
      </c>
      <c r="AM727" s="296" t="s">
        <v>49</v>
      </c>
      <c r="AN727" s="296" t="s">
        <v>284</v>
      </c>
      <c r="AO727" s="296" t="s">
        <v>50</v>
      </c>
      <c r="AP727" s="296" t="s">
        <v>51</v>
      </c>
      <c r="AQ727" s="296" t="s">
        <v>1118</v>
      </c>
    </row>
    <row r="728" spans="1:43" ht="15.75" customHeight="1">
      <c r="A728" s="69">
        <v>43692</v>
      </c>
      <c r="B728" s="144" t="s">
        <v>118</v>
      </c>
      <c r="C728" s="21"/>
      <c r="D728" s="71" t="s">
        <v>1497</v>
      </c>
      <c r="E728" s="23" t="s">
        <v>1498</v>
      </c>
      <c r="F728" s="24">
        <v>3</v>
      </c>
      <c r="G728" s="48">
        <v>415</v>
      </c>
      <c r="H728" s="60">
        <f t="shared" si="71"/>
        <v>1245</v>
      </c>
      <c r="I728" s="61" t="s">
        <v>143</v>
      </c>
      <c r="J728" s="82" t="s">
        <v>121</v>
      </c>
      <c r="K728" s="30">
        <v>43747</v>
      </c>
      <c r="L728" s="30"/>
      <c r="M728" s="30">
        <v>43745</v>
      </c>
      <c r="N728" s="50" t="s">
        <v>2021</v>
      </c>
      <c r="O728" s="21" t="s">
        <v>2922</v>
      </c>
      <c r="P728" s="406">
        <v>290</v>
      </c>
      <c r="Q728" s="406">
        <f>(P728*F728)*1.05</f>
        <v>913.5</v>
      </c>
      <c r="R728" s="406"/>
      <c r="S728" s="406"/>
      <c r="T728" s="406"/>
      <c r="U728" s="406">
        <v>28693</v>
      </c>
      <c r="V728" s="70" t="s">
        <v>2023</v>
      </c>
      <c r="W728" s="460">
        <v>43774</v>
      </c>
      <c r="X728" s="460">
        <v>43742</v>
      </c>
      <c r="Y728" s="304" t="s">
        <v>1499</v>
      </c>
      <c r="Z728" s="304">
        <v>28693</v>
      </c>
      <c r="AA728" s="304"/>
      <c r="AB728" s="304" t="s">
        <v>2923</v>
      </c>
      <c r="AC728" s="304" t="s">
        <v>2924</v>
      </c>
      <c r="AD728" s="304">
        <v>30.97</v>
      </c>
      <c r="AE728" s="304"/>
      <c r="AF728" s="304"/>
      <c r="AG728" s="296"/>
      <c r="AH728" s="296"/>
      <c r="AI728" s="297"/>
      <c r="AJ728" s="298">
        <v>43700</v>
      </c>
      <c r="AK728" s="297" t="s">
        <v>2925</v>
      </c>
      <c r="AL728" s="297" t="s">
        <v>2926</v>
      </c>
      <c r="AM728" s="296" t="s">
        <v>49</v>
      </c>
      <c r="AN728" s="296" t="s">
        <v>284</v>
      </c>
      <c r="AO728" s="296" t="s">
        <v>50</v>
      </c>
      <c r="AP728" s="296" t="s">
        <v>51</v>
      </c>
      <c r="AQ728" s="296" t="s">
        <v>755</v>
      </c>
    </row>
    <row r="729" spans="1:43" ht="15.75" customHeight="1">
      <c r="A729" s="69">
        <v>43692</v>
      </c>
      <c r="B729" s="144" t="s">
        <v>118</v>
      </c>
      <c r="C729" s="21"/>
      <c r="D729" s="112" t="s">
        <v>1500</v>
      </c>
      <c r="E729" s="23" t="s">
        <v>1501</v>
      </c>
      <c r="F729" s="24">
        <v>3</v>
      </c>
      <c r="G729" s="48">
        <v>0</v>
      </c>
      <c r="H729" s="60">
        <f t="shared" si="71"/>
        <v>0</v>
      </c>
      <c r="I729" s="61" t="s">
        <v>143</v>
      </c>
      <c r="J729" s="82" t="s">
        <v>121</v>
      </c>
      <c r="K729" s="30">
        <v>43747</v>
      </c>
      <c r="L729" s="30"/>
      <c r="M729" s="29">
        <v>43692</v>
      </c>
      <c r="N729" s="50" t="s">
        <v>2804</v>
      </c>
      <c r="O729" s="93"/>
      <c r="P729" s="406"/>
      <c r="Q729" s="406">
        <f>(P729*F729)*1.05</f>
        <v>0</v>
      </c>
      <c r="R729" s="406"/>
      <c r="S729" s="406"/>
      <c r="T729" s="406"/>
      <c r="U729" s="696">
        <v>0</v>
      </c>
      <c r="V729" s="501"/>
      <c r="W729" s="304"/>
      <c r="X729" s="304"/>
      <c r="Y729" s="304"/>
      <c r="Z729" s="304"/>
      <c r="AA729" s="304"/>
      <c r="AB729" s="304" t="s">
        <v>2923</v>
      </c>
      <c r="AC729" s="304" t="s">
        <v>2927</v>
      </c>
      <c r="AD729" s="304">
        <v>30.97</v>
      </c>
      <c r="AE729" s="304"/>
      <c r="AF729" s="304"/>
      <c r="AG729" s="296"/>
      <c r="AH729" s="296"/>
      <c r="AI729" s="297"/>
      <c r="AJ729" s="298">
        <v>43700</v>
      </c>
      <c r="AK729" s="297">
        <f>1228.61*31.3</f>
        <v>38455.492999999995</v>
      </c>
      <c r="AL729" s="297">
        <f>(1245-1228.61)*31.3</f>
        <v>513.00700000000313</v>
      </c>
      <c r="AM729" s="296" t="s">
        <v>49</v>
      </c>
      <c r="AN729" s="296" t="s">
        <v>284</v>
      </c>
      <c r="AO729" s="296" t="s">
        <v>50</v>
      </c>
      <c r="AP729" s="296" t="s">
        <v>51</v>
      </c>
      <c r="AQ729" s="296" t="s">
        <v>755</v>
      </c>
    </row>
    <row r="730" spans="1:43" ht="15.75" customHeight="1">
      <c r="A730" s="69">
        <v>43693</v>
      </c>
      <c r="B730" s="144" t="s">
        <v>377</v>
      </c>
      <c r="C730" s="21" t="s">
        <v>1103</v>
      </c>
      <c r="D730" s="21" t="s">
        <v>1502</v>
      </c>
      <c r="E730" s="246" t="s">
        <v>1503</v>
      </c>
      <c r="F730" s="24">
        <v>1</v>
      </c>
      <c r="G730" s="48">
        <v>454</v>
      </c>
      <c r="H730" s="60">
        <f t="shared" si="71"/>
        <v>454</v>
      </c>
      <c r="I730" s="61" t="s">
        <v>143</v>
      </c>
      <c r="J730" s="161" t="s">
        <v>1504</v>
      </c>
      <c r="K730" s="30">
        <v>43727</v>
      </c>
      <c r="L730" s="30"/>
      <c r="M730" s="30">
        <v>43727</v>
      </c>
      <c r="N730" s="50"/>
      <c r="O730" s="93"/>
      <c r="P730" s="406"/>
      <c r="Q730" s="406"/>
      <c r="R730" s="406"/>
      <c r="S730" s="406"/>
      <c r="T730" s="406"/>
      <c r="U730" s="697">
        <v>14217</v>
      </c>
      <c r="V730" s="501"/>
      <c r="W730" s="460">
        <v>43693</v>
      </c>
      <c r="X730" s="304"/>
      <c r="Y730" s="304"/>
      <c r="Z730" s="304"/>
      <c r="AA730" s="304"/>
      <c r="AB730" s="304" t="s">
        <v>2608</v>
      </c>
      <c r="AC730" s="304" t="s">
        <v>2609</v>
      </c>
      <c r="AD730" s="304"/>
      <c r="AE730" s="304"/>
      <c r="AF730" s="304"/>
      <c r="AG730" s="296"/>
      <c r="AH730" s="296"/>
      <c r="AI730" s="297"/>
      <c r="AJ730" s="298">
        <v>43707</v>
      </c>
      <c r="AK730" s="297" t="s">
        <v>2599</v>
      </c>
      <c r="AL730" s="297" t="s">
        <v>2600</v>
      </c>
      <c r="AM730" s="296" t="s">
        <v>49</v>
      </c>
      <c r="AN730" s="296" t="s">
        <v>284</v>
      </c>
      <c r="AO730" s="296" t="s">
        <v>285</v>
      </c>
      <c r="AP730" s="296" t="s">
        <v>51</v>
      </c>
      <c r="AQ730" s="296" t="s">
        <v>1118</v>
      </c>
    </row>
    <row r="731" spans="1:43" ht="15.75" customHeight="1" thickBot="1">
      <c r="A731" s="69">
        <v>43696</v>
      </c>
      <c r="B731" s="70" t="s">
        <v>986</v>
      </c>
      <c r="C731" s="21" t="s">
        <v>1505</v>
      </c>
      <c r="D731" s="21" t="s">
        <v>1506</v>
      </c>
      <c r="E731" s="23" t="s">
        <v>1507</v>
      </c>
      <c r="F731" s="24">
        <v>3</v>
      </c>
      <c r="G731" s="25">
        <v>175</v>
      </c>
      <c r="H731" s="60">
        <f t="shared" si="71"/>
        <v>525</v>
      </c>
      <c r="I731" s="61" t="s">
        <v>104</v>
      </c>
      <c r="J731" s="63" t="s">
        <v>1281</v>
      </c>
      <c r="K731" s="29">
        <v>43703</v>
      </c>
      <c r="L731" s="29"/>
      <c r="M731" s="30">
        <v>43703</v>
      </c>
      <c r="N731" s="50" t="s">
        <v>89</v>
      </c>
      <c r="O731" s="93" t="s">
        <v>2928</v>
      </c>
      <c r="P731" s="406">
        <v>147</v>
      </c>
      <c r="Q731" s="406">
        <f t="shared" ref="Q731:Q736" si="72">(P731*F731)*1.05</f>
        <v>463.05</v>
      </c>
      <c r="R731" s="406"/>
      <c r="S731" s="406"/>
      <c r="T731" s="406"/>
      <c r="U731" s="406">
        <v>14500</v>
      </c>
      <c r="V731" s="35" t="s">
        <v>93</v>
      </c>
      <c r="W731" s="460">
        <v>43738</v>
      </c>
      <c r="X731" s="460">
        <v>43700</v>
      </c>
      <c r="Y731" s="304" t="s">
        <v>1508</v>
      </c>
      <c r="Z731" s="304">
        <v>29987</v>
      </c>
      <c r="AA731" s="460">
        <v>43739</v>
      </c>
      <c r="AB731" s="304" t="s">
        <v>2916</v>
      </c>
      <c r="AC731" s="406">
        <v>133077416</v>
      </c>
      <c r="AD731" s="304">
        <v>31.315000000000001</v>
      </c>
      <c r="AE731" s="304"/>
      <c r="AF731" s="304"/>
      <c r="AG731" s="296"/>
      <c r="AH731" s="296"/>
      <c r="AI731" s="297"/>
      <c r="AJ731" s="298">
        <v>43734</v>
      </c>
      <c r="AK731" s="297" t="s">
        <v>2929</v>
      </c>
      <c r="AL731" s="297">
        <v>0</v>
      </c>
      <c r="AM731" s="296" t="s">
        <v>49</v>
      </c>
      <c r="AN731" s="296" t="s">
        <v>284</v>
      </c>
      <c r="AO731" s="296" t="s">
        <v>50</v>
      </c>
      <c r="AP731" s="296" t="s">
        <v>51</v>
      </c>
      <c r="AQ731" s="296" t="s">
        <v>506</v>
      </c>
    </row>
    <row r="732" spans="1:43" ht="15.75" customHeight="1" thickTop="1" thickBot="1">
      <c r="A732" s="69">
        <v>43696</v>
      </c>
      <c r="B732" s="70" t="s">
        <v>986</v>
      </c>
      <c r="C732" s="21" t="s">
        <v>1505</v>
      </c>
      <c r="D732" s="21" t="s">
        <v>1506</v>
      </c>
      <c r="E732" s="527" t="s">
        <v>1509</v>
      </c>
      <c r="F732" s="24">
        <v>3</v>
      </c>
      <c r="G732" s="48">
        <v>175</v>
      </c>
      <c r="H732" s="60">
        <f t="shared" si="71"/>
        <v>525</v>
      </c>
      <c r="I732" s="61" t="s">
        <v>104</v>
      </c>
      <c r="J732" s="63" t="s">
        <v>1281</v>
      </c>
      <c r="K732" s="29">
        <v>43703</v>
      </c>
      <c r="L732" s="29"/>
      <c r="M732" s="30">
        <v>43703</v>
      </c>
      <c r="N732" s="50" t="s">
        <v>89</v>
      </c>
      <c r="O732" s="93" t="s">
        <v>2928</v>
      </c>
      <c r="P732" s="406">
        <v>147</v>
      </c>
      <c r="Q732" s="406">
        <f t="shared" si="72"/>
        <v>463.05</v>
      </c>
      <c r="R732" s="406"/>
      <c r="S732" s="406"/>
      <c r="T732" s="406"/>
      <c r="U732" s="406">
        <v>14500</v>
      </c>
      <c r="V732" s="51" t="s">
        <v>93</v>
      </c>
      <c r="W732" s="460">
        <v>43738</v>
      </c>
      <c r="X732" s="460">
        <v>43700</v>
      </c>
      <c r="Y732" s="304" t="s">
        <v>1508</v>
      </c>
      <c r="Z732" s="304" t="s">
        <v>2930</v>
      </c>
      <c r="AA732" s="460">
        <v>43739</v>
      </c>
      <c r="AB732" s="350" t="s">
        <v>2916</v>
      </c>
      <c r="AC732" s="406">
        <v>133077416</v>
      </c>
      <c r="AD732" s="304">
        <v>31.315000000000001</v>
      </c>
      <c r="AE732" s="304"/>
      <c r="AF732" s="304"/>
      <c r="AG732" s="296"/>
      <c r="AH732" s="296"/>
      <c r="AI732" s="297"/>
      <c r="AJ732" s="298">
        <v>43734</v>
      </c>
      <c r="AK732" s="297" t="s">
        <v>2929</v>
      </c>
      <c r="AL732" s="297">
        <v>0</v>
      </c>
      <c r="AM732" s="296" t="s">
        <v>49</v>
      </c>
      <c r="AN732" s="296" t="s">
        <v>284</v>
      </c>
      <c r="AO732" s="296" t="s">
        <v>50</v>
      </c>
      <c r="AP732" s="296" t="s">
        <v>51</v>
      </c>
      <c r="AQ732" s="296" t="s">
        <v>506</v>
      </c>
    </row>
    <row r="733" spans="1:43" ht="15.75" customHeight="1" thickTop="1">
      <c r="A733" s="69">
        <v>43696</v>
      </c>
      <c r="B733" s="70" t="s">
        <v>986</v>
      </c>
      <c r="C733" s="21" t="s">
        <v>1505</v>
      </c>
      <c r="D733" s="21" t="s">
        <v>1506</v>
      </c>
      <c r="E733" s="23" t="s">
        <v>1510</v>
      </c>
      <c r="F733" s="24">
        <v>6</v>
      </c>
      <c r="G733" s="48">
        <v>7</v>
      </c>
      <c r="H733" s="60">
        <f t="shared" si="71"/>
        <v>42</v>
      </c>
      <c r="I733" s="61" t="s">
        <v>104</v>
      </c>
      <c r="J733" s="63" t="s">
        <v>1281</v>
      </c>
      <c r="K733" s="29">
        <v>43703</v>
      </c>
      <c r="L733" s="29"/>
      <c r="M733" s="30">
        <v>43703</v>
      </c>
      <c r="N733" s="50" t="s">
        <v>89</v>
      </c>
      <c r="O733" s="93" t="s">
        <v>2928</v>
      </c>
      <c r="P733" s="406">
        <v>5</v>
      </c>
      <c r="Q733" s="406">
        <f t="shared" si="72"/>
        <v>31.5</v>
      </c>
      <c r="R733" s="406"/>
      <c r="S733" s="406"/>
      <c r="T733" s="406"/>
      <c r="U733" s="406">
        <v>987</v>
      </c>
      <c r="V733" s="51" t="s">
        <v>93</v>
      </c>
      <c r="W733" s="460">
        <v>43738</v>
      </c>
      <c r="X733" s="460">
        <v>43700</v>
      </c>
      <c r="Y733" s="304" t="s">
        <v>1508</v>
      </c>
      <c r="Z733" s="304" t="s">
        <v>2930</v>
      </c>
      <c r="AA733" s="460">
        <v>43739</v>
      </c>
      <c r="AB733" s="662" t="s">
        <v>2916</v>
      </c>
      <c r="AC733" s="304">
        <v>133077416</v>
      </c>
      <c r="AD733" s="304">
        <v>31.315000000000001</v>
      </c>
      <c r="AE733" s="304"/>
      <c r="AF733" s="304"/>
      <c r="AG733" s="296"/>
      <c r="AH733" s="296"/>
      <c r="AI733" s="297"/>
      <c r="AJ733" s="298">
        <v>43734</v>
      </c>
      <c r="AK733" s="297" t="s">
        <v>2929</v>
      </c>
      <c r="AL733" s="297">
        <v>0</v>
      </c>
      <c r="AM733" s="296" t="s">
        <v>49</v>
      </c>
      <c r="AN733" s="296" t="s">
        <v>284</v>
      </c>
      <c r="AO733" s="296" t="s">
        <v>50</v>
      </c>
      <c r="AP733" s="296" t="s">
        <v>51</v>
      </c>
      <c r="AQ733" s="296" t="s">
        <v>506</v>
      </c>
    </row>
    <row r="734" spans="1:43" ht="15.75" customHeight="1">
      <c r="A734" s="69">
        <v>43696</v>
      </c>
      <c r="B734" s="70" t="s">
        <v>986</v>
      </c>
      <c r="C734" s="21" t="s">
        <v>1505</v>
      </c>
      <c r="D734" s="71" t="s">
        <v>1506</v>
      </c>
      <c r="E734" s="32" t="s">
        <v>1234</v>
      </c>
      <c r="F734" s="24">
        <v>12</v>
      </c>
      <c r="G734" s="48">
        <v>111</v>
      </c>
      <c r="H734" s="60">
        <f t="shared" si="71"/>
        <v>1332</v>
      </c>
      <c r="I734" s="61" t="s">
        <v>104</v>
      </c>
      <c r="J734" s="63" t="s">
        <v>1281</v>
      </c>
      <c r="K734" s="29">
        <v>43725</v>
      </c>
      <c r="L734" s="29"/>
      <c r="M734" s="30">
        <v>43724</v>
      </c>
      <c r="N734" s="50" t="s">
        <v>89</v>
      </c>
      <c r="O734" s="93" t="s">
        <v>2928</v>
      </c>
      <c r="P734" s="406">
        <v>93</v>
      </c>
      <c r="Q734" s="406">
        <f t="shared" si="72"/>
        <v>1171.8</v>
      </c>
      <c r="R734" s="406"/>
      <c r="S734" s="406"/>
      <c r="T734" s="406"/>
      <c r="U734" s="406">
        <v>36584</v>
      </c>
      <c r="V734" s="51" t="s">
        <v>93</v>
      </c>
      <c r="W734" s="303">
        <v>43769</v>
      </c>
      <c r="X734" s="460">
        <v>43720</v>
      </c>
      <c r="Y734" s="304" t="s">
        <v>1511</v>
      </c>
      <c r="Z734" s="304">
        <v>36584</v>
      </c>
      <c r="AA734" s="304"/>
      <c r="AB734" s="304" t="s">
        <v>2931</v>
      </c>
      <c r="AC734" s="406">
        <v>141452192</v>
      </c>
      <c r="AD734" s="304">
        <v>31.22</v>
      </c>
      <c r="AE734" s="304"/>
      <c r="AF734" s="304"/>
      <c r="AG734" s="296"/>
      <c r="AH734" s="296"/>
      <c r="AI734" s="297"/>
      <c r="AJ734" s="29">
        <v>43755</v>
      </c>
      <c r="AK734" s="297">
        <f>1332*30.57</f>
        <v>40719.24</v>
      </c>
      <c r="AL734" s="297">
        <v>0</v>
      </c>
      <c r="AM734" s="296" t="s">
        <v>49</v>
      </c>
      <c r="AN734" s="296" t="s">
        <v>284</v>
      </c>
      <c r="AO734" s="296" t="s">
        <v>50</v>
      </c>
      <c r="AP734" s="296" t="s">
        <v>51</v>
      </c>
      <c r="AQ734" s="296" t="s">
        <v>1118</v>
      </c>
    </row>
    <row r="735" spans="1:43" ht="15.75" customHeight="1">
      <c r="A735" s="110">
        <v>43697</v>
      </c>
      <c r="B735" s="70" t="s">
        <v>1512</v>
      </c>
      <c r="C735" s="21" t="s">
        <v>1513</v>
      </c>
      <c r="D735" s="21" t="s">
        <v>1514</v>
      </c>
      <c r="E735" s="32" t="s">
        <v>1073</v>
      </c>
      <c r="F735" s="24">
        <v>2</v>
      </c>
      <c r="G735" s="48">
        <v>155.4</v>
      </c>
      <c r="H735" s="468">
        <f t="shared" si="71"/>
        <v>310.8</v>
      </c>
      <c r="I735" s="61" t="s">
        <v>247</v>
      </c>
      <c r="J735" s="161" t="s">
        <v>1149</v>
      </c>
      <c r="K735" s="29">
        <v>43699</v>
      </c>
      <c r="L735" s="29"/>
      <c r="M735" s="302"/>
      <c r="N735" s="50" t="s">
        <v>178</v>
      </c>
      <c r="O735" s="93"/>
      <c r="P735" s="406"/>
      <c r="Q735" s="406">
        <f t="shared" si="72"/>
        <v>0</v>
      </c>
      <c r="R735" s="406"/>
      <c r="S735" s="406"/>
      <c r="T735" s="406">
        <v>3901.02</v>
      </c>
      <c r="U735" s="406">
        <f>(T735*F735)*1.05</f>
        <v>8192.1419999999998</v>
      </c>
      <c r="V735" s="501"/>
      <c r="W735" s="304"/>
      <c r="X735" s="304"/>
      <c r="Y735" s="304"/>
      <c r="Z735" s="304"/>
      <c r="AA735" s="304"/>
      <c r="AB735" s="304" t="s">
        <v>2932</v>
      </c>
      <c r="AC735" s="304" t="s">
        <v>2933</v>
      </c>
      <c r="AD735" s="304">
        <v>31.36</v>
      </c>
      <c r="AE735" s="304">
        <v>9747</v>
      </c>
      <c r="AF735" s="460">
        <v>43699</v>
      </c>
      <c r="AG735" s="296"/>
      <c r="AH735" s="296"/>
      <c r="AI735" s="297"/>
      <c r="AJ735" s="298">
        <v>43739</v>
      </c>
      <c r="AK735" s="297" t="s">
        <v>2934</v>
      </c>
      <c r="AL735" s="297" t="s">
        <v>2935</v>
      </c>
      <c r="AM735" s="296" t="s">
        <v>49</v>
      </c>
      <c r="AN735" s="296" t="s">
        <v>284</v>
      </c>
      <c r="AO735" s="296" t="s">
        <v>50</v>
      </c>
      <c r="AP735" s="296" t="s">
        <v>376</v>
      </c>
      <c r="AQ735" s="296" t="s">
        <v>506</v>
      </c>
    </row>
    <row r="736" spans="1:43" ht="15.75" customHeight="1">
      <c r="A736" s="69">
        <v>43697</v>
      </c>
      <c r="B736" s="70" t="s">
        <v>82</v>
      </c>
      <c r="C736" s="21" t="s">
        <v>1515</v>
      </c>
      <c r="D736" s="32" t="s">
        <v>1516</v>
      </c>
      <c r="E736" s="32" t="s">
        <v>99</v>
      </c>
      <c r="F736" s="24">
        <v>2</v>
      </c>
      <c r="G736" s="48">
        <v>1676</v>
      </c>
      <c r="H736" s="468">
        <f t="shared" si="71"/>
        <v>3352</v>
      </c>
      <c r="I736" s="61" t="s">
        <v>1517</v>
      </c>
      <c r="J736" s="58" t="s">
        <v>1518</v>
      </c>
      <c r="K736" s="30">
        <v>43811</v>
      </c>
      <c r="L736" s="30"/>
      <c r="M736" s="30">
        <v>43805</v>
      </c>
      <c r="N736" s="50" t="s">
        <v>89</v>
      </c>
      <c r="O736" s="32" t="s">
        <v>2936</v>
      </c>
      <c r="P736" s="406">
        <v>1481</v>
      </c>
      <c r="Q736" s="406">
        <f t="shared" si="72"/>
        <v>3110.1</v>
      </c>
      <c r="R736" s="406"/>
      <c r="S736" s="406"/>
      <c r="T736" s="406"/>
      <c r="U736" s="698">
        <f t="shared" ref="U736:U739" si="73">Q736*30.45</f>
        <v>94702.544999999998</v>
      </c>
      <c r="V736" s="51" t="s">
        <v>93</v>
      </c>
      <c r="W736" s="304"/>
      <c r="X736" s="304"/>
      <c r="Y736" s="304"/>
      <c r="Z736" s="304"/>
      <c r="AA736" s="304"/>
      <c r="AB736" s="304" t="s">
        <v>2937</v>
      </c>
      <c r="AC736" s="304">
        <v>114343207</v>
      </c>
      <c r="AD736" s="304">
        <v>30.42</v>
      </c>
      <c r="AE736" s="304"/>
      <c r="AF736" s="296"/>
      <c r="AG736" s="296"/>
      <c r="AH736" s="297"/>
      <c r="AI736" s="298">
        <v>43735</v>
      </c>
      <c r="AJ736" s="297">
        <f>3915.54*30.98</f>
        <v>121303.4292</v>
      </c>
      <c r="AK736" s="297">
        <f>(3922-3915.54+40)*30.98</f>
        <v>1439.3308000000011</v>
      </c>
      <c r="AL736" s="296" t="s">
        <v>49</v>
      </c>
      <c r="AM736" s="296" t="s">
        <v>49</v>
      </c>
      <c r="AN736" s="82" t="s">
        <v>284</v>
      </c>
      <c r="AO736" s="296" t="s">
        <v>50</v>
      </c>
      <c r="AP736" s="296" t="s">
        <v>51</v>
      </c>
      <c r="AQ736" s="296" t="s">
        <v>1346</v>
      </c>
    </row>
    <row r="737" spans="1:43" ht="15.75" customHeight="1">
      <c r="A737" s="69">
        <v>43697</v>
      </c>
      <c r="B737" s="70" t="s">
        <v>82</v>
      </c>
      <c r="C737" s="21" t="s">
        <v>1515</v>
      </c>
      <c r="D737" s="21" t="s">
        <v>1519</v>
      </c>
      <c r="E737" s="23" t="s">
        <v>1520</v>
      </c>
      <c r="F737" s="24">
        <v>2</v>
      </c>
      <c r="G737" s="48">
        <v>90</v>
      </c>
      <c r="H737" s="60">
        <f t="shared" si="71"/>
        <v>180</v>
      </c>
      <c r="I737" s="61" t="s">
        <v>1517</v>
      </c>
      <c r="J737" s="58" t="s">
        <v>1518</v>
      </c>
      <c r="K737" s="30">
        <v>43811</v>
      </c>
      <c r="L737" s="30"/>
      <c r="M737" s="30">
        <v>43805</v>
      </c>
      <c r="N737" s="50" t="s">
        <v>89</v>
      </c>
      <c r="O737" s="32" t="s">
        <v>2936</v>
      </c>
      <c r="P737" s="304" t="s">
        <v>2938</v>
      </c>
      <c r="Q737" s="406"/>
      <c r="R737" s="406"/>
      <c r="S737" s="406"/>
      <c r="T737" s="406"/>
      <c r="U737" s="698">
        <f t="shared" si="73"/>
        <v>0</v>
      </c>
      <c r="V737" s="51" t="s">
        <v>93</v>
      </c>
      <c r="W737" s="304"/>
      <c r="X737" s="304"/>
      <c r="Y737" s="304"/>
      <c r="Z737" s="304"/>
      <c r="AA737" s="237"/>
      <c r="AB737" s="304" t="s">
        <v>2937</v>
      </c>
      <c r="AC737" s="304">
        <v>114343207</v>
      </c>
      <c r="AD737" s="304">
        <v>30.42</v>
      </c>
      <c r="AE737" s="304"/>
      <c r="AF737" s="296"/>
      <c r="AG737" s="296"/>
      <c r="AH737" s="297"/>
      <c r="AI737" s="298">
        <v>43735</v>
      </c>
      <c r="AJ737" s="297" t="s">
        <v>2939</v>
      </c>
      <c r="AK737" s="297" t="s">
        <v>2940</v>
      </c>
      <c r="AL737" s="296" t="s">
        <v>49</v>
      </c>
      <c r="AM737" s="296" t="s">
        <v>49</v>
      </c>
      <c r="AN737" s="82" t="s">
        <v>284</v>
      </c>
      <c r="AO737" s="296" t="s">
        <v>50</v>
      </c>
      <c r="AP737" s="296" t="s">
        <v>51</v>
      </c>
      <c r="AQ737" s="296" t="s">
        <v>1346</v>
      </c>
    </row>
    <row r="738" spans="1:43" ht="15.75" customHeight="1">
      <c r="A738" s="69">
        <v>43697</v>
      </c>
      <c r="B738" s="70" t="s">
        <v>82</v>
      </c>
      <c r="C738" s="21" t="s">
        <v>1515</v>
      </c>
      <c r="D738" s="21" t="s">
        <v>1519</v>
      </c>
      <c r="E738" s="32" t="s">
        <v>1521</v>
      </c>
      <c r="F738" s="24">
        <v>2</v>
      </c>
      <c r="G738" s="48">
        <v>15</v>
      </c>
      <c r="H738" s="60">
        <f t="shared" si="71"/>
        <v>30</v>
      </c>
      <c r="I738" s="61" t="s">
        <v>1517</v>
      </c>
      <c r="J738" s="58" t="s">
        <v>1518</v>
      </c>
      <c r="K738" s="30">
        <v>43811</v>
      </c>
      <c r="L738" s="30"/>
      <c r="M738" s="30">
        <v>43805</v>
      </c>
      <c r="N738" s="50" t="s">
        <v>89</v>
      </c>
      <c r="O738" s="32" t="s">
        <v>2936</v>
      </c>
      <c r="P738" s="406">
        <v>11.5</v>
      </c>
      <c r="Q738" s="406">
        <f t="shared" ref="Q738:Q748" si="74">(P738*F738)*1.05</f>
        <v>24.150000000000002</v>
      </c>
      <c r="R738" s="406"/>
      <c r="S738" s="406"/>
      <c r="T738" s="406"/>
      <c r="U738" s="698">
        <f t="shared" si="73"/>
        <v>735.36750000000006</v>
      </c>
      <c r="V738" s="51" t="s">
        <v>93</v>
      </c>
      <c r="W738" s="304"/>
      <c r="X738" s="304"/>
      <c r="Y738" s="304"/>
      <c r="Z738" s="304"/>
      <c r="AA738" s="304"/>
      <c r="AB738" s="304" t="s">
        <v>2937</v>
      </c>
      <c r="AC738" s="304">
        <v>114343207</v>
      </c>
      <c r="AD738" s="304">
        <v>30.42</v>
      </c>
      <c r="AE738" s="304"/>
      <c r="AF738" s="296"/>
      <c r="AG738" s="296"/>
      <c r="AH738" s="297"/>
      <c r="AI738" s="298">
        <v>43735</v>
      </c>
      <c r="AJ738" s="297" t="s">
        <v>2939</v>
      </c>
      <c r="AK738" s="297" t="s">
        <v>2940</v>
      </c>
      <c r="AL738" s="296" t="s">
        <v>49</v>
      </c>
      <c r="AM738" s="296" t="s">
        <v>49</v>
      </c>
      <c r="AN738" s="82" t="s">
        <v>284</v>
      </c>
      <c r="AO738" s="296" t="s">
        <v>50</v>
      </c>
      <c r="AP738" s="296" t="s">
        <v>51</v>
      </c>
      <c r="AQ738" s="296" t="s">
        <v>1346</v>
      </c>
    </row>
    <row r="739" spans="1:43" ht="15.75" customHeight="1">
      <c r="A739" s="69">
        <v>43697</v>
      </c>
      <c r="B739" s="70" t="s">
        <v>82</v>
      </c>
      <c r="C739" s="21" t="s">
        <v>1515</v>
      </c>
      <c r="D739" s="21" t="s">
        <v>1519</v>
      </c>
      <c r="E739" s="32" t="s">
        <v>1522</v>
      </c>
      <c r="F739" s="24">
        <v>2</v>
      </c>
      <c r="G739" s="48">
        <v>200</v>
      </c>
      <c r="H739" s="60">
        <f t="shared" si="71"/>
        <v>400</v>
      </c>
      <c r="I739" s="61" t="s">
        <v>1517</v>
      </c>
      <c r="J739" s="58" t="s">
        <v>1523</v>
      </c>
      <c r="K739" s="30">
        <v>43811</v>
      </c>
      <c r="L739" s="30"/>
      <c r="M739" s="30">
        <v>43805</v>
      </c>
      <c r="N739" s="50" t="s">
        <v>89</v>
      </c>
      <c r="O739" s="32" t="s">
        <v>2936</v>
      </c>
      <c r="P739" s="406">
        <v>169</v>
      </c>
      <c r="Q739" s="406">
        <f t="shared" si="74"/>
        <v>354.90000000000003</v>
      </c>
      <c r="R739" s="406"/>
      <c r="S739" s="406"/>
      <c r="T739" s="406"/>
      <c r="U739" s="698">
        <f t="shared" si="73"/>
        <v>10806.705</v>
      </c>
      <c r="V739" s="51" t="s">
        <v>93</v>
      </c>
      <c r="W739" s="304"/>
      <c r="X739" s="304"/>
      <c r="Y739" s="304"/>
      <c r="Z739" s="304"/>
      <c r="AA739" s="304"/>
      <c r="AB739" s="304" t="s">
        <v>2937</v>
      </c>
      <c r="AC739" s="304">
        <v>114343207</v>
      </c>
      <c r="AD739" s="304">
        <v>30.42</v>
      </c>
      <c r="AE739" s="304"/>
      <c r="AF739" s="296"/>
      <c r="AG739" s="296"/>
      <c r="AH739" s="297"/>
      <c r="AI739" s="298">
        <v>43735</v>
      </c>
      <c r="AJ739" s="297" t="s">
        <v>2939</v>
      </c>
      <c r="AK739" s="297" t="s">
        <v>2940</v>
      </c>
      <c r="AL739" s="296" t="s">
        <v>49</v>
      </c>
      <c r="AM739" s="296" t="s">
        <v>49</v>
      </c>
      <c r="AN739" s="82" t="s">
        <v>284</v>
      </c>
      <c r="AO739" s="296" t="s">
        <v>50</v>
      </c>
      <c r="AP739" s="296" t="s">
        <v>51</v>
      </c>
      <c r="AQ739" s="296" t="s">
        <v>1346</v>
      </c>
    </row>
    <row r="740" spans="1:43" ht="15.75" customHeight="1">
      <c r="A740" s="69">
        <v>43698</v>
      </c>
      <c r="B740" s="23" t="s">
        <v>405</v>
      </c>
      <c r="C740" s="21">
        <v>7000149574</v>
      </c>
      <c r="D740" s="21" t="s">
        <v>1524</v>
      </c>
      <c r="E740" s="32" t="s">
        <v>1525</v>
      </c>
      <c r="F740" s="24">
        <v>5</v>
      </c>
      <c r="G740" s="48">
        <v>83</v>
      </c>
      <c r="H740" s="60">
        <f t="shared" si="71"/>
        <v>415</v>
      </c>
      <c r="I740" s="61" t="s">
        <v>42</v>
      </c>
      <c r="J740" s="50" t="s">
        <v>512</v>
      </c>
      <c r="K740" s="30">
        <v>43706</v>
      </c>
      <c r="L740" s="30"/>
      <c r="M740" s="30">
        <v>43703</v>
      </c>
      <c r="N740" s="58" t="s">
        <v>2043</v>
      </c>
      <c r="O740" s="93" t="s">
        <v>2941</v>
      </c>
      <c r="P740" s="406"/>
      <c r="Q740" s="406">
        <f t="shared" si="74"/>
        <v>0</v>
      </c>
      <c r="R740" s="406"/>
      <c r="S740" s="406"/>
      <c r="T740" s="406">
        <v>2154</v>
      </c>
      <c r="U740" s="406">
        <v>11309</v>
      </c>
      <c r="V740" s="501" t="s">
        <v>2763</v>
      </c>
      <c r="W740" s="303">
        <v>43799</v>
      </c>
      <c r="X740" s="460">
        <v>43703</v>
      </c>
      <c r="Y740" s="304" t="s">
        <v>1526</v>
      </c>
      <c r="Z740" s="304">
        <v>18837</v>
      </c>
      <c r="AA740" s="304"/>
      <c r="AB740" s="304" t="s">
        <v>2942</v>
      </c>
      <c r="AC740" s="304">
        <v>5411911260</v>
      </c>
      <c r="AD740" s="304">
        <v>31.315000000000001</v>
      </c>
      <c r="AE740" s="304"/>
      <c r="AF740" s="304"/>
      <c r="AG740" s="296"/>
      <c r="AH740" s="296"/>
      <c r="AI740" s="297"/>
      <c r="AJ740" s="298">
        <v>43747</v>
      </c>
      <c r="AK740" s="297">
        <f>673.51*30.81</f>
        <v>20750.843099999998</v>
      </c>
      <c r="AL740" s="297">
        <f>(700-673.51)*30.81</f>
        <v>816.15690000000029</v>
      </c>
      <c r="AM740" s="296" t="s">
        <v>49</v>
      </c>
      <c r="AN740" s="296" t="s">
        <v>284</v>
      </c>
      <c r="AO740" s="296" t="s">
        <v>50</v>
      </c>
      <c r="AP740" s="296" t="s">
        <v>51</v>
      </c>
      <c r="AQ740" s="296" t="s">
        <v>506</v>
      </c>
    </row>
    <row r="741" spans="1:43" ht="15.75" customHeight="1">
      <c r="A741" s="69">
        <v>43698</v>
      </c>
      <c r="B741" s="23" t="s">
        <v>405</v>
      </c>
      <c r="C741" s="21">
        <v>7000149574</v>
      </c>
      <c r="D741" s="21" t="s">
        <v>1524</v>
      </c>
      <c r="E741" s="32" t="s">
        <v>407</v>
      </c>
      <c r="F741" s="24">
        <v>5</v>
      </c>
      <c r="G741" s="48">
        <v>57</v>
      </c>
      <c r="H741" s="60">
        <f t="shared" si="71"/>
        <v>285</v>
      </c>
      <c r="I741" s="61" t="s">
        <v>42</v>
      </c>
      <c r="J741" s="50" t="s">
        <v>512</v>
      </c>
      <c r="K741" s="30">
        <v>43706</v>
      </c>
      <c r="L741" s="30"/>
      <c r="M741" s="30">
        <v>43703</v>
      </c>
      <c r="N741" s="58" t="s">
        <v>2043</v>
      </c>
      <c r="O741" s="93" t="s">
        <v>2941</v>
      </c>
      <c r="P741" s="406"/>
      <c r="Q741" s="406">
        <f t="shared" si="74"/>
        <v>0</v>
      </c>
      <c r="R741" s="406"/>
      <c r="S741" s="406"/>
      <c r="T741" s="406">
        <v>1434</v>
      </c>
      <c r="U741" s="406">
        <v>7528</v>
      </c>
      <c r="V741" s="501" t="s">
        <v>2763</v>
      </c>
      <c r="W741" s="303">
        <v>43799</v>
      </c>
      <c r="X741" s="460">
        <v>43703</v>
      </c>
      <c r="Y741" s="304" t="s">
        <v>1526</v>
      </c>
      <c r="Z741" s="304" t="s">
        <v>2943</v>
      </c>
      <c r="AA741" s="304"/>
      <c r="AB741" s="304" t="s">
        <v>2942</v>
      </c>
      <c r="AC741" s="304">
        <v>5411911260</v>
      </c>
      <c r="AD741" s="304">
        <v>31.315000000000001</v>
      </c>
      <c r="AE741" s="304"/>
      <c r="AF741" s="304"/>
      <c r="AG741" s="296"/>
      <c r="AH741" s="296"/>
      <c r="AI741" s="297"/>
      <c r="AJ741" s="298">
        <v>43747</v>
      </c>
      <c r="AK741" s="297" t="s">
        <v>2944</v>
      </c>
      <c r="AL741" s="297" t="s">
        <v>2945</v>
      </c>
      <c r="AM741" s="296" t="s">
        <v>49</v>
      </c>
      <c r="AN741" s="296" t="s">
        <v>284</v>
      </c>
      <c r="AO741" s="296" t="s">
        <v>50</v>
      </c>
      <c r="AP741" s="296" t="s">
        <v>51</v>
      </c>
      <c r="AQ741" s="296" t="s">
        <v>506</v>
      </c>
    </row>
    <row r="742" spans="1:43" ht="15.75" customHeight="1">
      <c r="A742" s="19">
        <v>43698</v>
      </c>
      <c r="B742" s="51" t="s">
        <v>53</v>
      </c>
      <c r="C742" s="21" t="s">
        <v>1527</v>
      </c>
      <c r="D742" s="22" t="s">
        <v>1528</v>
      </c>
      <c r="E742" s="32" t="s">
        <v>385</v>
      </c>
      <c r="F742" s="24">
        <v>10</v>
      </c>
      <c r="G742" s="48">
        <v>150.15</v>
      </c>
      <c r="H742" s="26">
        <f t="shared" si="71"/>
        <v>1501.5</v>
      </c>
      <c r="I742" s="27" t="s">
        <v>42</v>
      </c>
      <c r="J742" s="161" t="s">
        <v>89</v>
      </c>
      <c r="K742" s="30">
        <v>43726</v>
      </c>
      <c r="L742" s="30"/>
      <c r="M742" s="30">
        <v>43726</v>
      </c>
      <c r="N742" s="50" t="s">
        <v>89</v>
      </c>
      <c r="O742" s="93" t="s">
        <v>2946</v>
      </c>
      <c r="P742" s="406">
        <v>128</v>
      </c>
      <c r="Q742" s="406">
        <f t="shared" si="74"/>
        <v>1344</v>
      </c>
      <c r="R742" s="406"/>
      <c r="S742" s="406"/>
      <c r="T742" s="406"/>
      <c r="U742" s="406">
        <v>41960</v>
      </c>
      <c r="V742" s="51" t="s">
        <v>93</v>
      </c>
      <c r="W742" s="303">
        <v>43769</v>
      </c>
      <c r="X742" s="460">
        <v>43725</v>
      </c>
      <c r="Y742" s="304" t="s">
        <v>1529</v>
      </c>
      <c r="Z742" s="304">
        <v>41960</v>
      </c>
      <c r="AA742" s="304"/>
      <c r="AB742" s="304" t="s">
        <v>2947</v>
      </c>
      <c r="AC742" s="304" t="s">
        <v>2948</v>
      </c>
      <c r="AD742" s="304">
        <v>31.035</v>
      </c>
      <c r="AE742" s="304">
        <v>46599</v>
      </c>
      <c r="AF742" s="460">
        <v>43726</v>
      </c>
      <c r="AG742" s="296"/>
      <c r="AH742" s="296"/>
      <c r="AI742" s="297"/>
      <c r="AJ742" s="29">
        <v>43763</v>
      </c>
      <c r="AK742" s="297">
        <v>46584</v>
      </c>
      <c r="AL742" s="297">
        <v>15</v>
      </c>
      <c r="AM742" s="296" t="s">
        <v>49</v>
      </c>
      <c r="AN742" s="296" t="s">
        <v>284</v>
      </c>
      <c r="AO742" s="296" t="s">
        <v>50</v>
      </c>
      <c r="AP742" s="296" t="s">
        <v>376</v>
      </c>
      <c r="AQ742" s="296" t="s">
        <v>1118</v>
      </c>
    </row>
    <row r="743" spans="1:43" ht="15.75" customHeight="1">
      <c r="A743" s="69">
        <v>43698</v>
      </c>
      <c r="B743" s="70" t="s">
        <v>222</v>
      </c>
      <c r="C743" s="21" t="s">
        <v>1530</v>
      </c>
      <c r="D743" s="22" t="s">
        <v>1531</v>
      </c>
      <c r="E743" s="32" t="s">
        <v>1480</v>
      </c>
      <c r="F743" s="24">
        <v>1</v>
      </c>
      <c r="G743" s="48">
        <v>7.35</v>
      </c>
      <c r="H743" s="60">
        <f t="shared" si="71"/>
        <v>7.35</v>
      </c>
      <c r="I743" s="61" t="s">
        <v>143</v>
      </c>
      <c r="J743" s="63" t="s">
        <v>89</v>
      </c>
      <c r="K743" s="30">
        <v>43705</v>
      </c>
      <c r="L743" s="30"/>
      <c r="M743" s="30">
        <v>43705</v>
      </c>
      <c r="N743" s="50" t="s">
        <v>89</v>
      </c>
      <c r="O743" s="93" t="s">
        <v>2949</v>
      </c>
      <c r="P743" s="406">
        <v>5</v>
      </c>
      <c r="Q743" s="406">
        <f t="shared" si="74"/>
        <v>5.25</v>
      </c>
      <c r="R743" s="406"/>
      <c r="S743" s="406"/>
      <c r="T743" s="406"/>
      <c r="U743" s="406">
        <v>164</v>
      </c>
      <c r="V743" s="51" t="s">
        <v>93</v>
      </c>
      <c r="W743" s="303">
        <v>43769</v>
      </c>
      <c r="X743" s="460">
        <v>43704</v>
      </c>
      <c r="Y743" s="304" t="s">
        <v>1532</v>
      </c>
      <c r="Z743" s="304">
        <v>4373</v>
      </c>
      <c r="AA743" s="304"/>
      <c r="AB743" s="304" t="s">
        <v>2950</v>
      </c>
      <c r="AC743" s="304" t="s">
        <v>2951</v>
      </c>
      <c r="AD743" s="304">
        <v>31.4</v>
      </c>
      <c r="AE743" s="304">
        <v>4880</v>
      </c>
      <c r="AF743" s="460">
        <v>43705</v>
      </c>
      <c r="AG743" s="296"/>
      <c r="AH743" s="296"/>
      <c r="AI743" s="297"/>
      <c r="AJ743" s="298">
        <v>43743</v>
      </c>
      <c r="AK743" s="297">
        <v>59340</v>
      </c>
      <c r="AL743" s="297">
        <v>15</v>
      </c>
      <c r="AM743" s="296" t="s">
        <v>49</v>
      </c>
      <c r="AN743" s="296" t="s">
        <v>284</v>
      </c>
      <c r="AO743" s="296" t="s">
        <v>50</v>
      </c>
      <c r="AP743" s="296" t="s">
        <v>376</v>
      </c>
      <c r="AQ743" s="296" t="s">
        <v>506</v>
      </c>
    </row>
    <row r="744" spans="1:43" ht="15.75" customHeight="1">
      <c r="A744" s="69">
        <v>43698</v>
      </c>
      <c r="B744" s="70" t="s">
        <v>222</v>
      </c>
      <c r="C744" s="21" t="s">
        <v>1530</v>
      </c>
      <c r="D744" s="22" t="s">
        <v>1531</v>
      </c>
      <c r="E744" s="32" t="s">
        <v>1402</v>
      </c>
      <c r="F744" s="24">
        <v>1</v>
      </c>
      <c r="G744" s="48">
        <v>148.05000000000001</v>
      </c>
      <c r="H744" s="60">
        <f t="shared" si="71"/>
        <v>148.05000000000001</v>
      </c>
      <c r="I744" s="61" t="s">
        <v>143</v>
      </c>
      <c r="J744" s="63" t="s">
        <v>89</v>
      </c>
      <c r="K744" s="30">
        <v>43705</v>
      </c>
      <c r="L744" s="30"/>
      <c r="M744" s="30">
        <v>43705</v>
      </c>
      <c r="N744" s="50" t="s">
        <v>89</v>
      </c>
      <c r="O744" s="93" t="s">
        <v>2949</v>
      </c>
      <c r="P744" s="406">
        <v>128</v>
      </c>
      <c r="Q744" s="406">
        <f t="shared" si="74"/>
        <v>134.4</v>
      </c>
      <c r="R744" s="406"/>
      <c r="S744" s="406"/>
      <c r="T744" s="406"/>
      <c r="U744" s="406">
        <v>4209</v>
      </c>
      <c r="V744" s="51" t="s">
        <v>93</v>
      </c>
      <c r="W744" s="303">
        <v>43769</v>
      </c>
      <c r="X744" s="460">
        <v>43704</v>
      </c>
      <c r="Y744" s="304" t="s">
        <v>1532</v>
      </c>
      <c r="Z744" s="304" t="s">
        <v>2943</v>
      </c>
      <c r="AA744" s="304"/>
      <c r="AB744" s="304" t="s">
        <v>2950</v>
      </c>
      <c r="AC744" s="304" t="s">
        <v>2951</v>
      </c>
      <c r="AD744" s="304">
        <v>31.4</v>
      </c>
      <c r="AE744" s="304" t="s">
        <v>2952</v>
      </c>
      <c r="AF744" s="460">
        <v>43705</v>
      </c>
      <c r="AG744" s="296"/>
      <c r="AH744" s="296"/>
      <c r="AI744" s="297"/>
      <c r="AJ744" s="298">
        <v>43743</v>
      </c>
      <c r="AK744" s="297" t="s">
        <v>2953</v>
      </c>
      <c r="AL744" s="297" t="s">
        <v>2954</v>
      </c>
      <c r="AM744" s="296" t="s">
        <v>49</v>
      </c>
      <c r="AN744" s="296" t="s">
        <v>284</v>
      </c>
      <c r="AO744" s="296" t="s">
        <v>50</v>
      </c>
      <c r="AP744" s="296" t="s">
        <v>376</v>
      </c>
      <c r="AQ744" s="296" t="s">
        <v>506</v>
      </c>
    </row>
    <row r="745" spans="1:43" ht="15.75" customHeight="1">
      <c r="A745" s="69">
        <v>43700</v>
      </c>
      <c r="B745" s="70" t="s">
        <v>599</v>
      </c>
      <c r="C745" s="21" t="s">
        <v>1533</v>
      </c>
      <c r="D745" s="21" t="s">
        <v>1534</v>
      </c>
      <c r="E745" s="23" t="s">
        <v>602</v>
      </c>
      <c r="F745" s="24">
        <v>5</v>
      </c>
      <c r="G745" s="48">
        <v>241.5</v>
      </c>
      <c r="H745" s="26">
        <f t="shared" si="71"/>
        <v>1207.5</v>
      </c>
      <c r="I745" s="27" t="s">
        <v>42</v>
      </c>
      <c r="J745" s="161" t="s">
        <v>1149</v>
      </c>
      <c r="K745" s="30">
        <v>43711</v>
      </c>
      <c r="L745" s="30"/>
      <c r="M745" s="30">
        <v>43706</v>
      </c>
      <c r="N745" s="82" t="s">
        <v>619</v>
      </c>
      <c r="O745" s="32" t="s">
        <v>2955</v>
      </c>
      <c r="P745" s="22">
        <v>210</v>
      </c>
      <c r="Q745" s="406">
        <f t="shared" si="74"/>
        <v>1102.5</v>
      </c>
      <c r="R745" s="406"/>
      <c r="S745" s="406"/>
      <c r="T745" s="580">
        <f t="shared" ref="T745:T746" si="75">P745*31.487</f>
        <v>6612.2699999999995</v>
      </c>
      <c r="U745" s="468">
        <v>34715</v>
      </c>
      <c r="V745" s="20" t="s">
        <v>2956</v>
      </c>
      <c r="W745" s="459">
        <v>43743</v>
      </c>
      <c r="X745" s="529">
        <v>43705</v>
      </c>
      <c r="Y745" s="350" t="s">
        <v>1535</v>
      </c>
      <c r="Z745" s="471">
        <v>40864</v>
      </c>
      <c r="AA745" s="459">
        <v>43743</v>
      </c>
      <c r="AB745" s="350" t="s">
        <v>2957</v>
      </c>
      <c r="AC745" s="350" t="s">
        <v>2958</v>
      </c>
      <c r="AD745" s="350">
        <v>31.39</v>
      </c>
      <c r="AE745" s="350">
        <v>44825</v>
      </c>
      <c r="AF745" s="349">
        <v>43711</v>
      </c>
      <c r="AG745" s="82"/>
      <c r="AH745" s="82"/>
      <c r="AI745" s="430"/>
      <c r="AJ745" s="145">
        <v>43769</v>
      </c>
      <c r="AK745" s="430">
        <v>49350</v>
      </c>
      <c r="AL745" s="430">
        <v>28</v>
      </c>
      <c r="AM745" s="82" t="s">
        <v>49</v>
      </c>
      <c r="AN745" s="296" t="s">
        <v>284</v>
      </c>
      <c r="AO745" s="296" t="s">
        <v>50</v>
      </c>
      <c r="AP745" s="296" t="s">
        <v>376</v>
      </c>
      <c r="AQ745" s="296" t="s">
        <v>1118</v>
      </c>
    </row>
    <row r="746" spans="1:43" ht="15.75" customHeight="1">
      <c r="A746" s="69">
        <v>43700</v>
      </c>
      <c r="B746" s="70" t="s">
        <v>599</v>
      </c>
      <c r="C746" s="21" t="s">
        <v>1533</v>
      </c>
      <c r="D746" s="21" t="s">
        <v>1534</v>
      </c>
      <c r="E746" s="32" t="s">
        <v>605</v>
      </c>
      <c r="F746" s="24">
        <v>3</v>
      </c>
      <c r="G746" s="48">
        <v>73.5</v>
      </c>
      <c r="H746" s="26">
        <f t="shared" si="71"/>
        <v>220.5</v>
      </c>
      <c r="I746" s="27" t="s">
        <v>42</v>
      </c>
      <c r="J746" s="161" t="s">
        <v>1149</v>
      </c>
      <c r="K746" s="30">
        <v>43711</v>
      </c>
      <c r="L746" s="30"/>
      <c r="M746" s="30">
        <v>43706</v>
      </c>
      <c r="N746" s="82" t="s">
        <v>619</v>
      </c>
      <c r="O746" s="32" t="s">
        <v>2955</v>
      </c>
      <c r="P746" s="22">
        <v>62</v>
      </c>
      <c r="Q746" s="406">
        <f t="shared" si="74"/>
        <v>195.3</v>
      </c>
      <c r="R746" s="406"/>
      <c r="S746" s="406"/>
      <c r="T746" s="580">
        <f t="shared" si="75"/>
        <v>1952.194</v>
      </c>
      <c r="U746" s="468">
        <v>6149</v>
      </c>
      <c r="V746" s="20" t="s">
        <v>2956</v>
      </c>
      <c r="W746" s="349">
        <v>43743</v>
      </c>
      <c r="X746" s="529">
        <v>43705</v>
      </c>
      <c r="Y746" s="350" t="s">
        <v>1535</v>
      </c>
      <c r="Z746" s="350" t="s">
        <v>2959</v>
      </c>
      <c r="AA746" s="459">
        <v>43743</v>
      </c>
      <c r="AB746" s="350" t="s">
        <v>2957</v>
      </c>
      <c r="AC746" s="350" t="s">
        <v>2958</v>
      </c>
      <c r="AD746" s="350">
        <v>31.39</v>
      </c>
      <c r="AE746" s="350" t="s">
        <v>2960</v>
      </c>
      <c r="AF746" s="349">
        <v>43711</v>
      </c>
      <c r="AG746" s="82"/>
      <c r="AH746" s="82"/>
      <c r="AI746" s="430"/>
      <c r="AJ746" s="145">
        <v>43769</v>
      </c>
      <c r="AK746" s="430" t="s">
        <v>2961</v>
      </c>
      <c r="AL746" s="430" t="s">
        <v>2962</v>
      </c>
      <c r="AM746" s="82" t="s">
        <v>49</v>
      </c>
      <c r="AN746" s="296" t="s">
        <v>284</v>
      </c>
      <c r="AO746" s="296" t="s">
        <v>50</v>
      </c>
      <c r="AP746" s="296" t="s">
        <v>376</v>
      </c>
      <c r="AQ746" s="296" t="s">
        <v>1118</v>
      </c>
    </row>
    <row r="747" spans="1:43" ht="15.75" customHeight="1">
      <c r="A747" s="69">
        <v>43700</v>
      </c>
      <c r="B747" s="70" t="s">
        <v>599</v>
      </c>
      <c r="C747" s="21" t="s">
        <v>1533</v>
      </c>
      <c r="D747" s="21" t="s">
        <v>1534</v>
      </c>
      <c r="E747" s="32" t="s">
        <v>605</v>
      </c>
      <c r="F747" s="24">
        <v>2</v>
      </c>
      <c r="G747" s="48">
        <v>73.5</v>
      </c>
      <c r="H747" s="26">
        <f t="shared" si="71"/>
        <v>147</v>
      </c>
      <c r="I747" s="27" t="s">
        <v>42</v>
      </c>
      <c r="J747" s="161" t="s">
        <v>1149</v>
      </c>
      <c r="K747" s="30">
        <v>43727</v>
      </c>
      <c r="L747" s="30"/>
      <c r="M747" s="30">
        <v>43719</v>
      </c>
      <c r="N747" s="82" t="s">
        <v>619</v>
      </c>
      <c r="O747" s="94" t="s">
        <v>2955</v>
      </c>
      <c r="P747" s="22">
        <v>62</v>
      </c>
      <c r="Q747" s="406">
        <f t="shared" si="74"/>
        <v>130.20000000000002</v>
      </c>
      <c r="R747" s="406"/>
      <c r="S747" s="406"/>
      <c r="T747" s="406">
        <v>1940.6</v>
      </c>
      <c r="U747" s="620">
        <v>4075</v>
      </c>
      <c r="V747" s="22" t="s">
        <v>2956</v>
      </c>
      <c r="W747" s="460">
        <v>43743</v>
      </c>
      <c r="X747" s="460">
        <v>43719</v>
      </c>
      <c r="Y747" s="304" t="s">
        <v>1536</v>
      </c>
      <c r="Z747" s="304">
        <v>4075</v>
      </c>
      <c r="AA747" s="459">
        <v>43743</v>
      </c>
      <c r="AB747" s="304" t="s">
        <v>2963</v>
      </c>
      <c r="AC747" s="304" t="s">
        <v>2964</v>
      </c>
      <c r="AD747" s="304">
        <v>30.975000000000001</v>
      </c>
      <c r="AE747" s="304">
        <v>4553</v>
      </c>
      <c r="AF747" s="460">
        <v>43727</v>
      </c>
      <c r="AG747" s="296"/>
      <c r="AH747" s="296"/>
      <c r="AI747" s="297"/>
      <c r="AJ747" s="29">
        <v>43769</v>
      </c>
      <c r="AK747" s="430" t="s">
        <v>2961</v>
      </c>
      <c r="AL747" s="430" t="s">
        <v>2962</v>
      </c>
      <c r="AM747" s="82" t="s">
        <v>49</v>
      </c>
      <c r="AN747" s="296" t="s">
        <v>284</v>
      </c>
      <c r="AO747" s="296" t="s">
        <v>50</v>
      </c>
      <c r="AP747" s="296" t="s">
        <v>376</v>
      </c>
      <c r="AQ747" s="296" t="s">
        <v>1118</v>
      </c>
    </row>
    <row r="748" spans="1:43" ht="15.75" customHeight="1">
      <c r="A748" s="69">
        <v>43703</v>
      </c>
      <c r="B748" s="23" t="s">
        <v>405</v>
      </c>
      <c r="C748" s="21"/>
      <c r="D748" s="21" t="s">
        <v>1537</v>
      </c>
      <c r="E748" s="32" t="s">
        <v>1538</v>
      </c>
      <c r="F748" s="24">
        <v>25</v>
      </c>
      <c r="G748" s="48">
        <v>0</v>
      </c>
      <c r="H748" s="216">
        <v>0</v>
      </c>
      <c r="I748" s="61" t="s">
        <v>42</v>
      </c>
      <c r="J748" s="63" t="s">
        <v>1309</v>
      </c>
      <c r="K748" s="29">
        <v>43703</v>
      </c>
      <c r="L748" s="29"/>
      <c r="M748" s="30">
        <v>43703</v>
      </c>
      <c r="N748" s="50" t="s">
        <v>178</v>
      </c>
      <c r="O748" s="93"/>
      <c r="P748" s="406"/>
      <c r="Q748" s="406">
        <f t="shared" si="74"/>
        <v>0</v>
      </c>
      <c r="R748" s="406"/>
      <c r="S748" s="406"/>
      <c r="T748" s="406"/>
      <c r="U748" s="638">
        <v>2258</v>
      </c>
      <c r="V748" s="501"/>
      <c r="W748" s="304"/>
      <c r="X748" s="304"/>
      <c r="Y748" s="304"/>
      <c r="Z748" s="304"/>
      <c r="AA748" s="304"/>
      <c r="AB748" s="304" t="s">
        <v>2965</v>
      </c>
      <c r="AC748" s="304">
        <v>133142684</v>
      </c>
      <c r="AD748" s="304"/>
      <c r="AE748" s="304"/>
      <c r="AF748" s="304"/>
      <c r="AG748" s="296"/>
      <c r="AH748" s="296"/>
      <c r="AI748" s="297"/>
      <c r="AJ748" s="298">
        <v>43703</v>
      </c>
      <c r="AK748" s="297" t="s">
        <v>1212</v>
      </c>
      <c r="AL748" s="297" t="s">
        <v>2966</v>
      </c>
      <c r="AM748" s="296" t="s">
        <v>49</v>
      </c>
      <c r="AN748" s="296" t="s">
        <v>284</v>
      </c>
      <c r="AO748" s="296" t="s">
        <v>50</v>
      </c>
      <c r="AP748" s="296" t="s">
        <v>51</v>
      </c>
      <c r="AQ748" s="296" t="s">
        <v>506</v>
      </c>
    </row>
    <row r="749" spans="1:43" ht="15.75" customHeight="1">
      <c r="A749" s="69">
        <v>43703</v>
      </c>
      <c r="B749" s="23" t="s">
        <v>405</v>
      </c>
      <c r="C749" s="21"/>
      <c r="D749" s="21" t="s">
        <v>1537</v>
      </c>
      <c r="E749" s="32" t="s">
        <v>1539</v>
      </c>
      <c r="F749" s="24">
        <v>1</v>
      </c>
      <c r="G749" s="434">
        <v>0</v>
      </c>
      <c r="H749" s="60">
        <v>0</v>
      </c>
      <c r="I749" s="61" t="s">
        <v>42</v>
      </c>
      <c r="J749" s="530" t="s">
        <v>1309</v>
      </c>
      <c r="K749" s="29">
        <v>43703</v>
      </c>
      <c r="L749" s="29"/>
      <c r="M749" s="163"/>
      <c r="N749" s="82" t="s">
        <v>920</v>
      </c>
      <c r="O749" s="700"/>
      <c r="P749" s="34"/>
      <c r="Q749" s="41"/>
      <c r="R749" s="41"/>
      <c r="S749" s="41"/>
      <c r="T749" s="41">
        <v>972</v>
      </c>
      <c r="U749" s="41">
        <v>1020</v>
      </c>
      <c r="V749" s="70"/>
      <c r="W749" s="531">
        <v>43769</v>
      </c>
      <c r="X749" s="470">
        <v>43732</v>
      </c>
      <c r="Y749" s="53" t="s">
        <v>1540</v>
      </c>
      <c r="Z749" s="53">
        <v>1893</v>
      </c>
      <c r="AA749" s="53"/>
      <c r="AB749" s="53"/>
      <c r="AC749" s="53"/>
      <c r="AD749" s="53"/>
      <c r="AE749" s="53"/>
      <c r="AF749" s="53"/>
      <c r="AG749" s="54"/>
      <c r="AH749" s="54"/>
      <c r="AI749" s="55"/>
      <c r="AJ749" s="68" t="s">
        <v>1212</v>
      </c>
      <c r="AK749" s="55"/>
      <c r="AL749" s="55"/>
      <c r="AM749" s="54" t="s">
        <v>49</v>
      </c>
      <c r="AN749" s="54" t="s">
        <v>284</v>
      </c>
      <c r="AO749" s="54" t="s">
        <v>50</v>
      </c>
      <c r="AP749" s="54" t="s">
        <v>51</v>
      </c>
      <c r="AQ749" s="54" t="s">
        <v>506</v>
      </c>
    </row>
    <row r="750" spans="1:43" ht="15.75" customHeight="1">
      <c r="A750" s="397">
        <v>43704</v>
      </c>
      <c r="B750" s="273" t="s">
        <v>377</v>
      </c>
      <c r="C750" s="183" t="s">
        <v>1541</v>
      </c>
      <c r="D750" s="183" t="s">
        <v>1216</v>
      </c>
      <c r="E750" s="185" t="s">
        <v>1542</v>
      </c>
      <c r="F750" s="186">
        <v>3</v>
      </c>
      <c r="G750" s="532">
        <v>62</v>
      </c>
      <c r="H750" s="188">
        <v>0</v>
      </c>
      <c r="I750" s="481" t="s">
        <v>143</v>
      </c>
      <c r="J750" s="381" t="s">
        <v>1107</v>
      </c>
      <c r="K750" s="192">
        <v>43781</v>
      </c>
      <c r="L750" s="192"/>
      <c r="M750" s="380"/>
      <c r="N750" s="701" t="s">
        <v>2021</v>
      </c>
      <c r="O750" s="702" t="s">
        <v>2967</v>
      </c>
      <c r="P750" s="194"/>
      <c r="Q750" s="478"/>
      <c r="R750" s="478"/>
      <c r="S750" s="478"/>
      <c r="T750" s="478"/>
      <c r="U750" s="478"/>
      <c r="V750" s="375" t="s">
        <v>2023</v>
      </c>
      <c r="W750" s="195"/>
      <c r="X750" s="199"/>
      <c r="Y750" s="199"/>
      <c r="Z750" s="199"/>
      <c r="AA750" s="199"/>
      <c r="AB750" s="199"/>
      <c r="AC750" s="199"/>
      <c r="AD750" s="199"/>
      <c r="AE750" s="199"/>
      <c r="AF750" s="199"/>
      <c r="AG750" s="200"/>
      <c r="AH750" s="200"/>
      <c r="AI750" s="201"/>
      <c r="AJ750" s="296" t="s">
        <v>1212</v>
      </c>
      <c r="AK750" s="201"/>
      <c r="AL750" s="201"/>
      <c r="AM750" s="296" t="s">
        <v>1212</v>
      </c>
      <c r="AN750" s="200" t="s">
        <v>295</v>
      </c>
      <c r="AO750" s="200" t="s">
        <v>285</v>
      </c>
      <c r="AP750" s="200" t="s">
        <v>51</v>
      </c>
      <c r="AQ750" s="200"/>
    </row>
    <row r="751" spans="1:43" ht="15.75" customHeight="1">
      <c r="A751" s="69">
        <v>43705</v>
      </c>
      <c r="B751" s="70" t="s">
        <v>129</v>
      </c>
      <c r="C751" s="406" t="s">
        <v>1543</v>
      </c>
      <c r="D751" s="21" t="s">
        <v>1544</v>
      </c>
      <c r="E751" s="32" t="s">
        <v>1545</v>
      </c>
      <c r="F751" s="24">
        <v>10</v>
      </c>
      <c r="G751" s="48">
        <v>85</v>
      </c>
      <c r="H751" s="60">
        <f t="shared" ref="H751:H769" si="76">G751*F751</f>
        <v>850</v>
      </c>
      <c r="I751" s="61" t="s">
        <v>143</v>
      </c>
      <c r="J751" s="63" t="s">
        <v>133</v>
      </c>
      <c r="K751" s="205">
        <v>43720</v>
      </c>
      <c r="L751" s="205"/>
      <c r="M751" s="30">
        <v>43718</v>
      </c>
      <c r="N751" s="50" t="s">
        <v>89</v>
      </c>
      <c r="O751" s="93" t="s">
        <v>2968</v>
      </c>
      <c r="P751" s="406">
        <v>78</v>
      </c>
      <c r="Q751" s="406">
        <f t="shared" ref="Q751:Q764" si="77">(P751*F751)*1.05</f>
        <v>819</v>
      </c>
      <c r="R751" s="406"/>
      <c r="S751" s="406"/>
      <c r="T751" s="406"/>
      <c r="U751" s="406">
        <v>25655</v>
      </c>
      <c r="V751" s="51" t="s">
        <v>93</v>
      </c>
      <c r="W751" s="303">
        <v>43769</v>
      </c>
      <c r="X751" s="460">
        <v>43717</v>
      </c>
      <c r="Y751" s="304" t="s">
        <v>1546</v>
      </c>
      <c r="Z751" s="304">
        <v>47725</v>
      </c>
      <c r="AA751" s="304"/>
      <c r="AB751" s="304" t="s">
        <v>2969</v>
      </c>
      <c r="AC751" s="304">
        <v>2785850491</v>
      </c>
      <c r="AD751" s="304">
        <v>31.22</v>
      </c>
      <c r="AE751" s="304"/>
      <c r="AF751" s="304"/>
      <c r="AG751" s="296"/>
      <c r="AH751" s="296"/>
      <c r="AI751" s="297"/>
      <c r="AJ751" s="298">
        <v>43746</v>
      </c>
      <c r="AK751" s="297">
        <f>1548.51*30.84</f>
        <v>47756.0484</v>
      </c>
      <c r="AL751" s="297">
        <f>17.49*30.84</f>
        <v>539.39159999999993</v>
      </c>
      <c r="AM751" s="296" t="s">
        <v>49</v>
      </c>
      <c r="AN751" s="296" t="s">
        <v>284</v>
      </c>
      <c r="AO751" s="296" t="s">
        <v>50</v>
      </c>
      <c r="AP751" s="296" t="s">
        <v>51</v>
      </c>
      <c r="AQ751" s="296" t="s">
        <v>1118</v>
      </c>
    </row>
    <row r="752" spans="1:43" ht="15.75" customHeight="1">
      <c r="A752" s="69">
        <v>43705</v>
      </c>
      <c r="B752" s="70" t="s">
        <v>129</v>
      </c>
      <c r="C752" s="406" t="s">
        <v>1543</v>
      </c>
      <c r="D752" s="21" t="s">
        <v>1544</v>
      </c>
      <c r="E752" s="32" t="s">
        <v>1547</v>
      </c>
      <c r="F752" s="24">
        <v>2</v>
      </c>
      <c r="G752" s="48">
        <v>104</v>
      </c>
      <c r="H752" s="60">
        <f t="shared" si="76"/>
        <v>208</v>
      </c>
      <c r="I752" s="61" t="s">
        <v>143</v>
      </c>
      <c r="J752" s="63" t="s">
        <v>133</v>
      </c>
      <c r="K752" s="30">
        <v>43720</v>
      </c>
      <c r="L752" s="30"/>
      <c r="M752" s="30">
        <v>43718</v>
      </c>
      <c r="N752" s="50" t="s">
        <v>89</v>
      </c>
      <c r="O752" s="93" t="s">
        <v>2968</v>
      </c>
      <c r="P752" s="406">
        <v>97</v>
      </c>
      <c r="Q752" s="406">
        <f t="shared" si="77"/>
        <v>203.70000000000002</v>
      </c>
      <c r="R752" s="406"/>
      <c r="S752" s="406"/>
      <c r="T752" s="406"/>
      <c r="U752" s="406">
        <v>6381</v>
      </c>
      <c r="V752" s="51" t="s">
        <v>93</v>
      </c>
      <c r="W752" s="303">
        <v>43769</v>
      </c>
      <c r="X752" s="460">
        <v>43717</v>
      </c>
      <c r="Y752" s="304" t="s">
        <v>1546</v>
      </c>
      <c r="Z752" s="304" t="s">
        <v>2970</v>
      </c>
      <c r="AA752" s="304"/>
      <c r="AB752" s="304" t="s">
        <v>2969</v>
      </c>
      <c r="AC752" s="304">
        <v>2785850491</v>
      </c>
      <c r="AD752" s="304">
        <v>31.22</v>
      </c>
      <c r="AE752" s="304"/>
      <c r="AF752" s="304"/>
      <c r="AG752" s="296"/>
      <c r="AH752" s="296"/>
      <c r="AI752" s="297"/>
      <c r="AJ752" s="298">
        <v>43746</v>
      </c>
      <c r="AK752" s="297" t="s">
        <v>2971</v>
      </c>
      <c r="AL752" s="297" t="s">
        <v>2972</v>
      </c>
      <c r="AM752" s="296" t="s">
        <v>49</v>
      </c>
      <c r="AN752" s="296" t="s">
        <v>284</v>
      </c>
      <c r="AO752" s="296" t="s">
        <v>50</v>
      </c>
      <c r="AP752" s="296" t="s">
        <v>51</v>
      </c>
      <c r="AQ752" s="296" t="s">
        <v>1118</v>
      </c>
    </row>
    <row r="753" spans="1:43" ht="15.75" customHeight="1">
      <c r="A753" s="69">
        <v>43705</v>
      </c>
      <c r="B753" s="70" t="s">
        <v>129</v>
      </c>
      <c r="C753" s="406" t="s">
        <v>1543</v>
      </c>
      <c r="D753" s="21" t="s">
        <v>1544</v>
      </c>
      <c r="E753" s="32" t="s">
        <v>1548</v>
      </c>
      <c r="F753" s="24">
        <v>1</v>
      </c>
      <c r="G753" s="48">
        <v>58</v>
      </c>
      <c r="H753" s="466">
        <f t="shared" si="76"/>
        <v>58</v>
      </c>
      <c r="I753" s="61" t="s">
        <v>143</v>
      </c>
      <c r="J753" s="63" t="s">
        <v>133</v>
      </c>
      <c r="K753" s="30">
        <v>43720</v>
      </c>
      <c r="L753" s="30"/>
      <c r="M753" s="30">
        <v>43718</v>
      </c>
      <c r="N753" s="50" t="s">
        <v>89</v>
      </c>
      <c r="O753" s="93" t="s">
        <v>2968</v>
      </c>
      <c r="P753" s="22">
        <v>52</v>
      </c>
      <c r="Q753" s="406">
        <f t="shared" si="77"/>
        <v>54.6</v>
      </c>
      <c r="R753" s="406"/>
      <c r="S753" s="406"/>
      <c r="T753" s="406"/>
      <c r="U753" s="406">
        <v>1710</v>
      </c>
      <c r="V753" s="51" t="s">
        <v>93</v>
      </c>
      <c r="W753" s="303">
        <v>43769</v>
      </c>
      <c r="X753" s="460">
        <v>43717</v>
      </c>
      <c r="Y753" s="304" t="s">
        <v>1546</v>
      </c>
      <c r="Z753" s="304" t="s">
        <v>2970</v>
      </c>
      <c r="AA753" s="304"/>
      <c r="AB753" s="304" t="s">
        <v>2969</v>
      </c>
      <c r="AC753" s="304">
        <v>2785850491</v>
      </c>
      <c r="AD753" s="304">
        <v>31.22</v>
      </c>
      <c r="AE753" s="304"/>
      <c r="AF753" s="304"/>
      <c r="AG753" s="296"/>
      <c r="AH753" s="296"/>
      <c r="AI753" s="297"/>
      <c r="AJ753" s="298">
        <v>43746</v>
      </c>
      <c r="AK753" s="297" t="s">
        <v>2971</v>
      </c>
      <c r="AL753" s="297" t="s">
        <v>2972</v>
      </c>
      <c r="AM753" s="296" t="s">
        <v>49</v>
      </c>
      <c r="AN753" s="296" t="s">
        <v>284</v>
      </c>
      <c r="AO753" s="296" t="s">
        <v>50</v>
      </c>
      <c r="AP753" s="296" t="s">
        <v>51</v>
      </c>
      <c r="AQ753" s="296" t="s">
        <v>1118</v>
      </c>
    </row>
    <row r="754" spans="1:43" ht="15.75" customHeight="1">
      <c r="A754" s="69">
        <v>43706</v>
      </c>
      <c r="B754" s="70" t="s">
        <v>129</v>
      </c>
      <c r="C754" s="406" t="s">
        <v>1543</v>
      </c>
      <c r="D754" s="21" t="s">
        <v>1544</v>
      </c>
      <c r="E754" s="32" t="s">
        <v>1549</v>
      </c>
      <c r="F754" s="24">
        <v>5</v>
      </c>
      <c r="G754" s="48">
        <v>90</v>
      </c>
      <c r="H754" s="60">
        <f t="shared" si="76"/>
        <v>450</v>
      </c>
      <c r="I754" s="61" t="s">
        <v>143</v>
      </c>
      <c r="J754" s="63" t="s">
        <v>133</v>
      </c>
      <c r="K754" s="30">
        <v>43720</v>
      </c>
      <c r="L754" s="30"/>
      <c r="M754" s="30">
        <v>43718</v>
      </c>
      <c r="N754" s="50" t="s">
        <v>89</v>
      </c>
      <c r="O754" s="93" t="s">
        <v>2968</v>
      </c>
      <c r="P754" s="22">
        <v>85</v>
      </c>
      <c r="Q754" s="406">
        <f t="shared" si="77"/>
        <v>446.25</v>
      </c>
      <c r="R754" s="406"/>
      <c r="S754" s="406"/>
      <c r="T754" s="406"/>
      <c r="U754" s="406">
        <v>13979</v>
      </c>
      <c r="V754" s="51" t="s">
        <v>93</v>
      </c>
      <c r="W754" s="303">
        <v>43769</v>
      </c>
      <c r="X754" s="460">
        <v>43717</v>
      </c>
      <c r="Y754" s="304" t="s">
        <v>1546</v>
      </c>
      <c r="Z754" s="304" t="s">
        <v>2970</v>
      </c>
      <c r="AA754" s="304"/>
      <c r="AB754" s="304" t="s">
        <v>2969</v>
      </c>
      <c r="AC754" s="237">
        <v>2785850491</v>
      </c>
      <c r="AD754" s="304">
        <v>31.22</v>
      </c>
      <c r="AE754" s="304"/>
      <c r="AF754" s="304"/>
      <c r="AG754" s="296"/>
      <c r="AH754" s="296"/>
      <c r="AI754" s="297"/>
      <c r="AJ754" s="298">
        <v>43746</v>
      </c>
      <c r="AK754" s="297" t="s">
        <v>2971</v>
      </c>
      <c r="AL754" s="297" t="s">
        <v>2972</v>
      </c>
      <c r="AM754" s="296" t="s">
        <v>49</v>
      </c>
      <c r="AN754" s="296" t="s">
        <v>284</v>
      </c>
      <c r="AO754" s="296" t="s">
        <v>50</v>
      </c>
      <c r="AP754" s="296" t="s">
        <v>51</v>
      </c>
      <c r="AQ754" s="296" t="s">
        <v>1118</v>
      </c>
    </row>
    <row r="755" spans="1:43" ht="15.75" customHeight="1">
      <c r="A755" s="69">
        <v>43706</v>
      </c>
      <c r="B755" s="70" t="s">
        <v>892</v>
      </c>
      <c r="C755" s="21" t="s">
        <v>1429</v>
      </c>
      <c r="D755" s="21" t="s">
        <v>1550</v>
      </c>
      <c r="E755" s="520" t="s">
        <v>1433</v>
      </c>
      <c r="F755" s="24">
        <v>20</v>
      </c>
      <c r="G755" s="48">
        <v>5.8</v>
      </c>
      <c r="H755" s="60">
        <f t="shared" si="76"/>
        <v>116</v>
      </c>
      <c r="I755" s="61" t="s">
        <v>104</v>
      </c>
      <c r="J755" s="63" t="s">
        <v>1551</v>
      </c>
      <c r="K755" s="29">
        <v>43726</v>
      </c>
      <c r="L755" s="29"/>
      <c r="M755" s="30">
        <v>43718</v>
      </c>
      <c r="N755" s="50" t="s">
        <v>89</v>
      </c>
      <c r="O755" s="32" t="s">
        <v>2973</v>
      </c>
      <c r="P755" s="406">
        <v>5</v>
      </c>
      <c r="Q755" s="406">
        <f t="shared" si="77"/>
        <v>105</v>
      </c>
      <c r="R755" s="406"/>
      <c r="S755" s="406"/>
      <c r="T755" s="406"/>
      <c r="U755" s="406">
        <v>3289</v>
      </c>
      <c r="V755" s="51" t="s">
        <v>93</v>
      </c>
      <c r="W755" s="303">
        <v>43769</v>
      </c>
      <c r="X755" s="460">
        <v>43717</v>
      </c>
      <c r="Y755" s="304" t="s">
        <v>1552</v>
      </c>
      <c r="Z755" s="304">
        <v>62493</v>
      </c>
      <c r="AA755" s="304"/>
      <c r="AB755" s="304" t="s">
        <v>2974</v>
      </c>
      <c r="AC755" s="304">
        <v>142115320</v>
      </c>
      <c r="AD755" s="304">
        <v>31.22</v>
      </c>
      <c r="AE755" s="304"/>
      <c r="AF755" s="304"/>
      <c r="AG755" s="296"/>
      <c r="AH755" s="296"/>
      <c r="AI755" s="297"/>
      <c r="AJ755" s="298">
        <v>43707</v>
      </c>
      <c r="AK755" s="297">
        <f>2218.61*31.32</f>
        <v>69486.8652</v>
      </c>
      <c r="AL755" s="297">
        <f>(2236-2218.61)*31.32</f>
        <v>544.65479999999604</v>
      </c>
      <c r="AM755" s="296" t="s">
        <v>49</v>
      </c>
      <c r="AN755" s="296" t="s">
        <v>284</v>
      </c>
      <c r="AO755" s="296" t="s">
        <v>50</v>
      </c>
      <c r="AP755" s="296" t="s">
        <v>51</v>
      </c>
      <c r="AQ755" s="296" t="s">
        <v>1118</v>
      </c>
    </row>
    <row r="756" spans="1:43" ht="15.75" customHeight="1">
      <c r="A756" s="69">
        <v>43706</v>
      </c>
      <c r="B756" s="70" t="s">
        <v>892</v>
      </c>
      <c r="C756" s="21" t="s">
        <v>1429</v>
      </c>
      <c r="D756" s="21" t="s">
        <v>1550</v>
      </c>
      <c r="E756" s="520" t="s">
        <v>1431</v>
      </c>
      <c r="F756" s="24">
        <v>10</v>
      </c>
      <c r="G756" s="48">
        <v>212</v>
      </c>
      <c r="H756" s="60">
        <f t="shared" si="76"/>
        <v>2120</v>
      </c>
      <c r="I756" s="61" t="s">
        <v>104</v>
      </c>
      <c r="J756" s="63" t="s">
        <v>1553</v>
      </c>
      <c r="K756" s="29">
        <v>43726</v>
      </c>
      <c r="L756" s="29"/>
      <c r="M756" s="30">
        <v>43718</v>
      </c>
      <c r="N756" s="50" t="s">
        <v>89</v>
      </c>
      <c r="O756" s="32" t="s">
        <v>2973</v>
      </c>
      <c r="P756" s="406">
        <v>180</v>
      </c>
      <c r="Q756" s="406">
        <f t="shared" si="77"/>
        <v>1890</v>
      </c>
      <c r="R756" s="406"/>
      <c r="S756" s="406"/>
      <c r="T756" s="406"/>
      <c r="U756" s="406">
        <v>59204</v>
      </c>
      <c r="V756" s="51" t="s">
        <v>93</v>
      </c>
      <c r="W756" s="303">
        <v>43769</v>
      </c>
      <c r="X756" s="460">
        <v>43717</v>
      </c>
      <c r="Y756" s="304" t="s">
        <v>1552</v>
      </c>
      <c r="Z756" s="304" t="s">
        <v>2975</v>
      </c>
      <c r="AA756" s="304"/>
      <c r="AB756" s="304" t="s">
        <v>2974</v>
      </c>
      <c r="AC756" s="304">
        <v>142115320</v>
      </c>
      <c r="AD756" s="304">
        <v>31.22</v>
      </c>
      <c r="AE756" s="304"/>
      <c r="AF756" s="304"/>
      <c r="AG756" s="296"/>
      <c r="AH756" s="296"/>
      <c r="AI756" s="297"/>
      <c r="AJ756" s="298">
        <v>43707</v>
      </c>
      <c r="AK756" s="297" t="s">
        <v>2971</v>
      </c>
      <c r="AL756" s="297" t="s">
        <v>2972</v>
      </c>
      <c r="AM756" s="296" t="s">
        <v>49</v>
      </c>
      <c r="AN756" s="296" t="s">
        <v>284</v>
      </c>
      <c r="AO756" s="296" t="s">
        <v>50</v>
      </c>
      <c r="AP756" s="296" t="s">
        <v>51</v>
      </c>
      <c r="AQ756" s="296" t="s">
        <v>1118</v>
      </c>
    </row>
    <row r="757" spans="1:43" ht="15.75" customHeight="1">
      <c r="A757" s="69">
        <v>43706</v>
      </c>
      <c r="B757" s="70" t="s">
        <v>222</v>
      </c>
      <c r="C757" s="21" t="s">
        <v>1554</v>
      </c>
      <c r="D757" s="21" t="s">
        <v>1555</v>
      </c>
      <c r="E757" s="32" t="s">
        <v>1556</v>
      </c>
      <c r="F757" s="24">
        <v>1</v>
      </c>
      <c r="G757" s="48">
        <v>805.35</v>
      </c>
      <c r="H757" s="60">
        <f t="shared" si="76"/>
        <v>805.35</v>
      </c>
      <c r="I757" s="61" t="s">
        <v>143</v>
      </c>
      <c r="J757" s="63" t="s">
        <v>89</v>
      </c>
      <c r="K757" s="30">
        <v>43718</v>
      </c>
      <c r="L757" s="30"/>
      <c r="M757" s="30">
        <v>43718</v>
      </c>
      <c r="N757" s="50" t="s">
        <v>89</v>
      </c>
      <c r="O757" s="93" t="s">
        <v>2976</v>
      </c>
      <c r="P757" s="406">
        <v>698</v>
      </c>
      <c r="Q757" s="406">
        <f t="shared" si="77"/>
        <v>732.9</v>
      </c>
      <c r="R757" s="406"/>
      <c r="S757" s="406"/>
      <c r="T757" s="406"/>
      <c r="U757" s="406">
        <v>22958</v>
      </c>
      <c r="V757" s="51" t="s">
        <v>93</v>
      </c>
      <c r="W757" s="303">
        <v>43769</v>
      </c>
      <c r="X757" s="460">
        <v>43717</v>
      </c>
      <c r="Y757" s="304" t="s">
        <v>1557</v>
      </c>
      <c r="Z757" s="304">
        <v>22958</v>
      </c>
      <c r="AA757" s="304"/>
      <c r="AB757" s="304" t="s">
        <v>2977</v>
      </c>
      <c r="AC757" s="304" t="s">
        <v>2978</v>
      </c>
      <c r="AD757" s="304">
        <v>31.215</v>
      </c>
      <c r="AE757" s="304">
        <v>25139</v>
      </c>
      <c r="AF757" s="460">
        <v>43718</v>
      </c>
      <c r="AG757" s="296"/>
      <c r="AH757" s="296"/>
      <c r="AI757" s="297"/>
      <c r="AJ757" s="298">
        <v>43743</v>
      </c>
      <c r="AK757" s="297" t="s">
        <v>2953</v>
      </c>
      <c r="AL757" s="297" t="s">
        <v>2954</v>
      </c>
      <c r="AM757" s="296" t="s">
        <v>49</v>
      </c>
      <c r="AN757" s="296" t="s">
        <v>284</v>
      </c>
      <c r="AO757" s="296" t="s">
        <v>50</v>
      </c>
      <c r="AP757" s="296" t="s">
        <v>51</v>
      </c>
      <c r="AQ757" s="296" t="s">
        <v>1118</v>
      </c>
    </row>
    <row r="758" spans="1:43" ht="15.75" customHeight="1">
      <c r="A758" s="69">
        <v>43710</v>
      </c>
      <c r="B758" s="144" t="s">
        <v>1236</v>
      </c>
      <c r="C758" s="21" t="s">
        <v>1558</v>
      </c>
      <c r="D758" s="21" t="s">
        <v>1559</v>
      </c>
      <c r="E758" s="32" t="s">
        <v>1560</v>
      </c>
      <c r="F758" s="24">
        <v>7</v>
      </c>
      <c r="G758" s="434">
        <v>621</v>
      </c>
      <c r="H758" s="60">
        <f t="shared" si="76"/>
        <v>4347</v>
      </c>
      <c r="I758" s="61" t="s">
        <v>104</v>
      </c>
      <c r="J758" s="63" t="s">
        <v>1336</v>
      </c>
      <c r="K758" s="29">
        <v>43728</v>
      </c>
      <c r="L758" s="29"/>
      <c r="M758" s="29">
        <v>43728</v>
      </c>
      <c r="N758" s="50" t="s">
        <v>2979</v>
      </c>
      <c r="O758" s="93" t="s">
        <v>2976</v>
      </c>
      <c r="P758" s="406"/>
      <c r="Q758" s="406">
        <f t="shared" si="77"/>
        <v>0</v>
      </c>
      <c r="R758" s="406"/>
      <c r="S758" s="406"/>
      <c r="T758" s="406"/>
      <c r="U758" s="703">
        <v>117555.9</v>
      </c>
      <c r="V758" s="501"/>
      <c r="W758" s="304"/>
      <c r="X758" s="304"/>
      <c r="Y758" s="304"/>
      <c r="Z758" s="304"/>
      <c r="AA758" s="304"/>
      <c r="AB758" s="304" t="s">
        <v>2980</v>
      </c>
      <c r="AC758" s="304">
        <v>9860032755</v>
      </c>
      <c r="AD758" s="304">
        <v>31.22</v>
      </c>
      <c r="AE758" s="304"/>
      <c r="AF758" s="304"/>
      <c r="AG758" s="296"/>
      <c r="AH758" s="296"/>
      <c r="AI758" s="297"/>
      <c r="AJ758" s="29">
        <v>43760</v>
      </c>
      <c r="AK758" s="297">
        <f>6442.44*30.5</f>
        <v>196494.41999999998</v>
      </c>
      <c r="AL758" s="297">
        <f>(6469-6442.44)*30.5</f>
        <v>810.08000000001221</v>
      </c>
      <c r="AM758" s="296" t="s">
        <v>49</v>
      </c>
      <c r="AN758" s="296" t="s">
        <v>284</v>
      </c>
      <c r="AO758" s="296" t="s">
        <v>285</v>
      </c>
      <c r="AP758" s="296" t="s">
        <v>51</v>
      </c>
      <c r="AQ758" s="296" t="s">
        <v>1118</v>
      </c>
    </row>
    <row r="759" spans="1:43" ht="15.75" customHeight="1">
      <c r="A759" s="69">
        <v>43710</v>
      </c>
      <c r="B759" s="144" t="s">
        <v>1236</v>
      </c>
      <c r="C759" s="21" t="s">
        <v>1558</v>
      </c>
      <c r="D759" s="21" t="s">
        <v>1559</v>
      </c>
      <c r="E759" s="32" t="s">
        <v>1561</v>
      </c>
      <c r="F759" s="24">
        <v>7</v>
      </c>
      <c r="G759" s="434">
        <v>71</v>
      </c>
      <c r="H759" s="60">
        <f t="shared" si="76"/>
        <v>497</v>
      </c>
      <c r="I759" s="61" t="s">
        <v>104</v>
      </c>
      <c r="J759" s="63" t="s">
        <v>1336</v>
      </c>
      <c r="K759" s="29">
        <v>43728</v>
      </c>
      <c r="L759" s="29"/>
      <c r="M759" s="29">
        <v>43711</v>
      </c>
      <c r="N759" s="50" t="s">
        <v>2981</v>
      </c>
      <c r="O759" s="93" t="s">
        <v>2982</v>
      </c>
      <c r="P759" s="406"/>
      <c r="Q759" s="406">
        <f t="shared" si="77"/>
        <v>0</v>
      </c>
      <c r="R759" s="406"/>
      <c r="S759" s="406"/>
      <c r="T759" s="406"/>
      <c r="U759" s="703">
        <v>9047.5</v>
      </c>
      <c r="V759" s="501"/>
      <c r="W759" s="304"/>
      <c r="X759" s="304"/>
      <c r="Y759" s="304"/>
      <c r="Z759" s="304"/>
      <c r="AA759" s="304"/>
      <c r="AB759" s="304" t="s">
        <v>2980</v>
      </c>
      <c r="AC759" s="304">
        <v>9860032755</v>
      </c>
      <c r="AD759" s="304">
        <v>31.22</v>
      </c>
      <c r="AE759" s="304"/>
      <c r="AF759" s="304"/>
      <c r="AG759" s="296"/>
      <c r="AH759" s="296"/>
      <c r="AI759" s="297"/>
      <c r="AJ759" s="29">
        <v>43760</v>
      </c>
      <c r="AK759" s="297" t="s">
        <v>2983</v>
      </c>
      <c r="AL759" s="297" t="s">
        <v>2984</v>
      </c>
      <c r="AM759" s="296" t="s">
        <v>49</v>
      </c>
      <c r="AN759" s="296" t="s">
        <v>284</v>
      </c>
      <c r="AO759" s="296" t="s">
        <v>285</v>
      </c>
      <c r="AP759" s="296" t="s">
        <v>51</v>
      </c>
      <c r="AQ759" s="296" t="s">
        <v>1118</v>
      </c>
    </row>
    <row r="760" spans="1:43" ht="15.75" customHeight="1">
      <c r="A760" s="69">
        <v>43710</v>
      </c>
      <c r="B760" s="144" t="s">
        <v>1236</v>
      </c>
      <c r="C760" s="21" t="s">
        <v>1558</v>
      </c>
      <c r="D760" s="21" t="s">
        <v>1559</v>
      </c>
      <c r="E760" s="32" t="s">
        <v>1562</v>
      </c>
      <c r="F760" s="24">
        <v>7</v>
      </c>
      <c r="G760" s="434">
        <v>60</v>
      </c>
      <c r="H760" s="60">
        <f t="shared" si="76"/>
        <v>420</v>
      </c>
      <c r="I760" s="61" t="s">
        <v>104</v>
      </c>
      <c r="J760" s="63" t="s">
        <v>1336</v>
      </c>
      <c r="K760" s="29">
        <v>43728</v>
      </c>
      <c r="L760" s="29"/>
      <c r="M760" s="29">
        <v>43711</v>
      </c>
      <c r="N760" s="50" t="s">
        <v>178</v>
      </c>
      <c r="O760" s="93" t="s">
        <v>2985</v>
      </c>
      <c r="P760" s="406"/>
      <c r="Q760" s="406">
        <f t="shared" si="77"/>
        <v>0</v>
      </c>
      <c r="R760" s="406"/>
      <c r="S760" s="406"/>
      <c r="T760" s="406"/>
      <c r="U760" s="703">
        <v>9077.25</v>
      </c>
      <c r="V760" s="501"/>
      <c r="W760" s="304"/>
      <c r="X760" s="304"/>
      <c r="Y760" s="304"/>
      <c r="Z760" s="304"/>
      <c r="AA760" s="304"/>
      <c r="AB760" s="304" t="s">
        <v>2980</v>
      </c>
      <c r="AC760" s="304">
        <v>9860032755</v>
      </c>
      <c r="AD760" s="304">
        <v>31.22</v>
      </c>
      <c r="AE760" s="304"/>
      <c r="AF760" s="304"/>
      <c r="AG760" s="296"/>
      <c r="AH760" s="296"/>
      <c r="AI760" s="297"/>
      <c r="AJ760" s="29">
        <v>43760</v>
      </c>
      <c r="AK760" s="297" t="s">
        <v>2983</v>
      </c>
      <c r="AL760" s="297" t="s">
        <v>2984</v>
      </c>
      <c r="AM760" s="296" t="s">
        <v>49</v>
      </c>
      <c r="AN760" s="296" t="s">
        <v>284</v>
      </c>
      <c r="AO760" s="296" t="s">
        <v>285</v>
      </c>
      <c r="AP760" s="296" t="s">
        <v>51</v>
      </c>
      <c r="AQ760" s="296" t="s">
        <v>1118</v>
      </c>
    </row>
    <row r="761" spans="1:43" ht="15.75" customHeight="1">
      <c r="A761" s="69">
        <v>43710</v>
      </c>
      <c r="B761" s="144" t="s">
        <v>1236</v>
      </c>
      <c r="C761" s="21" t="s">
        <v>1558</v>
      </c>
      <c r="D761" s="21" t="s">
        <v>1559</v>
      </c>
      <c r="E761" s="32" t="s">
        <v>1563</v>
      </c>
      <c r="F761" s="24">
        <v>7</v>
      </c>
      <c r="G761" s="434">
        <v>38</v>
      </c>
      <c r="H761" s="60">
        <f t="shared" si="76"/>
        <v>266</v>
      </c>
      <c r="I761" s="61" t="s">
        <v>104</v>
      </c>
      <c r="J761" s="63" t="s">
        <v>1336</v>
      </c>
      <c r="K761" s="29">
        <v>43728</v>
      </c>
      <c r="L761" s="29"/>
      <c r="M761" s="29">
        <v>43711</v>
      </c>
      <c r="N761" s="50" t="s">
        <v>178</v>
      </c>
      <c r="O761" s="93" t="s">
        <v>2985</v>
      </c>
      <c r="P761" s="406"/>
      <c r="Q761" s="406">
        <f t="shared" si="77"/>
        <v>0</v>
      </c>
      <c r="R761" s="406"/>
      <c r="S761" s="406"/>
      <c r="T761" s="406"/>
      <c r="U761" s="703">
        <v>0</v>
      </c>
      <c r="V761" s="501"/>
      <c r="W761" s="304"/>
      <c r="X761" s="304"/>
      <c r="Y761" s="304"/>
      <c r="Z761" s="304"/>
      <c r="AA761" s="304"/>
      <c r="AB761" s="304" t="s">
        <v>2980</v>
      </c>
      <c r="AC761" s="304">
        <v>9860032755</v>
      </c>
      <c r="AD761" s="304">
        <v>31.22</v>
      </c>
      <c r="AE761" s="304"/>
      <c r="AF761" s="304"/>
      <c r="AG761" s="296"/>
      <c r="AH761" s="296"/>
      <c r="AI761" s="297"/>
      <c r="AJ761" s="29">
        <v>43760</v>
      </c>
      <c r="AK761" s="297" t="s">
        <v>2983</v>
      </c>
      <c r="AL761" s="297" t="s">
        <v>2984</v>
      </c>
      <c r="AM761" s="296" t="s">
        <v>49</v>
      </c>
      <c r="AN761" s="296" t="s">
        <v>284</v>
      </c>
      <c r="AO761" s="296" t="s">
        <v>285</v>
      </c>
      <c r="AP761" s="296" t="s">
        <v>51</v>
      </c>
      <c r="AQ761" s="296" t="s">
        <v>1118</v>
      </c>
    </row>
    <row r="762" spans="1:43" ht="15.75" customHeight="1">
      <c r="A762" s="69">
        <v>43710</v>
      </c>
      <c r="B762" s="144" t="s">
        <v>1236</v>
      </c>
      <c r="C762" s="21" t="s">
        <v>1558</v>
      </c>
      <c r="D762" s="21" t="s">
        <v>1559</v>
      </c>
      <c r="E762" s="32" t="s">
        <v>1564</v>
      </c>
      <c r="F762" s="24">
        <v>7</v>
      </c>
      <c r="G762" s="434">
        <v>10</v>
      </c>
      <c r="H762" s="60">
        <f t="shared" si="76"/>
        <v>70</v>
      </c>
      <c r="I762" s="61" t="s">
        <v>104</v>
      </c>
      <c r="J762" s="63" t="s">
        <v>1336</v>
      </c>
      <c r="K762" s="29">
        <v>43728</v>
      </c>
      <c r="L762" s="29"/>
      <c r="M762" s="29">
        <v>43711</v>
      </c>
      <c r="N762" s="50" t="s">
        <v>178</v>
      </c>
      <c r="O762" s="93" t="s">
        <v>2985</v>
      </c>
      <c r="P762" s="406"/>
      <c r="Q762" s="406">
        <f t="shared" si="77"/>
        <v>0</v>
      </c>
      <c r="R762" s="406"/>
      <c r="S762" s="406"/>
      <c r="T762" s="406"/>
      <c r="U762" s="703">
        <v>0</v>
      </c>
      <c r="V762" s="501"/>
      <c r="W762" s="304"/>
      <c r="X762" s="304"/>
      <c r="Y762" s="304"/>
      <c r="Z762" s="304"/>
      <c r="AA762" s="304"/>
      <c r="AB762" s="304" t="s">
        <v>2980</v>
      </c>
      <c r="AC762" s="304">
        <v>9860032755</v>
      </c>
      <c r="AD762" s="304">
        <v>31.22</v>
      </c>
      <c r="AE762" s="304"/>
      <c r="AF762" s="304"/>
      <c r="AG762" s="296"/>
      <c r="AH762" s="296"/>
      <c r="AI762" s="297"/>
      <c r="AJ762" s="29">
        <v>43760</v>
      </c>
      <c r="AK762" s="297" t="s">
        <v>2983</v>
      </c>
      <c r="AL762" s="297" t="s">
        <v>2984</v>
      </c>
      <c r="AM762" s="296" t="s">
        <v>49</v>
      </c>
      <c r="AN762" s="296" t="s">
        <v>284</v>
      </c>
      <c r="AO762" s="296" t="s">
        <v>285</v>
      </c>
      <c r="AP762" s="296" t="s">
        <v>51</v>
      </c>
      <c r="AQ762" s="296" t="s">
        <v>1118</v>
      </c>
    </row>
    <row r="763" spans="1:43" ht="15.75" customHeight="1">
      <c r="A763" s="69">
        <v>43710</v>
      </c>
      <c r="B763" s="144" t="s">
        <v>1236</v>
      </c>
      <c r="C763" s="21" t="s">
        <v>1558</v>
      </c>
      <c r="D763" s="21" t="s">
        <v>1559</v>
      </c>
      <c r="E763" s="32" t="s">
        <v>1565</v>
      </c>
      <c r="F763" s="24">
        <v>7</v>
      </c>
      <c r="G763" s="434">
        <v>47</v>
      </c>
      <c r="H763" s="60">
        <f t="shared" si="76"/>
        <v>329</v>
      </c>
      <c r="I763" s="61" t="s">
        <v>104</v>
      </c>
      <c r="J763" s="63" t="s">
        <v>1336</v>
      </c>
      <c r="K763" s="29">
        <v>43728</v>
      </c>
      <c r="L763" s="29"/>
      <c r="M763" s="30">
        <v>43720</v>
      </c>
      <c r="N763" s="50" t="s">
        <v>2221</v>
      </c>
      <c r="O763" s="93" t="s">
        <v>2986</v>
      </c>
      <c r="P763" s="406">
        <v>35</v>
      </c>
      <c r="Q763" s="406">
        <f t="shared" si="77"/>
        <v>257.25</v>
      </c>
      <c r="R763" s="406"/>
      <c r="S763" s="406"/>
      <c r="T763" s="406"/>
      <c r="U763" s="703">
        <v>8041.25</v>
      </c>
      <c r="V763" s="501"/>
      <c r="W763" s="304"/>
      <c r="X763" s="304"/>
      <c r="Y763" s="304"/>
      <c r="Z763" s="304"/>
      <c r="AA763" s="304"/>
      <c r="AB763" s="304" t="s">
        <v>2980</v>
      </c>
      <c r="AC763" s="304">
        <v>9860032755</v>
      </c>
      <c r="AD763" s="304">
        <v>31.22</v>
      </c>
      <c r="AE763" s="304"/>
      <c r="AF763" s="304"/>
      <c r="AG763" s="296"/>
      <c r="AH763" s="296"/>
      <c r="AI763" s="297"/>
      <c r="AJ763" s="29">
        <v>43760</v>
      </c>
      <c r="AK763" s="297" t="s">
        <v>2983</v>
      </c>
      <c r="AL763" s="297" t="s">
        <v>2984</v>
      </c>
      <c r="AM763" s="296" t="s">
        <v>49</v>
      </c>
      <c r="AN763" s="296" t="s">
        <v>284</v>
      </c>
      <c r="AO763" s="296" t="s">
        <v>285</v>
      </c>
      <c r="AP763" s="296" t="s">
        <v>51</v>
      </c>
      <c r="AQ763" s="296" t="s">
        <v>1118</v>
      </c>
    </row>
    <row r="764" spans="1:43" ht="15.75" customHeight="1">
      <c r="A764" s="69">
        <v>43710</v>
      </c>
      <c r="B764" s="144" t="s">
        <v>1236</v>
      </c>
      <c r="C764" s="21" t="s">
        <v>1558</v>
      </c>
      <c r="D764" s="21" t="s">
        <v>1566</v>
      </c>
      <c r="E764" s="23" t="s">
        <v>1567</v>
      </c>
      <c r="F764" s="24">
        <v>1</v>
      </c>
      <c r="G764" s="434">
        <v>621</v>
      </c>
      <c r="H764" s="60">
        <f t="shared" si="76"/>
        <v>621</v>
      </c>
      <c r="I764" s="61" t="s">
        <v>104</v>
      </c>
      <c r="J764" s="63" t="s">
        <v>1568</v>
      </c>
      <c r="K764" s="29">
        <v>43732</v>
      </c>
      <c r="L764" s="29"/>
      <c r="M764" s="30">
        <v>43732</v>
      </c>
      <c r="N764" s="50" t="s">
        <v>2979</v>
      </c>
      <c r="O764" s="93" t="s">
        <v>2976</v>
      </c>
      <c r="P764" s="406"/>
      <c r="Q764" s="406">
        <f t="shared" si="77"/>
        <v>0</v>
      </c>
      <c r="R764" s="406"/>
      <c r="S764" s="406"/>
      <c r="T764" s="406"/>
      <c r="U764" s="703">
        <v>16793.7</v>
      </c>
      <c r="V764" s="51"/>
      <c r="W764" s="303"/>
      <c r="X764" s="460"/>
      <c r="Y764" s="304"/>
      <c r="Z764" s="304"/>
      <c r="AA764" s="304"/>
      <c r="AB764" s="304" t="s">
        <v>2987</v>
      </c>
      <c r="AC764" s="304">
        <v>5547769441</v>
      </c>
      <c r="AD764" s="304">
        <v>30.984999999999999</v>
      </c>
      <c r="AE764" s="304"/>
      <c r="AF764" s="304"/>
      <c r="AG764" s="296"/>
      <c r="AH764" s="296"/>
      <c r="AI764" s="297"/>
      <c r="AJ764" s="29">
        <v>43789</v>
      </c>
      <c r="AK764" s="297" t="s">
        <v>2988</v>
      </c>
      <c r="AL764" s="297" t="s">
        <v>2989</v>
      </c>
      <c r="AM764" s="296" t="s">
        <v>49</v>
      </c>
      <c r="AN764" s="296" t="s">
        <v>284</v>
      </c>
      <c r="AO764" s="296" t="s">
        <v>285</v>
      </c>
      <c r="AP764" s="296" t="s">
        <v>51</v>
      </c>
      <c r="AQ764" s="296" t="s">
        <v>1118</v>
      </c>
    </row>
    <row r="765" spans="1:43" ht="15.75" customHeight="1">
      <c r="A765" s="69">
        <v>43710</v>
      </c>
      <c r="B765" s="144" t="s">
        <v>1236</v>
      </c>
      <c r="C765" s="21" t="s">
        <v>1558</v>
      </c>
      <c r="D765" s="21" t="s">
        <v>1566</v>
      </c>
      <c r="E765" s="23" t="s">
        <v>1561</v>
      </c>
      <c r="F765" s="24">
        <v>1</v>
      </c>
      <c r="G765" s="434">
        <v>71</v>
      </c>
      <c r="H765" s="60">
        <f t="shared" si="76"/>
        <v>71</v>
      </c>
      <c r="I765" s="61" t="s">
        <v>104</v>
      </c>
      <c r="J765" s="63" t="s">
        <v>1568</v>
      </c>
      <c r="K765" s="29">
        <v>43732</v>
      </c>
      <c r="L765" s="29"/>
      <c r="M765" s="29">
        <v>43711</v>
      </c>
      <c r="N765" s="50" t="s">
        <v>2981</v>
      </c>
      <c r="O765" s="93" t="s">
        <v>2982</v>
      </c>
      <c r="P765" s="406"/>
      <c r="Q765" s="406"/>
      <c r="R765" s="406"/>
      <c r="S765" s="406"/>
      <c r="T765" s="406"/>
      <c r="U765" s="703">
        <v>1292.5</v>
      </c>
      <c r="V765" s="51"/>
      <c r="W765" s="303"/>
      <c r="X765" s="460"/>
      <c r="Y765" s="304"/>
      <c r="Z765" s="304"/>
      <c r="AA765" s="304"/>
      <c r="AB765" s="304" t="s">
        <v>2987</v>
      </c>
      <c r="AC765" s="304">
        <v>5547769441</v>
      </c>
      <c r="AD765" s="304">
        <v>30.984999999999999</v>
      </c>
      <c r="AE765" s="304"/>
      <c r="AF765" s="304"/>
      <c r="AG765" s="296"/>
      <c r="AH765" s="296"/>
      <c r="AI765" s="297"/>
      <c r="AJ765" s="29">
        <v>43789</v>
      </c>
      <c r="AK765" s="297" t="s">
        <v>2988</v>
      </c>
      <c r="AL765" s="297" t="s">
        <v>2989</v>
      </c>
      <c r="AM765" s="296" t="s">
        <v>49</v>
      </c>
      <c r="AN765" s="296" t="s">
        <v>284</v>
      </c>
      <c r="AO765" s="296" t="s">
        <v>285</v>
      </c>
      <c r="AP765" s="296" t="s">
        <v>51</v>
      </c>
      <c r="AQ765" s="296" t="s">
        <v>1118</v>
      </c>
    </row>
    <row r="766" spans="1:43" ht="15.75" customHeight="1">
      <c r="A766" s="69">
        <v>43710</v>
      </c>
      <c r="B766" s="144" t="s">
        <v>1236</v>
      </c>
      <c r="C766" s="21" t="s">
        <v>1558</v>
      </c>
      <c r="D766" s="21" t="s">
        <v>1566</v>
      </c>
      <c r="E766" s="32" t="s">
        <v>1562</v>
      </c>
      <c r="F766" s="24">
        <v>1</v>
      </c>
      <c r="G766" s="434">
        <v>60</v>
      </c>
      <c r="H766" s="60">
        <f t="shared" si="76"/>
        <v>60</v>
      </c>
      <c r="I766" s="61" t="s">
        <v>104</v>
      </c>
      <c r="J766" s="63" t="s">
        <v>1568</v>
      </c>
      <c r="K766" s="29">
        <v>43732</v>
      </c>
      <c r="L766" s="29"/>
      <c r="M766" s="29">
        <v>43711</v>
      </c>
      <c r="N766" s="50" t="s">
        <v>178</v>
      </c>
      <c r="O766" s="93" t="s">
        <v>2985</v>
      </c>
      <c r="P766" s="406"/>
      <c r="Q766" s="406"/>
      <c r="R766" s="406"/>
      <c r="S766" s="406"/>
      <c r="T766" s="406"/>
      <c r="U766" s="703">
        <v>1296.75</v>
      </c>
      <c r="V766" s="51"/>
      <c r="W766" s="303"/>
      <c r="X766" s="460"/>
      <c r="Y766" s="304"/>
      <c r="Z766" s="304"/>
      <c r="AA766" s="304"/>
      <c r="AB766" s="304" t="s">
        <v>2987</v>
      </c>
      <c r="AC766" s="304">
        <v>5547769441</v>
      </c>
      <c r="AD766" s="304">
        <v>30.984999999999999</v>
      </c>
      <c r="AE766" s="304"/>
      <c r="AF766" s="304"/>
      <c r="AG766" s="296"/>
      <c r="AH766" s="296"/>
      <c r="AI766" s="297"/>
      <c r="AJ766" s="29">
        <v>43789</v>
      </c>
      <c r="AK766" s="297" t="s">
        <v>2988</v>
      </c>
      <c r="AL766" s="297" t="s">
        <v>2989</v>
      </c>
      <c r="AM766" s="296" t="s">
        <v>49</v>
      </c>
      <c r="AN766" s="296" t="s">
        <v>284</v>
      </c>
      <c r="AO766" s="296" t="s">
        <v>285</v>
      </c>
      <c r="AP766" s="296" t="s">
        <v>51</v>
      </c>
      <c r="AQ766" s="296" t="s">
        <v>1118</v>
      </c>
    </row>
    <row r="767" spans="1:43" ht="15.75" customHeight="1">
      <c r="A767" s="69">
        <v>43710</v>
      </c>
      <c r="B767" s="144" t="s">
        <v>1236</v>
      </c>
      <c r="C767" s="21" t="s">
        <v>1558</v>
      </c>
      <c r="D767" s="21" t="s">
        <v>1566</v>
      </c>
      <c r="E767" s="32" t="s">
        <v>1563</v>
      </c>
      <c r="F767" s="24">
        <v>1</v>
      </c>
      <c r="G767" s="434">
        <v>38</v>
      </c>
      <c r="H767" s="60">
        <f t="shared" si="76"/>
        <v>38</v>
      </c>
      <c r="I767" s="61" t="s">
        <v>104</v>
      </c>
      <c r="J767" s="63" t="s">
        <v>1568</v>
      </c>
      <c r="K767" s="29">
        <v>43732</v>
      </c>
      <c r="L767" s="29"/>
      <c r="M767" s="29">
        <v>43711</v>
      </c>
      <c r="N767" s="50" t="s">
        <v>178</v>
      </c>
      <c r="O767" s="93" t="s">
        <v>2985</v>
      </c>
      <c r="P767" s="406"/>
      <c r="Q767" s="406"/>
      <c r="R767" s="406"/>
      <c r="S767" s="406"/>
      <c r="T767" s="406"/>
      <c r="U767" s="704"/>
      <c r="V767" s="51"/>
      <c r="W767" s="303"/>
      <c r="X767" s="460"/>
      <c r="Y767" s="304"/>
      <c r="Z767" s="304"/>
      <c r="AA767" s="304"/>
      <c r="AB767" s="304" t="s">
        <v>2987</v>
      </c>
      <c r="AC767" s="304">
        <v>5547769441</v>
      </c>
      <c r="AD767" s="304">
        <v>30.984999999999999</v>
      </c>
      <c r="AE767" s="304"/>
      <c r="AF767" s="304"/>
      <c r="AG767" s="296"/>
      <c r="AH767" s="296"/>
      <c r="AI767" s="297"/>
      <c r="AJ767" s="29">
        <v>43789</v>
      </c>
      <c r="AK767" s="297" t="s">
        <v>2988</v>
      </c>
      <c r="AL767" s="297" t="s">
        <v>2989</v>
      </c>
      <c r="AM767" s="296" t="s">
        <v>49</v>
      </c>
      <c r="AN767" s="296" t="s">
        <v>284</v>
      </c>
      <c r="AO767" s="296" t="s">
        <v>285</v>
      </c>
      <c r="AP767" s="296" t="s">
        <v>51</v>
      </c>
      <c r="AQ767" s="296" t="s">
        <v>1118</v>
      </c>
    </row>
    <row r="768" spans="1:43" ht="15.75" customHeight="1">
      <c r="A768" s="110">
        <v>43710</v>
      </c>
      <c r="B768" s="147" t="s">
        <v>1236</v>
      </c>
      <c r="C768" s="21" t="s">
        <v>1558</v>
      </c>
      <c r="D768" s="21" t="s">
        <v>1566</v>
      </c>
      <c r="E768" s="23" t="s">
        <v>1564</v>
      </c>
      <c r="F768" s="24">
        <v>1</v>
      </c>
      <c r="G768" s="434">
        <v>10</v>
      </c>
      <c r="H768" s="60">
        <f t="shared" si="76"/>
        <v>10</v>
      </c>
      <c r="I768" s="61" t="s">
        <v>104</v>
      </c>
      <c r="J768" s="63" t="s">
        <v>1568</v>
      </c>
      <c r="K768" s="29">
        <v>43732</v>
      </c>
      <c r="L768" s="29"/>
      <c r="M768" s="29">
        <v>43711</v>
      </c>
      <c r="N768" s="50" t="s">
        <v>178</v>
      </c>
      <c r="O768" s="93" t="s">
        <v>2985</v>
      </c>
      <c r="P768" s="406"/>
      <c r="Q768" s="406"/>
      <c r="R768" s="406"/>
      <c r="S768" s="406"/>
      <c r="T768" s="406"/>
      <c r="U768" s="704"/>
      <c r="V768" s="35"/>
      <c r="W768" s="303"/>
      <c r="X768" s="460"/>
      <c r="Y768" s="304"/>
      <c r="Z768" s="304"/>
      <c r="AA768" s="304"/>
      <c r="AB768" s="304" t="s">
        <v>2987</v>
      </c>
      <c r="AC768" s="304">
        <v>5547769441</v>
      </c>
      <c r="AD768" s="304">
        <v>30.984999999999999</v>
      </c>
      <c r="AE768" s="304"/>
      <c r="AF768" s="304"/>
      <c r="AG768" s="296"/>
      <c r="AH768" s="296"/>
      <c r="AI768" s="297"/>
      <c r="AJ768" s="29">
        <v>43789</v>
      </c>
      <c r="AK768" s="297" t="s">
        <v>2988</v>
      </c>
      <c r="AL768" s="297" t="s">
        <v>2989</v>
      </c>
      <c r="AM768" s="296" t="s">
        <v>49</v>
      </c>
      <c r="AN768" s="296" t="s">
        <v>284</v>
      </c>
      <c r="AO768" s="296" t="s">
        <v>285</v>
      </c>
      <c r="AP768" s="296" t="s">
        <v>51</v>
      </c>
      <c r="AQ768" s="296" t="s">
        <v>1118</v>
      </c>
    </row>
    <row r="769" spans="1:43" ht="15.75" customHeight="1">
      <c r="A769" s="110">
        <v>43710</v>
      </c>
      <c r="B769" s="147" t="s">
        <v>1236</v>
      </c>
      <c r="C769" s="21" t="s">
        <v>1558</v>
      </c>
      <c r="D769" s="21" t="s">
        <v>1566</v>
      </c>
      <c r="E769" s="23" t="s">
        <v>1565</v>
      </c>
      <c r="F769" s="24">
        <v>1</v>
      </c>
      <c r="G769" s="434">
        <v>47</v>
      </c>
      <c r="H769" s="60">
        <f t="shared" si="76"/>
        <v>47</v>
      </c>
      <c r="I769" s="61" t="s">
        <v>104</v>
      </c>
      <c r="J769" s="63" t="s">
        <v>1568</v>
      </c>
      <c r="K769" s="29">
        <v>43732</v>
      </c>
      <c r="L769" s="29"/>
      <c r="M769" s="30">
        <v>43720</v>
      </c>
      <c r="N769" s="50" t="s">
        <v>2221</v>
      </c>
      <c r="O769" s="93" t="s">
        <v>2986</v>
      </c>
      <c r="P769" s="406"/>
      <c r="Q769" s="406"/>
      <c r="R769" s="406"/>
      <c r="S769" s="406"/>
      <c r="T769" s="406"/>
      <c r="U769" s="703">
        <v>1148.75</v>
      </c>
      <c r="V769" s="51"/>
      <c r="W769" s="303"/>
      <c r="X769" s="460"/>
      <c r="Y769" s="304"/>
      <c r="Z769" s="304"/>
      <c r="AA769" s="304"/>
      <c r="AB769" s="304" t="s">
        <v>2987</v>
      </c>
      <c r="AC769" s="304">
        <v>5547769441</v>
      </c>
      <c r="AD769" s="304">
        <v>30.984999999999999</v>
      </c>
      <c r="AE769" s="304"/>
      <c r="AF769" s="304"/>
      <c r="AG769" s="296"/>
      <c r="AH769" s="296"/>
      <c r="AI769" s="297"/>
      <c r="AJ769" s="29">
        <v>43789</v>
      </c>
      <c r="AK769" s="297" t="s">
        <v>2988</v>
      </c>
      <c r="AL769" s="297" t="s">
        <v>2989</v>
      </c>
      <c r="AM769" s="296" t="s">
        <v>49</v>
      </c>
      <c r="AN769" s="296" t="s">
        <v>284</v>
      </c>
      <c r="AO769" s="296" t="s">
        <v>285</v>
      </c>
      <c r="AP769" s="296" t="s">
        <v>51</v>
      </c>
      <c r="AQ769" s="296" t="s">
        <v>1118</v>
      </c>
    </row>
    <row r="770" spans="1:43" ht="15.75" customHeight="1">
      <c r="A770" s="110">
        <v>43710</v>
      </c>
      <c r="B770" s="147" t="s">
        <v>1236</v>
      </c>
      <c r="C770" s="21" t="s">
        <v>1558</v>
      </c>
      <c r="D770" s="21" t="s">
        <v>1566</v>
      </c>
      <c r="E770" s="23" t="s">
        <v>346</v>
      </c>
      <c r="F770" s="24">
        <v>1</v>
      </c>
      <c r="G770" s="434">
        <v>0</v>
      </c>
      <c r="H770" s="60">
        <v>0</v>
      </c>
      <c r="I770" s="87" t="s">
        <v>104</v>
      </c>
      <c r="J770" s="63" t="s">
        <v>1568</v>
      </c>
      <c r="K770" s="29">
        <v>43732</v>
      </c>
      <c r="L770" s="29"/>
      <c r="M770" s="30">
        <v>43720</v>
      </c>
      <c r="N770" s="63" t="s">
        <v>262</v>
      </c>
      <c r="O770" s="64"/>
      <c r="P770" s="34"/>
      <c r="Q770" s="34"/>
      <c r="R770" s="34"/>
      <c r="S770" s="34"/>
      <c r="T770" s="34">
        <v>2354</v>
      </c>
      <c r="U770" s="34">
        <v>2471</v>
      </c>
      <c r="V770" s="51"/>
      <c r="W770" s="531">
        <v>43769</v>
      </c>
      <c r="X770" s="470">
        <v>43738</v>
      </c>
      <c r="Y770" s="53" t="s">
        <v>1569</v>
      </c>
      <c r="Z770" s="53" t="s">
        <v>2990</v>
      </c>
      <c r="AA770" s="53"/>
      <c r="AB770" s="53"/>
      <c r="AC770" s="53"/>
      <c r="AD770" s="53"/>
      <c r="AE770" s="53"/>
      <c r="AF770" s="53"/>
      <c r="AG770" s="54"/>
      <c r="AH770" s="54"/>
      <c r="AI770" s="55"/>
      <c r="AJ770" s="29">
        <v>43789</v>
      </c>
      <c r="AK770" s="297" t="s">
        <v>2988</v>
      </c>
      <c r="AL770" s="297" t="s">
        <v>2989</v>
      </c>
      <c r="AM770" s="296" t="s">
        <v>49</v>
      </c>
      <c r="AN770" s="54" t="s">
        <v>284</v>
      </c>
      <c r="AO770" s="54" t="s">
        <v>285</v>
      </c>
      <c r="AP770" s="54" t="s">
        <v>51</v>
      </c>
      <c r="AQ770" s="54" t="s">
        <v>1118</v>
      </c>
    </row>
    <row r="771" spans="1:43" ht="15.75" customHeight="1">
      <c r="A771" s="69">
        <v>43710</v>
      </c>
      <c r="B771" s="144" t="s">
        <v>1236</v>
      </c>
      <c r="C771" s="21" t="s">
        <v>1570</v>
      </c>
      <c r="D771" s="21" t="s">
        <v>1571</v>
      </c>
      <c r="E771" s="32" t="s">
        <v>1572</v>
      </c>
      <c r="F771" s="24">
        <v>1</v>
      </c>
      <c r="G771" s="434">
        <v>621</v>
      </c>
      <c r="H771" s="60">
        <f t="shared" ref="H771:H780" si="78">G771*F771</f>
        <v>621</v>
      </c>
      <c r="I771" s="61" t="s">
        <v>104</v>
      </c>
      <c r="J771" s="63" t="s">
        <v>1336</v>
      </c>
      <c r="K771" s="29">
        <v>43734</v>
      </c>
      <c r="L771" s="29"/>
      <c r="M771" s="30">
        <v>43734</v>
      </c>
      <c r="N771" s="50" t="s">
        <v>2979</v>
      </c>
      <c r="O771" s="93" t="s">
        <v>2991</v>
      </c>
      <c r="P771" s="406"/>
      <c r="Q771" s="406">
        <f>(P771*F771)*1.05</f>
        <v>0</v>
      </c>
      <c r="R771" s="406"/>
      <c r="S771" s="406"/>
      <c r="T771" s="406"/>
      <c r="U771" s="703">
        <v>16793.7</v>
      </c>
      <c r="V771" s="51"/>
      <c r="W771" s="303"/>
      <c r="X771" s="460"/>
      <c r="Y771" s="304"/>
      <c r="Z771" s="304"/>
      <c r="AA771" s="304"/>
      <c r="AB771" s="304" t="s">
        <v>2992</v>
      </c>
      <c r="AC771" s="304">
        <v>4511020776</v>
      </c>
      <c r="AD771" s="304">
        <v>30.984999999999999</v>
      </c>
      <c r="AE771" s="304"/>
      <c r="AF771" s="304"/>
      <c r="AG771" s="296"/>
      <c r="AH771" s="296"/>
      <c r="AI771" s="297"/>
      <c r="AJ771" s="29">
        <v>43789</v>
      </c>
      <c r="AK771" s="297" t="s">
        <v>2988</v>
      </c>
      <c r="AL771" s="297" t="s">
        <v>2989</v>
      </c>
      <c r="AM771" s="296" t="s">
        <v>49</v>
      </c>
      <c r="AN771" s="296" t="s">
        <v>284</v>
      </c>
      <c r="AO771" s="296" t="s">
        <v>285</v>
      </c>
      <c r="AP771" s="296" t="s">
        <v>51</v>
      </c>
      <c r="AQ771" s="296" t="s">
        <v>1118</v>
      </c>
    </row>
    <row r="772" spans="1:43" ht="15.75" customHeight="1">
      <c r="A772" s="69">
        <v>43710</v>
      </c>
      <c r="B772" s="144" t="s">
        <v>1236</v>
      </c>
      <c r="C772" s="21" t="s">
        <v>1570</v>
      </c>
      <c r="D772" s="21" t="s">
        <v>1571</v>
      </c>
      <c r="E772" s="32" t="s">
        <v>1561</v>
      </c>
      <c r="F772" s="24">
        <v>1</v>
      </c>
      <c r="G772" s="434">
        <v>71</v>
      </c>
      <c r="H772" s="60">
        <f t="shared" si="78"/>
        <v>71</v>
      </c>
      <c r="I772" s="61" t="s">
        <v>104</v>
      </c>
      <c r="J772" s="63" t="s">
        <v>1336</v>
      </c>
      <c r="K772" s="29">
        <v>43734</v>
      </c>
      <c r="L772" s="29"/>
      <c r="M772" s="29">
        <v>43727</v>
      </c>
      <c r="N772" s="50" t="s">
        <v>2981</v>
      </c>
      <c r="O772" s="93" t="s">
        <v>2993</v>
      </c>
      <c r="P772" s="406"/>
      <c r="Q772" s="406"/>
      <c r="R772" s="406"/>
      <c r="S772" s="406"/>
      <c r="T772" s="406"/>
      <c r="U772" s="703">
        <v>1292.5</v>
      </c>
      <c r="V772" s="51"/>
      <c r="W772" s="303"/>
      <c r="X772" s="460"/>
      <c r="Y772" s="304"/>
      <c r="Z772" s="304"/>
      <c r="AA772" s="304"/>
      <c r="AB772" s="304" t="s">
        <v>2992</v>
      </c>
      <c r="AC772" s="304">
        <v>4511020776</v>
      </c>
      <c r="AD772" s="304">
        <v>30.984999999999999</v>
      </c>
      <c r="AE772" s="304"/>
      <c r="AF772" s="304"/>
      <c r="AG772" s="296"/>
      <c r="AH772" s="296"/>
      <c r="AI772" s="297"/>
      <c r="AJ772" s="29">
        <v>43789</v>
      </c>
      <c r="AK772" s="297" t="s">
        <v>2988</v>
      </c>
      <c r="AL772" s="297" t="s">
        <v>2989</v>
      </c>
      <c r="AM772" s="296" t="s">
        <v>49</v>
      </c>
      <c r="AN772" s="296" t="s">
        <v>284</v>
      </c>
      <c r="AO772" s="296" t="s">
        <v>285</v>
      </c>
      <c r="AP772" s="296" t="s">
        <v>51</v>
      </c>
      <c r="AQ772" s="296" t="s">
        <v>1118</v>
      </c>
    </row>
    <row r="773" spans="1:43" ht="15.75" customHeight="1">
      <c r="A773" s="69">
        <v>43710</v>
      </c>
      <c r="B773" s="144" t="s">
        <v>1236</v>
      </c>
      <c r="C773" s="21" t="s">
        <v>1570</v>
      </c>
      <c r="D773" s="21" t="s">
        <v>1571</v>
      </c>
      <c r="E773" s="32" t="s">
        <v>1562</v>
      </c>
      <c r="F773" s="24">
        <v>1</v>
      </c>
      <c r="G773" s="434">
        <v>60</v>
      </c>
      <c r="H773" s="60">
        <f t="shared" si="78"/>
        <v>60</v>
      </c>
      <c r="I773" s="61" t="s">
        <v>104</v>
      </c>
      <c r="J773" s="63" t="s">
        <v>1336</v>
      </c>
      <c r="K773" s="29">
        <v>43734</v>
      </c>
      <c r="L773" s="29"/>
      <c r="M773" s="29">
        <v>43727</v>
      </c>
      <c r="N773" s="50" t="s">
        <v>178</v>
      </c>
      <c r="O773" s="93" t="s">
        <v>2985</v>
      </c>
      <c r="P773" s="406"/>
      <c r="Q773" s="406"/>
      <c r="R773" s="406"/>
      <c r="S773" s="406"/>
      <c r="T773" s="406"/>
      <c r="U773" s="703">
        <v>1296.75</v>
      </c>
      <c r="V773" s="51"/>
      <c r="W773" s="303"/>
      <c r="X773" s="460"/>
      <c r="Y773" s="304"/>
      <c r="Z773" s="304"/>
      <c r="AA773" s="304"/>
      <c r="AB773" s="304" t="s">
        <v>2992</v>
      </c>
      <c r="AC773" s="304">
        <v>4511020776</v>
      </c>
      <c r="AD773" s="304">
        <v>30.984999999999999</v>
      </c>
      <c r="AE773" s="304"/>
      <c r="AF773" s="304"/>
      <c r="AG773" s="296"/>
      <c r="AH773" s="296"/>
      <c r="AI773" s="297"/>
      <c r="AJ773" s="29">
        <v>43789</v>
      </c>
      <c r="AK773" s="297" t="s">
        <v>2988</v>
      </c>
      <c r="AL773" s="297" t="s">
        <v>2989</v>
      </c>
      <c r="AM773" s="296" t="s">
        <v>49</v>
      </c>
      <c r="AN773" s="296" t="s">
        <v>284</v>
      </c>
      <c r="AO773" s="296" t="s">
        <v>285</v>
      </c>
      <c r="AP773" s="296" t="s">
        <v>51</v>
      </c>
      <c r="AQ773" s="296" t="s">
        <v>1118</v>
      </c>
    </row>
    <row r="774" spans="1:43" ht="15.75" customHeight="1">
      <c r="A774" s="69">
        <v>43710</v>
      </c>
      <c r="B774" s="144" t="s">
        <v>1236</v>
      </c>
      <c r="C774" s="21" t="s">
        <v>1570</v>
      </c>
      <c r="D774" s="21" t="s">
        <v>1571</v>
      </c>
      <c r="E774" s="32" t="s">
        <v>1563</v>
      </c>
      <c r="F774" s="24">
        <v>1</v>
      </c>
      <c r="G774" s="434">
        <v>38</v>
      </c>
      <c r="H774" s="60">
        <f t="shared" si="78"/>
        <v>38</v>
      </c>
      <c r="I774" s="61" t="s">
        <v>104</v>
      </c>
      <c r="J774" s="63" t="s">
        <v>1336</v>
      </c>
      <c r="K774" s="29">
        <v>43734</v>
      </c>
      <c r="L774" s="29"/>
      <c r="M774" s="29">
        <v>43727</v>
      </c>
      <c r="N774" s="50" t="s">
        <v>178</v>
      </c>
      <c r="O774" s="93" t="s">
        <v>2985</v>
      </c>
      <c r="P774" s="406"/>
      <c r="Q774" s="406"/>
      <c r="R774" s="406"/>
      <c r="S774" s="406"/>
      <c r="T774" s="406"/>
      <c r="U774" s="703">
        <v>0</v>
      </c>
      <c r="V774" s="51"/>
      <c r="W774" s="303"/>
      <c r="X774" s="460"/>
      <c r="Y774" s="304"/>
      <c r="Z774" s="304"/>
      <c r="AA774" s="304"/>
      <c r="AB774" s="304" t="s">
        <v>2992</v>
      </c>
      <c r="AC774" s="304">
        <v>4511020776</v>
      </c>
      <c r="AD774" s="304">
        <v>30.984999999999999</v>
      </c>
      <c r="AE774" s="304"/>
      <c r="AF774" s="304"/>
      <c r="AG774" s="296"/>
      <c r="AH774" s="296"/>
      <c r="AI774" s="297"/>
      <c r="AJ774" s="29">
        <v>43789</v>
      </c>
      <c r="AK774" s="297" t="s">
        <v>2988</v>
      </c>
      <c r="AL774" s="297" t="s">
        <v>2989</v>
      </c>
      <c r="AM774" s="296" t="s">
        <v>49</v>
      </c>
      <c r="AN774" s="296" t="s">
        <v>284</v>
      </c>
      <c r="AO774" s="296" t="s">
        <v>285</v>
      </c>
      <c r="AP774" s="296" t="s">
        <v>51</v>
      </c>
      <c r="AQ774" s="296" t="s">
        <v>1118</v>
      </c>
    </row>
    <row r="775" spans="1:43" ht="15.75" customHeight="1">
      <c r="A775" s="69">
        <v>43710</v>
      </c>
      <c r="B775" s="144" t="s">
        <v>1236</v>
      </c>
      <c r="C775" s="21" t="s">
        <v>1570</v>
      </c>
      <c r="D775" s="21" t="s">
        <v>1571</v>
      </c>
      <c r="E775" s="32" t="s">
        <v>1564</v>
      </c>
      <c r="F775" s="24">
        <v>1</v>
      </c>
      <c r="G775" s="434">
        <v>10</v>
      </c>
      <c r="H775" s="60">
        <f t="shared" si="78"/>
        <v>10</v>
      </c>
      <c r="I775" s="61" t="s">
        <v>104</v>
      </c>
      <c r="J775" s="63" t="s">
        <v>1336</v>
      </c>
      <c r="K775" s="29">
        <v>43734</v>
      </c>
      <c r="L775" s="29"/>
      <c r="M775" s="29">
        <v>43727</v>
      </c>
      <c r="N775" s="50" t="s">
        <v>178</v>
      </c>
      <c r="O775" s="93" t="s">
        <v>2985</v>
      </c>
      <c r="P775" s="406"/>
      <c r="Q775" s="406"/>
      <c r="R775" s="406"/>
      <c r="S775" s="406"/>
      <c r="T775" s="406"/>
      <c r="U775" s="703">
        <v>0</v>
      </c>
      <c r="V775" s="51"/>
      <c r="W775" s="303"/>
      <c r="X775" s="460"/>
      <c r="Y775" s="304"/>
      <c r="Z775" s="304"/>
      <c r="AA775" s="304"/>
      <c r="AB775" s="304" t="s">
        <v>2992</v>
      </c>
      <c r="AC775" s="304">
        <v>4511020776</v>
      </c>
      <c r="AD775" s="304">
        <v>30.984999999999999</v>
      </c>
      <c r="AE775" s="304"/>
      <c r="AF775" s="304"/>
      <c r="AG775" s="296"/>
      <c r="AH775" s="296"/>
      <c r="AI775" s="297"/>
      <c r="AJ775" s="29">
        <v>43789</v>
      </c>
      <c r="AK775" s="297" t="s">
        <v>2988</v>
      </c>
      <c r="AL775" s="297" t="s">
        <v>2989</v>
      </c>
      <c r="AM775" s="296" t="s">
        <v>49</v>
      </c>
      <c r="AN775" s="296" t="s">
        <v>284</v>
      </c>
      <c r="AO775" s="296" t="s">
        <v>285</v>
      </c>
      <c r="AP775" s="296" t="s">
        <v>51</v>
      </c>
      <c r="AQ775" s="296" t="s">
        <v>1118</v>
      </c>
    </row>
    <row r="776" spans="1:43" ht="15.75" customHeight="1">
      <c r="A776" s="69">
        <v>43710</v>
      </c>
      <c r="B776" s="144" t="s">
        <v>1236</v>
      </c>
      <c r="C776" s="21" t="s">
        <v>1570</v>
      </c>
      <c r="D776" s="21" t="s">
        <v>1571</v>
      </c>
      <c r="E776" s="32" t="s">
        <v>1565</v>
      </c>
      <c r="F776" s="24">
        <v>1</v>
      </c>
      <c r="G776" s="434">
        <v>47</v>
      </c>
      <c r="H776" s="60">
        <f t="shared" si="78"/>
        <v>47</v>
      </c>
      <c r="I776" s="61" t="s">
        <v>104</v>
      </c>
      <c r="J776" s="63" t="s">
        <v>1336</v>
      </c>
      <c r="K776" s="29">
        <v>43734</v>
      </c>
      <c r="L776" s="29"/>
      <c r="M776" s="29">
        <v>43727</v>
      </c>
      <c r="N776" s="50" t="s">
        <v>2221</v>
      </c>
      <c r="O776" s="93" t="s">
        <v>2994</v>
      </c>
      <c r="P776" s="406"/>
      <c r="Q776" s="406"/>
      <c r="R776" s="406"/>
      <c r="S776" s="406"/>
      <c r="T776" s="406"/>
      <c r="U776" s="703">
        <v>1138</v>
      </c>
      <c r="V776" s="51"/>
      <c r="W776" s="303"/>
      <c r="X776" s="460"/>
      <c r="Y776" s="304"/>
      <c r="Z776" s="304"/>
      <c r="AA776" s="304"/>
      <c r="AB776" s="304" t="s">
        <v>2992</v>
      </c>
      <c r="AC776" s="304">
        <v>4511020776</v>
      </c>
      <c r="AD776" s="304">
        <v>30.984999999999999</v>
      </c>
      <c r="AE776" s="304"/>
      <c r="AF776" s="304"/>
      <c r="AG776" s="296"/>
      <c r="AH776" s="296"/>
      <c r="AI776" s="297"/>
      <c r="AJ776" s="29">
        <v>43789</v>
      </c>
      <c r="AK776" s="297" t="s">
        <v>2988</v>
      </c>
      <c r="AL776" s="297" t="s">
        <v>2989</v>
      </c>
      <c r="AM776" s="296" t="s">
        <v>49</v>
      </c>
      <c r="AN776" s="296" t="s">
        <v>284</v>
      </c>
      <c r="AO776" s="296" t="s">
        <v>285</v>
      </c>
      <c r="AP776" s="296" t="s">
        <v>51</v>
      </c>
      <c r="AQ776" s="296" t="s">
        <v>1118</v>
      </c>
    </row>
    <row r="777" spans="1:43" ht="15.75" customHeight="1">
      <c r="A777" s="69">
        <v>43712</v>
      </c>
      <c r="B777" s="70" t="s">
        <v>892</v>
      </c>
      <c r="C777" s="21" t="s">
        <v>1429</v>
      </c>
      <c r="D777" s="21" t="s">
        <v>1573</v>
      </c>
      <c r="E777" s="520" t="s">
        <v>1433</v>
      </c>
      <c r="F777" s="24">
        <v>48</v>
      </c>
      <c r="G777" s="434">
        <v>5.8</v>
      </c>
      <c r="H777" s="60">
        <f t="shared" si="78"/>
        <v>278.39999999999998</v>
      </c>
      <c r="I777" s="61" t="s">
        <v>104</v>
      </c>
      <c r="J777" s="63" t="s">
        <v>920</v>
      </c>
      <c r="K777" s="29">
        <v>43726</v>
      </c>
      <c r="L777" s="29"/>
      <c r="M777" s="30">
        <v>43719</v>
      </c>
      <c r="N777" s="50" t="s">
        <v>89</v>
      </c>
      <c r="O777" s="93" t="s">
        <v>2995</v>
      </c>
      <c r="P777" s="406">
        <v>5</v>
      </c>
      <c r="Q777" s="406">
        <f t="shared" ref="Q777:Q793" si="79">(P777*F777)*1.05</f>
        <v>252</v>
      </c>
      <c r="R777" s="406"/>
      <c r="S777" s="406"/>
      <c r="T777" s="406"/>
      <c r="U777" s="406">
        <v>7867</v>
      </c>
      <c r="V777" s="51" t="s">
        <v>93</v>
      </c>
      <c r="W777" s="303">
        <v>43769</v>
      </c>
      <c r="X777" s="460">
        <v>43719</v>
      </c>
      <c r="Y777" s="304" t="s">
        <v>1574</v>
      </c>
      <c r="Z777" s="304">
        <v>96376</v>
      </c>
      <c r="AA777" s="304"/>
      <c r="AB777" s="304" t="s">
        <v>2974</v>
      </c>
      <c r="AC777" s="304">
        <v>142115320</v>
      </c>
      <c r="AD777" s="304">
        <v>31.22</v>
      </c>
      <c r="AE777" s="304"/>
      <c r="AF777" s="304"/>
      <c r="AG777" s="296"/>
      <c r="AH777" s="296"/>
      <c r="AI777" s="297"/>
      <c r="AJ777" s="298">
        <v>43714</v>
      </c>
      <c r="AK777" s="297">
        <f>4745.99*31.19</f>
        <v>148027.42809999999</v>
      </c>
      <c r="AL777" s="297">
        <f>(4763.4-4745.99)*31.19</f>
        <v>543.01789999999551</v>
      </c>
      <c r="AM777" s="296" t="s">
        <v>49</v>
      </c>
      <c r="AN777" s="296" t="s">
        <v>284</v>
      </c>
      <c r="AO777" s="296" t="s">
        <v>50</v>
      </c>
      <c r="AP777" s="296" t="s">
        <v>51</v>
      </c>
      <c r="AQ777" s="296" t="s">
        <v>1118</v>
      </c>
    </row>
    <row r="778" spans="1:43" ht="15.75" customHeight="1">
      <c r="A778" s="110">
        <v>43712</v>
      </c>
      <c r="B778" s="70" t="s">
        <v>892</v>
      </c>
      <c r="C778" s="21" t="s">
        <v>1429</v>
      </c>
      <c r="D778" s="21" t="s">
        <v>1573</v>
      </c>
      <c r="E778" s="533" t="s">
        <v>1431</v>
      </c>
      <c r="F778" s="24">
        <v>15</v>
      </c>
      <c r="G778" s="434">
        <v>212</v>
      </c>
      <c r="H778" s="60">
        <f t="shared" si="78"/>
        <v>3180</v>
      </c>
      <c r="I778" s="61" t="s">
        <v>104</v>
      </c>
      <c r="J778" s="63" t="s">
        <v>920</v>
      </c>
      <c r="K778" s="29">
        <v>43726</v>
      </c>
      <c r="L778" s="29"/>
      <c r="M778" s="30">
        <v>43719</v>
      </c>
      <c r="N778" s="50" t="s">
        <v>89</v>
      </c>
      <c r="O778" s="93" t="s">
        <v>2995</v>
      </c>
      <c r="P778" s="406">
        <v>180</v>
      </c>
      <c r="Q778" s="406">
        <f t="shared" si="79"/>
        <v>2835</v>
      </c>
      <c r="R778" s="406"/>
      <c r="S778" s="406"/>
      <c r="T778" s="406"/>
      <c r="U778" s="406">
        <v>88509</v>
      </c>
      <c r="V778" s="51" t="s">
        <v>93</v>
      </c>
      <c r="W778" s="303">
        <v>43769</v>
      </c>
      <c r="X778" s="460">
        <v>43719</v>
      </c>
      <c r="Y778" s="304" t="s">
        <v>1574</v>
      </c>
      <c r="Z778" s="304" t="s">
        <v>2996</v>
      </c>
      <c r="AA778" s="304"/>
      <c r="AB778" s="304" t="s">
        <v>2974</v>
      </c>
      <c r="AC778" s="304">
        <v>142115320</v>
      </c>
      <c r="AD778" s="304">
        <v>31.22</v>
      </c>
      <c r="AE778" s="304"/>
      <c r="AF778" s="304"/>
      <c r="AG778" s="296"/>
      <c r="AH778" s="296"/>
      <c r="AI778" s="297"/>
      <c r="AJ778" s="298">
        <v>43714</v>
      </c>
      <c r="AK778" s="297" t="s">
        <v>2997</v>
      </c>
      <c r="AL778" s="297" t="s">
        <v>2998</v>
      </c>
      <c r="AM778" s="296" t="s">
        <v>49</v>
      </c>
      <c r="AN778" s="296" t="s">
        <v>284</v>
      </c>
      <c r="AO778" s="296" t="s">
        <v>50</v>
      </c>
      <c r="AP778" s="296" t="s">
        <v>51</v>
      </c>
      <c r="AQ778" s="296" t="s">
        <v>1118</v>
      </c>
    </row>
    <row r="779" spans="1:43" ht="15.75" customHeight="1">
      <c r="A779" s="110">
        <v>43712</v>
      </c>
      <c r="B779" s="70" t="s">
        <v>892</v>
      </c>
      <c r="C779" s="21" t="s">
        <v>1429</v>
      </c>
      <c r="D779" s="21" t="s">
        <v>1573</v>
      </c>
      <c r="E779" s="533" t="s">
        <v>1575</v>
      </c>
      <c r="F779" s="24">
        <v>3</v>
      </c>
      <c r="G779" s="434">
        <v>435</v>
      </c>
      <c r="H779" s="60">
        <f t="shared" si="78"/>
        <v>1305</v>
      </c>
      <c r="I779" s="61" t="s">
        <v>104</v>
      </c>
      <c r="J779" s="63" t="s">
        <v>920</v>
      </c>
      <c r="K779" s="29">
        <v>43726</v>
      </c>
      <c r="L779" s="29"/>
      <c r="M779" s="30">
        <v>43726</v>
      </c>
      <c r="N779" s="50" t="s">
        <v>89</v>
      </c>
      <c r="O779" s="93" t="s">
        <v>2995</v>
      </c>
      <c r="P779" s="406">
        <v>366</v>
      </c>
      <c r="Q779" s="406">
        <f t="shared" si="79"/>
        <v>1152.9000000000001</v>
      </c>
      <c r="R779" s="406"/>
      <c r="S779" s="406"/>
      <c r="T779" s="406"/>
      <c r="U779" s="406">
        <v>35994</v>
      </c>
      <c r="V779" s="51" t="s">
        <v>93</v>
      </c>
      <c r="W779" s="303">
        <v>43769</v>
      </c>
      <c r="X779" s="460">
        <v>43725</v>
      </c>
      <c r="Y779" s="304" t="s">
        <v>1576</v>
      </c>
      <c r="Z779" s="304">
        <v>35994</v>
      </c>
      <c r="AA779" s="304"/>
      <c r="AB779" s="304" t="s">
        <v>2974</v>
      </c>
      <c r="AC779" s="304">
        <v>142115320</v>
      </c>
      <c r="AD779" s="304">
        <v>31.22</v>
      </c>
      <c r="AE779" s="304"/>
      <c r="AF779" s="304"/>
      <c r="AG779" s="296"/>
      <c r="AH779" s="296"/>
      <c r="AI779" s="297"/>
      <c r="AJ779" s="298">
        <v>43714</v>
      </c>
      <c r="AK779" s="297" t="s">
        <v>2997</v>
      </c>
      <c r="AL779" s="297" t="s">
        <v>2998</v>
      </c>
      <c r="AM779" s="296" t="s">
        <v>49</v>
      </c>
      <c r="AN779" s="296" t="s">
        <v>284</v>
      </c>
      <c r="AO779" s="296" t="s">
        <v>50</v>
      </c>
      <c r="AP779" s="296" t="s">
        <v>51</v>
      </c>
      <c r="AQ779" s="296" t="s">
        <v>1118</v>
      </c>
    </row>
    <row r="780" spans="1:43" ht="15.75" customHeight="1">
      <c r="A780" s="534">
        <v>43713</v>
      </c>
      <c r="B780" s="70" t="s">
        <v>100</v>
      </c>
      <c r="C780" s="21" t="s">
        <v>1577</v>
      </c>
      <c r="D780" s="21" t="s">
        <v>1578</v>
      </c>
      <c r="E780" s="23" t="s">
        <v>1579</v>
      </c>
      <c r="F780" s="24">
        <v>3</v>
      </c>
      <c r="G780" s="48">
        <v>165</v>
      </c>
      <c r="H780" s="60">
        <f t="shared" si="78"/>
        <v>495</v>
      </c>
      <c r="I780" s="61" t="s">
        <v>104</v>
      </c>
      <c r="J780" s="63" t="s">
        <v>532</v>
      </c>
      <c r="K780" s="29">
        <v>43718</v>
      </c>
      <c r="L780" s="29"/>
      <c r="M780" s="30">
        <v>43717</v>
      </c>
      <c r="N780" s="50" t="s">
        <v>2999</v>
      </c>
      <c r="O780" s="93" t="s">
        <v>3000</v>
      </c>
      <c r="P780" s="406"/>
      <c r="Q780" s="406">
        <f t="shared" si="79"/>
        <v>0</v>
      </c>
      <c r="R780" s="406"/>
      <c r="S780" s="406"/>
      <c r="T780" s="406">
        <v>4350</v>
      </c>
      <c r="U780" s="406">
        <v>13703</v>
      </c>
      <c r="V780" s="705" t="s">
        <v>3001</v>
      </c>
      <c r="W780" s="303">
        <v>43769</v>
      </c>
      <c r="X780" s="460">
        <v>43714</v>
      </c>
      <c r="Y780" s="535" t="s">
        <v>1580</v>
      </c>
      <c r="Z780" s="304">
        <v>13703</v>
      </c>
      <c r="AA780" s="304"/>
      <c r="AB780" s="304" t="s">
        <v>3002</v>
      </c>
      <c r="AC780" s="304">
        <v>1019804295</v>
      </c>
      <c r="AD780" s="304">
        <v>31.324999999999999</v>
      </c>
      <c r="AE780" s="304"/>
      <c r="AF780" s="304"/>
      <c r="AG780" s="296"/>
      <c r="AH780" s="296"/>
      <c r="AI780" s="297"/>
      <c r="AJ780" s="29">
        <v>43760</v>
      </c>
      <c r="AK780" s="297" t="s">
        <v>2983</v>
      </c>
      <c r="AL780" s="297" t="s">
        <v>2984</v>
      </c>
      <c r="AM780" s="296" t="s">
        <v>49</v>
      </c>
      <c r="AN780" s="296" t="s">
        <v>284</v>
      </c>
      <c r="AO780" s="296" t="s">
        <v>50</v>
      </c>
      <c r="AP780" s="296" t="s">
        <v>51</v>
      </c>
      <c r="AQ780" s="296" t="s">
        <v>1118</v>
      </c>
    </row>
    <row r="781" spans="1:43" ht="15.75" customHeight="1">
      <c r="A781" s="534">
        <v>43713</v>
      </c>
      <c r="B781" s="70" t="s">
        <v>100</v>
      </c>
      <c r="C781" s="21" t="s">
        <v>1581</v>
      </c>
      <c r="D781" s="475" t="s">
        <v>1582</v>
      </c>
      <c r="E781" s="23" t="s">
        <v>1583</v>
      </c>
      <c r="F781" s="24">
        <v>10</v>
      </c>
      <c r="G781" s="74">
        <v>610</v>
      </c>
      <c r="H781" s="60">
        <f t="shared" ref="H781:H783" si="80">F781*G781</f>
        <v>6100</v>
      </c>
      <c r="I781" s="61" t="s">
        <v>104</v>
      </c>
      <c r="J781" s="63" t="s">
        <v>1014</v>
      </c>
      <c r="K781" s="29">
        <v>43734</v>
      </c>
      <c r="L781" s="29"/>
      <c r="M781" s="30">
        <v>43732</v>
      </c>
      <c r="N781" s="58" t="s">
        <v>1414</v>
      </c>
      <c r="O781" s="93" t="s">
        <v>3003</v>
      </c>
      <c r="P781" s="406">
        <v>565</v>
      </c>
      <c r="Q781" s="406">
        <f t="shared" si="79"/>
        <v>5932.5</v>
      </c>
      <c r="R781" s="406"/>
      <c r="S781" s="406"/>
      <c r="T781" s="406"/>
      <c r="U781" s="406">
        <v>185510</v>
      </c>
      <c r="V781" s="501" t="s">
        <v>1947</v>
      </c>
      <c r="W781" s="303">
        <v>43769</v>
      </c>
      <c r="X781" s="460">
        <v>43731</v>
      </c>
      <c r="Y781" s="304" t="s">
        <v>1584</v>
      </c>
      <c r="Z781" s="304">
        <v>249535</v>
      </c>
      <c r="AA781" s="304"/>
      <c r="AB781" s="304" t="s">
        <v>2992</v>
      </c>
      <c r="AC781" s="304">
        <v>4511020776</v>
      </c>
      <c r="AD781" s="304">
        <v>30.984999999999999</v>
      </c>
      <c r="AE781" s="304"/>
      <c r="AF781" s="304"/>
      <c r="AG781" s="296"/>
      <c r="AH781" s="296"/>
      <c r="AI781" s="297"/>
      <c r="AJ781" s="29">
        <v>43789</v>
      </c>
      <c r="AK781" s="297" t="s">
        <v>2988</v>
      </c>
      <c r="AL781" s="297" t="s">
        <v>2989</v>
      </c>
      <c r="AM781" s="296" t="s">
        <v>49</v>
      </c>
      <c r="AN781" s="296" t="s">
        <v>284</v>
      </c>
      <c r="AO781" s="296" t="s">
        <v>50</v>
      </c>
      <c r="AP781" s="296" t="s">
        <v>51</v>
      </c>
      <c r="AQ781" s="296" t="s">
        <v>1118</v>
      </c>
    </row>
    <row r="782" spans="1:43" ht="15.75" customHeight="1">
      <c r="A782" s="534">
        <v>43713</v>
      </c>
      <c r="B782" s="70" t="s">
        <v>100</v>
      </c>
      <c r="C782" s="21" t="s">
        <v>1581</v>
      </c>
      <c r="D782" s="475" t="s">
        <v>1582</v>
      </c>
      <c r="E782" s="23" t="s">
        <v>1585</v>
      </c>
      <c r="F782" s="24">
        <v>10</v>
      </c>
      <c r="G782" s="74">
        <v>219</v>
      </c>
      <c r="H782" s="60">
        <f t="shared" si="80"/>
        <v>2190</v>
      </c>
      <c r="I782" s="61" t="s">
        <v>104</v>
      </c>
      <c r="J782" s="63" t="s">
        <v>1014</v>
      </c>
      <c r="K782" s="29">
        <v>43734</v>
      </c>
      <c r="L782" s="29"/>
      <c r="M782" s="30">
        <v>43732</v>
      </c>
      <c r="N782" s="58" t="s">
        <v>1414</v>
      </c>
      <c r="O782" s="93" t="s">
        <v>3003</v>
      </c>
      <c r="P782" s="406">
        <v>195</v>
      </c>
      <c r="Q782" s="406">
        <f t="shared" si="79"/>
        <v>2047.5</v>
      </c>
      <c r="R782" s="406"/>
      <c r="S782" s="406"/>
      <c r="T782" s="406"/>
      <c r="U782" s="406">
        <v>64025</v>
      </c>
      <c r="V782" s="501" t="s">
        <v>1947</v>
      </c>
      <c r="W782" s="303">
        <v>43769</v>
      </c>
      <c r="X782" s="460">
        <v>43731</v>
      </c>
      <c r="Y782" s="304" t="s">
        <v>1584</v>
      </c>
      <c r="Z782" s="304" t="s">
        <v>3004</v>
      </c>
      <c r="AA782" s="304"/>
      <c r="AB782" s="304" t="s">
        <v>2992</v>
      </c>
      <c r="AC782" s="304">
        <v>4511020776</v>
      </c>
      <c r="AD782" s="304">
        <v>30.984999999999999</v>
      </c>
      <c r="AE782" s="304"/>
      <c r="AF782" s="304"/>
      <c r="AG782" s="296"/>
      <c r="AH782" s="296"/>
      <c r="AI782" s="297"/>
      <c r="AJ782" s="29">
        <v>43789</v>
      </c>
      <c r="AK782" s="297" t="s">
        <v>2988</v>
      </c>
      <c r="AL782" s="297" t="s">
        <v>2989</v>
      </c>
      <c r="AM782" s="296" t="s">
        <v>49</v>
      </c>
      <c r="AN782" s="296" t="s">
        <v>284</v>
      </c>
      <c r="AO782" s="296" t="s">
        <v>50</v>
      </c>
      <c r="AP782" s="296" t="s">
        <v>51</v>
      </c>
      <c r="AQ782" s="296" t="s">
        <v>1118</v>
      </c>
    </row>
    <row r="783" spans="1:43" ht="15.75" customHeight="1">
      <c r="A783" s="534">
        <v>43713</v>
      </c>
      <c r="B783" s="70" t="s">
        <v>100</v>
      </c>
      <c r="C783" s="21" t="s">
        <v>1581</v>
      </c>
      <c r="D783" s="475" t="s">
        <v>1582</v>
      </c>
      <c r="E783" s="23" t="s">
        <v>1586</v>
      </c>
      <c r="F783" s="24">
        <v>10</v>
      </c>
      <c r="G783" s="74">
        <v>54</v>
      </c>
      <c r="H783" s="60">
        <f t="shared" si="80"/>
        <v>540</v>
      </c>
      <c r="I783" s="61" t="s">
        <v>104</v>
      </c>
      <c r="J783" s="63" t="s">
        <v>1014</v>
      </c>
      <c r="K783" s="29">
        <v>43734</v>
      </c>
      <c r="L783" s="29"/>
      <c r="M783" s="29">
        <v>43717</v>
      </c>
      <c r="N783" s="50" t="s">
        <v>1952</v>
      </c>
      <c r="O783" s="93" t="s">
        <v>3005</v>
      </c>
      <c r="P783" s="406"/>
      <c r="Q783" s="406">
        <f t="shared" si="79"/>
        <v>0</v>
      </c>
      <c r="R783" s="406"/>
      <c r="S783" s="406"/>
      <c r="T783" s="620"/>
      <c r="U783" s="706">
        <v>12401</v>
      </c>
      <c r="V783" s="51" t="s">
        <v>1954</v>
      </c>
      <c r="W783" s="460">
        <v>43774</v>
      </c>
      <c r="X783" s="460">
        <v>43740</v>
      </c>
      <c r="Y783" s="304" t="s">
        <v>1587</v>
      </c>
      <c r="Z783" s="304">
        <v>12369</v>
      </c>
      <c r="AA783" s="304"/>
      <c r="AB783" s="304" t="s">
        <v>2992</v>
      </c>
      <c r="AC783" s="304">
        <v>4511020776</v>
      </c>
      <c r="AD783" s="304">
        <v>30.984999999999999</v>
      </c>
      <c r="AE783" s="304"/>
      <c r="AF783" s="304"/>
      <c r="AG783" s="296"/>
      <c r="AH783" s="296"/>
      <c r="AI783" s="297"/>
      <c r="AJ783" s="29">
        <v>43789</v>
      </c>
      <c r="AK783" s="297" t="s">
        <v>2988</v>
      </c>
      <c r="AL783" s="297" t="s">
        <v>2989</v>
      </c>
      <c r="AM783" s="296" t="s">
        <v>49</v>
      </c>
      <c r="AN783" s="296" t="s">
        <v>284</v>
      </c>
      <c r="AO783" s="296" t="s">
        <v>50</v>
      </c>
      <c r="AP783" s="296" t="s">
        <v>51</v>
      </c>
      <c r="AQ783" s="296" t="s">
        <v>1118</v>
      </c>
    </row>
    <row r="784" spans="1:43" ht="15.75" customHeight="1">
      <c r="A784" s="110">
        <v>43714</v>
      </c>
      <c r="B784" s="70" t="s">
        <v>222</v>
      </c>
      <c r="C784" s="21" t="s">
        <v>1588</v>
      </c>
      <c r="D784" s="21" t="s">
        <v>1589</v>
      </c>
      <c r="E784" s="23" t="s">
        <v>1590</v>
      </c>
      <c r="F784" s="24">
        <v>2</v>
      </c>
      <c r="G784" s="48">
        <f>451*1.05</f>
        <v>473.55</v>
      </c>
      <c r="H784" s="60">
        <f t="shared" ref="H784:H792" si="81">G784*F784</f>
        <v>947.1</v>
      </c>
      <c r="I784" s="61" t="s">
        <v>247</v>
      </c>
      <c r="J784" s="63" t="s">
        <v>89</v>
      </c>
      <c r="K784" s="29">
        <v>43725</v>
      </c>
      <c r="L784" s="29"/>
      <c r="M784" s="30">
        <v>43725</v>
      </c>
      <c r="N784" s="50" t="s">
        <v>89</v>
      </c>
      <c r="O784" s="93" t="s">
        <v>3006</v>
      </c>
      <c r="P784" s="406">
        <v>410</v>
      </c>
      <c r="Q784" s="406">
        <f t="shared" si="79"/>
        <v>861</v>
      </c>
      <c r="R784" s="406"/>
      <c r="S784" s="406"/>
      <c r="T784" s="406"/>
      <c r="U784" s="406">
        <v>26880</v>
      </c>
      <c r="V784" s="51" t="s">
        <v>93</v>
      </c>
      <c r="W784" s="460">
        <v>43769</v>
      </c>
      <c r="X784" s="460">
        <v>43724</v>
      </c>
      <c r="Y784" s="304" t="s">
        <v>1591</v>
      </c>
      <c r="Z784" s="304">
        <v>26880</v>
      </c>
      <c r="AA784" s="304"/>
      <c r="AB784" s="304" t="s">
        <v>3007</v>
      </c>
      <c r="AC784" s="304" t="s">
        <v>3008</v>
      </c>
      <c r="AD784" s="304">
        <v>30.975000000000001</v>
      </c>
      <c r="AE784" s="304">
        <v>29336</v>
      </c>
      <c r="AF784" s="460">
        <v>43726</v>
      </c>
      <c r="AG784" s="296"/>
      <c r="AH784" s="296"/>
      <c r="AI784" s="297"/>
      <c r="AJ784" s="298">
        <v>43743</v>
      </c>
      <c r="AK784" s="297" t="s">
        <v>2953</v>
      </c>
      <c r="AL784" s="297" t="s">
        <v>2954</v>
      </c>
      <c r="AM784" s="296" t="s">
        <v>49</v>
      </c>
      <c r="AN784" s="296" t="s">
        <v>284</v>
      </c>
      <c r="AO784" s="296" t="s">
        <v>50</v>
      </c>
      <c r="AP784" s="296" t="s">
        <v>376</v>
      </c>
      <c r="AQ784" s="296" t="s">
        <v>1118</v>
      </c>
    </row>
    <row r="785" spans="1:43" ht="15.75" customHeight="1">
      <c r="A785" s="110">
        <v>43714</v>
      </c>
      <c r="B785" s="70" t="s">
        <v>713</v>
      </c>
      <c r="C785" s="21" t="s">
        <v>1592</v>
      </c>
      <c r="D785" s="21" t="s">
        <v>1593</v>
      </c>
      <c r="E785" s="23" t="s">
        <v>728</v>
      </c>
      <c r="F785" s="24">
        <v>14</v>
      </c>
      <c r="G785" s="48">
        <v>320</v>
      </c>
      <c r="H785" s="60">
        <f t="shared" si="81"/>
        <v>4480</v>
      </c>
      <c r="I785" s="346" t="s">
        <v>247</v>
      </c>
      <c r="J785" s="22" t="s">
        <v>716</v>
      </c>
      <c r="K785" s="145">
        <v>43735</v>
      </c>
      <c r="L785" s="145"/>
      <c r="M785" s="30">
        <v>43734</v>
      </c>
      <c r="N785" s="58" t="s">
        <v>89</v>
      </c>
      <c r="O785" s="93" t="s">
        <v>3009</v>
      </c>
      <c r="P785" s="22">
        <v>257</v>
      </c>
      <c r="Q785" s="406">
        <f t="shared" si="79"/>
        <v>3777.9</v>
      </c>
      <c r="R785" s="406"/>
      <c r="S785" s="406"/>
      <c r="T785" s="406"/>
      <c r="U785" s="406">
        <v>117058</v>
      </c>
      <c r="V785" s="51" t="s">
        <v>93</v>
      </c>
      <c r="W785" s="303">
        <v>43769</v>
      </c>
      <c r="X785" s="460">
        <v>43733</v>
      </c>
      <c r="Y785" s="304" t="s">
        <v>1594</v>
      </c>
      <c r="Z785" s="304">
        <v>152293</v>
      </c>
      <c r="AA785" s="304"/>
      <c r="AB785" s="304" t="s">
        <v>3010</v>
      </c>
      <c r="AC785" s="304" t="s">
        <v>3011</v>
      </c>
      <c r="AD785" s="304">
        <v>30.984999999999999</v>
      </c>
      <c r="AE785" s="304"/>
      <c r="AF785" s="304"/>
      <c r="AG785" s="296"/>
      <c r="AH785" s="296"/>
      <c r="AI785" s="297"/>
      <c r="AJ785" s="298">
        <v>43732</v>
      </c>
      <c r="AK785" s="297">
        <f>5695.54*30.96</f>
        <v>176333.9184</v>
      </c>
      <c r="AL785" s="297">
        <f>(5713-5695.54)*30.96</f>
        <v>540.56160000000114</v>
      </c>
      <c r="AM785" s="296" t="s">
        <v>49</v>
      </c>
      <c r="AN785" s="296" t="s">
        <v>284</v>
      </c>
      <c r="AO785" s="296" t="s">
        <v>50</v>
      </c>
      <c r="AP785" s="296" t="s">
        <v>51</v>
      </c>
      <c r="AQ785" s="296" t="s">
        <v>1118</v>
      </c>
    </row>
    <row r="786" spans="1:43" ht="15.75" customHeight="1">
      <c r="A786" s="110">
        <v>43714</v>
      </c>
      <c r="B786" s="70" t="s">
        <v>713</v>
      </c>
      <c r="C786" s="21" t="s">
        <v>1592</v>
      </c>
      <c r="D786" s="21" t="s">
        <v>1593</v>
      </c>
      <c r="E786" s="23" t="s">
        <v>715</v>
      </c>
      <c r="F786" s="24">
        <v>3</v>
      </c>
      <c r="G786" s="48">
        <v>94</v>
      </c>
      <c r="H786" s="60">
        <f t="shared" si="81"/>
        <v>282</v>
      </c>
      <c r="I786" s="346" t="s">
        <v>247</v>
      </c>
      <c r="J786" s="536" t="s">
        <v>716</v>
      </c>
      <c r="K786" s="145">
        <v>43735</v>
      </c>
      <c r="L786" s="145"/>
      <c r="M786" s="30">
        <v>43734</v>
      </c>
      <c r="N786" s="58" t="s">
        <v>89</v>
      </c>
      <c r="O786" s="93" t="s">
        <v>3009</v>
      </c>
      <c r="P786" s="22">
        <v>84</v>
      </c>
      <c r="Q786" s="406">
        <f t="shared" si="79"/>
        <v>264.60000000000002</v>
      </c>
      <c r="R786" s="406"/>
      <c r="S786" s="406"/>
      <c r="T786" s="406"/>
      <c r="U786" s="406">
        <v>8199</v>
      </c>
      <c r="V786" s="51" t="s">
        <v>93</v>
      </c>
      <c r="W786" s="303">
        <v>43769</v>
      </c>
      <c r="X786" s="460">
        <v>43733</v>
      </c>
      <c r="Y786" s="304" t="s">
        <v>1594</v>
      </c>
      <c r="Z786" s="304" t="s">
        <v>3012</v>
      </c>
      <c r="AA786" s="304"/>
      <c r="AB786" s="304" t="s">
        <v>3010</v>
      </c>
      <c r="AC786" s="304" t="s">
        <v>3011</v>
      </c>
      <c r="AD786" s="304">
        <v>30.984999999999999</v>
      </c>
      <c r="AE786" s="304"/>
      <c r="AF786" s="304"/>
      <c r="AG786" s="296"/>
      <c r="AH786" s="296"/>
      <c r="AI786" s="297"/>
      <c r="AJ786" s="298">
        <v>43732</v>
      </c>
      <c r="AK786" s="297" t="s">
        <v>3013</v>
      </c>
      <c r="AL786" s="297" t="s">
        <v>3014</v>
      </c>
      <c r="AM786" s="296" t="s">
        <v>49</v>
      </c>
      <c r="AN786" s="296" t="s">
        <v>284</v>
      </c>
      <c r="AO786" s="296" t="s">
        <v>50</v>
      </c>
      <c r="AP786" s="296" t="s">
        <v>51</v>
      </c>
      <c r="AQ786" s="296" t="s">
        <v>1118</v>
      </c>
    </row>
    <row r="787" spans="1:43" ht="15.75" customHeight="1">
      <c r="A787" s="110">
        <v>43714</v>
      </c>
      <c r="B787" s="70" t="s">
        <v>713</v>
      </c>
      <c r="C787" s="21" t="s">
        <v>1592</v>
      </c>
      <c r="D787" s="21" t="s">
        <v>1593</v>
      </c>
      <c r="E787" s="23" t="s">
        <v>1595</v>
      </c>
      <c r="F787" s="24">
        <v>3</v>
      </c>
      <c r="G787" s="48">
        <v>317</v>
      </c>
      <c r="H787" s="60">
        <f t="shared" si="81"/>
        <v>951</v>
      </c>
      <c r="I787" s="346" t="s">
        <v>247</v>
      </c>
      <c r="J787" s="58" t="s">
        <v>716</v>
      </c>
      <c r="K787" s="145">
        <v>43735</v>
      </c>
      <c r="L787" s="145"/>
      <c r="M787" s="30">
        <v>43734</v>
      </c>
      <c r="N787" s="58" t="s">
        <v>89</v>
      </c>
      <c r="O787" s="93" t="s">
        <v>3009</v>
      </c>
      <c r="P787" s="22">
        <v>277</v>
      </c>
      <c r="Q787" s="406">
        <f t="shared" si="79"/>
        <v>872.55000000000007</v>
      </c>
      <c r="R787" s="406"/>
      <c r="S787" s="406"/>
      <c r="T787" s="406"/>
      <c r="U787" s="406">
        <v>27036</v>
      </c>
      <c r="V787" s="51" t="s">
        <v>93</v>
      </c>
      <c r="W787" s="303">
        <v>43769</v>
      </c>
      <c r="X787" s="460">
        <v>43733</v>
      </c>
      <c r="Y787" s="304" t="s">
        <v>1594</v>
      </c>
      <c r="Z787" s="304" t="s">
        <v>3012</v>
      </c>
      <c r="AA787" s="304"/>
      <c r="AB787" s="304" t="s">
        <v>3010</v>
      </c>
      <c r="AC787" s="304" t="s">
        <v>3011</v>
      </c>
      <c r="AD787" s="304">
        <v>30.984999999999999</v>
      </c>
      <c r="AE787" s="304"/>
      <c r="AF787" s="304"/>
      <c r="AG787" s="296"/>
      <c r="AH787" s="296"/>
      <c r="AI787" s="297"/>
      <c r="AJ787" s="298">
        <v>43732</v>
      </c>
      <c r="AK787" s="297" t="s">
        <v>3013</v>
      </c>
      <c r="AL787" s="297" t="s">
        <v>3014</v>
      </c>
      <c r="AM787" s="296" t="s">
        <v>49</v>
      </c>
      <c r="AN787" s="296" t="s">
        <v>284</v>
      </c>
      <c r="AO787" s="296" t="s">
        <v>50</v>
      </c>
      <c r="AP787" s="296" t="s">
        <v>51</v>
      </c>
      <c r="AQ787" s="296" t="s">
        <v>1118</v>
      </c>
    </row>
    <row r="788" spans="1:43" ht="15.75" customHeight="1">
      <c r="A788" s="110">
        <v>43717</v>
      </c>
      <c r="B788" s="70" t="s">
        <v>129</v>
      </c>
      <c r="C788" s="21"/>
      <c r="D788" s="21" t="s">
        <v>1596</v>
      </c>
      <c r="E788" s="23" t="s">
        <v>1597</v>
      </c>
      <c r="F788" s="24">
        <v>15</v>
      </c>
      <c r="G788" s="48">
        <v>66</v>
      </c>
      <c r="H788" s="60">
        <f t="shared" si="81"/>
        <v>990</v>
      </c>
      <c r="I788" s="61" t="s">
        <v>247</v>
      </c>
      <c r="J788" s="50" t="s">
        <v>133</v>
      </c>
      <c r="K788" s="30">
        <v>43741</v>
      </c>
      <c r="L788" s="30"/>
      <c r="M788" s="30">
        <v>43734</v>
      </c>
      <c r="N788" s="50" t="s">
        <v>89</v>
      </c>
      <c r="O788" s="93" t="s">
        <v>3015</v>
      </c>
      <c r="P788" s="406">
        <v>60</v>
      </c>
      <c r="Q788" s="406">
        <f t="shared" si="79"/>
        <v>945</v>
      </c>
      <c r="R788" s="406"/>
      <c r="S788" s="406"/>
      <c r="T788" s="406"/>
      <c r="U788" s="406">
        <v>29281</v>
      </c>
      <c r="V788" s="51" t="s">
        <v>93</v>
      </c>
      <c r="W788" s="303">
        <v>43769</v>
      </c>
      <c r="X788" s="460">
        <v>43733</v>
      </c>
      <c r="Y788" s="304" t="s">
        <v>1032</v>
      </c>
      <c r="Z788" s="304" t="s">
        <v>3016</v>
      </c>
      <c r="AA788" s="304"/>
      <c r="AB788" s="304" t="s">
        <v>2541</v>
      </c>
      <c r="AC788" s="304">
        <v>4652050782</v>
      </c>
      <c r="AD788" s="304">
        <v>30.97</v>
      </c>
      <c r="AE788" s="304"/>
      <c r="AF788" s="304"/>
      <c r="AG788" s="296"/>
      <c r="AH788" s="296"/>
      <c r="AI788" s="297"/>
      <c r="AJ788" s="29">
        <v>43756</v>
      </c>
      <c r="AK788" s="297" t="s">
        <v>2530</v>
      </c>
      <c r="AL788" s="297" t="s">
        <v>3017</v>
      </c>
      <c r="AM788" s="296" t="s">
        <v>49</v>
      </c>
      <c r="AN788" s="296" t="s">
        <v>284</v>
      </c>
      <c r="AO788" s="296" t="s">
        <v>50</v>
      </c>
      <c r="AP788" s="296" t="s">
        <v>51</v>
      </c>
      <c r="AQ788" s="296" t="s">
        <v>755</v>
      </c>
    </row>
    <row r="789" spans="1:43" ht="15.75" customHeight="1">
      <c r="A789" s="110">
        <v>43717</v>
      </c>
      <c r="B789" s="70" t="s">
        <v>129</v>
      </c>
      <c r="C789" s="21"/>
      <c r="D789" s="21" t="s">
        <v>1596</v>
      </c>
      <c r="E789" s="23" t="s">
        <v>1598</v>
      </c>
      <c r="F789" s="24">
        <v>10</v>
      </c>
      <c r="G789" s="48">
        <v>85</v>
      </c>
      <c r="H789" s="60">
        <f t="shared" si="81"/>
        <v>850</v>
      </c>
      <c r="I789" s="61" t="s">
        <v>247</v>
      </c>
      <c r="J789" s="50" t="s">
        <v>133</v>
      </c>
      <c r="K789" s="30">
        <v>43741</v>
      </c>
      <c r="L789" s="30"/>
      <c r="M789" s="30">
        <v>43734</v>
      </c>
      <c r="N789" s="50" t="s">
        <v>89</v>
      </c>
      <c r="O789" s="93" t="s">
        <v>3015</v>
      </c>
      <c r="P789" s="406">
        <v>74</v>
      </c>
      <c r="Q789" s="406">
        <f t="shared" si="79"/>
        <v>777</v>
      </c>
      <c r="R789" s="406"/>
      <c r="S789" s="406"/>
      <c r="T789" s="406"/>
      <c r="U789" s="406">
        <v>24075</v>
      </c>
      <c r="V789" s="51" t="s">
        <v>93</v>
      </c>
      <c r="W789" s="303">
        <v>43769</v>
      </c>
      <c r="X789" s="460">
        <v>43733</v>
      </c>
      <c r="Y789" s="304" t="s">
        <v>1032</v>
      </c>
      <c r="Z789" s="304" t="s">
        <v>3016</v>
      </c>
      <c r="AA789" s="304"/>
      <c r="AB789" s="304" t="s">
        <v>2541</v>
      </c>
      <c r="AC789" s="304">
        <v>4652050782</v>
      </c>
      <c r="AD789" s="304">
        <v>30.97</v>
      </c>
      <c r="AE789" s="304"/>
      <c r="AF789" s="304"/>
      <c r="AG789" s="296"/>
      <c r="AH789" s="296"/>
      <c r="AI789" s="297"/>
      <c r="AJ789" s="29">
        <v>43756</v>
      </c>
      <c r="AK789" s="297" t="s">
        <v>2530</v>
      </c>
      <c r="AL789" s="297" t="s">
        <v>3017</v>
      </c>
      <c r="AM789" s="296" t="s">
        <v>49</v>
      </c>
      <c r="AN789" s="296" t="s">
        <v>284</v>
      </c>
      <c r="AO789" s="296" t="s">
        <v>50</v>
      </c>
      <c r="AP789" s="296" t="s">
        <v>51</v>
      </c>
      <c r="AQ789" s="296" t="s">
        <v>755</v>
      </c>
    </row>
    <row r="790" spans="1:43" ht="15.75" customHeight="1">
      <c r="A790" s="110">
        <v>43717</v>
      </c>
      <c r="B790" s="70" t="s">
        <v>129</v>
      </c>
      <c r="C790" s="21"/>
      <c r="D790" s="21" t="s">
        <v>1596</v>
      </c>
      <c r="E790" s="23" t="s">
        <v>1599</v>
      </c>
      <c r="F790" s="24">
        <v>20</v>
      </c>
      <c r="G790" s="48">
        <v>90</v>
      </c>
      <c r="H790" s="60">
        <f t="shared" si="81"/>
        <v>1800</v>
      </c>
      <c r="I790" s="61" t="s">
        <v>247</v>
      </c>
      <c r="J790" s="50" t="s">
        <v>133</v>
      </c>
      <c r="K790" s="30">
        <v>43741</v>
      </c>
      <c r="L790" s="30"/>
      <c r="M790" s="30">
        <v>43734</v>
      </c>
      <c r="N790" s="50" t="s">
        <v>89</v>
      </c>
      <c r="O790" s="93" t="s">
        <v>3015</v>
      </c>
      <c r="P790" s="406">
        <v>77</v>
      </c>
      <c r="Q790" s="406">
        <f t="shared" si="79"/>
        <v>1617</v>
      </c>
      <c r="R790" s="406"/>
      <c r="S790" s="406"/>
      <c r="T790" s="406"/>
      <c r="U790" s="406">
        <v>50103</v>
      </c>
      <c r="V790" s="51" t="s">
        <v>93</v>
      </c>
      <c r="W790" s="303">
        <v>43769</v>
      </c>
      <c r="X790" s="460">
        <v>43733</v>
      </c>
      <c r="Y790" s="304" t="s">
        <v>1032</v>
      </c>
      <c r="Z790" s="304" t="s">
        <v>3016</v>
      </c>
      <c r="AA790" s="304"/>
      <c r="AB790" s="304" t="s">
        <v>2541</v>
      </c>
      <c r="AC790" s="304">
        <v>4652050782</v>
      </c>
      <c r="AD790" s="304">
        <v>30.97</v>
      </c>
      <c r="AE790" s="304"/>
      <c r="AF790" s="304"/>
      <c r="AG790" s="296"/>
      <c r="AH790" s="296"/>
      <c r="AI790" s="297"/>
      <c r="AJ790" s="29">
        <v>43756</v>
      </c>
      <c r="AK790" s="297" t="s">
        <v>2530</v>
      </c>
      <c r="AL790" s="297" t="s">
        <v>3017</v>
      </c>
      <c r="AM790" s="296" t="s">
        <v>49</v>
      </c>
      <c r="AN790" s="296" t="s">
        <v>284</v>
      </c>
      <c r="AO790" s="296" t="s">
        <v>50</v>
      </c>
      <c r="AP790" s="296" t="s">
        <v>51</v>
      </c>
      <c r="AQ790" s="296" t="s">
        <v>755</v>
      </c>
    </row>
    <row r="791" spans="1:43" ht="15.75" customHeight="1">
      <c r="A791" s="110">
        <v>43717</v>
      </c>
      <c r="B791" s="70" t="s">
        <v>129</v>
      </c>
      <c r="C791" s="21"/>
      <c r="D791" s="21" t="s">
        <v>1596</v>
      </c>
      <c r="E791" s="23" t="s">
        <v>1600</v>
      </c>
      <c r="F791" s="24">
        <v>5</v>
      </c>
      <c r="G791" s="48">
        <v>50</v>
      </c>
      <c r="H791" s="60">
        <f t="shared" si="81"/>
        <v>250</v>
      </c>
      <c r="I791" s="61" t="s">
        <v>247</v>
      </c>
      <c r="J791" s="50" t="s">
        <v>133</v>
      </c>
      <c r="K791" s="30">
        <v>43741</v>
      </c>
      <c r="L791" s="30"/>
      <c r="M791" s="30">
        <v>43734</v>
      </c>
      <c r="N791" s="50" t="s">
        <v>89</v>
      </c>
      <c r="O791" s="93" t="s">
        <v>3015</v>
      </c>
      <c r="P791" s="406">
        <v>43</v>
      </c>
      <c r="Q791" s="406">
        <f t="shared" si="79"/>
        <v>225.75</v>
      </c>
      <c r="R791" s="406"/>
      <c r="S791" s="406"/>
      <c r="T791" s="406"/>
      <c r="U791" s="229">
        <v>6995</v>
      </c>
      <c r="V791" s="51" t="s">
        <v>93</v>
      </c>
      <c r="W791" s="303">
        <v>43769</v>
      </c>
      <c r="X791" s="460">
        <v>43733</v>
      </c>
      <c r="Y791" s="304" t="s">
        <v>1032</v>
      </c>
      <c r="Z791" s="304" t="s">
        <v>3016</v>
      </c>
      <c r="AA791" s="304"/>
      <c r="AB791" s="304" t="s">
        <v>2541</v>
      </c>
      <c r="AC791" s="304">
        <v>4652050782</v>
      </c>
      <c r="AD791" s="304">
        <v>30.97</v>
      </c>
      <c r="AE791" s="304"/>
      <c r="AF791" s="304"/>
      <c r="AG791" s="296"/>
      <c r="AH791" s="296"/>
      <c r="AI791" s="297"/>
      <c r="AJ791" s="29">
        <v>43756</v>
      </c>
      <c r="AK791" s="297" t="s">
        <v>2530</v>
      </c>
      <c r="AL791" s="297" t="s">
        <v>3017</v>
      </c>
      <c r="AM791" s="296" t="s">
        <v>49</v>
      </c>
      <c r="AN791" s="296" t="s">
        <v>284</v>
      </c>
      <c r="AO791" s="296" t="s">
        <v>50</v>
      </c>
      <c r="AP791" s="296" t="s">
        <v>51</v>
      </c>
      <c r="AQ791" s="296" t="s">
        <v>755</v>
      </c>
    </row>
    <row r="792" spans="1:43" ht="15.75" customHeight="1">
      <c r="A792" s="110">
        <v>43717</v>
      </c>
      <c r="B792" s="70" t="s">
        <v>129</v>
      </c>
      <c r="C792" s="21"/>
      <c r="D792" s="21" t="s">
        <v>1596</v>
      </c>
      <c r="E792" s="23" t="s">
        <v>1601</v>
      </c>
      <c r="F792" s="24">
        <v>10</v>
      </c>
      <c r="G792" s="48">
        <v>58</v>
      </c>
      <c r="H792" s="60">
        <f t="shared" si="81"/>
        <v>580</v>
      </c>
      <c r="I792" s="61" t="s">
        <v>247</v>
      </c>
      <c r="J792" s="50" t="s">
        <v>133</v>
      </c>
      <c r="K792" s="30">
        <v>43741</v>
      </c>
      <c r="L792" s="30"/>
      <c r="M792" s="30">
        <v>43734</v>
      </c>
      <c r="N792" s="50" t="s">
        <v>89</v>
      </c>
      <c r="O792" s="93" t="s">
        <v>3015</v>
      </c>
      <c r="P792" s="406">
        <v>44</v>
      </c>
      <c r="Q792" s="406">
        <f t="shared" si="79"/>
        <v>462</v>
      </c>
      <c r="R792" s="406"/>
      <c r="S792" s="406"/>
      <c r="T792" s="406"/>
      <c r="U792" s="406">
        <v>14315</v>
      </c>
      <c r="V792" s="51" t="s">
        <v>93</v>
      </c>
      <c r="W792" s="303">
        <v>43769</v>
      </c>
      <c r="X792" s="460">
        <v>43733</v>
      </c>
      <c r="Y792" s="304" t="s">
        <v>1032</v>
      </c>
      <c r="Z792" s="304" t="s">
        <v>3016</v>
      </c>
      <c r="AA792" s="304"/>
      <c r="AB792" s="304" t="s">
        <v>2541</v>
      </c>
      <c r="AC792" s="304">
        <v>4652050782</v>
      </c>
      <c r="AD792" s="304">
        <v>30.97</v>
      </c>
      <c r="AE792" s="304"/>
      <c r="AF792" s="304"/>
      <c r="AG792" s="296"/>
      <c r="AH792" s="296"/>
      <c r="AI792" s="297"/>
      <c r="AJ792" s="29">
        <v>43756</v>
      </c>
      <c r="AK792" s="297" t="s">
        <v>2530</v>
      </c>
      <c r="AL792" s="297" t="s">
        <v>3017</v>
      </c>
      <c r="AM792" s="296" t="s">
        <v>49</v>
      </c>
      <c r="AN792" s="296" t="s">
        <v>284</v>
      </c>
      <c r="AO792" s="296" t="s">
        <v>50</v>
      </c>
      <c r="AP792" s="296" t="s">
        <v>51</v>
      </c>
      <c r="AQ792" s="296" t="s">
        <v>755</v>
      </c>
    </row>
    <row r="793" spans="1:43" ht="15.75" customHeight="1">
      <c r="A793" s="110">
        <v>43718</v>
      </c>
      <c r="B793" s="144" t="s">
        <v>1602</v>
      </c>
      <c r="C793" s="21"/>
      <c r="D793" s="21" t="s">
        <v>1603</v>
      </c>
      <c r="E793" s="23" t="s">
        <v>1604</v>
      </c>
      <c r="F793" s="24">
        <v>1</v>
      </c>
      <c r="G793" s="48">
        <v>0</v>
      </c>
      <c r="H793" s="26">
        <f>F793*G793</f>
        <v>0</v>
      </c>
      <c r="I793" s="61" t="s">
        <v>104</v>
      </c>
      <c r="J793" s="63" t="s">
        <v>1605</v>
      </c>
      <c r="K793" s="29">
        <v>43718</v>
      </c>
      <c r="L793" s="29"/>
      <c r="M793" s="665"/>
      <c r="N793" s="619"/>
      <c r="O793" s="64"/>
      <c r="P793" s="34"/>
      <c r="Q793" s="34">
        <f t="shared" si="79"/>
        <v>0</v>
      </c>
      <c r="R793" s="34"/>
      <c r="S793" s="34"/>
      <c r="T793" s="535" t="s">
        <v>2762</v>
      </c>
      <c r="U793" s="693">
        <v>0</v>
      </c>
      <c r="V793" s="66"/>
      <c r="W793" s="52"/>
      <c r="X793" s="53"/>
      <c r="Y793" s="53"/>
      <c r="Z793" s="53"/>
      <c r="AA793" s="53"/>
      <c r="AB793" s="53"/>
      <c r="AC793" s="53"/>
      <c r="AD793" s="53"/>
      <c r="AE793" s="53"/>
      <c r="AF793" s="53"/>
      <c r="AG793" s="54"/>
      <c r="AH793" s="54"/>
      <c r="AI793" s="55"/>
      <c r="AJ793" s="68"/>
      <c r="AK793" s="55"/>
      <c r="AL793" s="55"/>
      <c r="AM793" s="296" t="s">
        <v>49</v>
      </c>
      <c r="AN793" s="54" t="s">
        <v>1606</v>
      </c>
      <c r="AO793" s="54" t="s">
        <v>285</v>
      </c>
      <c r="AP793" s="54" t="s">
        <v>51</v>
      </c>
      <c r="AQ793" s="54"/>
    </row>
    <row r="794" spans="1:43" ht="15.75" customHeight="1">
      <c r="A794" s="534">
        <v>43718</v>
      </c>
      <c r="B794" s="70" t="s">
        <v>100</v>
      </c>
      <c r="C794" s="21" t="s">
        <v>1577</v>
      </c>
      <c r="D794" s="21" t="s">
        <v>1607</v>
      </c>
      <c r="E794" s="23" t="s">
        <v>346</v>
      </c>
      <c r="F794" s="24">
        <v>1</v>
      </c>
      <c r="G794" s="74">
        <v>45</v>
      </c>
      <c r="H794" s="60">
        <f t="shared" ref="H794:H804" si="82">G794*F794</f>
        <v>45</v>
      </c>
      <c r="I794" s="61" t="s">
        <v>104</v>
      </c>
      <c r="J794" s="63" t="s">
        <v>532</v>
      </c>
      <c r="K794" s="29">
        <v>43718</v>
      </c>
      <c r="L794" s="29"/>
      <c r="M794" s="302"/>
      <c r="N794" s="58" t="s">
        <v>262</v>
      </c>
      <c r="O794" s="93"/>
      <c r="P794" s="406"/>
      <c r="Q794" s="406"/>
      <c r="R794" s="406"/>
      <c r="S794" s="406"/>
      <c r="T794" s="406"/>
      <c r="U794" s="406">
        <v>998</v>
      </c>
      <c r="V794" s="501"/>
      <c r="W794" s="460">
        <v>43738</v>
      </c>
      <c r="X794" s="460">
        <v>43721</v>
      </c>
      <c r="Y794" s="304" t="s">
        <v>1608</v>
      </c>
      <c r="Z794" s="304">
        <v>3768</v>
      </c>
      <c r="AA794" s="460">
        <v>43745</v>
      </c>
      <c r="AB794" s="304" t="s">
        <v>3002</v>
      </c>
      <c r="AC794" s="304">
        <v>1019804295</v>
      </c>
      <c r="AD794" s="304"/>
      <c r="AE794" s="304"/>
      <c r="AF794" s="304"/>
      <c r="AG794" s="296"/>
      <c r="AH794" s="296"/>
      <c r="AI794" s="297"/>
      <c r="AJ794" s="29">
        <v>43760</v>
      </c>
      <c r="AK794" s="297" t="s">
        <v>2983</v>
      </c>
      <c r="AL794" s="297" t="s">
        <v>2984</v>
      </c>
      <c r="AM794" s="296" t="s">
        <v>49</v>
      </c>
      <c r="AN794" s="296" t="s">
        <v>284</v>
      </c>
      <c r="AO794" s="296" t="s">
        <v>50</v>
      </c>
      <c r="AP794" s="296" t="s">
        <v>51</v>
      </c>
      <c r="AQ794" s="296" t="s">
        <v>1118</v>
      </c>
    </row>
    <row r="795" spans="1:43" ht="15.75" customHeight="1">
      <c r="A795" s="110">
        <v>43718</v>
      </c>
      <c r="B795" s="144" t="s">
        <v>377</v>
      </c>
      <c r="C795" s="21" t="s">
        <v>1609</v>
      </c>
      <c r="D795" s="21" t="s">
        <v>1610</v>
      </c>
      <c r="E795" s="23" t="s">
        <v>1611</v>
      </c>
      <c r="F795" s="24">
        <v>1</v>
      </c>
      <c r="G795" s="48">
        <v>29</v>
      </c>
      <c r="H795" s="60">
        <f t="shared" si="82"/>
        <v>29</v>
      </c>
      <c r="I795" s="61" t="s">
        <v>247</v>
      </c>
      <c r="J795" s="161" t="s">
        <v>1107</v>
      </c>
      <c r="K795" s="30">
        <v>43734</v>
      </c>
      <c r="L795" s="30"/>
      <c r="M795" s="30">
        <v>43725</v>
      </c>
      <c r="N795" s="50" t="s">
        <v>1512</v>
      </c>
      <c r="O795" s="93" t="s">
        <v>3018</v>
      </c>
      <c r="P795" s="406"/>
      <c r="Q795" s="406">
        <f t="shared" ref="Q795:Q808" si="83">(P795*F795)*1.05</f>
        <v>0</v>
      </c>
      <c r="R795" s="406"/>
      <c r="S795" s="406"/>
      <c r="T795" s="406">
        <v>200</v>
      </c>
      <c r="U795" s="406">
        <f>(T795*F795)*1.05</f>
        <v>210</v>
      </c>
      <c r="V795" s="70" t="s">
        <v>2109</v>
      </c>
      <c r="W795" s="460">
        <v>43743</v>
      </c>
      <c r="X795" s="460">
        <v>43725</v>
      </c>
      <c r="Y795" s="304" t="s">
        <v>1612</v>
      </c>
      <c r="Z795" s="304" t="s">
        <v>3019</v>
      </c>
      <c r="AA795" s="460">
        <v>43743</v>
      </c>
      <c r="AB795" s="304" t="s">
        <v>3020</v>
      </c>
      <c r="AC795" s="304" t="s">
        <v>3021</v>
      </c>
      <c r="AD795" s="304">
        <v>30.984999999999999</v>
      </c>
      <c r="AE795" s="304"/>
      <c r="AF795" s="304"/>
      <c r="AG795" s="296"/>
      <c r="AH795" s="296"/>
      <c r="AI795" s="297"/>
      <c r="AJ795" s="29">
        <v>43783</v>
      </c>
      <c r="AK795" s="297">
        <f>237*0.43*30.453</f>
        <v>3103.4652299999998</v>
      </c>
      <c r="AL795" s="297">
        <f>(244-234.43)*30.453</f>
        <v>291.43520999999981</v>
      </c>
      <c r="AM795" s="296" t="s">
        <v>49</v>
      </c>
      <c r="AN795" s="296" t="s">
        <v>284</v>
      </c>
      <c r="AO795" s="296" t="s">
        <v>50</v>
      </c>
      <c r="AP795" s="296" t="s">
        <v>51</v>
      </c>
      <c r="AQ795" s="296" t="s">
        <v>1118</v>
      </c>
    </row>
    <row r="796" spans="1:43" ht="15.75" customHeight="1">
      <c r="A796" s="110">
        <v>43718</v>
      </c>
      <c r="B796" s="144" t="s">
        <v>377</v>
      </c>
      <c r="C796" s="21" t="s">
        <v>1609</v>
      </c>
      <c r="D796" s="21" t="s">
        <v>1610</v>
      </c>
      <c r="E796" s="23" t="s">
        <v>1613</v>
      </c>
      <c r="F796" s="24">
        <v>1</v>
      </c>
      <c r="G796" s="48">
        <v>61</v>
      </c>
      <c r="H796" s="216">
        <f t="shared" si="82"/>
        <v>61</v>
      </c>
      <c r="I796" s="61" t="s">
        <v>247</v>
      </c>
      <c r="J796" s="161" t="s">
        <v>1107</v>
      </c>
      <c r="K796" s="30">
        <v>43734</v>
      </c>
      <c r="L796" s="30"/>
      <c r="M796" s="30">
        <v>43725</v>
      </c>
      <c r="N796" s="50" t="s">
        <v>1512</v>
      </c>
      <c r="O796" s="93" t="s">
        <v>3018</v>
      </c>
      <c r="P796" s="406"/>
      <c r="Q796" s="406">
        <f t="shared" si="83"/>
        <v>0</v>
      </c>
      <c r="R796" s="406"/>
      <c r="S796" s="406"/>
      <c r="T796" s="406">
        <v>0</v>
      </c>
      <c r="U796" s="406">
        <f>(T796*F796)*1.05</f>
        <v>0</v>
      </c>
      <c r="V796" s="70" t="s">
        <v>2109</v>
      </c>
      <c r="W796" s="460">
        <v>43743</v>
      </c>
      <c r="X796" s="460">
        <v>43725</v>
      </c>
      <c r="Y796" s="304" t="s">
        <v>1612</v>
      </c>
      <c r="Z796" s="304" t="s">
        <v>3019</v>
      </c>
      <c r="AA796" s="460">
        <v>43743</v>
      </c>
      <c r="AB796" s="304" t="s">
        <v>3020</v>
      </c>
      <c r="AC796" s="304" t="s">
        <v>3021</v>
      </c>
      <c r="AD796" s="304">
        <v>30.984999999999999</v>
      </c>
      <c r="AE796" s="304"/>
      <c r="AF796" s="304"/>
      <c r="AG796" s="296"/>
      <c r="AH796" s="296"/>
      <c r="AI796" s="297"/>
      <c r="AJ796" s="29">
        <v>43783</v>
      </c>
      <c r="AK796" s="297" t="s">
        <v>3022</v>
      </c>
      <c r="AL796" s="297" t="s">
        <v>3023</v>
      </c>
      <c r="AM796" s="296" t="s">
        <v>49</v>
      </c>
      <c r="AN796" s="296" t="s">
        <v>284</v>
      </c>
      <c r="AO796" s="296" t="s">
        <v>50</v>
      </c>
      <c r="AP796" s="296" t="s">
        <v>51</v>
      </c>
      <c r="AQ796" s="296" t="s">
        <v>1118</v>
      </c>
    </row>
    <row r="797" spans="1:43" ht="15.75" customHeight="1">
      <c r="A797" s="110">
        <v>43718</v>
      </c>
      <c r="B797" s="144" t="s">
        <v>377</v>
      </c>
      <c r="C797" s="21" t="s">
        <v>1609</v>
      </c>
      <c r="D797" s="21" t="s">
        <v>1610</v>
      </c>
      <c r="E797" s="23" t="s">
        <v>1614</v>
      </c>
      <c r="F797" s="24">
        <v>1</v>
      </c>
      <c r="G797" s="48">
        <v>47</v>
      </c>
      <c r="H797" s="60">
        <f t="shared" si="82"/>
        <v>47</v>
      </c>
      <c r="I797" s="61" t="s">
        <v>247</v>
      </c>
      <c r="J797" s="161" t="s">
        <v>1107</v>
      </c>
      <c r="K797" s="30">
        <v>43734</v>
      </c>
      <c r="L797" s="30"/>
      <c r="M797" s="30">
        <v>43731</v>
      </c>
      <c r="N797" s="50" t="s">
        <v>1512</v>
      </c>
      <c r="O797" s="93" t="s">
        <v>3018</v>
      </c>
      <c r="P797" s="406"/>
      <c r="Q797" s="406">
        <f t="shared" si="83"/>
        <v>0</v>
      </c>
      <c r="R797" s="406"/>
      <c r="S797" s="406"/>
      <c r="T797" s="406">
        <v>850</v>
      </c>
      <c r="U797" s="406">
        <v>892</v>
      </c>
      <c r="V797" s="70" t="s">
        <v>2109</v>
      </c>
      <c r="W797" s="460">
        <v>43743</v>
      </c>
      <c r="X797" s="460">
        <v>43725</v>
      </c>
      <c r="Y797" s="304" t="s">
        <v>1612</v>
      </c>
      <c r="Z797" s="304" t="s">
        <v>3019</v>
      </c>
      <c r="AA797" s="460">
        <v>43743</v>
      </c>
      <c r="AB797" s="304" t="s">
        <v>3020</v>
      </c>
      <c r="AC797" s="304" t="s">
        <v>3021</v>
      </c>
      <c r="AD797" s="304">
        <v>30.984999999999999</v>
      </c>
      <c r="AE797" s="304"/>
      <c r="AF797" s="304"/>
      <c r="AG797" s="296"/>
      <c r="AH797" s="296"/>
      <c r="AI797" s="297"/>
      <c r="AJ797" s="29">
        <v>43783</v>
      </c>
      <c r="AK797" s="297" t="s">
        <v>3022</v>
      </c>
      <c r="AL797" s="297" t="s">
        <v>3023</v>
      </c>
      <c r="AM797" s="296" t="s">
        <v>49</v>
      </c>
      <c r="AN797" s="296" t="s">
        <v>284</v>
      </c>
      <c r="AO797" s="296" t="s">
        <v>50</v>
      </c>
      <c r="AP797" s="296" t="s">
        <v>51</v>
      </c>
      <c r="AQ797" s="296" t="s">
        <v>1118</v>
      </c>
    </row>
    <row r="798" spans="1:43" ht="15.75" customHeight="1">
      <c r="A798" s="110">
        <v>43718</v>
      </c>
      <c r="B798" s="23" t="s">
        <v>212</v>
      </c>
      <c r="C798" s="21" t="s">
        <v>1615</v>
      </c>
      <c r="D798" s="21" t="s">
        <v>1616</v>
      </c>
      <c r="E798" s="23" t="s">
        <v>1617</v>
      </c>
      <c r="F798" s="24">
        <v>2</v>
      </c>
      <c r="G798" s="48">
        <v>222</v>
      </c>
      <c r="H798" s="60">
        <f t="shared" si="82"/>
        <v>444</v>
      </c>
      <c r="I798" s="27" t="s">
        <v>247</v>
      </c>
      <c r="J798" s="161" t="s">
        <v>216</v>
      </c>
      <c r="K798" s="30">
        <v>43732</v>
      </c>
      <c r="L798" s="30"/>
      <c r="M798" s="30">
        <v>43726</v>
      </c>
      <c r="N798" s="50" t="s">
        <v>89</v>
      </c>
      <c r="O798" s="93" t="s">
        <v>3024</v>
      </c>
      <c r="P798" s="406">
        <v>186</v>
      </c>
      <c r="Q798" s="406">
        <f t="shared" si="83"/>
        <v>390.6</v>
      </c>
      <c r="R798" s="406"/>
      <c r="S798" s="406"/>
      <c r="T798" s="406"/>
      <c r="U798" s="406">
        <v>12195</v>
      </c>
      <c r="V798" s="51" t="s">
        <v>93</v>
      </c>
      <c r="W798" s="303">
        <v>43769</v>
      </c>
      <c r="X798" s="460">
        <v>43725</v>
      </c>
      <c r="Y798" s="304" t="s">
        <v>1618</v>
      </c>
      <c r="Z798" s="304">
        <v>40711</v>
      </c>
      <c r="AA798" s="304"/>
      <c r="AB798" s="304" t="s">
        <v>3025</v>
      </c>
      <c r="AC798" s="304" t="s">
        <v>3026</v>
      </c>
      <c r="AD798" s="304">
        <v>30.984999999999999</v>
      </c>
      <c r="AE798" s="304"/>
      <c r="AF798" s="304"/>
      <c r="AG798" s="296"/>
      <c r="AH798" s="296"/>
      <c r="AI798" s="297"/>
      <c r="AJ798" s="298">
        <v>43720</v>
      </c>
      <c r="AK798" s="297">
        <f>1456.56*31.05</f>
        <v>45226.188000000002</v>
      </c>
      <c r="AL798" s="297">
        <f>(1463-1456.56)*31.05</f>
        <v>199.96200000000169</v>
      </c>
      <c r="AM798" s="296" t="s">
        <v>49</v>
      </c>
      <c r="AN798" s="296" t="s">
        <v>284</v>
      </c>
      <c r="AO798" s="296" t="s">
        <v>50</v>
      </c>
      <c r="AP798" s="296" t="s">
        <v>51</v>
      </c>
      <c r="AQ798" s="296" t="s">
        <v>1118</v>
      </c>
    </row>
    <row r="799" spans="1:43" ht="15.75" customHeight="1">
      <c r="A799" s="69">
        <v>43718</v>
      </c>
      <c r="B799" s="23" t="s">
        <v>212</v>
      </c>
      <c r="C799" s="21" t="s">
        <v>1615</v>
      </c>
      <c r="D799" s="21" t="s">
        <v>1616</v>
      </c>
      <c r="E799" s="32" t="s">
        <v>1619</v>
      </c>
      <c r="F799" s="24">
        <v>1</v>
      </c>
      <c r="G799" s="48">
        <v>97</v>
      </c>
      <c r="H799" s="60">
        <f t="shared" si="82"/>
        <v>97</v>
      </c>
      <c r="I799" s="27" t="s">
        <v>247</v>
      </c>
      <c r="J799" s="161" t="s">
        <v>216</v>
      </c>
      <c r="K799" s="30">
        <v>43732</v>
      </c>
      <c r="L799" s="30"/>
      <c r="M799" s="30">
        <v>43726</v>
      </c>
      <c r="N799" s="50" t="s">
        <v>89</v>
      </c>
      <c r="O799" s="93" t="s">
        <v>3024</v>
      </c>
      <c r="P799" s="406">
        <v>81</v>
      </c>
      <c r="Q799" s="406">
        <f t="shared" si="83"/>
        <v>85.05</v>
      </c>
      <c r="R799" s="406"/>
      <c r="S799" s="406"/>
      <c r="T799" s="406"/>
      <c r="U799" s="406">
        <v>2655</v>
      </c>
      <c r="V799" s="51" t="s">
        <v>93</v>
      </c>
      <c r="W799" s="303">
        <v>43769</v>
      </c>
      <c r="X799" s="460">
        <v>43725</v>
      </c>
      <c r="Y799" s="304" t="s">
        <v>1618</v>
      </c>
      <c r="Z799" s="304" t="s">
        <v>3027</v>
      </c>
      <c r="AA799" s="304"/>
      <c r="AB799" s="304" t="s">
        <v>3025</v>
      </c>
      <c r="AC799" s="304" t="s">
        <v>3026</v>
      </c>
      <c r="AD799" s="304">
        <v>30.984999999999999</v>
      </c>
      <c r="AE799" s="304"/>
      <c r="AF799" s="304"/>
      <c r="AG799" s="296"/>
      <c r="AH799" s="296"/>
      <c r="AI799" s="297"/>
      <c r="AJ799" s="298">
        <v>43720</v>
      </c>
      <c r="AK799" s="297" t="s">
        <v>3028</v>
      </c>
      <c r="AL799" s="297" t="s">
        <v>3029</v>
      </c>
      <c r="AM799" s="296" t="s">
        <v>49</v>
      </c>
      <c r="AN799" s="296" t="s">
        <v>284</v>
      </c>
      <c r="AO799" s="296" t="s">
        <v>50</v>
      </c>
      <c r="AP799" s="296" t="s">
        <v>51</v>
      </c>
      <c r="AQ799" s="296" t="s">
        <v>1118</v>
      </c>
    </row>
    <row r="800" spans="1:43" ht="15.75" customHeight="1">
      <c r="A800" s="69">
        <v>43718</v>
      </c>
      <c r="B800" s="23" t="s">
        <v>212</v>
      </c>
      <c r="C800" s="21" t="s">
        <v>1615</v>
      </c>
      <c r="D800" s="21" t="s">
        <v>1616</v>
      </c>
      <c r="E800" s="32" t="s">
        <v>132</v>
      </c>
      <c r="F800" s="24">
        <v>3</v>
      </c>
      <c r="G800" s="48">
        <v>109</v>
      </c>
      <c r="H800" s="60">
        <f t="shared" si="82"/>
        <v>327</v>
      </c>
      <c r="I800" s="27" t="s">
        <v>247</v>
      </c>
      <c r="J800" s="161" t="s">
        <v>216</v>
      </c>
      <c r="K800" s="30">
        <v>43732</v>
      </c>
      <c r="L800" s="30"/>
      <c r="M800" s="30">
        <v>43726</v>
      </c>
      <c r="N800" s="50" t="s">
        <v>89</v>
      </c>
      <c r="O800" s="93" t="s">
        <v>3024</v>
      </c>
      <c r="P800" s="406">
        <v>96</v>
      </c>
      <c r="Q800" s="406">
        <f t="shared" si="83"/>
        <v>302.40000000000003</v>
      </c>
      <c r="R800" s="406"/>
      <c r="S800" s="406"/>
      <c r="T800" s="406"/>
      <c r="U800" s="406">
        <v>9441</v>
      </c>
      <c r="V800" s="51" t="s">
        <v>93</v>
      </c>
      <c r="W800" s="303">
        <v>43769</v>
      </c>
      <c r="X800" s="460">
        <v>43725</v>
      </c>
      <c r="Y800" s="304" t="s">
        <v>1618</v>
      </c>
      <c r="Z800" s="304" t="s">
        <v>3027</v>
      </c>
      <c r="AA800" s="304"/>
      <c r="AB800" s="304" t="s">
        <v>3025</v>
      </c>
      <c r="AC800" s="304" t="s">
        <v>3026</v>
      </c>
      <c r="AD800" s="304">
        <v>30.984999999999999</v>
      </c>
      <c r="AE800" s="304"/>
      <c r="AF800" s="304"/>
      <c r="AG800" s="296"/>
      <c r="AH800" s="296"/>
      <c r="AI800" s="297"/>
      <c r="AJ800" s="298">
        <v>43720</v>
      </c>
      <c r="AK800" s="297" t="s">
        <v>3028</v>
      </c>
      <c r="AL800" s="297" t="s">
        <v>3029</v>
      </c>
      <c r="AM800" s="296" t="s">
        <v>49</v>
      </c>
      <c r="AN800" s="296" t="s">
        <v>284</v>
      </c>
      <c r="AO800" s="296" t="s">
        <v>50</v>
      </c>
      <c r="AP800" s="296" t="s">
        <v>51</v>
      </c>
      <c r="AQ800" s="296" t="s">
        <v>1118</v>
      </c>
    </row>
    <row r="801" spans="1:43" ht="15.75" customHeight="1">
      <c r="A801" s="69">
        <v>43718</v>
      </c>
      <c r="B801" s="23" t="s">
        <v>212</v>
      </c>
      <c r="C801" s="21" t="s">
        <v>1615</v>
      </c>
      <c r="D801" s="21" t="s">
        <v>1616</v>
      </c>
      <c r="E801" s="32" t="s">
        <v>136</v>
      </c>
      <c r="F801" s="24">
        <v>3</v>
      </c>
      <c r="G801" s="48">
        <v>31</v>
      </c>
      <c r="H801" s="60">
        <f t="shared" si="82"/>
        <v>93</v>
      </c>
      <c r="I801" s="27" t="s">
        <v>247</v>
      </c>
      <c r="J801" s="161" t="s">
        <v>216</v>
      </c>
      <c r="K801" s="30">
        <v>43732</v>
      </c>
      <c r="L801" s="30"/>
      <c r="M801" s="30">
        <v>43726</v>
      </c>
      <c r="N801" s="50" t="s">
        <v>89</v>
      </c>
      <c r="O801" s="93" t="s">
        <v>3024</v>
      </c>
      <c r="P801" s="406">
        <v>27</v>
      </c>
      <c r="Q801" s="406">
        <f t="shared" si="83"/>
        <v>85.05</v>
      </c>
      <c r="R801" s="406"/>
      <c r="S801" s="406"/>
      <c r="T801" s="406"/>
      <c r="U801" s="406">
        <v>2655</v>
      </c>
      <c r="V801" s="51" t="s">
        <v>93</v>
      </c>
      <c r="W801" s="303">
        <v>43769</v>
      </c>
      <c r="X801" s="460">
        <v>43725</v>
      </c>
      <c r="Y801" s="304" t="s">
        <v>1618</v>
      </c>
      <c r="Z801" s="304" t="s">
        <v>3027</v>
      </c>
      <c r="AA801" s="304"/>
      <c r="AB801" s="304" t="s">
        <v>3025</v>
      </c>
      <c r="AC801" s="304" t="s">
        <v>3026</v>
      </c>
      <c r="AD801" s="304">
        <v>30.984999999999999</v>
      </c>
      <c r="AE801" s="304"/>
      <c r="AF801" s="304"/>
      <c r="AG801" s="296"/>
      <c r="AH801" s="296"/>
      <c r="AI801" s="297"/>
      <c r="AJ801" s="298">
        <v>43720</v>
      </c>
      <c r="AK801" s="297" t="s">
        <v>3028</v>
      </c>
      <c r="AL801" s="297" t="s">
        <v>3029</v>
      </c>
      <c r="AM801" s="296" t="s">
        <v>49</v>
      </c>
      <c r="AN801" s="296" t="s">
        <v>284</v>
      </c>
      <c r="AO801" s="296" t="s">
        <v>50</v>
      </c>
      <c r="AP801" s="296" t="s">
        <v>51</v>
      </c>
      <c r="AQ801" s="296" t="s">
        <v>1118</v>
      </c>
    </row>
    <row r="802" spans="1:43" ht="15.75" customHeight="1">
      <c r="A802" s="69">
        <v>43718</v>
      </c>
      <c r="B802" s="23" t="s">
        <v>212</v>
      </c>
      <c r="C802" s="21" t="s">
        <v>1615</v>
      </c>
      <c r="D802" s="21" t="s">
        <v>1616</v>
      </c>
      <c r="E802" s="32" t="s">
        <v>1620</v>
      </c>
      <c r="F802" s="24">
        <v>1</v>
      </c>
      <c r="G802" s="48">
        <v>443</v>
      </c>
      <c r="H802" s="60">
        <f t="shared" si="82"/>
        <v>443</v>
      </c>
      <c r="I802" s="27" t="s">
        <v>247</v>
      </c>
      <c r="J802" s="161" t="s">
        <v>216</v>
      </c>
      <c r="K802" s="30">
        <v>43732</v>
      </c>
      <c r="L802" s="30"/>
      <c r="M802" s="30">
        <v>43726</v>
      </c>
      <c r="N802" s="50" t="s">
        <v>89</v>
      </c>
      <c r="O802" s="93" t="s">
        <v>3024</v>
      </c>
      <c r="P802" s="406">
        <v>390</v>
      </c>
      <c r="Q802" s="406">
        <f t="shared" si="83"/>
        <v>409.5</v>
      </c>
      <c r="R802" s="406"/>
      <c r="S802" s="406"/>
      <c r="T802" s="406"/>
      <c r="U802" s="406">
        <v>12785</v>
      </c>
      <c r="V802" s="51" t="s">
        <v>93</v>
      </c>
      <c r="W802" s="303">
        <v>43769</v>
      </c>
      <c r="X802" s="460">
        <v>43725</v>
      </c>
      <c r="Y802" s="237" t="s">
        <v>1618</v>
      </c>
      <c r="Z802" s="304" t="s">
        <v>3027</v>
      </c>
      <c r="AA802" s="304"/>
      <c r="AB802" s="304" t="s">
        <v>3025</v>
      </c>
      <c r="AC802" s="304" t="s">
        <v>3026</v>
      </c>
      <c r="AD802" s="304">
        <v>30.984999999999999</v>
      </c>
      <c r="AE802" s="304"/>
      <c r="AF802" s="304"/>
      <c r="AG802" s="296"/>
      <c r="AH802" s="296"/>
      <c r="AI802" s="297"/>
      <c r="AJ802" s="298">
        <v>43720</v>
      </c>
      <c r="AK802" s="297" t="s">
        <v>3028</v>
      </c>
      <c r="AL802" s="297" t="s">
        <v>3029</v>
      </c>
      <c r="AM802" s="296" t="s">
        <v>49</v>
      </c>
      <c r="AN802" s="296" t="s">
        <v>284</v>
      </c>
      <c r="AO802" s="296" t="s">
        <v>50</v>
      </c>
      <c r="AP802" s="296" t="s">
        <v>51</v>
      </c>
      <c r="AQ802" s="296" t="s">
        <v>1118</v>
      </c>
    </row>
    <row r="803" spans="1:43" ht="15.75" customHeight="1">
      <c r="A803" s="69">
        <v>43718</v>
      </c>
      <c r="B803" s="23" t="s">
        <v>212</v>
      </c>
      <c r="C803" s="21" t="s">
        <v>1615</v>
      </c>
      <c r="D803" s="21" t="s">
        <v>1616</v>
      </c>
      <c r="E803" s="32" t="s">
        <v>1621</v>
      </c>
      <c r="F803" s="24">
        <v>1</v>
      </c>
      <c r="G803" s="48">
        <v>34</v>
      </c>
      <c r="H803" s="60">
        <f t="shared" si="82"/>
        <v>34</v>
      </c>
      <c r="I803" s="27" t="s">
        <v>247</v>
      </c>
      <c r="J803" s="161" t="s">
        <v>216</v>
      </c>
      <c r="K803" s="30">
        <v>43732</v>
      </c>
      <c r="L803" s="30"/>
      <c r="M803" s="30">
        <v>43726</v>
      </c>
      <c r="N803" s="50" t="s">
        <v>89</v>
      </c>
      <c r="O803" s="93" t="s">
        <v>3024</v>
      </c>
      <c r="P803" s="406">
        <v>29.9</v>
      </c>
      <c r="Q803" s="406">
        <f t="shared" si="83"/>
        <v>31.395</v>
      </c>
      <c r="R803" s="406"/>
      <c r="S803" s="406"/>
      <c r="T803" s="406"/>
      <c r="U803" s="406">
        <v>980</v>
      </c>
      <c r="V803" s="35" t="s">
        <v>93</v>
      </c>
      <c r="W803" s="303">
        <v>43769</v>
      </c>
      <c r="X803" s="460">
        <v>43725</v>
      </c>
      <c r="Y803" s="304" t="s">
        <v>1618</v>
      </c>
      <c r="Z803" s="304" t="s">
        <v>3027</v>
      </c>
      <c r="AA803" s="304"/>
      <c r="AB803" s="304" t="s">
        <v>3025</v>
      </c>
      <c r="AC803" s="304" t="s">
        <v>3026</v>
      </c>
      <c r="AD803" s="304">
        <v>30.984999999999999</v>
      </c>
      <c r="AE803" s="304"/>
      <c r="AF803" s="304"/>
      <c r="AG803" s="296"/>
      <c r="AH803" s="296"/>
      <c r="AI803" s="297"/>
      <c r="AJ803" s="298">
        <v>43720</v>
      </c>
      <c r="AK803" s="297" t="s">
        <v>3028</v>
      </c>
      <c r="AL803" s="297" t="s">
        <v>3029</v>
      </c>
      <c r="AM803" s="296" t="s">
        <v>49</v>
      </c>
      <c r="AN803" s="296" t="s">
        <v>284</v>
      </c>
      <c r="AO803" s="296" t="s">
        <v>50</v>
      </c>
      <c r="AP803" s="296" t="s">
        <v>51</v>
      </c>
      <c r="AQ803" s="296" t="s">
        <v>1118</v>
      </c>
    </row>
    <row r="804" spans="1:43" ht="15.75" customHeight="1">
      <c r="A804" s="69">
        <v>43718</v>
      </c>
      <c r="B804" s="23" t="s">
        <v>212</v>
      </c>
      <c r="C804" s="21" t="s">
        <v>1615</v>
      </c>
      <c r="D804" s="21" t="s">
        <v>1616</v>
      </c>
      <c r="E804" s="32" t="s">
        <v>692</v>
      </c>
      <c r="F804" s="24">
        <v>1</v>
      </c>
      <c r="G804" s="48">
        <v>25</v>
      </c>
      <c r="H804" s="60">
        <f t="shared" si="82"/>
        <v>25</v>
      </c>
      <c r="I804" s="27" t="s">
        <v>247</v>
      </c>
      <c r="J804" s="347" t="s">
        <v>216</v>
      </c>
      <c r="K804" s="30">
        <v>43732</v>
      </c>
      <c r="L804" s="30"/>
      <c r="M804" s="665"/>
      <c r="N804" s="63" t="s">
        <v>219</v>
      </c>
      <c r="O804" s="64"/>
      <c r="P804" s="34">
        <v>0</v>
      </c>
      <c r="Q804" s="34">
        <f t="shared" si="83"/>
        <v>0</v>
      </c>
      <c r="R804" s="34"/>
      <c r="S804" s="34"/>
      <c r="T804" s="34">
        <v>0</v>
      </c>
      <c r="U804" s="34">
        <f>(T804*F804)*1.05</f>
        <v>0</v>
      </c>
      <c r="V804" s="66"/>
      <c r="W804" s="52"/>
      <c r="X804" s="53"/>
      <c r="Y804" s="53"/>
      <c r="Z804" s="53"/>
      <c r="AA804" s="53"/>
      <c r="AB804" s="53" t="s">
        <v>3025</v>
      </c>
      <c r="AC804" s="53" t="s">
        <v>3026</v>
      </c>
      <c r="AD804" s="53"/>
      <c r="AE804" s="53"/>
      <c r="AF804" s="53"/>
      <c r="AG804" s="54"/>
      <c r="AH804" s="54"/>
      <c r="AI804" s="55"/>
      <c r="AJ804" s="56">
        <v>43720</v>
      </c>
      <c r="AK804" s="55" t="s">
        <v>3028</v>
      </c>
      <c r="AL804" s="55" t="s">
        <v>3029</v>
      </c>
      <c r="AM804" s="54" t="s">
        <v>49</v>
      </c>
      <c r="AN804" s="54" t="s">
        <v>284</v>
      </c>
      <c r="AO804" s="54" t="s">
        <v>50</v>
      </c>
      <c r="AP804" s="54" t="s">
        <v>51</v>
      </c>
      <c r="AQ804" s="54"/>
    </row>
    <row r="805" spans="1:43" ht="15.75" customHeight="1">
      <c r="A805" s="69">
        <v>43720</v>
      </c>
      <c r="B805" s="144" t="s">
        <v>1622</v>
      </c>
      <c r="C805" s="21"/>
      <c r="D805" s="21" t="s">
        <v>1623</v>
      </c>
      <c r="E805" s="32" t="s">
        <v>1624</v>
      </c>
      <c r="F805" s="24">
        <v>1</v>
      </c>
      <c r="G805" s="48">
        <v>0</v>
      </c>
      <c r="H805" s="216">
        <v>0</v>
      </c>
      <c r="I805" s="27" t="s">
        <v>247</v>
      </c>
      <c r="J805" s="79" t="s">
        <v>1625</v>
      </c>
      <c r="K805" s="30">
        <v>43734</v>
      </c>
      <c r="L805" s="30"/>
      <c r="M805" s="30">
        <v>43732</v>
      </c>
      <c r="N805" s="63" t="s">
        <v>178</v>
      </c>
      <c r="O805" s="64"/>
      <c r="P805" s="34"/>
      <c r="Q805" s="34">
        <f t="shared" si="83"/>
        <v>0</v>
      </c>
      <c r="R805" s="34"/>
      <c r="S805" s="34"/>
      <c r="T805" s="34"/>
      <c r="U805" s="34">
        <f>(T805*F805)*1.05</f>
        <v>0</v>
      </c>
      <c r="V805" s="66"/>
      <c r="W805" s="52"/>
      <c r="X805" s="53"/>
      <c r="Y805" s="53"/>
      <c r="Z805" s="53"/>
      <c r="AA805" s="53"/>
      <c r="AB805" s="53"/>
      <c r="AC805" s="53">
        <v>776341023426</v>
      </c>
      <c r="AD805" s="53"/>
      <c r="AE805" s="53"/>
      <c r="AF805" s="53"/>
      <c r="AG805" s="54"/>
      <c r="AH805" s="54"/>
      <c r="AI805" s="55"/>
      <c r="AJ805" s="68"/>
      <c r="AK805" s="55"/>
      <c r="AL805" s="55"/>
      <c r="AM805" s="200" t="s">
        <v>1626</v>
      </c>
      <c r="AN805" s="54" t="s">
        <v>1606</v>
      </c>
      <c r="AO805" s="54" t="s">
        <v>50</v>
      </c>
      <c r="AP805" s="54" t="s">
        <v>51</v>
      </c>
      <c r="AQ805" s="54"/>
    </row>
    <row r="806" spans="1:43" ht="15.75" customHeight="1">
      <c r="A806" s="69">
        <v>43721</v>
      </c>
      <c r="B806" s="23" t="s">
        <v>405</v>
      </c>
      <c r="C806" s="21">
        <v>7000150145</v>
      </c>
      <c r="D806" s="21" t="s">
        <v>1627</v>
      </c>
      <c r="E806" s="32" t="s">
        <v>1628</v>
      </c>
      <c r="F806" s="24">
        <v>1</v>
      </c>
      <c r="G806" s="48">
        <v>212</v>
      </c>
      <c r="H806" s="60">
        <f t="shared" ref="H806:H811" si="84">G806*F806</f>
        <v>212</v>
      </c>
      <c r="I806" s="61" t="s">
        <v>42</v>
      </c>
      <c r="J806" s="405" t="s">
        <v>512</v>
      </c>
      <c r="K806" s="29">
        <v>43731</v>
      </c>
      <c r="L806" s="29"/>
      <c r="M806" s="29">
        <v>43726</v>
      </c>
      <c r="N806" s="58" t="s">
        <v>2043</v>
      </c>
      <c r="O806" s="93" t="s">
        <v>3030</v>
      </c>
      <c r="P806" s="406"/>
      <c r="Q806" s="406">
        <f t="shared" si="83"/>
        <v>0</v>
      </c>
      <c r="R806" s="406"/>
      <c r="S806" s="406"/>
      <c r="T806" s="304">
        <v>5538</v>
      </c>
      <c r="U806" s="648">
        <f>(T806*F806)*1.05</f>
        <v>5814.9000000000005</v>
      </c>
      <c r="V806" s="501" t="s">
        <v>2763</v>
      </c>
      <c r="W806" s="303">
        <v>43799</v>
      </c>
      <c r="X806" s="460">
        <v>43725</v>
      </c>
      <c r="Y806" s="304" t="s">
        <v>1629</v>
      </c>
      <c r="Z806" s="304">
        <v>13211</v>
      </c>
      <c r="AA806" s="304"/>
      <c r="AB806" s="304" t="s">
        <v>3031</v>
      </c>
      <c r="AC806" s="304">
        <v>1278633882</v>
      </c>
      <c r="AD806" s="304">
        <v>30.984999999999999</v>
      </c>
      <c r="AE806" s="304"/>
      <c r="AF806" s="304"/>
      <c r="AG806" s="296"/>
      <c r="AH806" s="296"/>
      <c r="AI806" s="297"/>
      <c r="AJ806" s="29">
        <v>43762</v>
      </c>
      <c r="AK806" s="297">
        <f>451.45*30.54</f>
        <v>13787.282999999999</v>
      </c>
      <c r="AL806" s="297">
        <f>(478-451.45)*30.54</f>
        <v>810.83700000000033</v>
      </c>
      <c r="AM806" s="296" t="s">
        <v>49</v>
      </c>
      <c r="AN806" s="296" t="s">
        <v>284</v>
      </c>
      <c r="AO806" s="296" t="s">
        <v>50</v>
      </c>
      <c r="AP806" s="296" t="s">
        <v>51</v>
      </c>
      <c r="AQ806" s="296" t="s">
        <v>1118</v>
      </c>
    </row>
    <row r="807" spans="1:43" ht="15.75" customHeight="1">
      <c r="A807" s="69">
        <v>43721</v>
      </c>
      <c r="B807" s="23" t="s">
        <v>405</v>
      </c>
      <c r="C807" s="21">
        <v>7000150145</v>
      </c>
      <c r="D807" s="21" t="s">
        <v>1627</v>
      </c>
      <c r="E807" s="32" t="s">
        <v>676</v>
      </c>
      <c r="F807" s="24">
        <v>1</v>
      </c>
      <c r="G807" s="48">
        <v>129</v>
      </c>
      <c r="H807" s="60">
        <f t="shared" si="84"/>
        <v>129</v>
      </c>
      <c r="I807" s="61" t="s">
        <v>42</v>
      </c>
      <c r="J807" s="50" t="s">
        <v>512</v>
      </c>
      <c r="K807" s="29">
        <v>43731</v>
      </c>
      <c r="L807" s="29"/>
      <c r="M807" s="29">
        <v>43726</v>
      </c>
      <c r="N807" s="58" t="s">
        <v>2043</v>
      </c>
      <c r="O807" s="93" t="s">
        <v>3030</v>
      </c>
      <c r="P807" s="406"/>
      <c r="Q807" s="406">
        <f t="shared" si="83"/>
        <v>0</v>
      </c>
      <c r="R807" s="406"/>
      <c r="S807" s="406"/>
      <c r="T807" s="304">
        <v>3450</v>
      </c>
      <c r="U807" s="648">
        <f>(T807*F807)*1.05</f>
        <v>3622.5</v>
      </c>
      <c r="V807" s="501" t="s">
        <v>2763</v>
      </c>
      <c r="W807" s="303">
        <v>43799</v>
      </c>
      <c r="X807" s="460">
        <v>43725</v>
      </c>
      <c r="Y807" s="304" t="s">
        <v>1629</v>
      </c>
      <c r="Z807" s="304" t="s">
        <v>3032</v>
      </c>
      <c r="AA807" s="304"/>
      <c r="AB807" s="304" t="s">
        <v>3031</v>
      </c>
      <c r="AC807" s="304">
        <v>1278633882</v>
      </c>
      <c r="AD807" s="304">
        <v>30.984999999999999</v>
      </c>
      <c r="AE807" s="304"/>
      <c r="AF807" s="304"/>
      <c r="AG807" s="296"/>
      <c r="AH807" s="296"/>
      <c r="AI807" s="297"/>
      <c r="AJ807" s="29">
        <v>43762</v>
      </c>
      <c r="AK807" s="297" t="s">
        <v>3033</v>
      </c>
      <c r="AL807" s="297" t="s">
        <v>3034</v>
      </c>
      <c r="AM807" s="296" t="s">
        <v>49</v>
      </c>
      <c r="AN807" s="296" t="s">
        <v>284</v>
      </c>
      <c r="AO807" s="296" t="s">
        <v>50</v>
      </c>
      <c r="AP807" s="296" t="s">
        <v>51</v>
      </c>
      <c r="AQ807" s="296" t="s">
        <v>1118</v>
      </c>
    </row>
    <row r="808" spans="1:43" ht="15.75" customHeight="1">
      <c r="A808" s="69">
        <v>43721</v>
      </c>
      <c r="B808" s="23" t="s">
        <v>405</v>
      </c>
      <c r="C808" s="21">
        <v>7000150145</v>
      </c>
      <c r="D808" s="21" t="s">
        <v>1627</v>
      </c>
      <c r="E808" s="32" t="s">
        <v>480</v>
      </c>
      <c r="F808" s="24">
        <v>1</v>
      </c>
      <c r="G808" s="48">
        <v>137</v>
      </c>
      <c r="H808" s="60">
        <f t="shared" si="84"/>
        <v>137</v>
      </c>
      <c r="I808" s="61" t="s">
        <v>42</v>
      </c>
      <c r="J808" s="50" t="s">
        <v>512</v>
      </c>
      <c r="K808" s="29">
        <v>43731</v>
      </c>
      <c r="L808" s="29"/>
      <c r="M808" s="29">
        <v>43726</v>
      </c>
      <c r="N808" s="58" t="s">
        <v>2043</v>
      </c>
      <c r="O808" s="93" t="s">
        <v>3030</v>
      </c>
      <c r="P808" s="406"/>
      <c r="Q808" s="406">
        <f t="shared" si="83"/>
        <v>0</v>
      </c>
      <c r="R808" s="406"/>
      <c r="S808" s="406"/>
      <c r="T808" s="304">
        <v>3594</v>
      </c>
      <c r="U808" s="648">
        <f>(T808*F808)*1.05</f>
        <v>3773.7000000000003</v>
      </c>
      <c r="V808" s="501" t="s">
        <v>2763</v>
      </c>
      <c r="W808" s="303">
        <v>43799</v>
      </c>
      <c r="X808" s="460">
        <v>43725</v>
      </c>
      <c r="Y808" s="304" t="s">
        <v>1629</v>
      </c>
      <c r="Z808" s="304" t="s">
        <v>3032</v>
      </c>
      <c r="AA808" s="304"/>
      <c r="AB808" s="304" t="s">
        <v>3031</v>
      </c>
      <c r="AC808" s="304">
        <v>1278633882</v>
      </c>
      <c r="AD808" s="304">
        <v>30.984999999999999</v>
      </c>
      <c r="AE808" s="304"/>
      <c r="AF808" s="304"/>
      <c r="AG808" s="296"/>
      <c r="AH808" s="296"/>
      <c r="AI808" s="297"/>
      <c r="AJ808" s="29">
        <v>43762</v>
      </c>
      <c r="AK808" s="297" t="s">
        <v>3033</v>
      </c>
      <c r="AL808" s="297" t="s">
        <v>3034</v>
      </c>
      <c r="AM808" s="296" t="s">
        <v>49</v>
      </c>
      <c r="AN808" s="296" t="s">
        <v>284</v>
      </c>
      <c r="AO808" s="296" t="s">
        <v>50</v>
      </c>
      <c r="AP808" s="296" t="s">
        <v>51</v>
      </c>
      <c r="AQ808" s="296" t="s">
        <v>1118</v>
      </c>
    </row>
    <row r="809" spans="1:43" ht="15.75" customHeight="1">
      <c r="A809" s="69">
        <v>43721</v>
      </c>
      <c r="B809" s="307" t="s">
        <v>39</v>
      </c>
      <c r="C809" s="21">
        <v>2030683</v>
      </c>
      <c r="D809" s="22" t="s">
        <v>1630</v>
      </c>
      <c r="E809" s="32" t="s">
        <v>1631</v>
      </c>
      <c r="F809" s="24">
        <v>1</v>
      </c>
      <c r="G809" s="48">
        <v>70</v>
      </c>
      <c r="H809" s="60">
        <f t="shared" si="84"/>
        <v>70</v>
      </c>
      <c r="I809" s="61" t="s">
        <v>42</v>
      </c>
      <c r="J809" s="50" t="s">
        <v>901</v>
      </c>
      <c r="K809" s="29">
        <v>43746</v>
      </c>
      <c r="L809" s="29"/>
      <c r="M809" s="29">
        <v>43727</v>
      </c>
      <c r="N809" s="50" t="s">
        <v>178</v>
      </c>
      <c r="O809" s="93"/>
      <c r="P809" s="406"/>
      <c r="Q809" s="406"/>
      <c r="R809" s="406"/>
      <c r="S809" s="406"/>
      <c r="T809" s="406">
        <v>1413</v>
      </c>
      <c r="U809" s="707">
        <v>1484</v>
      </c>
      <c r="V809" s="501"/>
      <c r="W809" s="304"/>
      <c r="X809" s="304"/>
      <c r="Y809" s="304"/>
      <c r="Z809" s="304"/>
      <c r="AA809" s="304"/>
      <c r="AB809" s="304" t="s">
        <v>3035</v>
      </c>
      <c r="AC809" s="304">
        <v>776577081230</v>
      </c>
      <c r="AD809" s="304">
        <v>30.97</v>
      </c>
      <c r="AE809" s="304"/>
      <c r="AF809" s="304"/>
      <c r="AG809" s="296"/>
      <c r="AH809" s="296"/>
      <c r="AI809" s="297"/>
      <c r="AJ809" s="29">
        <v>43760</v>
      </c>
      <c r="AK809" s="297" t="s">
        <v>3036</v>
      </c>
      <c r="AL809" s="297" t="s">
        <v>3037</v>
      </c>
      <c r="AM809" s="296" t="s">
        <v>49</v>
      </c>
      <c r="AN809" s="296" t="s">
        <v>284</v>
      </c>
      <c r="AO809" s="296" t="s">
        <v>50</v>
      </c>
      <c r="AP809" s="296" t="s">
        <v>51</v>
      </c>
      <c r="AQ809" s="296" t="s">
        <v>755</v>
      </c>
    </row>
    <row r="810" spans="1:43" ht="15.75" customHeight="1">
      <c r="A810" s="69">
        <v>43721</v>
      </c>
      <c r="B810" s="307" t="s">
        <v>39</v>
      </c>
      <c r="C810" s="21">
        <v>2030683</v>
      </c>
      <c r="D810" s="22" t="s">
        <v>1630</v>
      </c>
      <c r="E810" s="32" t="s">
        <v>1632</v>
      </c>
      <c r="F810" s="24">
        <v>1</v>
      </c>
      <c r="G810" s="48">
        <v>1335</v>
      </c>
      <c r="H810" s="60">
        <f t="shared" si="84"/>
        <v>1335</v>
      </c>
      <c r="I810" s="61" t="s">
        <v>42</v>
      </c>
      <c r="J810" s="50" t="s">
        <v>901</v>
      </c>
      <c r="K810" s="29">
        <v>43746</v>
      </c>
      <c r="L810" s="29"/>
      <c r="M810" s="29">
        <v>43745</v>
      </c>
      <c r="N810" s="50" t="s">
        <v>2979</v>
      </c>
      <c r="O810" s="93" t="s">
        <v>3038</v>
      </c>
      <c r="P810" s="406"/>
      <c r="Q810" s="406">
        <f t="shared" ref="Q810:Q825" si="85">(P810*F810)*1.05</f>
        <v>0</v>
      </c>
      <c r="R810" s="406"/>
      <c r="S810" s="406"/>
      <c r="T810" s="406"/>
      <c r="U810" s="708">
        <v>30075</v>
      </c>
      <c r="V810" s="501"/>
      <c r="W810" s="304"/>
      <c r="X810" s="304"/>
      <c r="Y810" s="304"/>
      <c r="Z810" s="304"/>
      <c r="AA810" s="304"/>
      <c r="AB810" s="304" t="s">
        <v>3035</v>
      </c>
      <c r="AC810" s="304">
        <v>776577081230</v>
      </c>
      <c r="AD810" s="304">
        <v>30.97</v>
      </c>
      <c r="AE810" s="304"/>
      <c r="AF810" s="304"/>
      <c r="AG810" s="296"/>
      <c r="AH810" s="296"/>
      <c r="AI810" s="297"/>
      <c r="AJ810" s="29">
        <v>43760</v>
      </c>
      <c r="AK810" s="297">
        <f>1398.45*30.55</f>
        <v>42722.647499999999</v>
      </c>
      <c r="AL810" s="297">
        <f>(1405-1398.45)*30.55</f>
        <v>200.10249999999863</v>
      </c>
      <c r="AM810" s="296" t="s">
        <v>49</v>
      </c>
      <c r="AN810" s="296" t="s">
        <v>284</v>
      </c>
      <c r="AO810" s="296" t="s">
        <v>50</v>
      </c>
      <c r="AP810" s="296" t="s">
        <v>51</v>
      </c>
      <c r="AQ810" s="296" t="s">
        <v>755</v>
      </c>
    </row>
    <row r="811" spans="1:43" ht="15.75" customHeight="1">
      <c r="A811" s="69">
        <v>43724</v>
      </c>
      <c r="B811" s="70" t="s">
        <v>1622</v>
      </c>
      <c r="C811" s="21" t="s">
        <v>1633</v>
      </c>
      <c r="D811" s="21" t="s">
        <v>1634</v>
      </c>
      <c r="E811" s="32" t="s">
        <v>1635</v>
      </c>
      <c r="F811" s="24">
        <v>5</v>
      </c>
      <c r="G811" s="48">
        <v>2.5</v>
      </c>
      <c r="H811" s="81">
        <f t="shared" si="84"/>
        <v>12.5</v>
      </c>
      <c r="I811" s="61" t="s">
        <v>247</v>
      </c>
      <c r="J811" s="63" t="s">
        <v>1636</v>
      </c>
      <c r="K811" s="30">
        <v>43734</v>
      </c>
      <c r="L811" s="30"/>
      <c r="M811" s="29">
        <v>43727</v>
      </c>
      <c r="N811" s="50" t="s">
        <v>3039</v>
      </c>
      <c r="O811" s="93" t="s">
        <v>576</v>
      </c>
      <c r="P811" s="406"/>
      <c r="Q811" s="406">
        <f t="shared" si="85"/>
        <v>0</v>
      </c>
      <c r="R811" s="406"/>
      <c r="S811" s="406"/>
      <c r="T811" s="406">
        <v>0</v>
      </c>
      <c r="U811" s="709">
        <f>(T811*F811)*1.05</f>
        <v>0</v>
      </c>
      <c r="V811" s="501"/>
      <c r="W811" s="304"/>
      <c r="X811" s="304"/>
      <c r="Y811" s="304"/>
      <c r="Z811" s="304"/>
      <c r="AA811" s="304"/>
      <c r="AB811" s="304" t="s">
        <v>3040</v>
      </c>
      <c r="AC811" s="304">
        <v>776341023426</v>
      </c>
      <c r="AD811" s="304">
        <v>30.984999999999999</v>
      </c>
      <c r="AE811" s="304"/>
      <c r="AF811" s="304"/>
      <c r="AG811" s="296"/>
      <c r="AH811" s="296"/>
      <c r="AI811" s="297"/>
      <c r="AJ811" s="537"/>
      <c r="AK811" s="297"/>
      <c r="AL811" s="297"/>
      <c r="AM811" s="296"/>
      <c r="AN811" s="296" t="s">
        <v>284</v>
      </c>
      <c r="AO811" s="296" t="s">
        <v>50</v>
      </c>
      <c r="AP811" s="296" t="s">
        <v>51</v>
      </c>
      <c r="AQ811" s="296" t="s">
        <v>1118</v>
      </c>
    </row>
    <row r="812" spans="1:43" ht="15.75" customHeight="1">
      <c r="A812" s="397">
        <v>43724</v>
      </c>
      <c r="B812" s="375" t="s">
        <v>1622</v>
      </c>
      <c r="C812" s="183" t="s">
        <v>1633</v>
      </c>
      <c r="D812" s="183" t="s">
        <v>1634</v>
      </c>
      <c r="E812" s="185" t="s">
        <v>1637</v>
      </c>
      <c r="F812" s="186">
        <v>6</v>
      </c>
      <c r="G812" s="187"/>
      <c r="H812" s="538"/>
      <c r="I812" s="481"/>
      <c r="J812" s="190" t="s">
        <v>1636</v>
      </c>
      <c r="K812" s="539"/>
      <c r="L812" s="539"/>
      <c r="M812" s="400" t="s">
        <v>70</v>
      </c>
      <c r="N812" s="673"/>
      <c r="O812" s="616"/>
      <c r="P812" s="194"/>
      <c r="Q812" s="194">
        <f t="shared" si="85"/>
        <v>0</v>
      </c>
      <c r="R812" s="194"/>
      <c r="S812" s="194"/>
      <c r="T812" s="194"/>
      <c r="U812" s="194">
        <f>(T812*F812)*1.05</f>
        <v>0</v>
      </c>
      <c r="V812" s="615"/>
      <c r="W812" s="195"/>
      <c r="X812" s="199"/>
      <c r="Y812" s="199"/>
      <c r="Z812" s="199"/>
      <c r="AA812" s="199"/>
      <c r="AB812" s="199"/>
      <c r="AC812" s="199"/>
      <c r="AD812" s="199"/>
      <c r="AE812" s="199"/>
      <c r="AF812" s="199"/>
      <c r="AG812" s="200"/>
      <c r="AH812" s="200"/>
      <c r="AI812" s="201"/>
      <c r="AJ812" s="202"/>
      <c r="AK812" s="201"/>
      <c r="AL812" s="201"/>
      <c r="AM812" s="200" t="s">
        <v>1626</v>
      </c>
      <c r="AN812" s="54" t="s">
        <v>295</v>
      </c>
      <c r="AO812" s="54" t="s">
        <v>50</v>
      </c>
      <c r="AP812" s="54" t="s">
        <v>51</v>
      </c>
      <c r="AQ812" s="200"/>
    </row>
    <row r="813" spans="1:43" ht="15.75" customHeight="1">
      <c r="A813" s="397">
        <v>43724</v>
      </c>
      <c r="B813" s="375" t="s">
        <v>1622</v>
      </c>
      <c r="C813" s="183" t="s">
        <v>1633</v>
      </c>
      <c r="D813" s="183" t="s">
        <v>1634</v>
      </c>
      <c r="E813" s="185" t="s">
        <v>1638</v>
      </c>
      <c r="F813" s="186">
        <v>1</v>
      </c>
      <c r="G813" s="187"/>
      <c r="H813" s="538"/>
      <c r="I813" s="481"/>
      <c r="J813" s="190" t="s">
        <v>1636</v>
      </c>
      <c r="K813" s="539"/>
      <c r="L813" s="539"/>
      <c r="M813" s="614"/>
      <c r="N813" s="673"/>
      <c r="O813" s="616"/>
      <c r="P813" s="194"/>
      <c r="Q813" s="194">
        <f t="shared" si="85"/>
        <v>0</v>
      </c>
      <c r="R813" s="194"/>
      <c r="S813" s="194"/>
      <c r="T813" s="194"/>
      <c r="U813" s="194">
        <f>(T813*F813)*1.05</f>
        <v>0</v>
      </c>
      <c r="V813" s="615"/>
      <c r="W813" s="195"/>
      <c r="X813" s="199"/>
      <c r="Y813" s="199"/>
      <c r="Z813" s="199"/>
      <c r="AA813" s="199"/>
      <c r="AB813" s="199"/>
      <c r="AC813" s="199"/>
      <c r="AD813" s="199"/>
      <c r="AE813" s="199"/>
      <c r="AF813" s="199"/>
      <c r="AG813" s="200"/>
      <c r="AH813" s="200"/>
      <c r="AI813" s="201"/>
      <c r="AJ813" s="202"/>
      <c r="AK813" s="201"/>
      <c r="AL813" s="201"/>
      <c r="AM813" s="200" t="s">
        <v>1626</v>
      </c>
      <c r="AN813" s="54" t="s">
        <v>295</v>
      </c>
      <c r="AO813" s="54" t="s">
        <v>50</v>
      </c>
      <c r="AP813" s="54" t="s">
        <v>51</v>
      </c>
      <c r="AQ813" s="200"/>
    </row>
    <row r="814" spans="1:43" ht="15.75" customHeight="1">
      <c r="A814" s="69">
        <v>43724</v>
      </c>
      <c r="B814" s="70" t="s">
        <v>1622</v>
      </c>
      <c r="C814" s="21" t="s">
        <v>1633</v>
      </c>
      <c r="D814" s="21" t="s">
        <v>1634</v>
      </c>
      <c r="E814" s="32" t="s">
        <v>692</v>
      </c>
      <c r="F814" s="24">
        <v>1</v>
      </c>
      <c r="G814" s="48">
        <v>40</v>
      </c>
      <c r="H814" s="81">
        <f t="shared" ref="H814:H825" si="86">G814*F814</f>
        <v>40</v>
      </c>
      <c r="I814" s="61" t="s">
        <v>247</v>
      </c>
      <c r="J814" s="63" t="s">
        <v>1636</v>
      </c>
      <c r="K814" s="540">
        <v>43734</v>
      </c>
      <c r="L814" s="1475"/>
      <c r="M814" s="665"/>
      <c r="N814" s="63" t="s">
        <v>219</v>
      </c>
      <c r="O814" s="64"/>
      <c r="P814" s="34"/>
      <c r="Q814" s="34">
        <f t="shared" si="85"/>
        <v>0</v>
      </c>
      <c r="R814" s="34"/>
      <c r="S814" s="34"/>
      <c r="T814" s="34"/>
      <c r="U814" s="34">
        <f>(T814*F814)*1.05</f>
        <v>0</v>
      </c>
      <c r="V814" s="66"/>
      <c r="W814" s="52"/>
      <c r="X814" s="53"/>
      <c r="Y814" s="53"/>
      <c r="Z814" s="53"/>
      <c r="AA814" s="53"/>
      <c r="AB814" s="53" t="s">
        <v>3040</v>
      </c>
      <c r="AC814" s="53">
        <v>776341023426</v>
      </c>
      <c r="AD814" s="53">
        <v>30.984999999999999</v>
      </c>
      <c r="AE814" s="53"/>
      <c r="AF814" s="53"/>
      <c r="AG814" s="54"/>
      <c r="AH814" s="54"/>
      <c r="AI814" s="55"/>
      <c r="AJ814" s="68"/>
      <c r="AK814" s="55"/>
      <c r="AL814" s="55"/>
      <c r="AM814" s="54"/>
      <c r="AN814" s="54" t="s">
        <v>284</v>
      </c>
      <c r="AO814" s="54" t="s">
        <v>50</v>
      </c>
      <c r="AP814" s="54" t="s">
        <v>51</v>
      </c>
      <c r="AQ814" s="54"/>
    </row>
    <row r="815" spans="1:43" ht="15.75" customHeight="1">
      <c r="A815" s="69">
        <v>43725</v>
      </c>
      <c r="B815" s="70" t="s">
        <v>118</v>
      </c>
      <c r="C815" s="21" t="s">
        <v>1639</v>
      </c>
      <c r="D815" s="21" t="s">
        <v>1640</v>
      </c>
      <c r="E815" s="32" t="s">
        <v>151</v>
      </c>
      <c r="F815" s="24">
        <v>2</v>
      </c>
      <c r="G815" s="48">
        <v>1045</v>
      </c>
      <c r="H815" s="60">
        <f t="shared" si="86"/>
        <v>2090</v>
      </c>
      <c r="I815" s="61" t="s">
        <v>247</v>
      </c>
      <c r="J815" s="82" t="s">
        <v>121</v>
      </c>
      <c r="K815" s="540">
        <v>43742</v>
      </c>
      <c r="L815" s="1475"/>
      <c r="M815" s="30">
        <v>43739</v>
      </c>
      <c r="N815" s="50" t="s">
        <v>89</v>
      </c>
      <c r="O815" s="93" t="s">
        <v>3041</v>
      </c>
      <c r="P815" s="406">
        <v>920</v>
      </c>
      <c r="Q815" s="406">
        <f t="shared" si="85"/>
        <v>1932</v>
      </c>
      <c r="R815" s="406"/>
      <c r="S815" s="406"/>
      <c r="T815" s="406"/>
      <c r="U815" s="406">
        <v>59834</v>
      </c>
      <c r="V815" s="51" t="s">
        <v>93</v>
      </c>
      <c r="W815" s="303">
        <v>43799</v>
      </c>
      <c r="X815" s="460">
        <v>43739</v>
      </c>
      <c r="Y815" s="304" t="s">
        <v>1641</v>
      </c>
      <c r="Z815" s="304">
        <v>163568</v>
      </c>
      <c r="AA815" s="304"/>
      <c r="AB815" s="304" t="s">
        <v>3042</v>
      </c>
      <c r="AC815" s="304" t="s">
        <v>3043</v>
      </c>
      <c r="AD815" s="304">
        <v>30.97</v>
      </c>
      <c r="AE815" s="304"/>
      <c r="AF815" s="304"/>
      <c r="AG815" s="296"/>
      <c r="AH815" s="296"/>
      <c r="AI815" s="297"/>
      <c r="AJ815" s="298">
        <v>43777</v>
      </c>
      <c r="AK815" s="297">
        <f>5758.4*30.3</f>
        <v>174479.52</v>
      </c>
      <c r="AL815" s="297">
        <f>(5775-5758.4)*30.3</f>
        <v>502.98000000001105</v>
      </c>
      <c r="AM815" s="296" t="s">
        <v>49</v>
      </c>
      <c r="AN815" s="296" t="s">
        <v>284</v>
      </c>
      <c r="AO815" s="296" t="s">
        <v>50</v>
      </c>
      <c r="AP815" s="296" t="s">
        <v>51</v>
      </c>
      <c r="AQ815" s="296" t="s">
        <v>755</v>
      </c>
    </row>
    <row r="816" spans="1:43" ht="15.75" customHeight="1">
      <c r="A816" s="69">
        <v>43725</v>
      </c>
      <c r="B816" s="70" t="s">
        <v>118</v>
      </c>
      <c r="C816" s="21" t="s">
        <v>1639</v>
      </c>
      <c r="D816" s="21" t="s">
        <v>1640</v>
      </c>
      <c r="E816" s="23" t="s">
        <v>414</v>
      </c>
      <c r="F816" s="24">
        <v>11</v>
      </c>
      <c r="G816" s="48">
        <v>335</v>
      </c>
      <c r="H816" s="60">
        <f t="shared" si="86"/>
        <v>3685</v>
      </c>
      <c r="I816" s="61" t="s">
        <v>247</v>
      </c>
      <c r="J816" s="82" t="s">
        <v>121</v>
      </c>
      <c r="K816" s="540">
        <v>43742</v>
      </c>
      <c r="L816" s="1475"/>
      <c r="M816" s="30">
        <v>43739</v>
      </c>
      <c r="N816" s="50" t="s">
        <v>89</v>
      </c>
      <c r="O816" s="93" t="s">
        <v>3041</v>
      </c>
      <c r="P816" s="406">
        <v>290</v>
      </c>
      <c r="Q816" s="406">
        <f t="shared" si="85"/>
        <v>3349.5</v>
      </c>
      <c r="R816" s="406"/>
      <c r="S816" s="406"/>
      <c r="T816" s="406"/>
      <c r="U816" s="406">
        <v>103734</v>
      </c>
      <c r="V816" s="51" t="s">
        <v>93</v>
      </c>
      <c r="W816" s="303">
        <v>43799</v>
      </c>
      <c r="X816" s="460">
        <v>43739</v>
      </c>
      <c r="Y816" s="304" t="s">
        <v>1641</v>
      </c>
      <c r="Z816" s="304" t="s">
        <v>3044</v>
      </c>
      <c r="AA816" s="304"/>
      <c r="AB816" s="304" t="s">
        <v>3042</v>
      </c>
      <c r="AC816" s="304" t="s">
        <v>3043</v>
      </c>
      <c r="AD816" s="304">
        <v>30.97</v>
      </c>
      <c r="AE816" s="304"/>
      <c r="AF816" s="304"/>
      <c r="AG816" s="296"/>
      <c r="AH816" s="296"/>
      <c r="AI816" s="297"/>
      <c r="AJ816" s="298">
        <v>43777</v>
      </c>
      <c r="AK816" s="297" t="s">
        <v>3045</v>
      </c>
      <c r="AL816" s="297" t="s">
        <v>3046</v>
      </c>
      <c r="AM816" s="296" t="s">
        <v>49</v>
      </c>
      <c r="AN816" s="296" t="s">
        <v>284</v>
      </c>
      <c r="AO816" s="296" t="s">
        <v>50</v>
      </c>
      <c r="AP816" s="296" t="s">
        <v>51</v>
      </c>
      <c r="AQ816" s="296" t="s">
        <v>755</v>
      </c>
    </row>
    <row r="817" spans="1:43" ht="15.75" customHeight="1">
      <c r="A817" s="69">
        <v>43725</v>
      </c>
      <c r="B817" s="22" t="s">
        <v>1166</v>
      </c>
      <c r="C817" s="22"/>
      <c r="D817" s="22" t="s">
        <v>1642</v>
      </c>
      <c r="E817" s="35" t="s">
        <v>1285</v>
      </c>
      <c r="F817" s="24">
        <v>3</v>
      </c>
      <c r="G817" s="48">
        <v>109</v>
      </c>
      <c r="H817" s="60">
        <f t="shared" si="86"/>
        <v>327</v>
      </c>
      <c r="I817" s="61" t="s">
        <v>143</v>
      </c>
      <c r="J817" s="541" t="s">
        <v>1643</v>
      </c>
      <c r="K817" s="30">
        <v>43734</v>
      </c>
      <c r="L817" s="30"/>
      <c r="M817" s="30">
        <v>43733</v>
      </c>
      <c r="N817" s="50" t="s">
        <v>89</v>
      </c>
      <c r="O817" s="93" t="s">
        <v>3047</v>
      </c>
      <c r="P817" s="406">
        <v>96</v>
      </c>
      <c r="Q817" s="406">
        <f t="shared" si="85"/>
        <v>302.40000000000003</v>
      </c>
      <c r="R817" s="406"/>
      <c r="S817" s="406"/>
      <c r="T817" s="406"/>
      <c r="U817" s="406">
        <v>9370</v>
      </c>
      <c r="V817" s="35" t="s">
        <v>93</v>
      </c>
      <c r="W817" s="303">
        <v>43769</v>
      </c>
      <c r="X817" s="460">
        <v>43732</v>
      </c>
      <c r="Y817" s="304" t="s">
        <v>1644</v>
      </c>
      <c r="Z817" s="304">
        <v>12005</v>
      </c>
      <c r="AA817" s="304"/>
      <c r="AB817" s="304" t="s">
        <v>3048</v>
      </c>
      <c r="AC817" s="304">
        <v>50080110611</v>
      </c>
      <c r="AD817" s="304">
        <v>30.984999999999999</v>
      </c>
      <c r="AE817" s="304"/>
      <c r="AF817" s="304"/>
      <c r="AG817" s="296"/>
      <c r="AH817" s="296"/>
      <c r="AI817" s="297"/>
      <c r="AJ817" s="298">
        <v>43727</v>
      </c>
      <c r="AK817" s="297">
        <f>418.54*30.95</f>
        <v>12953.813</v>
      </c>
      <c r="AL817" s="297">
        <f>(440-418.54)*30.95</f>
        <v>664.18699999999933</v>
      </c>
      <c r="AM817" s="296" t="s">
        <v>49</v>
      </c>
      <c r="AN817" s="296" t="s">
        <v>284</v>
      </c>
      <c r="AO817" s="296" t="s">
        <v>50</v>
      </c>
      <c r="AP817" s="296" t="s">
        <v>51</v>
      </c>
      <c r="AQ817" s="296" t="s">
        <v>1118</v>
      </c>
    </row>
    <row r="818" spans="1:43" ht="15.75" customHeight="1">
      <c r="A818" s="69">
        <v>43725</v>
      </c>
      <c r="B818" s="22" t="s">
        <v>1166</v>
      </c>
      <c r="C818" s="22"/>
      <c r="D818" s="22" t="s">
        <v>1642</v>
      </c>
      <c r="E818" s="35" t="s">
        <v>136</v>
      </c>
      <c r="F818" s="24">
        <v>3</v>
      </c>
      <c r="G818" s="48">
        <v>31</v>
      </c>
      <c r="H818" s="60">
        <f t="shared" si="86"/>
        <v>93</v>
      </c>
      <c r="I818" s="61" t="s">
        <v>143</v>
      </c>
      <c r="J818" s="541" t="s">
        <v>1643</v>
      </c>
      <c r="K818" s="30">
        <v>43734</v>
      </c>
      <c r="L818" s="30"/>
      <c r="M818" s="30">
        <v>43733</v>
      </c>
      <c r="N818" s="50" t="s">
        <v>89</v>
      </c>
      <c r="O818" s="93" t="s">
        <v>3047</v>
      </c>
      <c r="P818" s="406">
        <v>27</v>
      </c>
      <c r="Q818" s="406">
        <f t="shared" si="85"/>
        <v>85.05</v>
      </c>
      <c r="R818" s="406"/>
      <c r="S818" s="406"/>
      <c r="T818" s="406"/>
      <c r="U818" s="406">
        <v>2635</v>
      </c>
      <c r="V818" s="35" t="s">
        <v>93</v>
      </c>
      <c r="W818" s="303">
        <v>43769</v>
      </c>
      <c r="X818" s="460">
        <v>43732</v>
      </c>
      <c r="Y818" s="304" t="s">
        <v>1644</v>
      </c>
      <c r="Z818" s="304" t="s">
        <v>3049</v>
      </c>
      <c r="AA818" s="304"/>
      <c r="AB818" s="304" t="s">
        <v>3048</v>
      </c>
      <c r="AC818" s="304">
        <v>50080110611</v>
      </c>
      <c r="AD818" s="304">
        <v>30.984999999999999</v>
      </c>
      <c r="AE818" s="304"/>
      <c r="AF818" s="304"/>
      <c r="AG818" s="296"/>
      <c r="AH818" s="296"/>
      <c r="AI818" s="297"/>
      <c r="AJ818" s="298">
        <v>43727</v>
      </c>
      <c r="AK818" s="297" t="s">
        <v>3050</v>
      </c>
      <c r="AL818" s="297" t="s">
        <v>3051</v>
      </c>
      <c r="AM818" s="296" t="s">
        <v>49</v>
      </c>
      <c r="AN818" s="296" t="s">
        <v>284</v>
      </c>
      <c r="AO818" s="296" t="s">
        <v>50</v>
      </c>
      <c r="AP818" s="296" t="s">
        <v>51</v>
      </c>
      <c r="AQ818" s="296" t="s">
        <v>1118</v>
      </c>
    </row>
    <row r="819" spans="1:43" ht="15.75" customHeight="1">
      <c r="A819" s="69">
        <v>43725</v>
      </c>
      <c r="B819" s="22" t="s">
        <v>1166</v>
      </c>
      <c r="C819" s="22"/>
      <c r="D819" s="22" t="s">
        <v>1642</v>
      </c>
      <c r="E819" s="35" t="s">
        <v>692</v>
      </c>
      <c r="F819" s="24">
        <v>1</v>
      </c>
      <c r="G819" s="48">
        <v>40</v>
      </c>
      <c r="H819" s="81">
        <f t="shared" si="86"/>
        <v>40</v>
      </c>
      <c r="I819" s="61" t="s">
        <v>86</v>
      </c>
      <c r="J819" s="541"/>
      <c r="K819" s="30">
        <v>43734</v>
      </c>
      <c r="L819" s="30"/>
      <c r="M819" s="665"/>
      <c r="N819" s="63" t="s">
        <v>219</v>
      </c>
      <c r="O819" s="64"/>
      <c r="P819" s="34"/>
      <c r="Q819" s="34">
        <f t="shared" si="85"/>
        <v>0</v>
      </c>
      <c r="R819" s="34"/>
      <c r="S819" s="34"/>
      <c r="T819" s="34"/>
      <c r="U819" s="34">
        <f>(T819*F819)*1.05</f>
        <v>0</v>
      </c>
      <c r="V819" s="35" t="s">
        <v>93</v>
      </c>
      <c r="W819" s="52"/>
      <c r="X819" s="53"/>
      <c r="Y819" s="53"/>
      <c r="Z819" s="53"/>
      <c r="AA819" s="53"/>
      <c r="AB819" s="53" t="s">
        <v>3048</v>
      </c>
      <c r="AC819" s="53">
        <v>50080110611</v>
      </c>
      <c r="AD819" s="53">
        <v>30.984999999999999</v>
      </c>
      <c r="AE819" s="53"/>
      <c r="AF819" s="53"/>
      <c r="AG819" s="54"/>
      <c r="AH819" s="54"/>
      <c r="AI819" s="55"/>
      <c r="AJ819" s="56">
        <v>43727</v>
      </c>
      <c r="AK819" s="55"/>
      <c r="AL819" s="55"/>
      <c r="AM819" s="54"/>
      <c r="AN819" s="54" t="s">
        <v>284</v>
      </c>
      <c r="AO819" s="54" t="s">
        <v>50</v>
      </c>
      <c r="AP819" s="54" t="s">
        <v>51</v>
      </c>
      <c r="AQ819" s="54"/>
    </row>
    <row r="820" spans="1:43" ht="15.75" customHeight="1">
      <c r="A820" s="69">
        <v>43725</v>
      </c>
      <c r="B820" s="70" t="s">
        <v>619</v>
      </c>
      <c r="C820" s="21"/>
      <c r="D820" s="21" t="s">
        <v>1645</v>
      </c>
      <c r="E820" s="32" t="s">
        <v>1646</v>
      </c>
      <c r="F820" s="82">
        <v>4</v>
      </c>
      <c r="G820" s="48">
        <v>344.4</v>
      </c>
      <c r="H820" s="26">
        <f t="shared" si="86"/>
        <v>1377.6</v>
      </c>
      <c r="I820" s="27" t="s">
        <v>42</v>
      </c>
      <c r="J820" s="50" t="s">
        <v>89</v>
      </c>
      <c r="K820" s="29">
        <v>43728</v>
      </c>
      <c r="L820" s="29"/>
      <c r="M820" s="30">
        <v>43728</v>
      </c>
      <c r="N820" s="50" t="s">
        <v>89</v>
      </c>
      <c r="O820" s="93" t="s">
        <v>3052</v>
      </c>
      <c r="P820" s="406">
        <v>269</v>
      </c>
      <c r="Q820" s="406">
        <f t="shared" si="85"/>
        <v>1129.8</v>
      </c>
      <c r="R820" s="406"/>
      <c r="S820" s="406"/>
      <c r="T820" s="406"/>
      <c r="U820" s="406">
        <v>35272</v>
      </c>
      <c r="V820" s="51" t="s">
        <v>93</v>
      </c>
      <c r="W820" s="460">
        <v>43769</v>
      </c>
      <c r="X820" s="460">
        <v>43727</v>
      </c>
      <c r="Y820" s="304" t="s">
        <v>1647</v>
      </c>
      <c r="Z820" s="304">
        <v>54482</v>
      </c>
      <c r="AA820" s="304"/>
      <c r="AB820" s="304" t="s">
        <v>3053</v>
      </c>
      <c r="AC820" s="304"/>
      <c r="AD820" s="304">
        <v>30.995000000000001</v>
      </c>
      <c r="AE820" s="304">
        <v>66001</v>
      </c>
      <c r="AF820" s="460">
        <v>43735</v>
      </c>
      <c r="AG820" s="296"/>
      <c r="AH820" s="296"/>
      <c r="AI820" s="297"/>
      <c r="AJ820" s="298">
        <v>43743</v>
      </c>
      <c r="AK820" s="297">
        <v>66001</v>
      </c>
      <c r="AL820" s="297">
        <v>0</v>
      </c>
      <c r="AM820" s="296" t="s">
        <v>49</v>
      </c>
      <c r="AN820" s="296" t="s">
        <v>284</v>
      </c>
      <c r="AO820" s="296" t="s">
        <v>50</v>
      </c>
      <c r="AP820" s="296" t="s">
        <v>376</v>
      </c>
      <c r="AQ820" s="296" t="s">
        <v>1118</v>
      </c>
    </row>
    <row r="821" spans="1:43" ht="15.75" customHeight="1">
      <c r="A821" s="69">
        <v>43725</v>
      </c>
      <c r="B821" s="70" t="s">
        <v>619</v>
      </c>
      <c r="C821" s="21"/>
      <c r="D821" s="21" t="s">
        <v>1645</v>
      </c>
      <c r="E821" s="32" t="s">
        <v>1648</v>
      </c>
      <c r="F821" s="82">
        <v>2</v>
      </c>
      <c r="G821" s="48">
        <v>375.9</v>
      </c>
      <c r="H821" s="26">
        <f t="shared" si="86"/>
        <v>751.8</v>
      </c>
      <c r="I821" s="27" t="s">
        <v>42</v>
      </c>
      <c r="J821" s="50" t="s">
        <v>89</v>
      </c>
      <c r="K821" s="29">
        <v>43728</v>
      </c>
      <c r="L821" s="29"/>
      <c r="M821" s="30">
        <v>43728</v>
      </c>
      <c r="N821" s="50" t="s">
        <v>89</v>
      </c>
      <c r="O821" s="93" t="s">
        <v>3052</v>
      </c>
      <c r="P821" s="406">
        <v>293</v>
      </c>
      <c r="Q821" s="406">
        <f t="shared" si="85"/>
        <v>615.30000000000007</v>
      </c>
      <c r="R821" s="406"/>
      <c r="S821" s="406"/>
      <c r="T821" s="406"/>
      <c r="U821" s="406">
        <v>19210</v>
      </c>
      <c r="V821" s="51" t="s">
        <v>93</v>
      </c>
      <c r="W821" s="460">
        <v>43769</v>
      </c>
      <c r="X821" s="460">
        <v>43727</v>
      </c>
      <c r="Y821" s="304" t="s">
        <v>1647</v>
      </c>
      <c r="Z821" s="304" t="s">
        <v>3054</v>
      </c>
      <c r="AA821" s="304"/>
      <c r="AB821" s="304" t="s">
        <v>3053</v>
      </c>
      <c r="AC821" s="304"/>
      <c r="AD821" s="304">
        <v>30.995000000000001</v>
      </c>
      <c r="AE821" s="304" t="s">
        <v>3055</v>
      </c>
      <c r="AF821" s="460">
        <v>43735</v>
      </c>
      <c r="AG821" s="296"/>
      <c r="AH821" s="296"/>
      <c r="AI821" s="297"/>
      <c r="AJ821" s="298">
        <v>43743</v>
      </c>
      <c r="AK821" s="297" t="s">
        <v>3056</v>
      </c>
      <c r="AL821" s="297" t="s">
        <v>3057</v>
      </c>
      <c r="AM821" s="296" t="s">
        <v>49</v>
      </c>
      <c r="AN821" s="296" t="s">
        <v>284</v>
      </c>
      <c r="AO821" s="296" t="s">
        <v>50</v>
      </c>
      <c r="AP821" s="296" t="s">
        <v>376</v>
      </c>
      <c r="AQ821" s="296" t="s">
        <v>1118</v>
      </c>
    </row>
    <row r="822" spans="1:43" ht="15.75" customHeight="1">
      <c r="A822" s="69">
        <v>43727</v>
      </c>
      <c r="B822" s="23" t="s">
        <v>405</v>
      </c>
      <c r="C822" s="21">
        <v>7000150303</v>
      </c>
      <c r="D822" s="21" t="s">
        <v>1649</v>
      </c>
      <c r="E822" s="32" t="s">
        <v>1650</v>
      </c>
      <c r="F822" s="24">
        <v>1</v>
      </c>
      <c r="G822" s="48">
        <v>208</v>
      </c>
      <c r="H822" s="26">
        <f t="shared" si="86"/>
        <v>208</v>
      </c>
      <c r="I822" s="27" t="s">
        <v>42</v>
      </c>
      <c r="J822" s="50" t="s">
        <v>512</v>
      </c>
      <c r="K822" s="29">
        <v>43739</v>
      </c>
      <c r="L822" s="29"/>
      <c r="M822" s="29">
        <v>43735</v>
      </c>
      <c r="N822" s="58" t="s">
        <v>2043</v>
      </c>
      <c r="O822" s="93" t="s">
        <v>3058</v>
      </c>
      <c r="P822" s="406"/>
      <c r="Q822" s="406">
        <f t="shared" si="85"/>
        <v>0</v>
      </c>
      <c r="R822" s="406"/>
      <c r="S822" s="406"/>
      <c r="T822" s="406">
        <v>5466</v>
      </c>
      <c r="U822" s="406">
        <v>5739</v>
      </c>
      <c r="V822" s="501" t="s">
        <v>2045</v>
      </c>
      <c r="W822" s="303">
        <v>43830</v>
      </c>
      <c r="X822" s="460">
        <v>43734</v>
      </c>
      <c r="Y822" s="304" t="s">
        <v>1651</v>
      </c>
      <c r="Z822" s="304">
        <v>11012</v>
      </c>
      <c r="AA822" s="304"/>
      <c r="AB822" s="304" t="s">
        <v>3059</v>
      </c>
      <c r="AC822" s="304">
        <v>2698839220</v>
      </c>
      <c r="AD822" s="304">
        <v>30.97</v>
      </c>
      <c r="AE822" s="304"/>
      <c r="AF822" s="304"/>
      <c r="AG822" s="296"/>
      <c r="AH822" s="296"/>
      <c r="AI822" s="297"/>
      <c r="AJ822" s="298">
        <v>43773</v>
      </c>
      <c r="AK822" s="297">
        <f>380.41*30.35</f>
        <v>11545.443500000001</v>
      </c>
      <c r="AL822" s="297">
        <f>(407-380.41)*30.35</f>
        <v>807.00649999999928</v>
      </c>
      <c r="AM822" s="296" t="s">
        <v>49</v>
      </c>
      <c r="AN822" s="296" t="s">
        <v>284</v>
      </c>
      <c r="AO822" s="296" t="s">
        <v>50</v>
      </c>
      <c r="AP822" s="296" t="s">
        <v>51</v>
      </c>
      <c r="AQ822" s="296" t="s">
        <v>755</v>
      </c>
    </row>
    <row r="823" spans="1:43" ht="15.75" customHeight="1">
      <c r="A823" s="69">
        <v>43727</v>
      </c>
      <c r="B823" s="23" t="s">
        <v>405</v>
      </c>
      <c r="C823" s="21">
        <v>7000150303</v>
      </c>
      <c r="D823" s="21" t="s">
        <v>1649</v>
      </c>
      <c r="E823" s="32" t="s">
        <v>1652</v>
      </c>
      <c r="F823" s="24">
        <v>1</v>
      </c>
      <c r="G823" s="48">
        <v>59</v>
      </c>
      <c r="H823" s="26">
        <f t="shared" si="86"/>
        <v>59</v>
      </c>
      <c r="I823" s="27" t="s">
        <v>42</v>
      </c>
      <c r="J823" s="50" t="s">
        <v>512</v>
      </c>
      <c r="K823" s="29">
        <v>43739</v>
      </c>
      <c r="L823" s="29"/>
      <c r="M823" s="29">
        <v>43735</v>
      </c>
      <c r="N823" s="58" t="s">
        <v>2043</v>
      </c>
      <c r="O823" s="93" t="s">
        <v>3058</v>
      </c>
      <c r="P823" s="406"/>
      <c r="Q823" s="406">
        <f t="shared" si="85"/>
        <v>0</v>
      </c>
      <c r="R823" s="406"/>
      <c r="S823" s="406"/>
      <c r="T823" s="406">
        <v>1506</v>
      </c>
      <c r="U823" s="406">
        <v>1581</v>
      </c>
      <c r="V823" s="501" t="s">
        <v>2045</v>
      </c>
      <c r="W823" s="303">
        <v>43830</v>
      </c>
      <c r="X823" s="460">
        <v>43734</v>
      </c>
      <c r="Y823" s="304" t="s">
        <v>1651</v>
      </c>
      <c r="Z823" s="304" t="s">
        <v>3060</v>
      </c>
      <c r="AA823" s="304"/>
      <c r="AB823" s="304" t="s">
        <v>3059</v>
      </c>
      <c r="AC823" s="304">
        <v>2698839220</v>
      </c>
      <c r="AD823" s="304">
        <v>30.97</v>
      </c>
      <c r="AE823" s="304"/>
      <c r="AF823" s="304"/>
      <c r="AG823" s="296"/>
      <c r="AH823" s="296"/>
      <c r="AI823" s="297"/>
      <c r="AJ823" s="298">
        <v>43773</v>
      </c>
      <c r="AK823" s="297" t="s">
        <v>3061</v>
      </c>
      <c r="AL823" s="297" t="s">
        <v>3062</v>
      </c>
      <c r="AM823" s="296" t="s">
        <v>49</v>
      </c>
      <c r="AN823" s="296" t="s">
        <v>284</v>
      </c>
      <c r="AO823" s="296" t="s">
        <v>50</v>
      </c>
      <c r="AP823" s="296" t="s">
        <v>51</v>
      </c>
      <c r="AQ823" s="82" t="s">
        <v>755</v>
      </c>
    </row>
    <row r="824" spans="1:43" ht="15.75" customHeight="1">
      <c r="A824" s="69">
        <v>43727</v>
      </c>
      <c r="B824" s="23" t="s">
        <v>405</v>
      </c>
      <c r="C824" s="21">
        <v>7000150303</v>
      </c>
      <c r="D824" s="21" t="s">
        <v>1649</v>
      </c>
      <c r="E824" s="32" t="s">
        <v>1653</v>
      </c>
      <c r="F824" s="24">
        <v>1</v>
      </c>
      <c r="G824" s="48">
        <v>54</v>
      </c>
      <c r="H824" s="26">
        <f t="shared" si="86"/>
        <v>54</v>
      </c>
      <c r="I824" s="27" t="s">
        <v>42</v>
      </c>
      <c r="J824" s="50" t="s">
        <v>512</v>
      </c>
      <c r="K824" s="29">
        <v>43739</v>
      </c>
      <c r="L824" s="29"/>
      <c r="M824" s="29">
        <v>43735</v>
      </c>
      <c r="N824" s="58" t="s">
        <v>2043</v>
      </c>
      <c r="O824" s="93" t="s">
        <v>3058</v>
      </c>
      <c r="P824" s="406"/>
      <c r="Q824" s="406">
        <f t="shared" si="85"/>
        <v>0</v>
      </c>
      <c r="R824" s="406"/>
      <c r="S824" s="406"/>
      <c r="T824" s="406">
        <v>1290</v>
      </c>
      <c r="U824" s="406">
        <v>1355</v>
      </c>
      <c r="V824" s="501" t="s">
        <v>2045</v>
      </c>
      <c r="W824" s="303">
        <v>43830</v>
      </c>
      <c r="X824" s="460">
        <v>43734</v>
      </c>
      <c r="Y824" s="304" t="s">
        <v>1651</v>
      </c>
      <c r="Z824" s="304" t="s">
        <v>3060</v>
      </c>
      <c r="AA824" s="304"/>
      <c r="AB824" s="304" t="s">
        <v>3059</v>
      </c>
      <c r="AC824" s="304">
        <v>2698839220</v>
      </c>
      <c r="AD824" s="304">
        <v>30.97</v>
      </c>
      <c r="AE824" s="304"/>
      <c r="AF824" s="304"/>
      <c r="AG824" s="296"/>
      <c r="AH824" s="296"/>
      <c r="AI824" s="297"/>
      <c r="AJ824" s="298">
        <v>43773</v>
      </c>
      <c r="AK824" s="297" t="s">
        <v>3061</v>
      </c>
      <c r="AL824" s="297" t="s">
        <v>3062</v>
      </c>
      <c r="AM824" s="296" t="s">
        <v>49</v>
      </c>
      <c r="AN824" s="296" t="s">
        <v>284</v>
      </c>
      <c r="AO824" s="296" t="s">
        <v>50</v>
      </c>
      <c r="AP824" s="296" t="s">
        <v>51</v>
      </c>
      <c r="AQ824" s="82" t="s">
        <v>755</v>
      </c>
    </row>
    <row r="825" spans="1:43" ht="15.75" customHeight="1">
      <c r="A825" s="69">
        <v>43727</v>
      </c>
      <c r="B825" s="23" t="s">
        <v>405</v>
      </c>
      <c r="C825" s="21">
        <v>7000150303</v>
      </c>
      <c r="D825" s="21" t="s">
        <v>1649</v>
      </c>
      <c r="E825" s="32" t="s">
        <v>1654</v>
      </c>
      <c r="F825" s="24">
        <v>1</v>
      </c>
      <c r="G825" s="48">
        <v>86</v>
      </c>
      <c r="H825" s="26">
        <f t="shared" si="86"/>
        <v>86</v>
      </c>
      <c r="I825" s="27" t="s">
        <v>42</v>
      </c>
      <c r="J825" s="50" t="s">
        <v>512</v>
      </c>
      <c r="K825" s="29">
        <v>43739</v>
      </c>
      <c r="L825" s="29"/>
      <c r="M825" s="29">
        <v>43735</v>
      </c>
      <c r="N825" s="58" t="s">
        <v>2043</v>
      </c>
      <c r="O825" s="93" t="s">
        <v>3058</v>
      </c>
      <c r="P825" s="406"/>
      <c r="Q825" s="406">
        <f t="shared" si="85"/>
        <v>0</v>
      </c>
      <c r="R825" s="406"/>
      <c r="S825" s="406"/>
      <c r="T825" s="406">
        <v>2226</v>
      </c>
      <c r="U825" s="406">
        <v>2337</v>
      </c>
      <c r="V825" s="501" t="s">
        <v>2045</v>
      </c>
      <c r="W825" s="303">
        <v>43830</v>
      </c>
      <c r="X825" s="460">
        <v>43734</v>
      </c>
      <c r="Y825" s="304" t="s">
        <v>1651</v>
      </c>
      <c r="Z825" s="304" t="s">
        <v>3060</v>
      </c>
      <c r="AA825" s="304"/>
      <c r="AB825" s="304" t="s">
        <v>3059</v>
      </c>
      <c r="AC825" s="304">
        <v>2698839220</v>
      </c>
      <c r="AD825" s="304">
        <v>30.97</v>
      </c>
      <c r="AE825" s="304"/>
      <c r="AF825" s="304"/>
      <c r="AG825" s="296"/>
      <c r="AH825" s="296"/>
      <c r="AI825" s="297"/>
      <c r="AJ825" s="298">
        <v>43773</v>
      </c>
      <c r="AK825" s="297" t="s">
        <v>3061</v>
      </c>
      <c r="AL825" s="297" t="s">
        <v>3062</v>
      </c>
      <c r="AM825" s="296" t="s">
        <v>49</v>
      </c>
      <c r="AN825" s="296" t="s">
        <v>284</v>
      </c>
      <c r="AO825" s="296" t="s">
        <v>50</v>
      </c>
      <c r="AP825" s="296" t="s">
        <v>51</v>
      </c>
      <c r="AQ825" s="82" t="s">
        <v>755</v>
      </c>
    </row>
    <row r="826" spans="1:43" ht="15.75" customHeight="1">
      <c r="A826" s="467">
        <v>43728</v>
      </c>
      <c r="B826" s="144" t="s">
        <v>1236</v>
      </c>
      <c r="C826" s="21" t="s">
        <v>1558</v>
      </c>
      <c r="D826" s="21" t="s">
        <v>1655</v>
      </c>
      <c r="E826" s="32" t="s">
        <v>346</v>
      </c>
      <c r="F826" s="24">
        <v>1</v>
      </c>
      <c r="G826" s="434">
        <v>452</v>
      </c>
      <c r="H826" s="60">
        <v>452</v>
      </c>
      <c r="I826" s="61"/>
      <c r="J826" s="63" t="s">
        <v>1336</v>
      </c>
      <c r="K826" s="29">
        <v>43728</v>
      </c>
      <c r="L826" s="29"/>
      <c r="M826" s="30"/>
      <c r="N826" s="50" t="s">
        <v>262</v>
      </c>
      <c r="O826" s="93"/>
      <c r="P826" s="406"/>
      <c r="Q826" s="406"/>
      <c r="R826" s="406"/>
      <c r="S826" s="406"/>
      <c r="T826" s="406">
        <v>11555</v>
      </c>
      <c r="U826" s="406">
        <v>12133</v>
      </c>
      <c r="V826" s="51"/>
      <c r="W826" s="303">
        <v>43769</v>
      </c>
      <c r="X826" s="460">
        <v>43738</v>
      </c>
      <c r="Y826" s="304" t="s">
        <v>1569</v>
      </c>
      <c r="Z826" s="304">
        <v>14604</v>
      </c>
      <c r="AA826" s="304"/>
      <c r="AB826" s="304" t="s">
        <v>2980</v>
      </c>
      <c r="AC826" s="304">
        <v>9860032755</v>
      </c>
      <c r="AD826" s="304"/>
      <c r="AE826" s="304"/>
      <c r="AF826" s="304"/>
      <c r="AG826" s="296"/>
      <c r="AH826" s="296"/>
      <c r="AI826" s="297"/>
      <c r="AJ826" s="29">
        <v>43789</v>
      </c>
      <c r="AK826" s="297" t="s">
        <v>2988</v>
      </c>
      <c r="AL826" s="297" t="s">
        <v>2989</v>
      </c>
      <c r="AM826" s="296" t="s">
        <v>49</v>
      </c>
      <c r="AN826" s="296" t="s">
        <v>284</v>
      </c>
      <c r="AO826" s="296" t="s">
        <v>285</v>
      </c>
      <c r="AP826" s="296" t="s">
        <v>51</v>
      </c>
      <c r="AQ826" s="296" t="s">
        <v>1118</v>
      </c>
    </row>
    <row r="827" spans="1:43" ht="15.75" customHeight="1">
      <c r="A827" s="69">
        <v>43731</v>
      </c>
      <c r="B827" s="70" t="s">
        <v>1656</v>
      </c>
      <c r="C827" s="21"/>
      <c r="D827" s="21" t="s">
        <v>1657</v>
      </c>
      <c r="E827" s="520" t="s">
        <v>1658</v>
      </c>
      <c r="F827" s="24">
        <v>1</v>
      </c>
      <c r="G827" s="48">
        <v>212</v>
      </c>
      <c r="H827" s="60">
        <f t="shared" ref="H827:H883" si="87">G827*F827</f>
        <v>212</v>
      </c>
      <c r="I827" s="61" t="s">
        <v>104</v>
      </c>
      <c r="J827" s="50" t="s">
        <v>70</v>
      </c>
      <c r="K827" s="29">
        <v>43782</v>
      </c>
      <c r="L827" s="29"/>
      <c r="M827" s="30">
        <v>43781</v>
      </c>
      <c r="N827" s="50" t="s">
        <v>89</v>
      </c>
      <c r="O827" s="93" t="s">
        <v>3063</v>
      </c>
      <c r="P827" s="406">
        <v>180</v>
      </c>
      <c r="Q827" s="406">
        <f t="shared" ref="Q827:Q840" si="88">(P827*F827)*1.05</f>
        <v>189</v>
      </c>
      <c r="R827" s="406"/>
      <c r="S827" s="406"/>
      <c r="T827" s="406"/>
      <c r="U827" s="406">
        <v>5726</v>
      </c>
      <c r="V827" s="51" t="s">
        <v>93</v>
      </c>
      <c r="W827" s="303">
        <v>43830</v>
      </c>
      <c r="X827" s="303">
        <v>43781</v>
      </c>
      <c r="Y827" s="304" t="s">
        <v>1659</v>
      </c>
      <c r="Z827" s="304">
        <v>39444</v>
      </c>
      <c r="AA827" s="304"/>
      <c r="AB827" s="304" t="s">
        <v>3064</v>
      </c>
      <c r="AC827" s="304">
        <v>167610315</v>
      </c>
      <c r="AD827" s="304">
        <v>30.3</v>
      </c>
      <c r="AE827" s="304"/>
      <c r="AF827" s="304"/>
      <c r="AG827" s="296"/>
      <c r="AH827" s="296"/>
      <c r="AI827" s="297"/>
      <c r="AJ827" s="298">
        <v>43732</v>
      </c>
      <c r="AK827" s="297">
        <f>1390.04*30.96</f>
        <v>43035.638400000003</v>
      </c>
      <c r="AL827" s="297">
        <f>(1407.5-1390.04)*30.96</f>
        <v>540.56160000000114</v>
      </c>
      <c r="AM827" s="296" t="s">
        <v>49</v>
      </c>
      <c r="AN827" s="296" t="s">
        <v>284</v>
      </c>
      <c r="AO827" s="296" t="s">
        <v>50</v>
      </c>
      <c r="AP827" s="296" t="s">
        <v>51</v>
      </c>
      <c r="AQ827" s="82" t="s">
        <v>755</v>
      </c>
    </row>
    <row r="828" spans="1:43" ht="15.75" customHeight="1">
      <c r="A828" s="69">
        <v>43731</v>
      </c>
      <c r="B828" s="70" t="s">
        <v>1656</v>
      </c>
      <c r="C828" s="21"/>
      <c r="D828" s="21" t="s">
        <v>1657</v>
      </c>
      <c r="E828" s="520" t="s">
        <v>1660</v>
      </c>
      <c r="F828" s="24">
        <v>1</v>
      </c>
      <c r="G828" s="48">
        <v>345</v>
      </c>
      <c r="H828" s="60">
        <f t="shared" si="87"/>
        <v>345</v>
      </c>
      <c r="I828" s="61" t="s">
        <v>104</v>
      </c>
      <c r="J828" s="50" t="s">
        <v>70</v>
      </c>
      <c r="K828" s="29">
        <v>43782</v>
      </c>
      <c r="L828" s="29"/>
      <c r="M828" s="30">
        <v>43781</v>
      </c>
      <c r="N828" s="50" t="s">
        <v>89</v>
      </c>
      <c r="O828" s="93" t="s">
        <v>3063</v>
      </c>
      <c r="P828" s="22">
        <v>304</v>
      </c>
      <c r="Q828" s="406">
        <f t="shared" si="88"/>
        <v>319.2</v>
      </c>
      <c r="R828" s="406"/>
      <c r="S828" s="406"/>
      <c r="T828" s="406"/>
      <c r="U828" s="406">
        <v>9670</v>
      </c>
      <c r="V828" s="51" t="s">
        <v>93</v>
      </c>
      <c r="W828" s="303">
        <v>43830</v>
      </c>
      <c r="X828" s="303">
        <v>43781</v>
      </c>
      <c r="Y828" s="304" t="s">
        <v>1659</v>
      </c>
      <c r="Z828" s="304" t="s">
        <v>3065</v>
      </c>
      <c r="AA828" s="304"/>
      <c r="AB828" s="304" t="s">
        <v>3064</v>
      </c>
      <c r="AC828" s="304">
        <v>167610315</v>
      </c>
      <c r="AD828" s="304">
        <v>30.3</v>
      </c>
      <c r="AE828" s="304"/>
      <c r="AF828" s="304"/>
      <c r="AG828" s="296"/>
      <c r="AH828" s="296"/>
      <c r="AI828" s="297"/>
      <c r="AJ828" s="298">
        <v>43732</v>
      </c>
      <c r="AK828" s="297" t="s">
        <v>3066</v>
      </c>
      <c r="AL828" s="297" t="s">
        <v>3036</v>
      </c>
      <c r="AM828" s="296" t="s">
        <v>49</v>
      </c>
      <c r="AN828" s="296" t="s">
        <v>284</v>
      </c>
      <c r="AO828" s="296" t="s">
        <v>50</v>
      </c>
      <c r="AP828" s="296" t="s">
        <v>51</v>
      </c>
      <c r="AQ828" s="82" t="s">
        <v>755</v>
      </c>
    </row>
    <row r="829" spans="1:43" ht="15.75" customHeight="1">
      <c r="A829" s="69">
        <v>43731</v>
      </c>
      <c r="B829" s="70" t="s">
        <v>1656</v>
      </c>
      <c r="C829" s="21"/>
      <c r="D829" s="21" t="s">
        <v>1657</v>
      </c>
      <c r="E829" s="520" t="s">
        <v>1661</v>
      </c>
      <c r="F829" s="24">
        <v>6</v>
      </c>
      <c r="G829" s="48">
        <v>138</v>
      </c>
      <c r="H829" s="60">
        <f t="shared" si="87"/>
        <v>828</v>
      </c>
      <c r="I829" s="61" t="s">
        <v>104</v>
      </c>
      <c r="J829" s="50" t="s">
        <v>70</v>
      </c>
      <c r="K829" s="29">
        <v>43782</v>
      </c>
      <c r="L829" s="29"/>
      <c r="M829" s="30">
        <v>43781</v>
      </c>
      <c r="N829" s="50" t="s">
        <v>89</v>
      </c>
      <c r="O829" s="93" t="s">
        <v>3063</v>
      </c>
      <c r="P829" s="22">
        <v>123</v>
      </c>
      <c r="Q829" s="406">
        <f t="shared" si="88"/>
        <v>774.9</v>
      </c>
      <c r="R829" s="406"/>
      <c r="S829" s="406"/>
      <c r="T829" s="406"/>
      <c r="U829" s="406">
        <v>23476</v>
      </c>
      <c r="V829" s="51" t="s">
        <v>93</v>
      </c>
      <c r="W829" s="303">
        <v>43830</v>
      </c>
      <c r="X829" s="303">
        <v>43781</v>
      </c>
      <c r="Y829" s="304" t="s">
        <v>1659</v>
      </c>
      <c r="Z829" s="304" t="s">
        <v>3065</v>
      </c>
      <c r="AA829" s="304"/>
      <c r="AB829" s="304" t="s">
        <v>3064</v>
      </c>
      <c r="AC829" s="304">
        <v>167610315</v>
      </c>
      <c r="AD829" s="304">
        <v>30.3</v>
      </c>
      <c r="AE829" s="304"/>
      <c r="AF829" s="304"/>
      <c r="AG829" s="296"/>
      <c r="AH829" s="296"/>
      <c r="AI829" s="297"/>
      <c r="AJ829" s="298">
        <v>43732</v>
      </c>
      <c r="AK829" s="297" t="s">
        <v>3066</v>
      </c>
      <c r="AL829" s="297" t="s">
        <v>3036</v>
      </c>
      <c r="AM829" s="296" t="s">
        <v>49</v>
      </c>
      <c r="AN829" s="296" t="s">
        <v>284</v>
      </c>
      <c r="AO829" s="296" t="s">
        <v>50</v>
      </c>
      <c r="AP829" s="296" t="s">
        <v>51</v>
      </c>
      <c r="AQ829" s="82" t="s">
        <v>755</v>
      </c>
    </row>
    <row r="830" spans="1:43" ht="15.75" customHeight="1">
      <c r="A830" s="69">
        <v>43731</v>
      </c>
      <c r="B830" s="70" t="s">
        <v>1656</v>
      </c>
      <c r="C830" s="21"/>
      <c r="D830" s="21" t="s">
        <v>1657</v>
      </c>
      <c r="E830" s="520" t="s">
        <v>1662</v>
      </c>
      <c r="F830" s="24">
        <v>6</v>
      </c>
      <c r="G830" s="48">
        <v>3.75</v>
      </c>
      <c r="H830" s="60">
        <f t="shared" si="87"/>
        <v>22.5</v>
      </c>
      <c r="I830" s="61" t="s">
        <v>104</v>
      </c>
      <c r="J830" s="50" t="s">
        <v>70</v>
      </c>
      <c r="K830" s="29">
        <v>43782</v>
      </c>
      <c r="L830" s="29"/>
      <c r="M830" s="30">
        <v>43781</v>
      </c>
      <c r="N830" s="50" t="s">
        <v>89</v>
      </c>
      <c r="O830" s="93" t="s">
        <v>3063</v>
      </c>
      <c r="P830" s="406">
        <v>3</v>
      </c>
      <c r="Q830" s="406">
        <f t="shared" si="88"/>
        <v>18.900000000000002</v>
      </c>
      <c r="R830" s="406"/>
      <c r="S830" s="406"/>
      <c r="T830" s="406"/>
      <c r="U830" s="406">
        <v>572</v>
      </c>
      <c r="V830" s="51" t="s">
        <v>93</v>
      </c>
      <c r="W830" s="303">
        <v>43830</v>
      </c>
      <c r="X830" s="303">
        <v>43781</v>
      </c>
      <c r="Y830" s="304" t="s">
        <v>1659</v>
      </c>
      <c r="Z830" s="304" t="s">
        <v>3065</v>
      </c>
      <c r="AA830" s="304"/>
      <c r="AB830" s="304" t="s">
        <v>3064</v>
      </c>
      <c r="AC830" s="304">
        <v>167610315</v>
      </c>
      <c r="AD830" s="304">
        <v>30.3</v>
      </c>
      <c r="AE830" s="304"/>
      <c r="AF830" s="304"/>
      <c r="AG830" s="296"/>
      <c r="AH830" s="296"/>
      <c r="AI830" s="297"/>
      <c r="AJ830" s="298">
        <v>43732</v>
      </c>
      <c r="AK830" s="297" t="s">
        <v>3066</v>
      </c>
      <c r="AL830" s="297" t="s">
        <v>3036</v>
      </c>
      <c r="AM830" s="296" t="s">
        <v>49</v>
      </c>
      <c r="AN830" s="296" t="s">
        <v>284</v>
      </c>
      <c r="AO830" s="296" t="s">
        <v>50</v>
      </c>
      <c r="AP830" s="296" t="s">
        <v>51</v>
      </c>
      <c r="AQ830" s="82" t="s">
        <v>755</v>
      </c>
    </row>
    <row r="831" spans="1:43" ht="15.75" customHeight="1">
      <c r="A831" s="69">
        <v>43731</v>
      </c>
      <c r="B831" s="70" t="s">
        <v>76</v>
      </c>
      <c r="C831" s="21"/>
      <c r="D831" s="21" t="s">
        <v>1663</v>
      </c>
      <c r="E831" s="32" t="s">
        <v>553</v>
      </c>
      <c r="F831" s="82">
        <v>50</v>
      </c>
      <c r="G831" s="150">
        <v>2.5</v>
      </c>
      <c r="H831" s="26">
        <f t="shared" si="87"/>
        <v>125</v>
      </c>
      <c r="I831" s="61" t="s">
        <v>42</v>
      </c>
      <c r="J831" s="429" t="s">
        <v>922</v>
      </c>
      <c r="K831" s="29">
        <v>43769</v>
      </c>
      <c r="L831" s="29"/>
      <c r="M831" s="30">
        <v>43756</v>
      </c>
      <c r="N831" s="50" t="s">
        <v>2006</v>
      </c>
      <c r="O831" s="32" t="s">
        <v>3067</v>
      </c>
      <c r="P831" s="406"/>
      <c r="Q831" s="406">
        <f t="shared" si="88"/>
        <v>0</v>
      </c>
      <c r="R831" s="406"/>
      <c r="S831" s="406"/>
      <c r="T831" s="406">
        <v>52</v>
      </c>
      <c r="U831" s="406">
        <f>(T831*F831)*1.05</f>
        <v>2730</v>
      </c>
      <c r="V831" s="20" t="s">
        <v>2146</v>
      </c>
      <c r="W831" s="460">
        <v>43774</v>
      </c>
      <c r="X831" s="303">
        <v>43755</v>
      </c>
      <c r="Y831" s="304" t="s">
        <v>1664</v>
      </c>
      <c r="Z831" s="304" t="s">
        <v>3068</v>
      </c>
      <c r="AA831" s="304"/>
      <c r="AB831" s="304"/>
      <c r="AC831" s="304"/>
      <c r="AD831" s="304"/>
      <c r="AE831" s="304"/>
      <c r="AF831" s="304"/>
      <c r="AG831" s="296"/>
      <c r="AH831" s="296"/>
      <c r="AI831" s="297"/>
      <c r="AJ831" s="537"/>
      <c r="AK831" s="298">
        <v>43803</v>
      </c>
      <c r="AL831" s="297"/>
      <c r="AM831" s="296" t="s">
        <v>49</v>
      </c>
      <c r="AN831" s="296" t="s">
        <v>284</v>
      </c>
      <c r="AO831" s="296" t="s">
        <v>50</v>
      </c>
      <c r="AP831" s="296" t="s">
        <v>51</v>
      </c>
      <c r="AQ831" s="82" t="s">
        <v>755</v>
      </c>
    </row>
    <row r="832" spans="1:43" ht="15.75" customHeight="1">
      <c r="A832" s="69">
        <v>43733</v>
      </c>
      <c r="B832" s="70" t="s">
        <v>629</v>
      </c>
      <c r="C832" s="21" t="s">
        <v>1665</v>
      </c>
      <c r="D832" s="21" t="s">
        <v>1666</v>
      </c>
      <c r="E832" s="32" t="s">
        <v>632</v>
      </c>
      <c r="F832" s="24">
        <v>15</v>
      </c>
      <c r="G832" s="48">
        <v>173.25</v>
      </c>
      <c r="H832" s="60">
        <f t="shared" si="87"/>
        <v>2598.75</v>
      </c>
      <c r="I832" s="61" t="s">
        <v>143</v>
      </c>
      <c r="J832" s="405" t="s">
        <v>1074</v>
      </c>
      <c r="K832" s="30">
        <v>43740</v>
      </c>
      <c r="L832" s="30"/>
      <c r="M832" s="30">
        <v>43735</v>
      </c>
      <c r="N832" s="58" t="s">
        <v>2212</v>
      </c>
      <c r="O832" s="93" t="s">
        <v>3069</v>
      </c>
      <c r="P832" s="406"/>
      <c r="Q832" s="406">
        <f t="shared" si="88"/>
        <v>0</v>
      </c>
      <c r="R832" s="406"/>
      <c r="S832" s="406"/>
      <c r="T832" s="406">
        <v>4850</v>
      </c>
      <c r="U832" s="406">
        <v>76388</v>
      </c>
      <c r="V832" s="20" t="s">
        <v>2214</v>
      </c>
      <c r="W832" s="460">
        <v>43774</v>
      </c>
      <c r="X832" s="460">
        <v>43735</v>
      </c>
      <c r="Y832" s="304" t="s">
        <v>1667</v>
      </c>
      <c r="Z832" s="304">
        <v>76388</v>
      </c>
      <c r="AA832" s="304"/>
      <c r="AB832" s="304" t="s">
        <v>3070</v>
      </c>
      <c r="AC832" s="304" t="s">
        <v>3071</v>
      </c>
      <c r="AD832" s="304">
        <v>31.035</v>
      </c>
      <c r="AE832" s="304">
        <v>80652</v>
      </c>
      <c r="AF832" s="304"/>
      <c r="AG832" s="296"/>
      <c r="AH832" s="296"/>
      <c r="AI832" s="297"/>
      <c r="AJ832" s="29">
        <v>43780</v>
      </c>
      <c r="AK832" s="297">
        <v>80622</v>
      </c>
      <c r="AL832" s="297">
        <v>30</v>
      </c>
      <c r="AM832" s="296" t="s">
        <v>49</v>
      </c>
      <c r="AN832" s="296" t="s">
        <v>284</v>
      </c>
      <c r="AO832" s="296" t="s">
        <v>50</v>
      </c>
      <c r="AP832" s="296" t="s">
        <v>376</v>
      </c>
      <c r="AQ832" s="82" t="s">
        <v>755</v>
      </c>
    </row>
    <row r="833" spans="1:43" ht="15.75" customHeight="1">
      <c r="A833" s="467">
        <v>43733</v>
      </c>
      <c r="B833" s="144" t="s">
        <v>377</v>
      </c>
      <c r="C833" s="21">
        <v>9109</v>
      </c>
      <c r="D833" s="21" t="s">
        <v>1668</v>
      </c>
      <c r="E833" s="32" t="s">
        <v>1669</v>
      </c>
      <c r="F833" s="24">
        <v>50</v>
      </c>
      <c r="G833" s="48">
        <v>253</v>
      </c>
      <c r="H833" s="81">
        <f t="shared" si="87"/>
        <v>12650</v>
      </c>
      <c r="I833" s="61" t="s">
        <v>247</v>
      </c>
      <c r="J833" s="58" t="s">
        <v>1107</v>
      </c>
      <c r="K833" s="84">
        <v>43816</v>
      </c>
      <c r="L833" s="84"/>
      <c r="M833" s="29">
        <v>43783</v>
      </c>
      <c r="N833" s="50" t="s">
        <v>3072</v>
      </c>
      <c r="O833" s="710" t="s">
        <v>3073</v>
      </c>
      <c r="P833" s="468">
        <v>160</v>
      </c>
      <c r="Q833" s="468">
        <f t="shared" si="88"/>
        <v>8400</v>
      </c>
      <c r="R833" s="468"/>
      <c r="S833" s="468"/>
      <c r="T833" s="620">
        <f>P833*31.07</f>
        <v>4971.2</v>
      </c>
      <c r="U833" s="711">
        <f>(T833*F833)*1.05</f>
        <v>260988</v>
      </c>
      <c r="V833" s="21" t="s">
        <v>2603</v>
      </c>
      <c r="W833" s="303">
        <v>43781</v>
      </c>
      <c r="X833" s="303">
        <v>43782</v>
      </c>
      <c r="Y833" s="304" t="s">
        <v>1670</v>
      </c>
      <c r="Z833" s="304">
        <v>260988</v>
      </c>
      <c r="AA833" s="303">
        <v>43781</v>
      </c>
      <c r="AB833" s="304" t="s">
        <v>3074</v>
      </c>
      <c r="AC833" s="304" t="s">
        <v>3075</v>
      </c>
      <c r="AD833" s="304">
        <v>30.42</v>
      </c>
      <c r="AE833" s="304"/>
      <c r="AF833" s="304"/>
      <c r="AG833" s="296"/>
      <c r="AH833" s="296"/>
      <c r="AI833" s="297"/>
      <c r="AJ833" s="537"/>
      <c r="AK833" s="297"/>
      <c r="AL833" s="297"/>
      <c r="AM833" s="296"/>
      <c r="AN833" s="82" t="s">
        <v>284</v>
      </c>
      <c r="AO833" s="296" t="s">
        <v>285</v>
      </c>
      <c r="AP833" s="296" t="s">
        <v>51</v>
      </c>
      <c r="AQ833" s="296" t="s">
        <v>1346</v>
      </c>
    </row>
    <row r="834" spans="1:43" ht="15.75" customHeight="1">
      <c r="A834" s="467">
        <v>43733</v>
      </c>
      <c r="B834" s="144" t="s">
        <v>377</v>
      </c>
      <c r="C834" s="21">
        <v>9109</v>
      </c>
      <c r="D834" s="21" t="s">
        <v>1671</v>
      </c>
      <c r="E834" s="246" t="s">
        <v>1119</v>
      </c>
      <c r="F834" s="24">
        <v>50</v>
      </c>
      <c r="G834" s="48">
        <v>0</v>
      </c>
      <c r="H834" s="216">
        <f t="shared" si="87"/>
        <v>0</v>
      </c>
      <c r="I834" s="61" t="s">
        <v>247</v>
      </c>
      <c r="J834" s="58" t="s">
        <v>1107</v>
      </c>
      <c r="K834" s="84">
        <v>43816</v>
      </c>
      <c r="L834" s="84"/>
      <c r="M834" s="30">
        <v>43812</v>
      </c>
      <c r="N834" s="82" t="s">
        <v>2021</v>
      </c>
      <c r="O834" s="93" t="s">
        <v>3076</v>
      </c>
      <c r="P834" s="406"/>
      <c r="Q834" s="406">
        <f t="shared" si="88"/>
        <v>0</v>
      </c>
      <c r="R834" s="406"/>
      <c r="S834" s="406"/>
      <c r="T834" s="620">
        <v>2150</v>
      </c>
      <c r="U834" s="711">
        <f>(T834*F834)*1.05</f>
        <v>112875</v>
      </c>
      <c r="V834" s="70" t="s">
        <v>2023</v>
      </c>
      <c r="W834" s="304"/>
      <c r="X834" s="304"/>
      <c r="Y834" s="304"/>
      <c r="Z834" s="304"/>
      <c r="AA834" s="304"/>
      <c r="AB834" s="304" t="s">
        <v>3074</v>
      </c>
      <c r="AC834" s="304" t="s">
        <v>3075</v>
      </c>
      <c r="AD834" s="304">
        <v>30.42</v>
      </c>
      <c r="AE834" s="304"/>
      <c r="AF834" s="304"/>
      <c r="AG834" s="296"/>
      <c r="AH834" s="296"/>
      <c r="AI834" s="297"/>
      <c r="AJ834" s="296" t="s">
        <v>1212</v>
      </c>
      <c r="AK834" s="297"/>
      <c r="AL834" s="297"/>
      <c r="AM834" s="296" t="s">
        <v>1212</v>
      </c>
      <c r="AN834" s="82" t="s">
        <v>284</v>
      </c>
      <c r="AO834" s="296" t="s">
        <v>285</v>
      </c>
      <c r="AP834" s="296" t="s">
        <v>51</v>
      </c>
      <c r="AQ834" s="296" t="s">
        <v>1346</v>
      </c>
    </row>
    <row r="835" spans="1:43" ht="15.75" customHeight="1">
      <c r="A835" s="467">
        <v>43733</v>
      </c>
      <c r="B835" s="144" t="s">
        <v>377</v>
      </c>
      <c r="C835" s="21">
        <v>9109</v>
      </c>
      <c r="D835" s="21" t="s">
        <v>1671</v>
      </c>
      <c r="E835" s="246" t="s">
        <v>1672</v>
      </c>
      <c r="F835" s="24">
        <v>50</v>
      </c>
      <c r="G835" s="48">
        <v>0</v>
      </c>
      <c r="H835" s="60">
        <f t="shared" si="87"/>
        <v>0</v>
      </c>
      <c r="I835" s="61" t="s">
        <v>247</v>
      </c>
      <c r="J835" s="58" t="s">
        <v>1107</v>
      </c>
      <c r="K835" s="84">
        <v>43816</v>
      </c>
      <c r="L835" s="84"/>
      <c r="M835" s="30">
        <v>43740</v>
      </c>
      <c r="N835" s="82" t="s">
        <v>1941</v>
      </c>
      <c r="O835" s="93"/>
      <c r="P835" s="406"/>
      <c r="Q835" s="406">
        <f t="shared" si="88"/>
        <v>0</v>
      </c>
      <c r="R835" s="406"/>
      <c r="S835" s="406"/>
      <c r="T835" s="406"/>
      <c r="U835" s="712">
        <f>(T835*F835)*1.05</f>
        <v>0</v>
      </c>
      <c r="V835" s="406"/>
      <c r="W835" s="304"/>
      <c r="X835" s="304"/>
      <c r="Y835" s="304"/>
      <c r="Z835" s="304"/>
      <c r="AA835" s="304"/>
      <c r="AB835" s="304" t="s">
        <v>3074</v>
      </c>
      <c r="AC835" s="304" t="s">
        <v>3077</v>
      </c>
      <c r="AD835" s="304">
        <v>30.42</v>
      </c>
      <c r="AE835" s="304"/>
      <c r="AF835" s="460"/>
      <c r="AG835" s="296"/>
      <c r="AH835" s="296"/>
      <c r="AI835" s="297"/>
      <c r="AJ835" s="296" t="s">
        <v>1212</v>
      </c>
      <c r="AK835" s="297"/>
      <c r="AL835" s="297"/>
      <c r="AM835" s="296" t="s">
        <v>1212</v>
      </c>
      <c r="AN835" s="82" t="s">
        <v>284</v>
      </c>
      <c r="AO835" s="296" t="s">
        <v>285</v>
      </c>
      <c r="AP835" s="296" t="s">
        <v>51</v>
      </c>
      <c r="AQ835" s="296" t="s">
        <v>1346</v>
      </c>
    </row>
    <row r="836" spans="1:43" ht="15.75" customHeight="1">
      <c r="A836" s="69">
        <v>43735</v>
      </c>
      <c r="B836" s="70" t="s">
        <v>129</v>
      </c>
      <c r="C836" s="21"/>
      <c r="D836" s="21" t="s">
        <v>1673</v>
      </c>
      <c r="E836" s="32" t="s">
        <v>1395</v>
      </c>
      <c r="F836" s="24">
        <v>1</v>
      </c>
      <c r="G836" s="48">
        <v>112</v>
      </c>
      <c r="H836" s="60">
        <f t="shared" si="87"/>
        <v>112</v>
      </c>
      <c r="I836" s="61" t="s">
        <v>247</v>
      </c>
      <c r="J836" s="50" t="s">
        <v>133</v>
      </c>
      <c r="K836" s="30">
        <v>43741</v>
      </c>
      <c r="L836" s="30"/>
      <c r="M836" s="30">
        <v>43740</v>
      </c>
      <c r="N836" s="50" t="s">
        <v>89</v>
      </c>
      <c r="O836" s="93" t="s">
        <v>3078</v>
      </c>
      <c r="P836" s="406">
        <v>104</v>
      </c>
      <c r="Q836" s="406">
        <f t="shared" si="88"/>
        <v>109.2</v>
      </c>
      <c r="R836" s="406"/>
      <c r="S836" s="406"/>
      <c r="T836" s="406"/>
      <c r="U836" s="406">
        <v>3382</v>
      </c>
      <c r="V836" s="35" t="s">
        <v>93</v>
      </c>
      <c r="W836" s="303">
        <v>43799</v>
      </c>
      <c r="X836" s="460">
        <v>43739</v>
      </c>
      <c r="Y836" s="304" t="s">
        <v>1674</v>
      </c>
      <c r="Z836" s="304">
        <v>3382</v>
      </c>
      <c r="AA836" s="304"/>
      <c r="AB836" s="304" t="s">
        <v>2541</v>
      </c>
      <c r="AC836" s="304">
        <v>4652050782</v>
      </c>
      <c r="AD836" s="304">
        <v>30.97</v>
      </c>
      <c r="AE836" s="304"/>
      <c r="AF836" s="304"/>
      <c r="AG836" s="296"/>
      <c r="AH836" s="296"/>
      <c r="AI836" s="297"/>
      <c r="AJ836" s="29">
        <v>43756</v>
      </c>
      <c r="AK836" s="297" t="s">
        <v>2530</v>
      </c>
      <c r="AL836" s="297" t="s">
        <v>3017</v>
      </c>
      <c r="AM836" s="296" t="s">
        <v>49</v>
      </c>
      <c r="AN836" s="296" t="s">
        <v>284</v>
      </c>
      <c r="AO836" s="296" t="s">
        <v>50</v>
      </c>
      <c r="AP836" s="296" t="s">
        <v>51</v>
      </c>
      <c r="AQ836" s="82" t="s">
        <v>755</v>
      </c>
    </row>
    <row r="837" spans="1:43" ht="15.75" customHeight="1">
      <c r="A837" s="69">
        <v>43738</v>
      </c>
      <c r="B837" s="23" t="s">
        <v>405</v>
      </c>
      <c r="C837" s="21">
        <v>7000150545</v>
      </c>
      <c r="D837" s="21" t="s">
        <v>1675</v>
      </c>
      <c r="E837" s="32" t="s">
        <v>804</v>
      </c>
      <c r="F837" s="24">
        <v>2</v>
      </c>
      <c r="G837" s="48">
        <v>43</v>
      </c>
      <c r="H837" s="60">
        <f t="shared" si="87"/>
        <v>86</v>
      </c>
      <c r="I837" s="61" t="s">
        <v>42</v>
      </c>
      <c r="J837" s="82" t="s">
        <v>519</v>
      </c>
      <c r="K837" s="145">
        <v>43756</v>
      </c>
      <c r="L837" s="145"/>
      <c r="M837" s="29">
        <v>43752</v>
      </c>
      <c r="N837" s="58" t="s">
        <v>2043</v>
      </c>
      <c r="O837" s="713">
        <v>2019100700002</v>
      </c>
      <c r="P837" s="406"/>
      <c r="Q837" s="406">
        <f t="shared" si="88"/>
        <v>0</v>
      </c>
      <c r="R837" s="406"/>
      <c r="S837" s="406"/>
      <c r="T837" s="406">
        <v>1250</v>
      </c>
      <c r="U837" s="406">
        <f>(T837*F837)*1.05</f>
        <v>2625</v>
      </c>
      <c r="V837" s="501" t="s">
        <v>2045</v>
      </c>
      <c r="W837" s="303">
        <v>43830</v>
      </c>
      <c r="X837" s="304" t="s">
        <v>3079</v>
      </c>
      <c r="Y837" s="304" t="s">
        <v>3080</v>
      </c>
      <c r="Z837" s="304">
        <v>98301</v>
      </c>
      <c r="AA837" s="304"/>
      <c r="AB837" s="304" t="s">
        <v>3081</v>
      </c>
      <c r="AC837" s="304" t="s">
        <v>3082</v>
      </c>
      <c r="AD837" s="304">
        <v>30.89</v>
      </c>
      <c r="AE837" s="304"/>
      <c r="AF837" s="304"/>
      <c r="AG837" s="296"/>
      <c r="AH837" s="296"/>
      <c r="AI837" s="297"/>
      <c r="AJ837" s="29">
        <v>43789</v>
      </c>
      <c r="AK837" s="297" t="s">
        <v>3083</v>
      </c>
      <c r="AL837" s="297" t="s">
        <v>3084</v>
      </c>
      <c r="AM837" s="296" t="s">
        <v>49</v>
      </c>
      <c r="AN837" s="296" t="s">
        <v>284</v>
      </c>
      <c r="AO837" s="296" t="s">
        <v>50</v>
      </c>
      <c r="AP837" s="296" t="s">
        <v>51</v>
      </c>
      <c r="AQ837" s="82" t="s">
        <v>755</v>
      </c>
    </row>
    <row r="838" spans="1:43" ht="15.75" customHeight="1">
      <c r="A838" s="69">
        <v>43738</v>
      </c>
      <c r="B838" s="23" t="s">
        <v>405</v>
      </c>
      <c r="C838" s="21">
        <v>7000150545</v>
      </c>
      <c r="D838" s="21" t="s">
        <v>1675</v>
      </c>
      <c r="E838" s="32" t="s">
        <v>614</v>
      </c>
      <c r="F838" s="24">
        <v>4</v>
      </c>
      <c r="G838" s="48">
        <v>24</v>
      </c>
      <c r="H838" s="60">
        <f t="shared" si="87"/>
        <v>96</v>
      </c>
      <c r="I838" s="61" t="s">
        <v>42</v>
      </c>
      <c r="J838" s="82" t="s">
        <v>519</v>
      </c>
      <c r="K838" s="145">
        <v>43756</v>
      </c>
      <c r="L838" s="145"/>
      <c r="M838" s="29">
        <v>43752</v>
      </c>
      <c r="N838" s="58" t="s">
        <v>2043</v>
      </c>
      <c r="O838" s="713">
        <v>2019100700002</v>
      </c>
      <c r="P838" s="406"/>
      <c r="Q838" s="406">
        <f t="shared" si="88"/>
        <v>0</v>
      </c>
      <c r="R838" s="406"/>
      <c r="S838" s="406"/>
      <c r="T838" s="406">
        <v>646</v>
      </c>
      <c r="U838" s="406">
        <v>2713</v>
      </c>
      <c r="V838" s="501" t="s">
        <v>2045</v>
      </c>
      <c r="W838" s="303">
        <v>43830</v>
      </c>
      <c r="X838" s="304" t="s">
        <v>3079</v>
      </c>
      <c r="Y838" s="304" t="s">
        <v>3080</v>
      </c>
      <c r="Z838" s="304">
        <v>98301</v>
      </c>
      <c r="AA838" s="304"/>
      <c r="AB838" s="304" t="s">
        <v>3081</v>
      </c>
      <c r="AC838" s="304" t="s">
        <v>3082</v>
      </c>
      <c r="AD838" s="304">
        <v>30.89</v>
      </c>
      <c r="AE838" s="304"/>
      <c r="AF838" s="304"/>
      <c r="AG838" s="296"/>
      <c r="AH838" s="296"/>
      <c r="AI838" s="297"/>
      <c r="AJ838" s="29">
        <v>43789</v>
      </c>
      <c r="AK838" s="297" t="s">
        <v>3083</v>
      </c>
      <c r="AL838" s="297" t="s">
        <v>3084</v>
      </c>
      <c r="AM838" s="296" t="s">
        <v>49</v>
      </c>
      <c r="AN838" s="296" t="s">
        <v>284</v>
      </c>
      <c r="AO838" s="296" t="s">
        <v>50</v>
      </c>
      <c r="AP838" s="296" t="s">
        <v>51</v>
      </c>
      <c r="AQ838" s="82" t="s">
        <v>755</v>
      </c>
    </row>
    <row r="839" spans="1:43" ht="15.75" customHeight="1">
      <c r="A839" s="110">
        <v>43738</v>
      </c>
      <c r="B839" s="72" t="s">
        <v>405</v>
      </c>
      <c r="C839" s="71">
        <v>7000150545</v>
      </c>
      <c r="D839" s="71" t="s">
        <v>1675</v>
      </c>
      <c r="E839" s="72" t="s">
        <v>805</v>
      </c>
      <c r="F839" s="114">
        <v>2</v>
      </c>
      <c r="G839" s="115">
        <v>8.5</v>
      </c>
      <c r="H839" s="60">
        <f t="shared" si="87"/>
        <v>17</v>
      </c>
      <c r="I839" s="154" t="s">
        <v>42</v>
      </c>
      <c r="J839" s="82" t="s">
        <v>519</v>
      </c>
      <c r="K839" s="145">
        <v>43756</v>
      </c>
      <c r="L839" s="145"/>
      <c r="M839" s="29">
        <v>43752</v>
      </c>
      <c r="N839" s="58" t="s">
        <v>2043</v>
      </c>
      <c r="O839" s="713">
        <v>2019100700002</v>
      </c>
      <c r="P839" s="406"/>
      <c r="Q839" s="406">
        <f t="shared" si="88"/>
        <v>0</v>
      </c>
      <c r="R839" s="406"/>
      <c r="S839" s="406"/>
      <c r="T839" s="406">
        <v>215</v>
      </c>
      <c r="U839" s="406">
        <v>452</v>
      </c>
      <c r="V839" s="501" t="s">
        <v>2045</v>
      </c>
      <c r="W839" s="303">
        <v>43830</v>
      </c>
      <c r="X839" s="304" t="s">
        <v>3079</v>
      </c>
      <c r="Y839" s="304" t="s">
        <v>3080</v>
      </c>
      <c r="Z839" s="304">
        <v>98301</v>
      </c>
      <c r="AA839" s="304"/>
      <c r="AB839" s="304" t="s">
        <v>3081</v>
      </c>
      <c r="AC839" s="304" t="s">
        <v>3082</v>
      </c>
      <c r="AD839" s="304">
        <v>30.89</v>
      </c>
      <c r="AE839" s="304"/>
      <c r="AF839" s="304"/>
      <c r="AG839" s="296"/>
      <c r="AH839" s="296"/>
      <c r="AI839" s="297"/>
      <c r="AJ839" s="29">
        <v>43789</v>
      </c>
      <c r="AK839" s="297" t="s">
        <v>3083</v>
      </c>
      <c r="AL839" s="297" t="s">
        <v>3084</v>
      </c>
      <c r="AM839" s="296" t="s">
        <v>49</v>
      </c>
      <c r="AN839" s="296" t="s">
        <v>284</v>
      </c>
      <c r="AO839" s="296" t="s">
        <v>50</v>
      </c>
      <c r="AP839" s="296" t="s">
        <v>51</v>
      </c>
      <c r="AQ839" s="82" t="s">
        <v>755</v>
      </c>
    </row>
    <row r="840" spans="1:43" ht="15.75" customHeight="1">
      <c r="A840" s="110">
        <v>43738</v>
      </c>
      <c r="B840" s="23" t="s">
        <v>405</v>
      </c>
      <c r="C840" s="70">
        <v>7000150545</v>
      </c>
      <c r="D840" s="71" t="s">
        <v>1675</v>
      </c>
      <c r="E840" s="23" t="s">
        <v>1676</v>
      </c>
      <c r="F840" s="130">
        <v>2</v>
      </c>
      <c r="G840" s="25">
        <v>290</v>
      </c>
      <c r="H840" s="60">
        <f t="shared" si="87"/>
        <v>580</v>
      </c>
      <c r="I840" s="61" t="s">
        <v>42</v>
      </c>
      <c r="J840" s="82" t="s">
        <v>519</v>
      </c>
      <c r="K840" s="145">
        <v>43756</v>
      </c>
      <c r="L840" s="145"/>
      <c r="M840" s="29">
        <v>43752</v>
      </c>
      <c r="N840" s="58" t="s">
        <v>2043</v>
      </c>
      <c r="O840" s="713">
        <v>2019100700002</v>
      </c>
      <c r="P840" s="406"/>
      <c r="Q840" s="406">
        <f t="shared" si="88"/>
        <v>0</v>
      </c>
      <c r="R840" s="406"/>
      <c r="S840" s="406"/>
      <c r="T840" s="406">
        <v>7619</v>
      </c>
      <c r="U840" s="406">
        <v>16000</v>
      </c>
      <c r="V840" s="501" t="s">
        <v>2045</v>
      </c>
      <c r="W840" s="303">
        <v>43830</v>
      </c>
      <c r="X840" s="303">
        <v>43752</v>
      </c>
      <c r="Y840" s="304" t="s">
        <v>1677</v>
      </c>
      <c r="Z840" s="304">
        <v>98301</v>
      </c>
      <c r="AA840" s="304"/>
      <c r="AB840" s="304" t="s">
        <v>3081</v>
      </c>
      <c r="AC840" s="304" t="s">
        <v>3082</v>
      </c>
      <c r="AD840" s="304">
        <v>30.89</v>
      </c>
      <c r="AE840" s="304"/>
      <c r="AF840" s="304"/>
      <c r="AG840" s="296"/>
      <c r="AH840" s="296"/>
      <c r="AI840" s="297"/>
      <c r="AJ840" s="29">
        <v>43789</v>
      </c>
      <c r="AK840" s="297">
        <f>5808.43*30.43</f>
        <v>176750.52490000002</v>
      </c>
      <c r="AL840" s="297">
        <f>(5837-5808.43)*30.43</f>
        <v>869.3850999999911</v>
      </c>
      <c r="AM840" s="296" t="s">
        <v>49</v>
      </c>
      <c r="AN840" s="296" t="s">
        <v>284</v>
      </c>
      <c r="AO840" s="296" t="s">
        <v>50</v>
      </c>
      <c r="AP840" s="296" t="s">
        <v>51</v>
      </c>
      <c r="AQ840" s="82" t="s">
        <v>755</v>
      </c>
    </row>
    <row r="841" spans="1:43" ht="15.75" customHeight="1">
      <c r="A841" s="110">
        <v>43738</v>
      </c>
      <c r="B841" s="23" t="s">
        <v>405</v>
      </c>
      <c r="C841" s="70">
        <v>7000150545</v>
      </c>
      <c r="D841" s="71" t="s">
        <v>1675</v>
      </c>
      <c r="E841" s="23" t="s">
        <v>609</v>
      </c>
      <c r="F841" s="130">
        <v>10</v>
      </c>
      <c r="G841" s="25">
        <v>148</v>
      </c>
      <c r="H841" s="60">
        <f t="shared" si="87"/>
        <v>1480</v>
      </c>
      <c r="I841" s="61" t="s">
        <v>42</v>
      </c>
      <c r="J841" s="82" t="s">
        <v>519</v>
      </c>
      <c r="K841" s="145">
        <v>43756</v>
      </c>
      <c r="L841" s="145"/>
      <c r="M841" s="29">
        <v>43752</v>
      </c>
      <c r="N841" s="58" t="s">
        <v>2043</v>
      </c>
      <c r="O841" s="713">
        <v>2019100700002</v>
      </c>
      <c r="P841" s="406"/>
      <c r="Q841" s="406"/>
      <c r="R841" s="406"/>
      <c r="S841" s="406"/>
      <c r="T841" s="406">
        <v>3954</v>
      </c>
      <c r="U841" s="406">
        <f>(T841*F841)*1.05</f>
        <v>41517</v>
      </c>
      <c r="V841" s="501" t="s">
        <v>2045</v>
      </c>
      <c r="W841" s="303">
        <v>43830</v>
      </c>
      <c r="X841" s="304" t="s">
        <v>3079</v>
      </c>
      <c r="Y841" s="304" t="s">
        <v>3080</v>
      </c>
      <c r="Z841" s="304">
        <v>98301</v>
      </c>
      <c r="AA841" s="304"/>
      <c r="AB841" s="304" t="s">
        <v>3081</v>
      </c>
      <c r="AC841" s="304" t="s">
        <v>3082</v>
      </c>
      <c r="AD841" s="304">
        <v>30.89</v>
      </c>
      <c r="AE841" s="304"/>
      <c r="AF841" s="304"/>
      <c r="AG841" s="296"/>
      <c r="AH841" s="296"/>
      <c r="AI841" s="297"/>
      <c r="AJ841" s="29">
        <v>43789</v>
      </c>
      <c r="AK841" s="297" t="s">
        <v>3083</v>
      </c>
      <c r="AL841" s="297" t="s">
        <v>3084</v>
      </c>
      <c r="AM841" s="296" t="s">
        <v>49</v>
      </c>
      <c r="AN841" s="296" t="s">
        <v>284</v>
      </c>
      <c r="AO841" s="296" t="s">
        <v>50</v>
      </c>
      <c r="AP841" s="296" t="s">
        <v>51</v>
      </c>
      <c r="AQ841" s="82" t="s">
        <v>755</v>
      </c>
    </row>
    <row r="842" spans="1:43" ht="15.75" customHeight="1">
      <c r="A842" s="69">
        <v>43738</v>
      </c>
      <c r="B842" s="23" t="s">
        <v>405</v>
      </c>
      <c r="C842" s="21">
        <v>7000150545</v>
      </c>
      <c r="D842" s="21" t="s">
        <v>1675</v>
      </c>
      <c r="E842" s="23" t="s">
        <v>803</v>
      </c>
      <c r="F842" s="24">
        <v>2</v>
      </c>
      <c r="G842" s="25">
        <v>291</v>
      </c>
      <c r="H842" s="60">
        <f t="shared" si="87"/>
        <v>582</v>
      </c>
      <c r="I842" s="61" t="s">
        <v>42</v>
      </c>
      <c r="J842" s="82" t="s">
        <v>519</v>
      </c>
      <c r="K842" s="145">
        <v>43756</v>
      </c>
      <c r="L842" s="145"/>
      <c r="M842" s="29">
        <v>43752</v>
      </c>
      <c r="N842" s="58" t="s">
        <v>2043</v>
      </c>
      <c r="O842" s="713">
        <v>2019100700002</v>
      </c>
      <c r="P842" s="406"/>
      <c r="Q842" s="406">
        <f>(P842*F842)*1.05</f>
        <v>0</v>
      </c>
      <c r="R842" s="406"/>
      <c r="S842" s="406"/>
      <c r="T842" s="406">
        <v>6953</v>
      </c>
      <c r="U842" s="406">
        <v>14601</v>
      </c>
      <c r="V842" s="501" t="s">
        <v>2045</v>
      </c>
      <c r="W842" s="303">
        <v>43830</v>
      </c>
      <c r="X842" s="304" t="s">
        <v>3079</v>
      </c>
      <c r="Y842" s="304" t="s">
        <v>3080</v>
      </c>
      <c r="Z842" s="304">
        <v>98301</v>
      </c>
      <c r="AA842" s="304"/>
      <c r="AB842" s="304" t="s">
        <v>3081</v>
      </c>
      <c r="AC842" s="304" t="s">
        <v>3082</v>
      </c>
      <c r="AD842" s="304">
        <v>30.89</v>
      </c>
      <c r="AE842" s="304"/>
      <c r="AF842" s="304"/>
      <c r="AG842" s="296"/>
      <c r="AH842" s="296"/>
      <c r="AI842" s="297"/>
      <c r="AJ842" s="29">
        <v>43789</v>
      </c>
      <c r="AK842" s="297" t="s">
        <v>3083</v>
      </c>
      <c r="AL842" s="297" t="s">
        <v>3084</v>
      </c>
      <c r="AM842" s="296" t="s">
        <v>49</v>
      </c>
      <c r="AN842" s="296" t="s">
        <v>284</v>
      </c>
      <c r="AO842" s="296" t="s">
        <v>50</v>
      </c>
      <c r="AP842" s="296" t="s">
        <v>51</v>
      </c>
      <c r="AQ842" s="82" t="s">
        <v>755</v>
      </c>
    </row>
    <row r="843" spans="1:43" ht="15.75" customHeight="1">
      <c r="A843" s="69">
        <v>43738</v>
      </c>
      <c r="B843" s="23" t="s">
        <v>405</v>
      </c>
      <c r="C843" s="21">
        <v>7000150545</v>
      </c>
      <c r="D843" s="21" t="s">
        <v>1675</v>
      </c>
      <c r="E843" s="23" t="s">
        <v>1678</v>
      </c>
      <c r="F843" s="24">
        <v>2</v>
      </c>
      <c r="G843" s="25">
        <v>300</v>
      </c>
      <c r="H843" s="60">
        <f t="shared" si="87"/>
        <v>600</v>
      </c>
      <c r="I843" s="61" t="s">
        <v>42</v>
      </c>
      <c r="J843" s="82" t="s">
        <v>519</v>
      </c>
      <c r="K843" s="145">
        <v>43756</v>
      </c>
      <c r="L843" s="145"/>
      <c r="M843" s="29">
        <v>43752</v>
      </c>
      <c r="N843" s="58" t="s">
        <v>2043</v>
      </c>
      <c r="O843" s="713">
        <v>2019100700002</v>
      </c>
      <c r="P843" s="406"/>
      <c r="Q843" s="406">
        <f>(P843*F843)*1.05</f>
        <v>0</v>
      </c>
      <c r="R843" s="406"/>
      <c r="S843" s="406"/>
      <c r="T843" s="406">
        <v>7914</v>
      </c>
      <c r="U843" s="406">
        <v>16619</v>
      </c>
      <c r="V843" s="501" t="s">
        <v>2045</v>
      </c>
      <c r="W843" s="303">
        <v>43830</v>
      </c>
      <c r="X843" s="304" t="s">
        <v>3079</v>
      </c>
      <c r="Y843" s="304" t="s">
        <v>3080</v>
      </c>
      <c r="Z843" s="304">
        <v>98301</v>
      </c>
      <c r="AA843" s="304"/>
      <c r="AB843" s="304" t="s">
        <v>3081</v>
      </c>
      <c r="AC843" s="304" t="s">
        <v>3082</v>
      </c>
      <c r="AD843" s="304">
        <v>30.89</v>
      </c>
      <c r="AE843" s="304"/>
      <c r="AF843" s="304"/>
      <c r="AG843" s="296"/>
      <c r="AH843" s="296"/>
      <c r="AI843" s="297"/>
      <c r="AJ843" s="29">
        <v>43789</v>
      </c>
      <c r="AK843" s="297" t="s">
        <v>3083</v>
      </c>
      <c r="AL843" s="297" t="s">
        <v>3084</v>
      </c>
      <c r="AM843" s="296" t="s">
        <v>49</v>
      </c>
      <c r="AN843" s="296" t="s">
        <v>284</v>
      </c>
      <c r="AO843" s="296" t="s">
        <v>50</v>
      </c>
      <c r="AP843" s="296" t="s">
        <v>51</v>
      </c>
      <c r="AQ843" s="82" t="s">
        <v>755</v>
      </c>
    </row>
    <row r="844" spans="1:43" ht="15.75" customHeight="1">
      <c r="A844" s="69">
        <v>43738</v>
      </c>
      <c r="B844" s="23" t="s">
        <v>405</v>
      </c>
      <c r="C844" s="21">
        <v>7000150545</v>
      </c>
      <c r="D844" s="21" t="s">
        <v>1675</v>
      </c>
      <c r="E844" s="23" t="s">
        <v>1679</v>
      </c>
      <c r="F844" s="130">
        <v>2</v>
      </c>
      <c r="G844" s="25">
        <v>185</v>
      </c>
      <c r="H844" s="60">
        <f t="shared" si="87"/>
        <v>370</v>
      </c>
      <c r="I844" s="61" t="s">
        <v>42</v>
      </c>
      <c r="J844" s="82" t="s">
        <v>519</v>
      </c>
      <c r="K844" s="145">
        <v>43756</v>
      </c>
      <c r="L844" s="145"/>
      <c r="M844" s="29">
        <v>43753</v>
      </c>
      <c r="N844" s="50" t="s">
        <v>3085</v>
      </c>
      <c r="O844" s="713">
        <v>2019100700003</v>
      </c>
      <c r="P844" s="406"/>
      <c r="Q844" s="406">
        <f>(P844*F844)*1.05</f>
        <v>0</v>
      </c>
      <c r="R844" s="406"/>
      <c r="S844" s="406"/>
      <c r="T844" s="406">
        <v>5200</v>
      </c>
      <c r="U844" s="406">
        <f>(T844*F844)*1.05</f>
        <v>10920</v>
      </c>
      <c r="V844" s="635" t="s">
        <v>3086</v>
      </c>
      <c r="W844" s="303">
        <v>43799</v>
      </c>
      <c r="X844" s="303">
        <v>43752</v>
      </c>
      <c r="Y844" s="304" t="s">
        <v>1680</v>
      </c>
      <c r="Z844" s="304">
        <v>10920</v>
      </c>
      <c r="AA844" s="304"/>
      <c r="AB844" s="304" t="s">
        <v>3081</v>
      </c>
      <c r="AC844" s="304" t="s">
        <v>3082</v>
      </c>
      <c r="AD844" s="304">
        <v>30.89</v>
      </c>
      <c r="AE844" s="304"/>
      <c r="AF844" s="304"/>
      <c r="AG844" s="296"/>
      <c r="AH844" s="296"/>
      <c r="AI844" s="297"/>
      <c r="AJ844" s="29">
        <v>43789</v>
      </c>
      <c r="AK844" s="297" t="s">
        <v>3083</v>
      </c>
      <c r="AL844" s="297" t="s">
        <v>3084</v>
      </c>
      <c r="AM844" s="296" t="s">
        <v>49</v>
      </c>
      <c r="AN844" s="296" t="s">
        <v>284</v>
      </c>
      <c r="AO844" s="296" t="s">
        <v>50</v>
      </c>
      <c r="AP844" s="296" t="s">
        <v>51</v>
      </c>
      <c r="AQ844" s="82" t="s">
        <v>755</v>
      </c>
    </row>
    <row r="845" spans="1:43" ht="15.75" customHeight="1">
      <c r="A845" s="69">
        <v>43738</v>
      </c>
      <c r="B845" s="23" t="s">
        <v>405</v>
      </c>
      <c r="C845" s="21">
        <v>7000150545</v>
      </c>
      <c r="D845" s="21" t="s">
        <v>1675</v>
      </c>
      <c r="E845" s="23" t="s">
        <v>801</v>
      </c>
      <c r="F845" s="130">
        <v>2</v>
      </c>
      <c r="G845" s="25">
        <v>67</v>
      </c>
      <c r="H845" s="60">
        <f t="shared" si="87"/>
        <v>134</v>
      </c>
      <c r="I845" s="61" t="s">
        <v>42</v>
      </c>
      <c r="J845" s="82" t="s">
        <v>519</v>
      </c>
      <c r="K845" s="145">
        <v>43756</v>
      </c>
      <c r="L845" s="145"/>
      <c r="M845" s="29">
        <v>43752</v>
      </c>
      <c r="N845" s="58" t="s">
        <v>2043</v>
      </c>
      <c r="O845" s="713">
        <v>2019100700002</v>
      </c>
      <c r="P845" s="406"/>
      <c r="Q845" s="406">
        <f>(P845*F845)*1.05</f>
        <v>0</v>
      </c>
      <c r="R845" s="406"/>
      <c r="S845" s="406"/>
      <c r="T845" s="406">
        <v>1797</v>
      </c>
      <c r="U845" s="406">
        <v>3774</v>
      </c>
      <c r="V845" s="501" t="s">
        <v>2045</v>
      </c>
      <c r="W845" s="303">
        <v>43830</v>
      </c>
      <c r="X845" s="304" t="s">
        <v>3079</v>
      </c>
      <c r="Y845" s="304" t="s">
        <v>3080</v>
      </c>
      <c r="Z845" s="304">
        <v>98301</v>
      </c>
      <c r="AA845" s="304"/>
      <c r="AB845" s="304" t="s">
        <v>3081</v>
      </c>
      <c r="AC845" s="304" t="s">
        <v>3082</v>
      </c>
      <c r="AD845" s="304">
        <v>30.89</v>
      </c>
      <c r="AE845" s="304"/>
      <c r="AF845" s="304"/>
      <c r="AG845" s="296"/>
      <c r="AH845" s="296"/>
      <c r="AI845" s="297"/>
      <c r="AJ845" s="29">
        <v>43789</v>
      </c>
      <c r="AK845" s="297" t="s">
        <v>3083</v>
      </c>
      <c r="AL845" s="297" t="s">
        <v>3084</v>
      </c>
      <c r="AM845" s="296" t="s">
        <v>49</v>
      </c>
      <c r="AN845" s="296" t="s">
        <v>284</v>
      </c>
      <c r="AO845" s="296" t="s">
        <v>50</v>
      </c>
      <c r="AP845" s="296" t="s">
        <v>51</v>
      </c>
      <c r="AQ845" s="82" t="s">
        <v>755</v>
      </c>
    </row>
    <row r="846" spans="1:43" ht="15.75" customHeight="1">
      <c r="A846" s="69">
        <v>43738</v>
      </c>
      <c r="B846" s="144" t="s">
        <v>76</v>
      </c>
      <c r="C846" s="21">
        <v>710</v>
      </c>
      <c r="D846" s="71" t="s">
        <v>1681</v>
      </c>
      <c r="E846" s="23" t="s">
        <v>642</v>
      </c>
      <c r="F846" s="130">
        <v>6</v>
      </c>
      <c r="G846" s="25">
        <v>200</v>
      </c>
      <c r="H846" s="60">
        <f t="shared" si="87"/>
        <v>1200</v>
      </c>
      <c r="I846" s="61" t="s">
        <v>42</v>
      </c>
      <c r="J846" s="82" t="s">
        <v>922</v>
      </c>
      <c r="K846" s="30">
        <v>43769</v>
      </c>
      <c r="L846" s="30"/>
      <c r="M846" s="30">
        <v>43763</v>
      </c>
      <c r="N846" s="50" t="s">
        <v>1512</v>
      </c>
      <c r="O846" s="93">
        <v>2019100100002</v>
      </c>
      <c r="P846" s="406"/>
      <c r="Q846" s="406"/>
      <c r="R846" s="406"/>
      <c r="S846" s="406"/>
      <c r="T846" s="406">
        <v>4788</v>
      </c>
      <c r="U846" s="714">
        <v>30165</v>
      </c>
      <c r="V846" s="501"/>
      <c r="W846" s="460">
        <v>43774</v>
      </c>
      <c r="X846" s="303">
        <v>43761</v>
      </c>
      <c r="Y846" s="304" t="s">
        <v>1682</v>
      </c>
      <c r="Z846" s="304" t="s">
        <v>3087</v>
      </c>
      <c r="AA846" s="304"/>
      <c r="AB846" s="304"/>
      <c r="AC846" s="304"/>
      <c r="AD846" s="304"/>
      <c r="AE846" s="304"/>
      <c r="AF846" s="304"/>
      <c r="AG846" s="296"/>
      <c r="AH846" s="296"/>
      <c r="AI846" s="297"/>
      <c r="AJ846" s="537"/>
      <c r="AK846" s="298">
        <v>43803</v>
      </c>
      <c r="AL846" s="297"/>
      <c r="AM846" s="296" t="s">
        <v>49</v>
      </c>
      <c r="AN846" s="296" t="s">
        <v>284</v>
      </c>
      <c r="AO846" s="296" t="s">
        <v>285</v>
      </c>
      <c r="AP846" s="296" t="s">
        <v>51</v>
      </c>
      <c r="AQ846" s="82" t="s">
        <v>755</v>
      </c>
    </row>
    <row r="847" spans="1:43" ht="15.75" customHeight="1">
      <c r="A847" s="69">
        <v>43738</v>
      </c>
      <c r="B847" s="144" t="s">
        <v>76</v>
      </c>
      <c r="C847" s="70">
        <v>710</v>
      </c>
      <c r="D847" s="71" t="s">
        <v>1681</v>
      </c>
      <c r="E847" s="32" t="s">
        <v>644</v>
      </c>
      <c r="F847" s="130">
        <v>6</v>
      </c>
      <c r="G847" s="25">
        <v>0</v>
      </c>
      <c r="H847" s="60">
        <f t="shared" si="87"/>
        <v>0</v>
      </c>
      <c r="I847" s="61" t="s">
        <v>42</v>
      </c>
      <c r="J847" s="82" t="s">
        <v>922</v>
      </c>
      <c r="K847" s="30">
        <v>43769</v>
      </c>
      <c r="L847" s="30"/>
      <c r="M847" s="30">
        <v>43763</v>
      </c>
      <c r="N847" s="50" t="s">
        <v>1512</v>
      </c>
      <c r="O847" s="93">
        <v>2019100100002</v>
      </c>
      <c r="P847" s="406"/>
      <c r="Q847" s="406"/>
      <c r="R847" s="406"/>
      <c r="S847" s="406"/>
      <c r="T847" s="304" t="s">
        <v>3088</v>
      </c>
      <c r="U847" s="715">
        <v>0</v>
      </c>
      <c r="V847" s="501"/>
      <c r="W847" s="460">
        <v>43774</v>
      </c>
      <c r="X847" s="303">
        <v>43761</v>
      </c>
      <c r="Y847" s="304" t="s">
        <v>1682</v>
      </c>
      <c r="Z847" s="304" t="s">
        <v>3087</v>
      </c>
      <c r="AA847" s="304"/>
      <c r="AB847" s="304"/>
      <c r="AC847" s="304"/>
      <c r="AD847" s="304"/>
      <c r="AE847" s="304"/>
      <c r="AF847" s="304"/>
      <c r="AG847" s="296"/>
      <c r="AH847" s="296"/>
      <c r="AI847" s="297"/>
      <c r="AJ847" s="537"/>
      <c r="AK847" s="296" t="s">
        <v>1212</v>
      </c>
      <c r="AL847" s="297"/>
      <c r="AM847" s="296" t="s">
        <v>49</v>
      </c>
      <c r="AN847" s="296" t="s">
        <v>284</v>
      </c>
      <c r="AO847" s="296" t="s">
        <v>285</v>
      </c>
      <c r="AP847" s="296" t="s">
        <v>51</v>
      </c>
      <c r="AQ847" s="82" t="s">
        <v>755</v>
      </c>
    </row>
    <row r="848" spans="1:43" ht="15.75" customHeight="1">
      <c r="A848" s="69">
        <v>43738</v>
      </c>
      <c r="B848" s="144" t="s">
        <v>76</v>
      </c>
      <c r="C848" s="70">
        <v>710</v>
      </c>
      <c r="D848" s="71" t="s">
        <v>1681</v>
      </c>
      <c r="E848" s="32" t="s">
        <v>645</v>
      </c>
      <c r="F848" s="130">
        <v>6</v>
      </c>
      <c r="G848" s="25">
        <v>0</v>
      </c>
      <c r="H848" s="60">
        <f t="shared" si="87"/>
        <v>0</v>
      </c>
      <c r="I848" s="61" t="s">
        <v>42</v>
      </c>
      <c r="J848" s="82" t="s">
        <v>922</v>
      </c>
      <c r="K848" s="30">
        <v>43769</v>
      </c>
      <c r="L848" s="30"/>
      <c r="M848" s="30">
        <v>43763</v>
      </c>
      <c r="N848" s="50" t="s">
        <v>1512</v>
      </c>
      <c r="O848" s="93">
        <v>2019100100002</v>
      </c>
      <c r="P848" s="406"/>
      <c r="Q848" s="406"/>
      <c r="R848" s="406"/>
      <c r="S848" s="406"/>
      <c r="T848" s="304" t="s">
        <v>3088</v>
      </c>
      <c r="U848" s="715">
        <v>0</v>
      </c>
      <c r="V848" s="501"/>
      <c r="W848" s="460">
        <v>43774</v>
      </c>
      <c r="X848" s="303">
        <v>43761</v>
      </c>
      <c r="Y848" s="304" t="s">
        <v>1682</v>
      </c>
      <c r="Z848" s="304" t="s">
        <v>3087</v>
      </c>
      <c r="AA848" s="304"/>
      <c r="AB848" s="304"/>
      <c r="AC848" s="304"/>
      <c r="AD848" s="304"/>
      <c r="AE848" s="304"/>
      <c r="AF848" s="304"/>
      <c r="AG848" s="296"/>
      <c r="AH848" s="296"/>
      <c r="AI848" s="297"/>
      <c r="AJ848" s="537"/>
      <c r="AK848" s="296" t="s">
        <v>1212</v>
      </c>
      <c r="AL848" s="297"/>
      <c r="AM848" s="296" t="s">
        <v>49</v>
      </c>
      <c r="AN848" s="296" t="s">
        <v>284</v>
      </c>
      <c r="AO848" s="296" t="s">
        <v>285</v>
      </c>
      <c r="AP848" s="296" t="s">
        <v>51</v>
      </c>
      <c r="AQ848" s="82" t="s">
        <v>755</v>
      </c>
    </row>
    <row r="849" spans="1:43" ht="15.75" customHeight="1">
      <c r="A849" s="110">
        <v>43738</v>
      </c>
      <c r="B849" s="144" t="s">
        <v>76</v>
      </c>
      <c r="C849" s="21">
        <v>710</v>
      </c>
      <c r="D849" s="21" t="s">
        <v>1681</v>
      </c>
      <c r="E849" s="23" t="s">
        <v>646</v>
      </c>
      <c r="F849" s="419">
        <v>6</v>
      </c>
      <c r="G849" s="48">
        <v>0</v>
      </c>
      <c r="H849" s="60">
        <f t="shared" si="87"/>
        <v>0</v>
      </c>
      <c r="I849" s="61" t="s">
        <v>42</v>
      </c>
      <c r="J849" s="82" t="s">
        <v>922</v>
      </c>
      <c r="K849" s="30">
        <v>43769</v>
      </c>
      <c r="L849" s="30"/>
      <c r="M849" s="30">
        <v>43763</v>
      </c>
      <c r="N849" s="50" t="s">
        <v>1512</v>
      </c>
      <c r="O849" s="93">
        <v>2019100100002</v>
      </c>
      <c r="P849" s="406"/>
      <c r="Q849" s="406"/>
      <c r="R849" s="406"/>
      <c r="S849" s="406"/>
      <c r="T849" s="304" t="s">
        <v>3088</v>
      </c>
      <c r="U849" s="715">
        <v>0</v>
      </c>
      <c r="V849" s="406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296"/>
      <c r="AH849" s="296"/>
      <c r="AI849" s="297"/>
      <c r="AJ849" s="537"/>
      <c r="AK849" s="296" t="s">
        <v>1212</v>
      </c>
      <c r="AL849" s="297"/>
      <c r="AM849" s="296" t="s">
        <v>49</v>
      </c>
      <c r="AN849" s="296" t="s">
        <v>284</v>
      </c>
      <c r="AO849" s="296" t="s">
        <v>285</v>
      </c>
      <c r="AP849" s="296" t="s">
        <v>51</v>
      </c>
      <c r="AQ849" s="82" t="s">
        <v>755</v>
      </c>
    </row>
    <row r="850" spans="1:43" ht="15.75" customHeight="1">
      <c r="A850" s="69">
        <v>43738</v>
      </c>
      <c r="B850" s="144" t="s">
        <v>76</v>
      </c>
      <c r="C850" s="70">
        <v>710</v>
      </c>
      <c r="D850" s="71" t="s">
        <v>1681</v>
      </c>
      <c r="E850" s="23" t="s">
        <v>647</v>
      </c>
      <c r="F850" s="130">
        <v>6</v>
      </c>
      <c r="G850" s="25">
        <v>0</v>
      </c>
      <c r="H850" s="60">
        <f t="shared" si="87"/>
        <v>0</v>
      </c>
      <c r="I850" s="61" t="s">
        <v>42</v>
      </c>
      <c r="J850" s="82" t="s">
        <v>922</v>
      </c>
      <c r="K850" s="30">
        <v>43769</v>
      </c>
      <c r="L850" s="30"/>
      <c r="M850" s="30">
        <v>43763</v>
      </c>
      <c r="N850" s="50" t="s">
        <v>1512</v>
      </c>
      <c r="O850" s="93">
        <v>2019100100002</v>
      </c>
      <c r="P850" s="406"/>
      <c r="Q850" s="406"/>
      <c r="R850" s="1396"/>
      <c r="S850" s="1396"/>
      <c r="T850" s="237" t="s">
        <v>3088</v>
      </c>
      <c r="U850" s="715">
        <v>0</v>
      </c>
      <c r="V850" s="501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296"/>
      <c r="AH850" s="296"/>
      <c r="AI850" s="297"/>
      <c r="AJ850" s="537"/>
      <c r="AK850" s="296" t="s">
        <v>1212</v>
      </c>
      <c r="AL850" s="297"/>
      <c r="AM850" s="296" t="s">
        <v>49</v>
      </c>
      <c r="AN850" s="296" t="s">
        <v>284</v>
      </c>
      <c r="AO850" s="296" t="s">
        <v>285</v>
      </c>
      <c r="AP850" s="296" t="s">
        <v>51</v>
      </c>
      <c r="AQ850" s="82" t="s">
        <v>755</v>
      </c>
    </row>
    <row r="851" spans="1:43" ht="15.75" customHeight="1">
      <c r="A851" s="69">
        <v>43738</v>
      </c>
      <c r="B851" s="144" t="s">
        <v>76</v>
      </c>
      <c r="C851" s="70">
        <v>710</v>
      </c>
      <c r="D851" s="71" t="s">
        <v>1681</v>
      </c>
      <c r="E851" s="32" t="s">
        <v>650</v>
      </c>
      <c r="F851" s="130">
        <v>6</v>
      </c>
      <c r="G851" s="25">
        <v>0</v>
      </c>
      <c r="H851" s="60">
        <f t="shared" si="87"/>
        <v>0</v>
      </c>
      <c r="I851" s="61" t="s">
        <v>42</v>
      </c>
      <c r="J851" s="82" t="s">
        <v>922</v>
      </c>
      <c r="K851" s="30">
        <v>43769</v>
      </c>
      <c r="L851" s="30"/>
      <c r="M851" s="30">
        <v>43768</v>
      </c>
      <c r="N851" s="50" t="s">
        <v>2006</v>
      </c>
      <c r="O851" s="32" t="s">
        <v>3089</v>
      </c>
      <c r="P851" s="406"/>
      <c r="Q851" s="406"/>
      <c r="R851" s="406"/>
      <c r="S851" s="406"/>
      <c r="T851" s="406">
        <v>92</v>
      </c>
      <c r="U851" s="716">
        <v>580</v>
      </c>
      <c r="V851" s="20" t="s">
        <v>2146</v>
      </c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296"/>
      <c r="AH851" s="296"/>
      <c r="AI851" s="297"/>
      <c r="AJ851" s="537"/>
      <c r="AK851" s="296" t="s">
        <v>1212</v>
      </c>
      <c r="AL851" s="297"/>
      <c r="AM851" s="296" t="s">
        <v>49</v>
      </c>
      <c r="AN851" s="296" t="s">
        <v>284</v>
      </c>
      <c r="AO851" s="296" t="s">
        <v>285</v>
      </c>
      <c r="AP851" s="296" t="s">
        <v>51</v>
      </c>
      <c r="AQ851" s="82" t="s">
        <v>755</v>
      </c>
    </row>
    <row r="852" spans="1:43" ht="15.75" customHeight="1">
      <c r="A852" s="69">
        <v>43738</v>
      </c>
      <c r="B852" s="144" t="s">
        <v>76</v>
      </c>
      <c r="C852" s="70">
        <v>710</v>
      </c>
      <c r="D852" s="71" t="s">
        <v>1681</v>
      </c>
      <c r="E852" s="23" t="s">
        <v>648</v>
      </c>
      <c r="F852" s="130">
        <v>6</v>
      </c>
      <c r="G852" s="25">
        <v>2</v>
      </c>
      <c r="H852" s="60">
        <f t="shared" si="87"/>
        <v>12</v>
      </c>
      <c r="I852" s="61" t="s">
        <v>42</v>
      </c>
      <c r="J852" s="82" t="s">
        <v>922</v>
      </c>
      <c r="K852" s="30">
        <v>43769</v>
      </c>
      <c r="L852" s="30"/>
      <c r="M852" s="30">
        <v>43768</v>
      </c>
      <c r="N852" s="50" t="s">
        <v>2006</v>
      </c>
      <c r="O852" s="32" t="s">
        <v>3089</v>
      </c>
      <c r="P852" s="406"/>
      <c r="Q852" s="406"/>
      <c r="R852" s="406"/>
      <c r="S852" s="406"/>
      <c r="T852" s="406">
        <v>24</v>
      </c>
      <c r="U852" s="716">
        <v>167</v>
      </c>
      <c r="V852" s="20" t="s">
        <v>2146</v>
      </c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296"/>
      <c r="AH852" s="296"/>
      <c r="AI852" s="297"/>
      <c r="AJ852" s="537"/>
      <c r="AK852" s="298">
        <v>43803</v>
      </c>
      <c r="AL852" s="297"/>
      <c r="AM852" s="296" t="s">
        <v>49</v>
      </c>
      <c r="AN852" s="296" t="s">
        <v>284</v>
      </c>
      <c r="AO852" s="296" t="s">
        <v>285</v>
      </c>
      <c r="AP852" s="296" t="s">
        <v>51</v>
      </c>
      <c r="AQ852" s="82" t="s">
        <v>755</v>
      </c>
    </row>
    <row r="853" spans="1:43" ht="15.75" customHeight="1">
      <c r="A853" s="69">
        <v>43738</v>
      </c>
      <c r="B853" s="144" t="s">
        <v>76</v>
      </c>
      <c r="C853" s="21">
        <v>710</v>
      </c>
      <c r="D853" s="71" t="s">
        <v>1681</v>
      </c>
      <c r="E853" s="23" t="s">
        <v>649</v>
      </c>
      <c r="F853" s="130">
        <v>6</v>
      </c>
      <c r="G853" s="25">
        <v>6</v>
      </c>
      <c r="H853" s="60">
        <f t="shared" si="87"/>
        <v>36</v>
      </c>
      <c r="I853" s="61" t="s">
        <v>42</v>
      </c>
      <c r="J853" s="82" t="s">
        <v>922</v>
      </c>
      <c r="K853" s="30">
        <v>43769</v>
      </c>
      <c r="L853" s="30"/>
      <c r="M853" s="30">
        <v>43768</v>
      </c>
      <c r="N853" s="50" t="s">
        <v>2006</v>
      </c>
      <c r="O853" s="32" t="s">
        <v>3089</v>
      </c>
      <c r="P853" s="406"/>
      <c r="Q853" s="406"/>
      <c r="R853" s="406"/>
      <c r="S853" s="406"/>
      <c r="T853" s="406">
        <v>28</v>
      </c>
      <c r="U853" s="716">
        <v>188</v>
      </c>
      <c r="V853" s="20" t="s">
        <v>2146</v>
      </c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296"/>
      <c r="AH853" s="296"/>
      <c r="AI853" s="297"/>
      <c r="AJ853" s="537"/>
      <c r="AK853" s="298">
        <v>43803</v>
      </c>
      <c r="AL853" s="297"/>
      <c r="AM853" s="296" t="s">
        <v>49</v>
      </c>
      <c r="AN853" s="296" t="s">
        <v>284</v>
      </c>
      <c r="AO853" s="296" t="s">
        <v>285</v>
      </c>
      <c r="AP853" s="296" t="s">
        <v>51</v>
      </c>
      <c r="AQ853" s="82" t="s">
        <v>755</v>
      </c>
    </row>
    <row r="854" spans="1:43" ht="15.75" customHeight="1">
      <c r="A854" s="69">
        <v>43738</v>
      </c>
      <c r="B854" s="144" t="s">
        <v>76</v>
      </c>
      <c r="C854" s="21">
        <v>710</v>
      </c>
      <c r="D854" s="21" t="s">
        <v>1681</v>
      </c>
      <c r="E854" s="23" t="s">
        <v>644</v>
      </c>
      <c r="F854" s="130">
        <v>3</v>
      </c>
      <c r="G854" s="25">
        <v>0</v>
      </c>
      <c r="H854" s="60">
        <f t="shared" si="87"/>
        <v>0</v>
      </c>
      <c r="I854" s="61" t="s">
        <v>42</v>
      </c>
      <c r="J854" s="82" t="s">
        <v>922</v>
      </c>
      <c r="K854" s="30">
        <v>43769</v>
      </c>
      <c r="L854" s="30"/>
      <c r="M854" s="30">
        <v>43763</v>
      </c>
      <c r="N854" s="50" t="s">
        <v>1512</v>
      </c>
      <c r="O854" s="93">
        <v>2019100100002</v>
      </c>
      <c r="P854" s="406"/>
      <c r="Q854" s="406">
        <f t="shared" ref="Q854:Q866" si="89">(P854*F854)*1.05</f>
        <v>0</v>
      </c>
      <c r="R854" s="406"/>
      <c r="S854" s="406"/>
      <c r="T854" s="304" t="s">
        <v>3088</v>
      </c>
      <c r="U854" s="717">
        <v>0</v>
      </c>
      <c r="V854" s="501"/>
      <c r="W854" s="460">
        <v>43774</v>
      </c>
      <c r="X854" s="303">
        <v>43761</v>
      </c>
      <c r="Y854" s="304" t="s">
        <v>1682</v>
      </c>
      <c r="Z854" s="304" t="s">
        <v>3087</v>
      </c>
      <c r="AA854" s="304"/>
      <c r="AB854" s="304"/>
      <c r="AC854" s="304"/>
      <c r="AD854" s="304"/>
      <c r="AE854" s="304"/>
      <c r="AF854" s="304"/>
      <c r="AG854" s="296"/>
      <c r="AH854" s="296"/>
      <c r="AI854" s="297"/>
      <c r="AJ854" s="537"/>
      <c r="AK854" s="296" t="s">
        <v>1212</v>
      </c>
      <c r="AL854" s="297"/>
      <c r="AM854" s="296" t="s">
        <v>49</v>
      </c>
      <c r="AN854" s="296" t="s">
        <v>284</v>
      </c>
      <c r="AO854" s="296" t="s">
        <v>285</v>
      </c>
      <c r="AP854" s="296" t="s">
        <v>51</v>
      </c>
      <c r="AQ854" s="82" t="s">
        <v>755</v>
      </c>
    </row>
    <row r="855" spans="1:43" ht="15.75" customHeight="1">
      <c r="A855" s="69">
        <v>43738</v>
      </c>
      <c r="B855" s="144" t="s">
        <v>76</v>
      </c>
      <c r="C855" s="70">
        <v>710</v>
      </c>
      <c r="D855" s="71" t="s">
        <v>1681</v>
      </c>
      <c r="E855" s="32" t="s">
        <v>645</v>
      </c>
      <c r="F855" s="130">
        <v>3</v>
      </c>
      <c r="G855" s="25">
        <v>0</v>
      </c>
      <c r="H855" s="60">
        <f t="shared" si="87"/>
        <v>0</v>
      </c>
      <c r="I855" s="61" t="s">
        <v>42</v>
      </c>
      <c r="J855" s="82" t="s">
        <v>922</v>
      </c>
      <c r="K855" s="30">
        <v>43769</v>
      </c>
      <c r="L855" s="30"/>
      <c r="M855" s="30">
        <v>43763</v>
      </c>
      <c r="N855" s="50" t="s">
        <v>1512</v>
      </c>
      <c r="O855" s="93">
        <v>2019100100002</v>
      </c>
      <c r="P855" s="406"/>
      <c r="Q855" s="406">
        <f t="shared" si="89"/>
        <v>0</v>
      </c>
      <c r="R855" s="406"/>
      <c r="S855" s="406"/>
      <c r="T855" s="304" t="s">
        <v>3088</v>
      </c>
      <c r="U855" s="717">
        <v>0</v>
      </c>
      <c r="V855" s="501"/>
      <c r="W855" s="460">
        <v>43774</v>
      </c>
      <c r="X855" s="303">
        <v>43761</v>
      </c>
      <c r="Y855" s="304" t="s">
        <v>1682</v>
      </c>
      <c r="Z855" s="304" t="s">
        <v>3087</v>
      </c>
      <c r="AA855" s="304"/>
      <c r="AB855" s="304"/>
      <c r="AC855" s="304"/>
      <c r="AD855" s="304"/>
      <c r="AE855" s="304"/>
      <c r="AF855" s="304"/>
      <c r="AG855" s="296"/>
      <c r="AH855" s="296"/>
      <c r="AI855" s="297"/>
      <c r="AJ855" s="537"/>
      <c r="AK855" s="296" t="s">
        <v>1212</v>
      </c>
      <c r="AL855" s="297"/>
      <c r="AM855" s="296" t="s">
        <v>49</v>
      </c>
      <c r="AN855" s="296" t="s">
        <v>284</v>
      </c>
      <c r="AO855" s="296" t="s">
        <v>285</v>
      </c>
      <c r="AP855" s="296" t="s">
        <v>51</v>
      </c>
      <c r="AQ855" s="82" t="s">
        <v>755</v>
      </c>
    </row>
    <row r="856" spans="1:43" ht="15.75" customHeight="1">
      <c r="A856" s="69">
        <v>43738</v>
      </c>
      <c r="B856" s="144" t="s">
        <v>76</v>
      </c>
      <c r="C856" s="70">
        <v>710</v>
      </c>
      <c r="D856" s="71" t="s">
        <v>1681</v>
      </c>
      <c r="E856" s="32" t="s">
        <v>646</v>
      </c>
      <c r="F856" s="130">
        <v>3</v>
      </c>
      <c r="G856" s="25">
        <v>0</v>
      </c>
      <c r="H856" s="60">
        <f t="shared" si="87"/>
        <v>0</v>
      </c>
      <c r="I856" s="61" t="s">
        <v>42</v>
      </c>
      <c r="J856" s="82" t="s">
        <v>922</v>
      </c>
      <c r="K856" s="30">
        <v>43769</v>
      </c>
      <c r="L856" s="30"/>
      <c r="M856" s="30">
        <v>43763</v>
      </c>
      <c r="N856" s="50" t="s">
        <v>1512</v>
      </c>
      <c r="O856" s="93">
        <v>2019100100002</v>
      </c>
      <c r="P856" s="406"/>
      <c r="Q856" s="406">
        <f t="shared" si="89"/>
        <v>0</v>
      </c>
      <c r="R856" s="406"/>
      <c r="S856" s="406"/>
      <c r="T856" s="304" t="s">
        <v>3088</v>
      </c>
      <c r="U856" s="717">
        <v>0</v>
      </c>
      <c r="V856" s="501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296"/>
      <c r="AH856" s="296"/>
      <c r="AI856" s="297"/>
      <c r="AJ856" s="537"/>
      <c r="AK856" s="296" t="s">
        <v>1212</v>
      </c>
      <c r="AL856" s="297"/>
      <c r="AM856" s="296" t="s">
        <v>49</v>
      </c>
      <c r="AN856" s="296" t="s">
        <v>284</v>
      </c>
      <c r="AO856" s="296" t="s">
        <v>285</v>
      </c>
      <c r="AP856" s="296" t="s">
        <v>51</v>
      </c>
      <c r="AQ856" s="82" t="s">
        <v>755</v>
      </c>
    </row>
    <row r="857" spans="1:43" ht="15.75" customHeight="1">
      <c r="A857" s="69">
        <v>43738</v>
      </c>
      <c r="B857" s="144" t="s">
        <v>76</v>
      </c>
      <c r="C857" s="70">
        <v>710</v>
      </c>
      <c r="D857" s="71" t="s">
        <v>1681</v>
      </c>
      <c r="E857" s="23" t="s">
        <v>647</v>
      </c>
      <c r="F857" s="130">
        <v>3</v>
      </c>
      <c r="G857" s="25">
        <v>0</v>
      </c>
      <c r="H857" s="60">
        <f t="shared" si="87"/>
        <v>0</v>
      </c>
      <c r="I857" s="61" t="s">
        <v>42</v>
      </c>
      <c r="J857" s="82" t="s">
        <v>922</v>
      </c>
      <c r="K857" s="30">
        <v>43769</v>
      </c>
      <c r="L857" s="30"/>
      <c r="M857" s="30">
        <v>43763</v>
      </c>
      <c r="N857" s="50" t="s">
        <v>1512</v>
      </c>
      <c r="O857" s="93">
        <v>2019100100002</v>
      </c>
      <c r="P857" s="406"/>
      <c r="Q857" s="406">
        <f t="shared" si="89"/>
        <v>0</v>
      </c>
      <c r="R857" s="406"/>
      <c r="S857" s="406"/>
      <c r="T857" s="304" t="s">
        <v>3088</v>
      </c>
      <c r="U857" s="717">
        <v>0</v>
      </c>
      <c r="V857" s="406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296"/>
      <c r="AH857" s="296"/>
      <c r="AI857" s="297"/>
      <c r="AJ857" s="537"/>
      <c r="AK857" s="296" t="s">
        <v>1212</v>
      </c>
      <c r="AL857" s="297"/>
      <c r="AM857" s="296" t="s">
        <v>49</v>
      </c>
      <c r="AN857" s="296" t="s">
        <v>284</v>
      </c>
      <c r="AO857" s="296" t="s">
        <v>285</v>
      </c>
      <c r="AP857" s="296" t="s">
        <v>51</v>
      </c>
      <c r="AQ857" s="82" t="s">
        <v>755</v>
      </c>
    </row>
    <row r="858" spans="1:43" ht="15.75" customHeight="1">
      <c r="A858" s="69">
        <v>43738</v>
      </c>
      <c r="B858" s="144" t="s">
        <v>76</v>
      </c>
      <c r="C858" s="70">
        <v>710</v>
      </c>
      <c r="D858" s="71" t="s">
        <v>1681</v>
      </c>
      <c r="E858" s="32" t="s">
        <v>650</v>
      </c>
      <c r="F858" s="130">
        <v>3</v>
      </c>
      <c r="G858" s="25">
        <v>0</v>
      </c>
      <c r="H858" s="60">
        <f t="shared" si="87"/>
        <v>0</v>
      </c>
      <c r="I858" s="61" t="s">
        <v>42</v>
      </c>
      <c r="J858" s="82" t="s">
        <v>922</v>
      </c>
      <c r="K858" s="30">
        <v>43769</v>
      </c>
      <c r="L858" s="30"/>
      <c r="M858" s="82" t="s">
        <v>178</v>
      </c>
      <c r="N858" s="82" t="s">
        <v>178</v>
      </c>
      <c r="O858" s="93"/>
      <c r="P858" s="406"/>
      <c r="Q858" s="406">
        <f t="shared" si="89"/>
        <v>0</v>
      </c>
      <c r="R858" s="406"/>
      <c r="S858" s="406"/>
      <c r="T858" s="406">
        <v>92</v>
      </c>
      <c r="U858" s="718">
        <v>290</v>
      </c>
      <c r="V858" s="406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296"/>
      <c r="AH858" s="296"/>
      <c r="AI858" s="297"/>
      <c r="AJ858" s="537"/>
      <c r="AK858" s="296" t="s">
        <v>1212</v>
      </c>
      <c r="AL858" s="297"/>
      <c r="AM858" s="296" t="s">
        <v>49</v>
      </c>
      <c r="AN858" s="296" t="s">
        <v>284</v>
      </c>
      <c r="AO858" s="296" t="s">
        <v>285</v>
      </c>
      <c r="AP858" s="296" t="s">
        <v>51</v>
      </c>
      <c r="AQ858" s="82" t="s">
        <v>755</v>
      </c>
    </row>
    <row r="859" spans="1:43" ht="15.75" customHeight="1">
      <c r="A859" s="69">
        <v>43738</v>
      </c>
      <c r="B859" s="144" t="s">
        <v>76</v>
      </c>
      <c r="C859" s="70">
        <v>710</v>
      </c>
      <c r="D859" s="71" t="s">
        <v>1681</v>
      </c>
      <c r="E859" s="32" t="s">
        <v>648</v>
      </c>
      <c r="F859" s="130">
        <v>3</v>
      </c>
      <c r="G859" s="25">
        <v>2</v>
      </c>
      <c r="H859" s="60">
        <f t="shared" si="87"/>
        <v>6</v>
      </c>
      <c r="I859" s="61" t="s">
        <v>42</v>
      </c>
      <c r="J859" s="82" t="s">
        <v>922</v>
      </c>
      <c r="K859" s="30">
        <v>43769</v>
      </c>
      <c r="L859" s="30"/>
      <c r="M859" s="82" t="s">
        <v>178</v>
      </c>
      <c r="N859" s="82" t="s">
        <v>178</v>
      </c>
      <c r="O859" s="93"/>
      <c r="P859" s="406"/>
      <c r="Q859" s="406">
        <f t="shared" si="89"/>
        <v>0</v>
      </c>
      <c r="R859" s="406"/>
      <c r="S859" s="406"/>
      <c r="T859" s="406">
        <v>24</v>
      </c>
      <c r="U859" s="718">
        <v>84</v>
      </c>
      <c r="V859" s="501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296"/>
      <c r="AH859" s="296"/>
      <c r="AI859" s="297"/>
      <c r="AJ859" s="537"/>
      <c r="AK859" s="298">
        <v>43803</v>
      </c>
      <c r="AL859" s="297"/>
      <c r="AM859" s="296" t="s">
        <v>49</v>
      </c>
      <c r="AN859" s="296" t="s">
        <v>284</v>
      </c>
      <c r="AO859" s="296" t="s">
        <v>285</v>
      </c>
      <c r="AP859" s="296" t="s">
        <v>51</v>
      </c>
      <c r="AQ859" s="82" t="s">
        <v>755</v>
      </c>
    </row>
    <row r="860" spans="1:43" ht="15.75" customHeight="1">
      <c r="A860" s="69">
        <v>43738</v>
      </c>
      <c r="B860" s="144" t="s">
        <v>76</v>
      </c>
      <c r="C860" s="21">
        <v>710</v>
      </c>
      <c r="D860" s="71" t="s">
        <v>1681</v>
      </c>
      <c r="E860" s="23" t="s">
        <v>649</v>
      </c>
      <c r="F860" s="130">
        <v>3</v>
      </c>
      <c r="G860" s="25">
        <v>6</v>
      </c>
      <c r="H860" s="60">
        <f t="shared" si="87"/>
        <v>18</v>
      </c>
      <c r="I860" s="61" t="s">
        <v>42</v>
      </c>
      <c r="J860" s="82" t="s">
        <v>922</v>
      </c>
      <c r="K860" s="30">
        <v>43769</v>
      </c>
      <c r="L860" s="30"/>
      <c r="M860" s="82" t="s">
        <v>178</v>
      </c>
      <c r="N860" s="82" t="s">
        <v>178</v>
      </c>
      <c r="O860" s="93"/>
      <c r="P860" s="406"/>
      <c r="Q860" s="406">
        <f t="shared" si="89"/>
        <v>0</v>
      </c>
      <c r="R860" s="406"/>
      <c r="S860" s="406"/>
      <c r="T860" s="406">
        <v>28</v>
      </c>
      <c r="U860" s="718">
        <v>94</v>
      </c>
      <c r="V860" s="501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296"/>
      <c r="AH860" s="296"/>
      <c r="AI860" s="297"/>
      <c r="AJ860" s="537"/>
      <c r="AK860" s="298">
        <v>43803</v>
      </c>
      <c r="AL860" s="297"/>
      <c r="AM860" s="296" t="s">
        <v>49</v>
      </c>
      <c r="AN860" s="296" t="s">
        <v>284</v>
      </c>
      <c r="AO860" s="296" t="s">
        <v>285</v>
      </c>
      <c r="AP860" s="296" t="s">
        <v>51</v>
      </c>
      <c r="AQ860" s="82" t="s">
        <v>755</v>
      </c>
    </row>
    <row r="861" spans="1:43" ht="15.75" customHeight="1">
      <c r="A861" s="69">
        <v>43738</v>
      </c>
      <c r="B861" s="144" t="s">
        <v>76</v>
      </c>
      <c r="C861" s="21">
        <v>710</v>
      </c>
      <c r="D861" s="71" t="s">
        <v>1681</v>
      </c>
      <c r="E861" s="23" t="s">
        <v>1683</v>
      </c>
      <c r="F861" s="130">
        <v>3</v>
      </c>
      <c r="G861" s="25">
        <v>200</v>
      </c>
      <c r="H861" s="60">
        <f t="shared" si="87"/>
        <v>600</v>
      </c>
      <c r="I861" s="61" t="s">
        <v>42</v>
      </c>
      <c r="J861" s="82" t="s">
        <v>922</v>
      </c>
      <c r="K861" s="30">
        <v>43769</v>
      </c>
      <c r="L861" s="30"/>
      <c r="M861" s="30">
        <v>43763</v>
      </c>
      <c r="N861" s="50" t="s">
        <v>1512</v>
      </c>
      <c r="O861" s="93">
        <v>2019100100002</v>
      </c>
      <c r="P861" s="406"/>
      <c r="Q861" s="406">
        <f t="shared" si="89"/>
        <v>0</v>
      </c>
      <c r="R861" s="406"/>
      <c r="S861" s="406"/>
      <c r="T861" s="406">
        <v>4788</v>
      </c>
      <c r="U861" s="714">
        <v>15082</v>
      </c>
      <c r="V861" s="406"/>
      <c r="W861" s="460">
        <v>43774</v>
      </c>
      <c r="X861" s="303">
        <v>43761</v>
      </c>
      <c r="Y861" s="304" t="s">
        <v>1682</v>
      </c>
      <c r="Z861" s="304">
        <v>45247</v>
      </c>
      <c r="AA861" s="304"/>
      <c r="AB861" s="304"/>
      <c r="AC861" s="304"/>
      <c r="AD861" s="304"/>
      <c r="AE861" s="304"/>
      <c r="AF861" s="304"/>
      <c r="AG861" s="296"/>
      <c r="AH861" s="296"/>
      <c r="AI861" s="297"/>
      <c r="AJ861" s="537"/>
      <c r="AK861" s="298">
        <v>43803</v>
      </c>
      <c r="AL861" s="297"/>
      <c r="AM861" s="296" t="s">
        <v>49</v>
      </c>
      <c r="AN861" s="296" t="s">
        <v>284</v>
      </c>
      <c r="AO861" s="296" t="s">
        <v>285</v>
      </c>
      <c r="AP861" s="296" t="s">
        <v>51</v>
      </c>
      <c r="AQ861" s="82" t="s">
        <v>755</v>
      </c>
    </row>
    <row r="862" spans="1:43" ht="15.75" customHeight="1">
      <c r="A862" s="69">
        <v>43739</v>
      </c>
      <c r="B862" s="70" t="s">
        <v>228</v>
      </c>
      <c r="C862" s="21"/>
      <c r="D862" s="71" t="s">
        <v>1684</v>
      </c>
      <c r="E862" s="23" t="s">
        <v>231</v>
      </c>
      <c r="F862" s="130">
        <v>23</v>
      </c>
      <c r="G862" s="25">
        <v>407.4</v>
      </c>
      <c r="H862" s="60">
        <f t="shared" si="87"/>
        <v>9370.1999999999989</v>
      </c>
      <c r="I862" s="61" t="s">
        <v>170</v>
      </c>
      <c r="J862" s="542" t="s">
        <v>232</v>
      </c>
      <c r="K862" s="30">
        <v>43780</v>
      </c>
      <c r="L862" s="30"/>
      <c r="M862" s="30">
        <v>43780</v>
      </c>
      <c r="N862" s="50" t="s">
        <v>89</v>
      </c>
      <c r="O862" s="93" t="s">
        <v>3090</v>
      </c>
      <c r="P862" s="406">
        <v>355</v>
      </c>
      <c r="Q862" s="406">
        <f t="shared" si="89"/>
        <v>8573.25</v>
      </c>
      <c r="R862" s="406"/>
      <c r="S862" s="406"/>
      <c r="T862" s="406"/>
      <c r="U862" s="406">
        <v>261656</v>
      </c>
      <c r="V862" s="35" t="s">
        <v>93</v>
      </c>
      <c r="W862" s="303">
        <v>43830</v>
      </c>
      <c r="X862" s="460">
        <v>43777</v>
      </c>
      <c r="Y862" s="304" t="s">
        <v>1685</v>
      </c>
      <c r="Z862" s="304">
        <v>279210</v>
      </c>
      <c r="AA862" s="304"/>
      <c r="AB862" s="304" t="s">
        <v>3091</v>
      </c>
      <c r="AC862" s="303"/>
      <c r="AD862" s="304">
        <v>30.375</v>
      </c>
      <c r="AE862" s="304">
        <v>306863</v>
      </c>
      <c r="AF862" s="303">
        <v>43780</v>
      </c>
      <c r="AG862" s="296"/>
      <c r="AH862" s="296"/>
      <c r="AI862" s="297"/>
      <c r="AJ862" s="298">
        <v>43801</v>
      </c>
      <c r="AK862" s="297">
        <v>328617</v>
      </c>
      <c r="AL862" s="297">
        <v>30</v>
      </c>
      <c r="AM862" s="296" t="s">
        <v>49</v>
      </c>
      <c r="AN862" s="296" t="s">
        <v>284</v>
      </c>
      <c r="AO862" s="296" t="s">
        <v>50</v>
      </c>
      <c r="AP862" s="296" t="s">
        <v>376</v>
      </c>
      <c r="AQ862" s="82" t="s">
        <v>755</v>
      </c>
    </row>
    <row r="863" spans="1:43" ht="15.75" customHeight="1">
      <c r="A863" s="69">
        <v>43739</v>
      </c>
      <c r="B863" s="70" t="s">
        <v>228</v>
      </c>
      <c r="C863" s="21"/>
      <c r="D863" s="71" t="s">
        <v>1684</v>
      </c>
      <c r="E863" s="23" t="s">
        <v>728</v>
      </c>
      <c r="F863" s="130">
        <v>2</v>
      </c>
      <c r="G863" s="543">
        <v>336</v>
      </c>
      <c r="H863" s="60">
        <f t="shared" si="87"/>
        <v>672</v>
      </c>
      <c r="I863" s="61" t="s">
        <v>170</v>
      </c>
      <c r="J863" s="50" t="s">
        <v>232</v>
      </c>
      <c r="K863" s="30">
        <v>43780</v>
      </c>
      <c r="L863" s="30"/>
      <c r="M863" s="30">
        <v>43780</v>
      </c>
      <c r="N863" s="50" t="s">
        <v>89</v>
      </c>
      <c r="O863" s="93" t="s">
        <v>3090</v>
      </c>
      <c r="P863" s="406">
        <v>257</v>
      </c>
      <c r="Q863" s="406">
        <f t="shared" si="89"/>
        <v>539.70000000000005</v>
      </c>
      <c r="R863" s="406"/>
      <c r="S863" s="406"/>
      <c r="T863" s="406"/>
      <c r="U863" s="406">
        <v>16471</v>
      </c>
      <c r="V863" s="35" t="s">
        <v>93</v>
      </c>
      <c r="W863" s="303">
        <v>43830</v>
      </c>
      <c r="X863" s="460">
        <v>43777</v>
      </c>
      <c r="Y863" s="304" t="s">
        <v>1685</v>
      </c>
      <c r="Z863" s="304" t="s">
        <v>3092</v>
      </c>
      <c r="AA863" s="304"/>
      <c r="AB863" s="304" t="s">
        <v>3091</v>
      </c>
      <c r="AC863" s="303"/>
      <c r="AD863" s="304">
        <v>30.375</v>
      </c>
      <c r="AE863" s="304" t="s">
        <v>3093</v>
      </c>
      <c r="AF863" s="303">
        <v>43780</v>
      </c>
      <c r="AG863" s="296"/>
      <c r="AH863" s="296"/>
      <c r="AI863" s="297"/>
      <c r="AJ863" s="298">
        <v>43801</v>
      </c>
      <c r="AK863" s="297" t="s">
        <v>3094</v>
      </c>
      <c r="AL863" s="297" t="s">
        <v>3095</v>
      </c>
      <c r="AM863" s="296" t="s">
        <v>49</v>
      </c>
      <c r="AN863" s="296" t="s">
        <v>284</v>
      </c>
      <c r="AO863" s="296" t="s">
        <v>50</v>
      </c>
      <c r="AP863" s="296" t="s">
        <v>376</v>
      </c>
      <c r="AQ863" s="82" t="s">
        <v>755</v>
      </c>
    </row>
    <row r="864" spans="1:43" ht="15.75" customHeight="1">
      <c r="A864" s="69">
        <v>43739</v>
      </c>
      <c r="B864" s="70" t="s">
        <v>228</v>
      </c>
      <c r="C864" s="21"/>
      <c r="D864" s="71" t="s">
        <v>1684</v>
      </c>
      <c r="E864" s="23" t="s">
        <v>729</v>
      </c>
      <c r="F864" s="130">
        <v>2</v>
      </c>
      <c r="G864" s="25">
        <v>21</v>
      </c>
      <c r="H864" s="60">
        <f t="shared" si="87"/>
        <v>42</v>
      </c>
      <c r="I864" s="61" t="s">
        <v>170</v>
      </c>
      <c r="J864" s="50" t="s">
        <v>232</v>
      </c>
      <c r="K864" s="30">
        <v>43780</v>
      </c>
      <c r="L864" s="30"/>
      <c r="M864" s="30">
        <v>43780</v>
      </c>
      <c r="N864" s="50" t="s">
        <v>89</v>
      </c>
      <c r="O864" s="93" t="s">
        <v>3090</v>
      </c>
      <c r="P864" s="406">
        <v>16.899999999999999</v>
      </c>
      <c r="Q864" s="406">
        <f t="shared" si="89"/>
        <v>35.49</v>
      </c>
      <c r="R864" s="406"/>
      <c r="S864" s="406"/>
      <c r="T864" s="406"/>
      <c r="U864" s="406">
        <v>1083</v>
      </c>
      <c r="V864" s="35" t="s">
        <v>93</v>
      </c>
      <c r="W864" s="303">
        <v>43830</v>
      </c>
      <c r="X864" s="460">
        <v>43777</v>
      </c>
      <c r="Y864" s="304" t="s">
        <v>1685</v>
      </c>
      <c r="Z864" s="304" t="s">
        <v>3092</v>
      </c>
      <c r="AA864" s="304"/>
      <c r="AB864" s="304" t="s">
        <v>3091</v>
      </c>
      <c r="AC864" s="303"/>
      <c r="AD864" s="304">
        <v>30.375</v>
      </c>
      <c r="AE864" s="304" t="s">
        <v>3093</v>
      </c>
      <c r="AF864" s="303">
        <v>43780</v>
      </c>
      <c r="AG864" s="296"/>
      <c r="AH864" s="296"/>
      <c r="AI864" s="297"/>
      <c r="AJ864" s="298">
        <v>43801</v>
      </c>
      <c r="AK864" s="297" t="s">
        <v>3094</v>
      </c>
      <c r="AL864" s="297" t="s">
        <v>3095</v>
      </c>
      <c r="AM864" s="296" t="s">
        <v>49</v>
      </c>
      <c r="AN864" s="296" t="s">
        <v>284</v>
      </c>
      <c r="AO864" s="296" t="s">
        <v>50</v>
      </c>
      <c r="AP864" s="296" t="s">
        <v>376</v>
      </c>
      <c r="AQ864" s="82" t="s">
        <v>755</v>
      </c>
    </row>
    <row r="865" spans="1:43" ht="15.75" customHeight="1">
      <c r="A865" s="69">
        <v>43739</v>
      </c>
      <c r="B865" s="70" t="s">
        <v>228</v>
      </c>
      <c r="C865" s="21"/>
      <c r="D865" s="71" t="s">
        <v>1684</v>
      </c>
      <c r="E865" s="32" t="s">
        <v>231</v>
      </c>
      <c r="F865" s="24">
        <v>12</v>
      </c>
      <c r="G865" s="48">
        <v>407.4</v>
      </c>
      <c r="H865" s="60">
        <f t="shared" si="87"/>
        <v>4888.7999999999993</v>
      </c>
      <c r="I865" s="61" t="s">
        <v>170</v>
      </c>
      <c r="J865" s="50" t="s">
        <v>232</v>
      </c>
      <c r="K865" s="30">
        <v>43825</v>
      </c>
      <c r="L865" s="30"/>
      <c r="M865" s="30">
        <v>43825</v>
      </c>
      <c r="N865" s="50" t="s">
        <v>89</v>
      </c>
      <c r="O865" s="93" t="s">
        <v>3090</v>
      </c>
      <c r="P865" s="406">
        <v>355</v>
      </c>
      <c r="Q865" s="620">
        <f t="shared" si="89"/>
        <v>4473</v>
      </c>
      <c r="R865" s="620"/>
      <c r="S865" s="620"/>
      <c r="T865" s="406"/>
      <c r="U865" s="719">
        <f>Q865*30.26</f>
        <v>135352.98000000001</v>
      </c>
      <c r="V865" s="51" t="s">
        <v>93</v>
      </c>
      <c r="W865" s="304"/>
      <c r="X865" s="304"/>
      <c r="Y865" s="304"/>
      <c r="Z865" s="304"/>
      <c r="AA865" s="304"/>
      <c r="AB865" s="304" t="s">
        <v>3096</v>
      </c>
      <c r="AC865" s="304" t="s">
        <v>3097</v>
      </c>
      <c r="AD865" s="304">
        <v>30.1</v>
      </c>
      <c r="AE865" s="304">
        <v>147153</v>
      </c>
      <c r="AF865" s="296"/>
      <c r="AG865" s="296"/>
      <c r="AH865" s="297"/>
      <c r="AI865" s="537"/>
      <c r="AJ865" s="298">
        <v>43864</v>
      </c>
      <c r="AK865" s="297">
        <v>858362</v>
      </c>
      <c r="AL865" s="296">
        <v>0</v>
      </c>
      <c r="AM865" s="296" t="s">
        <v>49</v>
      </c>
      <c r="AN865" s="82" t="s">
        <v>284</v>
      </c>
      <c r="AO865" s="296" t="s">
        <v>50</v>
      </c>
      <c r="AP865" s="296" t="s">
        <v>376</v>
      </c>
      <c r="AQ865" s="296" t="s">
        <v>1346</v>
      </c>
    </row>
    <row r="866" spans="1:43" ht="15.75" customHeight="1">
      <c r="A866" s="69">
        <v>43739</v>
      </c>
      <c r="B866" s="70" t="s">
        <v>1686</v>
      </c>
      <c r="C866" s="21" t="s">
        <v>1429</v>
      </c>
      <c r="D866" s="71" t="s">
        <v>1687</v>
      </c>
      <c r="E866" s="544" t="s">
        <v>1688</v>
      </c>
      <c r="F866" s="130">
        <v>18</v>
      </c>
      <c r="G866" s="25">
        <v>305</v>
      </c>
      <c r="H866" s="60">
        <f t="shared" si="87"/>
        <v>5490</v>
      </c>
      <c r="I866" s="61" t="s">
        <v>104</v>
      </c>
      <c r="J866" s="50" t="s">
        <v>920</v>
      </c>
      <c r="K866" s="29">
        <v>43767</v>
      </c>
      <c r="L866" s="29"/>
      <c r="M866" s="29">
        <v>43753</v>
      </c>
      <c r="N866" s="50" t="s">
        <v>2001</v>
      </c>
      <c r="O866" s="93" t="s">
        <v>3098</v>
      </c>
      <c r="P866" s="406">
        <v>270</v>
      </c>
      <c r="Q866" s="406">
        <f t="shared" si="89"/>
        <v>5103</v>
      </c>
      <c r="R866" s="406"/>
      <c r="S866" s="406"/>
      <c r="T866" s="406"/>
      <c r="U866" s="406">
        <v>157632</v>
      </c>
      <c r="V866" s="20" t="s">
        <v>2003</v>
      </c>
      <c r="W866" s="303">
        <v>43799</v>
      </c>
      <c r="X866" s="303">
        <v>43752</v>
      </c>
      <c r="Y866" s="304" t="s">
        <v>1689</v>
      </c>
      <c r="Z866" s="304">
        <v>201224</v>
      </c>
      <c r="AA866" s="304"/>
      <c r="AB866" s="304" t="s">
        <v>3099</v>
      </c>
      <c r="AC866" s="304">
        <v>160523869</v>
      </c>
      <c r="AD866" s="304">
        <v>30.62</v>
      </c>
      <c r="AE866" s="304"/>
      <c r="AF866" s="304"/>
      <c r="AG866" s="296"/>
      <c r="AH866" s="296"/>
      <c r="AI866" s="297"/>
      <c r="AJ866" s="298">
        <v>43747</v>
      </c>
      <c r="AK866" s="297">
        <f>6956.51*30.8</f>
        <v>214260.508</v>
      </c>
      <c r="AL866" s="297">
        <f>(6974-6956.51)*30.8</f>
        <v>538.6919999999933</v>
      </c>
      <c r="AM866" s="296" t="s">
        <v>49</v>
      </c>
      <c r="AN866" s="296" t="s">
        <v>284</v>
      </c>
      <c r="AO866" s="296" t="s">
        <v>50</v>
      </c>
      <c r="AP866" s="296" t="s">
        <v>51</v>
      </c>
      <c r="AQ866" s="82" t="s">
        <v>755</v>
      </c>
    </row>
    <row r="867" spans="1:43" ht="15.75" customHeight="1">
      <c r="A867" s="69">
        <v>43739</v>
      </c>
      <c r="B867" s="70" t="s">
        <v>1686</v>
      </c>
      <c r="C867" s="21" t="s">
        <v>1429</v>
      </c>
      <c r="D867" s="71" t="s">
        <v>1687</v>
      </c>
      <c r="E867" s="544" t="s">
        <v>1690</v>
      </c>
      <c r="F867" s="130">
        <v>14</v>
      </c>
      <c r="G867" s="25">
        <v>106</v>
      </c>
      <c r="H867" s="60">
        <f t="shared" si="87"/>
        <v>1484</v>
      </c>
      <c r="I867" s="61" t="s">
        <v>104</v>
      </c>
      <c r="J867" s="50" t="s">
        <v>920</v>
      </c>
      <c r="K867" s="29">
        <v>43767</v>
      </c>
      <c r="L867" s="29"/>
      <c r="M867" s="29">
        <v>43753</v>
      </c>
      <c r="N867" s="82" t="s">
        <v>2001</v>
      </c>
      <c r="O867" s="93" t="s">
        <v>3098</v>
      </c>
      <c r="P867" s="406">
        <v>96</v>
      </c>
      <c r="Q867" s="406"/>
      <c r="R867" s="406"/>
      <c r="S867" s="406"/>
      <c r="T867" s="406"/>
      <c r="U867" s="406">
        <v>43592</v>
      </c>
      <c r="V867" s="22" t="s">
        <v>2003</v>
      </c>
      <c r="W867" s="303">
        <v>43799</v>
      </c>
      <c r="X867" s="303">
        <v>43752</v>
      </c>
      <c r="Y867" s="304" t="s">
        <v>1689</v>
      </c>
      <c r="Z867" s="304" t="s">
        <v>3100</v>
      </c>
      <c r="AA867" s="304"/>
      <c r="AB867" s="304" t="s">
        <v>3099</v>
      </c>
      <c r="AC867" s="304">
        <v>160523869</v>
      </c>
      <c r="AD867" s="304">
        <v>30.62</v>
      </c>
      <c r="AE867" s="304"/>
      <c r="AF867" s="304"/>
      <c r="AG867" s="296"/>
      <c r="AH867" s="296"/>
      <c r="AI867" s="297"/>
      <c r="AJ867" s="298">
        <v>43747</v>
      </c>
      <c r="AK867" s="297" t="s">
        <v>3101</v>
      </c>
      <c r="AL867" s="297" t="s">
        <v>3102</v>
      </c>
      <c r="AM867" s="296" t="s">
        <v>49</v>
      </c>
      <c r="AN867" s="296" t="s">
        <v>284</v>
      </c>
      <c r="AO867" s="296" t="s">
        <v>50</v>
      </c>
      <c r="AP867" s="296" t="s">
        <v>51</v>
      </c>
      <c r="AQ867" s="82" t="s">
        <v>755</v>
      </c>
    </row>
    <row r="868" spans="1:43" ht="15.75" customHeight="1">
      <c r="A868" s="69">
        <v>43739</v>
      </c>
      <c r="B868" s="70" t="s">
        <v>986</v>
      </c>
      <c r="C868" s="21" t="s">
        <v>1691</v>
      </c>
      <c r="D868" s="71" t="s">
        <v>1692</v>
      </c>
      <c r="E868" s="23" t="s">
        <v>1693</v>
      </c>
      <c r="F868" s="130">
        <v>1</v>
      </c>
      <c r="G868" s="25">
        <v>260</v>
      </c>
      <c r="H868" s="60">
        <f t="shared" si="87"/>
        <v>260</v>
      </c>
      <c r="I868" s="61" t="s">
        <v>1694</v>
      </c>
      <c r="J868" s="50" t="s">
        <v>70</v>
      </c>
      <c r="K868" s="29">
        <v>43811</v>
      </c>
      <c r="L868" s="29"/>
      <c r="M868" s="30">
        <v>43797</v>
      </c>
      <c r="N868" s="50" t="s">
        <v>89</v>
      </c>
      <c r="O868" s="93" t="s">
        <v>3103</v>
      </c>
      <c r="P868" s="406">
        <v>233</v>
      </c>
      <c r="Q868" s="406">
        <f t="shared" ref="Q868:Q878" si="90">(P868*F868)*1.05</f>
        <v>244.65</v>
      </c>
      <c r="R868" s="406"/>
      <c r="S868" s="406"/>
      <c r="T868" s="406"/>
      <c r="U868" s="719">
        <f t="shared" ref="U868:U869" si="91">Q868*30.465</f>
        <v>7453.2622499999998</v>
      </c>
      <c r="V868" s="35" t="s">
        <v>93</v>
      </c>
      <c r="W868" s="304"/>
      <c r="X868" s="304"/>
      <c r="Y868" s="304"/>
      <c r="Z868" s="304"/>
      <c r="AA868" s="304"/>
      <c r="AB868" s="304" t="s">
        <v>3104</v>
      </c>
      <c r="AC868" s="304">
        <v>114309262</v>
      </c>
      <c r="AD868" s="304">
        <v>30.42</v>
      </c>
      <c r="AE868" s="304"/>
      <c r="AF868" s="304"/>
      <c r="AG868" s="296"/>
      <c r="AH868" s="296"/>
      <c r="AI868" s="297"/>
      <c r="AJ868" s="298">
        <v>43839</v>
      </c>
      <c r="AK868" s="297">
        <f>1590*29.915</f>
        <v>47564.85</v>
      </c>
      <c r="AL868" s="297">
        <v>0</v>
      </c>
      <c r="AM868" s="296" t="s">
        <v>49</v>
      </c>
      <c r="AN868" s="82" t="s">
        <v>284</v>
      </c>
      <c r="AO868" s="296" t="s">
        <v>50</v>
      </c>
      <c r="AP868" s="296" t="s">
        <v>51</v>
      </c>
      <c r="AQ868" s="296" t="s">
        <v>1346</v>
      </c>
    </row>
    <row r="869" spans="1:43" ht="15.75" customHeight="1">
      <c r="A869" s="69">
        <v>43739</v>
      </c>
      <c r="B869" s="70" t="s">
        <v>986</v>
      </c>
      <c r="C869" s="21" t="s">
        <v>1691</v>
      </c>
      <c r="D869" s="71" t="s">
        <v>1692</v>
      </c>
      <c r="E869" s="23" t="s">
        <v>1695</v>
      </c>
      <c r="F869" s="130">
        <v>2</v>
      </c>
      <c r="G869" s="25">
        <v>125</v>
      </c>
      <c r="H869" s="60">
        <f t="shared" si="87"/>
        <v>250</v>
      </c>
      <c r="I869" s="61" t="s">
        <v>1694</v>
      </c>
      <c r="J869" s="50" t="s">
        <v>70</v>
      </c>
      <c r="K869" s="29">
        <v>43811</v>
      </c>
      <c r="L869" s="29"/>
      <c r="M869" s="30">
        <v>43797</v>
      </c>
      <c r="N869" s="50" t="s">
        <v>89</v>
      </c>
      <c r="O869" s="93" t="s">
        <v>3103</v>
      </c>
      <c r="P869" s="406">
        <v>110</v>
      </c>
      <c r="Q869" s="406">
        <f t="shared" si="90"/>
        <v>231</v>
      </c>
      <c r="R869" s="406"/>
      <c r="S869" s="406"/>
      <c r="T869" s="406"/>
      <c r="U869" s="719">
        <f t="shared" si="91"/>
        <v>7037.415</v>
      </c>
      <c r="V869" s="35" t="s">
        <v>93</v>
      </c>
      <c r="W869" s="304"/>
      <c r="X869" s="304"/>
      <c r="Y869" s="304"/>
      <c r="Z869" s="304"/>
      <c r="AA869" s="304"/>
      <c r="AB869" s="304" t="s">
        <v>3104</v>
      </c>
      <c r="AC869" s="304">
        <v>114309262</v>
      </c>
      <c r="AD869" s="304">
        <v>30.42</v>
      </c>
      <c r="AE869" s="304"/>
      <c r="AF869" s="304"/>
      <c r="AG869" s="296"/>
      <c r="AH869" s="296"/>
      <c r="AI869" s="297"/>
      <c r="AJ869" s="298">
        <v>43839</v>
      </c>
      <c r="AK869" s="297" t="s">
        <v>3105</v>
      </c>
      <c r="AL869" s="297" t="s">
        <v>3106</v>
      </c>
      <c r="AM869" s="296" t="s">
        <v>49</v>
      </c>
      <c r="AN869" s="296" t="s">
        <v>284</v>
      </c>
      <c r="AO869" s="296" t="s">
        <v>50</v>
      </c>
      <c r="AP869" s="296" t="s">
        <v>51</v>
      </c>
      <c r="AQ869" s="296" t="s">
        <v>1346</v>
      </c>
    </row>
    <row r="870" spans="1:43" ht="15.75" customHeight="1">
      <c r="A870" s="69">
        <v>43739</v>
      </c>
      <c r="B870" s="70" t="s">
        <v>986</v>
      </c>
      <c r="C870" s="21" t="s">
        <v>1691</v>
      </c>
      <c r="D870" s="71" t="s">
        <v>1692</v>
      </c>
      <c r="E870" s="23" t="s">
        <v>1696</v>
      </c>
      <c r="F870" s="130">
        <v>10</v>
      </c>
      <c r="G870" s="25">
        <v>108</v>
      </c>
      <c r="H870" s="216">
        <f t="shared" si="87"/>
        <v>1080</v>
      </c>
      <c r="I870" s="61" t="s">
        <v>1694</v>
      </c>
      <c r="J870" s="50" t="s">
        <v>70</v>
      </c>
      <c r="K870" s="29">
        <v>43811</v>
      </c>
      <c r="L870" s="29"/>
      <c r="M870" s="29">
        <v>43810</v>
      </c>
      <c r="N870" s="50" t="s">
        <v>89</v>
      </c>
      <c r="O870" s="93" t="s">
        <v>3103</v>
      </c>
      <c r="P870" s="406">
        <v>95</v>
      </c>
      <c r="Q870" s="406">
        <f t="shared" si="90"/>
        <v>997.5</v>
      </c>
      <c r="R870" s="406"/>
      <c r="S870" s="406"/>
      <c r="T870" s="406"/>
      <c r="U870" s="719">
        <f>Q870*30.45</f>
        <v>30373.875</v>
      </c>
      <c r="V870" s="51" t="s">
        <v>93</v>
      </c>
      <c r="W870" s="304"/>
      <c r="X870" s="304"/>
      <c r="Y870" s="304"/>
      <c r="Z870" s="304"/>
      <c r="AA870" s="304"/>
      <c r="AB870" s="304" t="s">
        <v>3104</v>
      </c>
      <c r="AC870" s="304">
        <v>114309262</v>
      </c>
      <c r="AD870" s="304">
        <v>30.42</v>
      </c>
      <c r="AE870" s="304"/>
      <c r="AF870" s="304"/>
      <c r="AG870" s="296"/>
      <c r="AH870" s="296"/>
      <c r="AI870" s="297"/>
      <c r="AJ870" s="298">
        <v>43839</v>
      </c>
      <c r="AK870" s="297" t="s">
        <v>3105</v>
      </c>
      <c r="AL870" s="297" t="s">
        <v>3106</v>
      </c>
      <c r="AM870" s="296" t="s">
        <v>49</v>
      </c>
      <c r="AN870" s="82" t="s">
        <v>284</v>
      </c>
      <c r="AO870" s="296" t="s">
        <v>50</v>
      </c>
      <c r="AP870" s="296" t="s">
        <v>51</v>
      </c>
      <c r="AQ870" s="296" t="s">
        <v>1346</v>
      </c>
    </row>
    <row r="871" spans="1:43" ht="15.75" customHeight="1">
      <c r="A871" s="69">
        <v>43740</v>
      </c>
      <c r="B871" s="23" t="s">
        <v>212</v>
      </c>
      <c r="C871" s="21" t="s">
        <v>1697</v>
      </c>
      <c r="D871" s="71" t="s">
        <v>1698</v>
      </c>
      <c r="E871" s="23" t="s">
        <v>1699</v>
      </c>
      <c r="F871" s="130">
        <v>3</v>
      </c>
      <c r="G871" s="25">
        <v>207</v>
      </c>
      <c r="H871" s="60">
        <f t="shared" si="87"/>
        <v>621</v>
      </c>
      <c r="I871" s="27" t="s">
        <v>247</v>
      </c>
      <c r="J871" s="58" t="s">
        <v>216</v>
      </c>
      <c r="K871" s="30">
        <v>43780</v>
      </c>
      <c r="L871" s="30"/>
      <c r="M871" s="30">
        <v>43776</v>
      </c>
      <c r="N871" s="50" t="s">
        <v>89</v>
      </c>
      <c r="O871" s="93" t="s">
        <v>3107</v>
      </c>
      <c r="P871" s="406">
        <v>182</v>
      </c>
      <c r="Q871" s="406">
        <f t="shared" si="90"/>
        <v>573.30000000000007</v>
      </c>
      <c r="R871" s="406"/>
      <c r="S871" s="406"/>
      <c r="T871" s="406"/>
      <c r="U871" s="406">
        <v>17498</v>
      </c>
      <c r="V871" s="35" t="s">
        <v>93</v>
      </c>
      <c r="W871" s="303">
        <v>43830</v>
      </c>
      <c r="X871" s="460">
        <v>43775</v>
      </c>
      <c r="Y871" s="304" t="s">
        <v>1700</v>
      </c>
      <c r="Z871" s="304">
        <v>21439</v>
      </c>
      <c r="AA871" s="304"/>
      <c r="AB871" s="304" t="s">
        <v>3108</v>
      </c>
      <c r="AC871" s="304" t="s">
        <v>3109</v>
      </c>
      <c r="AD871" s="304">
        <v>30.295000000000002</v>
      </c>
      <c r="AE871" s="304"/>
      <c r="AF871" s="304"/>
      <c r="AG871" s="296"/>
      <c r="AH871" s="296"/>
      <c r="AI871" s="297"/>
      <c r="AJ871" s="298">
        <v>43745</v>
      </c>
      <c r="AK871" s="297">
        <f>794.52*30.85</f>
        <v>24510.941999999999</v>
      </c>
      <c r="AL871" s="297">
        <f>(801-794.52)*30.85</f>
        <v>199.90800000000058</v>
      </c>
      <c r="AM871" s="296" t="s">
        <v>49</v>
      </c>
      <c r="AN871" s="296" t="s">
        <v>284</v>
      </c>
      <c r="AO871" s="296" t="s">
        <v>50</v>
      </c>
      <c r="AP871" s="296" t="s">
        <v>51</v>
      </c>
      <c r="AQ871" s="82" t="s">
        <v>755</v>
      </c>
    </row>
    <row r="872" spans="1:43" ht="15.75" customHeight="1">
      <c r="A872" s="69">
        <v>43740</v>
      </c>
      <c r="B872" s="23" t="s">
        <v>212</v>
      </c>
      <c r="C872" s="21" t="s">
        <v>1697</v>
      </c>
      <c r="D872" s="71" t="s">
        <v>1698</v>
      </c>
      <c r="E872" s="23" t="s">
        <v>132</v>
      </c>
      <c r="F872" s="130">
        <v>1</v>
      </c>
      <c r="G872" s="25">
        <v>109</v>
      </c>
      <c r="H872" s="60">
        <f t="shared" si="87"/>
        <v>109</v>
      </c>
      <c r="I872" s="27" t="s">
        <v>247</v>
      </c>
      <c r="J872" s="58" t="s">
        <v>216</v>
      </c>
      <c r="K872" s="30">
        <v>43780</v>
      </c>
      <c r="L872" s="30"/>
      <c r="M872" s="30">
        <v>43776</v>
      </c>
      <c r="N872" s="50" t="s">
        <v>89</v>
      </c>
      <c r="O872" s="93" t="s">
        <v>3107</v>
      </c>
      <c r="P872" s="406">
        <v>96</v>
      </c>
      <c r="Q872" s="406">
        <f t="shared" si="90"/>
        <v>100.80000000000001</v>
      </c>
      <c r="R872" s="406"/>
      <c r="S872" s="406"/>
      <c r="T872" s="406"/>
      <c r="U872" s="406">
        <v>3076</v>
      </c>
      <c r="V872" s="51" t="s">
        <v>93</v>
      </c>
      <c r="W872" s="303">
        <v>43830</v>
      </c>
      <c r="X872" s="460">
        <v>43775</v>
      </c>
      <c r="Y872" s="304" t="s">
        <v>1700</v>
      </c>
      <c r="Z872" s="304" t="s">
        <v>3110</v>
      </c>
      <c r="AA872" s="304"/>
      <c r="AB872" s="304" t="s">
        <v>3108</v>
      </c>
      <c r="AC872" s="304" t="s">
        <v>3109</v>
      </c>
      <c r="AD872" s="304">
        <v>30.295000000000002</v>
      </c>
      <c r="AE872" s="304"/>
      <c r="AF872" s="304"/>
      <c r="AG872" s="296"/>
      <c r="AH872" s="296"/>
      <c r="AI872" s="297"/>
      <c r="AJ872" s="298">
        <v>43745</v>
      </c>
      <c r="AK872" s="297" t="s">
        <v>3111</v>
      </c>
      <c r="AL872" s="297" t="s">
        <v>3112</v>
      </c>
      <c r="AM872" s="296" t="s">
        <v>49</v>
      </c>
      <c r="AN872" s="296" t="s">
        <v>284</v>
      </c>
      <c r="AO872" s="296" t="s">
        <v>50</v>
      </c>
      <c r="AP872" s="296" t="s">
        <v>51</v>
      </c>
      <c r="AQ872" s="82" t="s">
        <v>755</v>
      </c>
    </row>
    <row r="873" spans="1:43" ht="15.75" customHeight="1">
      <c r="A873" s="69">
        <v>43740</v>
      </c>
      <c r="B873" s="23" t="s">
        <v>212</v>
      </c>
      <c r="C873" s="21" t="s">
        <v>1697</v>
      </c>
      <c r="D873" s="71" t="s">
        <v>1698</v>
      </c>
      <c r="E873" s="23" t="s">
        <v>136</v>
      </c>
      <c r="F873" s="130">
        <v>1</v>
      </c>
      <c r="G873" s="25">
        <v>31</v>
      </c>
      <c r="H873" s="60">
        <f t="shared" si="87"/>
        <v>31</v>
      </c>
      <c r="I873" s="27" t="s">
        <v>247</v>
      </c>
      <c r="J873" s="58" t="s">
        <v>216</v>
      </c>
      <c r="K873" s="30">
        <v>43780</v>
      </c>
      <c r="L873" s="30"/>
      <c r="M873" s="30">
        <v>43776</v>
      </c>
      <c r="N873" s="50" t="s">
        <v>89</v>
      </c>
      <c r="O873" s="93" t="s">
        <v>3107</v>
      </c>
      <c r="P873" s="406">
        <v>27</v>
      </c>
      <c r="Q873" s="406">
        <f t="shared" si="90"/>
        <v>28.35</v>
      </c>
      <c r="R873" s="406"/>
      <c r="S873" s="406"/>
      <c r="T873" s="406"/>
      <c r="U873" s="406">
        <v>865</v>
      </c>
      <c r="V873" s="51" t="s">
        <v>93</v>
      </c>
      <c r="W873" s="303">
        <v>43830</v>
      </c>
      <c r="X873" s="460">
        <v>43775</v>
      </c>
      <c r="Y873" s="304" t="s">
        <v>1700</v>
      </c>
      <c r="Z873" s="304" t="s">
        <v>3110</v>
      </c>
      <c r="AA873" s="304"/>
      <c r="AB873" s="304" t="s">
        <v>3108</v>
      </c>
      <c r="AC873" s="304" t="s">
        <v>3109</v>
      </c>
      <c r="AD873" s="304">
        <v>30.295000000000002</v>
      </c>
      <c r="AE873" s="304"/>
      <c r="AF873" s="304"/>
      <c r="AG873" s="296"/>
      <c r="AH873" s="296"/>
      <c r="AI873" s="297"/>
      <c r="AJ873" s="298">
        <v>43745</v>
      </c>
      <c r="AK873" s="297" t="s">
        <v>3111</v>
      </c>
      <c r="AL873" s="297" t="s">
        <v>3112</v>
      </c>
      <c r="AM873" s="296" t="s">
        <v>49</v>
      </c>
      <c r="AN873" s="296" t="s">
        <v>284</v>
      </c>
      <c r="AO873" s="296" t="s">
        <v>50</v>
      </c>
      <c r="AP873" s="296" t="s">
        <v>51</v>
      </c>
      <c r="AQ873" s="82" t="s">
        <v>755</v>
      </c>
    </row>
    <row r="874" spans="1:43" ht="15.75" customHeight="1">
      <c r="A874" s="69">
        <v>43740</v>
      </c>
      <c r="B874" s="23" t="s">
        <v>212</v>
      </c>
      <c r="C874" s="21" t="s">
        <v>1697</v>
      </c>
      <c r="D874" s="71" t="s">
        <v>1698</v>
      </c>
      <c r="E874" s="23" t="s">
        <v>692</v>
      </c>
      <c r="F874" s="130">
        <v>1</v>
      </c>
      <c r="G874" s="25">
        <v>40</v>
      </c>
      <c r="H874" s="60">
        <f t="shared" si="87"/>
        <v>40</v>
      </c>
      <c r="I874" s="27" t="s">
        <v>247</v>
      </c>
      <c r="J874" s="161" t="s">
        <v>216</v>
      </c>
      <c r="K874" s="30">
        <v>43780</v>
      </c>
      <c r="L874" s="30"/>
      <c r="M874" s="665"/>
      <c r="N874" s="63" t="s">
        <v>219</v>
      </c>
      <c r="O874" s="64"/>
      <c r="P874" s="34"/>
      <c r="Q874" s="34">
        <f t="shared" si="90"/>
        <v>0</v>
      </c>
      <c r="R874" s="34"/>
      <c r="S874" s="34"/>
      <c r="T874" s="34"/>
      <c r="U874" s="34">
        <f>(T874*F875)*1.05</f>
        <v>0</v>
      </c>
      <c r="V874" s="66"/>
      <c r="W874" s="52"/>
      <c r="X874" s="53"/>
      <c r="Y874" s="53"/>
      <c r="Z874" s="53"/>
      <c r="AA874" s="53"/>
      <c r="AB874" s="53" t="s">
        <v>3108</v>
      </c>
      <c r="AC874" s="53" t="s">
        <v>3109</v>
      </c>
      <c r="AD874" s="53">
        <v>30.295000000000002</v>
      </c>
      <c r="AE874" s="53"/>
      <c r="AF874" s="53"/>
      <c r="AG874" s="54"/>
      <c r="AH874" s="54"/>
      <c r="AI874" s="55"/>
      <c r="AJ874" s="56">
        <v>43745</v>
      </c>
      <c r="AK874" s="55" t="s">
        <v>3111</v>
      </c>
      <c r="AL874" s="55" t="s">
        <v>3112</v>
      </c>
      <c r="AM874" s="54" t="s">
        <v>49</v>
      </c>
      <c r="AN874" s="54" t="s">
        <v>284</v>
      </c>
      <c r="AO874" s="54" t="s">
        <v>50</v>
      </c>
      <c r="AP874" s="54" t="s">
        <v>51</v>
      </c>
      <c r="AQ874" s="54"/>
    </row>
    <row r="875" spans="1:43" ht="15.75" customHeight="1">
      <c r="A875" s="69">
        <v>43741</v>
      </c>
      <c r="B875" s="23" t="s">
        <v>405</v>
      </c>
      <c r="C875" s="21">
        <v>7000150659</v>
      </c>
      <c r="D875" s="71" t="s">
        <v>1701</v>
      </c>
      <c r="E875" s="32" t="s">
        <v>480</v>
      </c>
      <c r="F875" s="24">
        <v>1</v>
      </c>
      <c r="G875" s="48">
        <v>137</v>
      </c>
      <c r="H875" s="60">
        <f t="shared" si="87"/>
        <v>137</v>
      </c>
      <c r="I875" s="61" t="s">
        <v>42</v>
      </c>
      <c r="J875" s="82" t="s">
        <v>519</v>
      </c>
      <c r="K875" s="145">
        <v>43756</v>
      </c>
      <c r="L875" s="145"/>
      <c r="M875" s="30">
        <v>43753</v>
      </c>
      <c r="N875" s="58" t="s">
        <v>2043</v>
      </c>
      <c r="O875" s="93" t="s">
        <v>3113</v>
      </c>
      <c r="P875" s="406"/>
      <c r="Q875" s="406">
        <f t="shared" si="90"/>
        <v>0</v>
      </c>
      <c r="R875" s="406"/>
      <c r="S875" s="406"/>
      <c r="T875" s="406">
        <v>3594</v>
      </c>
      <c r="U875" s="406">
        <v>3774</v>
      </c>
      <c r="V875" s="501" t="s">
        <v>2045</v>
      </c>
      <c r="W875" s="303">
        <v>43830</v>
      </c>
      <c r="X875" s="303">
        <v>43752</v>
      </c>
      <c r="Y875" s="304" t="s">
        <v>1702</v>
      </c>
      <c r="Z875" s="304">
        <v>3774</v>
      </c>
      <c r="AA875" s="304"/>
      <c r="AB875" s="304" t="s">
        <v>3081</v>
      </c>
      <c r="AC875" s="304" t="s">
        <v>3082</v>
      </c>
      <c r="AD875" s="304">
        <v>30.89</v>
      </c>
      <c r="AE875" s="304"/>
      <c r="AF875" s="304"/>
      <c r="AG875" s="296"/>
      <c r="AH875" s="296"/>
      <c r="AI875" s="297"/>
      <c r="AJ875" s="29">
        <v>43789</v>
      </c>
      <c r="AK875" s="297" t="s">
        <v>3083</v>
      </c>
      <c r="AL875" s="297" t="s">
        <v>3084</v>
      </c>
      <c r="AM875" s="296" t="s">
        <v>49</v>
      </c>
      <c r="AN875" s="296" t="s">
        <v>284</v>
      </c>
      <c r="AO875" s="296" t="s">
        <v>50</v>
      </c>
      <c r="AP875" s="296" t="s">
        <v>51</v>
      </c>
      <c r="AQ875" s="82" t="s">
        <v>755</v>
      </c>
    </row>
    <row r="876" spans="1:43" ht="15.75" customHeight="1">
      <c r="A876" s="69">
        <v>43743</v>
      </c>
      <c r="B876" s="23" t="s">
        <v>405</v>
      </c>
      <c r="C876" s="21">
        <v>7000150764</v>
      </c>
      <c r="D876" s="71" t="s">
        <v>1703</v>
      </c>
      <c r="E876" s="23" t="s">
        <v>585</v>
      </c>
      <c r="F876" s="24">
        <v>1</v>
      </c>
      <c r="G876" s="48">
        <v>15</v>
      </c>
      <c r="H876" s="60">
        <f t="shared" si="87"/>
        <v>15</v>
      </c>
      <c r="I876" s="61" t="s">
        <v>42</v>
      </c>
      <c r="J876" s="82" t="s">
        <v>519</v>
      </c>
      <c r="K876" s="145">
        <v>43756</v>
      </c>
      <c r="L876" s="145"/>
      <c r="M876" s="29">
        <v>43754</v>
      </c>
      <c r="N876" s="58" t="s">
        <v>2043</v>
      </c>
      <c r="O876" s="93" t="s">
        <v>3114</v>
      </c>
      <c r="P876" s="406"/>
      <c r="Q876" s="406">
        <f t="shared" si="90"/>
        <v>0</v>
      </c>
      <c r="R876" s="406"/>
      <c r="S876" s="406"/>
      <c r="T876" s="406">
        <v>304</v>
      </c>
      <c r="U876" s="406">
        <v>319</v>
      </c>
      <c r="V876" s="406" t="s">
        <v>2045</v>
      </c>
      <c r="W876" s="303">
        <v>43830</v>
      </c>
      <c r="X876" s="303">
        <v>43754</v>
      </c>
      <c r="Y876" s="304" t="s">
        <v>1704</v>
      </c>
      <c r="Z876" s="304" t="s">
        <v>3115</v>
      </c>
      <c r="AA876" s="304"/>
      <c r="AB876" s="304" t="s">
        <v>3081</v>
      </c>
      <c r="AC876" s="304" t="s">
        <v>3082</v>
      </c>
      <c r="AD876" s="304">
        <v>30.89</v>
      </c>
      <c r="AE876" s="304"/>
      <c r="AF876" s="304"/>
      <c r="AG876" s="296"/>
      <c r="AH876" s="296"/>
      <c r="AI876" s="297"/>
      <c r="AJ876" s="29">
        <v>43789</v>
      </c>
      <c r="AK876" s="297" t="s">
        <v>3083</v>
      </c>
      <c r="AL876" s="297" t="s">
        <v>3084</v>
      </c>
      <c r="AM876" s="296" t="s">
        <v>49</v>
      </c>
      <c r="AN876" s="296" t="s">
        <v>284</v>
      </c>
      <c r="AO876" s="296" t="s">
        <v>50</v>
      </c>
      <c r="AP876" s="296" t="s">
        <v>51</v>
      </c>
      <c r="AQ876" s="82" t="s">
        <v>755</v>
      </c>
    </row>
    <row r="877" spans="1:43" ht="15.75" customHeight="1">
      <c r="A877" s="69">
        <v>43743</v>
      </c>
      <c r="B877" s="23" t="s">
        <v>405</v>
      </c>
      <c r="C877" s="21">
        <v>7000150764</v>
      </c>
      <c r="D877" s="71" t="s">
        <v>1703</v>
      </c>
      <c r="E877" s="23" t="s">
        <v>1705</v>
      </c>
      <c r="F877" s="24">
        <v>1</v>
      </c>
      <c r="G877" s="48">
        <v>671</v>
      </c>
      <c r="H877" s="60">
        <f t="shared" si="87"/>
        <v>671</v>
      </c>
      <c r="I877" s="61" t="s">
        <v>42</v>
      </c>
      <c r="J877" s="82" t="s">
        <v>519</v>
      </c>
      <c r="K877" s="145">
        <v>43756</v>
      </c>
      <c r="L877" s="145"/>
      <c r="M877" s="29">
        <v>43754</v>
      </c>
      <c r="N877" s="58" t="s">
        <v>2043</v>
      </c>
      <c r="O877" s="93" t="s">
        <v>3114</v>
      </c>
      <c r="P877" s="406"/>
      <c r="Q877" s="406">
        <f t="shared" si="90"/>
        <v>0</v>
      </c>
      <c r="R877" s="406"/>
      <c r="S877" s="406"/>
      <c r="T877" s="406">
        <v>17777</v>
      </c>
      <c r="U877" s="406">
        <v>18666</v>
      </c>
      <c r="V877" s="501" t="s">
        <v>2045</v>
      </c>
      <c r="W877" s="303">
        <v>43830</v>
      </c>
      <c r="X877" s="303">
        <v>43754</v>
      </c>
      <c r="Y877" s="304" t="s">
        <v>1704</v>
      </c>
      <c r="Z877" s="304" t="s">
        <v>3115</v>
      </c>
      <c r="AA877" s="304"/>
      <c r="AB877" s="304" t="s">
        <v>3081</v>
      </c>
      <c r="AC877" s="304" t="s">
        <v>3082</v>
      </c>
      <c r="AD877" s="304">
        <v>30.89</v>
      </c>
      <c r="AE877" s="304"/>
      <c r="AF877" s="304"/>
      <c r="AG877" s="296"/>
      <c r="AH877" s="296"/>
      <c r="AI877" s="297"/>
      <c r="AJ877" s="29">
        <v>43789</v>
      </c>
      <c r="AK877" s="297" t="s">
        <v>3083</v>
      </c>
      <c r="AL877" s="297" t="s">
        <v>3084</v>
      </c>
      <c r="AM877" s="296" t="s">
        <v>49</v>
      </c>
      <c r="AN877" s="296" t="s">
        <v>284</v>
      </c>
      <c r="AO877" s="296" t="s">
        <v>50</v>
      </c>
      <c r="AP877" s="296" t="s">
        <v>51</v>
      </c>
      <c r="AQ877" s="82" t="s">
        <v>755</v>
      </c>
    </row>
    <row r="878" spans="1:43" ht="15.75" customHeight="1">
      <c r="A878" s="69">
        <v>43743</v>
      </c>
      <c r="B878" s="23" t="s">
        <v>405</v>
      </c>
      <c r="C878" s="21">
        <v>7000150764</v>
      </c>
      <c r="D878" s="71" t="s">
        <v>1703</v>
      </c>
      <c r="E878" s="23" t="s">
        <v>583</v>
      </c>
      <c r="F878" s="24">
        <v>1</v>
      </c>
      <c r="G878" s="48">
        <v>1069</v>
      </c>
      <c r="H878" s="60">
        <f t="shared" si="87"/>
        <v>1069</v>
      </c>
      <c r="I878" s="61" t="s">
        <v>42</v>
      </c>
      <c r="J878" s="82" t="s">
        <v>519</v>
      </c>
      <c r="K878" s="145">
        <v>43756</v>
      </c>
      <c r="L878" s="145"/>
      <c r="M878" s="29">
        <v>43754</v>
      </c>
      <c r="N878" s="58" t="s">
        <v>2043</v>
      </c>
      <c r="O878" s="93" t="s">
        <v>3114</v>
      </c>
      <c r="P878" s="406"/>
      <c r="Q878" s="406">
        <f t="shared" si="90"/>
        <v>0</v>
      </c>
      <c r="R878" s="406"/>
      <c r="S878" s="406"/>
      <c r="T878" s="406">
        <v>28265</v>
      </c>
      <c r="U878" s="406">
        <v>29678</v>
      </c>
      <c r="V878" s="501" t="s">
        <v>2045</v>
      </c>
      <c r="W878" s="303">
        <v>43830</v>
      </c>
      <c r="X878" s="303">
        <v>43754</v>
      </c>
      <c r="Y878" s="304" t="s">
        <v>1704</v>
      </c>
      <c r="Z878" s="304">
        <v>48663</v>
      </c>
      <c r="AA878" s="304"/>
      <c r="AB878" s="304" t="s">
        <v>3081</v>
      </c>
      <c r="AC878" s="304" t="s">
        <v>3082</v>
      </c>
      <c r="AD878" s="304">
        <v>30.89</v>
      </c>
      <c r="AE878" s="304"/>
      <c r="AF878" s="304"/>
      <c r="AG878" s="296"/>
      <c r="AH878" s="296"/>
      <c r="AI878" s="297"/>
      <c r="AJ878" s="29">
        <v>43789</v>
      </c>
      <c r="AK878" s="297" t="s">
        <v>3083</v>
      </c>
      <c r="AL878" s="297" t="s">
        <v>3084</v>
      </c>
      <c r="AM878" s="296" t="s">
        <v>49</v>
      </c>
      <c r="AN878" s="296" t="s">
        <v>284</v>
      </c>
      <c r="AO878" s="296" t="s">
        <v>50</v>
      </c>
      <c r="AP878" s="296" t="s">
        <v>51</v>
      </c>
      <c r="AQ878" s="82" t="s">
        <v>755</v>
      </c>
    </row>
    <row r="879" spans="1:43" ht="15.75" customHeight="1">
      <c r="A879" s="69">
        <v>43746</v>
      </c>
      <c r="B879" s="144" t="s">
        <v>377</v>
      </c>
      <c r="C879" s="21">
        <v>8998</v>
      </c>
      <c r="D879" s="71" t="s">
        <v>1706</v>
      </c>
      <c r="E879" s="23" t="s">
        <v>1707</v>
      </c>
      <c r="F879" s="24">
        <v>1</v>
      </c>
      <c r="G879" s="48">
        <v>52.59</v>
      </c>
      <c r="H879" s="60">
        <f t="shared" si="87"/>
        <v>52.59</v>
      </c>
      <c r="I879" s="61" t="s">
        <v>143</v>
      </c>
      <c r="J879" s="58" t="s">
        <v>1107</v>
      </c>
      <c r="K879" s="30">
        <v>43781</v>
      </c>
      <c r="L879" s="30"/>
      <c r="M879" s="30"/>
      <c r="N879" s="82" t="s">
        <v>3116</v>
      </c>
      <c r="O879" s="93"/>
      <c r="P879" s="406"/>
      <c r="Q879" s="22"/>
      <c r="R879" s="22"/>
      <c r="S879" s="22"/>
      <c r="T879" s="22"/>
      <c r="U879" s="720">
        <v>1634</v>
      </c>
      <c r="V879" s="501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296"/>
      <c r="AH879" s="296"/>
      <c r="AI879" s="297"/>
      <c r="AJ879" s="29">
        <v>43766</v>
      </c>
      <c r="AK879" s="297">
        <f>46.02*30.45</f>
        <v>1401.309</v>
      </c>
      <c r="AL879" s="297">
        <f>(52.59-46.02)*30.45</f>
        <v>200.0565</v>
      </c>
      <c r="AM879" s="296" t="s">
        <v>49</v>
      </c>
      <c r="AN879" s="296" t="s">
        <v>284</v>
      </c>
      <c r="AO879" s="296" t="s">
        <v>50</v>
      </c>
      <c r="AP879" s="296" t="s">
        <v>51</v>
      </c>
      <c r="AQ879" s="82" t="s">
        <v>755</v>
      </c>
    </row>
    <row r="880" spans="1:43" ht="15.75" customHeight="1">
      <c r="A880" s="69">
        <v>43746</v>
      </c>
      <c r="B880" s="144" t="s">
        <v>166</v>
      </c>
      <c r="C880" s="502" t="s">
        <v>0</v>
      </c>
      <c r="D880" s="71" t="s">
        <v>1708</v>
      </c>
      <c r="E880" s="23" t="s">
        <v>176</v>
      </c>
      <c r="F880" s="58">
        <v>1</v>
      </c>
      <c r="G880" s="47">
        <v>105</v>
      </c>
      <c r="H880" s="60">
        <f t="shared" si="87"/>
        <v>105</v>
      </c>
      <c r="I880" s="27" t="s">
        <v>104</v>
      </c>
      <c r="J880" s="58" t="s">
        <v>171</v>
      </c>
      <c r="K880" s="29">
        <v>43769</v>
      </c>
      <c r="L880" s="29"/>
      <c r="M880" s="443">
        <v>43768</v>
      </c>
      <c r="N880" s="50" t="s">
        <v>178</v>
      </c>
      <c r="O880" s="93"/>
      <c r="P880" s="406"/>
      <c r="Q880" s="406">
        <f>(P880*F880)*1.05</f>
        <v>0</v>
      </c>
      <c r="R880" s="406"/>
      <c r="S880" s="406"/>
      <c r="T880" s="406"/>
      <c r="U880" s="716">
        <v>1484</v>
      </c>
      <c r="V880" s="51" t="s">
        <v>1954</v>
      </c>
      <c r="W880" s="304"/>
      <c r="X880" s="304"/>
      <c r="Y880" s="304"/>
      <c r="Z880" s="304"/>
      <c r="AA880" s="304"/>
      <c r="AB880" s="304" t="s">
        <v>3117</v>
      </c>
      <c r="AC880" s="304">
        <v>7122868200</v>
      </c>
      <c r="AD880" s="535"/>
      <c r="AE880" s="304"/>
      <c r="AF880" s="304"/>
      <c r="AG880" s="296"/>
      <c r="AH880" s="304">
        <v>30.62</v>
      </c>
      <c r="AI880" s="297"/>
      <c r="AJ880" s="29">
        <v>43762</v>
      </c>
      <c r="AK880" s="297" t="s">
        <v>3118</v>
      </c>
      <c r="AL880" s="297" t="s">
        <v>3119</v>
      </c>
      <c r="AM880" s="296" t="s">
        <v>49</v>
      </c>
      <c r="AN880" s="296" t="s">
        <v>284</v>
      </c>
      <c r="AO880" s="296" t="s">
        <v>285</v>
      </c>
      <c r="AP880" s="296" t="s">
        <v>51</v>
      </c>
      <c r="AQ880" s="82" t="s">
        <v>755</v>
      </c>
    </row>
    <row r="881" spans="1:43" ht="15.75" customHeight="1">
      <c r="A881" s="69">
        <v>43746</v>
      </c>
      <c r="B881" s="144" t="s">
        <v>166</v>
      </c>
      <c r="C881" s="21"/>
      <c r="D881" s="71" t="s">
        <v>1708</v>
      </c>
      <c r="E881" s="32" t="s">
        <v>173</v>
      </c>
      <c r="F881" s="58">
        <v>1</v>
      </c>
      <c r="G881" s="47">
        <v>78</v>
      </c>
      <c r="H881" s="165">
        <f t="shared" si="87"/>
        <v>78</v>
      </c>
      <c r="I881" s="27" t="s">
        <v>170</v>
      </c>
      <c r="J881" s="58" t="s">
        <v>171</v>
      </c>
      <c r="K881" s="29">
        <v>43769</v>
      </c>
      <c r="L881" s="29"/>
      <c r="M881" s="443"/>
      <c r="N881" s="50" t="s">
        <v>2979</v>
      </c>
      <c r="O881" s="93"/>
      <c r="P881" s="406"/>
      <c r="Q881" s="406"/>
      <c r="R881" s="406"/>
      <c r="S881" s="406"/>
      <c r="T881" s="406"/>
      <c r="U881" s="708">
        <v>0</v>
      </c>
      <c r="V881" s="51"/>
      <c r="W881" s="304"/>
      <c r="X881" s="304"/>
      <c r="Y881" s="304"/>
      <c r="Z881" s="304"/>
      <c r="AA881" s="304"/>
      <c r="AB881" s="304"/>
      <c r="AC881" s="304"/>
      <c r="AD881" s="535"/>
      <c r="AE881" s="304"/>
      <c r="AF881" s="304"/>
      <c r="AG881" s="296"/>
      <c r="AH881" s="304"/>
      <c r="AI881" s="297"/>
      <c r="AJ881" s="29">
        <v>43797</v>
      </c>
      <c r="AK881" s="297">
        <f>7801.93*30.443</f>
        <v>237514.15499000001</v>
      </c>
      <c r="AL881" s="297">
        <f>(7843-7801.93)*30.443</f>
        <v>1250.2940099999912</v>
      </c>
      <c r="AM881" s="296" t="s">
        <v>49</v>
      </c>
      <c r="AN881" s="296" t="s">
        <v>284</v>
      </c>
      <c r="AO881" s="296" t="s">
        <v>285</v>
      </c>
      <c r="AP881" s="296" t="s">
        <v>51</v>
      </c>
      <c r="AQ881" s="296" t="s">
        <v>1346</v>
      </c>
    </row>
    <row r="882" spans="1:43" ht="15.75" customHeight="1">
      <c r="A882" s="69">
        <v>43746</v>
      </c>
      <c r="B882" s="144" t="s">
        <v>166</v>
      </c>
      <c r="C882" s="21"/>
      <c r="D882" s="21" t="s">
        <v>1708</v>
      </c>
      <c r="E882" s="23" t="s">
        <v>1709</v>
      </c>
      <c r="F882" s="24">
        <v>1</v>
      </c>
      <c r="G882" s="48">
        <v>1552</v>
      </c>
      <c r="H882" s="165">
        <f t="shared" si="87"/>
        <v>1552</v>
      </c>
      <c r="I882" s="27" t="s">
        <v>104</v>
      </c>
      <c r="J882" s="58" t="s">
        <v>171</v>
      </c>
      <c r="K882" s="29">
        <v>43769</v>
      </c>
      <c r="L882" s="29"/>
      <c r="M882" s="443">
        <v>43768</v>
      </c>
      <c r="N882" s="50" t="s">
        <v>2979</v>
      </c>
      <c r="O882" s="21" t="s">
        <v>3120</v>
      </c>
      <c r="P882" s="406"/>
      <c r="Q882" s="406" t="e">
        <f>(P882*#REF!)*1.05</f>
        <v>#REF!</v>
      </c>
      <c r="R882" s="406"/>
      <c r="S882" s="406"/>
      <c r="T882" s="406"/>
      <c r="U882" s="715">
        <v>34974</v>
      </c>
      <c r="V882" s="406"/>
      <c r="W882" s="304"/>
      <c r="X882" s="304"/>
      <c r="Y882" s="304"/>
      <c r="Z882" s="304"/>
      <c r="AA882" s="304"/>
      <c r="AB882" s="304" t="s">
        <v>3117</v>
      </c>
      <c r="AC882" s="304">
        <v>7122868200</v>
      </c>
      <c r="AD882" s="535"/>
      <c r="AE882" s="304"/>
      <c r="AF882" s="304"/>
      <c r="AG882" s="296"/>
      <c r="AH882" s="304">
        <v>30.62</v>
      </c>
      <c r="AI882" s="297"/>
      <c r="AJ882" s="29">
        <v>43762</v>
      </c>
      <c r="AK882" s="297">
        <f>13249.38*30.53</f>
        <v>404503.57140000002</v>
      </c>
      <c r="AL882" s="297">
        <f>(13256-13249.38)*30.53</f>
        <v>202.10860000002444</v>
      </c>
      <c r="AM882" s="296" t="s">
        <v>49</v>
      </c>
      <c r="AN882" s="296" t="s">
        <v>284</v>
      </c>
      <c r="AO882" s="296" t="s">
        <v>285</v>
      </c>
      <c r="AP882" s="296" t="s">
        <v>51</v>
      </c>
      <c r="AQ882" s="82" t="s">
        <v>755</v>
      </c>
    </row>
    <row r="883" spans="1:43" ht="15.75" customHeight="1">
      <c r="A883" s="69">
        <v>43746</v>
      </c>
      <c r="B883" s="144" t="s">
        <v>166</v>
      </c>
      <c r="C883" s="21"/>
      <c r="D883" s="21" t="s">
        <v>1710</v>
      </c>
      <c r="E883" s="545" t="s">
        <v>1711</v>
      </c>
      <c r="F883" s="24">
        <v>7</v>
      </c>
      <c r="G883" s="48">
        <v>1552</v>
      </c>
      <c r="H883" s="165">
        <f t="shared" si="87"/>
        <v>10864</v>
      </c>
      <c r="I883" s="27" t="s">
        <v>104</v>
      </c>
      <c r="J883" s="58" t="s">
        <v>171</v>
      </c>
      <c r="K883" s="29">
        <v>43804</v>
      </c>
      <c r="L883" s="29"/>
      <c r="M883" s="29">
        <v>43801</v>
      </c>
      <c r="N883" s="50" t="s">
        <v>2979</v>
      </c>
      <c r="O883" s="21" t="s">
        <v>3121</v>
      </c>
      <c r="P883" s="406"/>
      <c r="Q883" s="406">
        <f>(P883*F883)*1.05</f>
        <v>0</v>
      </c>
      <c r="R883" s="406"/>
      <c r="S883" s="406"/>
      <c r="T883" s="406"/>
      <c r="U883" s="721">
        <v>256845.75</v>
      </c>
      <c r="V883" s="406"/>
      <c r="W883" s="304"/>
      <c r="X883" s="304"/>
      <c r="Y883" s="304"/>
      <c r="Z883" s="304"/>
      <c r="AA883" s="304"/>
      <c r="AB883" s="304" t="s">
        <v>3122</v>
      </c>
      <c r="AC883" s="304">
        <v>7368444893</v>
      </c>
      <c r="AD883" s="406">
        <v>30.45</v>
      </c>
      <c r="AE883" s="304"/>
      <c r="AF883" s="304"/>
      <c r="AG883" s="296"/>
      <c r="AH883" s="304"/>
      <c r="AI883" s="297"/>
      <c r="AJ883" s="29">
        <v>43762</v>
      </c>
      <c r="AK883" s="297" t="s">
        <v>3118</v>
      </c>
      <c r="AL883" s="297" t="s">
        <v>3119</v>
      </c>
      <c r="AM883" s="296" t="s">
        <v>49</v>
      </c>
      <c r="AN883" s="82" t="s">
        <v>284</v>
      </c>
      <c r="AO883" s="296" t="s">
        <v>285</v>
      </c>
      <c r="AP883" s="296" t="s">
        <v>51</v>
      </c>
      <c r="AQ883" s="296" t="s">
        <v>1346</v>
      </c>
    </row>
    <row r="884" spans="1:43" ht="15.75" customHeight="1">
      <c r="A884" s="69">
        <v>43746</v>
      </c>
      <c r="B884" s="144" t="s">
        <v>166</v>
      </c>
      <c r="C884" s="546"/>
      <c r="D884" s="71" t="s">
        <v>1710</v>
      </c>
      <c r="E884" s="32" t="s">
        <v>173</v>
      </c>
      <c r="F884" s="58">
        <v>7</v>
      </c>
      <c r="G884" s="47">
        <v>78</v>
      </c>
      <c r="H884" s="60">
        <f>F884*G884</f>
        <v>546</v>
      </c>
      <c r="I884" s="27" t="s">
        <v>170</v>
      </c>
      <c r="J884" s="58" t="s">
        <v>171</v>
      </c>
      <c r="K884" s="29">
        <v>43804</v>
      </c>
      <c r="L884" s="29"/>
      <c r="M884" s="296"/>
      <c r="N884" s="50"/>
      <c r="O884" s="93"/>
      <c r="P884" s="406"/>
      <c r="Q884" s="406"/>
      <c r="R884" s="406"/>
      <c r="S884" s="406"/>
      <c r="T884" s="406"/>
      <c r="U884" s="722">
        <v>0</v>
      </c>
      <c r="V884" s="51"/>
      <c r="W884" s="304"/>
      <c r="X884" s="304"/>
      <c r="Y884" s="304"/>
      <c r="Z884" s="304"/>
      <c r="AA884" s="304"/>
      <c r="AB884" s="304" t="s">
        <v>3122</v>
      </c>
      <c r="AC884" s="304">
        <v>7368444893</v>
      </c>
      <c r="AD884" s="406">
        <v>30.45</v>
      </c>
      <c r="AE884" s="304"/>
      <c r="AF884" s="304"/>
      <c r="AG884" s="296"/>
      <c r="AH884" s="304"/>
      <c r="AI884" s="297"/>
      <c r="AJ884" s="29">
        <v>43797</v>
      </c>
      <c r="AK884" s="297" t="s">
        <v>3123</v>
      </c>
      <c r="AL884" s="297" t="s">
        <v>3124</v>
      </c>
      <c r="AM884" s="296" t="s">
        <v>49</v>
      </c>
      <c r="AN884" s="82" t="s">
        <v>284</v>
      </c>
      <c r="AO884" s="296" t="s">
        <v>285</v>
      </c>
      <c r="AP884" s="296" t="s">
        <v>51</v>
      </c>
      <c r="AQ884" s="296" t="s">
        <v>1346</v>
      </c>
    </row>
    <row r="885" spans="1:43" ht="15.75" customHeight="1">
      <c r="A885" s="69">
        <v>43746</v>
      </c>
      <c r="B885" s="144" t="s">
        <v>166</v>
      </c>
      <c r="C885" s="546" t="s">
        <v>0</v>
      </c>
      <c r="D885" s="71" t="s">
        <v>1710</v>
      </c>
      <c r="E885" s="32" t="s">
        <v>176</v>
      </c>
      <c r="F885" s="58">
        <v>7</v>
      </c>
      <c r="G885" s="47">
        <v>61</v>
      </c>
      <c r="H885" s="60">
        <f t="shared" ref="H885:H891" si="92">G885*F885</f>
        <v>427</v>
      </c>
      <c r="I885" s="27" t="s">
        <v>104</v>
      </c>
      <c r="J885" s="58" t="s">
        <v>171</v>
      </c>
      <c r="K885" s="29">
        <v>43804</v>
      </c>
      <c r="L885" s="29"/>
      <c r="M885" s="296" t="s">
        <v>70</v>
      </c>
      <c r="N885" s="50" t="s">
        <v>178</v>
      </c>
      <c r="O885" s="93"/>
      <c r="P885" s="406"/>
      <c r="Q885" s="406">
        <f>(P885*F885)*1.05</f>
        <v>0</v>
      </c>
      <c r="R885" s="406"/>
      <c r="S885" s="406"/>
      <c r="T885" s="406"/>
      <c r="U885" s="721">
        <v>1483.65</v>
      </c>
      <c r="V885" s="51" t="s">
        <v>1954</v>
      </c>
      <c r="W885" s="304"/>
      <c r="X885" s="304"/>
      <c r="Y885" s="304"/>
      <c r="Z885" s="304"/>
      <c r="AA885" s="304"/>
      <c r="AB885" s="304" t="s">
        <v>3122</v>
      </c>
      <c r="AC885" s="304">
        <v>7368444893</v>
      </c>
      <c r="AD885" s="406">
        <v>30.45</v>
      </c>
      <c r="AE885" s="304"/>
      <c r="AF885" s="304"/>
      <c r="AG885" s="296"/>
      <c r="AH885" s="304"/>
      <c r="AI885" s="297"/>
      <c r="AJ885" s="29">
        <v>43762</v>
      </c>
      <c r="AK885" s="297" t="s">
        <v>3118</v>
      </c>
      <c r="AL885" s="297" t="s">
        <v>3119</v>
      </c>
      <c r="AM885" s="296" t="s">
        <v>49</v>
      </c>
      <c r="AN885" s="82" t="s">
        <v>284</v>
      </c>
      <c r="AO885" s="296" t="s">
        <v>285</v>
      </c>
      <c r="AP885" s="296" t="s">
        <v>51</v>
      </c>
      <c r="AQ885" s="296" t="s">
        <v>1346</v>
      </c>
    </row>
    <row r="886" spans="1:43" ht="15.75" customHeight="1">
      <c r="A886" s="69">
        <v>43746</v>
      </c>
      <c r="B886" s="70" t="s">
        <v>1097</v>
      </c>
      <c r="C886" s="70" t="s">
        <v>0</v>
      </c>
      <c r="D886" s="71" t="s">
        <v>1712</v>
      </c>
      <c r="E886" s="32" t="s">
        <v>1713</v>
      </c>
      <c r="F886" s="24">
        <v>3</v>
      </c>
      <c r="G886" s="48">
        <v>157</v>
      </c>
      <c r="H886" s="60">
        <f t="shared" si="92"/>
        <v>471</v>
      </c>
      <c r="I886" s="61" t="s">
        <v>143</v>
      </c>
      <c r="J886" s="50" t="s">
        <v>262</v>
      </c>
      <c r="K886" s="29">
        <v>43760</v>
      </c>
      <c r="L886" s="29"/>
      <c r="M886" s="30">
        <v>43756</v>
      </c>
      <c r="N886" s="82" t="s">
        <v>2001</v>
      </c>
      <c r="O886" s="93" t="s">
        <v>3125</v>
      </c>
      <c r="P886" s="406">
        <v>138</v>
      </c>
      <c r="Q886" s="406">
        <f>(P886*F886)*1.05</f>
        <v>434.70000000000005</v>
      </c>
      <c r="R886" s="406"/>
      <c r="S886" s="406"/>
      <c r="T886" s="406"/>
      <c r="U886" s="406">
        <v>13427</v>
      </c>
      <c r="V886" s="20" t="s">
        <v>2003</v>
      </c>
      <c r="W886" s="303">
        <v>43799</v>
      </c>
      <c r="X886" s="303">
        <v>43755</v>
      </c>
      <c r="Y886" s="304" t="s">
        <v>1714</v>
      </c>
      <c r="Z886" s="304">
        <v>13427</v>
      </c>
      <c r="AA886" s="304"/>
      <c r="AB886" s="304" t="s">
        <v>3126</v>
      </c>
      <c r="AC886" s="304">
        <v>6387150626</v>
      </c>
      <c r="AD886" s="535"/>
      <c r="AE886" s="304"/>
      <c r="AF886" s="304"/>
      <c r="AG886" s="296"/>
      <c r="AH886" s="304">
        <v>30.62</v>
      </c>
      <c r="AI886" s="297"/>
      <c r="AJ886" s="29">
        <v>43752</v>
      </c>
      <c r="AK886" s="297">
        <f>539.47*30.645</f>
        <v>16532.058150000001</v>
      </c>
      <c r="AL886" s="297">
        <f>(557-539.47)*30.645</f>
        <v>537.20684999999912</v>
      </c>
      <c r="AM886" s="296" t="s">
        <v>49</v>
      </c>
      <c r="AN886" s="296" t="s">
        <v>284</v>
      </c>
      <c r="AO886" s="296" t="s">
        <v>50</v>
      </c>
      <c r="AP886" s="296" t="s">
        <v>51</v>
      </c>
      <c r="AQ886" s="82" t="s">
        <v>755</v>
      </c>
    </row>
    <row r="887" spans="1:43" ht="15.75" customHeight="1">
      <c r="A887" s="69">
        <v>43746</v>
      </c>
      <c r="B887" s="70" t="s">
        <v>1097</v>
      </c>
      <c r="C887" s="21"/>
      <c r="D887" s="71" t="s">
        <v>1712</v>
      </c>
      <c r="E887" s="32" t="s">
        <v>1715</v>
      </c>
      <c r="F887" s="24">
        <v>1</v>
      </c>
      <c r="G887" s="48">
        <v>46</v>
      </c>
      <c r="H887" s="60">
        <f t="shared" si="92"/>
        <v>46</v>
      </c>
      <c r="I887" s="61" t="s">
        <v>143</v>
      </c>
      <c r="J887" s="50" t="s">
        <v>262</v>
      </c>
      <c r="K887" s="29">
        <v>43760</v>
      </c>
      <c r="L887" s="29"/>
      <c r="M887" s="29">
        <v>43756</v>
      </c>
      <c r="N887" s="50" t="s">
        <v>2087</v>
      </c>
      <c r="O887" s="93" t="s">
        <v>3127</v>
      </c>
      <c r="P887" s="406">
        <v>40.299999999999997</v>
      </c>
      <c r="Q887" s="406">
        <f>(P887*F887)*1.05</f>
        <v>42.314999999999998</v>
      </c>
      <c r="R887" s="406"/>
      <c r="S887" s="406"/>
      <c r="T887" s="406"/>
      <c r="U887" s="406">
        <v>1298</v>
      </c>
      <c r="V887" s="20" t="s">
        <v>2089</v>
      </c>
      <c r="W887" s="303">
        <v>43755</v>
      </c>
      <c r="X887" s="303">
        <v>43755</v>
      </c>
      <c r="Y887" s="304" t="s">
        <v>1716</v>
      </c>
      <c r="Z887" s="304">
        <v>1298</v>
      </c>
      <c r="AA887" s="304"/>
      <c r="AB887" s="304" t="s">
        <v>3126</v>
      </c>
      <c r="AC887" s="304">
        <v>6387150626</v>
      </c>
      <c r="AD887" s="535"/>
      <c r="AE887" s="304"/>
      <c r="AF887" s="304"/>
      <c r="AG887" s="296"/>
      <c r="AH887" s="304">
        <v>30.62</v>
      </c>
      <c r="AI887" s="297"/>
      <c r="AJ887" s="29">
        <v>43752</v>
      </c>
      <c r="AK887" s="297" t="s">
        <v>3128</v>
      </c>
      <c r="AL887" s="297" t="s">
        <v>3129</v>
      </c>
      <c r="AM887" s="296" t="s">
        <v>49</v>
      </c>
      <c r="AN887" s="296" t="s">
        <v>284</v>
      </c>
      <c r="AO887" s="296" t="s">
        <v>50</v>
      </c>
      <c r="AP887" s="296" t="s">
        <v>51</v>
      </c>
      <c r="AQ887" s="82" t="s">
        <v>755</v>
      </c>
    </row>
    <row r="888" spans="1:43" ht="15.75" customHeight="1">
      <c r="A888" s="69">
        <v>43746</v>
      </c>
      <c r="B888" s="70" t="s">
        <v>1097</v>
      </c>
      <c r="C888" s="21"/>
      <c r="D888" s="71" t="s">
        <v>1712</v>
      </c>
      <c r="E888" s="32" t="s">
        <v>692</v>
      </c>
      <c r="F888" s="24">
        <v>1</v>
      </c>
      <c r="G888" s="48">
        <v>40</v>
      </c>
      <c r="H888" s="60">
        <f t="shared" si="92"/>
        <v>40</v>
      </c>
      <c r="I888" s="61" t="s">
        <v>143</v>
      </c>
      <c r="J888" s="63" t="s">
        <v>262</v>
      </c>
      <c r="K888" s="29">
        <v>43760</v>
      </c>
      <c r="L888" s="29"/>
      <c r="M888" s="665"/>
      <c r="N888" s="63" t="s">
        <v>219</v>
      </c>
      <c r="O888" s="64"/>
      <c r="P888" s="34"/>
      <c r="Q888" s="34">
        <f>(P888*F888)*1.05</f>
        <v>0</v>
      </c>
      <c r="R888" s="34"/>
      <c r="S888" s="34"/>
      <c r="T888" s="34"/>
      <c r="U888" s="34">
        <v>0</v>
      </c>
      <c r="V888" s="66"/>
      <c r="W888" s="52"/>
      <c r="X888" s="53"/>
      <c r="Y888" s="53"/>
      <c r="Z888" s="53"/>
      <c r="AA888" s="53"/>
      <c r="AB888" s="53" t="s">
        <v>3126</v>
      </c>
      <c r="AC888" s="53">
        <v>6387150626</v>
      </c>
      <c r="AD888" s="67"/>
      <c r="AE888" s="53"/>
      <c r="AF888" s="53"/>
      <c r="AG888" s="54"/>
      <c r="AH888" s="53">
        <v>30.62</v>
      </c>
      <c r="AI888" s="55"/>
      <c r="AJ888" s="146">
        <v>43752</v>
      </c>
      <c r="AK888" s="55" t="s">
        <v>3128</v>
      </c>
      <c r="AL888" s="55" t="s">
        <v>3129</v>
      </c>
      <c r="AM888" s="54" t="s">
        <v>49</v>
      </c>
      <c r="AN888" s="54" t="s">
        <v>284</v>
      </c>
      <c r="AO888" s="54"/>
      <c r="AP888" s="54"/>
      <c r="AQ888" s="54"/>
    </row>
    <row r="889" spans="1:43" ht="15.75" customHeight="1">
      <c r="A889" s="463">
        <v>43747</v>
      </c>
      <c r="B889" s="144" t="s">
        <v>1717</v>
      </c>
      <c r="C889" s="21" t="s">
        <v>1718</v>
      </c>
      <c r="D889" s="71" t="s">
        <v>1719</v>
      </c>
      <c r="E889" s="32" t="s">
        <v>1720</v>
      </c>
      <c r="F889" s="24">
        <v>20</v>
      </c>
      <c r="G889" s="48">
        <f>75+29+5</f>
        <v>109</v>
      </c>
      <c r="H889" s="60">
        <f t="shared" si="92"/>
        <v>2180</v>
      </c>
      <c r="I889" s="27" t="s">
        <v>104</v>
      </c>
      <c r="J889" s="58" t="s">
        <v>1721</v>
      </c>
      <c r="K889" s="29">
        <v>43774</v>
      </c>
      <c r="L889" s="29"/>
      <c r="M889" s="30">
        <v>43773</v>
      </c>
      <c r="N889" s="331" t="s">
        <v>3130</v>
      </c>
      <c r="O889" s="93"/>
      <c r="P889" s="406">
        <v>72</v>
      </c>
      <c r="Q889" s="406">
        <f>(P889*F889)*1.05</f>
        <v>1512</v>
      </c>
      <c r="R889" s="406"/>
      <c r="S889" s="406"/>
      <c r="T889" s="406"/>
      <c r="U889" s="714">
        <v>46146</v>
      </c>
      <c r="V889" s="501"/>
      <c r="W889" s="460"/>
      <c r="X889" s="460"/>
      <c r="Y889" s="304"/>
      <c r="Z889" s="304"/>
      <c r="AA889" s="304"/>
      <c r="AB889" s="304" t="s">
        <v>3131</v>
      </c>
      <c r="AC889" s="304">
        <v>163521045</v>
      </c>
      <c r="AD889" s="535"/>
      <c r="AE889" s="304"/>
      <c r="AF889" s="304"/>
      <c r="AG889" s="296"/>
      <c r="AH889" s="304">
        <v>30.52</v>
      </c>
      <c r="AI889" s="297"/>
      <c r="AJ889" s="29"/>
      <c r="AK889" s="297"/>
      <c r="AL889" s="297"/>
      <c r="AM889" s="296" t="s">
        <v>49</v>
      </c>
      <c r="AN889" s="296" t="s">
        <v>284</v>
      </c>
      <c r="AO889" s="296" t="s">
        <v>285</v>
      </c>
      <c r="AP889" s="296" t="s">
        <v>51</v>
      </c>
      <c r="AQ889" s="82" t="s">
        <v>755</v>
      </c>
    </row>
    <row r="890" spans="1:43" ht="15.75" customHeight="1">
      <c r="A890" s="463">
        <v>43747</v>
      </c>
      <c r="B890" s="144" t="s">
        <v>1717</v>
      </c>
      <c r="C890" s="21" t="s">
        <v>1718</v>
      </c>
      <c r="D890" s="71" t="s">
        <v>1719</v>
      </c>
      <c r="E890" s="35" t="s">
        <v>1722</v>
      </c>
      <c r="F890" s="24">
        <v>20</v>
      </c>
      <c r="G890" s="48">
        <v>0</v>
      </c>
      <c r="H890" s="60">
        <f t="shared" si="92"/>
        <v>0</v>
      </c>
      <c r="I890" s="61"/>
      <c r="J890" s="58"/>
      <c r="K890" s="29"/>
      <c r="L890" s="29"/>
      <c r="M890" s="30"/>
      <c r="N890" s="331" t="s">
        <v>2170</v>
      </c>
      <c r="O890" s="93">
        <v>2019102100003</v>
      </c>
      <c r="P890" s="406"/>
      <c r="Q890" s="406"/>
      <c r="R890" s="406"/>
      <c r="S890" s="406"/>
      <c r="T890" s="406">
        <v>1030</v>
      </c>
      <c r="U890" s="406">
        <f>(T890*F890)*1.05</f>
        <v>21630</v>
      </c>
      <c r="V890" s="501"/>
      <c r="W890" s="304"/>
      <c r="X890" s="304"/>
      <c r="Y890" s="304"/>
      <c r="Z890" s="304"/>
      <c r="AA890" s="304"/>
      <c r="AB890" s="304"/>
      <c r="AC890" s="304"/>
      <c r="AD890" s="535"/>
      <c r="AE890" s="304"/>
      <c r="AF890" s="304"/>
      <c r="AG890" s="296"/>
      <c r="AH890" s="304"/>
      <c r="AI890" s="297"/>
      <c r="AJ890" s="537"/>
      <c r="AK890" s="297"/>
      <c r="AL890" s="297"/>
      <c r="AM890" s="296" t="s">
        <v>49</v>
      </c>
      <c r="AN890" s="296" t="s">
        <v>284</v>
      </c>
      <c r="AO890" s="296" t="s">
        <v>285</v>
      </c>
      <c r="AP890" s="296" t="s">
        <v>51</v>
      </c>
      <c r="AQ890" s="296" t="s">
        <v>1346</v>
      </c>
    </row>
    <row r="891" spans="1:43" ht="15.75" customHeight="1">
      <c r="A891" s="463">
        <v>43747</v>
      </c>
      <c r="B891" s="144" t="s">
        <v>1717</v>
      </c>
      <c r="C891" s="21" t="s">
        <v>1718</v>
      </c>
      <c r="D891" s="71" t="s">
        <v>1719</v>
      </c>
      <c r="E891" s="547" t="s">
        <v>1723</v>
      </c>
      <c r="F891" s="24">
        <v>20</v>
      </c>
      <c r="G891" s="48">
        <v>0</v>
      </c>
      <c r="H891" s="60">
        <f t="shared" si="92"/>
        <v>0</v>
      </c>
      <c r="I891" s="61"/>
      <c r="J891" s="58"/>
      <c r="K891" s="29"/>
      <c r="L891" s="29"/>
      <c r="M891" s="30"/>
      <c r="N891" s="331" t="s">
        <v>1512</v>
      </c>
      <c r="O891" s="93">
        <v>2019102100004</v>
      </c>
      <c r="P891" s="406"/>
      <c r="Q891" s="406">
        <f>(P891*F891)*1.05</f>
        <v>0</v>
      </c>
      <c r="R891" s="406"/>
      <c r="S891" s="406"/>
      <c r="T891" s="406"/>
      <c r="U891" s="714">
        <v>2556</v>
      </c>
      <c r="V891" s="501"/>
      <c r="W891" s="460">
        <v>43804</v>
      </c>
      <c r="X891" s="460">
        <v>43773</v>
      </c>
      <c r="Y891" s="304" t="s">
        <v>1724</v>
      </c>
      <c r="Z891" s="304">
        <v>2556</v>
      </c>
      <c r="AA891" s="304"/>
      <c r="AB891" s="304" t="s">
        <v>3131</v>
      </c>
      <c r="AC891" s="304">
        <v>163521045</v>
      </c>
      <c r="AD891" s="535"/>
      <c r="AE891" s="304"/>
      <c r="AF891" s="304"/>
      <c r="AG891" s="296"/>
      <c r="AH891" s="304">
        <v>30.52</v>
      </c>
      <c r="AI891" s="297"/>
      <c r="AJ891" s="29">
        <v>43753</v>
      </c>
      <c r="AK891" s="297">
        <f>2413.47*30.62</f>
        <v>73900.451399999991</v>
      </c>
      <c r="AL891" s="297">
        <f>(2440-2413.47)*30.62</f>
        <v>812.34860000000617</v>
      </c>
      <c r="AM891" s="296" t="s">
        <v>49</v>
      </c>
      <c r="AN891" s="296" t="s">
        <v>284</v>
      </c>
      <c r="AO891" s="296" t="s">
        <v>285</v>
      </c>
      <c r="AP891" s="296" t="s">
        <v>51</v>
      </c>
      <c r="AQ891" s="82" t="s">
        <v>755</v>
      </c>
    </row>
    <row r="892" spans="1:43" ht="15.75" customHeight="1">
      <c r="A892" s="463">
        <v>43747</v>
      </c>
      <c r="B892" s="144" t="s">
        <v>1717</v>
      </c>
      <c r="C892" s="21" t="s">
        <v>1718</v>
      </c>
      <c r="D892" s="71" t="s">
        <v>1719</v>
      </c>
      <c r="E892" s="22" t="s">
        <v>1725</v>
      </c>
      <c r="F892" s="24">
        <v>20</v>
      </c>
      <c r="G892" s="48">
        <v>13</v>
      </c>
      <c r="H892" s="60">
        <f>F892*G892</f>
        <v>260</v>
      </c>
      <c r="I892" s="61" t="s">
        <v>143</v>
      </c>
      <c r="J892" s="58" t="s">
        <v>1721</v>
      </c>
      <c r="K892" s="29">
        <v>43774</v>
      </c>
      <c r="L892" s="29"/>
      <c r="M892" s="30">
        <v>43773</v>
      </c>
      <c r="N892" s="331" t="s">
        <v>2170</v>
      </c>
      <c r="O892" s="93">
        <v>2019102100003</v>
      </c>
      <c r="P892" s="406"/>
      <c r="Q892" s="406"/>
      <c r="R892" s="406"/>
      <c r="S892" s="406"/>
      <c r="T892" s="304" t="s">
        <v>3132</v>
      </c>
      <c r="U892" s="714">
        <v>21630</v>
      </c>
      <c r="V892" s="501"/>
      <c r="W892" s="304"/>
      <c r="X892" s="304"/>
      <c r="Y892" s="304"/>
      <c r="Z892" s="304"/>
      <c r="AA892" s="304"/>
      <c r="AB892" s="304"/>
      <c r="AC892" s="304"/>
      <c r="AD892" s="535"/>
      <c r="AE892" s="304"/>
      <c r="AF892" s="304"/>
      <c r="AG892" s="296"/>
      <c r="AH892" s="304"/>
      <c r="AI892" s="297"/>
      <c r="AJ892" s="537"/>
      <c r="AK892" s="297"/>
      <c r="AL892" s="297"/>
      <c r="AM892" s="296" t="s">
        <v>49</v>
      </c>
      <c r="AN892" s="296" t="s">
        <v>284</v>
      </c>
      <c r="AO892" s="296" t="s">
        <v>285</v>
      </c>
      <c r="AP892" s="296" t="s">
        <v>51</v>
      </c>
      <c r="AQ892" s="82" t="s">
        <v>755</v>
      </c>
    </row>
    <row r="893" spans="1:43" ht="15.75" customHeight="1">
      <c r="A893" s="69">
        <v>43752</v>
      </c>
      <c r="B893" s="23" t="s">
        <v>212</v>
      </c>
      <c r="C893" s="21" t="s">
        <v>1726</v>
      </c>
      <c r="D893" s="71" t="s">
        <v>1727</v>
      </c>
      <c r="E893" s="32" t="s">
        <v>136</v>
      </c>
      <c r="F893" s="24">
        <v>9</v>
      </c>
      <c r="G893" s="48">
        <v>31</v>
      </c>
      <c r="H893" s="60">
        <f t="shared" ref="H893:H901" si="93">G893*F893</f>
        <v>279</v>
      </c>
      <c r="I893" s="61" t="s">
        <v>143</v>
      </c>
      <c r="J893" s="58" t="s">
        <v>216</v>
      </c>
      <c r="K893" s="30">
        <v>43782</v>
      </c>
      <c r="L893" s="30"/>
      <c r="M893" s="30">
        <v>43782</v>
      </c>
      <c r="N893" s="50" t="s">
        <v>89</v>
      </c>
      <c r="O893" s="93" t="s">
        <v>3133</v>
      </c>
      <c r="P893" s="406">
        <v>27</v>
      </c>
      <c r="Q893" s="406">
        <f>(P893*F893)*1.05</f>
        <v>255.15</v>
      </c>
      <c r="R893" s="406"/>
      <c r="S893" s="406"/>
      <c r="T893" s="406"/>
      <c r="U893" s="406">
        <v>7730</v>
      </c>
      <c r="V893" s="51" t="s">
        <v>93</v>
      </c>
      <c r="W893" s="303">
        <v>43830</v>
      </c>
      <c r="X893" s="303">
        <v>43781</v>
      </c>
      <c r="Y893" s="304" t="s">
        <v>1728</v>
      </c>
      <c r="Z893" s="304">
        <v>35213</v>
      </c>
      <c r="AA893" s="304"/>
      <c r="AB893" s="304"/>
      <c r="AC893" s="304" t="s">
        <v>3134</v>
      </c>
      <c r="AD893" s="535"/>
      <c r="AE893" s="304"/>
      <c r="AF893" s="304"/>
      <c r="AG893" s="296"/>
      <c r="AH893" s="304"/>
      <c r="AI893" s="297"/>
      <c r="AJ893" s="29">
        <v>43754</v>
      </c>
      <c r="AK893" s="297">
        <f>1278.47*30.64</f>
        <v>39172.320800000001</v>
      </c>
      <c r="AL893" s="297">
        <f>(1285-1278.47)*30.64</f>
        <v>200.07919999999916</v>
      </c>
      <c r="AM893" s="296" t="s">
        <v>49</v>
      </c>
      <c r="AN893" s="296" t="s">
        <v>284</v>
      </c>
      <c r="AO893" s="296" t="s">
        <v>50</v>
      </c>
      <c r="AP893" s="296" t="s">
        <v>51</v>
      </c>
      <c r="AQ893" s="82" t="s">
        <v>755</v>
      </c>
    </row>
    <row r="894" spans="1:43" ht="15.75" customHeight="1">
      <c r="A894" s="69">
        <v>43752</v>
      </c>
      <c r="B894" s="23" t="s">
        <v>212</v>
      </c>
      <c r="C894" s="21" t="s">
        <v>1726</v>
      </c>
      <c r="D894" s="71" t="s">
        <v>1727</v>
      </c>
      <c r="E894" s="32" t="s">
        <v>132</v>
      </c>
      <c r="F894" s="24">
        <v>9</v>
      </c>
      <c r="G894" s="48">
        <v>109</v>
      </c>
      <c r="H894" s="60">
        <f t="shared" si="93"/>
        <v>981</v>
      </c>
      <c r="I894" s="61" t="s">
        <v>143</v>
      </c>
      <c r="J894" s="58" t="s">
        <v>216</v>
      </c>
      <c r="K894" s="30">
        <v>43782</v>
      </c>
      <c r="L894" s="30"/>
      <c r="M894" s="30">
        <v>43782</v>
      </c>
      <c r="N894" s="50" t="s">
        <v>89</v>
      </c>
      <c r="O894" s="93" t="s">
        <v>3133</v>
      </c>
      <c r="P894" s="406">
        <v>96</v>
      </c>
      <c r="Q894" s="406">
        <f>(P894*F894)*1.05</f>
        <v>907.2</v>
      </c>
      <c r="R894" s="406"/>
      <c r="S894" s="406"/>
      <c r="T894" s="406"/>
      <c r="U894" s="406">
        <v>27483</v>
      </c>
      <c r="V894" s="51" t="s">
        <v>93</v>
      </c>
      <c r="W894" s="303">
        <v>43830</v>
      </c>
      <c r="X894" s="303">
        <v>43781</v>
      </c>
      <c r="Y894" s="304" t="s">
        <v>1728</v>
      </c>
      <c r="Z894" s="304" t="s">
        <v>3135</v>
      </c>
      <c r="AA894" s="304"/>
      <c r="AB894" s="304"/>
      <c r="AC894" s="304" t="s">
        <v>3134</v>
      </c>
      <c r="AD894" s="535"/>
      <c r="AE894" s="304"/>
      <c r="AF894" s="304"/>
      <c r="AG894" s="296"/>
      <c r="AH894" s="304"/>
      <c r="AI894" s="297"/>
      <c r="AJ894" s="29">
        <v>43754</v>
      </c>
      <c r="AK894" s="297" t="s">
        <v>3136</v>
      </c>
      <c r="AL894" s="297" t="s">
        <v>3137</v>
      </c>
      <c r="AM894" s="296" t="s">
        <v>49</v>
      </c>
      <c r="AN894" s="296" t="s">
        <v>284</v>
      </c>
      <c r="AO894" s="296" t="s">
        <v>50</v>
      </c>
      <c r="AP894" s="296" t="s">
        <v>51</v>
      </c>
      <c r="AQ894" s="82" t="s">
        <v>755</v>
      </c>
    </row>
    <row r="895" spans="1:43" ht="15.75" customHeight="1">
      <c r="A895" s="69">
        <v>43752</v>
      </c>
      <c r="B895" s="23" t="s">
        <v>212</v>
      </c>
      <c r="C895" s="21" t="s">
        <v>1726</v>
      </c>
      <c r="D895" s="71" t="s">
        <v>1727</v>
      </c>
      <c r="E895" s="32" t="s">
        <v>692</v>
      </c>
      <c r="F895" s="24">
        <v>1</v>
      </c>
      <c r="G895" s="48">
        <v>25</v>
      </c>
      <c r="H895" s="60">
        <f t="shared" si="93"/>
        <v>25</v>
      </c>
      <c r="I895" s="61" t="s">
        <v>143</v>
      </c>
      <c r="J895" s="161" t="s">
        <v>216</v>
      </c>
      <c r="K895" s="30">
        <v>43782</v>
      </c>
      <c r="L895" s="30"/>
      <c r="M895" s="665"/>
      <c r="N895" s="63" t="s">
        <v>219</v>
      </c>
      <c r="O895" s="64"/>
      <c r="P895" s="34"/>
      <c r="Q895" s="34">
        <f>(P895*F895)*1.05</f>
        <v>0</v>
      </c>
      <c r="R895" s="34"/>
      <c r="S895" s="34"/>
      <c r="T895" s="34"/>
      <c r="U895" s="34" t="e">
        <f>(T895*#REF!)*1.05</f>
        <v>#REF!</v>
      </c>
      <c r="V895" s="66"/>
      <c r="W895" s="52"/>
      <c r="X895" s="53"/>
      <c r="Y895" s="53"/>
      <c r="Z895" s="53"/>
      <c r="AA895" s="53"/>
      <c r="AB895" s="53"/>
      <c r="AC895" s="53"/>
      <c r="AD895" s="67"/>
      <c r="AE895" s="53"/>
      <c r="AF895" s="53"/>
      <c r="AG895" s="54"/>
      <c r="AH895" s="53"/>
      <c r="AI895" s="55"/>
      <c r="AJ895" s="146">
        <v>43754</v>
      </c>
      <c r="AK895" s="55" t="s">
        <v>3136</v>
      </c>
      <c r="AL895" s="55" t="s">
        <v>3137</v>
      </c>
      <c r="AM895" s="54" t="s">
        <v>49</v>
      </c>
      <c r="AN895" s="54" t="s">
        <v>284</v>
      </c>
      <c r="AO895" s="54"/>
      <c r="AP895" s="54"/>
      <c r="AQ895" s="54"/>
    </row>
    <row r="896" spans="1:43" ht="15.75" customHeight="1">
      <c r="A896" s="69">
        <v>43752</v>
      </c>
      <c r="B896" s="70" t="s">
        <v>76</v>
      </c>
      <c r="C896" s="21">
        <v>760</v>
      </c>
      <c r="D896" s="71" t="s">
        <v>1729</v>
      </c>
      <c r="E896" s="22" t="s">
        <v>1730</v>
      </c>
      <c r="F896" s="433">
        <v>50</v>
      </c>
      <c r="G896" s="48">
        <v>3</v>
      </c>
      <c r="H896" s="26">
        <f t="shared" si="93"/>
        <v>150</v>
      </c>
      <c r="I896" s="61" t="s">
        <v>42</v>
      </c>
      <c r="J896" s="82" t="s">
        <v>922</v>
      </c>
      <c r="K896" s="30">
        <v>43769</v>
      </c>
      <c r="L896" s="30"/>
      <c r="M896" s="82" t="s">
        <v>178</v>
      </c>
      <c r="N896" s="82" t="s">
        <v>178</v>
      </c>
      <c r="O896" s="93"/>
      <c r="P896" s="406"/>
      <c r="Q896" s="406">
        <f>(P896*F896)*1.05</f>
        <v>0</v>
      </c>
      <c r="R896" s="406"/>
      <c r="S896" s="406"/>
      <c r="T896" s="406"/>
      <c r="U896" s="406">
        <v>3413</v>
      </c>
      <c r="V896" s="501"/>
      <c r="W896" s="304"/>
      <c r="X896" s="304"/>
      <c r="Y896" s="304"/>
      <c r="Z896" s="304"/>
      <c r="AA896" s="304"/>
      <c r="AB896" s="304"/>
      <c r="AC896" s="304"/>
      <c r="AD896" s="535"/>
      <c r="AE896" s="304"/>
      <c r="AF896" s="304"/>
      <c r="AG896" s="296"/>
      <c r="AH896" s="304"/>
      <c r="AI896" s="297"/>
      <c r="AJ896" s="537"/>
      <c r="AK896" s="298">
        <v>43803</v>
      </c>
      <c r="AL896" s="297"/>
      <c r="AM896" s="296" t="s">
        <v>49</v>
      </c>
      <c r="AN896" s="296" t="s">
        <v>284</v>
      </c>
      <c r="AO896" s="296" t="s">
        <v>50</v>
      </c>
      <c r="AP896" s="296" t="s">
        <v>51</v>
      </c>
      <c r="AQ896" s="82" t="s">
        <v>755</v>
      </c>
    </row>
    <row r="897" spans="1:43" ht="15.75" customHeight="1">
      <c r="A897" s="69">
        <v>43753</v>
      </c>
      <c r="B897" s="70" t="s">
        <v>629</v>
      </c>
      <c r="C897" s="548" t="s">
        <v>1731</v>
      </c>
      <c r="D897" s="112" t="s">
        <v>1732</v>
      </c>
      <c r="E897" s="32" t="s">
        <v>632</v>
      </c>
      <c r="F897" s="24">
        <v>14</v>
      </c>
      <c r="G897" s="48">
        <v>173.25</v>
      </c>
      <c r="H897" s="60">
        <f t="shared" si="93"/>
        <v>2425.5</v>
      </c>
      <c r="I897" s="61" t="s">
        <v>143</v>
      </c>
      <c r="J897" s="50" t="s">
        <v>1074</v>
      </c>
      <c r="K897" s="30">
        <v>43784</v>
      </c>
      <c r="L897" s="30"/>
      <c r="M897" s="30">
        <v>43783</v>
      </c>
      <c r="N897" s="50" t="s">
        <v>2212</v>
      </c>
      <c r="O897" s="93" t="s">
        <v>3138</v>
      </c>
      <c r="P897" s="406"/>
      <c r="Q897" s="406">
        <f>(P897*F897)*1.05</f>
        <v>0</v>
      </c>
      <c r="R897" s="406"/>
      <c r="S897" s="406"/>
      <c r="T897" s="406">
        <v>4850</v>
      </c>
      <c r="U897" s="620">
        <f>(T897*F897)*1.05</f>
        <v>71295</v>
      </c>
      <c r="V897" s="501"/>
      <c r="W897" s="460">
        <v>43804</v>
      </c>
      <c r="X897" s="303">
        <v>43783</v>
      </c>
      <c r="Y897" s="304" t="s">
        <v>1733</v>
      </c>
      <c r="Z897" s="304">
        <v>127313</v>
      </c>
      <c r="AA897" s="304"/>
      <c r="AB897" s="304" t="s">
        <v>3139</v>
      </c>
      <c r="AC897" s="304"/>
      <c r="AD897" s="535">
        <v>30.5</v>
      </c>
      <c r="AE897" s="304">
        <v>132103</v>
      </c>
      <c r="AF897" s="304" t="s">
        <v>1734</v>
      </c>
      <c r="AG897" s="296"/>
      <c r="AH897" s="304" t="s">
        <v>1734</v>
      </c>
      <c r="AI897" s="297"/>
      <c r="AJ897" s="29">
        <v>43811</v>
      </c>
      <c r="AK897" s="297">
        <v>132075</v>
      </c>
      <c r="AL897" s="297">
        <v>28</v>
      </c>
      <c r="AM897" s="296" t="s">
        <v>49</v>
      </c>
      <c r="AN897" s="296" t="s">
        <v>284</v>
      </c>
      <c r="AO897" s="296" t="s">
        <v>50</v>
      </c>
      <c r="AP897" s="296" t="s">
        <v>376</v>
      </c>
      <c r="AQ897" s="82" t="s">
        <v>755</v>
      </c>
    </row>
    <row r="898" spans="1:43" ht="15.75" customHeight="1">
      <c r="A898" s="69">
        <v>43753</v>
      </c>
      <c r="B898" s="70" t="s">
        <v>629</v>
      </c>
      <c r="C898" s="548" t="s">
        <v>1731</v>
      </c>
      <c r="D898" s="112" t="s">
        <v>1735</v>
      </c>
      <c r="E898" s="32" t="s">
        <v>632</v>
      </c>
      <c r="F898" s="24">
        <v>11</v>
      </c>
      <c r="G898" s="48">
        <v>173.25</v>
      </c>
      <c r="H898" s="60">
        <f t="shared" si="93"/>
        <v>1905.75</v>
      </c>
      <c r="I898" s="61" t="s">
        <v>143</v>
      </c>
      <c r="J898" s="50" t="s">
        <v>1074</v>
      </c>
      <c r="K898" s="30">
        <v>43784</v>
      </c>
      <c r="L898" s="30"/>
      <c r="M898" s="30">
        <v>43783</v>
      </c>
      <c r="N898" s="50" t="s">
        <v>2212</v>
      </c>
      <c r="O898" s="93" t="s">
        <v>3138</v>
      </c>
      <c r="P898" s="406"/>
      <c r="Q898" s="406"/>
      <c r="R898" s="406"/>
      <c r="S898" s="406"/>
      <c r="T898" s="406">
        <v>4850</v>
      </c>
      <c r="U898" s="620">
        <f>(T898*F898)*1.05</f>
        <v>56017.5</v>
      </c>
      <c r="V898" s="501"/>
      <c r="W898" s="460">
        <v>43804</v>
      </c>
      <c r="X898" s="303">
        <v>43783</v>
      </c>
      <c r="Y898" s="304" t="s">
        <v>1733</v>
      </c>
      <c r="Z898" s="304" t="s">
        <v>3140</v>
      </c>
      <c r="AA898" s="304"/>
      <c r="AB898" s="304" t="s">
        <v>3139</v>
      </c>
      <c r="AC898" s="304"/>
      <c r="AD898" s="535">
        <v>30.5</v>
      </c>
      <c r="AE898" s="304" t="s">
        <v>3141</v>
      </c>
      <c r="AF898" s="304" t="s">
        <v>1734</v>
      </c>
      <c r="AG898" s="296"/>
      <c r="AH898" s="304" t="s">
        <v>1734</v>
      </c>
      <c r="AI898" s="297"/>
      <c r="AJ898" s="29">
        <v>43811</v>
      </c>
      <c r="AK898" s="297" t="s">
        <v>3142</v>
      </c>
      <c r="AL898" s="297" t="s">
        <v>3143</v>
      </c>
      <c r="AM898" s="296" t="s">
        <v>49</v>
      </c>
      <c r="AN898" s="296" t="s">
        <v>284</v>
      </c>
      <c r="AO898" s="296" t="s">
        <v>50</v>
      </c>
      <c r="AP898" s="296" t="s">
        <v>376</v>
      </c>
      <c r="AQ898" s="82" t="s">
        <v>755</v>
      </c>
    </row>
    <row r="899" spans="1:43" ht="15.75" customHeight="1">
      <c r="A899" s="69">
        <v>43753</v>
      </c>
      <c r="B899" s="70" t="s">
        <v>129</v>
      </c>
      <c r="C899" s="21" t="s">
        <v>1736</v>
      </c>
      <c r="D899" s="71" t="s">
        <v>1737</v>
      </c>
      <c r="E899" s="21" t="s">
        <v>132</v>
      </c>
      <c r="F899" s="24">
        <v>5</v>
      </c>
      <c r="G899" s="48">
        <v>103</v>
      </c>
      <c r="H899" s="60">
        <f t="shared" si="93"/>
        <v>515</v>
      </c>
      <c r="I899" s="61" t="s">
        <v>143</v>
      </c>
      <c r="J899" s="50" t="s">
        <v>133</v>
      </c>
      <c r="K899" s="30">
        <v>43782</v>
      </c>
      <c r="L899" s="30"/>
      <c r="M899" s="30">
        <v>43782</v>
      </c>
      <c r="N899" s="50" t="s">
        <v>89</v>
      </c>
      <c r="O899" s="93" t="s">
        <v>3144</v>
      </c>
      <c r="P899" s="406">
        <v>96</v>
      </c>
      <c r="Q899" s="406">
        <f t="shared" ref="Q899:Q909" si="94">(P899*F899)*1.05</f>
        <v>504</v>
      </c>
      <c r="R899" s="406"/>
      <c r="S899" s="406"/>
      <c r="T899" s="406"/>
      <c r="U899" s="406">
        <v>15269</v>
      </c>
      <c r="V899" s="51" t="s">
        <v>93</v>
      </c>
      <c r="W899" s="303">
        <v>43830</v>
      </c>
      <c r="X899" s="303">
        <v>43781</v>
      </c>
      <c r="Y899" s="304" t="s">
        <v>1738</v>
      </c>
      <c r="Z899" s="304">
        <v>19563</v>
      </c>
      <c r="AA899" s="304"/>
      <c r="AB899" s="304"/>
      <c r="AC899" s="304">
        <v>5017292066</v>
      </c>
      <c r="AD899" s="535"/>
      <c r="AE899" s="304"/>
      <c r="AF899" s="304"/>
      <c r="AG899" s="296"/>
      <c r="AH899" s="304"/>
      <c r="AI899" s="297"/>
      <c r="AJ899" s="29">
        <v>43797</v>
      </c>
      <c r="AK899" s="297" t="s">
        <v>3145</v>
      </c>
      <c r="AL899" s="297" t="s">
        <v>3145</v>
      </c>
      <c r="AM899" s="296" t="s">
        <v>49</v>
      </c>
      <c r="AN899" s="296" t="s">
        <v>284</v>
      </c>
      <c r="AO899" s="296" t="s">
        <v>50</v>
      </c>
      <c r="AP899" s="296" t="s">
        <v>51</v>
      </c>
      <c r="AQ899" s="82" t="s">
        <v>755</v>
      </c>
    </row>
    <row r="900" spans="1:43" ht="15.75" customHeight="1">
      <c r="A900" s="69">
        <v>43753</v>
      </c>
      <c r="B900" s="70" t="s">
        <v>129</v>
      </c>
      <c r="C900" s="21" t="s">
        <v>1736</v>
      </c>
      <c r="D900" s="21" t="s">
        <v>1737</v>
      </c>
      <c r="E900" s="32" t="s">
        <v>136</v>
      </c>
      <c r="F900" s="24">
        <v>5</v>
      </c>
      <c r="G900" s="48">
        <v>29</v>
      </c>
      <c r="H900" s="60">
        <f t="shared" si="93"/>
        <v>145</v>
      </c>
      <c r="I900" s="61" t="s">
        <v>143</v>
      </c>
      <c r="J900" s="50" t="s">
        <v>133</v>
      </c>
      <c r="K900" s="30">
        <v>43782</v>
      </c>
      <c r="L900" s="30"/>
      <c r="M900" s="30">
        <v>43782</v>
      </c>
      <c r="N900" s="50" t="s">
        <v>89</v>
      </c>
      <c r="O900" s="93" t="s">
        <v>3144</v>
      </c>
      <c r="P900" s="406">
        <v>27</v>
      </c>
      <c r="Q900" s="406">
        <f t="shared" si="94"/>
        <v>141.75</v>
      </c>
      <c r="R900" s="406"/>
      <c r="S900" s="406"/>
      <c r="T900" s="406"/>
      <c r="U900" s="406">
        <v>4294</v>
      </c>
      <c r="V900" s="35" t="s">
        <v>93</v>
      </c>
      <c r="W900" s="303">
        <v>43830</v>
      </c>
      <c r="X900" s="303">
        <v>43781</v>
      </c>
      <c r="Y900" s="304" t="s">
        <v>1738</v>
      </c>
      <c r="Z900" s="304" t="s">
        <v>3146</v>
      </c>
      <c r="AA900" s="304"/>
      <c r="AB900" s="304"/>
      <c r="AC900" s="304">
        <v>5017292066</v>
      </c>
      <c r="AD900" s="535"/>
      <c r="AE900" s="304"/>
      <c r="AF900" s="304"/>
      <c r="AG900" s="296"/>
      <c r="AH900" s="304"/>
      <c r="AI900" s="297"/>
      <c r="AJ900" s="29">
        <v>43797</v>
      </c>
      <c r="AK900" s="297" t="s">
        <v>3145</v>
      </c>
      <c r="AL900" s="297" t="s">
        <v>3145</v>
      </c>
      <c r="AM900" s="296" t="s">
        <v>49</v>
      </c>
      <c r="AN900" s="296" t="s">
        <v>284</v>
      </c>
      <c r="AO900" s="296" t="s">
        <v>50</v>
      </c>
      <c r="AP900" s="296" t="s">
        <v>51</v>
      </c>
      <c r="AQ900" s="82" t="s">
        <v>755</v>
      </c>
    </row>
    <row r="901" spans="1:43" ht="15.75" customHeight="1">
      <c r="A901" s="69">
        <v>43754</v>
      </c>
      <c r="B901" s="70" t="s">
        <v>222</v>
      </c>
      <c r="C901" s="21" t="s">
        <v>1739</v>
      </c>
      <c r="D901" s="71" t="s">
        <v>1740</v>
      </c>
      <c r="E901" s="32" t="s">
        <v>1741</v>
      </c>
      <c r="F901" s="24">
        <v>5</v>
      </c>
      <c r="G901" s="48">
        <v>10.5</v>
      </c>
      <c r="H901" s="60">
        <f t="shared" si="93"/>
        <v>52.5</v>
      </c>
      <c r="I901" s="61" t="s">
        <v>247</v>
      </c>
      <c r="J901" s="50" t="s">
        <v>89</v>
      </c>
      <c r="K901" s="30">
        <v>43768</v>
      </c>
      <c r="L901" s="30"/>
      <c r="M901" s="30">
        <v>43768</v>
      </c>
      <c r="N901" s="50" t="s">
        <v>89</v>
      </c>
      <c r="O901" s="93" t="s">
        <v>3147</v>
      </c>
      <c r="P901" s="406">
        <v>8</v>
      </c>
      <c r="Q901" s="406">
        <f t="shared" si="94"/>
        <v>42</v>
      </c>
      <c r="R901" s="406"/>
      <c r="S901" s="406"/>
      <c r="T901" s="406"/>
      <c r="U901" s="406">
        <v>1286</v>
      </c>
      <c r="V901" s="51" t="s">
        <v>93</v>
      </c>
      <c r="W901" s="303">
        <v>43830</v>
      </c>
      <c r="X901" s="303">
        <v>43768</v>
      </c>
      <c r="Y901" s="304" t="s">
        <v>1742</v>
      </c>
      <c r="Z901" s="304">
        <v>1286</v>
      </c>
      <c r="AA901" s="304"/>
      <c r="AB901" s="304" t="s">
        <v>3148</v>
      </c>
      <c r="AC901" s="304"/>
      <c r="AD901" s="535">
        <v>30.5</v>
      </c>
      <c r="AE901" s="304">
        <v>1601</v>
      </c>
      <c r="AF901" s="303">
        <v>43774</v>
      </c>
      <c r="AG901" s="296"/>
      <c r="AH901" s="304">
        <v>30.5</v>
      </c>
      <c r="AI901" s="297"/>
      <c r="AJ901" s="29">
        <v>43809</v>
      </c>
      <c r="AK901" s="297">
        <v>86152</v>
      </c>
      <c r="AL901" s="297">
        <v>15</v>
      </c>
      <c r="AM901" s="296" t="s">
        <v>49</v>
      </c>
      <c r="AN901" s="296" t="s">
        <v>284</v>
      </c>
      <c r="AO901" s="296" t="s">
        <v>50</v>
      </c>
      <c r="AP901" s="296" t="s">
        <v>376</v>
      </c>
      <c r="AQ901" s="82" t="s">
        <v>755</v>
      </c>
    </row>
    <row r="902" spans="1:43" ht="15.75" customHeight="1">
      <c r="A902" s="467">
        <v>43755</v>
      </c>
      <c r="B902" s="144" t="s">
        <v>377</v>
      </c>
      <c r="C902" s="21">
        <v>9109</v>
      </c>
      <c r="D902" s="549" t="s">
        <v>1743</v>
      </c>
      <c r="E902" s="246" t="s">
        <v>1744</v>
      </c>
      <c r="F902" s="24">
        <v>10</v>
      </c>
      <c r="G902" s="48">
        <v>0</v>
      </c>
      <c r="H902" s="60">
        <v>0</v>
      </c>
      <c r="I902" s="61" t="s">
        <v>247</v>
      </c>
      <c r="J902" s="58" t="s">
        <v>1107</v>
      </c>
      <c r="K902" s="58" t="s">
        <v>3149</v>
      </c>
      <c r="L902" s="58"/>
      <c r="M902" s="30">
        <v>43756</v>
      </c>
      <c r="N902" s="82" t="s">
        <v>1941</v>
      </c>
      <c r="O902" s="93"/>
      <c r="P902" s="406"/>
      <c r="Q902" s="406">
        <f t="shared" si="94"/>
        <v>0</v>
      </c>
      <c r="R902" s="406"/>
      <c r="S902" s="406"/>
      <c r="T902" s="406"/>
      <c r="U902" s="406">
        <f>(T902*F902)*1.05</f>
        <v>0</v>
      </c>
      <c r="V902" s="501"/>
      <c r="W902" s="304"/>
      <c r="X902" s="304"/>
      <c r="Y902" s="304"/>
      <c r="Z902" s="304"/>
      <c r="AA902" s="304"/>
      <c r="AB902" s="304" t="s">
        <v>3074</v>
      </c>
      <c r="AC902" s="304" t="s">
        <v>3150</v>
      </c>
      <c r="AD902" s="535"/>
      <c r="AE902" s="304"/>
      <c r="AF902" s="460"/>
      <c r="AG902" s="296"/>
      <c r="AH902" s="304"/>
      <c r="AI902" s="297"/>
      <c r="AJ902" s="296" t="s">
        <v>1212</v>
      </c>
      <c r="AK902" s="297"/>
      <c r="AL902" s="297"/>
      <c r="AM902" s="296" t="s">
        <v>1212</v>
      </c>
      <c r="AN902" s="82" t="s">
        <v>284</v>
      </c>
      <c r="AO902" s="296" t="s">
        <v>285</v>
      </c>
      <c r="AP902" s="296" t="s">
        <v>51</v>
      </c>
      <c r="AQ902" s="296" t="s">
        <v>1346</v>
      </c>
    </row>
    <row r="903" spans="1:43" ht="15.75" customHeight="1">
      <c r="A903" s="69">
        <v>43755</v>
      </c>
      <c r="B903" s="70" t="s">
        <v>222</v>
      </c>
      <c r="C903" s="21" t="s">
        <v>1746</v>
      </c>
      <c r="D903" s="71" t="s">
        <v>1747</v>
      </c>
      <c r="E903" s="32" t="s">
        <v>1748</v>
      </c>
      <c r="F903" s="24">
        <v>4</v>
      </c>
      <c r="G903" s="48">
        <v>131.25</v>
      </c>
      <c r="H903" s="60">
        <f t="shared" ref="H903:H919" si="95">G903*F903</f>
        <v>525</v>
      </c>
      <c r="I903" s="61" t="s">
        <v>247</v>
      </c>
      <c r="J903" s="50" t="s">
        <v>89</v>
      </c>
      <c r="K903" s="30">
        <v>43781</v>
      </c>
      <c r="L903" s="30"/>
      <c r="M903" s="30">
        <v>43781</v>
      </c>
      <c r="N903" s="50" t="s">
        <v>89</v>
      </c>
      <c r="O903" s="93" t="s">
        <v>3151</v>
      </c>
      <c r="P903" s="406">
        <v>114</v>
      </c>
      <c r="Q903" s="406">
        <f t="shared" si="94"/>
        <v>478.8</v>
      </c>
      <c r="R903" s="406"/>
      <c r="S903" s="406"/>
      <c r="T903" s="406"/>
      <c r="U903" s="406">
        <v>14505</v>
      </c>
      <c r="V903" s="51" t="s">
        <v>93</v>
      </c>
      <c r="W903" s="303">
        <v>43830</v>
      </c>
      <c r="X903" s="303">
        <v>43781</v>
      </c>
      <c r="Y903" s="304" t="s">
        <v>1749</v>
      </c>
      <c r="Z903" s="304">
        <v>30665</v>
      </c>
      <c r="AA903" s="304"/>
      <c r="AB903" s="304" t="s">
        <v>3152</v>
      </c>
      <c r="AC903" s="304">
        <v>760113686911</v>
      </c>
      <c r="AD903" s="535">
        <v>30.42</v>
      </c>
      <c r="AE903" s="304">
        <v>33857</v>
      </c>
      <c r="AF903" s="303">
        <v>43782</v>
      </c>
      <c r="AG903" s="296"/>
      <c r="AH903" s="304">
        <v>30.42</v>
      </c>
      <c r="AI903" s="297"/>
      <c r="AJ903" s="29">
        <v>43809</v>
      </c>
      <c r="AK903" s="297" t="s">
        <v>3153</v>
      </c>
      <c r="AL903" s="297" t="s">
        <v>3154</v>
      </c>
      <c r="AM903" s="296" t="s">
        <v>49</v>
      </c>
      <c r="AN903" s="296" t="s">
        <v>284</v>
      </c>
      <c r="AO903" s="296" t="s">
        <v>50</v>
      </c>
      <c r="AP903" s="296" t="s">
        <v>376</v>
      </c>
      <c r="AQ903" s="82" t="s">
        <v>755</v>
      </c>
    </row>
    <row r="904" spans="1:43" ht="15.75" customHeight="1">
      <c r="A904" s="69">
        <v>43755</v>
      </c>
      <c r="B904" s="70" t="s">
        <v>222</v>
      </c>
      <c r="C904" s="21" t="s">
        <v>1746</v>
      </c>
      <c r="D904" s="71" t="s">
        <v>1747</v>
      </c>
      <c r="E904" s="32" t="s">
        <v>1750</v>
      </c>
      <c r="F904" s="24">
        <v>4</v>
      </c>
      <c r="G904" s="48">
        <v>147</v>
      </c>
      <c r="H904" s="60">
        <f t="shared" si="95"/>
        <v>588</v>
      </c>
      <c r="I904" s="61" t="s">
        <v>247</v>
      </c>
      <c r="J904" s="50" t="s">
        <v>89</v>
      </c>
      <c r="K904" s="30">
        <v>43781</v>
      </c>
      <c r="L904" s="30"/>
      <c r="M904" s="30">
        <v>43781</v>
      </c>
      <c r="N904" s="50" t="s">
        <v>89</v>
      </c>
      <c r="O904" s="93" t="s">
        <v>3151</v>
      </c>
      <c r="P904" s="406">
        <v>127</v>
      </c>
      <c r="Q904" s="406">
        <f t="shared" si="94"/>
        <v>533.4</v>
      </c>
      <c r="R904" s="406"/>
      <c r="S904" s="406"/>
      <c r="T904" s="406"/>
      <c r="U904" s="406">
        <v>16160</v>
      </c>
      <c r="V904" s="51" t="s">
        <v>93</v>
      </c>
      <c r="W904" s="303">
        <v>43830</v>
      </c>
      <c r="X904" s="303">
        <v>43781</v>
      </c>
      <c r="Y904" s="304" t="s">
        <v>1749</v>
      </c>
      <c r="Z904" s="304" t="s">
        <v>3155</v>
      </c>
      <c r="AA904" s="304"/>
      <c r="AB904" s="304" t="s">
        <v>3152</v>
      </c>
      <c r="AC904" s="304">
        <v>760113686911</v>
      </c>
      <c r="AD904" s="535">
        <v>30.42</v>
      </c>
      <c r="AE904" s="304" t="s">
        <v>3156</v>
      </c>
      <c r="AF904" s="303">
        <v>43782</v>
      </c>
      <c r="AG904" s="296"/>
      <c r="AH904" s="304">
        <v>30.42</v>
      </c>
      <c r="AI904" s="297"/>
      <c r="AJ904" s="29">
        <v>43809</v>
      </c>
      <c r="AK904" s="297" t="s">
        <v>3153</v>
      </c>
      <c r="AL904" s="297" t="s">
        <v>3154</v>
      </c>
      <c r="AM904" s="296" t="s">
        <v>49</v>
      </c>
      <c r="AN904" s="296" t="s">
        <v>284</v>
      </c>
      <c r="AO904" s="296" t="s">
        <v>50</v>
      </c>
      <c r="AP904" s="296" t="s">
        <v>376</v>
      </c>
      <c r="AQ904" s="82" t="s">
        <v>755</v>
      </c>
    </row>
    <row r="905" spans="1:43" ht="15.75" customHeight="1">
      <c r="A905" s="69">
        <v>43755</v>
      </c>
      <c r="B905" s="23" t="s">
        <v>405</v>
      </c>
      <c r="C905" s="21">
        <v>7000151038</v>
      </c>
      <c r="D905" s="71" t="s">
        <v>1751</v>
      </c>
      <c r="E905" s="32" t="s">
        <v>1752</v>
      </c>
      <c r="F905" s="24">
        <v>2</v>
      </c>
      <c r="G905" s="48">
        <v>160</v>
      </c>
      <c r="H905" s="60">
        <f t="shared" si="95"/>
        <v>320</v>
      </c>
      <c r="I905" s="61" t="s">
        <v>42</v>
      </c>
      <c r="J905" s="50" t="s">
        <v>512</v>
      </c>
      <c r="K905" s="30">
        <v>43774</v>
      </c>
      <c r="L905" s="30"/>
      <c r="M905" s="29">
        <v>43773</v>
      </c>
      <c r="N905" s="58" t="s">
        <v>2043</v>
      </c>
      <c r="O905" s="93" t="s">
        <v>3157</v>
      </c>
      <c r="P905" s="406"/>
      <c r="Q905" s="406">
        <f t="shared" si="94"/>
        <v>0</v>
      </c>
      <c r="R905" s="406"/>
      <c r="S905" s="406"/>
      <c r="T905" s="406">
        <v>4154</v>
      </c>
      <c r="U905" s="406">
        <v>8723</v>
      </c>
      <c r="V905" s="501" t="s">
        <v>2045</v>
      </c>
      <c r="W905" s="460">
        <v>43861</v>
      </c>
      <c r="X905" s="460">
        <v>43770</v>
      </c>
      <c r="Y905" s="304" t="s">
        <v>1753</v>
      </c>
      <c r="Z905" s="304">
        <v>36910</v>
      </c>
      <c r="AA905" s="304"/>
      <c r="AB905" s="304" t="s">
        <v>3158</v>
      </c>
      <c r="AC905" s="304">
        <v>1921859726</v>
      </c>
      <c r="AD905" s="535">
        <v>30.52</v>
      </c>
      <c r="AE905" s="304"/>
      <c r="AF905" s="304"/>
      <c r="AG905" s="296"/>
      <c r="AH905" s="304">
        <v>30.52</v>
      </c>
      <c r="AI905" s="297"/>
      <c r="AJ905" s="29">
        <v>43812</v>
      </c>
      <c r="AK905" s="297">
        <f>1534.19*30.245</f>
        <v>46401.576550000005</v>
      </c>
      <c r="AL905" s="297">
        <f>(1562.8-1534.19)*30.245</f>
        <v>865.30944999999701</v>
      </c>
      <c r="AM905" s="296" t="s">
        <v>49</v>
      </c>
      <c r="AN905" s="296" t="s">
        <v>284</v>
      </c>
      <c r="AO905" s="296" t="s">
        <v>50</v>
      </c>
      <c r="AP905" s="296" t="s">
        <v>51</v>
      </c>
      <c r="AQ905" s="82" t="s">
        <v>755</v>
      </c>
    </row>
    <row r="906" spans="1:43" ht="15.75" customHeight="1">
      <c r="A906" s="69">
        <v>43755</v>
      </c>
      <c r="B906" s="23" t="s">
        <v>405</v>
      </c>
      <c r="C906" s="21">
        <v>7000151038</v>
      </c>
      <c r="D906" s="71" t="s">
        <v>1751</v>
      </c>
      <c r="E906" s="32" t="s">
        <v>1678</v>
      </c>
      <c r="F906" s="24">
        <v>3</v>
      </c>
      <c r="G906" s="48">
        <v>300</v>
      </c>
      <c r="H906" s="60">
        <f t="shared" si="95"/>
        <v>900</v>
      </c>
      <c r="I906" s="61" t="s">
        <v>42</v>
      </c>
      <c r="J906" s="50" t="s">
        <v>512</v>
      </c>
      <c r="K906" s="30">
        <v>43774</v>
      </c>
      <c r="L906" s="30"/>
      <c r="M906" s="29">
        <v>43773</v>
      </c>
      <c r="N906" s="58" t="s">
        <v>2043</v>
      </c>
      <c r="O906" s="93" t="s">
        <v>3157</v>
      </c>
      <c r="P906" s="406"/>
      <c r="Q906" s="406">
        <f t="shared" si="94"/>
        <v>0</v>
      </c>
      <c r="R906" s="406"/>
      <c r="S906" s="406"/>
      <c r="T906" s="406">
        <v>7914</v>
      </c>
      <c r="U906" s="406">
        <v>24930</v>
      </c>
      <c r="V906" s="501" t="s">
        <v>2045</v>
      </c>
      <c r="W906" s="460">
        <v>43861</v>
      </c>
      <c r="X906" s="460">
        <v>43770</v>
      </c>
      <c r="Y906" s="304" t="s">
        <v>1753</v>
      </c>
      <c r="Z906" s="304" t="s">
        <v>2831</v>
      </c>
      <c r="AA906" s="304"/>
      <c r="AB906" s="304" t="s">
        <v>3158</v>
      </c>
      <c r="AC906" s="304">
        <v>1921859726</v>
      </c>
      <c r="AD906" s="535">
        <v>30.52</v>
      </c>
      <c r="AE906" s="304"/>
      <c r="AF906" s="304"/>
      <c r="AG906" s="296"/>
      <c r="AH906" s="304">
        <v>30.52</v>
      </c>
      <c r="AI906" s="297"/>
      <c r="AJ906" s="29">
        <v>43812</v>
      </c>
      <c r="AK906" s="297" t="s">
        <v>3159</v>
      </c>
      <c r="AL906" s="297" t="s">
        <v>3160</v>
      </c>
      <c r="AM906" s="296" t="s">
        <v>49</v>
      </c>
      <c r="AN906" s="296" t="s">
        <v>284</v>
      </c>
      <c r="AO906" s="296" t="s">
        <v>50</v>
      </c>
      <c r="AP906" s="296" t="s">
        <v>51</v>
      </c>
      <c r="AQ906" s="82" t="s">
        <v>755</v>
      </c>
    </row>
    <row r="907" spans="1:43" ht="15.75" customHeight="1">
      <c r="A907" s="69">
        <v>43755</v>
      </c>
      <c r="B907" s="32" t="s">
        <v>405</v>
      </c>
      <c r="C907" s="21">
        <v>7000151038</v>
      </c>
      <c r="D907" s="21" t="s">
        <v>1751</v>
      </c>
      <c r="E907" s="23" t="s">
        <v>614</v>
      </c>
      <c r="F907" s="24">
        <v>2</v>
      </c>
      <c r="G907" s="48">
        <v>24</v>
      </c>
      <c r="H907" s="60">
        <f t="shared" si="95"/>
        <v>48</v>
      </c>
      <c r="I907" s="87" t="s">
        <v>42</v>
      </c>
      <c r="J907" s="437" t="s">
        <v>512</v>
      </c>
      <c r="K907" s="30">
        <v>43774</v>
      </c>
      <c r="L907" s="30"/>
      <c r="M907" s="29">
        <v>43773</v>
      </c>
      <c r="N907" s="58" t="s">
        <v>2043</v>
      </c>
      <c r="O907" s="93" t="s">
        <v>3157</v>
      </c>
      <c r="P907" s="406"/>
      <c r="Q907" s="406">
        <f t="shared" si="94"/>
        <v>0</v>
      </c>
      <c r="R907" s="406"/>
      <c r="S907" s="406"/>
      <c r="T907" s="406">
        <v>598</v>
      </c>
      <c r="U907" s="406">
        <v>1256</v>
      </c>
      <c r="V907" s="501" t="s">
        <v>2045</v>
      </c>
      <c r="W907" s="460">
        <v>43861</v>
      </c>
      <c r="X907" s="460">
        <v>43770</v>
      </c>
      <c r="Y907" s="304" t="s">
        <v>1753</v>
      </c>
      <c r="Z907" s="304" t="s">
        <v>2831</v>
      </c>
      <c r="AA907" s="304"/>
      <c r="AB907" s="723" t="s">
        <v>3158</v>
      </c>
      <c r="AC907" s="304">
        <v>1921859726</v>
      </c>
      <c r="AD907" s="535">
        <v>30.52</v>
      </c>
      <c r="AE907" s="304"/>
      <c r="AF907" s="304"/>
      <c r="AG907" s="296"/>
      <c r="AH907" s="304">
        <v>30.52</v>
      </c>
      <c r="AI907" s="297"/>
      <c r="AJ907" s="29">
        <v>43812</v>
      </c>
      <c r="AK907" s="297" t="s">
        <v>3159</v>
      </c>
      <c r="AL907" s="297" t="s">
        <v>3160</v>
      </c>
      <c r="AM907" s="296" t="s">
        <v>49</v>
      </c>
      <c r="AN907" s="296" t="s">
        <v>284</v>
      </c>
      <c r="AO907" s="296" t="s">
        <v>50</v>
      </c>
      <c r="AP907" s="296" t="s">
        <v>51</v>
      </c>
      <c r="AQ907" s="82" t="s">
        <v>755</v>
      </c>
    </row>
    <row r="908" spans="1:43" ht="15.75" customHeight="1">
      <c r="A908" s="69">
        <v>43755</v>
      </c>
      <c r="B908" s="23" t="s">
        <v>405</v>
      </c>
      <c r="C908" s="21">
        <v>7000151038</v>
      </c>
      <c r="D908" s="21" t="s">
        <v>1751</v>
      </c>
      <c r="E908" s="23" t="s">
        <v>1754</v>
      </c>
      <c r="F908" s="24">
        <v>4</v>
      </c>
      <c r="G908" s="48">
        <v>5</v>
      </c>
      <c r="H908" s="60">
        <f t="shared" si="95"/>
        <v>20</v>
      </c>
      <c r="I908" s="61" t="s">
        <v>42</v>
      </c>
      <c r="J908" s="50" t="s">
        <v>512</v>
      </c>
      <c r="K908" s="30">
        <v>43774</v>
      </c>
      <c r="L908" s="30"/>
      <c r="M908" s="29">
        <v>43773</v>
      </c>
      <c r="N908" s="58" t="s">
        <v>2043</v>
      </c>
      <c r="O908" s="93" t="s">
        <v>3157</v>
      </c>
      <c r="P908" s="406"/>
      <c r="Q908" s="406">
        <f t="shared" si="94"/>
        <v>0</v>
      </c>
      <c r="R908" s="406"/>
      <c r="S908" s="406"/>
      <c r="T908" s="406">
        <v>100</v>
      </c>
      <c r="U908" s="406">
        <v>420</v>
      </c>
      <c r="V908" s="501" t="s">
        <v>2045</v>
      </c>
      <c r="W908" s="460">
        <v>43861</v>
      </c>
      <c r="X908" s="460">
        <v>43770</v>
      </c>
      <c r="Y908" s="304" t="s">
        <v>1753</v>
      </c>
      <c r="Z908" s="304" t="s">
        <v>2831</v>
      </c>
      <c r="AA908" s="304"/>
      <c r="AB908" s="723" t="s">
        <v>3158</v>
      </c>
      <c r="AC908" s="304">
        <v>1921859726</v>
      </c>
      <c r="AD908" s="535">
        <v>30.52</v>
      </c>
      <c r="AE908" s="304"/>
      <c r="AF908" s="304"/>
      <c r="AG908" s="296"/>
      <c r="AH908" s="304">
        <v>30.52</v>
      </c>
      <c r="AI908" s="297"/>
      <c r="AJ908" s="29">
        <v>43812</v>
      </c>
      <c r="AK908" s="297" t="s">
        <v>3159</v>
      </c>
      <c r="AL908" s="297" t="s">
        <v>3160</v>
      </c>
      <c r="AM908" s="296" t="s">
        <v>49</v>
      </c>
      <c r="AN908" s="296" t="s">
        <v>284</v>
      </c>
      <c r="AO908" s="296" t="s">
        <v>50</v>
      </c>
      <c r="AP908" s="296" t="s">
        <v>51</v>
      </c>
      <c r="AQ908" s="82" t="s">
        <v>755</v>
      </c>
    </row>
    <row r="909" spans="1:43" ht="15.75" customHeight="1">
      <c r="A909" s="69">
        <v>43755</v>
      </c>
      <c r="B909" s="32" t="s">
        <v>405</v>
      </c>
      <c r="C909" s="21">
        <v>7000151038</v>
      </c>
      <c r="D909" s="21" t="s">
        <v>1751</v>
      </c>
      <c r="E909" s="23" t="s">
        <v>1652</v>
      </c>
      <c r="F909" s="24">
        <v>1</v>
      </c>
      <c r="G909" s="48">
        <v>59</v>
      </c>
      <c r="H909" s="60">
        <f t="shared" si="95"/>
        <v>59</v>
      </c>
      <c r="I909" s="87" t="s">
        <v>42</v>
      </c>
      <c r="J909" s="437" t="s">
        <v>512</v>
      </c>
      <c r="K909" s="30">
        <v>43774</v>
      </c>
      <c r="L909" s="30"/>
      <c r="M909" s="29">
        <v>43773</v>
      </c>
      <c r="N909" s="58" t="s">
        <v>2043</v>
      </c>
      <c r="O909" s="93" t="s">
        <v>3157</v>
      </c>
      <c r="P909" s="406"/>
      <c r="Q909" s="406">
        <f t="shared" si="94"/>
        <v>0</v>
      </c>
      <c r="R909" s="406"/>
      <c r="S909" s="406"/>
      <c r="T909" s="406">
        <v>1506</v>
      </c>
      <c r="U909" s="406">
        <v>1581</v>
      </c>
      <c r="V909" s="406" t="s">
        <v>2045</v>
      </c>
      <c r="W909" s="460">
        <v>43861</v>
      </c>
      <c r="X909" s="460">
        <v>43770</v>
      </c>
      <c r="Y909" s="304" t="s">
        <v>1753</v>
      </c>
      <c r="Z909" s="304" t="s">
        <v>2831</v>
      </c>
      <c r="AA909" s="304"/>
      <c r="AB909" s="723" t="s">
        <v>3158</v>
      </c>
      <c r="AC909" s="304">
        <v>1921859726</v>
      </c>
      <c r="AD909" s="535">
        <v>30.52</v>
      </c>
      <c r="AE909" s="304"/>
      <c r="AF909" s="304"/>
      <c r="AG909" s="296"/>
      <c r="AH909" s="304">
        <v>30.52</v>
      </c>
      <c r="AI909" s="297"/>
      <c r="AJ909" s="29">
        <v>43812</v>
      </c>
      <c r="AK909" s="297" t="s">
        <v>3159</v>
      </c>
      <c r="AL909" s="297" t="s">
        <v>3160</v>
      </c>
      <c r="AM909" s="296" t="s">
        <v>49</v>
      </c>
      <c r="AN909" s="296" t="s">
        <v>284</v>
      </c>
      <c r="AO909" s="296" t="s">
        <v>50</v>
      </c>
      <c r="AP909" s="296" t="s">
        <v>51</v>
      </c>
      <c r="AQ909" s="82" t="s">
        <v>755</v>
      </c>
    </row>
    <row r="910" spans="1:43" ht="15.75" customHeight="1">
      <c r="A910" s="550">
        <v>43756</v>
      </c>
      <c r="B910" s="144" t="s">
        <v>377</v>
      </c>
      <c r="C910" s="21" t="s">
        <v>1343</v>
      </c>
      <c r="D910" s="71" t="s">
        <v>1377</v>
      </c>
      <c r="E910" s="32" t="s">
        <v>1755</v>
      </c>
      <c r="F910" s="24">
        <v>5</v>
      </c>
      <c r="G910" s="48">
        <v>26</v>
      </c>
      <c r="H910" s="216">
        <f t="shared" si="95"/>
        <v>130</v>
      </c>
      <c r="I910" s="61" t="s">
        <v>143</v>
      </c>
      <c r="J910" s="58" t="s">
        <v>1107</v>
      </c>
      <c r="K910" s="84">
        <v>43781</v>
      </c>
      <c r="L910" s="84"/>
      <c r="M910" s="30">
        <v>43763</v>
      </c>
      <c r="N910" s="82" t="s">
        <v>2833</v>
      </c>
      <c r="O910" s="93" t="s">
        <v>2834</v>
      </c>
      <c r="P910" s="406"/>
      <c r="Q910" s="406"/>
      <c r="R910" s="406"/>
      <c r="S910" s="406"/>
      <c r="T910" s="22" t="s">
        <v>3161</v>
      </c>
      <c r="U910" s="22" t="s">
        <v>3161</v>
      </c>
      <c r="V910" s="21"/>
      <c r="W910" s="304"/>
      <c r="X910" s="304"/>
      <c r="Y910" s="304"/>
      <c r="Z910" s="304"/>
      <c r="AA910" s="304"/>
      <c r="AB910" s="304" t="s">
        <v>2695</v>
      </c>
      <c r="AC910" s="304"/>
      <c r="AD910" s="535"/>
      <c r="AE910" s="304"/>
      <c r="AF910" s="304"/>
      <c r="AG910" s="296"/>
      <c r="AH910" s="304"/>
      <c r="AI910" s="297"/>
      <c r="AJ910" s="298">
        <v>43837</v>
      </c>
      <c r="AK910" s="297" t="s">
        <v>2811</v>
      </c>
      <c r="AL910" s="297" t="s">
        <v>2812</v>
      </c>
      <c r="AM910" s="296" t="s">
        <v>49</v>
      </c>
      <c r="AN910" s="296" t="s">
        <v>284</v>
      </c>
      <c r="AO910" s="296" t="s">
        <v>285</v>
      </c>
      <c r="AP910" s="296" t="s">
        <v>51</v>
      </c>
      <c r="AQ910" s="82" t="s">
        <v>755</v>
      </c>
    </row>
    <row r="911" spans="1:43" ht="15.75" customHeight="1">
      <c r="A911" s="69">
        <v>43756</v>
      </c>
      <c r="B911" s="144" t="s">
        <v>377</v>
      </c>
      <c r="C911" s="21" t="s">
        <v>1343</v>
      </c>
      <c r="D911" s="71" t="s">
        <v>1756</v>
      </c>
      <c r="E911" s="32" t="s">
        <v>1757</v>
      </c>
      <c r="F911" s="24">
        <v>7</v>
      </c>
      <c r="G911" s="48">
        <v>0</v>
      </c>
      <c r="H911" s="60">
        <f t="shared" si="95"/>
        <v>0</v>
      </c>
      <c r="I911" s="61" t="s">
        <v>143</v>
      </c>
      <c r="J911" s="58" t="s">
        <v>1107</v>
      </c>
      <c r="K911" s="30">
        <v>43781</v>
      </c>
      <c r="L911" s="30"/>
      <c r="M911" s="30">
        <v>43724</v>
      </c>
      <c r="N911" s="50" t="s">
        <v>2804</v>
      </c>
      <c r="O911" s="93"/>
      <c r="P911" s="406"/>
      <c r="Q911" s="406"/>
      <c r="R911" s="406"/>
      <c r="S911" s="406"/>
      <c r="T911" s="22"/>
      <c r="U911" s="714">
        <v>0</v>
      </c>
      <c r="V911" s="21"/>
      <c r="W911" s="304"/>
      <c r="X911" s="304"/>
      <c r="Y911" s="304"/>
      <c r="Z911" s="304"/>
      <c r="AA911" s="304"/>
      <c r="AB911" s="304" t="s">
        <v>2695</v>
      </c>
      <c r="AC911" s="304"/>
      <c r="AD911" s="535"/>
      <c r="AE911" s="304"/>
      <c r="AF911" s="304"/>
      <c r="AG911" s="296"/>
      <c r="AH911" s="304"/>
      <c r="AI911" s="297"/>
      <c r="AJ911" s="296" t="s">
        <v>1212</v>
      </c>
      <c r="AK911" s="297"/>
      <c r="AL911" s="297"/>
      <c r="AM911" s="296" t="s">
        <v>1212</v>
      </c>
      <c r="AN911" s="296" t="s">
        <v>284</v>
      </c>
      <c r="AO911" s="296" t="s">
        <v>285</v>
      </c>
      <c r="AP911" s="296" t="s">
        <v>51</v>
      </c>
      <c r="AQ911" s="82" t="s">
        <v>755</v>
      </c>
    </row>
    <row r="912" spans="1:43" ht="15.75" customHeight="1">
      <c r="A912" s="69">
        <v>43756</v>
      </c>
      <c r="B912" s="144" t="s">
        <v>377</v>
      </c>
      <c r="C912" s="21" t="s">
        <v>1343</v>
      </c>
      <c r="D912" s="71" t="s">
        <v>1756</v>
      </c>
      <c r="E912" s="23" t="s">
        <v>1348</v>
      </c>
      <c r="F912" s="24">
        <v>7</v>
      </c>
      <c r="G912" s="48">
        <v>76</v>
      </c>
      <c r="H912" s="60">
        <f t="shared" si="95"/>
        <v>532</v>
      </c>
      <c r="I912" s="61" t="s">
        <v>143</v>
      </c>
      <c r="J912" s="58" t="s">
        <v>1107</v>
      </c>
      <c r="K912" s="30">
        <v>43781</v>
      </c>
      <c r="L912" s="30"/>
      <c r="M912" s="30">
        <v>43756</v>
      </c>
      <c r="N912" s="50" t="s">
        <v>254</v>
      </c>
      <c r="O912" s="93" t="s">
        <v>2810</v>
      </c>
      <c r="P912" s="406"/>
      <c r="Q912" s="406"/>
      <c r="R912" s="406"/>
      <c r="S912" s="406"/>
      <c r="T912" s="22">
        <v>1490</v>
      </c>
      <c r="U912" s="714">
        <f>(1490*7)*1.05</f>
        <v>10951.5</v>
      </c>
      <c r="V912" s="70" t="s">
        <v>256</v>
      </c>
      <c r="W912" s="304"/>
      <c r="X912" s="304"/>
      <c r="Y912" s="304"/>
      <c r="Z912" s="304"/>
      <c r="AA912" s="304"/>
      <c r="AB912" s="304" t="s">
        <v>2695</v>
      </c>
      <c r="AC912" s="304"/>
      <c r="AD912" s="535"/>
      <c r="AE912" s="304"/>
      <c r="AF912" s="304"/>
      <c r="AG912" s="296"/>
      <c r="AH912" s="304"/>
      <c r="AI912" s="297"/>
      <c r="AJ912" s="298">
        <v>43672</v>
      </c>
      <c r="AK912" s="297" t="s">
        <v>2599</v>
      </c>
      <c r="AL912" s="297" t="s">
        <v>2600</v>
      </c>
      <c r="AM912" s="296" t="s">
        <v>49</v>
      </c>
      <c r="AN912" s="296" t="s">
        <v>284</v>
      </c>
      <c r="AO912" s="296" t="s">
        <v>285</v>
      </c>
      <c r="AP912" s="296" t="s">
        <v>51</v>
      </c>
      <c r="AQ912" s="82" t="s">
        <v>755</v>
      </c>
    </row>
    <row r="913" spans="1:43" ht="15.75" customHeight="1">
      <c r="A913" s="69">
        <v>43756</v>
      </c>
      <c r="B913" s="144" t="s">
        <v>377</v>
      </c>
      <c r="C913" s="21" t="s">
        <v>1343</v>
      </c>
      <c r="D913" s="21" t="s">
        <v>1756</v>
      </c>
      <c r="E913" s="32" t="s">
        <v>1349</v>
      </c>
      <c r="F913" s="24">
        <v>7</v>
      </c>
      <c r="G913" s="25">
        <v>100</v>
      </c>
      <c r="H913" s="60">
        <f t="shared" si="95"/>
        <v>700</v>
      </c>
      <c r="I913" s="61" t="s">
        <v>143</v>
      </c>
      <c r="J913" s="58" t="s">
        <v>1107</v>
      </c>
      <c r="K913" s="30">
        <v>43781</v>
      </c>
      <c r="L913" s="30"/>
      <c r="M913" s="30">
        <v>43781</v>
      </c>
      <c r="N913" s="82" t="s">
        <v>2021</v>
      </c>
      <c r="O913" s="93" t="s">
        <v>2830</v>
      </c>
      <c r="P913" s="406"/>
      <c r="Q913" s="406"/>
      <c r="R913" s="406"/>
      <c r="S913" s="406"/>
      <c r="T913" s="22">
        <v>2100</v>
      </c>
      <c r="U913" s="724">
        <f>(T913*7)*1.05</f>
        <v>15435</v>
      </c>
      <c r="V913" s="21" t="s">
        <v>2023</v>
      </c>
      <c r="W913" s="460"/>
      <c r="X913" s="460">
        <v>43777</v>
      </c>
      <c r="Y913" s="304" t="s">
        <v>1758</v>
      </c>
      <c r="Z913" s="404">
        <v>24203</v>
      </c>
      <c r="AA913" s="304"/>
      <c r="AB913" s="304" t="s">
        <v>2695</v>
      </c>
      <c r="AC913" s="304"/>
      <c r="AD913" s="535"/>
      <c r="AE913" s="304"/>
      <c r="AF913" s="304"/>
      <c r="AG913" s="296"/>
      <c r="AH913" s="304"/>
      <c r="AI913" s="297"/>
      <c r="AJ913" s="298">
        <v>43837</v>
      </c>
      <c r="AK913" s="297" t="s">
        <v>2811</v>
      </c>
      <c r="AL913" s="297" t="s">
        <v>2812</v>
      </c>
      <c r="AM913" s="296" t="s">
        <v>49</v>
      </c>
      <c r="AN913" s="296" t="s">
        <v>284</v>
      </c>
      <c r="AO913" s="296" t="s">
        <v>285</v>
      </c>
      <c r="AP913" s="296" t="s">
        <v>51</v>
      </c>
      <c r="AQ913" s="82" t="s">
        <v>755</v>
      </c>
    </row>
    <row r="914" spans="1:43" ht="15.75" customHeight="1">
      <c r="A914" s="69">
        <v>43756</v>
      </c>
      <c r="B914" s="144" t="s">
        <v>377</v>
      </c>
      <c r="C914" s="21" t="s">
        <v>1343</v>
      </c>
      <c r="D914" s="71" t="s">
        <v>1756</v>
      </c>
      <c r="E914" s="23" t="s">
        <v>1759</v>
      </c>
      <c r="F914" s="24">
        <v>7</v>
      </c>
      <c r="G914" s="48">
        <v>26</v>
      </c>
      <c r="H914" s="60">
        <f t="shared" si="95"/>
        <v>182</v>
      </c>
      <c r="I914" s="61" t="s">
        <v>143</v>
      </c>
      <c r="J914" s="58" t="s">
        <v>1107</v>
      </c>
      <c r="K914" s="30">
        <v>43781</v>
      </c>
      <c r="L914" s="30"/>
      <c r="M914" s="30">
        <v>43763</v>
      </c>
      <c r="N914" s="82" t="s">
        <v>2833</v>
      </c>
      <c r="O914" s="710" t="s">
        <v>3162</v>
      </c>
      <c r="P914" s="406"/>
      <c r="Q914" s="406"/>
      <c r="R914" s="406"/>
      <c r="S914" s="406"/>
      <c r="T914" s="581">
        <v>300</v>
      </c>
      <c r="U914" s="724">
        <f>(T914*9)*1.05</f>
        <v>2835</v>
      </c>
      <c r="V914" s="21"/>
      <c r="W914" s="304"/>
      <c r="X914" s="304"/>
      <c r="Y914" s="304"/>
      <c r="Z914" s="304"/>
      <c r="AA914" s="304"/>
      <c r="AB914" s="304" t="s">
        <v>2695</v>
      </c>
      <c r="AC914" s="304"/>
      <c r="AD914" s="535"/>
      <c r="AE914" s="304"/>
      <c r="AF914" s="304"/>
      <c r="AG914" s="296"/>
      <c r="AH914" s="304"/>
      <c r="AI914" s="297"/>
      <c r="AJ914" s="298">
        <v>43837</v>
      </c>
      <c r="AK914" s="297" t="s">
        <v>2811</v>
      </c>
      <c r="AL914" s="297" t="s">
        <v>2812</v>
      </c>
      <c r="AM914" s="296" t="s">
        <v>49</v>
      </c>
      <c r="AN914" s="296" t="s">
        <v>284</v>
      </c>
      <c r="AO914" s="296" t="s">
        <v>285</v>
      </c>
      <c r="AP914" s="296" t="s">
        <v>51</v>
      </c>
      <c r="AQ914" s="82" t="s">
        <v>755</v>
      </c>
    </row>
    <row r="915" spans="1:43" ht="15.75" customHeight="1">
      <c r="A915" s="69">
        <v>43756</v>
      </c>
      <c r="B915" s="144" t="s">
        <v>377</v>
      </c>
      <c r="C915" s="21" t="s">
        <v>1343</v>
      </c>
      <c r="D915" s="71" t="s">
        <v>1760</v>
      </c>
      <c r="E915" s="23" t="s">
        <v>1761</v>
      </c>
      <c r="F915" s="24">
        <v>7</v>
      </c>
      <c r="G915" s="48">
        <v>20</v>
      </c>
      <c r="H915" s="60">
        <f t="shared" si="95"/>
        <v>140</v>
      </c>
      <c r="I915" s="61" t="s">
        <v>143</v>
      </c>
      <c r="J915" s="58" t="s">
        <v>1107</v>
      </c>
      <c r="K915" s="30">
        <v>43781</v>
      </c>
      <c r="L915" s="30"/>
      <c r="M915" s="30">
        <v>43781</v>
      </c>
      <c r="N915" s="82" t="s">
        <v>2836</v>
      </c>
      <c r="O915" s="93" t="s">
        <v>2830</v>
      </c>
      <c r="P915" s="406"/>
      <c r="Q915" s="406"/>
      <c r="R915" s="406"/>
      <c r="S915" s="406"/>
      <c r="T915" s="22">
        <v>350</v>
      </c>
      <c r="U915" s="724">
        <f>(T915*7)*1.05</f>
        <v>2572.5</v>
      </c>
      <c r="V915" s="417" t="s">
        <v>2023</v>
      </c>
      <c r="W915" s="460"/>
      <c r="X915" s="460">
        <v>43777</v>
      </c>
      <c r="Y915" s="304" t="s">
        <v>1758</v>
      </c>
      <c r="Z915" s="304" t="s">
        <v>2831</v>
      </c>
      <c r="AA915" s="304"/>
      <c r="AB915" s="304" t="s">
        <v>2695</v>
      </c>
      <c r="AC915" s="304"/>
      <c r="AD915" s="535"/>
      <c r="AE915" s="304"/>
      <c r="AF915" s="304"/>
      <c r="AG915" s="296"/>
      <c r="AH915" s="304"/>
      <c r="AI915" s="297"/>
      <c r="AJ915" s="298">
        <v>43837</v>
      </c>
      <c r="AK915" s="297" t="s">
        <v>2811</v>
      </c>
      <c r="AL915" s="297" t="s">
        <v>2812</v>
      </c>
      <c r="AM915" s="296" t="s">
        <v>49</v>
      </c>
      <c r="AN915" s="296" t="s">
        <v>284</v>
      </c>
      <c r="AO915" s="296" t="s">
        <v>285</v>
      </c>
      <c r="AP915" s="296" t="s">
        <v>51</v>
      </c>
      <c r="AQ915" s="82" t="s">
        <v>755</v>
      </c>
    </row>
    <row r="916" spans="1:43" ht="15.75" customHeight="1">
      <c r="A916" s="69">
        <v>43756</v>
      </c>
      <c r="B916" s="144" t="s">
        <v>377</v>
      </c>
      <c r="C916" s="21" t="s">
        <v>1343</v>
      </c>
      <c r="D916" s="71" t="s">
        <v>1762</v>
      </c>
      <c r="E916" s="32" t="s">
        <v>1763</v>
      </c>
      <c r="F916" s="24">
        <v>3</v>
      </c>
      <c r="G916" s="48">
        <v>0</v>
      </c>
      <c r="H916" s="60">
        <f t="shared" si="95"/>
        <v>0</v>
      </c>
      <c r="I916" s="61" t="s">
        <v>143</v>
      </c>
      <c r="J916" s="58" t="s">
        <v>1107</v>
      </c>
      <c r="K916" s="30">
        <v>43804</v>
      </c>
      <c r="L916" s="30"/>
      <c r="M916" s="30">
        <v>43732</v>
      </c>
      <c r="N916" s="50" t="s">
        <v>2804</v>
      </c>
      <c r="O916" s="93" t="s">
        <v>1941</v>
      </c>
      <c r="P916" s="406"/>
      <c r="Q916" s="406"/>
      <c r="R916" s="406"/>
      <c r="S916" s="406"/>
      <c r="T916" s="22">
        <v>0</v>
      </c>
      <c r="U916" s="721">
        <v>0</v>
      </c>
      <c r="V916" s="70"/>
      <c r="W916" s="304"/>
      <c r="X916" s="304"/>
      <c r="Y916" s="304"/>
      <c r="Z916" s="304"/>
      <c r="AA916" s="304"/>
      <c r="AB916" s="304" t="s">
        <v>2805</v>
      </c>
      <c r="AC916" s="304" t="s">
        <v>2808</v>
      </c>
      <c r="AD916" s="535"/>
      <c r="AE916" s="304"/>
      <c r="AF916" s="304"/>
      <c r="AG916" s="296"/>
      <c r="AH916" s="304"/>
      <c r="AI916" s="297"/>
      <c r="AJ916" s="296" t="s">
        <v>1212</v>
      </c>
      <c r="AK916" s="297"/>
      <c r="AL916" s="297"/>
      <c r="AM916" s="296" t="s">
        <v>1212</v>
      </c>
      <c r="AN916" s="82" t="s">
        <v>284</v>
      </c>
      <c r="AO916" s="296" t="s">
        <v>285</v>
      </c>
      <c r="AP916" s="296" t="s">
        <v>51</v>
      </c>
      <c r="AQ916" s="296" t="s">
        <v>1346</v>
      </c>
    </row>
    <row r="917" spans="1:43" ht="15.75" customHeight="1">
      <c r="A917" s="69">
        <v>43756</v>
      </c>
      <c r="B917" s="144" t="s">
        <v>377</v>
      </c>
      <c r="C917" s="21" t="s">
        <v>1343</v>
      </c>
      <c r="D917" s="71" t="s">
        <v>1764</v>
      </c>
      <c r="E917" s="32" t="s">
        <v>1368</v>
      </c>
      <c r="F917" s="24">
        <v>3</v>
      </c>
      <c r="G917" s="48">
        <v>85</v>
      </c>
      <c r="H917" s="60">
        <f t="shared" si="95"/>
        <v>255</v>
      </c>
      <c r="I917" s="61" t="s">
        <v>143</v>
      </c>
      <c r="J917" s="58" t="s">
        <v>1107</v>
      </c>
      <c r="K917" s="30">
        <v>43804</v>
      </c>
      <c r="L917" s="30"/>
      <c r="M917" s="30">
        <v>43781</v>
      </c>
      <c r="N917" s="50" t="s">
        <v>254</v>
      </c>
      <c r="O917" s="93" t="s">
        <v>3163</v>
      </c>
      <c r="P917" s="406"/>
      <c r="Q917" s="406"/>
      <c r="R917" s="406"/>
      <c r="S917" s="406"/>
      <c r="T917" s="22"/>
      <c r="U917" s="711">
        <v>4694</v>
      </c>
      <c r="V917" s="417"/>
      <c r="W917" s="304"/>
      <c r="X917" s="304"/>
      <c r="Y917" s="304"/>
      <c r="Z917" s="304"/>
      <c r="AA917" s="304"/>
      <c r="AB917" s="304" t="s">
        <v>2805</v>
      </c>
      <c r="AC917" s="304" t="s">
        <v>2808</v>
      </c>
      <c r="AD917" s="535"/>
      <c r="AE917" s="304"/>
      <c r="AF917" s="304"/>
      <c r="AG917" s="296"/>
      <c r="AH917" s="304"/>
      <c r="AI917" s="297"/>
      <c r="AJ917" s="298">
        <v>43837</v>
      </c>
      <c r="AK917" s="297" t="s">
        <v>2811</v>
      </c>
      <c r="AL917" s="297" t="s">
        <v>2812</v>
      </c>
      <c r="AM917" s="296" t="s">
        <v>49</v>
      </c>
      <c r="AN917" s="82" t="s">
        <v>284</v>
      </c>
      <c r="AO917" s="296" t="s">
        <v>285</v>
      </c>
      <c r="AP917" s="296" t="s">
        <v>51</v>
      </c>
      <c r="AQ917" s="296" t="s">
        <v>1346</v>
      </c>
    </row>
    <row r="918" spans="1:43" ht="15.75" customHeight="1">
      <c r="A918" s="69">
        <v>43756</v>
      </c>
      <c r="B918" s="144" t="s">
        <v>377</v>
      </c>
      <c r="C918" s="21" t="s">
        <v>1343</v>
      </c>
      <c r="D918" s="71" t="s">
        <v>1765</v>
      </c>
      <c r="E918" s="32" t="s">
        <v>1766</v>
      </c>
      <c r="F918" s="24">
        <v>3</v>
      </c>
      <c r="G918" s="48">
        <v>25</v>
      </c>
      <c r="H918" s="60">
        <f t="shared" si="95"/>
        <v>75</v>
      </c>
      <c r="I918" s="61" t="s">
        <v>143</v>
      </c>
      <c r="J918" s="58" t="s">
        <v>1107</v>
      </c>
      <c r="K918" s="30">
        <v>43804</v>
      </c>
      <c r="L918" s="30"/>
      <c r="M918" s="30">
        <v>43781</v>
      </c>
      <c r="N918" s="50" t="s">
        <v>254</v>
      </c>
      <c r="O918" s="93" t="s">
        <v>3163</v>
      </c>
      <c r="P918" s="406"/>
      <c r="Q918" s="406"/>
      <c r="R918" s="406"/>
      <c r="S918" s="406"/>
      <c r="T918" s="22"/>
      <c r="U918" s="711">
        <v>1441</v>
      </c>
      <c r="V918" s="70"/>
      <c r="W918" s="304"/>
      <c r="X918" s="304"/>
      <c r="Y918" s="304"/>
      <c r="Z918" s="304"/>
      <c r="AA918" s="304"/>
      <c r="AB918" s="304" t="s">
        <v>2805</v>
      </c>
      <c r="AC918" s="304" t="s">
        <v>2808</v>
      </c>
      <c r="AD918" s="535"/>
      <c r="AE918" s="304"/>
      <c r="AF918" s="304"/>
      <c r="AG918" s="296"/>
      <c r="AH918" s="304"/>
      <c r="AI918" s="297"/>
      <c r="AJ918" s="298">
        <v>43837</v>
      </c>
      <c r="AK918" s="297" t="s">
        <v>2811</v>
      </c>
      <c r="AL918" s="297" t="s">
        <v>2812</v>
      </c>
      <c r="AM918" s="296" t="s">
        <v>49</v>
      </c>
      <c r="AN918" s="82" t="s">
        <v>284</v>
      </c>
      <c r="AO918" s="296" t="s">
        <v>285</v>
      </c>
      <c r="AP918" s="296" t="s">
        <v>51</v>
      </c>
      <c r="AQ918" s="296" t="s">
        <v>1346</v>
      </c>
    </row>
    <row r="919" spans="1:43" ht="15.75" customHeight="1">
      <c r="A919" s="69">
        <v>43756</v>
      </c>
      <c r="B919" s="144" t="s">
        <v>377</v>
      </c>
      <c r="C919" s="21" t="s">
        <v>1343</v>
      </c>
      <c r="D919" s="71" t="s">
        <v>1767</v>
      </c>
      <c r="E919" s="32" t="s">
        <v>1349</v>
      </c>
      <c r="F919" s="24">
        <v>3</v>
      </c>
      <c r="G919" s="48">
        <v>121</v>
      </c>
      <c r="H919" s="60">
        <f t="shared" si="95"/>
        <v>363</v>
      </c>
      <c r="I919" s="61" t="s">
        <v>143</v>
      </c>
      <c r="J919" s="58" t="s">
        <v>1107</v>
      </c>
      <c r="K919" s="30">
        <v>43804</v>
      </c>
      <c r="L919" s="30"/>
      <c r="M919" s="30">
        <v>43798</v>
      </c>
      <c r="N919" s="82" t="s">
        <v>2021</v>
      </c>
      <c r="O919" s="93" t="s">
        <v>3164</v>
      </c>
      <c r="P919" s="406"/>
      <c r="Q919" s="406"/>
      <c r="R919" s="406"/>
      <c r="S919" s="406"/>
      <c r="T919" s="22">
        <v>2600</v>
      </c>
      <c r="U919" s="711">
        <f>(T919*3)*1.05</f>
        <v>8190</v>
      </c>
      <c r="V919" s="21" t="s">
        <v>2023</v>
      </c>
      <c r="W919" s="304"/>
      <c r="X919" s="304"/>
      <c r="Y919" s="304"/>
      <c r="Z919" s="304"/>
      <c r="AA919" s="304"/>
      <c r="AB919" s="304" t="s">
        <v>2805</v>
      </c>
      <c r="AC919" s="304" t="s">
        <v>2808</v>
      </c>
      <c r="AD919" s="535"/>
      <c r="AE919" s="304"/>
      <c r="AF919" s="304"/>
      <c r="AG919" s="296"/>
      <c r="AH919" s="304"/>
      <c r="AI919" s="297"/>
      <c r="AJ919" s="298">
        <v>43837</v>
      </c>
      <c r="AK919" s="297" t="s">
        <v>2811</v>
      </c>
      <c r="AL919" s="297" t="s">
        <v>2812</v>
      </c>
      <c r="AM919" s="296" t="s">
        <v>49</v>
      </c>
      <c r="AN919" s="296" t="s">
        <v>284</v>
      </c>
      <c r="AO919" s="296" t="s">
        <v>285</v>
      </c>
      <c r="AP919" s="296" t="s">
        <v>51</v>
      </c>
      <c r="AQ919" s="296" t="s">
        <v>1346</v>
      </c>
    </row>
    <row r="920" spans="1:43" ht="15.75" customHeight="1">
      <c r="A920" s="551">
        <v>43756</v>
      </c>
      <c r="B920" s="70" t="s">
        <v>1768</v>
      </c>
      <c r="C920" s="21"/>
      <c r="D920" s="71" t="s">
        <v>1769</v>
      </c>
      <c r="E920" s="32" t="s">
        <v>1770</v>
      </c>
      <c r="F920" s="24">
        <v>4</v>
      </c>
      <c r="G920" s="48">
        <v>1060</v>
      </c>
      <c r="H920" s="60">
        <f>F920*G920</f>
        <v>4240</v>
      </c>
      <c r="I920" s="61" t="s">
        <v>104</v>
      </c>
      <c r="J920" s="50" t="s">
        <v>1771</v>
      </c>
      <c r="K920" s="29">
        <v>43769</v>
      </c>
      <c r="L920" s="29"/>
      <c r="M920" s="30">
        <v>43767</v>
      </c>
      <c r="N920" s="58" t="s">
        <v>1414</v>
      </c>
      <c r="O920" s="93" t="s">
        <v>3165</v>
      </c>
      <c r="P920" s="406"/>
      <c r="Q920" s="406"/>
      <c r="R920" s="406"/>
      <c r="S920" s="406"/>
      <c r="T920" s="406">
        <v>28588</v>
      </c>
      <c r="U920" s="406">
        <v>120069</v>
      </c>
      <c r="V920" s="415"/>
      <c r="W920" s="303">
        <v>43830</v>
      </c>
      <c r="X920" s="303">
        <v>43767</v>
      </c>
      <c r="Y920" s="304" t="s">
        <v>1772</v>
      </c>
      <c r="Z920" s="304">
        <v>120069</v>
      </c>
      <c r="AA920" s="304"/>
      <c r="AB920" s="304" t="s">
        <v>3166</v>
      </c>
      <c r="AC920" s="304" t="s">
        <v>3167</v>
      </c>
      <c r="AD920" s="535"/>
      <c r="AE920" s="304"/>
      <c r="AF920" s="304"/>
      <c r="AG920" s="296"/>
      <c r="AH920" s="304">
        <v>30.62</v>
      </c>
      <c r="AI920" s="297"/>
      <c r="AJ920" s="29">
        <v>43767</v>
      </c>
      <c r="AK920" s="297">
        <f>4240*30.47</f>
        <v>129192.79999999999</v>
      </c>
      <c r="AL920" s="297">
        <v>0</v>
      </c>
      <c r="AM920" s="296" t="s">
        <v>49</v>
      </c>
      <c r="AN920" s="296" t="s">
        <v>284</v>
      </c>
      <c r="AO920" s="296" t="s">
        <v>50</v>
      </c>
      <c r="AP920" s="296" t="s">
        <v>51</v>
      </c>
      <c r="AQ920" s="457" t="s">
        <v>755</v>
      </c>
    </row>
    <row r="921" spans="1:43" ht="15.75" customHeight="1">
      <c r="A921" s="69">
        <v>43762</v>
      </c>
      <c r="B921" s="70" t="s">
        <v>129</v>
      </c>
      <c r="C921" s="21" t="s">
        <v>1773</v>
      </c>
      <c r="D921" s="71" t="s">
        <v>1774</v>
      </c>
      <c r="E921" s="21" t="s">
        <v>132</v>
      </c>
      <c r="F921" s="24">
        <v>40</v>
      </c>
      <c r="G921" s="48">
        <v>103</v>
      </c>
      <c r="H921" s="60">
        <f t="shared" ref="H921:H925" si="96">G921*F921</f>
        <v>4120</v>
      </c>
      <c r="I921" s="61" t="s">
        <v>143</v>
      </c>
      <c r="J921" s="50" t="s">
        <v>133</v>
      </c>
      <c r="K921" s="30">
        <v>43782</v>
      </c>
      <c r="L921" s="30"/>
      <c r="M921" s="30">
        <v>43782</v>
      </c>
      <c r="N921" s="50" t="s">
        <v>89</v>
      </c>
      <c r="O921" s="93" t="s">
        <v>3168</v>
      </c>
      <c r="P921" s="406">
        <v>96</v>
      </c>
      <c r="Q921" s="406">
        <f>(P921*F921)*1.05</f>
        <v>4032</v>
      </c>
      <c r="R921" s="406"/>
      <c r="S921" s="406"/>
      <c r="T921" s="406"/>
      <c r="U921" s="406">
        <v>122150</v>
      </c>
      <c r="V921" s="35" t="s">
        <v>93</v>
      </c>
      <c r="W921" s="303">
        <v>43830</v>
      </c>
      <c r="X921" s="303">
        <v>43781</v>
      </c>
      <c r="Y921" s="304" t="s">
        <v>1775</v>
      </c>
      <c r="Z921" s="304">
        <v>177976</v>
      </c>
      <c r="AA921" s="304"/>
      <c r="AB921" s="237"/>
      <c r="AC921" s="304">
        <v>5017292066</v>
      </c>
      <c r="AD921" s="535"/>
      <c r="AE921" s="304"/>
      <c r="AF921" s="304"/>
      <c r="AG921" s="296"/>
      <c r="AH921" s="304"/>
      <c r="AI921" s="297"/>
      <c r="AJ921" s="29">
        <v>43797</v>
      </c>
      <c r="AK921" s="297" t="s">
        <v>3145</v>
      </c>
      <c r="AL921" s="297" t="s">
        <v>3145</v>
      </c>
      <c r="AM921" s="296" t="s">
        <v>49</v>
      </c>
      <c r="AN921" s="296" t="s">
        <v>284</v>
      </c>
      <c r="AO921" s="296" t="s">
        <v>50</v>
      </c>
      <c r="AP921" s="296" t="s">
        <v>51</v>
      </c>
      <c r="AQ921" s="457" t="s">
        <v>755</v>
      </c>
    </row>
    <row r="922" spans="1:43" ht="15.75" customHeight="1">
      <c r="A922" s="69">
        <v>43762</v>
      </c>
      <c r="B922" s="70" t="s">
        <v>129</v>
      </c>
      <c r="C922" s="21" t="s">
        <v>1773</v>
      </c>
      <c r="D922" s="71" t="s">
        <v>1774</v>
      </c>
      <c r="E922" s="32" t="s">
        <v>136</v>
      </c>
      <c r="F922" s="24">
        <v>65</v>
      </c>
      <c r="G922" s="48">
        <v>29</v>
      </c>
      <c r="H922" s="60">
        <f t="shared" si="96"/>
        <v>1885</v>
      </c>
      <c r="I922" s="61" t="s">
        <v>143</v>
      </c>
      <c r="J922" s="50" t="s">
        <v>133</v>
      </c>
      <c r="K922" s="30">
        <v>43782</v>
      </c>
      <c r="L922" s="30"/>
      <c r="M922" s="30">
        <v>43782</v>
      </c>
      <c r="N922" s="50" t="s">
        <v>89</v>
      </c>
      <c r="O922" s="93" t="s">
        <v>3168</v>
      </c>
      <c r="P922" s="406">
        <v>27</v>
      </c>
      <c r="Q922" s="406">
        <f>(P922*F922)*1.05</f>
        <v>1842.75</v>
      </c>
      <c r="R922" s="406"/>
      <c r="S922" s="406"/>
      <c r="T922" s="406"/>
      <c r="U922" s="406">
        <v>55826</v>
      </c>
      <c r="V922" s="35" t="s">
        <v>93</v>
      </c>
      <c r="W922" s="303">
        <v>43830</v>
      </c>
      <c r="X922" s="303">
        <v>43781</v>
      </c>
      <c r="Y922" s="304" t="s">
        <v>1775</v>
      </c>
      <c r="Z922" s="304" t="s">
        <v>3169</v>
      </c>
      <c r="AA922" s="304"/>
      <c r="AB922" s="237"/>
      <c r="AC922" s="304">
        <v>5017292066</v>
      </c>
      <c r="AD922" s="535"/>
      <c r="AE922" s="304"/>
      <c r="AF922" s="304"/>
      <c r="AG922" s="296"/>
      <c r="AH922" s="304"/>
      <c r="AI922" s="297"/>
      <c r="AJ922" s="29">
        <v>43797</v>
      </c>
      <c r="AK922" s="297" t="s">
        <v>3145</v>
      </c>
      <c r="AL922" s="297" t="s">
        <v>3145</v>
      </c>
      <c r="AM922" s="296" t="s">
        <v>49</v>
      </c>
      <c r="AN922" s="296" t="s">
        <v>284</v>
      </c>
      <c r="AO922" s="296" t="s">
        <v>50</v>
      </c>
      <c r="AP922" s="296" t="s">
        <v>51</v>
      </c>
      <c r="AQ922" s="457" t="s">
        <v>755</v>
      </c>
    </row>
    <row r="923" spans="1:43" ht="15.75" customHeight="1">
      <c r="A923" s="69">
        <v>43762</v>
      </c>
      <c r="B923" s="70" t="s">
        <v>1097</v>
      </c>
      <c r="C923" s="21"/>
      <c r="D923" s="71" t="s">
        <v>1776</v>
      </c>
      <c r="E923" s="552" t="s">
        <v>1777</v>
      </c>
      <c r="F923" s="24">
        <v>2</v>
      </c>
      <c r="G923" s="48">
        <v>1049</v>
      </c>
      <c r="H923" s="165">
        <f t="shared" si="96"/>
        <v>2098</v>
      </c>
      <c r="I923" s="61" t="s">
        <v>143</v>
      </c>
      <c r="J923" s="50" t="s">
        <v>262</v>
      </c>
      <c r="K923" s="30">
        <v>43790</v>
      </c>
      <c r="L923" s="30"/>
      <c r="M923" s="30">
        <v>43788</v>
      </c>
      <c r="N923" s="58" t="s">
        <v>2043</v>
      </c>
      <c r="O923" s="93" t="s">
        <v>3170</v>
      </c>
      <c r="P923" s="406">
        <v>976</v>
      </c>
      <c r="Q923" s="406">
        <f>(P923*F923)*1.05</f>
        <v>2049.6</v>
      </c>
      <c r="R923" s="406"/>
      <c r="S923" s="406"/>
      <c r="T923" s="406"/>
      <c r="U923" s="406">
        <v>62093</v>
      </c>
      <c r="V923" s="406" t="s">
        <v>2045</v>
      </c>
      <c r="W923" s="460">
        <v>43861</v>
      </c>
      <c r="X923" s="303">
        <v>43787</v>
      </c>
      <c r="Y923" s="304" t="s">
        <v>1778</v>
      </c>
      <c r="Z923" s="304">
        <v>84296</v>
      </c>
      <c r="AA923" s="304"/>
      <c r="AB923" s="304" t="s">
        <v>3171</v>
      </c>
      <c r="AC923" s="304">
        <v>4988762111</v>
      </c>
      <c r="AD923" s="535"/>
      <c r="AE923" s="304"/>
      <c r="AF923" s="304"/>
      <c r="AG923" s="296"/>
      <c r="AH923" s="304">
        <v>30.465</v>
      </c>
      <c r="AI923" s="297"/>
      <c r="AJ923" s="29">
        <v>43766</v>
      </c>
      <c r="AK923" s="297">
        <f>2834.44*30.503</f>
        <v>86458.923320000002</v>
      </c>
      <c r="AL923" s="297">
        <f>(2852-2834.44)*30.503</f>
        <v>535.63267999999835</v>
      </c>
      <c r="AM923" s="296" t="s">
        <v>49</v>
      </c>
      <c r="AN923" s="296" t="s">
        <v>284</v>
      </c>
      <c r="AO923" s="296" t="s">
        <v>50</v>
      </c>
      <c r="AP923" s="296" t="s">
        <v>51</v>
      </c>
      <c r="AQ923" s="457" t="s">
        <v>755</v>
      </c>
    </row>
    <row r="924" spans="1:43" ht="15.75" customHeight="1">
      <c r="A924" s="550">
        <v>43762</v>
      </c>
      <c r="B924" s="70" t="s">
        <v>1097</v>
      </c>
      <c r="C924" s="70"/>
      <c r="D924" s="71" t="s">
        <v>1776</v>
      </c>
      <c r="E924" s="552" t="s">
        <v>1779</v>
      </c>
      <c r="F924" s="130">
        <v>2</v>
      </c>
      <c r="G924" s="25">
        <v>365</v>
      </c>
      <c r="H924" s="165">
        <f t="shared" si="96"/>
        <v>730</v>
      </c>
      <c r="I924" s="61" t="s">
        <v>143</v>
      </c>
      <c r="J924" s="50" t="s">
        <v>262</v>
      </c>
      <c r="K924" s="30">
        <v>43790</v>
      </c>
      <c r="L924" s="30"/>
      <c r="M924" s="30">
        <v>43788</v>
      </c>
      <c r="N924" s="58" t="s">
        <v>2043</v>
      </c>
      <c r="O924" s="93" t="s">
        <v>3170</v>
      </c>
      <c r="P924" s="406">
        <v>339</v>
      </c>
      <c r="Q924" s="406">
        <f>(P924*F924)*1.05</f>
        <v>711.9</v>
      </c>
      <c r="R924" s="406"/>
      <c r="S924" s="406"/>
      <c r="T924" s="406"/>
      <c r="U924" s="406">
        <v>21567</v>
      </c>
      <c r="V924" s="406" t="s">
        <v>2763</v>
      </c>
      <c r="W924" s="460">
        <v>43861</v>
      </c>
      <c r="X924" s="303">
        <v>43787</v>
      </c>
      <c r="Y924" s="304" t="s">
        <v>1778</v>
      </c>
      <c r="Z924" s="304" t="s">
        <v>3172</v>
      </c>
      <c r="AA924" s="304"/>
      <c r="AB924" s="304" t="s">
        <v>3171</v>
      </c>
      <c r="AC924" s="304">
        <v>4988762111</v>
      </c>
      <c r="AD924" s="535"/>
      <c r="AE924" s="304"/>
      <c r="AF924" s="304"/>
      <c r="AG924" s="296"/>
      <c r="AH924" s="304">
        <v>30.465</v>
      </c>
      <c r="AI924" s="297"/>
      <c r="AJ924" s="29">
        <v>43766</v>
      </c>
      <c r="AK924" s="297" t="s">
        <v>3173</v>
      </c>
      <c r="AL924" s="297" t="s">
        <v>3174</v>
      </c>
      <c r="AM924" s="296" t="s">
        <v>49</v>
      </c>
      <c r="AN924" s="296" t="s">
        <v>284</v>
      </c>
      <c r="AO924" s="296" t="s">
        <v>50</v>
      </c>
      <c r="AP924" s="296" t="s">
        <v>51</v>
      </c>
      <c r="AQ924" s="457" t="s">
        <v>755</v>
      </c>
    </row>
    <row r="925" spans="1:43" ht="15.75" customHeight="1">
      <c r="A925" s="69">
        <v>43762</v>
      </c>
      <c r="B925" s="70" t="s">
        <v>1097</v>
      </c>
      <c r="C925" s="21"/>
      <c r="D925" s="71" t="s">
        <v>1776</v>
      </c>
      <c r="E925" s="552" t="s">
        <v>1780</v>
      </c>
      <c r="F925" s="24">
        <v>2</v>
      </c>
      <c r="G925" s="48">
        <v>12</v>
      </c>
      <c r="H925" s="165">
        <f t="shared" si="96"/>
        <v>24</v>
      </c>
      <c r="I925" s="61" t="s">
        <v>143</v>
      </c>
      <c r="J925" s="50" t="s">
        <v>262</v>
      </c>
      <c r="K925" s="30">
        <v>43790</v>
      </c>
      <c r="L925" s="30"/>
      <c r="M925" s="30">
        <v>43788</v>
      </c>
      <c r="N925" s="58" t="s">
        <v>2043</v>
      </c>
      <c r="O925" s="93" t="s">
        <v>3170</v>
      </c>
      <c r="P925" s="406">
        <v>10</v>
      </c>
      <c r="Q925" s="406">
        <f>(P925*F925)*1.05</f>
        <v>21</v>
      </c>
      <c r="R925" s="406"/>
      <c r="S925" s="406"/>
      <c r="T925" s="406"/>
      <c r="U925" s="406">
        <v>636</v>
      </c>
      <c r="V925" s="501" t="s">
        <v>2045</v>
      </c>
      <c r="W925" s="460">
        <v>43861</v>
      </c>
      <c r="X925" s="303">
        <v>43787</v>
      </c>
      <c r="Y925" s="304" t="s">
        <v>1778</v>
      </c>
      <c r="Z925" s="304" t="s">
        <v>3172</v>
      </c>
      <c r="AA925" s="304"/>
      <c r="AB925" s="304" t="s">
        <v>3171</v>
      </c>
      <c r="AC925" s="304">
        <v>4988762111</v>
      </c>
      <c r="AD925" s="535"/>
      <c r="AE925" s="304"/>
      <c r="AF925" s="304"/>
      <c r="AG925" s="296"/>
      <c r="AH925" s="304">
        <v>30.465</v>
      </c>
      <c r="AI925" s="297"/>
      <c r="AJ925" s="29">
        <v>43766</v>
      </c>
      <c r="AK925" s="297" t="s">
        <v>3173</v>
      </c>
      <c r="AL925" s="297" t="s">
        <v>3174</v>
      </c>
      <c r="AM925" s="296" t="s">
        <v>49</v>
      </c>
      <c r="AN925" s="296" t="s">
        <v>284</v>
      </c>
      <c r="AO925" s="296" t="s">
        <v>50</v>
      </c>
      <c r="AP925" s="296" t="s">
        <v>51</v>
      </c>
      <c r="AQ925" s="457" t="s">
        <v>755</v>
      </c>
    </row>
    <row r="926" spans="1:43" ht="15.75" customHeight="1">
      <c r="A926" s="69">
        <v>43763</v>
      </c>
      <c r="B926" s="307" t="s">
        <v>463</v>
      </c>
      <c r="C926" s="406" t="s">
        <v>1781</v>
      </c>
      <c r="D926" s="59" t="s">
        <v>1782</v>
      </c>
      <c r="E926" s="553" t="s">
        <v>1783</v>
      </c>
      <c r="F926" s="54">
        <v>1</v>
      </c>
      <c r="G926" s="48">
        <v>470</v>
      </c>
      <c r="H926" s="26">
        <f>F926*G926</f>
        <v>470</v>
      </c>
      <c r="I926" s="61" t="s">
        <v>104</v>
      </c>
      <c r="J926" s="50" t="s">
        <v>1784</v>
      </c>
      <c r="K926" s="30">
        <v>43795</v>
      </c>
      <c r="L926" s="30"/>
      <c r="M926" s="30">
        <v>43794</v>
      </c>
      <c r="N926" s="50" t="s">
        <v>1512</v>
      </c>
      <c r="O926" s="93">
        <v>2019103000001</v>
      </c>
      <c r="P926" s="406"/>
      <c r="Q926" s="406"/>
      <c r="R926" s="406"/>
      <c r="S926" s="406"/>
      <c r="T926" s="406"/>
      <c r="U926" s="406">
        <v>11820</v>
      </c>
      <c r="V926" s="501"/>
      <c r="W926" s="460">
        <v>43835</v>
      </c>
      <c r="X926" s="303">
        <v>43794</v>
      </c>
      <c r="Y926" s="304" t="s">
        <v>1785</v>
      </c>
      <c r="Z926" s="304">
        <v>11820</v>
      </c>
      <c r="AA926" s="304"/>
      <c r="AB926" s="304" t="s">
        <v>3175</v>
      </c>
      <c r="AC926" s="304">
        <v>104278163</v>
      </c>
      <c r="AD926" s="406">
        <v>30.465</v>
      </c>
      <c r="AE926" s="304"/>
      <c r="AF926" s="304"/>
      <c r="AG926" s="296"/>
      <c r="AH926" s="304"/>
      <c r="AI926" s="297"/>
      <c r="AJ926" s="537"/>
      <c r="AK926" s="297"/>
      <c r="AL926" s="297"/>
      <c r="AM926" s="296" t="s">
        <v>49</v>
      </c>
      <c r="AN926" s="296" t="s">
        <v>284</v>
      </c>
      <c r="AO926" s="296" t="s">
        <v>285</v>
      </c>
      <c r="AP926" s="296" t="s">
        <v>51</v>
      </c>
      <c r="AQ926" s="457" t="s">
        <v>755</v>
      </c>
    </row>
    <row r="927" spans="1:43" ht="15.75" customHeight="1">
      <c r="A927" s="19">
        <v>43763</v>
      </c>
      <c r="B927" s="51" t="s">
        <v>76</v>
      </c>
      <c r="C927" s="21">
        <v>792</v>
      </c>
      <c r="D927" s="59" t="s">
        <v>1786</v>
      </c>
      <c r="E927" s="32" t="s">
        <v>712</v>
      </c>
      <c r="F927" s="82">
        <v>50</v>
      </c>
      <c r="G927" s="47">
        <v>1.9</v>
      </c>
      <c r="H927" s="60">
        <f t="shared" ref="H927:H961" si="97">G927*F927</f>
        <v>95</v>
      </c>
      <c r="I927" s="61" t="s">
        <v>42</v>
      </c>
      <c r="J927" s="82" t="s">
        <v>922</v>
      </c>
      <c r="K927" s="30">
        <v>43769</v>
      </c>
      <c r="L927" s="30"/>
      <c r="M927" s="82" t="s">
        <v>178</v>
      </c>
      <c r="N927" s="50" t="s">
        <v>178</v>
      </c>
      <c r="O927" s="93"/>
      <c r="P927" s="406"/>
      <c r="Q927" s="406">
        <f>(P927*F927)*1.05</f>
        <v>0</v>
      </c>
      <c r="R927" s="406"/>
      <c r="S927" s="406"/>
      <c r="T927" s="406"/>
      <c r="U927" s="406">
        <v>2783</v>
      </c>
      <c r="V927" s="501"/>
      <c r="W927" s="304"/>
      <c r="X927" s="304"/>
      <c r="Y927" s="304"/>
      <c r="Z927" s="304"/>
      <c r="AA927" s="304"/>
      <c r="AB927" s="304"/>
      <c r="AC927" s="304"/>
      <c r="AD927" s="535"/>
      <c r="AE927" s="304"/>
      <c r="AF927" s="304"/>
      <c r="AG927" s="296"/>
      <c r="AH927" s="304"/>
      <c r="AI927" s="297"/>
      <c r="AJ927" s="537"/>
      <c r="AK927" s="298">
        <v>43803</v>
      </c>
      <c r="AL927" s="297"/>
      <c r="AM927" s="296" t="s">
        <v>49</v>
      </c>
      <c r="AN927" s="296" t="s">
        <v>284</v>
      </c>
      <c r="AO927" s="296" t="s">
        <v>50</v>
      </c>
      <c r="AP927" s="296" t="s">
        <v>51</v>
      </c>
      <c r="AQ927" s="457" t="s">
        <v>755</v>
      </c>
    </row>
    <row r="928" spans="1:43" ht="15.75" customHeight="1">
      <c r="A928" s="69">
        <v>43765</v>
      </c>
      <c r="B928" s="307" t="s">
        <v>39</v>
      </c>
      <c r="C928" s="21">
        <v>2031536</v>
      </c>
      <c r="D928" s="59" t="s">
        <v>1787</v>
      </c>
      <c r="E928" s="32" t="s">
        <v>1788</v>
      </c>
      <c r="F928" s="24">
        <v>3</v>
      </c>
      <c r="G928" s="48">
        <v>1335</v>
      </c>
      <c r="H928" s="60">
        <f t="shared" si="97"/>
        <v>4005</v>
      </c>
      <c r="I928" s="61" t="s">
        <v>42</v>
      </c>
      <c r="J928" s="50" t="s">
        <v>1789</v>
      </c>
      <c r="K928" s="30">
        <v>43788</v>
      </c>
      <c r="L928" s="30"/>
      <c r="M928" s="30">
        <v>43787</v>
      </c>
      <c r="N928" s="50" t="s">
        <v>2979</v>
      </c>
      <c r="O928" s="93">
        <v>2019102800001</v>
      </c>
      <c r="P928" s="406"/>
      <c r="Q928" s="406">
        <f>(P928*F928)*1.05</f>
        <v>0</v>
      </c>
      <c r="R928" s="406"/>
      <c r="S928" s="406"/>
      <c r="T928" s="406"/>
      <c r="U928" s="714">
        <f>(988*3*30.49)*1.05</f>
        <v>94890.978000000003</v>
      </c>
      <c r="V928" s="501"/>
      <c r="W928" s="304"/>
      <c r="X928" s="304"/>
      <c r="Y928" s="304"/>
      <c r="Z928" s="304"/>
      <c r="AA928" s="304"/>
      <c r="AB928" s="304" t="s">
        <v>3176</v>
      </c>
      <c r="AC928" s="304" t="s">
        <v>3177</v>
      </c>
      <c r="AD928" s="535"/>
      <c r="AE928" s="304"/>
      <c r="AF928" s="304"/>
      <c r="AG928" s="296"/>
      <c r="AH928" s="304">
        <v>30.295000000000002</v>
      </c>
      <c r="AI928" s="297"/>
      <c r="AJ928" s="298">
        <v>43808</v>
      </c>
      <c r="AK928" s="297">
        <f>4208.43*30.439</f>
        <v>128100.40077000001</v>
      </c>
      <c r="AL928" s="297">
        <f>6.57*30.439</f>
        <v>199.98423</v>
      </c>
      <c r="AM928" s="296" t="s">
        <v>49</v>
      </c>
      <c r="AN928" s="296" t="s">
        <v>284</v>
      </c>
      <c r="AO928" s="296" t="s">
        <v>285</v>
      </c>
      <c r="AP928" s="296" t="s">
        <v>51</v>
      </c>
      <c r="AQ928" s="457" t="s">
        <v>755</v>
      </c>
    </row>
    <row r="929" spans="1:43" ht="15.75" customHeight="1">
      <c r="A929" s="69">
        <v>43765</v>
      </c>
      <c r="B929" s="307" t="s">
        <v>39</v>
      </c>
      <c r="C929" s="21">
        <v>2030683</v>
      </c>
      <c r="D929" s="59" t="s">
        <v>1787</v>
      </c>
      <c r="E929" s="32" t="s">
        <v>1631</v>
      </c>
      <c r="F929" s="24">
        <v>3</v>
      </c>
      <c r="G929" s="48">
        <v>70</v>
      </c>
      <c r="H929" s="60">
        <f t="shared" si="97"/>
        <v>210</v>
      </c>
      <c r="I929" s="61" t="s">
        <v>42</v>
      </c>
      <c r="J929" s="50" t="s">
        <v>1789</v>
      </c>
      <c r="K929" s="30">
        <v>43788</v>
      </c>
      <c r="L929" s="30"/>
      <c r="M929" s="50" t="s">
        <v>178</v>
      </c>
      <c r="N929" s="50" t="s">
        <v>178</v>
      </c>
      <c r="O929" s="93"/>
      <c r="P929" s="406"/>
      <c r="Q929" s="406">
        <f>(P929*F929)*1.05</f>
        <v>0</v>
      </c>
      <c r="R929" s="406"/>
      <c r="S929" s="406"/>
      <c r="T929" s="406"/>
      <c r="U929" s="714">
        <f>(1413*3)*1.05</f>
        <v>4450.95</v>
      </c>
      <c r="V929" s="501"/>
      <c r="W929" s="304"/>
      <c r="X929" s="304"/>
      <c r="Y929" s="304"/>
      <c r="Z929" s="304"/>
      <c r="AA929" s="304"/>
      <c r="AB929" s="304" t="s">
        <v>3176</v>
      </c>
      <c r="AC929" s="304" t="s">
        <v>3177</v>
      </c>
      <c r="AD929" s="535"/>
      <c r="AE929" s="304"/>
      <c r="AF929" s="304"/>
      <c r="AG929" s="296"/>
      <c r="AH929" s="304">
        <v>30.295000000000002</v>
      </c>
      <c r="AI929" s="297"/>
      <c r="AJ929" s="298">
        <v>43808</v>
      </c>
      <c r="AK929" s="297" t="s">
        <v>3178</v>
      </c>
      <c r="AL929" s="297" t="s">
        <v>3179</v>
      </c>
      <c r="AM929" s="296" t="s">
        <v>49</v>
      </c>
      <c r="AN929" s="296" t="s">
        <v>284</v>
      </c>
      <c r="AO929" s="296" t="s">
        <v>285</v>
      </c>
      <c r="AP929" s="296" t="s">
        <v>51</v>
      </c>
      <c r="AQ929" s="457" t="s">
        <v>755</v>
      </c>
    </row>
    <row r="930" spans="1:43" ht="15.75" customHeight="1">
      <c r="A930" s="110">
        <v>43767</v>
      </c>
      <c r="B930" s="72" t="s">
        <v>405</v>
      </c>
      <c r="C930" s="71">
        <v>7000151328</v>
      </c>
      <c r="D930" s="71" t="s">
        <v>1790</v>
      </c>
      <c r="E930" s="72" t="s">
        <v>518</v>
      </c>
      <c r="F930" s="114">
        <v>50</v>
      </c>
      <c r="G930" s="115">
        <v>141.80000000000001</v>
      </c>
      <c r="H930" s="60">
        <f t="shared" si="97"/>
        <v>7090.0000000000009</v>
      </c>
      <c r="I930" s="61" t="s">
        <v>42</v>
      </c>
      <c r="J930" s="50" t="s">
        <v>512</v>
      </c>
      <c r="K930" s="30">
        <v>43769</v>
      </c>
      <c r="L930" s="30"/>
      <c r="M930" s="29">
        <v>43769</v>
      </c>
      <c r="N930" s="58" t="s">
        <v>2043</v>
      </c>
      <c r="O930" s="93" t="s">
        <v>3180</v>
      </c>
      <c r="P930" s="406"/>
      <c r="Q930" s="406">
        <f>(P930*F930)*1.05</f>
        <v>0</v>
      </c>
      <c r="R930" s="406"/>
      <c r="S930" s="406"/>
      <c r="T930" s="406"/>
      <c r="U930" s="406">
        <v>207585</v>
      </c>
      <c r="V930" s="501" t="s">
        <v>2045</v>
      </c>
      <c r="W930" s="460">
        <v>43861</v>
      </c>
      <c r="X930" s="303">
        <v>43768</v>
      </c>
      <c r="Y930" s="304" t="s">
        <v>1791</v>
      </c>
      <c r="Z930" s="304">
        <v>207585</v>
      </c>
      <c r="AA930" s="304"/>
      <c r="AB930" s="304" t="s">
        <v>3181</v>
      </c>
      <c r="AC930" s="304">
        <v>6446859506</v>
      </c>
      <c r="AD930" s="535"/>
      <c r="AE930" s="304"/>
      <c r="AF930" s="304"/>
      <c r="AG930" s="296"/>
      <c r="AH930" s="304">
        <v>30.62</v>
      </c>
      <c r="AI930" s="297"/>
      <c r="AJ930" s="298">
        <v>43805</v>
      </c>
      <c r="AK930" s="297">
        <f>7061.43*30.44</f>
        <v>214949.92920000001</v>
      </c>
      <c r="AL930" s="297">
        <f>(7090-7061.43)*30.44</f>
        <v>869.67079999999123</v>
      </c>
      <c r="AM930" s="296" t="s">
        <v>49</v>
      </c>
      <c r="AN930" s="296" t="s">
        <v>284</v>
      </c>
      <c r="AO930" s="296" t="s">
        <v>50</v>
      </c>
      <c r="AP930" s="296" t="s">
        <v>51</v>
      </c>
      <c r="AQ930" s="457" t="s">
        <v>755</v>
      </c>
    </row>
    <row r="931" spans="1:43" ht="15.75" customHeight="1">
      <c r="A931" s="69">
        <v>43767</v>
      </c>
      <c r="B931" s="70" t="s">
        <v>100</v>
      </c>
      <c r="C931" s="21" t="s">
        <v>1792</v>
      </c>
      <c r="D931" s="80" t="s">
        <v>1793</v>
      </c>
      <c r="E931" s="23" t="s">
        <v>1794</v>
      </c>
      <c r="F931" s="24">
        <v>5</v>
      </c>
      <c r="G931" s="48">
        <v>576</v>
      </c>
      <c r="H931" s="60">
        <f t="shared" si="97"/>
        <v>2880</v>
      </c>
      <c r="I931" s="61" t="s">
        <v>104</v>
      </c>
      <c r="J931" s="50" t="s">
        <v>1042</v>
      </c>
      <c r="K931" s="29">
        <v>43790</v>
      </c>
      <c r="L931" s="29"/>
      <c r="M931" s="30">
        <v>43781</v>
      </c>
      <c r="N931" s="82" t="s">
        <v>3182</v>
      </c>
      <c r="O931" s="93" t="s">
        <v>3183</v>
      </c>
      <c r="P931" s="406"/>
      <c r="Q931" s="406"/>
      <c r="R931" s="406"/>
      <c r="S931" s="406"/>
      <c r="T931" s="406">
        <v>80905</v>
      </c>
      <c r="U931" s="406">
        <v>84950</v>
      </c>
      <c r="V931" s="501"/>
      <c r="W931" s="303">
        <v>43830</v>
      </c>
      <c r="X931" s="303">
        <v>43780</v>
      </c>
      <c r="Y931" s="304" t="s">
        <v>1795</v>
      </c>
      <c r="Z931" s="304">
        <v>150293</v>
      </c>
      <c r="AA931" s="304"/>
      <c r="AB931" s="304" t="s">
        <v>3184</v>
      </c>
      <c r="AC931" s="304">
        <v>1594616741</v>
      </c>
      <c r="AD931" s="535"/>
      <c r="AE931" s="304"/>
      <c r="AF931" s="304"/>
      <c r="AG931" s="296"/>
      <c r="AH931" s="304">
        <v>30.465</v>
      </c>
      <c r="AI931" s="297"/>
      <c r="AJ931" s="298">
        <v>43845</v>
      </c>
      <c r="AK931" s="297">
        <f>8799.3*29.852</f>
        <v>262676.70360000001</v>
      </c>
      <c r="AL931" s="297">
        <f>(8853-8799.3)*29.852</f>
        <v>1603.0524000000216</v>
      </c>
      <c r="AM931" s="296" t="s">
        <v>49</v>
      </c>
      <c r="AN931" s="296" t="s">
        <v>284</v>
      </c>
      <c r="AO931" s="296" t="s">
        <v>50</v>
      </c>
      <c r="AP931" s="296" t="s">
        <v>51</v>
      </c>
      <c r="AQ931" s="457" t="s">
        <v>755</v>
      </c>
    </row>
    <row r="932" spans="1:43" ht="15.75" customHeight="1">
      <c r="A932" s="69">
        <v>43767</v>
      </c>
      <c r="B932" s="70" t="s">
        <v>100</v>
      </c>
      <c r="C932" s="21" t="s">
        <v>1792</v>
      </c>
      <c r="D932" s="80" t="s">
        <v>1793</v>
      </c>
      <c r="E932" s="32" t="s">
        <v>1796</v>
      </c>
      <c r="F932" s="24">
        <v>5</v>
      </c>
      <c r="G932" s="48">
        <v>225</v>
      </c>
      <c r="H932" s="60">
        <f t="shared" si="97"/>
        <v>1125</v>
      </c>
      <c r="I932" s="61" t="s">
        <v>104</v>
      </c>
      <c r="J932" s="50" t="s">
        <v>1042</v>
      </c>
      <c r="K932" s="29">
        <v>43790</v>
      </c>
      <c r="L932" s="29"/>
      <c r="M932" s="30">
        <v>43783</v>
      </c>
      <c r="N932" s="50" t="s">
        <v>106</v>
      </c>
      <c r="O932" s="93" t="s">
        <v>3185</v>
      </c>
      <c r="P932" s="406">
        <v>195</v>
      </c>
      <c r="Q932" s="406">
        <f>(P932*F932)*1.05</f>
        <v>1023.75</v>
      </c>
      <c r="R932" s="406"/>
      <c r="S932" s="406"/>
      <c r="T932" s="620">
        <f>P932*30.5</f>
        <v>5947.5</v>
      </c>
      <c r="U932" s="620">
        <v>31225</v>
      </c>
      <c r="V932" s="501"/>
      <c r="W932" s="460">
        <v>43830</v>
      </c>
      <c r="X932" s="303">
        <v>43783</v>
      </c>
      <c r="Y932" s="304" t="s">
        <v>1797</v>
      </c>
      <c r="Z932" s="304">
        <v>31225</v>
      </c>
      <c r="AA932" s="304"/>
      <c r="AB932" s="304" t="s">
        <v>3184</v>
      </c>
      <c r="AC932" s="304">
        <v>1594616741</v>
      </c>
      <c r="AD932" s="535"/>
      <c r="AE932" s="304"/>
      <c r="AF932" s="304"/>
      <c r="AG932" s="296"/>
      <c r="AH932" s="515">
        <v>30.465</v>
      </c>
      <c r="AI932" s="297"/>
      <c r="AJ932" s="298">
        <v>43845</v>
      </c>
      <c r="AK932" s="297" t="s">
        <v>3173</v>
      </c>
      <c r="AL932" s="297" t="s">
        <v>3186</v>
      </c>
      <c r="AM932" s="296" t="s">
        <v>49</v>
      </c>
      <c r="AN932" s="296" t="s">
        <v>284</v>
      </c>
      <c r="AO932" s="296" t="s">
        <v>50</v>
      </c>
      <c r="AP932" s="296" t="s">
        <v>51</v>
      </c>
      <c r="AQ932" s="457" t="s">
        <v>755</v>
      </c>
    </row>
    <row r="933" spans="1:43" ht="15.75" customHeight="1">
      <c r="A933" s="69">
        <v>43767</v>
      </c>
      <c r="B933" s="70" t="s">
        <v>100</v>
      </c>
      <c r="C933" s="21" t="s">
        <v>1792</v>
      </c>
      <c r="D933" s="80" t="s">
        <v>1793</v>
      </c>
      <c r="E933" s="32" t="s">
        <v>1798</v>
      </c>
      <c r="F933" s="24">
        <v>5</v>
      </c>
      <c r="G933" s="48">
        <v>54</v>
      </c>
      <c r="H933" s="60">
        <f t="shared" si="97"/>
        <v>270</v>
      </c>
      <c r="I933" s="61" t="s">
        <v>104</v>
      </c>
      <c r="J933" s="50" t="s">
        <v>1042</v>
      </c>
      <c r="K933" s="29">
        <v>43790</v>
      </c>
      <c r="L933" s="29"/>
      <c r="M933" s="30">
        <v>43769</v>
      </c>
      <c r="N933" s="58" t="s">
        <v>3187</v>
      </c>
      <c r="O933" s="93" t="s">
        <v>3188</v>
      </c>
      <c r="P933" s="406"/>
      <c r="Q933" s="406"/>
      <c r="R933" s="406"/>
      <c r="S933" s="406"/>
      <c r="T933" s="406">
        <v>1088.8499999999999</v>
      </c>
      <c r="U933" s="406">
        <v>5716</v>
      </c>
      <c r="V933" s="51" t="s">
        <v>1954</v>
      </c>
      <c r="W933" s="460">
        <v>43804</v>
      </c>
      <c r="X933" s="303">
        <v>43769</v>
      </c>
      <c r="Y933" s="304" t="s">
        <v>1799</v>
      </c>
      <c r="Z933" s="304">
        <v>5716</v>
      </c>
      <c r="AA933" s="304"/>
      <c r="AB933" s="304" t="s">
        <v>3184</v>
      </c>
      <c r="AC933" s="304">
        <v>1594616741</v>
      </c>
      <c r="AD933" s="535"/>
      <c r="AE933" s="304"/>
      <c r="AF933" s="304"/>
      <c r="AG933" s="296"/>
      <c r="AH933" s="515">
        <v>30.465</v>
      </c>
      <c r="AI933" s="297"/>
      <c r="AJ933" s="298">
        <v>43845</v>
      </c>
      <c r="AK933" s="297" t="s">
        <v>3173</v>
      </c>
      <c r="AL933" s="297" t="s">
        <v>3186</v>
      </c>
      <c r="AM933" s="296" t="s">
        <v>49</v>
      </c>
      <c r="AN933" s="296" t="s">
        <v>284</v>
      </c>
      <c r="AO933" s="296" t="s">
        <v>50</v>
      </c>
      <c r="AP933" s="296" t="s">
        <v>51</v>
      </c>
      <c r="AQ933" s="457" t="s">
        <v>755</v>
      </c>
    </row>
    <row r="934" spans="1:43" ht="15.75" customHeight="1">
      <c r="A934" s="69">
        <v>43767</v>
      </c>
      <c r="B934" s="70" t="s">
        <v>100</v>
      </c>
      <c r="C934" s="21" t="s">
        <v>1800</v>
      </c>
      <c r="D934" s="73" t="s">
        <v>1801</v>
      </c>
      <c r="E934" s="32" t="s">
        <v>1802</v>
      </c>
      <c r="F934" s="24">
        <v>3</v>
      </c>
      <c r="G934" s="48">
        <v>339</v>
      </c>
      <c r="H934" s="216">
        <f t="shared" si="97"/>
        <v>1017</v>
      </c>
      <c r="I934" s="61" t="s">
        <v>104</v>
      </c>
      <c r="J934" s="50" t="s">
        <v>1042</v>
      </c>
      <c r="K934" s="29">
        <v>43790</v>
      </c>
      <c r="L934" s="29"/>
      <c r="M934" s="30">
        <v>43781</v>
      </c>
      <c r="N934" s="82" t="s">
        <v>3182</v>
      </c>
      <c r="O934" s="725" t="s">
        <v>3189</v>
      </c>
      <c r="P934" s="82"/>
      <c r="Q934" s="47"/>
      <c r="R934" s="47"/>
      <c r="S934" s="47"/>
      <c r="T934" s="468">
        <v>26835</v>
      </c>
      <c r="U934" s="406">
        <v>28177</v>
      </c>
      <c r="V934" s="405" t="s">
        <v>0</v>
      </c>
      <c r="W934" s="303">
        <v>43830</v>
      </c>
      <c r="X934" s="303">
        <v>43780</v>
      </c>
      <c r="Y934" s="304" t="s">
        <v>1795</v>
      </c>
      <c r="Z934" s="21" t="s">
        <v>3190</v>
      </c>
      <c r="AA934" s="554"/>
      <c r="AB934" s="304" t="s">
        <v>3184</v>
      </c>
      <c r="AC934" s="304">
        <v>1594616741</v>
      </c>
      <c r="AD934" s="535"/>
      <c r="AE934" s="296" t="s">
        <v>0</v>
      </c>
      <c r="AF934" s="50" t="s">
        <v>0</v>
      </c>
      <c r="AG934" s="30"/>
      <c r="AH934" s="515">
        <v>30.465</v>
      </c>
      <c r="AI934" s="21"/>
      <c r="AJ934" s="298">
        <v>43845</v>
      </c>
      <c r="AK934" s="297" t="s">
        <v>3173</v>
      </c>
      <c r="AL934" s="297" t="s">
        <v>3186</v>
      </c>
      <c r="AM934" s="296" t="s">
        <v>49</v>
      </c>
      <c r="AN934" s="296" t="s">
        <v>284</v>
      </c>
      <c r="AO934" s="296" t="s">
        <v>50</v>
      </c>
      <c r="AP934" s="296" t="s">
        <v>51</v>
      </c>
      <c r="AQ934" s="457" t="s">
        <v>755</v>
      </c>
    </row>
    <row r="935" spans="1:43" ht="15.75" customHeight="1">
      <c r="A935" s="69">
        <v>43767</v>
      </c>
      <c r="B935" s="70" t="s">
        <v>100</v>
      </c>
      <c r="C935" s="21" t="s">
        <v>1800</v>
      </c>
      <c r="D935" s="73" t="s">
        <v>1801</v>
      </c>
      <c r="E935" s="32" t="s">
        <v>1803</v>
      </c>
      <c r="F935" s="24">
        <v>3</v>
      </c>
      <c r="G935" s="48">
        <v>322</v>
      </c>
      <c r="H935" s="60">
        <f t="shared" si="97"/>
        <v>966</v>
      </c>
      <c r="I935" s="61" t="s">
        <v>104</v>
      </c>
      <c r="J935" s="50" t="s">
        <v>1042</v>
      </c>
      <c r="K935" s="29">
        <v>43790</v>
      </c>
      <c r="L935" s="29"/>
      <c r="M935" s="30">
        <v>43781</v>
      </c>
      <c r="N935" s="82" t="s">
        <v>3182</v>
      </c>
      <c r="O935" s="725" t="s">
        <v>3189</v>
      </c>
      <c r="P935" s="406"/>
      <c r="Q935" s="406">
        <f t="shared" ref="Q935:Q946" si="98">(P935*F935)*1.05</f>
        <v>0</v>
      </c>
      <c r="R935" s="406"/>
      <c r="S935" s="406"/>
      <c r="T935" s="406">
        <v>25920</v>
      </c>
      <c r="U935" s="406">
        <v>27216</v>
      </c>
      <c r="V935" s="501"/>
      <c r="W935" s="303">
        <v>43830</v>
      </c>
      <c r="X935" s="303">
        <v>43780</v>
      </c>
      <c r="Y935" s="304" t="s">
        <v>1795</v>
      </c>
      <c r="Z935" s="21" t="s">
        <v>3190</v>
      </c>
      <c r="AA935" s="304"/>
      <c r="AB935" s="304" t="s">
        <v>3184</v>
      </c>
      <c r="AC935" s="304">
        <v>1594616741</v>
      </c>
      <c r="AD935" s="535"/>
      <c r="AE935" s="304"/>
      <c r="AF935" s="304"/>
      <c r="AG935" s="296"/>
      <c r="AH935" s="515">
        <v>30.465</v>
      </c>
      <c r="AI935" s="297"/>
      <c r="AJ935" s="298">
        <v>43845</v>
      </c>
      <c r="AK935" s="297" t="s">
        <v>3173</v>
      </c>
      <c r="AL935" s="297" t="s">
        <v>3186</v>
      </c>
      <c r="AM935" s="296" t="s">
        <v>49</v>
      </c>
      <c r="AN935" s="296" t="s">
        <v>284</v>
      </c>
      <c r="AO935" s="296" t="s">
        <v>50</v>
      </c>
      <c r="AP935" s="296" t="s">
        <v>51</v>
      </c>
      <c r="AQ935" s="457" t="s">
        <v>755</v>
      </c>
    </row>
    <row r="936" spans="1:43" ht="15.75" customHeight="1">
      <c r="A936" s="69">
        <v>43767</v>
      </c>
      <c r="B936" s="70" t="s">
        <v>100</v>
      </c>
      <c r="C936" s="21" t="s">
        <v>1800</v>
      </c>
      <c r="D936" s="73" t="s">
        <v>1801</v>
      </c>
      <c r="E936" s="32" t="s">
        <v>1804</v>
      </c>
      <c r="F936" s="24">
        <v>6</v>
      </c>
      <c r="G936" s="48">
        <v>42</v>
      </c>
      <c r="H936" s="60">
        <f t="shared" si="97"/>
        <v>252</v>
      </c>
      <c r="I936" s="61" t="s">
        <v>104</v>
      </c>
      <c r="J936" s="50" t="s">
        <v>1042</v>
      </c>
      <c r="K936" s="29">
        <v>43790</v>
      </c>
      <c r="L936" s="29"/>
      <c r="M936" s="30">
        <v>43770</v>
      </c>
      <c r="N936" s="58" t="s">
        <v>3187</v>
      </c>
      <c r="O936" s="21" t="s">
        <v>3191</v>
      </c>
      <c r="P936" s="350">
        <v>39.700000000000003</v>
      </c>
      <c r="Q936" s="406">
        <f t="shared" si="98"/>
        <v>250.11000000000004</v>
      </c>
      <c r="R936" s="406"/>
      <c r="S936" s="406"/>
      <c r="T936" s="468">
        <v>1210</v>
      </c>
      <c r="U936" s="620">
        <v>7623</v>
      </c>
      <c r="V936" s="51" t="s">
        <v>1954</v>
      </c>
      <c r="W936" s="30">
        <v>43804</v>
      </c>
      <c r="X936" s="555">
        <v>43770</v>
      </c>
      <c r="Y936" s="21" t="s">
        <v>1805</v>
      </c>
      <c r="Z936" s="21">
        <v>7623</v>
      </c>
      <c r="AA936" s="554"/>
      <c r="AB936" s="304" t="s">
        <v>3184</v>
      </c>
      <c r="AC936" s="304">
        <v>1594616741</v>
      </c>
      <c r="AD936" s="535"/>
      <c r="AE936" s="296" t="s">
        <v>0</v>
      </c>
      <c r="AF936" s="50" t="s">
        <v>0</v>
      </c>
      <c r="AG936" s="30"/>
      <c r="AH936" s="515">
        <v>30.465</v>
      </c>
      <c r="AI936" s="21"/>
      <c r="AJ936" s="298">
        <v>43845</v>
      </c>
      <c r="AK936" s="297" t="s">
        <v>3173</v>
      </c>
      <c r="AL936" s="297" t="s">
        <v>3186</v>
      </c>
      <c r="AM936" s="296" t="s">
        <v>49</v>
      </c>
      <c r="AN936" s="296" t="s">
        <v>284</v>
      </c>
      <c r="AO936" s="296" t="s">
        <v>50</v>
      </c>
      <c r="AP936" s="296" t="s">
        <v>51</v>
      </c>
      <c r="AQ936" s="457" t="s">
        <v>755</v>
      </c>
    </row>
    <row r="937" spans="1:43" ht="15.75" customHeight="1">
      <c r="A937" s="69">
        <v>43767</v>
      </c>
      <c r="B937" s="70" t="s">
        <v>100</v>
      </c>
      <c r="C937" s="21" t="s">
        <v>1806</v>
      </c>
      <c r="D937" s="71" t="s">
        <v>1807</v>
      </c>
      <c r="E937" s="32" t="s">
        <v>1808</v>
      </c>
      <c r="F937" s="24">
        <v>2</v>
      </c>
      <c r="G937" s="48">
        <v>994</v>
      </c>
      <c r="H937" s="60">
        <f t="shared" si="97"/>
        <v>1988</v>
      </c>
      <c r="I937" s="61" t="s">
        <v>104</v>
      </c>
      <c r="J937" s="50" t="s">
        <v>1042</v>
      </c>
      <c r="K937" s="29">
        <v>43790</v>
      </c>
      <c r="L937" s="1472"/>
      <c r="M937" s="726">
        <v>43783</v>
      </c>
      <c r="N937" s="50" t="s">
        <v>3192</v>
      </c>
      <c r="O937" s="93" t="s">
        <v>3193</v>
      </c>
      <c r="P937" s="406"/>
      <c r="Q937" s="406">
        <f t="shared" si="98"/>
        <v>0</v>
      </c>
      <c r="R937" s="406"/>
      <c r="S937" s="406"/>
      <c r="T937" s="406"/>
      <c r="U937" s="406">
        <v>56612</v>
      </c>
      <c r="V937" s="501"/>
      <c r="W937" s="460">
        <v>43804</v>
      </c>
      <c r="X937" s="303">
        <v>43782</v>
      </c>
      <c r="Y937" s="304" t="s">
        <v>1809</v>
      </c>
      <c r="Z937" s="304">
        <v>56612</v>
      </c>
      <c r="AA937" s="304"/>
      <c r="AB937" s="304" t="s">
        <v>3184</v>
      </c>
      <c r="AC937" s="304">
        <v>1594616741</v>
      </c>
      <c r="AD937" s="535"/>
      <c r="AE937" s="304"/>
      <c r="AF937" s="304"/>
      <c r="AG937" s="296"/>
      <c r="AH937" s="515">
        <v>30.465</v>
      </c>
      <c r="AI937" s="297"/>
      <c r="AJ937" s="298">
        <v>43845</v>
      </c>
      <c r="AK937" s="297" t="s">
        <v>3173</v>
      </c>
      <c r="AL937" s="297" t="s">
        <v>3186</v>
      </c>
      <c r="AM937" s="296" t="s">
        <v>49</v>
      </c>
      <c r="AN937" s="296" t="s">
        <v>284</v>
      </c>
      <c r="AO937" s="296" t="s">
        <v>50</v>
      </c>
      <c r="AP937" s="296" t="s">
        <v>51</v>
      </c>
      <c r="AQ937" s="457" t="s">
        <v>755</v>
      </c>
    </row>
    <row r="938" spans="1:43" ht="15.75" customHeight="1">
      <c r="A938" s="69">
        <v>43768</v>
      </c>
      <c r="B938" s="23" t="s">
        <v>405</v>
      </c>
      <c r="C938" s="21">
        <v>7000151353</v>
      </c>
      <c r="D938" s="71" t="s">
        <v>1810</v>
      </c>
      <c r="E938" s="32" t="s">
        <v>518</v>
      </c>
      <c r="F938" s="24">
        <v>1</v>
      </c>
      <c r="G938" s="48">
        <v>141.80000000000001</v>
      </c>
      <c r="H938" s="216">
        <f t="shared" si="97"/>
        <v>141.80000000000001</v>
      </c>
      <c r="I938" s="61" t="s">
        <v>42</v>
      </c>
      <c r="J938" s="50" t="s">
        <v>512</v>
      </c>
      <c r="K938" s="30">
        <v>43774</v>
      </c>
      <c r="L938" s="30"/>
      <c r="M938" s="29">
        <v>43773</v>
      </c>
      <c r="N938" s="58" t="s">
        <v>2043</v>
      </c>
      <c r="O938" s="93" t="s">
        <v>3194</v>
      </c>
      <c r="P938" s="406"/>
      <c r="Q938" s="406">
        <f t="shared" si="98"/>
        <v>0</v>
      </c>
      <c r="R938" s="409"/>
      <c r="S938" s="409"/>
      <c r="T938" s="409">
        <v>3954</v>
      </c>
      <c r="U938" s="501">
        <v>4152</v>
      </c>
      <c r="V938" s="406" t="s">
        <v>2045</v>
      </c>
      <c r="W938" s="556">
        <v>43861</v>
      </c>
      <c r="X938" s="557">
        <v>43770</v>
      </c>
      <c r="Y938" s="304" t="s">
        <v>1811</v>
      </c>
      <c r="Z938" s="515">
        <v>6262</v>
      </c>
      <c r="AA938" s="304"/>
      <c r="AB938" s="723" t="s">
        <v>3158</v>
      </c>
      <c r="AC938" s="304">
        <v>1921859726</v>
      </c>
      <c r="AD938" s="535">
        <v>30.52</v>
      </c>
      <c r="AE938" s="712"/>
      <c r="AF938" s="304"/>
      <c r="AG938" s="558"/>
      <c r="AH938" s="515">
        <v>30.52</v>
      </c>
      <c r="AI938" s="297"/>
      <c r="AJ938" s="29">
        <v>43812</v>
      </c>
      <c r="AK938" s="297" t="s">
        <v>3159</v>
      </c>
      <c r="AL938" s="297" t="s">
        <v>3160</v>
      </c>
      <c r="AM938" s="296" t="s">
        <v>49</v>
      </c>
      <c r="AN938" s="296" t="s">
        <v>284</v>
      </c>
      <c r="AO938" s="296" t="s">
        <v>50</v>
      </c>
      <c r="AP938" s="296" t="s">
        <v>51</v>
      </c>
      <c r="AQ938" s="457" t="s">
        <v>755</v>
      </c>
    </row>
    <row r="939" spans="1:43" ht="15.75" customHeight="1">
      <c r="A939" s="69">
        <v>43768</v>
      </c>
      <c r="B939" s="23" t="s">
        <v>405</v>
      </c>
      <c r="C939" s="21">
        <v>7000151353</v>
      </c>
      <c r="D939" s="71" t="s">
        <v>1810</v>
      </c>
      <c r="E939" s="32" t="s">
        <v>944</v>
      </c>
      <c r="F939" s="24">
        <v>1</v>
      </c>
      <c r="G939" s="48">
        <v>74</v>
      </c>
      <c r="H939" s="60">
        <f t="shared" si="97"/>
        <v>74</v>
      </c>
      <c r="I939" s="61" t="s">
        <v>42</v>
      </c>
      <c r="J939" s="50" t="s">
        <v>512</v>
      </c>
      <c r="K939" s="30">
        <v>43774</v>
      </c>
      <c r="L939" s="30"/>
      <c r="M939" s="29">
        <v>43773</v>
      </c>
      <c r="N939" s="58" t="s">
        <v>2043</v>
      </c>
      <c r="O939" s="93" t="s">
        <v>3194</v>
      </c>
      <c r="P939" s="406"/>
      <c r="Q939" s="406">
        <f t="shared" si="98"/>
        <v>0</v>
      </c>
      <c r="R939" s="406"/>
      <c r="S939" s="406"/>
      <c r="T939" s="406">
        <v>2010</v>
      </c>
      <c r="U939" s="406">
        <v>2110</v>
      </c>
      <c r="V939" s="501" t="s">
        <v>2045</v>
      </c>
      <c r="W939" s="460">
        <v>43861</v>
      </c>
      <c r="X939" s="460">
        <v>43770</v>
      </c>
      <c r="Y939" s="304" t="s">
        <v>1811</v>
      </c>
      <c r="Z939" s="304" t="s">
        <v>3195</v>
      </c>
      <c r="AA939" s="304"/>
      <c r="AB939" s="723" t="s">
        <v>3158</v>
      </c>
      <c r="AC939" s="304">
        <v>1921859726</v>
      </c>
      <c r="AD939" s="535">
        <v>30.52</v>
      </c>
      <c r="AE939" s="304"/>
      <c r="AF939" s="304"/>
      <c r="AG939" s="296"/>
      <c r="AH939" s="304">
        <v>30.52</v>
      </c>
      <c r="AI939" s="297"/>
      <c r="AJ939" s="29">
        <v>43812</v>
      </c>
      <c r="AK939" s="297" t="s">
        <v>3159</v>
      </c>
      <c r="AL939" s="297" t="s">
        <v>3160</v>
      </c>
      <c r="AM939" s="296" t="s">
        <v>49</v>
      </c>
      <c r="AN939" s="296" t="s">
        <v>284</v>
      </c>
      <c r="AO939" s="296" t="s">
        <v>50</v>
      </c>
      <c r="AP939" s="296" t="s">
        <v>51</v>
      </c>
      <c r="AQ939" s="457" t="s">
        <v>755</v>
      </c>
    </row>
    <row r="940" spans="1:43" ht="15.75" customHeight="1">
      <c r="A940" s="69">
        <v>43768</v>
      </c>
      <c r="B940" s="70" t="s">
        <v>222</v>
      </c>
      <c r="C940" s="21" t="s">
        <v>1812</v>
      </c>
      <c r="D940" s="71" t="s">
        <v>1813</v>
      </c>
      <c r="E940" s="32" t="s">
        <v>1814</v>
      </c>
      <c r="F940" s="24">
        <v>3</v>
      </c>
      <c r="G940" s="48">
        <v>434.7</v>
      </c>
      <c r="H940" s="60">
        <f t="shared" si="97"/>
        <v>1304.0999999999999</v>
      </c>
      <c r="I940" s="61" t="s">
        <v>143</v>
      </c>
      <c r="J940" s="50" t="s">
        <v>89</v>
      </c>
      <c r="K940" s="30">
        <v>43788</v>
      </c>
      <c r="L940" s="1475"/>
      <c r="M940" s="726">
        <v>43788</v>
      </c>
      <c r="N940" s="50" t="s">
        <v>89</v>
      </c>
      <c r="O940" s="727" t="s">
        <v>3196</v>
      </c>
      <c r="P940" s="406">
        <v>377</v>
      </c>
      <c r="Q940" s="406">
        <f t="shared" si="98"/>
        <v>1187.55</v>
      </c>
      <c r="R940" s="409"/>
      <c r="S940" s="409"/>
      <c r="T940" s="409"/>
      <c r="U940" s="406">
        <v>35976</v>
      </c>
      <c r="V940" s="51" t="s">
        <v>93</v>
      </c>
      <c r="W940" s="559">
        <v>43830</v>
      </c>
      <c r="X940" s="560">
        <v>43785</v>
      </c>
      <c r="Y940" s="304" t="s">
        <v>1815</v>
      </c>
      <c r="Z940" s="561">
        <v>37885</v>
      </c>
      <c r="AA940" s="304"/>
      <c r="AB940" s="304" t="s">
        <v>3197</v>
      </c>
      <c r="AC940" s="304" t="s">
        <v>3198</v>
      </c>
      <c r="AD940" s="535">
        <v>30.49</v>
      </c>
      <c r="AE940" s="719">
        <v>42452</v>
      </c>
      <c r="AF940" s="303">
        <v>43787</v>
      </c>
      <c r="AG940" s="558"/>
      <c r="AH940" s="515">
        <v>30.49</v>
      </c>
      <c r="AI940" s="297"/>
      <c r="AJ940" s="29">
        <v>43809</v>
      </c>
      <c r="AK940" s="297" t="s">
        <v>3153</v>
      </c>
      <c r="AL940" s="297" t="s">
        <v>3154</v>
      </c>
      <c r="AM940" s="296" t="s">
        <v>49</v>
      </c>
      <c r="AN940" s="296" t="s">
        <v>284</v>
      </c>
      <c r="AO940" s="296" t="s">
        <v>50</v>
      </c>
      <c r="AP940" s="296" t="s">
        <v>376</v>
      </c>
      <c r="AQ940" s="457" t="s">
        <v>755</v>
      </c>
    </row>
    <row r="941" spans="1:43" ht="15.75" customHeight="1">
      <c r="A941" s="69">
        <v>43768</v>
      </c>
      <c r="B941" s="70" t="s">
        <v>222</v>
      </c>
      <c r="C941" s="21" t="s">
        <v>1812</v>
      </c>
      <c r="D941" s="71" t="s">
        <v>1813</v>
      </c>
      <c r="E941" s="32" t="s">
        <v>1816</v>
      </c>
      <c r="F941" s="24">
        <v>12</v>
      </c>
      <c r="G941" s="48">
        <v>7.35</v>
      </c>
      <c r="H941" s="60">
        <f t="shared" si="97"/>
        <v>88.199999999999989</v>
      </c>
      <c r="I941" s="61" t="s">
        <v>143</v>
      </c>
      <c r="J941" s="50" t="s">
        <v>89</v>
      </c>
      <c r="K941" s="30">
        <v>43788</v>
      </c>
      <c r="L941" s="30"/>
      <c r="M941" s="30">
        <v>43788</v>
      </c>
      <c r="N941" s="50" t="s">
        <v>89</v>
      </c>
      <c r="O941" s="93" t="s">
        <v>3196</v>
      </c>
      <c r="P941" s="406">
        <v>5</v>
      </c>
      <c r="Q941" s="406">
        <f t="shared" si="98"/>
        <v>63</v>
      </c>
      <c r="R941" s="406"/>
      <c r="S941" s="406"/>
      <c r="T941" s="406"/>
      <c r="U941" s="406">
        <v>1909</v>
      </c>
      <c r="V941" s="51" t="s">
        <v>93</v>
      </c>
      <c r="W941" s="303">
        <v>43830</v>
      </c>
      <c r="X941" s="303">
        <v>43785</v>
      </c>
      <c r="Y941" s="304" t="s">
        <v>1815</v>
      </c>
      <c r="Z941" s="404" t="s">
        <v>3199</v>
      </c>
      <c r="AA941" s="304"/>
      <c r="AB941" s="304" t="s">
        <v>3197</v>
      </c>
      <c r="AC941" s="304" t="s">
        <v>3198</v>
      </c>
      <c r="AD941" s="535">
        <v>30.49</v>
      </c>
      <c r="AE941" s="404" t="s">
        <v>3200</v>
      </c>
      <c r="AF941" s="303">
        <v>43787</v>
      </c>
      <c r="AG941" s="296"/>
      <c r="AH941" s="304">
        <v>30.49</v>
      </c>
      <c r="AI941" s="297"/>
      <c r="AJ941" s="29">
        <v>43809</v>
      </c>
      <c r="AK941" s="297" t="s">
        <v>3153</v>
      </c>
      <c r="AL941" s="297" t="s">
        <v>3154</v>
      </c>
      <c r="AM941" s="296" t="s">
        <v>49</v>
      </c>
      <c r="AN941" s="296" t="s">
        <v>284</v>
      </c>
      <c r="AO941" s="296" t="s">
        <v>50</v>
      </c>
      <c r="AP941" s="296" t="s">
        <v>376</v>
      </c>
      <c r="AQ941" s="457" t="s">
        <v>755</v>
      </c>
    </row>
    <row r="942" spans="1:43" ht="15.75" customHeight="1">
      <c r="A942" s="69">
        <v>43768</v>
      </c>
      <c r="B942" s="23" t="s">
        <v>212</v>
      </c>
      <c r="C942" s="21" t="s">
        <v>1817</v>
      </c>
      <c r="D942" s="71" t="s">
        <v>1818</v>
      </c>
      <c r="E942" s="32" t="s">
        <v>1819</v>
      </c>
      <c r="F942" s="24">
        <v>2</v>
      </c>
      <c r="G942" s="48">
        <v>226</v>
      </c>
      <c r="H942" s="60">
        <f t="shared" si="97"/>
        <v>452</v>
      </c>
      <c r="I942" s="61" t="s">
        <v>143</v>
      </c>
      <c r="J942" s="58" t="s">
        <v>216</v>
      </c>
      <c r="K942" s="30">
        <v>43780</v>
      </c>
      <c r="L942" s="30"/>
      <c r="M942" s="29">
        <v>43775</v>
      </c>
      <c r="N942" s="58" t="s">
        <v>2043</v>
      </c>
      <c r="O942" s="93" t="s">
        <v>3201</v>
      </c>
      <c r="P942" s="406">
        <v>201</v>
      </c>
      <c r="Q942" s="406">
        <f t="shared" si="98"/>
        <v>422.1</v>
      </c>
      <c r="R942" s="406"/>
      <c r="S942" s="406"/>
      <c r="T942" s="406"/>
      <c r="U942" s="406">
        <v>12882</v>
      </c>
      <c r="V942" s="501" t="s">
        <v>2045</v>
      </c>
      <c r="W942" s="460">
        <v>43861</v>
      </c>
      <c r="X942" s="460">
        <v>43774</v>
      </c>
      <c r="Y942" s="304" t="s">
        <v>1820</v>
      </c>
      <c r="Z942" s="304">
        <v>42749</v>
      </c>
      <c r="AA942" s="304"/>
      <c r="AB942" s="304" t="s">
        <v>3108</v>
      </c>
      <c r="AC942" s="304" t="s">
        <v>3109</v>
      </c>
      <c r="AD942" s="535"/>
      <c r="AE942" s="304"/>
      <c r="AF942" s="304"/>
      <c r="AG942" s="296"/>
      <c r="AH942" s="304">
        <v>30.295000000000002</v>
      </c>
      <c r="AI942" s="297"/>
      <c r="AJ942" s="298">
        <v>43773</v>
      </c>
      <c r="AK942" s="297">
        <f>1516.41</f>
        <v>1516.41</v>
      </c>
      <c r="AL942" s="297">
        <f>(1523-1516.41)*30.35</f>
        <v>200.00649999999752</v>
      </c>
      <c r="AM942" s="296" t="s">
        <v>49</v>
      </c>
      <c r="AN942" s="296" t="s">
        <v>284</v>
      </c>
      <c r="AO942" s="296" t="s">
        <v>50</v>
      </c>
      <c r="AP942" s="296" t="s">
        <v>51</v>
      </c>
      <c r="AQ942" s="457" t="s">
        <v>755</v>
      </c>
    </row>
    <row r="943" spans="1:43" ht="15.75" customHeight="1">
      <c r="A943" s="69">
        <v>43768</v>
      </c>
      <c r="B943" s="23" t="s">
        <v>212</v>
      </c>
      <c r="C943" s="21" t="s">
        <v>1817</v>
      </c>
      <c r="D943" s="71" t="s">
        <v>1818</v>
      </c>
      <c r="E943" s="32" t="s">
        <v>1821</v>
      </c>
      <c r="F943" s="24">
        <v>2</v>
      </c>
      <c r="G943" s="48">
        <v>419</v>
      </c>
      <c r="H943" s="60">
        <f t="shared" si="97"/>
        <v>838</v>
      </c>
      <c r="I943" s="61" t="s">
        <v>143</v>
      </c>
      <c r="J943" s="58" t="s">
        <v>216</v>
      </c>
      <c r="K943" s="30">
        <v>43780</v>
      </c>
      <c r="L943" s="30"/>
      <c r="M943" s="29">
        <v>43775</v>
      </c>
      <c r="N943" s="58" t="s">
        <v>2043</v>
      </c>
      <c r="O943" s="93" t="s">
        <v>3201</v>
      </c>
      <c r="P943" s="406">
        <v>373</v>
      </c>
      <c r="Q943" s="406">
        <f t="shared" si="98"/>
        <v>783.30000000000007</v>
      </c>
      <c r="R943" s="406"/>
      <c r="S943" s="406"/>
      <c r="T943" s="406"/>
      <c r="U943" s="406">
        <v>23906</v>
      </c>
      <c r="V943" s="501" t="s">
        <v>2045</v>
      </c>
      <c r="W943" s="460">
        <v>43861</v>
      </c>
      <c r="X943" s="460">
        <v>43774</v>
      </c>
      <c r="Y943" s="304" t="s">
        <v>1820</v>
      </c>
      <c r="Z943" s="304" t="s">
        <v>3202</v>
      </c>
      <c r="AA943" s="304"/>
      <c r="AB943" s="304" t="s">
        <v>3108</v>
      </c>
      <c r="AC943" s="304" t="s">
        <v>3109</v>
      </c>
      <c r="AD943" s="535"/>
      <c r="AE943" s="304"/>
      <c r="AF943" s="304"/>
      <c r="AG943" s="296"/>
      <c r="AH943" s="304">
        <v>30.295000000000002</v>
      </c>
      <c r="AI943" s="297"/>
      <c r="AJ943" s="298">
        <v>43773</v>
      </c>
      <c r="AK943" s="297" t="s">
        <v>3203</v>
      </c>
      <c r="AL943" s="297" t="s">
        <v>3204</v>
      </c>
      <c r="AM943" s="296" t="s">
        <v>49</v>
      </c>
      <c r="AN943" s="296" t="s">
        <v>284</v>
      </c>
      <c r="AO943" s="296" t="s">
        <v>50</v>
      </c>
      <c r="AP943" s="296" t="s">
        <v>51</v>
      </c>
      <c r="AQ943" s="457" t="s">
        <v>755</v>
      </c>
    </row>
    <row r="944" spans="1:43" ht="15.75" customHeight="1">
      <c r="A944" s="69">
        <v>43768</v>
      </c>
      <c r="B944" s="23" t="s">
        <v>212</v>
      </c>
      <c r="C944" s="21" t="s">
        <v>1817</v>
      </c>
      <c r="D944" s="71" t="s">
        <v>1818</v>
      </c>
      <c r="E944" s="32" t="s">
        <v>1822</v>
      </c>
      <c r="F944" s="24">
        <v>2</v>
      </c>
      <c r="G944" s="48">
        <v>104</v>
      </c>
      <c r="H944" s="60">
        <f t="shared" si="97"/>
        <v>208</v>
      </c>
      <c r="I944" s="61" t="s">
        <v>143</v>
      </c>
      <c r="J944" s="58" t="s">
        <v>216</v>
      </c>
      <c r="K944" s="30">
        <v>43780</v>
      </c>
      <c r="L944" s="30"/>
      <c r="M944" s="29">
        <v>43775</v>
      </c>
      <c r="N944" s="58" t="s">
        <v>2043</v>
      </c>
      <c r="O944" s="93" t="s">
        <v>3201</v>
      </c>
      <c r="P944" s="406">
        <v>93</v>
      </c>
      <c r="Q944" s="406">
        <f t="shared" si="98"/>
        <v>195.3</v>
      </c>
      <c r="R944" s="406"/>
      <c r="S944" s="406"/>
      <c r="T944" s="406"/>
      <c r="U944" s="406">
        <v>5961</v>
      </c>
      <c r="V944" s="501" t="s">
        <v>2045</v>
      </c>
      <c r="W944" s="460">
        <v>43861</v>
      </c>
      <c r="X944" s="460">
        <v>43774</v>
      </c>
      <c r="Y944" s="304" t="s">
        <v>1820</v>
      </c>
      <c r="Z944" s="304" t="s">
        <v>3202</v>
      </c>
      <c r="AA944" s="304"/>
      <c r="AB944" s="304" t="s">
        <v>3108</v>
      </c>
      <c r="AC944" s="304" t="s">
        <v>3109</v>
      </c>
      <c r="AD944" s="535"/>
      <c r="AE944" s="304"/>
      <c r="AF944" s="304"/>
      <c r="AG944" s="296"/>
      <c r="AH944" s="304">
        <v>30.295000000000002</v>
      </c>
      <c r="AI944" s="297"/>
      <c r="AJ944" s="298">
        <v>43773</v>
      </c>
      <c r="AK944" s="297" t="s">
        <v>3203</v>
      </c>
      <c r="AL944" s="297" t="s">
        <v>3204</v>
      </c>
      <c r="AM944" s="296" t="s">
        <v>49</v>
      </c>
      <c r="AN944" s="296" t="s">
        <v>284</v>
      </c>
      <c r="AO944" s="296" t="s">
        <v>50</v>
      </c>
      <c r="AP944" s="296" t="s">
        <v>51</v>
      </c>
      <c r="AQ944" s="457" t="s">
        <v>755</v>
      </c>
    </row>
    <row r="945" spans="1:43" ht="15.75" customHeight="1">
      <c r="A945" s="69">
        <v>43768</v>
      </c>
      <c r="B945" s="23" t="s">
        <v>212</v>
      </c>
      <c r="C945" s="21" t="s">
        <v>1817</v>
      </c>
      <c r="D945" s="71" t="s">
        <v>1818</v>
      </c>
      <c r="E945" s="32" t="s">
        <v>1823</v>
      </c>
      <c r="F945" s="24">
        <v>1</v>
      </c>
      <c r="G945" s="48">
        <v>25</v>
      </c>
      <c r="H945" s="60">
        <f t="shared" si="97"/>
        <v>25</v>
      </c>
      <c r="I945" s="61" t="s">
        <v>143</v>
      </c>
      <c r="J945" s="58" t="s">
        <v>216</v>
      </c>
      <c r="K945" s="30">
        <v>43780</v>
      </c>
      <c r="L945" s="30"/>
      <c r="M945" s="302"/>
      <c r="N945" s="495"/>
      <c r="O945" s="93"/>
      <c r="P945" s="406"/>
      <c r="Q945" s="406">
        <f t="shared" si="98"/>
        <v>0</v>
      </c>
      <c r="R945" s="406"/>
      <c r="S945" s="406"/>
      <c r="T945" s="406"/>
      <c r="U945" s="406">
        <f>(T945*F946)*1.05</f>
        <v>0</v>
      </c>
      <c r="V945" s="501"/>
      <c r="W945" s="304"/>
      <c r="X945" s="304"/>
      <c r="Y945" s="304"/>
      <c r="Z945" s="304"/>
      <c r="AA945" s="304"/>
      <c r="AB945" s="304" t="s">
        <v>3108</v>
      </c>
      <c r="AC945" s="304" t="s">
        <v>3109</v>
      </c>
      <c r="AD945" s="535"/>
      <c r="AE945" s="304"/>
      <c r="AF945" s="304"/>
      <c r="AG945" s="296"/>
      <c r="AH945" s="304">
        <v>30.295000000000002</v>
      </c>
      <c r="AI945" s="297"/>
      <c r="AJ945" s="298">
        <v>43773</v>
      </c>
      <c r="AK945" s="297" t="s">
        <v>3203</v>
      </c>
      <c r="AL945" s="297" t="s">
        <v>3204</v>
      </c>
      <c r="AM945" s="296" t="s">
        <v>49</v>
      </c>
      <c r="AN945" s="296" t="s">
        <v>284</v>
      </c>
      <c r="AO945" s="296" t="s">
        <v>50</v>
      </c>
      <c r="AP945" s="296" t="s">
        <v>51</v>
      </c>
      <c r="AQ945" s="457" t="s">
        <v>755</v>
      </c>
    </row>
    <row r="946" spans="1:43" ht="15.75" customHeight="1">
      <c r="A946" s="69">
        <v>43769</v>
      </c>
      <c r="B946" s="70" t="s">
        <v>1512</v>
      </c>
      <c r="C946" s="21" t="s">
        <v>1824</v>
      </c>
      <c r="D946" s="71" t="s">
        <v>1825</v>
      </c>
      <c r="E946" s="32" t="s">
        <v>1826</v>
      </c>
      <c r="F946" s="24">
        <v>2</v>
      </c>
      <c r="G946" s="48">
        <v>155.4</v>
      </c>
      <c r="H946" s="60">
        <f t="shared" si="97"/>
        <v>310.8</v>
      </c>
      <c r="I946" s="61" t="s">
        <v>1827</v>
      </c>
      <c r="J946" s="58" t="s">
        <v>1149</v>
      </c>
      <c r="K946" s="145">
        <v>43773</v>
      </c>
      <c r="L946" s="145"/>
      <c r="M946" s="29">
        <v>43770</v>
      </c>
      <c r="N946" s="50" t="s">
        <v>178</v>
      </c>
      <c r="O946" s="93"/>
      <c r="P946" s="406"/>
      <c r="Q946" s="406">
        <f t="shared" si="98"/>
        <v>0</v>
      </c>
      <c r="R946" s="406"/>
      <c r="S946" s="406"/>
      <c r="T946" s="406"/>
      <c r="U946" s="406">
        <f>(T946*F948)*1.05</f>
        <v>0</v>
      </c>
      <c r="V946" s="501"/>
      <c r="W946" s="304"/>
      <c r="X946" s="304"/>
      <c r="Y946" s="304"/>
      <c r="Z946" s="304"/>
      <c r="AA946" s="304"/>
      <c r="AB946" s="304" t="s">
        <v>3205</v>
      </c>
      <c r="AC946" s="304"/>
      <c r="AD946" s="535"/>
      <c r="AE946" s="304">
        <v>9461</v>
      </c>
      <c r="AF946" s="460">
        <v>43784</v>
      </c>
      <c r="AG946" s="296"/>
      <c r="AH946" s="304">
        <v>30.44</v>
      </c>
      <c r="AI946" s="297"/>
      <c r="AJ946" s="298">
        <v>43833</v>
      </c>
      <c r="AK946" s="297">
        <v>14181</v>
      </c>
      <c r="AL946" s="297">
        <v>15</v>
      </c>
      <c r="AM946" s="296" t="s">
        <v>49</v>
      </c>
      <c r="AN946" s="296" t="s">
        <v>284</v>
      </c>
      <c r="AO946" s="296" t="s">
        <v>50</v>
      </c>
      <c r="AP946" s="296" t="s">
        <v>376</v>
      </c>
      <c r="AQ946" s="457" t="s">
        <v>755</v>
      </c>
    </row>
    <row r="947" spans="1:43" ht="15.75" customHeight="1">
      <c r="A947" s="95">
        <v>43769</v>
      </c>
      <c r="B947" s="562" t="s">
        <v>1512</v>
      </c>
      <c r="C947" s="97" t="s">
        <v>1824</v>
      </c>
      <c r="D947" s="98" t="s">
        <v>1825</v>
      </c>
      <c r="E947" s="99" t="s">
        <v>1826</v>
      </c>
      <c r="F947" s="100">
        <v>1</v>
      </c>
      <c r="G947" s="101">
        <v>155.4</v>
      </c>
      <c r="H947" s="102">
        <f t="shared" si="97"/>
        <v>155.4</v>
      </c>
      <c r="I947" s="61" t="s">
        <v>1827</v>
      </c>
      <c r="J947" s="58" t="s">
        <v>1149</v>
      </c>
      <c r="K947" s="145">
        <v>43773</v>
      </c>
      <c r="L947" s="145"/>
      <c r="M947" s="29">
        <v>43773</v>
      </c>
      <c r="N947" s="50" t="s">
        <v>178</v>
      </c>
      <c r="O947" s="93"/>
      <c r="P947" s="406"/>
      <c r="Q947" s="406"/>
      <c r="R947" s="406"/>
      <c r="S947" s="406"/>
      <c r="T947" s="406"/>
      <c r="U947" s="406"/>
      <c r="V947" s="501"/>
      <c r="W947" s="304"/>
      <c r="X947" s="304"/>
      <c r="Y947" s="304"/>
      <c r="Z947" s="304"/>
      <c r="AA947" s="304"/>
      <c r="AB947" s="304" t="s">
        <v>3206</v>
      </c>
      <c r="AC947" s="304"/>
      <c r="AD947" s="535"/>
      <c r="AE947" s="304">
        <v>4735</v>
      </c>
      <c r="AF947" s="460">
        <v>43784</v>
      </c>
      <c r="AG947" s="296"/>
      <c r="AH947" s="304">
        <v>30.47</v>
      </c>
      <c r="AI947" s="297"/>
      <c r="AJ947" s="298">
        <v>43833</v>
      </c>
      <c r="AK947" s="297" t="s">
        <v>3207</v>
      </c>
      <c r="AL947" s="297" t="s">
        <v>3208</v>
      </c>
      <c r="AM947" s="296" t="s">
        <v>49</v>
      </c>
      <c r="AN947" s="296" t="s">
        <v>284</v>
      </c>
      <c r="AO947" s="296" t="s">
        <v>50</v>
      </c>
      <c r="AP947" s="296" t="s">
        <v>376</v>
      </c>
      <c r="AQ947" s="457" t="s">
        <v>755</v>
      </c>
    </row>
    <row r="948" spans="1:43" ht="15.75" customHeight="1">
      <c r="A948" s="69">
        <v>43769</v>
      </c>
      <c r="B948" s="144" t="s">
        <v>1828</v>
      </c>
      <c r="C948" s="21" t="s">
        <v>1829</v>
      </c>
      <c r="D948" s="71" t="s">
        <v>1830</v>
      </c>
      <c r="E948" s="32" t="s">
        <v>1831</v>
      </c>
      <c r="F948" s="24">
        <v>1</v>
      </c>
      <c r="G948" s="48">
        <v>25</v>
      </c>
      <c r="H948" s="60">
        <f t="shared" si="97"/>
        <v>25</v>
      </c>
      <c r="I948" s="61" t="s">
        <v>143</v>
      </c>
      <c r="J948" s="58" t="s">
        <v>1832</v>
      </c>
      <c r="K948" s="30">
        <v>43783</v>
      </c>
      <c r="L948" s="30"/>
      <c r="M948" s="302"/>
      <c r="N948" s="50" t="s">
        <v>3209</v>
      </c>
      <c r="O948" s="93"/>
      <c r="P948" s="406"/>
      <c r="Q948" s="406">
        <f t="shared" ref="Q948:Q962" si="99">(P948*F948)*1.05</f>
        <v>0</v>
      </c>
      <c r="R948" s="406"/>
      <c r="S948" s="406"/>
      <c r="T948" s="406">
        <v>250</v>
      </c>
      <c r="U948" s="406">
        <f>(T948*F949)*1.05</f>
        <v>8662.5</v>
      </c>
      <c r="V948" s="406" t="s">
        <v>3210</v>
      </c>
      <c r="W948" s="304"/>
      <c r="X948" s="304"/>
      <c r="Y948" s="304"/>
      <c r="Z948" s="304"/>
      <c r="AA948" s="304"/>
      <c r="AB948" s="304" t="s">
        <v>3211</v>
      </c>
      <c r="AC948" s="304" t="s">
        <v>3212</v>
      </c>
      <c r="AD948" s="406">
        <v>30.295000000000002</v>
      </c>
      <c r="AE948" s="304"/>
      <c r="AF948" s="304"/>
      <c r="AG948" s="296"/>
      <c r="AH948" s="304"/>
      <c r="AI948" s="297"/>
      <c r="AJ948" s="298">
        <v>43777</v>
      </c>
      <c r="AK948" s="297" t="s">
        <v>3213</v>
      </c>
      <c r="AL948" s="297" t="s">
        <v>3214</v>
      </c>
      <c r="AM948" s="296" t="s">
        <v>49</v>
      </c>
      <c r="AN948" s="296" t="s">
        <v>284</v>
      </c>
      <c r="AO948" s="296" t="s">
        <v>285</v>
      </c>
      <c r="AP948" s="296" t="s">
        <v>51</v>
      </c>
      <c r="AQ948" s="457" t="s">
        <v>755</v>
      </c>
    </row>
    <row r="949" spans="1:43" ht="15.75" customHeight="1">
      <c r="A949" s="69">
        <v>43769</v>
      </c>
      <c r="B949" s="144" t="s">
        <v>1828</v>
      </c>
      <c r="C949" s="21" t="s">
        <v>1829</v>
      </c>
      <c r="D949" s="72" t="s">
        <v>1833</v>
      </c>
      <c r="E949" s="32" t="s">
        <v>1834</v>
      </c>
      <c r="F949" s="24">
        <v>33</v>
      </c>
      <c r="G949" s="48">
        <v>212</v>
      </c>
      <c r="H949" s="60">
        <f t="shared" si="97"/>
        <v>6996</v>
      </c>
      <c r="I949" s="61" t="s">
        <v>143</v>
      </c>
      <c r="J949" s="58" t="s">
        <v>1832</v>
      </c>
      <c r="K949" s="563">
        <v>43783</v>
      </c>
      <c r="L949" s="563"/>
      <c r="M949" s="302"/>
      <c r="N949" s="50" t="s">
        <v>3215</v>
      </c>
      <c r="O949" s="32" t="s">
        <v>3216</v>
      </c>
      <c r="P949" s="406"/>
      <c r="Q949" s="406">
        <f t="shared" si="99"/>
        <v>0</v>
      </c>
      <c r="R949" s="406"/>
      <c r="S949" s="406"/>
      <c r="T949" s="406"/>
      <c r="U949" s="406">
        <f>(T949*F950)*1.05</f>
        <v>0</v>
      </c>
      <c r="V949" s="406"/>
      <c r="W949" s="304"/>
      <c r="X949" s="304"/>
      <c r="Y949" s="304"/>
      <c r="Z949" s="304"/>
      <c r="AA949" s="304"/>
      <c r="AB949" s="304" t="s">
        <v>3211</v>
      </c>
      <c r="AC949" s="304" t="s">
        <v>3212</v>
      </c>
      <c r="AD949" s="406">
        <v>30.295000000000002</v>
      </c>
      <c r="AE949" s="304"/>
      <c r="AF949" s="304"/>
      <c r="AG949" s="296"/>
      <c r="AH949" s="304"/>
      <c r="AI949" s="297"/>
      <c r="AJ949" s="298">
        <v>43777</v>
      </c>
      <c r="AK949" s="297">
        <f>6979.4*30.3</f>
        <v>211475.82</v>
      </c>
      <c r="AL949" s="297">
        <f>(7021-6979.4)*30.3</f>
        <v>1260.4800000000112</v>
      </c>
      <c r="AM949" s="296" t="s">
        <v>49</v>
      </c>
      <c r="AN949" s="296" t="s">
        <v>284</v>
      </c>
      <c r="AO949" s="296" t="s">
        <v>285</v>
      </c>
      <c r="AP949" s="296" t="s">
        <v>51</v>
      </c>
      <c r="AQ949" s="457" t="s">
        <v>755</v>
      </c>
    </row>
    <row r="950" spans="1:43" ht="15.75" customHeight="1">
      <c r="A950" s="69">
        <v>43770</v>
      </c>
      <c r="B950" s="144" t="s">
        <v>1622</v>
      </c>
      <c r="C950" s="21"/>
      <c r="D950" s="112" t="s">
        <v>1835</v>
      </c>
      <c r="E950" s="32" t="s">
        <v>1836</v>
      </c>
      <c r="F950" s="24">
        <v>1</v>
      </c>
      <c r="G950" s="74">
        <v>1450</v>
      </c>
      <c r="H950" s="60">
        <f t="shared" si="97"/>
        <v>1450</v>
      </c>
      <c r="I950" s="61" t="s">
        <v>247</v>
      </c>
      <c r="J950" s="50" t="s">
        <v>1636</v>
      </c>
      <c r="K950" s="296" t="s">
        <v>3217</v>
      </c>
      <c r="L950" s="296"/>
      <c r="M950" s="302"/>
      <c r="N950" s="495"/>
      <c r="O950" s="93"/>
      <c r="P950" s="406"/>
      <c r="Q950" s="406">
        <f t="shared" si="99"/>
        <v>0</v>
      </c>
      <c r="R950" s="406"/>
      <c r="S950" s="406"/>
      <c r="T950" s="406"/>
      <c r="U950" s="721">
        <v>36660.75</v>
      </c>
      <c r="V950" s="406"/>
      <c r="W950" s="304"/>
      <c r="X950" s="304"/>
      <c r="Y950" s="304"/>
      <c r="Z950" s="304"/>
      <c r="AA950" s="304"/>
      <c r="AB950" s="304"/>
      <c r="AC950" s="304"/>
      <c r="AD950" s="535"/>
      <c r="AE950" s="304"/>
      <c r="AF950" s="304"/>
      <c r="AG950" s="296"/>
      <c r="AH950" s="304"/>
      <c r="AI950" s="297"/>
      <c r="AJ950" s="298">
        <v>43467</v>
      </c>
      <c r="AK950" s="297">
        <f>1428.33*29.988</f>
        <v>42832.760039999994</v>
      </c>
      <c r="AL950" s="297">
        <f>(1450-1428.33)*29.988</f>
        <v>649.83996000000218</v>
      </c>
      <c r="AM950" s="296" t="s">
        <v>49</v>
      </c>
      <c r="AN950" s="296" t="s">
        <v>284</v>
      </c>
      <c r="AO950" s="296" t="s">
        <v>285</v>
      </c>
      <c r="AP950" s="296" t="s">
        <v>51</v>
      </c>
      <c r="AQ950" s="296" t="s">
        <v>1346</v>
      </c>
    </row>
    <row r="951" spans="1:43" ht="15.75" customHeight="1">
      <c r="A951" s="69">
        <v>43773</v>
      </c>
      <c r="B951" s="70" t="s">
        <v>1097</v>
      </c>
      <c r="C951" s="21"/>
      <c r="D951" s="71" t="s">
        <v>1837</v>
      </c>
      <c r="E951" s="32" t="s">
        <v>1838</v>
      </c>
      <c r="F951" s="24">
        <v>1</v>
      </c>
      <c r="G951" s="48">
        <v>960</v>
      </c>
      <c r="H951" s="165">
        <f t="shared" si="97"/>
        <v>960</v>
      </c>
      <c r="I951" s="61" t="s">
        <v>143</v>
      </c>
      <c r="J951" s="50" t="s">
        <v>262</v>
      </c>
      <c r="K951" s="29">
        <v>43790</v>
      </c>
      <c r="L951" s="29"/>
      <c r="M951" s="30">
        <v>43787</v>
      </c>
      <c r="N951" s="58" t="s">
        <v>2043</v>
      </c>
      <c r="O951" s="93" t="s">
        <v>3218</v>
      </c>
      <c r="P951" s="406">
        <v>893</v>
      </c>
      <c r="Q951" s="406">
        <f t="shared" si="99"/>
        <v>937.65000000000009</v>
      </c>
      <c r="R951" s="406"/>
      <c r="S951" s="406"/>
      <c r="T951" s="406"/>
      <c r="U951" s="406">
        <v>28406</v>
      </c>
      <c r="V951" s="406" t="s">
        <v>2045</v>
      </c>
      <c r="W951" s="460">
        <v>43861</v>
      </c>
      <c r="X951" s="303">
        <v>43787</v>
      </c>
      <c r="Y951" s="304" t="s">
        <v>1839</v>
      </c>
      <c r="Z951" s="304">
        <v>28406</v>
      </c>
      <c r="AA951" s="304"/>
      <c r="AB951" s="304" t="s">
        <v>3171</v>
      </c>
      <c r="AC951" s="304">
        <v>4988762111</v>
      </c>
      <c r="AD951" s="535"/>
      <c r="AE951" s="304"/>
      <c r="AF951" s="304"/>
      <c r="AG951" s="296"/>
      <c r="AH951" s="304">
        <v>30.465</v>
      </c>
      <c r="AI951" s="297"/>
      <c r="AJ951" s="298">
        <v>43774</v>
      </c>
      <c r="AK951" s="297">
        <f>942.41*30.366</f>
        <v>28617.22206</v>
      </c>
      <c r="AL951" s="297">
        <f>(960-942.41)*30.366</f>
        <v>534.13794000000098</v>
      </c>
      <c r="AM951" s="296" t="s">
        <v>49</v>
      </c>
      <c r="AN951" s="296" t="s">
        <v>284</v>
      </c>
      <c r="AO951" s="296" t="s">
        <v>50</v>
      </c>
      <c r="AP951" s="296" t="s">
        <v>51</v>
      </c>
      <c r="AQ951" s="457" t="s">
        <v>755</v>
      </c>
    </row>
    <row r="952" spans="1:43" ht="15.75" customHeight="1">
      <c r="A952" s="69">
        <v>43774</v>
      </c>
      <c r="B952" s="70" t="s">
        <v>629</v>
      </c>
      <c r="C952" s="21" t="s">
        <v>1840</v>
      </c>
      <c r="D952" s="71" t="s">
        <v>1841</v>
      </c>
      <c r="E952" s="32" t="s">
        <v>632</v>
      </c>
      <c r="F952" s="24">
        <v>19</v>
      </c>
      <c r="G952" s="48">
        <v>173.25</v>
      </c>
      <c r="H952" s="60">
        <f t="shared" si="97"/>
        <v>3291.75</v>
      </c>
      <c r="I952" s="61" t="s">
        <v>143</v>
      </c>
      <c r="J952" s="50" t="s">
        <v>1074</v>
      </c>
      <c r="K952" s="30">
        <v>43795</v>
      </c>
      <c r="L952" s="30"/>
      <c r="M952" s="29">
        <v>43795</v>
      </c>
      <c r="N952" s="50" t="s">
        <v>2212</v>
      </c>
      <c r="O952" s="93" t="s">
        <v>3219</v>
      </c>
      <c r="P952" s="406"/>
      <c r="Q952" s="406">
        <f t="shared" si="99"/>
        <v>0</v>
      </c>
      <c r="R952" s="406"/>
      <c r="S952" s="406"/>
      <c r="T952" s="406">
        <v>4850</v>
      </c>
      <c r="U952" s="406">
        <v>96758</v>
      </c>
      <c r="V952" s="406"/>
      <c r="W952" s="460">
        <v>43835</v>
      </c>
      <c r="X952" s="303">
        <v>43795</v>
      </c>
      <c r="Y952" s="304" t="s">
        <v>1842</v>
      </c>
      <c r="Z952" s="304">
        <v>96758</v>
      </c>
      <c r="AA952" s="304"/>
      <c r="AB952" s="304" t="s">
        <v>3220</v>
      </c>
      <c r="AC952" s="304" t="s">
        <v>3221</v>
      </c>
      <c r="AD952" s="406">
        <v>30.5</v>
      </c>
      <c r="AE952" s="304">
        <v>100398</v>
      </c>
      <c r="AF952" s="303">
        <v>43795</v>
      </c>
      <c r="AG952" s="296"/>
      <c r="AH952" s="304"/>
      <c r="AI952" s="297"/>
      <c r="AJ952" s="298">
        <v>43840</v>
      </c>
      <c r="AK952" s="297">
        <v>100398</v>
      </c>
      <c r="AL952" s="297">
        <v>0</v>
      </c>
      <c r="AM952" s="296" t="s">
        <v>49</v>
      </c>
      <c r="AN952" s="296" t="s">
        <v>284</v>
      </c>
      <c r="AO952" s="296" t="s">
        <v>50</v>
      </c>
      <c r="AP952" s="296" t="s">
        <v>376</v>
      </c>
      <c r="AQ952" s="457" t="s">
        <v>755</v>
      </c>
    </row>
    <row r="953" spans="1:43" ht="15.75" customHeight="1">
      <c r="A953" s="69">
        <v>43774</v>
      </c>
      <c r="B953" s="70" t="s">
        <v>100</v>
      </c>
      <c r="C953" s="21" t="s">
        <v>1843</v>
      </c>
      <c r="D953" s="71" t="s">
        <v>1844</v>
      </c>
      <c r="E953" s="32" t="s">
        <v>1845</v>
      </c>
      <c r="F953" s="24">
        <v>1</v>
      </c>
      <c r="G953" s="48">
        <v>355</v>
      </c>
      <c r="H953" s="60">
        <f t="shared" si="97"/>
        <v>355</v>
      </c>
      <c r="I953" s="61" t="s">
        <v>104</v>
      </c>
      <c r="J953" s="50" t="s">
        <v>1042</v>
      </c>
      <c r="K953" s="29">
        <v>43790</v>
      </c>
      <c r="L953" s="29"/>
      <c r="M953" s="30">
        <v>43781</v>
      </c>
      <c r="N953" s="50" t="s">
        <v>3182</v>
      </c>
      <c r="O953" s="93" t="s">
        <v>3222</v>
      </c>
      <c r="P953" s="406"/>
      <c r="Q953" s="406">
        <f t="shared" si="99"/>
        <v>0</v>
      </c>
      <c r="R953" s="406"/>
      <c r="S953" s="406"/>
      <c r="T953" s="406">
        <v>9476</v>
      </c>
      <c r="U953" s="406">
        <v>9950</v>
      </c>
      <c r="V953" s="501"/>
      <c r="W953" s="303">
        <v>43830</v>
      </c>
      <c r="X953" s="303">
        <v>43780</v>
      </c>
      <c r="Y953" s="304" t="s">
        <v>1795</v>
      </c>
      <c r="Z953" s="21" t="s">
        <v>3190</v>
      </c>
      <c r="AA953" s="304"/>
      <c r="AB953" s="304" t="s">
        <v>3184</v>
      </c>
      <c r="AC953" s="304">
        <v>1594616741</v>
      </c>
      <c r="AD953" s="535"/>
      <c r="AE953" s="304"/>
      <c r="AF953" s="304"/>
      <c r="AG953" s="296"/>
      <c r="AH953" s="304"/>
      <c r="AI953" s="297"/>
      <c r="AJ953" s="298">
        <v>43845</v>
      </c>
      <c r="AK953" s="297" t="s">
        <v>3173</v>
      </c>
      <c r="AL953" s="297" t="s">
        <v>3186</v>
      </c>
      <c r="AM953" s="296" t="s">
        <v>49</v>
      </c>
      <c r="AN953" s="296" t="s">
        <v>284</v>
      </c>
      <c r="AO953" s="296" t="s">
        <v>50</v>
      </c>
      <c r="AP953" s="296" t="s">
        <v>51</v>
      </c>
      <c r="AQ953" s="457" t="s">
        <v>755</v>
      </c>
    </row>
    <row r="954" spans="1:43" ht="15.75" customHeight="1">
      <c r="A954" s="69">
        <v>43777</v>
      </c>
      <c r="B954" s="70" t="s">
        <v>118</v>
      </c>
      <c r="C954" s="21">
        <v>1672019</v>
      </c>
      <c r="D954" s="21" t="s">
        <v>119</v>
      </c>
      <c r="E954" s="23" t="s">
        <v>161</v>
      </c>
      <c r="F954" s="24">
        <v>8</v>
      </c>
      <c r="G954" s="48">
        <v>738</v>
      </c>
      <c r="H954" s="26">
        <f t="shared" si="97"/>
        <v>5904</v>
      </c>
      <c r="I954" s="132" t="s">
        <v>1827</v>
      </c>
      <c r="J954" s="82" t="s">
        <v>121</v>
      </c>
      <c r="K954" s="29">
        <v>43795</v>
      </c>
      <c r="L954" s="1472"/>
      <c r="M954" s="726">
        <v>43791</v>
      </c>
      <c r="N954" s="50" t="s">
        <v>89</v>
      </c>
      <c r="O954" s="93" t="s">
        <v>122</v>
      </c>
      <c r="P954" s="406">
        <v>638</v>
      </c>
      <c r="Q954" s="304">
        <f t="shared" si="99"/>
        <v>5359.2</v>
      </c>
      <c r="R954" s="304"/>
      <c r="S954" s="304"/>
      <c r="T954" s="620"/>
      <c r="U954" s="719">
        <f t="shared" ref="U954:U959" si="100">Q954*30.465</f>
        <v>163268.02799999999</v>
      </c>
      <c r="V954" s="35" t="s">
        <v>93</v>
      </c>
      <c r="W954" s="304"/>
      <c r="X954" s="304"/>
      <c r="Y954" s="304"/>
      <c r="Z954" s="304"/>
      <c r="AA954" s="304"/>
      <c r="AB954" s="304" t="s">
        <v>3223</v>
      </c>
      <c r="AC954" s="304">
        <v>160147260330</v>
      </c>
      <c r="AD954" s="304">
        <v>30.465</v>
      </c>
      <c r="AE954" s="304"/>
      <c r="AF954" s="304"/>
      <c r="AG954" s="296"/>
      <c r="AH954" s="296"/>
      <c r="AI954" s="297"/>
      <c r="AJ954" s="298">
        <v>43840</v>
      </c>
      <c r="AK954" s="297">
        <f>36993.49*29.927</f>
        <v>1107104.1752299999</v>
      </c>
      <c r="AL954" s="297">
        <f>(37024-36993.49)*29.927</f>
        <v>913.07277000006093</v>
      </c>
      <c r="AM954" s="296" t="s">
        <v>49</v>
      </c>
      <c r="AN954" s="296" t="s">
        <v>284</v>
      </c>
      <c r="AO954" s="296" t="s">
        <v>50</v>
      </c>
      <c r="AP954" s="296" t="s">
        <v>51</v>
      </c>
      <c r="AQ954" s="296" t="s">
        <v>1346</v>
      </c>
    </row>
    <row r="955" spans="1:43" ht="15.75" customHeight="1">
      <c r="A955" s="69">
        <v>43777</v>
      </c>
      <c r="B955" s="70" t="s">
        <v>118</v>
      </c>
      <c r="C955" s="21">
        <v>1672019</v>
      </c>
      <c r="D955" s="21" t="s">
        <v>119</v>
      </c>
      <c r="E955" s="23" t="s">
        <v>164</v>
      </c>
      <c r="F955" s="24">
        <v>120</v>
      </c>
      <c r="G955" s="48">
        <v>105</v>
      </c>
      <c r="H955" s="26">
        <f t="shared" si="97"/>
        <v>12600</v>
      </c>
      <c r="I955" s="132" t="s">
        <v>1827</v>
      </c>
      <c r="J955" s="82" t="s">
        <v>121</v>
      </c>
      <c r="K955" s="29">
        <v>43795</v>
      </c>
      <c r="L955" s="1472"/>
      <c r="M955" s="726">
        <v>43791</v>
      </c>
      <c r="N955" s="50" t="s">
        <v>89</v>
      </c>
      <c r="O955" s="93" t="s">
        <v>122</v>
      </c>
      <c r="P955" s="406">
        <v>82</v>
      </c>
      <c r="Q955" s="304">
        <f t="shared" si="99"/>
        <v>10332</v>
      </c>
      <c r="R955" s="304"/>
      <c r="S955" s="304"/>
      <c r="T955" s="620"/>
      <c r="U955" s="719">
        <f t="shared" si="100"/>
        <v>314764.38</v>
      </c>
      <c r="V955" s="35" t="s">
        <v>93</v>
      </c>
      <c r="W955" s="304"/>
      <c r="X955" s="304"/>
      <c r="Y955" s="304"/>
      <c r="Z955" s="304"/>
      <c r="AA955" s="304"/>
      <c r="AB955" s="304" t="s">
        <v>3223</v>
      </c>
      <c r="AC955" s="304">
        <v>160147260330</v>
      </c>
      <c r="AD955" s="304">
        <v>30.465</v>
      </c>
      <c r="AE955" s="304"/>
      <c r="AF955" s="304"/>
      <c r="AG955" s="296"/>
      <c r="AH955" s="296"/>
      <c r="AI955" s="297"/>
      <c r="AJ955" s="296" t="s">
        <v>1846</v>
      </c>
      <c r="AK955" s="297">
        <f>10935.35*30.094</f>
        <v>329088.42290000001</v>
      </c>
      <c r="AL955" s="297">
        <f>(10954-10935.35)</f>
        <v>18.649999999999636</v>
      </c>
      <c r="AM955" s="296" t="s">
        <v>49</v>
      </c>
      <c r="AN955" s="296" t="s">
        <v>284</v>
      </c>
      <c r="AO955" s="296" t="s">
        <v>50</v>
      </c>
      <c r="AP955" s="296" t="s">
        <v>51</v>
      </c>
      <c r="AQ955" s="296" t="s">
        <v>1346</v>
      </c>
    </row>
    <row r="956" spans="1:43" ht="15.75" customHeight="1">
      <c r="A956" s="69">
        <v>43777</v>
      </c>
      <c r="B956" s="70" t="s">
        <v>118</v>
      </c>
      <c r="C956" s="21">
        <v>1672019</v>
      </c>
      <c r="D956" s="71" t="s">
        <v>119</v>
      </c>
      <c r="E956" s="32" t="s">
        <v>1847</v>
      </c>
      <c r="F956" s="24">
        <v>6</v>
      </c>
      <c r="G956" s="48">
        <v>335</v>
      </c>
      <c r="H956" s="26">
        <f t="shared" si="97"/>
        <v>2010</v>
      </c>
      <c r="I956" s="132" t="s">
        <v>1827</v>
      </c>
      <c r="J956" s="82" t="s">
        <v>121</v>
      </c>
      <c r="K956" s="29">
        <v>43795</v>
      </c>
      <c r="L956" s="29"/>
      <c r="M956" s="30">
        <v>43791</v>
      </c>
      <c r="N956" s="50" t="s">
        <v>89</v>
      </c>
      <c r="O956" s="93" t="s">
        <v>122</v>
      </c>
      <c r="P956" s="406">
        <v>290</v>
      </c>
      <c r="Q956" s="304">
        <f t="shared" si="99"/>
        <v>1827</v>
      </c>
      <c r="R956" s="304"/>
      <c r="S956" s="304"/>
      <c r="T956" s="620"/>
      <c r="U956" s="719">
        <f t="shared" si="100"/>
        <v>55659.555</v>
      </c>
      <c r="V956" s="35" t="s">
        <v>93</v>
      </c>
      <c r="W956" s="304"/>
      <c r="X956" s="304"/>
      <c r="Y956" s="304"/>
      <c r="Z956" s="304"/>
      <c r="AA956" s="304"/>
      <c r="AB956" s="304" t="s">
        <v>3223</v>
      </c>
      <c r="AC956" s="304">
        <v>160147260330</v>
      </c>
      <c r="AD956" s="304">
        <v>30.465</v>
      </c>
      <c r="AE956" s="304"/>
      <c r="AF956" s="304"/>
      <c r="AG956" s="296"/>
      <c r="AH956" s="296"/>
      <c r="AI956" s="297"/>
      <c r="AJ956" s="298">
        <v>43840</v>
      </c>
      <c r="AK956" s="297" t="s">
        <v>3224</v>
      </c>
      <c r="AL956" s="297" t="s">
        <v>3225</v>
      </c>
      <c r="AM956" s="296" t="s">
        <v>49</v>
      </c>
      <c r="AN956" s="296" t="s">
        <v>284</v>
      </c>
      <c r="AO956" s="296" t="s">
        <v>50</v>
      </c>
      <c r="AP956" s="296" t="s">
        <v>51</v>
      </c>
      <c r="AQ956" s="296" t="s">
        <v>1346</v>
      </c>
    </row>
    <row r="957" spans="1:43" ht="15.75" customHeight="1">
      <c r="A957" s="69">
        <v>43777</v>
      </c>
      <c r="B957" s="70" t="s">
        <v>118</v>
      </c>
      <c r="C957" s="21">
        <v>1672019</v>
      </c>
      <c r="D957" s="71" t="s">
        <v>119</v>
      </c>
      <c r="E957" s="32" t="s">
        <v>163</v>
      </c>
      <c r="F957" s="24">
        <v>10</v>
      </c>
      <c r="G957" s="48">
        <v>44</v>
      </c>
      <c r="H957" s="26">
        <f t="shared" si="97"/>
        <v>440</v>
      </c>
      <c r="I957" s="132" t="s">
        <v>1827</v>
      </c>
      <c r="J957" s="82" t="s">
        <v>121</v>
      </c>
      <c r="K957" s="29">
        <v>43795</v>
      </c>
      <c r="L957" s="29"/>
      <c r="M957" s="30">
        <v>43791</v>
      </c>
      <c r="N957" s="50" t="s">
        <v>89</v>
      </c>
      <c r="O957" s="93" t="s">
        <v>122</v>
      </c>
      <c r="P957" s="406">
        <v>36</v>
      </c>
      <c r="Q957" s="304">
        <f t="shared" si="99"/>
        <v>378</v>
      </c>
      <c r="R957" s="304"/>
      <c r="S957" s="304"/>
      <c r="T957" s="620"/>
      <c r="U957" s="719">
        <f t="shared" si="100"/>
        <v>11515.77</v>
      </c>
      <c r="V957" s="35" t="s">
        <v>93</v>
      </c>
      <c r="W957" s="304"/>
      <c r="X957" s="304"/>
      <c r="Y957" s="304"/>
      <c r="Z957" s="304"/>
      <c r="AA957" s="304"/>
      <c r="AB957" s="304" t="s">
        <v>3223</v>
      </c>
      <c r="AC957" s="304">
        <v>160147260330</v>
      </c>
      <c r="AD957" s="304">
        <v>30.465</v>
      </c>
      <c r="AE957" s="304"/>
      <c r="AF957" s="304"/>
      <c r="AG957" s="296"/>
      <c r="AH957" s="296"/>
      <c r="AI957" s="297"/>
      <c r="AJ957" s="298">
        <v>43840</v>
      </c>
      <c r="AK957" s="297" t="s">
        <v>3224</v>
      </c>
      <c r="AL957" s="297" t="s">
        <v>3225</v>
      </c>
      <c r="AM957" s="296" t="s">
        <v>49</v>
      </c>
      <c r="AN957" s="296" t="s">
        <v>284</v>
      </c>
      <c r="AO957" s="296" t="s">
        <v>50</v>
      </c>
      <c r="AP957" s="296" t="s">
        <v>51</v>
      </c>
      <c r="AQ957" s="296" t="s">
        <v>1346</v>
      </c>
    </row>
    <row r="958" spans="1:43" ht="15.75" customHeight="1">
      <c r="A958" s="69">
        <v>43777</v>
      </c>
      <c r="B958" s="70" t="s">
        <v>118</v>
      </c>
      <c r="C958" s="21">
        <v>1672019</v>
      </c>
      <c r="D958" s="71" t="s">
        <v>119</v>
      </c>
      <c r="E958" s="32" t="s">
        <v>120</v>
      </c>
      <c r="F958" s="24">
        <v>56</v>
      </c>
      <c r="G958" s="48">
        <v>359</v>
      </c>
      <c r="H958" s="60">
        <f t="shared" si="97"/>
        <v>20104</v>
      </c>
      <c r="I958" s="132" t="s">
        <v>1827</v>
      </c>
      <c r="J958" s="82" t="s">
        <v>121</v>
      </c>
      <c r="K958" s="30">
        <v>43825</v>
      </c>
      <c r="L958" s="30"/>
      <c r="M958" s="30">
        <v>43791</v>
      </c>
      <c r="N958" s="50" t="s">
        <v>89</v>
      </c>
      <c r="O958" s="32" t="s">
        <v>122</v>
      </c>
      <c r="P958" s="581">
        <v>332</v>
      </c>
      <c r="Q958" s="304">
        <f t="shared" si="99"/>
        <v>19521.600000000002</v>
      </c>
      <c r="R958" s="304"/>
      <c r="S958" s="304"/>
      <c r="T958" s="406"/>
      <c r="U958" s="719">
        <f t="shared" si="100"/>
        <v>594725.54400000011</v>
      </c>
      <c r="V958" s="35" t="s">
        <v>93</v>
      </c>
      <c r="W958" s="304"/>
      <c r="X958" s="304"/>
      <c r="Y958" s="304"/>
      <c r="Z958" s="304"/>
      <c r="AA958" s="304"/>
      <c r="AB958" s="304" t="s">
        <v>3226</v>
      </c>
      <c r="AC958" s="304" t="s">
        <v>3227</v>
      </c>
      <c r="AD958" s="304">
        <v>30.26</v>
      </c>
      <c r="AE958" s="304"/>
      <c r="AF958" s="296"/>
      <c r="AG958" s="304"/>
      <c r="AH958" s="297"/>
      <c r="AI958" s="537"/>
      <c r="AJ958" s="298">
        <v>43840</v>
      </c>
      <c r="AK958" s="297" t="s">
        <v>3224</v>
      </c>
      <c r="AL958" s="297" t="s">
        <v>3225</v>
      </c>
      <c r="AM958" s="296" t="s">
        <v>49</v>
      </c>
      <c r="AN958" s="296" t="s">
        <v>284</v>
      </c>
      <c r="AO958" s="296" t="s">
        <v>50</v>
      </c>
      <c r="AP958" s="296" t="s">
        <v>51</v>
      </c>
      <c r="AQ958" s="296" t="s">
        <v>1346</v>
      </c>
    </row>
    <row r="959" spans="1:43" ht="15.75" customHeight="1">
      <c r="A959" s="69">
        <v>43777</v>
      </c>
      <c r="B959" s="70" t="s">
        <v>118</v>
      </c>
      <c r="C959" s="21">
        <v>1672019</v>
      </c>
      <c r="D959" s="71" t="s">
        <v>119</v>
      </c>
      <c r="E959" s="32" t="s">
        <v>162</v>
      </c>
      <c r="F959" s="24">
        <v>5</v>
      </c>
      <c r="G959" s="48">
        <v>190</v>
      </c>
      <c r="H959" s="60">
        <f t="shared" si="97"/>
        <v>950</v>
      </c>
      <c r="I959" s="132" t="s">
        <v>1827</v>
      </c>
      <c r="J959" s="82" t="s">
        <v>121</v>
      </c>
      <c r="K959" s="30">
        <v>43825</v>
      </c>
      <c r="L959" s="30"/>
      <c r="M959" s="30">
        <v>43810</v>
      </c>
      <c r="N959" s="50" t="s">
        <v>89</v>
      </c>
      <c r="O959" s="32" t="s">
        <v>122</v>
      </c>
      <c r="P959" s="22">
        <v>148</v>
      </c>
      <c r="Q959" s="404">
        <f t="shared" si="99"/>
        <v>777</v>
      </c>
      <c r="R959" s="404"/>
      <c r="S959" s="404"/>
      <c r="T959" s="406"/>
      <c r="U959" s="719">
        <f t="shared" si="100"/>
        <v>23671.305</v>
      </c>
      <c r="V959" s="35" t="s">
        <v>93</v>
      </c>
      <c r="W959" s="304"/>
      <c r="X959" s="304"/>
      <c r="Y959" s="304"/>
      <c r="Z959" s="304"/>
      <c r="AA959" s="304"/>
      <c r="AB959" s="304" t="s">
        <v>3226</v>
      </c>
      <c r="AC959" s="304" t="s">
        <v>3227</v>
      </c>
      <c r="AD959" s="304">
        <v>30.26</v>
      </c>
      <c r="AE959" s="304"/>
      <c r="AF959" s="296"/>
      <c r="AG959" s="304"/>
      <c r="AH959" s="297"/>
      <c r="AI959" s="537"/>
      <c r="AJ959" s="298">
        <v>43840</v>
      </c>
      <c r="AK959" s="297" t="s">
        <v>3224</v>
      </c>
      <c r="AL959" s="297" t="s">
        <v>3225</v>
      </c>
      <c r="AM959" s="296" t="s">
        <v>49</v>
      </c>
      <c r="AN959" s="296" t="s">
        <v>284</v>
      </c>
      <c r="AO959" s="296" t="s">
        <v>50</v>
      </c>
      <c r="AP959" s="296" t="s">
        <v>51</v>
      </c>
      <c r="AQ959" s="296" t="s">
        <v>1346</v>
      </c>
    </row>
    <row r="960" spans="1:43" ht="15.75" customHeight="1">
      <c r="A960" s="69">
        <v>43777</v>
      </c>
      <c r="B960" s="70" t="s">
        <v>118</v>
      </c>
      <c r="C960" s="21">
        <v>1672019</v>
      </c>
      <c r="D960" s="71" t="s">
        <v>119</v>
      </c>
      <c r="E960" s="32" t="s">
        <v>1848</v>
      </c>
      <c r="F960" s="24">
        <v>20</v>
      </c>
      <c r="G960" s="48">
        <v>485</v>
      </c>
      <c r="H960" s="60">
        <f t="shared" si="97"/>
        <v>9700</v>
      </c>
      <c r="I960" s="132" t="s">
        <v>1827</v>
      </c>
      <c r="J960" s="82" t="s">
        <v>121</v>
      </c>
      <c r="K960" s="30">
        <v>43825</v>
      </c>
      <c r="L960" s="30"/>
      <c r="M960" s="30">
        <v>43822</v>
      </c>
      <c r="N960" s="50" t="s">
        <v>89</v>
      </c>
      <c r="O960" s="32" t="s">
        <v>122</v>
      </c>
      <c r="P960" s="581">
        <v>425</v>
      </c>
      <c r="Q960" s="404">
        <f t="shared" si="99"/>
        <v>8925</v>
      </c>
      <c r="R960" s="404"/>
      <c r="S960" s="404"/>
      <c r="T960" s="406"/>
      <c r="U960" s="719">
        <f t="shared" ref="U960:U961" si="101">Q960*30.42</f>
        <v>271498.5</v>
      </c>
      <c r="V960" s="35" t="s">
        <v>93</v>
      </c>
      <c r="W960" s="304"/>
      <c r="X960" s="304"/>
      <c r="Y960" s="304"/>
      <c r="Z960" s="304"/>
      <c r="AA960" s="304"/>
      <c r="AB960" s="304" t="s">
        <v>3226</v>
      </c>
      <c r="AC960" s="304" t="s">
        <v>3227</v>
      </c>
      <c r="AD960" s="304">
        <v>30.26</v>
      </c>
      <c r="AE960" s="304"/>
      <c r="AF960" s="296"/>
      <c r="AG960" s="304"/>
      <c r="AH960" s="297"/>
      <c r="AI960" s="537"/>
      <c r="AJ960" s="298">
        <v>43850</v>
      </c>
      <c r="AK960" s="297">
        <f>9981.31*29.889</f>
        <v>298331.37458999996</v>
      </c>
      <c r="AL960" s="297">
        <f>(10000-9981.31)*29.889</f>
        <v>558.62541000001522</v>
      </c>
      <c r="AM960" s="296" t="s">
        <v>49</v>
      </c>
      <c r="AN960" s="296" t="s">
        <v>284</v>
      </c>
      <c r="AO960" s="296" t="s">
        <v>50</v>
      </c>
      <c r="AP960" s="296" t="s">
        <v>51</v>
      </c>
      <c r="AQ960" s="296" t="s">
        <v>1346</v>
      </c>
    </row>
    <row r="961" spans="1:43" ht="15.75" customHeight="1">
      <c r="A961" s="69">
        <v>43777</v>
      </c>
      <c r="B961" s="70" t="s">
        <v>118</v>
      </c>
      <c r="C961" s="21">
        <v>1672019</v>
      </c>
      <c r="D961" s="71" t="s">
        <v>119</v>
      </c>
      <c r="E961" s="32" t="s">
        <v>151</v>
      </c>
      <c r="F961" s="24">
        <v>6</v>
      </c>
      <c r="G961" s="48">
        <v>1045</v>
      </c>
      <c r="H961" s="60">
        <f t="shared" si="97"/>
        <v>6270</v>
      </c>
      <c r="I961" s="132" t="s">
        <v>1827</v>
      </c>
      <c r="J961" s="82" t="s">
        <v>121</v>
      </c>
      <c r="K961" s="30">
        <v>43825</v>
      </c>
      <c r="L961" s="30"/>
      <c r="M961" s="30">
        <v>43822</v>
      </c>
      <c r="N961" s="50" t="s">
        <v>89</v>
      </c>
      <c r="O961" s="32" t="s">
        <v>122</v>
      </c>
      <c r="P961" s="581">
        <v>920</v>
      </c>
      <c r="Q961" s="404">
        <f t="shared" si="99"/>
        <v>5796</v>
      </c>
      <c r="R961" s="404"/>
      <c r="S961" s="404"/>
      <c r="T961" s="406"/>
      <c r="U961" s="719">
        <f t="shared" si="101"/>
        <v>176314.32</v>
      </c>
      <c r="V961" s="35" t="s">
        <v>93</v>
      </c>
      <c r="W961" s="304"/>
      <c r="X961" s="304"/>
      <c r="Y961" s="304"/>
      <c r="Z961" s="304"/>
      <c r="AA961" s="304"/>
      <c r="AB961" s="304" t="s">
        <v>3226</v>
      </c>
      <c r="AC961" s="304" t="s">
        <v>3227</v>
      </c>
      <c r="AD961" s="304">
        <v>30.26</v>
      </c>
      <c r="AE961" s="304"/>
      <c r="AF961" s="296"/>
      <c r="AG961" s="304"/>
      <c r="AH961" s="297"/>
      <c r="AI961" s="537"/>
      <c r="AJ961" s="298">
        <v>43840</v>
      </c>
      <c r="AK961" s="297" t="s">
        <v>3224</v>
      </c>
      <c r="AL961" s="297" t="s">
        <v>3225</v>
      </c>
      <c r="AM961" s="296" t="s">
        <v>49</v>
      </c>
      <c r="AN961" s="296" t="s">
        <v>284</v>
      </c>
      <c r="AO961" s="296" t="s">
        <v>50</v>
      </c>
      <c r="AP961" s="296" t="s">
        <v>51</v>
      </c>
      <c r="AQ961" s="296" t="s">
        <v>1346</v>
      </c>
    </row>
    <row r="962" spans="1:43" ht="15.75" customHeight="1">
      <c r="A962" s="69">
        <v>43781</v>
      </c>
      <c r="B962" s="144" t="s">
        <v>166</v>
      </c>
      <c r="C962" s="21"/>
      <c r="D962" s="71" t="s">
        <v>1849</v>
      </c>
      <c r="E962" s="564" t="s">
        <v>1850</v>
      </c>
      <c r="F962" s="24">
        <v>3</v>
      </c>
      <c r="G962" s="48">
        <v>1429</v>
      </c>
      <c r="H962" s="60">
        <f>F962*G962</f>
        <v>4287</v>
      </c>
      <c r="I962" s="27" t="s">
        <v>170</v>
      </c>
      <c r="J962" s="58" t="s">
        <v>171</v>
      </c>
      <c r="K962" s="29">
        <v>43811</v>
      </c>
      <c r="L962" s="29"/>
      <c r="M962" s="29">
        <v>43809</v>
      </c>
      <c r="N962" s="495"/>
      <c r="O962" s="93">
        <v>2019111200002</v>
      </c>
      <c r="P962" s="406"/>
      <c r="Q962" s="406">
        <f t="shared" si="99"/>
        <v>0</v>
      </c>
      <c r="R962" s="406"/>
      <c r="S962" s="406"/>
      <c r="T962" s="406"/>
      <c r="U962" s="721">
        <v>101281.95</v>
      </c>
      <c r="V962" s="406"/>
      <c r="W962" s="304"/>
      <c r="X962" s="304"/>
      <c r="Y962" s="304"/>
      <c r="Z962" s="304"/>
      <c r="AA962" s="304"/>
      <c r="AB962" s="304" t="s">
        <v>3228</v>
      </c>
      <c r="AC962" s="304">
        <v>2416733270</v>
      </c>
      <c r="AD962" s="535">
        <v>30.42</v>
      </c>
      <c r="AE962" s="304"/>
      <c r="AF962" s="304"/>
      <c r="AG962" s="296"/>
      <c r="AH962" s="304"/>
      <c r="AI962" s="297"/>
      <c r="AJ962" s="29">
        <v>43797</v>
      </c>
      <c r="AK962" s="297" t="s">
        <v>3123</v>
      </c>
      <c r="AL962" s="297" t="s">
        <v>3124</v>
      </c>
      <c r="AM962" s="296" t="s">
        <v>49</v>
      </c>
      <c r="AN962" s="296" t="s">
        <v>284</v>
      </c>
      <c r="AO962" s="296" t="s">
        <v>285</v>
      </c>
      <c r="AP962" s="296" t="s">
        <v>51</v>
      </c>
      <c r="AQ962" s="296" t="s">
        <v>1346</v>
      </c>
    </row>
    <row r="963" spans="1:43" ht="15.75" customHeight="1">
      <c r="A963" s="69">
        <v>43781</v>
      </c>
      <c r="B963" s="144" t="s">
        <v>166</v>
      </c>
      <c r="C963" s="21"/>
      <c r="D963" s="71" t="s">
        <v>1849</v>
      </c>
      <c r="E963" s="32" t="s">
        <v>173</v>
      </c>
      <c r="F963" s="24">
        <v>3</v>
      </c>
      <c r="G963" s="48">
        <v>72</v>
      </c>
      <c r="H963" s="60">
        <f>F962*G963</f>
        <v>216</v>
      </c>
      <c r="I963" s="27" t="s">
        <v>170</v>
      </c>
      <c r="J963" s="58" t="s">
        <v>171</v>
      </c>
      <c r="K963" s="29">
        <v>43811</v>
      </c>
      <c r="L963" s="29"/>
      <c r="M963" s="302"/>
      <c r="N963" s="495"/>
      <c r="O963" s="93"/>
      <c r="P963" s="406"/>
      <c r="Q963" s="406"/>
      <c r="R963" s="406"/>
      <c r="S963" s="406"/>
      <c r="T963" s="406"/>
      <c r="U963" s="722">
        <v>0</v>
      </c>
      <c r="V963" s="501"/>
      <c r="W963" s="304"/>
      <c r="X963" s="304"/>
      <c r="Y963" s="304"/>
      <c r="Z963" s="304"/>
      <c r="AA963" s="304"/>
      <c r="AB963" s="304" t="s">
        <v>3228</v>
      </c>
      <c r="AC963" s="304">
        <v>2416733270</v>
      </c>
      <c r="AD963" s="535">
        <v>30.42</v>
      </c>
      <c r="AE963" s="304"/>
      <c r="AF963" s="304"/>
      <c r="AG963" s="296"/>
      <c r="AH963" s="304"/>
      <c r="AI963" s="297"/>
      <c r="AJ963" s="29">
        <v>43797</v>
      </c>
      <c r="AK963" s="297" t="s">
        <v>3123</v>
      </c>
      <c r="AL963" s="297" t="s">
        <v>3124</v>
      </c>
      <c r="AM963" s="296" t="s">
        <v>49</v>
      </c>
      <c r="AN963" s="296" t="s">
        <v>284</v>
      </c>
      <c r="AO963" s="296" t="s">
        <v>285</v>
      </c>
      <c r="AP963" s="296" t="s">
        <v>51</v>
      </c>
      <c r="AQ963" s="296" t="s">
        <v>1346</v>
      </c>
    </row>
    <row r="964" spans="1:43" ht="15.75" customHeight="1">
      <c r="A964" s="69">
        <v>43781</v>
      </c>
      <c r="B964" s="144" t="s">
        <v>166</v>
      </c>
      <c r="C964" s="21"/>
      <c r="D964" s="71" t="s">
        <v>1849</v>
      </c>
      <c r="E964" s="23" t="s">
        <v>176</v>
      </c>
      <c r="F964" s="130">
        <v>3</v>
      </c>
      <c r="G964" s="25">
        <v>61</v>
      </c>
      <c r="H964" s="60">
        <f t="shared" ref="H964:H965" si="102">F964*G964</f>
        <v>183</v>
      </c>
      <c r="I964" s="27" t="s">
        <v>170</v>
      </c>
      <c r="J964" s="58" t="s">
        <v>171</v>
      </c>
      <c r="K964" s="29">
        <v>43811</v>
      </c>
      <c r="L964" s="29"/>
      <c r="M964" s="302"/>
      <c r="N964" s="495"/>
      <c r="O964" s="93"/>
      <c r="P964" s="406"/>
      <c r="Q964" s="406">
        <f>(P964*F964)*1.05</f>
        <v>0</v>
      </c>
      <c r="R964" s="406"/>
      <c r="S964" s="406"/>
      <c r="T964" s="406"/>
      <c r="U964" s="721">
        <v>1483.65</v>
      </c>
      <c r="V964" s="501"/>
      <c r="W964" s="304"/>
      <c r="X964" s="304"/>
      <c r="Y964" s="304"/>
      <c r="Z964" s="304"/>
      <c r="AA964" s="304"/>
      <c r="AB964" s="304" t="s">
        <v>3228</v>
      </c>
      <c r="AC964" s="304">
        <v>2416733270</v>
      </c>
      <c r="AD964" s="535">
        <v>30.42</v>
      </c>
      <c r="AE964" s="304"/>
      <c r="AF964" s="304"/>
      <c r="AG964" s="296"/>
      <c r="AH964" s="304"/>
      <c r="AI964" s="297"/>
      <c r="AJ964" s="29">
        <v>43797</v>
      </c>
      <c r="AK964" s="297" t="s">
        <v>3123</v>
      </c>
      <c r="AL964" s="297" t="s">
        <v>3124</v>
      </c>
      <c r="AM964" s="296" t="s">
        <v>49</v>
      </c>
      <c r="AN964" s="296" t="s">
        <v>284</v>
      </c>
      <c r="AO964" s="296" t="s">
        <v>285</v>
      </c>
      <c r="AP964" s="296" t="s">
        <v>51</v>
      </c>
      <c r="AQ964" s="296" t="s">
        <v>1346</v>
      </c>
    </row>
    <row r="965" spans="1:43" ht="15.75" customHeight="1">
      <c r="A965" s="69">
        <v>43781</v>
      </c>
      <c r="B965" s="144" t="s">
        <v>166</v>
      </c>
      <c r="C965" s="21"/>
      <c r="D965" s="71" t="s">
        <v>1851</v>
      </c>
      <c r="E965" s="545" t="s">
        <v>1850</v>
      </c>
      <c r="F965" s="130">
        <v>1</v>
      </c>
      <c r="G965" s="25">
        <v>1429</v>
      </c>
      <c r="H965" s="60">
        <f t="shared" si="102"/>
        <v>1429</v>
      </c>
      <c r="I965" s="27" t="s">
        <v>170</v>
      </c>
      <c r="J965" s="58" t="s">
        <v>171</v>
      </c>
      <c r="K965" s="29">
        <v>43811</v>
      </c>
      <c r="L965" s="29"/>
      <c r="M965" s="29">
        <v>43809</v>
      </c>
      <c r="N965" s="495"/>
      <c r="O965" s="93">
        <v>2019111200003</v>
      </c>
      <c r="P965" s="406"/>
      <c r="Q965" s="406">
        <f>(P965*F965)*1.05</f>
        <v>0</v>
      </c>
      <c r="R965" s="406"/>
      <c r="S965" s="406"/>
      <c r="T965" s="406"/>
      <c r="U965" s="721">
        <v>33760.65</v>
      </c>
      <c r="V965" s="501"/>
      <c r="W965" s="304"/>
      <c r="X965" s="304"/>
      <c r="Y965" s="304"/>
      <c r="Z965" s="304"/>
      <c r="AA965" s="304"/>
      <c r="AB965" s="304" t="s">
        <v>3228</v>
      </c>
      <c r="AC965" s="304">
        <v>2416733270</v>
      </c>
      <c r="AD965" s="535">
        <v>30.42</v>
      </c>
      <c r="AE965" s="304"/>
      <c r="AF965" s="304"/>
      <c r="AG965" s="296"/>
      <c r="AH965" s="304"/>
      <c r="AI965" s="297"/>
      <c r="AJ965" s="29">
        <v>43797</v>
      </c>
      <c r="AK965" s="297" t="s">
        <v>3123</v>
      </c>
      <c r="AL965" s="297" t="s">
        <v>3124</v>
      </c>
      <c r="AM965" s="296" t="s">
        <v>49</v>
      </c>
      <c r="AN965" s="296" t="s">
        <v>284</v>
      </c>
      <c r="AO965" s="296" t="s">
        <v>285</v>
      </c>
      <c r="AP965" s="296" t="s">
        <v>51</v>
      </c>
      <c r="AQ965" s="296" t="s">
        <v>1346</v>
      </c>
    </row>
    <row r="966" spans="1:43" ht="15.75" customHeight="1">
      <c r="A966" s="69">
        <v>43781</v>
      </c>
      <c r="B966" s="144" t="s">
        <v>166</v>
      </c>
      <c r="C966" s="21"/>
      <c r="D966" s="71" t="s">
        <v>1851</v>
      </c>
      <c r="E966" s="23" t="s">
        <v>173</v>
      </c>
      <c r="F966" s="130">
        <v>1</v>
      </c>
      <c r="G966" s="25">
        <v>72</v>
      </c>
      <c r="H966" s="60">
        <f>F965*G966</f>
        <v>72</v>
      </c>
      <c r="I966" s="27" t="s">
        <v>170</v>
      </c>
      <c r="J966" s="58" t="s">
        <v>171</v>
      </c>
      <c r="K966" s="29">
        <v>43811</v>
      </c>
      <c r="L966" s="29"/>
      <c r="M966" s="302"/>
      <c r="N966" s="495"/>
      <c r="O966" s="93"/>
      <c r="P966" s="406"/>
      <c r="Q966" s="406"/>
      <c r="R966" s="406"/>
      <c r="S966" s="406"/>
      <c r="T966" s="406"/>
      <c r="U966" s="406">
        <v>0</v>
      </c>
      <c r="V966" s="501"/>
      <c r="W966" s="304"/>
      <c r="X966" s="304"/>
      <c r="Y966" s="304"/>
      <c r="Z966" s="304"/>
      <c r="AA966" s="304"/>
      <c r="AB966" s="304" t="s">
        <v>3228</v>
      </c>
      <c r="AC966" s="304">
        <v>2416733270</v>
      </c>
      <c r="AD966" s="535">
        <v>30.42</v>
      </c>
      <c r="AE966" s="304"/>
      <c r="AF966" s="304"/>
      <c r="AG966" s="296"/>
      <c r="AH966" s="304"/>
      <c r="AI966" s="297"/>
      <c r="AJ966" s="29">
        <v>43797</v>
      </c>
      <c r="AK966" s="297" t="s">
        <v>3123</v>
      </c>
      <c r="AL966" s="297" t="s">
        <v>3124</v>
      </c>
      <c r="AM966" s="296" t="s">
        <v>49</v>
      </c>
      <c r="AN966" s="296" t="s">
        <v>284</v>
      </c>
      <c r="AO966" s="296" t="s">
        <v>285</v>
      </c>
      <c r="AP966" s="296" t="s">
        <v>51</v>
      </c>
      <c r="AQ966" s="296" t="s">
        <v>1346</v>
      </c>
    </row>
    <row r="967" spans="1:43" ht="15.75" customHeight="1">
      <c r="A967" s="69">
        <v>43781</v>
      </c>
      <c r="B967" s="144" t="s">
        <v>166</v>
      </c>
      <c r="C967" s="21"/>
      <c r="D967" s="71" t="s">
        <v>1851</v>
      </c>
      <c r="E967" s="32" t="s">
        <v>176</v>
      </c>
      <c r="F967" s="24">
        <v>1</v>
      </c>
      <c r="G967" s="48">
        <v>61</v>
      </c>
      <c r="H967" s="60">
        <f>F967*G967</f>
        <v>61</v>
      </c>
      <c r="I967" s="27" t="s">
        <v>170</v>
      </c>
      <c r="J967" s="58" t="s">
        <v>171</v>
      </c>
      <c r="K967" s="29">
        <v>43811</v>
      </c>
      <c r="L967" s="29"/>
      <c r="M967" s="302"/>
      <c r="N967" s="495"/>
      <c r="O967" s="93"/>
      <c r="P967" s="406"/>
      <c r="Q967" s="406">
        <f>(P967*F967)*1.05</f>
        <v>0</v>
      </c>
      <c r="R967" s="406"/>
      <c r="S967" s="406"/>
      <c r="T967" s="406"/>
      <c r="U967" s="501">
        <v>2967.3</v>
      </c>
      <c r="V967" s="406"/>
      <c r="W967" s="304"/>
      <c r="X967" s="304"/>
      <c r="Y967" s="304"/>
      <c r="Z967" s="304"/>
      <c r="AA967" s="304"/>
      <c r="AB967" s="304" t="s">
        <v>3228</v>
      </c>
      <c r="AC967" s="304">
        <v>2416733270</v>
      </c>
      <c r="AD967" s="535">
        <v>30.42</v>
      </c>
      <c r="AE967" s="304"/>
      <c r="AF967" s="304"/>
      <c r="AG967" s="296"/>
      <c r="AH967" s="304"/>
      <c r="AI967" s="297"/>
      <c r="AJ967" s="29">
        <v>43797</v>
      </c>
      <c r="AK967" s="297" t="s">
        <v>3123</v>
      </c>
      <c r="AL967" s="297" t="s">
        <v>3124</v>
      </c>
      <c r="AM967" s="296" t="s">
        <v>49</v>
      </c>
      <c r="AN967" s="296" t="s">
        <v>284</v>
      </c>
      <c r="AO967" s="296" t="s">
        <v>285</v>
      </c>
      <c r="AP967" s="296" t="s">
        <v>51</v>
      </c>
      <c r="AQ967" s="296" t="s">
        <v>1346</v>
      </c>
    </row>
    <row r="968" spans="1:43" ht="15.75" customHeight="1">
      <c r="A968" s="69">
        <v>43781</v>
      </c>
      <c r="B968" s="144" t="s">
        <v>100</v>
      </c>
      <c r="C968" s="21"/>
      <c r="D968" s="71" t="s">
        <v>1852</v>
      </c>
      <c r="E968" s="32" t="s">
        <v>1853</v>
      </c>
      <c r="F968" s="24">
        <v>1</v>
      </c>
      <c r="G968" s="48">
        <v>0</v>
      </c>
      <c r="H968" s="60">
        <f>G968*F968</f>
        <v>0</v>
      </c>
      <c r="I968" s="61" t="s">
        <v>170</v>
      </c>
      <c r="J968" s="63" t="s">
        <v>1042</v>
      </c>
      <c r="K968" s="29">
        <v>43790</v>
      </c>
      <c r="L968" s="29"/>
      <c r="M968" s="29">
        <v>43789</v>
      </c>
      <c r="N968" s="619" t="s">
        <v>3229</v>
      </c>
      <c r="O968" s="64">
        <v>2019111200001</v>
      </c>
      <c r="P968" s="34"/>
      <c r="Q968" s="34">
        <f>(P968*F968)*1.05</f>
        <v>0</v>
      </c>
      <c r="R968" s="34"/>
      <c r="S968" s="34"/>
      <c r="T968" s="34"/>
      <c r="U968" s="34">
        <f>(T968*F970)*1.05</f>
        <v>0</v>
      </c>
      <c r="V968" s="76"/>
      <c r="W968" s="52"/>
      <c r="X968" s="53"/>
      <c r="Y968" s="53"/>
      <c r="Z968" s="53"/>
      <c r="AA968" s="53"/>
      <c r="AB968" s="53" t="s">
        <v>3230</v>
      </c>
      <c r="AC968" s="53">
        <v>2637966170</v>
      </c>
      <c r="AD968" s="67"/>
      <c r="AE968" s="53"/>
      <c r="AF968" s="53"/>
      <c r="AG968" s="54"/>
      <c r="AH968" s="53">
        <v>30.465</v>
      </c>
      <c r="AI968" s="55"/>
      <c r="AJ968" s="68"/>
      <c r="AK968" s="55"/>
      <c r="AL968" s="55"/>
      <c r="AM968" s="296" t="s">
        <v>49</v>
      </c>
      <c r="AN968" s="54" t="s">
        <v>1606</v>
      </c>
      <c r="AO968" s="54"/>
      <c r="AP968" s="54"/>
      <c r="AQ968" s="57"/>
    </row>
    <row r="969" spans="1:43" ht="15.75" customHeight="1">
      <c r="A969" s="69">
        <v>43781</v>
      </c>
      <c r="B969" s="144" t="s">
        <v>100</v>
      </c>
      <c r="C969" s="21"/>
      <c r="D969" s="71" t="s">
        <v>1852</v>
      </c>
      <c r="E969" s="32" t="s">
        <v>1854</v>
      </c>
      <c r="F969" s="24">
        <v>1</v>
      </c>
      <c r="G969" s="48">
        <v>0</v>
      </c>
      <c r="H969" s="165">
        <v>0</v>
      </c>
      <c r="I969" s="61" t="s">
        <v>170</v>
      </c>
      <c r="J969" s="63" t="s">
        <v>1855</v>
      </c>
      <c r="K969" s="29">
        <v>43796</v>
      </c>
      <c r="L969" s="29"/>
      <c r="M969" s="29">
        <v>43789</v>
      </c>
      <c r="N969" s="619" t="s">
        <v>3229</v>
      </c>
      <c r="O969" s="32"/>
      <c r="P969" s="34"/>
      <c r="Q969" s="34"/>
      <c r="R969" s="34"/>
      <c r="S969" s="34"/>
      <c r="T969" s="34"/>
      <c r="U969" s="34"/>
      <c r="V969" s="35"/>
      <c r="W969" s="531"/>
      <c r="X969" s="78"/>
      <c r="Y969" s="53"/>
      <c r="Z969" s="53"/>
      <c r="AA969" s="53"/>
      <c r="AB969" s="53" t="s">
        <v>3230</v>
      </c>
      <c r="AC969" s="53">
        <v>2637966170</v>
      </c>
      <c r="AD969" s="67"/>
      <c r="AE969" s="53"/>
      <c r="AF969" s="78"/>
      <c r="AG969" s="54"/>
      <c r="AH969" s="53"/>
      <c r="AI969" s="55"/>
      <c r="AJ969" s="68"/>
      <c r="AK969" s="55"/>
      <c r="AL969" s="55"/>
      <c r="AM969" s="296" t="s">
        <v>49</v>
      </c>
      <c r="AN969" s="54" t="s">
        <v>1606</v>
      </c>
      <c r="AO969" s="54"/>
      <c r="AP969" s="54"/>
      <c r="AQ969" s="57"/>
    </row>
    <row r="970" spans="1:43" ht="15.75" customHeight="1">
      <c r="A970" s="69">
        <v>43781</v>
      </c>
      <c r="B970" s="70" t="s">
        <v>222</v>
      </c>
      <c r="C970" s="21" t="s">
        <v>1856</v>
      </c>
      <c r="D970" s="111" t="s">
        <v>1857</v>
      </c>
      <c r="E970" s="32" t="s">
        <v>1858</v>
      </c>
      <c r="F970" s="24">
        <v>2</v>
      </c>
      <c r="G970" s="48">
        <f t="shared" ref="G970:G971" si="103">129*1.05</f>
        <v>135.45000000000002</v>
      </c>
      <c r="H970" s="165">
        <f t="shared" ref="H970:H989" si="104">G970*F970</f>
        <v>270.90000000000003</v>
      </c>
      <c r="I970" s="61" t="s">
        <v>1827</v>
      </c>
      <c r="J970" s="50" t="s">
        <v>89</v>
      </c>
      <c r="K970" s="29">
        <v>43791</v>
      </c>
      <c r="L970" s="29"/>
      <c r="M970" s="84">
        <v>43791</v>
      </c>
      <c r="N970" s="50" t="s">
        <v>89</v>
      </c>
      <c r="O970" s="32" t="s">
        <v>3231</v>
      </c>
      <c r="P970" s="406">
        <v>117</v>
      </c>
      <c r="Q970" s="406">
        <f t="shared" ref="Q970:Q988" si="105">(P970*F970)*1.05</f>
        <v>245.70000000000002</v>
      </c>
      <c r="R970" s="406"/>
      <c r="S970" s="406"/>
      <c r="T970" s="406"/>
      <c r="U970" s="406">
        <v>7485</v>
      </c>
      <c r="V970" s="35" t="s">
        <v>93</v>
      </c>
      <c r="W970" s="303">
        <v>43830</v>
      </c>
      <c r="X970" s="303">
        <v>43790</v>
      </c>
      <c r="Y970" s="304" t="s">
        <v>1859</v>
      </c>
      <c r="Z970" s="304">
        <v>7485</v>
      </c>
      <c r="AA970" s="304"/>
      <c r="AB970" s="304" t="s">
        <v>3232</v>
      </c>
      <c r="AC970" s="304" t="s">
        <v>3233</v>
      </c>
      <c r="AD970" s="535">
        <v>30.48</v>
      </c>
      <c r="AE970" s="304">
        <v>8257</v>
      </c>
      <c r="AF970" s="303">
        <v>43790</v>
      </c>
      <c r="AG970" s="296"/>
      <c r="AH970" s="304">
        <v>30.48</v>
      </c>
      <c r="AI970" s="297"/>
      <c r="AJ970" s="29">
        <v>43809</v>
      </c>
      <c r="AK970" s="297" t="s">
        <v>3153</v>
      </c>
      <c r="AL970" s="297" t="s">
        <v>3154</v>
      </c>
      <c r="AM970" s="296" t="s">
        <v>49</v>
      </c>
      <c r="AN970" s="296" t="s">
        <v>284</v>
      </c>
      <c r="AO970" s="296" t="s">
        <v>50</v>
      </c>
      <c r="AP970" s="296" t="s">
        <v>376</v>
      </c>
      <c r="AQ970" s="457" t="s">
        <v>755</v>
      </c>
    </row>
    <row r="971" spans="1:43" ht="15.75" customHeight="1">
      <c r="A971" s="69">
        <v>43781</v>
      </c>
      <c r="B971" s="70" t="s">
        <v>222</v>
      </c>
      <c r="C971" s="21" t="s">
        <v>1856</v>
      </c>
      <c r="D971" s="111" t="s">
        <v>1857</v>
      </c>
      <c r="E971" s="32" t="s">
        <v>1860</v>
      </c>
      <c r="F971" s="24">
        <v>2</v>
      </c>
      <c r="G971" s="48">
        <f t="shared" si="103"/>
        <v>135.45000000000002</v>
      </c>
      <c r="H971" s="165">
        <f t="shared" si="104"/>
        <v>270.90000000000003</v>
      </c>
      <c r="I971" s="61" t="s">
        <v>1827</v>
      </c>
      <c r="J971" s="50" t="s">
        <v>89</v>
      </c>
      <c r="K971" s="84">
        <v>43805</v>
      </c>
      <c r="L971" s="84"/>
      <c r="M971" s="84">
        <v>43805</v>
      </c>
      <c r="N971" s="50" t="s">
        <v>89</v>
      </c>
      <c r="O971" s="32" t="s">
        <v>3231</v>
      </c>
      <c r="P971" s="406">
        <v>117</v>
      </c>
      <c r="Q971" s="406">
        <f t="shared" si="105"/>
        <v>245.70000000000002</v>
      </c>
      <c r="R971" s="406"/>
      <c r="S971" s="406"/>
      <c r="T971" s="406"/>
      <c r="U971" s="698">
        <f>Q971*30.45</f>
        <v>7481.5650000000005</v>
      </c>
      <c r="V971" s="35" t="s">
        <v>93</v>
      </c>
      <c r="W971" s="304"/>
      <c r="X971" s="304"/>
      <c r="Y971" s="304"/>
      <c r="Z971" s="304"/>
      <c r="AA971" s="304"/>
      <c r="AB971" s="304" t="s">
        <v>3234</v>
      </c>
      <c r="AC971" s="304">
        <v>760113686804</v>
      </c>
      <c r="AD971" s="304">
        <v>30.49</v>
      </c>
      <c r="AE971" s="304">
        <v>8260</v>
      </c>
      <c r="AF971" s="303">
        <v>43809</v>
      </c>
      <c r="AG971" s="304"/>
      <c r="AH971" s="297"/>
      <c r="AI971" s="537"/>
      <c r="AJ971" s="298">
        <v>43838</v>
      </c>
      <c r="AK971" s="297">
        <v>46486</v>
      </c>
      <c r="AL971" s="296">
        <v>15</v>
      </c>
      <c r="AM971" s="296" t="s">
        <v>49</v>
      </c>
      <c r="AN971" s="296" t="s">
        <v>284</v>
      </c>
      <c r="AO971" s="296" t="s">
        <v>50</v>
      </c>
      <c r="AP971" s="296" t="s">
        <v>376</v>
      </c>
      <c r="AQ971" s="296" t="s">
        <v>1346</v>
      </c>
    </row>
    <row r="972" spans="1:43" ht="15.75" customHeight="1">
      <c r="A972" s="69">
        <v>43781</v>
      </c>
      <c r="B972" s="70" t="s">
        <v>228</v>
      </c>
      <c r="C972" s="21" t="s">
        <v>1861</v>
      </c>
      <c r="D972" s="71" t="s">
        <v>1862</v>
      </c>
      <c r="E972" s="32" t="s">
        <v>728</v>
      </c>
      <c r="F972" s="24">
        <v>2</v>
      </c>
      <c r="G972" s="434">
        <v>336</v>
      </c>
      <c r="H972" s="165">
        <f t="shared" si="104"/>
        <v>672</v>
      </c>
      <c r="I972" s="61" t="s">
        <v>170</v>
      </c>
      <c r="J972" s="50" t="s">
        <v>232</v>
      </c>
      <c r="K972" s="30">
        <v>43789</v>
      </c>
      <c r="L972" s="30"/>
      <c r="M972" s="30">
        <v>43789</v>
      </c>
      <c r="N972" s="50" t="s">
        <v>89</v>
      </c>
      <c r="O972" s="93" t="s">
        <v>3235</v>
      </c>
      <c r="P972" s="406">
        <v>257</v>
      </c>
      <c r="Q972" s="406">
        <f t="shared" si="105"/>
        <v>539.70000000000005</v>
      </c>
      <c r="R972" s="406"/>
      <c r="S972" s="406"/>
      <c r="T972" s="406"/>
      <c r="U972" s="406">
        <v>16350</v>
      </c>
      <c r="V972" s="51" t="s">
        <v>93</v>
      </c>
      <c r="W972" s="303">
        <v>43830</v>
      </c>
      <c r="X972" s="303">
        <v>43789</v>
      </c>
      <c r="Y972" s="304" t="s">
        <v>1863</v>
      </c>
      <c r="Z972" s="304">
        <v>17425</v>
      </c>
      <c r="AA972" s="304"/>
      <c r="AB972" s="304" t="s">
        <v>3236</v>
      </c>
      <c r="AC972" s="304"/>
      <c r="AD972" s="535">
        <v>30.51</v>
      </c>
      <c r="AE972" s="304">
        <v>21784</v>
      </c>
      <c r="AF972" s="303">
        <v>43781</v>
      </c>
      <c r="AG972" s="296"/>
      <c r="AH972" s="304"/>
      <c r="AI972" s="297"/>
      <c r="AJ972" s="298">
        <v>43801</v>
      </c>
      <c r="AK972" s="297" t="s">
        <v>3094</v>
      </c>
      <c r="AL972" s="297" t="s">
        <v>3095</v>
      </c>
      <c r="AM972" s="296" t="s">
        <v>49</v>
      </c>
      <c r="AN972" s="296" t="s">
        <v>284</v>
      </c>
      <c r="AO972" s="296" t="s">
        <v>50</v>
      </c>
      <c r="AP972" s="296" t="s">
        <v>376</v>
      </c>
      <c r="AQ972" s="457" t="s">
        <v>755</v>
      </c>
    </row>
    <row r="973" spans="1:43" ht="15.75" customHeight="1">
      <c r="A973" s="69">
        <v>43781</v>
      </c>
      <c r="B973" s="70" t="s">
        <v>228</v>
      </c>
      <c r="C973" s="21" t="s">
        <v>1861</v>
      </c>
      <c r="D973" s="71" t="s">
        <v>1862</v>
      </c>
      <c r="E973" s="32" t="s">
        <v>729</v>
      </c>
      <c r="F973" s="24">
        <v>2</v>
      </c>
      <c r="G973" s="48">
        <v>21</v>
      </c>
      <c r="H973" s="165">
        <f t="shared" si="104"/>
        <v>42</v>
      </c>
      <c r="I973" s="61" t="s">
        <v>170</v>
      </c>
      <c r="J973" s="50" t="s">
        <v>232</v>
      </c>
      <c r="K973" s="30">
        <v>43789</v>
      </c>
      <c r="L973" s="30"/>
      <c r="M973" s="30">
        <v>43789</v>
      </c>
      <c r="N973" s="50" t="s">
        <v>89</v>
      </c>
      <c r="O973" s="93" t="s">
        <v>3235</v>
      </c>
      <c r="P973" s="406">
        <v>16.899999999999999</v>
      </c>
      <c r="Q973" s="406">
        <f t="shared" si="105"/>
        <v>35.49</v>
      </c>
      <c r="R973" s="406"/>
      <c r="S973" s="406"/>
      <c r="T973" s="406"/>
      <c r="U973" s="406">
        <v>1075</v>
      </c>
      <c r="V973" s="51" t="s">
        <v>93</v>
      </c>
      <c r="W973" s="303">
        <v>43830</v>
      </c>
      <c r="X973" s="303">
        <v>43789</v>
      </c>
      <c r="Y973" s="304" t="s">
        <v>1863</v>
      </c>
      <c r="Z973" s="304" t="s">
        <v>3237</v>
      </c>
      <c r="AA973" s="304"/>
      <c r="AB973" s="304" t="s">
        <v>3236</v>
      </c>
      <c r="AC973" s="304"/>
      <c r="AD973" s="535">
        <v>30.51</v>
      </c>
      <c r="AE973" s="304" t="s">
        <v>3238</v>
      </c>
      <c r="AF973" s="303">
        <v>43781</v>
      </c>
      <c r="AG973" s="296"/>
      <c r="AH973" s="304"/>
      <c r="AI973" s="297"/>
      <c r="AJ973" s="298">
        <v>43801</v>
      </c>
      <c r="AK973" s="297" t="s">
        <v>3094</v>
      </c>
      <c r="AL973" s="297" t="s">
        <v>3095</v>
      </c>
      <c r="AM973" s="296" t="s">
        <v>49</v>
      </c>
      <c r="AN973" s="296" t="s">
        <v>284</v>
      </c>
      <c r="AO973" s="296" t="s">
        <v>50</v>
      </c>
      <c r="AP973" s="296" t="s">
        <v>376</v>
      </c>
      <c r="AQ973" s="457" t="s">
        <v>755</v>
      </c>
    </row>
    <row r="974" spans="1:43" ht="15.75" customHeight="1">
      <c r="A974" s="69">
        <v>43781</v>
      </c>
      <c r="B974" s="21" t="s">
        <v>228</v>
      </c>
      <c r="C974" s="21" t="s">
        <v>1861</v>
      </c>
      <c r="D974" s="71" t="s">
        <v>1862</v>
      </c>
      <c r="E974" s="32" t="s">
        <v>231</v>
      </c>
      <c r="F974" s="24">
        <v>58</v>
      </c>
      <c r="G974" s="48">
        <v>407.4</v>
      </c>
      <c r="H974" s="165">
        <f t="shared" si="104"/>
        <v>23629.199999999997</v>
      </c>
      <c r="I974" s="61" t="s">
        <v>170</v>
      </c>
      <c r="J974" s="50" t="s">
        <v>232</v>
      </c>
      <c r="K974" s="296" t="s">
        <v>70</v>
      </c>
      <c r="L974" s="296"/>
      <c r="M974" s="30">
        <v>43825</v>
      </c>
      <c r="N974" s="50" t="s">
        <v>89</v>
      </c>
      <c r="O974" s="93" t="s">
        <v>3235</v>
      </c>
      <c r="P974" s="406">
        <v>355</v>
      </c>
      <c r="Q974" s="406">
        <f t="shared" si="105"/>
        <v>21619.5</v>
      </c>
      <c r="R974" s="409"/>
      <c r="S974" s="409"/>
      <c r="T974" s="728"/>
      <c r="U974" s="698">
        <f>Q974*30.26</f>
        <v>654206.07000000007</v>
      </c>
      <c r="V974" s="35" t="s">
        <v>93</v>
      </c>
      <c r="W974" s="304"/>
      <c r="X974" s="304"/>
      <c r="Y974" s="304"/>
      <c r="Z974" s="304"/>
      <c r="AA974" s="304"/>
      <c r="AB974" s="304" t="s">
        <v>3239</v>
      </c>
      <c r="AC974" s="406" t="s">
        <v>3097</v>
      </c>
      <c r="AD974" s="304">
        <v>30.1</v>
      </c>
      <c r="AE974" s="404">
        <v>711239</v>
      </c>
      <c r="AF974" s="29">
        <v>43825</v>
      </c>
      <c r="AG974" s="304"/>
      <c r="AH974" s="297"/>
      <c r="AI974" s="537"/>
      <c r="AJ974" s="298">
        <v>43864</v>
      </c>
      <c r="AK974" s="297" t="s">
        <v>3240</v>
      </c>
      <c r="AL974" s="296">
        <v>0</v>
      </c>
      <c r="AM974" s="296" t="s">
        <v>49</v>
      </c>
      <c r="AN974" s="296" t="s">
        <v>284</v>
      </c>
      <c r="AO974" s="296" t="s">
        <v>50</v>
      </c>
      <c r="AP974" s="296" t="s">
        <v>376</v>
      </c>
      <c r="AQ974" s="296" t="s">
        <v>1346</v>
      </c>
    </row>
    <row r="975" spans="1:43" ht="15.75" customHeight="1">
      <c r="A975" s="397">
        <v>43783</v>
      </c>
      <c r="B975" s="273" t="s">
        <v>1864</v>
      </c>
      <c r="C975" s="565"/>
      <c r="D975" s="184" t="s">
        <v>1865</v>
      </c>
      <c r="E975" s="185" t="s">
        <v>1866</v>
      </c>
      <c r="F975" s="186"/>
      <c r="G975" s="187">
        <v>1838</v>
      </c>
      <c r="H975" s="566">
        <f t="shared" si="104"/>
        <v>0</v>
      </c>
      <c r="I975" s="481" t="s">
        <v>170</v>
      </c>
      <c r="J975" s="400" t="s">
        <v>70</v>
      </c>
      <c r="K975" s="87" t="s">
        <v>70</v>
      </c>
      <c r="L975" s="87"/>
      <c r="M975" s="665"/>
      <c r="N975" s="619"/>
      <c r="O975" s="64"/>
      <c r="P975" s="34"/>
      <c r="Q975" s="34">
        <f t="shared" si="105"/>
        <v>0</v>
      </c>
      <c r="R975" s="34"/>
      <c r="S975" s="34"/>
      <c r="T975" s="34"/>
      <c r="U975" s="34">
        <f>(T975*F976)*1.05</f>
        <v>0</v>
      </c>
      <c r="V975" s="66"/>
      <c r="W975" s="52"/>
      <c r="X975" s="53"/>
      <c r="Y975" s="53"/>
      <c r="Z975" s="53"/>
      <c r="AA975" s="53"/>
      <c r="AB975" s="53"/>
      <c r="AC975" s="53"/>
      <c r="AD975" s="67"/>
      <c r="AE975" s="53"/>
      <c r="AF975" s="53"/>
      <c r="AG975" s="54"/>
      <c r="AH975" s="53"/>
      <c r="AI975" s="55"/>
      <c r="AJ975" s="68"/>
      <c r="AK975" s="55"/>
      <c r="AL975" s="55"/>
      <c r="AM975" s="296" t="s">
        <v>49</v>
      </c>
      <c r="AN975" s="54" t="s">
        <v>295</v>
      </c>
      <c r="AO975" s="54"/>
      <c r="AP975" s="54"/>
      <c r="AQ975" s="57"/>
    </row>
    <row r="976" spans="1:43" ht="15.75" customHeight="1">
      <c r="A976" s="397">
        <v>43783</v>
      </c>
      <c r="B976" s="273" t="s">
        <v>1864</v>
      </c>
      <c r="C976" s="565"/>
      <c r="D976" s="184" t="s">
        <v>1865</v>
      </c>
      <c r="E976" s="185" t="s">
        <v>1586</v>
      </c>
      <c r="F976" s="186"/>
      <c r="G976" s="187">
        <v>48</v>
      </c>
      <c r="H976" s="566">
        <f t="shared" si="104"/>
        <v>0</v>
      </c>
      <c r="I976" s="481" t="s">
        <v>170</v>
      </c>
      <c r="J976" s="400" t="s">
        <v>70</v>
      </c>
      <c r="K976" s="87" t="s">
        <v>70</v>
      </c>
      <c r="L976" s="87"/>
      <c r="M976" s="665"/>
      <c r="N976" s="63" t="s">
        <v>177</v>
      </c>
      <c r="O976" s="64"/>
      <c r="P976" s="34"/>
      <c r="Q976" s="34">
        <f t="shared" si="105"/>
        <v>0</v>
      </c>
      <c r="R976" s="34"/>
      <c r="S976" s="34"/>
      <c r="T976" s="34"/>
      <c r="U976" s="34">
        <f>(T976*F977)*1.05</f>
        <v>0</v>
      </c>
      <c r="V976" s="66"/>
      <c r="W976" s="52"/>
      <c r="X976" s="53"/>
      <c r="Y976" s="53"/>
      <c r="Z976" s="53"/>
      <c r="AA976" s="53"/>
      <c r="AB976" s="53"/>
      <c r="AC976" s="53"/>
      <c r="AD976" s="67"/>
      <c r="AE976" s="53"/>
      <c r="AF976" s="53"/>
      <c r="AG976" s="54"/>
      <c r="AH976" s="53"/>
      <c r="AI976" s="55"/>
      <c r="AJ976" s="68"/>
      <c r="AK976" s="55"/>
      <c r="AL976" s="55"/>
      <c r="AM976" s="296" t="s">
        <v>49</v>
      </c>
      <c r="AN976" s="54" t="s">
        <v>295</v>
      </c>
      <c r="AO976" s="54"/>
      <c r="AP976" s="54"/>
      <c r="AQ976" s="57"/>
    </row>
    <row r="977" spans="1:43" ht="15.75" customHeight="1">
      <c r="A977" s="397">
        <v>43783</v>
      </c>
      <c r="B977" s="273" t="s">
        <v>1864</v>
      </c>
      <c r="C977" s="565"/>
      <c r="D977" s="184" t="s">
        <v>1865</v>
      </c>
      <c r="E977" s="185" t="s">
        <v>1867</v>
      </c>
      <c r="F977" s="186"/>
      <c r="G977" s="187">
        <v>79</v>
      </c>
      <c r="H977" s="566">
        <f t="shared" si="104"/>
        <v>0</v>
      </c>
      <c r="I977" s="481" t="s">
        <v>170</v>
      </c>
      <c r="J977" s="400" t="s">
        <v>70</v>
      </c>
      <c r="K977" s="87" t="s">
        <v>70</v>
      </c>
      <c r="L977" s="87"/>
      <c r="M977" s="665"/>
      <c r="N977" s="63" t="s">
        <v>177</v>
      </c>
      <c r="O977" s="64"/>
      <c r="P977" s="34"/>
      <c r="Q977" s="34">
        <f t="shared" si="105"/>
        <v>0</v>
      </c>
      <c r="R977" s="34"/>
      <c r="S977" s="34"/>
      <c r="T977" s="34"/>
      <c r="U977" s="34">
        <f>(T977*F978)*1.05</f>
        <v>0</v>
      </c>
      <c r="V977" s="66"/>
      <c r="W977" s="52"/>
      <c r="X977" s="53"/>
      <c r="Y977" s="53"/>
      <c r="Z977" s="53"/>
      <c r="AA977" s="53"/>
      <c r="AB977" s="53"/>
      <c r="AC977" s="53"/>
      <c r="AD977" s="67"/>
      <c r="AE977" s="53"/>
      <c r="AF977" s="53"/>
      <c r="AG977" s="54"/>
      <c r="AH977" s="53"/>
      <c r="AI977" s="55"/>
      <c r="AJ977" s="68"/>
      <c r="AK977" s="55"/>
      <c r="AL977" s="55"/>
      <c r="AM977" s="296" t="s">
        <v>49</v>
      </c>
      <c r="AN977" s="54" t="s">
        <v>295</v>
      </c>
      <c r="AO977" s="54"/>
      <c r="AP977" s="54"/>
      <c r="AQ977" s="57"/>
    </row>
    <row r="978" spans="1:43" ht="15.75" customHeight="1">
      <c r="A978" s="69">
        <v>43783</v>
      </c>
      <c r="B978" s="70" t="s">
        <v>1097</v>
      </c>
      <c r="C978" s="92"/>
      <c r="D978" s="71" t="s">
        <v>1868</v>
      </c>
      <c r="E978" s="32" t="s">
        <v>1869</v>
      </c>
      <c r="F978" s="24">
        <v>1</v>
      </c>
      <c r="G978" s="48">
        <v>498</v>
      </c>
      <c r="H978" s="60">
        <f t="shared" si="104"/>
        <v>498</v>
      </c>
      <c r="I978" s="61" t="s">
        <v>143</v>
      </c>
      <c r="J978" s="50" t="s">
        <v>262</v>
      </c>
      <c r="K978" s="30">
        <v>43790</v>
      </c>
      <c r="L978" s="30"/>
      <c r="M978" s="30">
        <v>43788</v>
      </c>
      <c r="N978" s="58" t="s">
        <v>2043</v>
      </c>
      <c r="O978" s="93" t="s">
        <v>3241</v>
      </c>
      <c r="P978" s="406"/>
      <c r="Q978" s="406">
        <f t="shared" si="105"/>
        <v>0</v>
      </c>
      <c r="R978" s="1396"/>
      <c r="S978" s="1396"/>
      <c r="T978" s="679">
        <v>14152</v>
      </c>
      <c r="U978" s="620">
        <f>(T978*F978)*1.05</f>
        <v>14859.6</v>
      </c>
      <c r="V978" s="501" t="s">
        <v>2045</v>
      </c>
      <c r="W978" s="460">
        <v>43861</v>
      </c>
      <c r="X978" s="303">
        <v>43788</v>
      </c>
      <c r="Y978" s="304" t="s">
        <v>1870</v>
      </c>
      <c r="Z978" s="304">
        <v>31250</v>
      </c>
      <c r="AA978" s="304"/>
      <c r="AB978" s="304" t="s">
        <v>3171</v>
      </c>
      <c r="AC978" s="304">
        <v>4988762111</v>
      </c>
      <c r="AD978" s="535"/>
      <c r="AE978" s="304"/>
      <c r="AF978" s="304"/>
      <c r="AG978" s="296"/>
      <c r="AH978" s="304">
        <v>30.465</v>
      </c>
      <c r="AI978" s="297"/>
      <c r="AJ978" s="29">
        <v>43783</v>
      </c>
      <c r="AK978" s="297" t="s">
        <v>3242</v>
      </c>
      <c r="AL978" s="297" t="s">
        <v>3242</v>
      </c>
      <c r="AM978" s="296" t="s">
        <v>49</v>
      </c>
      <c r="AN978" s="296" t="s">
        <v>284</v>
      </c>
      <c r="AO978" s="296" t="s">
        <v>50</v>
      </c>
      <c r="AP978" s="296" t="s">
        <v>51</v>
      </c>
      <c r="AQ978" s="457" t="s">
        <v>755</v>
      </c>
    </row>
    <row r="979" spans="1:43" ht="15.75" customHeight="1">
      <c r="A979" s="69">
        <v>43783</v>
      </c>
      <c r="B979" s="70" t="s">
        <v>1097</v>
      </c>
      <c r="C979" s="92"/>
      <c r="D979" s="71" t="s">
        <v>1868</v>
      </c>
      <c r="E979" s="32" t="s">
        <v>1871</v>
      </c>
      <c r="F979" s="24">
        <v>1</v>
      </c>
      <c r="G979" s="48">
        <v>31</v>
      </c>
      <c r="H979" s="60">
        <f t="shared" si="104"/>
        <v>31</v>
      </c>
      <c r="I979" s="61" t="s">
        <v>143</v>
      </c>
      <c r="J979" s="50" t="s">
        <v>262</v>
      </c>
      <c r="K979" s="30">
        <v>43790</v>
      </c>
      <c r="L979" s="30"/>
      <c r="M979" s="30">
        <v>43788</v>
      </c>
      <c r="N979" s="58" t="s">
        <v>2043</v>
      </c>
      <c r="O979" s="32" t="s">
        <v>3241</v>
      </c>
      <c r="P979" s="406"/>
      <c r="Q979" s="406">
        <f t="shared" si="105"/>
        <v>0</v>
      </c>
      <c r="R979" s="406"/>
      <c r="S979" s="406"/>
      <c r="T979" s="406">
        <v>838</v>
      </c>
      <c r="U979" s="620">
        <f>(T979*F980)*1.05</f>
        <v>879.90000000000009</v>
      </c>
      <c r="V979" s="501" t="s">
        <v>2045</v>
      </c>
      <c r="W979" s="460">
        <v>43861</v>
      </c>
      <c r="X979" s="303">
        <v>43788</v>
      </c>
      <c r="Y979" s="304" t="s">
        <v>1870</v>
      </c>
      <c r="Z979" s="304" t="s">
        <v>3243</v>
      </c>
      <c r="AA979" s="567"/>
      <c r="AB979" s="304" t="s">
        <v>3171</v>
      </c>
      <c r="AC979" s="304">
        <v>4988762111</v>
      </c>
      <c r="AD979" s="535"/>
      <c r="AE979" s="304"/>
      <c r="AF979" s="304"/>
      <c r="AG979" s="296"/>
      <c r="AH979" s="304">
        <v>30.465</v>
      </c>
      <c r="AI979" s="297"/>
      <c r="AJ979" s="29">
        <v>43783</v>
      </c>
      <c r="AK979" s="297" t="s">
        <v>3242</v>
      </c>
      <c r="AL979" s="297" t="s">
        <v>3242</v>
      </c>
      <c r="AM979" s="296" t="s">
        <v>49</v>
      </c>
      <c r="AN979" s="296" t="s">
        <v>284</v>
      </c>
      <c r="AO979" s="296" t="s">
        <v>50</v>
      </c>
      <c r="AP979" s="296" t="s">
        <v>51</v>
      </c>
      <c r="AQ979" s="457" t="s">
        <v>755</v>
      </c>
    </row>
    <row r="980" spans="1:43" ht="15.75" customHeight="1">
      <c r="A980" s="397">
        <v>43783</v>
      </c>
      <c r="B980" s="375" t="s">
        <v>1097</v>
      </c>
      <c r="C980" s="565"/>
      <c r="D980" s="184" t="s">
        <v>1868</v>
      </c>
      <c r="E980" s="185" t="s">
        <v>1872</v>
      </c>
      <c r="F980" s="186">
        <v>1</v>
      </c>
      <c r="G980" s="187">
        <v>0</v>
      </c>
      <c r="H980" s="188">
        <f t="shared" si="104"/>
        <v>0</v>
      </c>
      <c r="I980" s="481" t="s">
        <v>143</v>
      </c>
      <c r="J980" s="190" t="s">
        <v>262</v>
      </c>
      <c r="K980" s="382">
        <v>43790</v>
      </c>
      <c r="L980" s="382"/>
      <c r="M980" s="382">
        <v>43850</v>
      </c>
      <c r="N980" s="398" t="s">
        <v>2043</v>
      </c>
      <c r="O980" s="185" t="s">
        <v>3244</v>
      </c>
      <c r="P980" s="194"/>
      <c r="Q980" s="194">
        <f t="shared" si="105"/>
        <v>0</v>
      </c>
      <c r="R980" s="194"/>
      <c r="S980" s="194"/>
      <c r="T980" s="729">
        <v>0</v>
      </c>
      <c r="U980" s="729">
        <f t="shared" ref="U980:U986" si="106">(T980*F980)*1.05</f>
        <v>0</v>
      </c>
      <c r="V980" s="615" t="s">
        <v>2045</v>
      </c>
      <c r="W980" s="52" t="s">
        <v>1626</v>
      </c>
      <c r="X980" s="199"/>
      <c r="Y980" s="199"/>
      <c r="Z980" s="199"/>
      <c r="AA980" s="199" t="s">
        <v>1626</v>
      </c>
      <c r="AB980" s="53"/>
      <c r="AC980" s="53"/>
      <c r="AD980" s="199"/>
      <c r="AE980" s="199"/>
      <c r="AF980" s="199"/>
      <c r="AG980" s="200"/>
      <c r="AH980" s="200"/>
      <c r="AI980" s="201"/>
      <c r="AJ980" s="568">
        <v>43783</v>
      </c>
      <c r="AK980" s="201" t="s">
        <v>3242</v>
      </c>
      <c r="AL980" s="201" t="s">
        <v>3242</v>
      </c>
      <c r="AM980" s="200" t="s">
        <v>49</v>
      </c>
      <c r="AN980" s="296" t="s">
        <v>284</v>
      </c>
      <c r="AO980" s="200"/>
      <c r="AP980" s="200"/>
      <c r="AQ980" s="203"/>
    </row>
    <row r="981" spans="1:43" ht="15.75" customHeight="1">
      <c r="A981" s="69">
        <v>43783</v>
      </c>
      <c r="B981" s="70" t="s">
        <v>1097</v>
      </c>
      <c r="C981" s="92"/>
      <c r="D981" s="71" t="s">
        <v>1868</v>
      </c>
      <c r="E981" s="32" t="s">
        <v>1873</v>
      </c>
      <c r="F981" s="24">
        <v>4</v>
      </c>
      <c r="G981" s="48">
        <v>137</v>
      </c>
      <c r="H981" s="60">
        <f t="shared" si="104"/>
        <v>548</v>
      </c>
      <c r="I981" s="61" t="s">
        <v>143</v>
      </c>
      <c r="J981" s="50" t="s">
        <v>262</v>
      </c>
      <c r="K981" s="30">
        <v>43790</v>
      </c>
      <c r="L981" s="30"/>
      <c r="M981" s="30">
        <v>43788</v>
      </c>
      <c r="N981" s="58" t="s">
        <v>2043</v>
      </c>
      <c r="O981" s="32" t="s">
        <v>3241</v>
      </c>
      <c r="P981" s="406"/>
      <c r="Q981" s="406">
        <f t="shared" si="105"/>
        <v>0</v>
      </c>
      <c r="R981" s="406"/>
      <c r="S981" s="406"/>
      <c r="T981" s="620">
        <v>3693</v>
      </c>
      <c r="U981" s="620">
        <f t="shared" si="106"/>
        <v>15510.6</v>
      </c>
      <c r="V981" s="501" t="s">
        <v>2045</v>
      </c>
      <c r="W981" s="460">
        <v>43861</v>
      </c>
      <c r="X981" s="303">
        <v>43788</v>
      </c>
      <c r="Y981" s="304" t="s">
        <v>1870</v>
      </c>
      <c r="Z981" s="304" t="s">
        <v>3243</v>
      </c>
      <c r="AA981" s="304"/>
      <c r="AB981" s="304" t="s">
        <v>3171</v>
      </c>
      <c r="AC981" s="304">
        <v>4988762111</v>
      </c>
      <c r="AD981" s="304"/>
      <c r="AE981" s="304"/>
      <c r="AF981" s="304"/>
      <c r="AG981" s="296"/>
      <c r="AH981" s="304">
        <v>30.465</v>
      </c>
      <c r="AI981" s="297"/>
      <c r="AJ981" s="29">
        <v>43783</v>
      </c>
      <c r="AK981" s="297" t="s">
        <v>3242</v>
      </c>
      <c r="AL981" s="297" t="s">
        <v>3242</v>
      </c>
      <c r="AM981" s="296" t="s">
        <v>49</v>
      </c>
      <c r="AN981" s="296" t="s">
        <v>284</v>
      </c>
      <c r="AO981" s="296" t="s">
        <v>50</v>
      </c>
      <c r="AP981" s="296" t="s">
        <v>51</v>
      </c>
      <c r="AQ981" s="457" t="s">
        <v>755</v>
      </c>
    </row>
    <row r="982" spans="1:43" ht="15.75" customHeight="1">
      <c r="A982" s="69">
        <v>43784</v>
      </c>
      <c r="B982" s="23" t="s">
        <v>405</v>
      </c>
      <c r="C982" s="21">
        <v>7000151827</v>
      </c>
      <c r="D982" s="71" t="s">
        <v>1874</v>
      </c>
      <c r="E982" s="32" t="s">
        <v>518</v>
      </c>
      <c r="F982" s="24">
        <v>5</v>
      </c>
      <c r="G982" s="48">
        <v>141.80000000000001</v>
      </c>
      <c r="H982" s="60">
        <f t="shared" si="104"/>
        <v>709</v>
      </c>
      <c r="I982" s="61" t="s">
        <v>42</v>
      </c>
      <c r="J982" s="50" t="s">
        <v>512</v>
      </c>
      <c r="K982" s="30">
        <v>43790</v>
      </c>
      <c r="L982" s="30"/>
      <c r="M982" s="29">
        <v>43788</v>
      </c>
      <c r="N982" s="58" t="s">
        <v>2043</v>
      </c>
      <c r="O982" s="93" t="s">
        <v>3245</v>
      </c>
      <c r="P982" s="406"/>
      <c r="Q982" s="406">
        <f t="shared" si="105"/>
        <v>0</v>
      </c>
      <c r="R982" s="406"/>
      <c r="S982" s="406"/>
      <c r="T982" s="620">
        <v>3954</v>
      </c>
      <c r="U982" s="620">
        <f t="shared" si="106"/>
        <v>20758.5</v>
      </c>
      <c r="V982" s="501" t="s">
        <v>2045</v>
      </c>
      <c r="W982" s="460">
        <v>43861</v>
      </c>
      <c r="X982" s="303">
        <v>43787</v>
      </c>
      <c r="Y982" s="304" t="s">
        <v>1875</v>
      </c>
      <c r="Z982" s="304">
        <v>20759</v>
      </c>
      <c r="AA982" s="304"/>
      <c r="AB982" s="304" t="s">
        <v>3246</v>
      </c>
      <c r="AC982" s="304">
        <v>8661623821</v>
      </c>
      <c r="AD982" s="304"/>
      <c r="AE982" s="304"/>
      <c r="AF982" s="304"/>
      <c r="AG982" s="296"/>
      <c r="AH982" s="304">
        <v>30.465</v>
      </c>
      <c r="AI982" s="297"/>
      <c r="AJ982" s="298">
        <v>43860</v>
      </c>
      <c r="AK982" s="297">
        <f>2325.38*30.213</f>
        <v>70256.70594</v>
      </c>
      <c r="AL982" s="297">
        <f>(2352-2325.38)*30.213</f>
        <v>804.27005999999676</v>
      </c>
      <c r="AM982" s="296" t="s">
        <v>49</v>
      </c>
      <c r="AN982" s="296" t="s">
        <v>284</v>
      </c>
      <c r="AO982" s="296" t="s">
        <v>50</v>
      </c>
      <c r="AP982" s="296" t="s">
        <v>51</v>
      </c>
      <c r="AQ982" s="457" t="s">
        <v>755</v>
      </c>
    </row>
    <row r="983" spans="1:43" ht="15.75" customHeight="1">
      <c r="A983" s="69">
        <v>43784</v>
      </c>
      <c r="B983" s="23" t="s">
        <v>405</v>
      </c>
      <c r="C983" s="21">
        <v>7000151848</v>
      </c>
      <c r="D983" s="71" t="s">
        <v>1876</v>
      </c>
      <c r="E983" s="32" t="s">
        <v>1877</v>
      </c>
      <c r="F983" s="24">
        <v>1</v>
      </c>
      <c r="G983" s="48">
        <v>75</v>
      </c>
      <c r="H983" s="60">
        <f t="shared" si="104"/>
        <v>75</v>
      </c>
      <c r="I983" s="61" t="s">
        <v>42</v>
      </c>
      <c r="J983" s="50" t="s">
        <v>512</v>
      </c>
      <c r="K983" s="30">
        <v>43809</v>
      </c>
      <c r="L983" s="30"/>
      <c r="M983" s="30">
        <v>43805</v>
      </c>
      <c r="N983" s="58" t="s">
        <v>2043</v>
      </c>
      <c r="O983" s="93" t="s">
        <v>3247</v>
      </c>
      <c r="P983" s="406"/>
      <c r="Q983" s="406">
        <f t="shared" si="105"/>
        <v>0</v>
      </c>
      <c r="R983" s="406"/>
      <c r="S983" s="406"/>
      <c r="T983" s="620">
        <v>1978</v>
      </c>
      <c r="U983" s="620">
        <f t="shared" si="106"/>
        <v>2076.9</v>
      </c>
      <c r="V983" s="406" t="s">
        <v>2045</v>
      </c>
      <c r="W983" s="304"/>
      <c r="X983" s="304"/>
      <c r="Y983" s="304"/>
      <c r="Z983" s="304"/>
      <c r="AA983" s="304"/>
      <c r="AB983" s="304" t="s">
        <v>3248</v>
      </c>
      <c r="AC983" s="304">
        <v>9489690243</v>
      </c>
      <c r="AD983" s="304">
        <v>30.45</v>
      </c>
      <c r="AE983" s="304"/>
      <c r="AF983" s="304"/>
      <c r="AG983" s="296"/>
      <c r="AH983" s="296"/>
      <c r="AI983" s="297"/>
      <c r="AJ983" s="298">
        <v>43860</v>
      </c>
      <c r="AK983" s="297" t="s">
        <v>3249</v>
      </c>
      <c r="AL983" s="297" t="s">
        <v>3250</v>
      </c>
      <c r="AM983" s="296" t="s">
        <v>49</v>
      </c>
      <c r="AN983" s="296" t="s">
        <v>284</v>
      </c>
      <c r="AO983" s="296" t="s">
        <v>50</v>
      </c>
      <c r="AP983" s="296" t="s">
        <v>51</v>
      </c>
      <c r="AQ983" s="296" t="s">
        <v>1346</v>
      </c>
    </row>
    <row r="984" spans="1:43" ht="15.75" customHeight="1">
      <c r="A984" s="69">
        <v>43787</v>
      </c>
      <c r="B984" s="70" t="s">
        <v>1097</v>
      </c>
      <c r="C984" s="21"/>
      <c r="D984" s="71" t="s">
        <v>1868</v>
      </c>
      <c r="E984" s="32" t="s">
        <v>1878</v>
      </c>
      <c r="F984" s="24">
        <v>3</v>
      </c>
      <c r="G984" s="48">
        <v>72</v>
      </c>
      <c r="H984" s="60">
        <f t="shared" si="104"/>
        <v>216</v>
      </c>
      <c r="I984" s="61" t="s">
        <v>143</v>
      </c>
      <c r="J984" s="50" t="s">
        <v>262</v>
      </c>
      <c r="K984" s="30">
        <v>43790</v>
      </c>
      <c r="L984" s="30"/>
      <c r="M984" s="30">
        <v>43790</v>
      </c>
      <c r="N984" s="58" t="s">
        <v>2043</v>
      </c>
      <c r="O984" s="93" t="s">
        <v>3251</v>
      </c>
      <c r="P984" s="406"/>
      <c r="Q984" s="406">
        <f t="shared" si="105"/>
        <v>0</v>
      </c>
      <c r="R984" s="406"/>
      <c r="S984" s="406"/>
      <c r="T984" s="581">
        <v>1893</v>
      </c>
      <c r="U984" s="620">
        <f t="shared" si="106"/>
        <v>5962.95</v>
      </c>
      <c r="V984" s="406" t="s">
        <v>2045</v>
      </c>
      <c r="W984" s="460">
        <v>43861</v>
      </c>
      <c r="X984" s="303">
        <v>43789</v>
      </c>
      <c r="Y984" s="304" t="s">
        <v>1879</v>
      </c>
      <c r="Z984" s="304">
        <v>16787</v>
      </c>
      <c r="AA984" s="304"/>
      <c r="AB984" s="304" t="s">
        <v>3171</v>
      </c>
      <c r="AC984" s="304">
        <v>4988762111</v>
      </c>
      <c r="AD984" s="304"/>
      <c r="AE984" s="304"/>
      <c r="AF984" s="304"/>
      <c r="AG984" s="296"/>
      <c r="AH984" s="304">
        <v>30.465</v>
      </c>
      <c r="AI984" s="297"/>
      <c r="AJ984" s="29">
        <v>43783</v>
      </c>
      <c r="AK984" s="297" t="s">
        <v>3242</v>
      </c>
      <c r="AL984" s="297" t="s">
        <v>3242</v>
      </c>
      <c r="AM984" s="296" t="s">
        <v>49</v>
      </c>
      <c r="AN984" s="296" t="s">
        <v>284</v>
      </c>
      <c r="AO984" s="296" t="s">
        <v>50</v>
      </c>
      <c r="AP984" s="296" t="s">
        <v>51</v>
      </c>
      <c r="AQ984" s="457" t="s">
        <v>755</v>
      </c>
    </row>
    <row r="985" spans="1:43" ht="15.75" customHeight="1">
      <c r="A985" s="69">
        <v>43787</v>
      </c>
      <c r="B985" s="70" t="s">
        <v>1097</v>
      </c>
      <c r="C985" s="21"/>
      <c r="D985" s="71" t="s">
        <v>1868</v>
      </c>
      <c r="E985" s="32" t="s">
        <v>407</v>
      </c>
      <c r="F985" s="24">
        <v>6</v>
      </c>
      <c r="G985" s="48">
        <v>55</v>
      </c>
      <c r="H985" s="60">
        <f t="shared" si="104"/>
        <v>330</v>
      </c>
      <c r="I985" s="61" t="s">
        <v>143</v>
      </c>
      <c r="J985" s="50" t="s">
        <v>262</v>
      </c>
      <c r="K985" s="30">
        <v>43790</v>
      </c>
      <c r="L985" s="30"/>
      <c r="M985" s="30">
        <v>43790</v>
      </c>
      <c r="N985" s="58" t="s">
        <v>2043</v>
      </c>
      <c r="O985" s="93" t="s">
        <v>3251</v>
      </c>
      <c r="P985" s="406"/>
      <c r="Q985" s="406">
        <f t="shared" si="105"/>
        <v>0</v>
      </c>
      <c r="R985" s="406"/>
      <c r="S985" s="406"/>
      <c r="T985" s="620">
        <v>1483</v>
      </c>
      <c r="U985" s="620">
        <f t="shared" si="106"/>
        <v>9342.9</v>
      </c>
      <c r="V985" s="406" t="s">
        <v>2045</v>
      </c>
      <c r="W985" s="460">
        <v>43861</v>
      </c>
      <c r="X985" s="303">
        <v>43789</v>
      </c>
      <c r="Y985" s="304" t="s">
        <v>1879</v>
      </c>
      <c r="Z985" s="304" t="s">
        <v>3252</v>
      </c>
      <c r="AA985" s="304"/>
      <c r="AB985" s="304" t="s">
        <v>3171</v>
      </c>
      <c r="AC985" s="304">
        <v>4988762111</v>
      </c>
      <c r="AD985" s="304"/>
      <c r="AE985" s="304"/>
      <c r="AF985" s="304"/>
      <c r="AG985" s="296"/>
      <c r="AH985" s="304">
        <v>30.465</v>
      </c>
      <c r="AI985" s="297"/>
      <c r="AJ985" s="29">
        <v>43783</v>
      </c>
      <c r="AK985" s="297" t="s">
        <v>3242</v>
      </c>
      <c r="AL985" s="297" t="s">
        <v>3242</v>
      </c>
      <c r="AM985" s="296" t="s">
        <v>49</v>
      </c>
      <c r="AN985" s="296" t="s">
        <v>284</v>
      </c>
      <c r="AO985" s="296" t="s">
        <v>50</v>
      </c>
      <c r="AP985" s="296" t="s">
        <v>51</v>
      </c>
      <c r="AQ985" s="457" t="s">
        <v>755</v>
      </c>
    </row>
    <row r="986" spans="1:43" ht="15.75" customHeight="1">
      <c r="A986" s="69">
        <v>43787</v>
      </c>
      <c r="B986" s="70" t="s">
        <v>1097</v>
      </c>
      <c r="C986" s="21"/>
      <c r="D986" s="71" t="s">
        <v>1868</v>
      </c>
      <c r="E986" s="32" t="s">
        <v>1880</v>
      </c>
      <c r="F986" s="24">
        <v>1</v>
      </c>
      <c r="G986" s="48">
        <v>53</v>
      </c>
      <c r="H986" s="60">
        <f t="shared" si="104"/>
        <v>53</v>
      </c>
      <c r="I986" s="61" t="s">
        <v>143</v>
      </c>
      <c r="J986" s="50" t="s">
        <v>262</v>
      </c>
      <c r="K986" s="30">
        <v>43790</v>
      </c>
      <c r="L986" s="30"/>
      <c r="M986" s="30">
        <v>43790</v>
      </c>
      <c r="N986" s="58" t="s">
        <v>2043</v>
      </c>
      <c r="O986" s="93" t="s">
        <v>3251</v>
      </c>
      <c r="P986" s="406"/>
      <c r="Q986" s="406">
        <f t="shared" si="105"/>
        <v>0</v>
      </c>
      <c r="R986" s="406"/>
      <c r="S986" s="406"/>
      <c r="T986" s="620">
        <v>1411</v>
      </c>
      <c r="U986" s="620">
        <f t="shared" si="106"/>
        <v>1481.55</v>
      </c>
      <c r="V986" s="406" t="s">
        <v>2045</v>
      </c>
      <c r="W986" s="460">
        <v>43861</v>
      </c>
      <c r="X986" s="303">
        <v>43789</v>
      </c>
      <c r="Y986" s="304" t="s">
        <v>1879</v>
      </c>
      <c r="Z986" s="304" t="s">
        <v>3252</v>
      </c>
      <c r="AA986" s="304"/>
      <c r="AB986" s="304" t="s">
        <v>3171</v>
      </c>
      <c r="AC986" s="304">
        <v>4988762111</v>
      </c>
      <c r="AD986" s="304"/>
      <c r="AE986" s="304"/>
      <c r="AF986" s="304"/>
      <c r="AG986" s="296"/>
      <c r="AH986" s="304">
        <v>30.465</v>
      </c>
      <c r="AI986" s="297"/>
      <c r="AJ986" s="29">
        <v>43783</v>
      </c>
      <c r="AK986" s="297" t="s">
        <v>3242</v>
      </c>
      <c r="AL986" s="297" t="s">
        <v>3242</v>
      </c>
      <c r="AM986" s="296" t="s">
        <v>49</v>
      </c>
      <c r="AN986" s="296" t="s">
        <v>284</v>
      </c>
      <c r="AO986" s="296" t="s">
        <v>50</v>
      </c>
      <c r="AP986" s="296" t="s">
        <v>51</v>
      </c>
      <c r="AQ986" s="457" t="s">
        <v>755</v>
      </c>
    </row>
    <row r="987" spans="1:43" ht="15.75" customHeight="1">
      <c r="A987" s="69">
        <v>43788</v>
      </c>
      <c r="B987" s="70" t="s">
        <v>713</v>
      </c>
      <c r="C987" s="92"/>
      <c r="D987" s="71" t="s">
        <v>1881</v>
      </c>
      <c r="E987" s="32" t="s">
        <v>1882</v>
      </c>
      <c r="F987" s="24">
        <v>4</v>
      </c>
      <c r="G987" s="48">
        <v>320</v>
      </c>
      <c r="H987" s="60">
        <f t="shared" si="104"/>
        <v>1280</v>
      </c>
      <c r="I987" s="61" t="s">
        <v>1517</v>
      </c>
      <c r="J987" s="58" t="s">
        <v>1123</v>
      </c>
      <c r="K987" s="30">
        <v>43804</v>
      </c>
      <c r="L987" s="30"/>
      <c r="M987" s="30">
        <v>43801</v>
      </c>
      <c r="N987" s="50" t="s">
        <v>89</v>
      </c>
      <c r="O987" s="93" t="s">
        <v>3253</v>
      </c>
      <c r="P987" s="406">
        <v>257</v>
      </c>
      <c r="Q987" s="406">
        <f t="shared" si="105"/>
        <v>1079.4000000000001</v>
      </c>
      <c r="R987" s="406"/>
      <c r="S987" s="406"/>
      <c r="T987" s="620"/>
      <c r="U987" s="698">
        <f>Q987*30.465</f>
        <v>32883.921000000002</v>
      </c>
      <c r="V987" s="35" t="s">
        <v>93</v>
      </c>
      <c r="W987" s="304"/>
      <c r="X987" s="304"/>
      <c r="Y987" s="304"/>
      <c r="Z987" s="304"/>
      <c r="AA987" s="304"/>
      <c r="AB987" s="304" t="s">
        <v>3254</v>
      </c>
      <c r="AC987" s="304">
        <v>7432001194</v>
      </c>
      <c r="AD987" s="304">
        <v>30.45</v>
      </c>
      <c r="AE987" s="304"/>
      <c r="AF987" s="304"/>
      <c r="AG987" s="296"/>
      <c r="AH987" s="296"/>
      <c r="AI987" s="297"/>
      <c r="AJ987" s="29">
        <v>43790</v>
      </c>
      <c r="AK987" s="297">
        <f>1288.44*30.465</f>
        <v>39252.3246</v>
      </c>
      <c r="AL987" s="297">
        <f>16.56*30.465</f>
        <v>504.50039999999996</v>
      </c>
      <c r="AM987" s="296" t="s">
        <v>49</v>
      </c>
      <c r="AN987" s="296" t="s">
        <v>284</v>
      </c>
      <c r="AO987" s="296" t="s">
        <v>50</v>
      </c>
      <c r="AP987" s="296" t="s">
        <v>51</v>
      </c>
      <c r="AQ987" s="296" t="s">
        <v>1346</v>
      </c>
    </row>
    <row r="988" spans="1:43" ht="15.75" customHeight="1">
      <c r="A988" s="69">
        <v>43788</v>
      </c>
      <c r="B988" s="70" t="s">
        <v>713</v>
      </c>
      <c r="C988" s="92"/>
      <c r="D988" s="71" t="s">
        <v>1881</v>
      </c>
      <c r="E988" s="23" t="s">
        <v>1883</v>
      </c>
      <c r="F988" s="24">
        <v>1</v>
      </c>
      <c r="G988" s="48">
        <v>25</v>
      </c>
      <c r="H988" s="60">
        <f t="shared" si="104"/>
        <v>25</v>
      </c>
      <c r="I988" s="61" t="s">
        <v>1517</v>
      </c>
      <c r="J988" s="58" t="s">
        <v>1123</v>
      </c>
      <c r="K988" s="30">
        <v>43804</v>
      </c>
      <c r="L988" s="30"/>
      <c r="M988" s="30"/>
      <c r="N988" s="50" t="s">
        <v>219</v>
      </c>
      <c r="O988" s="93"/>
      <c r="P988" s="406"/>
      <c r="Q988" s="730">
        <f t="shared" si="105"/>
        <v>0</v>
      </c>
      <c r="R988" s="1397"/>
      <c r="S988" s="1397"/>
      <c r="T988" s="731"/>
      <c r="U988" s="719">
        <f>(T988*F988)*1.05</f>
        <v>0</v>
      </c>
      <c r="V988" s="501"/>
      <c r="W988" s="304"/>
      <c r="X988" s="304"/>
      <c r="Y988" s="304"/>
      <c r="Z988" s="304"/>
      <c r="AA988" s="304"/>
      <c r="AB988" s="304" t="s">
        <v>3254</v>
      </c>
      <c r="AC988" s="304">
        <v>7432001194</v>
      </c>
      <c r="AD988" s="304">
        <v>30.45</v>
      </c>
      <c r="AE988" s="304"/>
      <c r="AF988" s="304"/>
      <c r="AG988" s="296"/>
      <c r="AH988" s="296"/>
      <c r="AI988" s="297"/>
      <c r="AJ988" s="29">
        <v>43790</v>
      </c>
      <c r="AK988" s="297" t="s">
        <v>3255</v>
      </c>
      <c r="AL988" s="297" t="s">
        <v>3256</v>
      </c>
      <c r="AM988" s="296" t="s">
        <v>49</v>
      </c>
      <c r="AN988" s="296" t="s">
        <v>284</v>
      </c>
      <c r="AO988" s="296" t="s">
        <v>50</v>
      </c>
      <c r="AP988" s="296" t="s">
        <v>51</v>
      </c>
      <c r="AQ988" s="296" t="s">
        <v>1346</v>
      </c>
    </row>
    <row r="989" spans="1:43" ht="15.75" customHeight="1">
      <c r="A989" s="69">
        <v>43789</v>
      </c>
      <c r="B989" s="23" t="s">
        <v>405</v>
      </c>
      <c r="C989" s="21">
        <v>7000151941</v>
      </c>
      <c r="D989" s="71" t="s">
        <v>1884</v>
      </c>
      <c r="E989" s="23" t="s">
        <v>1885</v>
      </c>
      <c r="F989" s="24">
        <v>2</v>
      </c>
      <c r="G989" s="48">
        <v>75</v>
      </c>
      <c r="H989" s="60">
        <f t="shared" si="104"/>
        <v>150</v>
      </c>
      <c r="I989" s="61" t="s">
        <v>42</v>
      </c>
      <c r="J989" s="50" t="s">
        <v>512</v>
      </c>
      <c r="K989" s="30">
        <v>43809</v>
      </c>
      <c r="L989" s="30"/>
      <c r="M989" s="30">
        <v>43801</v>
      </c>
      <c r="N989" s="50" t="s">
        <v>3257</v>
      </c>
      <c r="O989" s="93" t="s">
        <v>3258</v>
      </c>
      <c r="P989" s="406">
        <v>41</v>
      </c>
      <c r="Q989" s="730">
        <f>(P989*F989)</f>
        <v>82</v>
      </c>
      <c r="R989" s="1397"/>
      <c r="S989" s="1397"/>
      <c r="T989" s="731"/>
      <c r="U989" s="698">
        <f>(Q989*30.53)+1000</f>
        <v>3503.46</v>
      </c>
      <c r="V989" s="501" t="s">
        <v>3259</v>
      </c>
      <c r="W989" s="303">
        <v>43795</v>
      </c>
      <c r="X989" s="304" t="s">
        <v>1886</v>
      </c>
      <c r="Y989" s="304" t="s">
        <v>1886</v>
      </c>
      <c r="Z989" s="304">
        <v>2503</v>
      </c>
      <c r="AA989" s="303">
        <v>43795</v>
      </c>
      <c r="AB989" s="304" t="s">
        <v>3248</v>
      </c>
      <c r="AC989" s="304">
        <v>9489690243</v>
      </c>
      <c r="AD989" s="304">
        <v>30.45</v>
      </c>
      <c r="AE989" s="304"/>
      <c r="AF989" s="304"/>
      <c r="AG989" s="296"/>
      <c r="AH989" s="296"/>
      <c r="AI989" s="297"/>
      <c r="AJ989" s="298">
        <v>43860</v>
      </c>
      <c r="AK989" s="297" t="s">
        <v>3249</v>
      </c>
      <c r="AL989" s="297" t="s">
        <v>3250</v>
      </c>
      <c r="AM989" s="296" t="s">
        <v>49</v>
      </c>
      <c r="AN989" s="296" t="s">
        <v>284</v>
      </c>
      <c r="AO989" s="296" t="s">
        <v>50</v>
      </c>
      <c r="AP989" s="296" t="s">
        <v>51</v>
      </c>
      <c r="AQ989" s="296" t="s">
        <v>1346</v>
      </c>
    </row>
    <row r="990" spans="1:43" ht="15.75" customHeight="1">
      <c r="A990" s="69">
        <v>43791</v>
      </c>
      <c r="B990" s="144" t="s">
        <v>166</v>
      </c>
      <c r="C990" s="128"/>
      <c r="D990" s="70" t="s">
        <v>1887</v>
      </c>
      <c r="E990" s="23" t="s">
        <v>1888</v>
      </c>
      <c r="F990" s="419">
        <v>1</v>
      </c>
      <c r="G990" s="25">
        <v>1218</v>
      </c>
      <c r="H990" s="60">
        <f t="shared" ref="H990:H991" si="107">F990*G990</f>
        <v>1218</v>
      </c>
      <c r="I990" s="61" t="s">
        <v>170</v>
      </c>
      <c r="J990" s="58" t="s">
        <v>171</v>
      </c>
      <c r="K990" s="29">
        <v>43811</v>
      </c>
      <c r="L990" s="29"/>
      <c r="M990" s="29">
        <v>43809</v>
      </c>
      <c r="N990" s="50"/>
      <c r="O990" s="93">
        <v>2019112700002</v>
      </c>
      <c r="P990" s="406"/>
      <c r="Q990" s="406">
        <f t="shared" ref="Q990:Q1007" si="108">(P990*F990)*1.05</f>
        <v>0</v>
      </c>
      <c r="R990" s="406"/>
      <c r="S990" s="406"/>
      <c r="T990" s="620"/>
      <c r="U990" s="711">
        <v>27885</v>
      </c>
      <c r="V990" s="406"/>
      <c r="W990" s="304"/>
      <c r="X990" s="304"/>
      <c r="Y990" s="304"/>
      <c r="Z990" s="304"/>
      <c r="AA990" s="304"/>
      <c r="AB990" s="304" t="s">
        <v>3228</v>
      </c>
      <c r="AC990" s="304">
        <v>2416733270</v>
      </c>
      <c r="AD990" s="535">
        <v>30.42</v>
      </c>
      <c r="AE990" s="304"/>
      <c r="AF990" s="304"/>
      <c r="AG990" s="296"/>
      <c r="AH990" s="296"/>
      <c r="AI990" s="297"/>
      <c r="AJ990" s="29">
        <v>43797</v>
      </c>
      <c r="AK990" s="297" t="s">
        <v>3123</v>
      </c>
      <c r="AL990" s="297" t="s">
        <v>3124</v>
      </c>
      <c r="AM990" s="296" t="s">
        <v>49</v>
      </c>
      <c r="AN990" s="296" t="s">
        <v>284</v>
      </c>
      <c r="AO990" s="296" t="s">
        <v>285</v>
      </c>
      <c r="AP990" s="296" t="s">
        <v>51</v>
      </c>
      <c r="AQ990" s="296" t="s">
        <v>1346</v>
      </c>
    </row>
    <row r="991" spans="1:43" ht="15.75" customHeight="1">
      <c r="A991" s="69">
        <v>43791</v>
      </c>
      <c r="B991" s="144" t="s">
        <v>166</v>
      </c>
      <c r="C991" s="128"/>
      <c r="D991" s="70" t="s">
        <v>1887</v>
      </c>
      <c r="E991" s="23" t="s">
        <v>176</v>
      </c>
      <c r="F991" s="130">
        <v>1</v>
      </c>
      <c r="G991" s="25">
        <v>61</v>
      </c>
      <c r="H991" s="60">
        <f t="shared" si="107"/>
        <v>61</v>
      </c>
      <c r="I991" s="61" t="s">
        <v>170</v>
      </c>
      <c r="J991" s="58" t="s">
        <v>171</v>
      </c>
      <c r="K991" s="29">
        <v>43811</v>
      </c>
      <c r="L991" s="29"/>
      <c r="M991" s="296" t="s">
        <v>3260</v>
      </c>
      <c r="N991" s="50"/>
      <c r="O991" s="93"/>
      <c r="P991" s="406"/>
      <c r="Q991" s="730">
        <f t="shared" si="108"/>
        <v>0</v>
      </c>
      <c r="R991" s="1397"/>
      <c r="S991" s="1397"/>
      <c r="T991" s="731"/>
      <c r="U991" s="731">
        <v>1484</v>
      </c>
      <c r="V991" s="406"/>
      <c r="W991" s="304"/>
      <c r="X991" s="304"/>
      <c r="Y991" s="304"/>
      <c r="Z991" s="304"/>
      <c r="AA991" s="304"/>
      <c r="AB991" s="304" t="s">
        <v>3228</v>
      </c>
      <c r="AC991" s="304">
        <v>2416733270</v>
      </c>
      <c r="AD991" s="535">
        <v>30.42</v>
      </c>
      <c r="AE991" s="304"/>
      <c r="AF991" s="304"/>
      <c r="AG991" s="296"/>
      <c r="AH991" s="296"/>
      <c r="AI991" s="297"/>
      <c r="AJ991" s="537" t="s">
        <v>1889</v>
      </c>
      <c r="AK991" s="297"/>
      <c r="AL991" s="297"/>
      <c r="AM991" s="296" t="s">
        <v>49</v>
      </c>
      <c r="AN991" s="296" t="s">
        <v>284</v>
      </c>
      <c r="AO991" s="296" t="s">
        <v>285</v>
      </c>
      <c r="AP991" s="296" t="s">
        <v>51</v>
      </c>
      <c r="AQ991" s="296" t="s">
        <v>1346</v>
      </c>
    </row>
    <row r="992" spans="1:43" ht="15.75" customHeight="1">
      <c r="A992" s="69">
        <v>43792</v>
      </c>
      <c r="B992" s="70" t="s">
        <v>619</v>
      </c>
      <c r="C992" s="70"/>
      <c r="D992" s="70" t="s">
        <v>1890</v>
      </c>
      <c r="E992" s="23" t="s">
        <v>1891</v>
      </c>
      <c r="F992" s="429">
        <v>1</v>
      </c>
      <c r="G992" s="25">
        <v>1417.5</v>
      </c>
      <c r="H992" s="26">
        <f t="shared" ref="H992:H1007" si="109">G992*F992</f>
        <v>1417.5</v>
      </c>
      <c r="I992" s="27" t="s">
        <v>42</v>
      </c>
      <c r="J992" s="58" t="s">
        <v>89</v>
      </c>
      <c r="K992" s="29">
        <v>43805</v>
      </c>
      <c r="L992" s="29"/>
      <c r="M992" s="29">
        <v>43805</v>
      </c>
      <c r="N992" s="50" t="s">
        <v>89</v>
      </c>
      <c r="O992" s="93" t="s">
        <v>3261</v>
      </c>
      <c r="P992" s="406">
        <v>1238</v>
      </c>
      <c r="Q992" s="730">
        <f t="shared" si="108"/>
        <v>1299.9000000000001</v>
      </c>
      <c r="R992" s="1397"/>
      <c r="S992" s="1397"/>
      <c r="T992" s="731"/>
      <c r="U992" s="698">
        <f>Q992*30.45</f>
        <v>39581.955000000002</v>
      </c>
      <c r="V992" s="35" t="s">
        <v>93</v>
      </c>
      <c r="W992" s="304"/>
      <c r="X992" s="304"/>
      <c r="Y992" s="304"/>
      <c r="Z992" s="304"/>
      <c r="AA992" s="304"/>
      <c r="AB992" s="304" t="s">
        <v>3262</v>
      </c>
      <c r="AC992" s="304">
        <v>760113686797</v>
      </c>
      <c r="AD992" s="304">
        <v>30.47</v>
      </c>
      <c r="AE992" s="304">
        <v>43191</v>
      </c>
      <c r="AF992" s="304"/>
      <c r="AG992" s="296"/>
      <c r="AH992" s="296"/>
      <c r="AI992" s="297"/>
      <c r="AJ992" s="29">
        <v>43829</v>
      </c>
      <c r="AK992" s="297">
        <v>43191</v>
      </c>
      <c r="AL992" s="297">
        <v>0</v>
      </c>
      <c r="AM992" s="296" t="s">
        <v>49</v>
      </c>
      <c r="AN992" s="296" t="s">
        <v>284</v>
      </c>
      <c r="AO992" s="296" t="s">
        <v>50</v>
      </c>
      <c r="AP992" s="296" t="s">
        <v>376</v>
      </c>
      <c r="AQ992" s="296" t="s">
        <v>1346</v>
      </c>
    </row>
    <row r="993" spans="1:43" ht="15.75" customHeight="1">
      <c r="A993" s="69">
        <v>43792</v>
      </c>
      <c r="B993" s="23" t="s">
        <v>405</v>
      </c>
      <c r="C993" s="70">
        <v>7000152002</v>
      </c>
      <c r="D993" s="70" t="s">
        <v>1892</v>
      </c>
      <c r="E993" s="23" t="s">
        <v>480</v>
      </c>
      <c r="F993" s="130">
        <v>4</v>
      </c>
      <c r="G993" s="25">
        <v>137</v>
      </c>
      <c r="H993" s="60">
        <f t="shared" si="109"/>
        <v>548</v>
      </c>
      <c r="I993" s="61" t="s">
        <v>42</v>
      </c>
      <c r="J993" s="50" t="s">
        <v>512</v>
      </c>
      <c r="K993" s="30">
        <v>43809</v>
      </c>
      <c r="L993" s="30"/>
      <c r="M993" s="29">
        <v>43801</v>
      </c>
      <c r="N993" s="50" t="s">
        <v>3263</v>
      </c>
      <c r="O993" s="93" t="s">
        <v>3264</v>
      </c>
      <c r="P993" s="406">
        <v>118</v>
      </c>
      <c r="Q993" s="730">
        <f t="shared" si="108"/>
        <v>495.6</v>
      </c>
      <c r="R993" s="1397"/>
      <c r="S993" s="1397"/>
      <c r="T993" s="731"/>
      <c r="U993" s="711">
        <v>15091</v>
      </c>
      <c r="V993" s="406"/>
      <c r="W993" s="304"/>
      <c r="X993" s="304"/>
      <c r="Y993" s="304"/>
      <c r="Z993" s="304"/>
      <c r="AA993" s="304"/>
      <c r="AB993" s="304" t="s">
        <v>3248</v>
      </c>
      <c r="AC993" s="304">
        <v>9489690243</v>
      </c>
      <c r="AD993" s="304">
        <v>30.45</v>
      </c>
      <c r="AE993" s="304"/>
      <c r="AF993" s="304"/>
      <c r="AG993" s="296"/>
      <c r="AH993" s="296"/>
      <c r="AI993" s="297"/>
      <c r="AJ993" s="298">
        <v>43860</v>
      </c>
      <c r="AK993" s="297" t="s">
        <v>3249</v>
      </c>
      <c r="AL993" s="297" t="s">
        <v>3250</v>
      </c>
      <c r="AM993" s="296" t="s">
        <v>49</v>
      </c>
      <c r="AN993" s="296" t="s">
        <v>284</v>
      </c>
      <c r="AO993" s="296" t="s">
        <v>50</v>
      </c>
      <c r="AP993" s="296" t="s">
        <v>51</v>
      </c>
      <c r="AQ993" s="296" t="s">
        <v>1346</v>
      </c>
    </row>
    <row r="994" spans="1:43" ht="15.75" customHeight="1">
      <c r="A994" s="69">
        <v>43792</v>
      </c>
      <c r="B994" s="23" t="s">
        <v>405</v>
      </c>
      <c r="C994" s="70">
        <v>7000152002</v>
      </c>
      <c r="D994" s="70" t="s">
        <v>1892</v>
      </c>
      <c r="E994" s="23" t="s">
        <v>556</v>
      </c>
      <c r="F994" s="130">
        <v>2</v>
      </c>
      <c r="G994" s="25">
        <v>161</v>
      </c>
      <c r="H994" s="60">
        <f t="shared" si="109"/>
        <v>322</v>
      </c>
      <c r="I994" s="61" t="s">
        <v>42</v>
      </c>
      <c r="J994" s="50" t="s">
        <v>512</v>
      </c>
      <c r="K994" s="30">
        <v>43809</v>
      </c>
      <c r="L994" s="30"/>
      <c r="M994" s="29">
        <v>43801</v>
      </c>
      <c r="N994" s="50" t="s">
        <v>3263</v>
      </c>
      <c r="O994" s="93" t="s">
        <v>3264</v>
      </c>
      <c r="P994" s="406">
        <v>130</v>
      </c>
      <c r="Q994" s="406">
        <f t="shared" si="108"/>
        <v>273</v>
      </c>
      <c r="R994" s="409"/>
      <c r="S994" s="409"/>
      <c r="T994" s="728"/>
      <c r="U994" s="728">
        <v>8313</v>
      </c>
      <c r="V994" s="406"/>
      <c r="W994" s="304"/>
      <c r="X994" s="304"/>
      <c r="Y994" s="304"/>
      <c r="Z994" s="304"/>
      <c r="AA994" s="304"/>
      <c r="AB994" s="304" t="s">
        <v>3248</v>
      </c>
      <c r="AC994" s="304">
        <v>9489690243</v>
      </c>
      <c r="AD994" s="304">
        <v>30.45</v>
      </c>
      <c r="AE994" s="304"/>
      <c r="AF994" s="304"/>
      <c r="AG994" s="296"/>
      <c r="AH994" s="296"/>
      <c r="AI994" s="297"/>
      <c r="AJ994" s="298">
        <v>43860</v>
      </c>
      <c r="AK994" s="297" t="s">
        <v>3249</v>
      </c>
      <c r="AL994" s="297" t="s">
        <v>3250</v>
      </c>
      <c r="AM994" s="296" t="s">
        <v>49</v>
      </c>
      <c r="AN994" s="296" t="s">
        <v>284</v>
      </c>
      <c r="AO994" s="296" t="s">
        <v>50</v>
      </c>
      <c r="AP994" s="296" t="s">
        <v>51</v>
      </c>
      <c r="AQ994" s="296" t="s">
        <v>1346</v>
      </c>
    </row>
    <row r="995" spans="1:43" ht="15.75" customHeight="1">
      <c r="A995" s="69">
        <v>43793</v>
      </c>
      <c r="B995" s="70" t="s">
        <v>228</v>
      </c>
      <c r="C995" s="128"/>
      <c r="D995" s="129" t="s">
        <v>1893</v>
      </c>
      <c r="E995" s="23" t="s">
        <v>1894</v>
      </c>
      <c r="F995" s="130">
        <v>1</v>
      </c>
      <c r="G995" s="25">
        <v>525</v>
      </c>
      <c r="H995" s="60">
        <f t="shared" si="109"/>
        <v>525</v>
      </c>
      <c r="I995" s="61" t="s">
        <v>170</v>
      </c>
      <c r="J995" s="50" t="s">
        <v>89</v>
      </c>
      <c r="K995" s="29">
        <v>43805</v>
      </c>
      <c r="L995" s="29"/>
      <c r="M995" s="29">
        <v>43805</v>
      </c>
      <c r="N995" s="50" t="s">
        <v>89</v>
      </c>
      <c r="O995" s="93" t="s">
        <v>3265</v>
      </c>
      <c r="P995" s="406">
        <v>450</v>
      </c>
      <c r="Q995" s="730">
        <f t="shared" si="108"/>
        <v>472.5</v>
      </c>
      <c r="R995" s="1397"/>
      <c r="S995" s="1397"/>
      <c r="T995" s="731"/>
      <c r="U995" s="698">
        <f t="shared" ref="U995:U996" si="110">Q995*30.45</f>
        <v>14387.625</v>
      </c>
      <c r="V995" s="35" t="s">
        <v>93</v>
      </c>
      <c r="W995" s="304"/>
      <c r="X995" s="304"/>
      <c r="Y995" s="304"/>
      <c r="Z995" s="304"/>
      <c r="AA995" s="304"/>
      <c r="AB995" s="304" t="s">
        <v>3266</v>
      </c>
      <c r="AC995" s="304">
        <v>760113686788</v>
      </c>
      <c r="AD995" s="304">
        <v>30.49</v>
      </c>
      <c r="AE995" s="304">
        <v>16007</v>
      </c>
      <c r="AF995" s="304"/>
      <c r="AG995" s="296"/>
      <c r="AH995" s="296"/>
      <c r="AI995" s="297"/>
      <c r="AJ995" s="298">
        <v>43837</v>
      </c>
      <c r="AK995" s="297">
        <v>37761</v>
      </c>
      <c r="AL995" s="297">
        <v>30</v>
      </c>
      <c r="AM995" s="296" t="s">
        <v>49</v>
      </c>
      <c r="AN995" s="296" t="s">
        <v>284</v>
      </c>
      <c r="AO995" s="296" t="s">
        <v>50</v>
      </c>
      <c r="AP995" s="296" t="s">
        <v>376</v>
      </c>
      <c r="AQ995" s="296" t="s">
        <v>1346</v>
      </c>
    </row>
    <row r="996" spans="1:43" ht="15.75" customHeight="1">
      <c r="A996" s="69">
        <v>43794</v>
      </c>
      <c r="B996" s="70" t="s">
        <v>76</v>
      </c>
      <c r="C996" s="451">
        <v>877</v>
      </c>
      <c r="D996" s="451" t="s">
        <v>1895</v>
      </c>
      <c r="E996" s="23" t="s">
        <v>428</v>
      </c>
      <c r="F996" s="137">
        <v>3</v>
      </c>
      <c r="G996" s="25">
        <v>133</v>
      </c>
      <c r="H996" s="60">
        <f t="shared" si="109"/>
        <v>399</v>
      </c>
      <c r="I996" s="61" t="s">
        <v>42</v>
      </c>
      <c r="J996" s="58" t="s">
        <v>1896</v>
      </c>
      <c r="K996" s="30">
        <v>43816</v>
      </c>
      <c r="L996" s="30"/>
      <c r="M996" s="30">
        <v>43805</v>
      </c>
      <c r="N996" s="58" t="s">
        <v>89</v>
      </c>
      <c r="O996" s="93" t="s">
        <v>3267</v>
      </c>
      <c r="P996" s="406">
        <v>117</v>
      </c>
      <c r="Q996" s="730">
        <f t="shared" si="108"/>
        <v>368.55</v>
      </c>
      <c r="R996" s="1397"/>
      <c r="S996" s="1397"/>
      <c r="T996" s="731"/>
      <c r="U996" s="698">
        <f t="shared" si="110"/>
        <v>11222.3475</v>
      </c>
      <c r="V996" s="35" t="s">
        <v>93</v>
      </c>
      <c r="W996" s="304"/>
      <c r="X996" s="304"/>
      <c r="Y996" s="304"/>
      <c r="Z996" s="304"/>
      <c r="AA996" s="304"/>
      <c r="AB996" s="304" t="s">
        <v>3268</v>
      </c>
      <c r="AC996" s="304">
        <v>7367469222</v>
      </c>
      <c r="AD996" s="304">
        <v>30.42</v>
      </c>
      <c r="AE996" s="304"/>
      <c r="AF996" s="304"/>
      <c r="AG996" s="296"/>
      <c r="AH996" s="296"/>
      <c r="AI996" s="297"/>
      <c r="AJ996" s="298">
        <v>43850</v>
      </c>
      <c r="AK996" s="297">
        <f>1308*29.884</f>
        <v>39088.271999999997</v>
      </c>
      <c r="AL996" s="297">
        <v>0</v>
      </c>
      <c r="AM996" s="296" t="s">
        <v>49</v>
      </c>
      <c r="AN996" s="296" t="s">
        <v>284</v>
      </c>
      <c r="AO996" s="296" t="s">
        <v>50</v>
      </c>
      <c r="AP996" s="296" t="s">
        <v>51</v>
      </c>
      <c r="AQ996" s="296" t="s">
        <v>1346</v>
      </c>
    </row>
    <row r="997" spans="1:43" ht="15.75" customHeight="1">
      <c r="A997" s="69">
        <v>43794</v>
      </c>
      <c r="B997" s="70" t="s">
        <v>76</v>
      </c>
      <c r="C997" s="290">
        <v>877</v>
      </c>
      <c r="D997" s="569" t="s">
        <v>1895</v>
      </c>
      <c r="E997" s="23" t="s">
        <v>1897</v>
      </c>
      <c r="F997" s="24">
        <v>4</v>
      </c>
      <c r="G997" s="48">
        <v>200</v>
      </c>
      <c r="H997" s="60">
        <f t="shared" si="109"/>
        <v>800</v>
      </c>
      <c r="I997" s="61" t="s">
        <v>42</v>
      </c>
      <c r="J997" s="58" t="s">
        <v>1896</v>
      </c>
      <c r="K997" s="30">
        <v>43816</v>
      </c>
      <c r="L997" s="30"/>
      <c r="M997" s="29">
        <v>43812</v>
      </c>
      <c r="N997" s="50" t="s">
        <v>1512</v>
      </c>
      <c r="O997" s="93" t="s">
        <v>3269</v>
      </c>
      <c r="P997" s="406"/>
      <c r="Q997" s="732">
        <f t="shared" si="108"/>
        <v>0</v>
      </c>
      <c r="R997" s="1398"/>
      <c r="S997" s="1398"/>
      <c r="T997" s="733"/>
      <c r="U997" s="711">
        <v>11340</v>
      </c>
      <c r="V997" s="406"/>
      <c r="W997" s="304"/>
      <c r="X997" s="304"/>
      <c r="Y997" s="304"/>
      <c r="Z997" s="304"/>
      <c r="AA997" s="304"/>
      <c r="AB997" s="304" t="s">
        <v>3268</v>
      </c>
      <c r="AC997" s="304">
        <v>7367469222</v>
      </c>
      <c r="AD997" s="304">
        <v>30.42</v>
      </c>
      <c r="AE997" s="304"/>
      <c r="AF997" s="304"/>
      <c r="AG997" s="296"/>
      <c r="AH997" s="296"/>
      <c r="AI997" s="297"/>
      <c r="AJ997" s="298">
        <v>43850</v>
      </c>
      <c r="AK997" s="297" t="s">
        <v>3270</v>
      </c>
      <c r="AL997" s="297" t="s">
        <v>3271</v>
      </c>
      <c r="AM997" s="296" t="s">
        <v>49</v>
      </c>
      <c r="AN997" s="296" t="s">
        <v>284</v>
      </c>
      <c r="AO997" s="296" t="s">
        <v>50</v>
      </c>
      <c r="AP997" s="296" t="s">
        <v>51</v>
      </c>
      <c r="AQ997" s="296" t="s">
        <v>1346</v>
      </c>
    </row>
    <row r="998" spans="1:43" ht="15.75" customHeight="1">
      <c r="A998" s="69">
        <v>43794</v>
      </c>
      <c r="B998" s="70" t="s">
        <v>76</v>
      </c>
      <c r="C998" s="451">
        <v>877</v>
      </c>
      <c r="D998" s="451" t="s">
        <v>1895</v>
      </c>
      <c r="E998" s="23" t="s">
        <v>644</v>
      </c>
      <c r="F998" s="130">
        <v>4</v>
      </c>
      <c r="G998" s="25">
        <v>0</v>
      </c>
      <c r="H998" s="60">
        <f t="shared" si="109"/>
        <v>0</v>
      </c>
      <c r="I998" s="61" t="s">
        <v>42</v>
      </c>
      <c r="J998" s="58" t="s">
        <v>1896</v>
      </c>
      <c r="K998" s="30">
        <v>43816</v>
      </c>
      <c r="L998" s="30"/>
      <c r="M998" s="29">
        <v>43812</v>
      </c>
      <c r="N998" s="50" t="s">
        <v>1512</v>
      </c>
      <c r="O998" s="93" t="s">
        <v>3269</v>
      </c>
      <c r="P998" s="406"/>
      <c r="Q998" s="732">
        <f t="shared" si="108"/>
        <v>0</v>
      </c>
      <c r="R998" s="1398"/>
      <c r="S998" s="1398"/>
      <c r="T998" s="733"/>
      <c r="U998" s="711">
        <v>4200</v>
      </c>
      <c r="V998" s="406"/>
      <c r="W998" s="304"/>
      <c r="X998" s="304"/>
      <c r="Y998" s="304"/>
      <c r="Z998" s="304"/>
      <c r="AA998" s="304"/>
      <c r="AB998" s="304" t="s">
        <v>3268</v>
      </c>
      <c r="AC998" s="304">
        <v>7367469222</v>
      </c>
      <c r="AD998" s="304">
        <v>30.42</v>
      </c>
      <c r="AE998" s="304"/>
      <c r="AF998" s="304"/>
      <c r="AG998" s="296"/>
      <c r="AH998" s="296"/>
      <c r="AI998" s="297"/>
      <c r="AJ998" s="298">
        <v>43850</v>
      </c>
      <c r="AK998" s="297" t="s">
        <v>3270</v>
      </c>
      <c r="AL998" s="297" t="s">
        <v>3271</v>
      </c>
      <c r="AM998" s="296" t="s">
        <v>49</v>
      </c>
      <c r="AN998" s="296" t="s">
        <v>284</v>
      </c>
      <c r="AO998" s="296" t="s">
        <v>50</v>
      </c>
      <c r="AP998" s="296" t="s">
        <v>51</v>
      </c>
      <c r="AQ998" s="296" t="s">
        <v>1346</v>
      </c>
    </row>
    <row r="999" spans="1:43" ht="15.75" customHeight="1">
      <c r="A999" s="69">
        <v>43794</v>
      </c>
      <c r="B999" s="70" t="s">
        <v>76</v>
      </c>
      <c r="C999" s="451">
        <v>877</v>
      </c>
      <c r="D999" s="451" t="s">
        <v>1895</v>
      </c>
      <c r="E999" s="23" t="s">
        <v>645</v>
      </c>
      <c r="F999" s="130">
        <v>4</v>
      </c>
      <c r="G999" s="25">
        <v>0</v>
      </c>
      <c r="H999" s="60">
        <f t="shared" si="109"/>
        <v>0</v>
      </c>
      <c r="I999" s="61" t="s">
        <v>42</v>
      </c>
      <c r="J999" s="58" t="s">
        <v>1896</v>
      </c>
      <c r="K999" s="30">
        <v>43816</v>
      </c>
      <c r="L999" s="30"/>
      <c r="M999" s="29">
        <v>43812</v>
      </c>
      <c r="N999" s="50" t="s">
        <v>1512</v>
      </c>
      <c r="O999" s="93" t="s">
        <v>3269</v>
      </c>
      <c r="P999" s="406"/>
      <c r="Q999" s="732">
        <f t="shared" si="108"/>
        <v>0</v>
      </c>
      <c r="R999" s="1398"/>
      <c r="S999" s="1398"/>
      <c r="T999" s="733"/>
      <c r="U999" s="734">
        <v>1260</v>
      </c>
      <c r="V999" s="406"/>
      <c r="W999" s="304"/>
      <c r="X999" s="304"/>
      <c r="Y999" s="304"/>
      <c r="Z999" s="304"/>
      <c r="AA999" s="304"/>
      <c r="AB999" s="304" t="s">
        <v>3268</v>
      </c>
      <c r="AC999" s="304">
        <v>7367469222</v>
      </c>
      <c r="AD999" s="304">
        <v>30.42</v>
      </c>
      <c r="AE999" s="304"/>
      <c r="AF999" s="304"/>
      <c r="AG999" s="296"/>
      <c r="AH999" s="296"/>
      <c r="AI999" s="297"/>
      <c r="AJ999" s="298">
        <v>43850</v>
      </c>
      <c r="AK999" s="297" t="s">
        <v>3270</v>
      </c>
      <c r="AL999" s="297" t="s">
        <v>3271</v>
      </c>
      <c r="AM999" s="296" t="s">
        <v>49</v>
      </c>
      <c r="AN999" s="296" t="s">
        <v>284</v>
      </c>
      <c r="AO999" s="296" t="s">
        <v>50</v>
      </c>
      <c r="AP999" s="296" t="s">
        <v>51</v>
      </c>
      <c r="AQ999" s="296" t="s">
        <v>1346</v>
      </c>
    </row>
    <row r="1000" spans="1:43" ht="15.75" customHeight="1">
      <c r="A1000" s="69">
        <v>43794</v>
      </c>
      <c r="B1000" s="70" t="s">
        <v>76</v>
      </c>
      <c r="C1000" s="290">
        <v>877</v>
      </c>
      <c r="D1000" s="569" t="s">
        <v>1895</v>
      </c>
      <c r="E1000" s="23" t="s">
        <v>646</v>
      </c>
      <c r="F1000" s="24">
        <v>4</v>
      </c>
      <c r="G1000" s="48">
        <v>0</v>
      </c>
      <c r="H1000" s="60">
        <f t="shared" si="109"/>
        <v>0</v>
      </c>
      <c r="I1000" s="61" t="s">
        <v>42</v>
      </c>
      <c r="J1000" s="58" t="s">
        <v>1896</v>
      </c>
      <c r="K1000" s="30">
        <v>43816</v>
      </c>
      <c r="L1000" s="30"/>
      <c r="M1000" s="29">
        <v>43812</v>
      </c>
      <c r="N1000" s="50" t="s">
        <v>1512</v>
      </c>
      <c r="O1000" s="93" t="s">
        <v>3269</v>
      </c>
      <c r="P1000" s="406"/>
      <c r="Q1000" s="732">
        <f t="shared" si="108"/>
        <v>0</v>
      </c>
      <c r="R1000" s="1398"/>
      <c r="S1000" s="1398"/>
      <c r="T1000" s="733"/>
      <c r="U1000" s="711">
        <v>2100</v>
      </c>
      <c r="V1000" s="406"/>
      <c r="W1000" s="304"/>
      <c r="X1000" s="304"/>
      <c r="Y1000" s="304"/>
      <c r="Z1000" s="304"/>
      <c r="AA1000" s="304"/>
      <c r="AB1000" s="304" t="s">
        <v>3268</v>
      </c>
      <c r="AC1000" s="304">
        <v>7367469222</v>
      </c>
      <c r="AD1000" s="304">
        <v>30.42</v>
      </c>
      <c r="AE1000" s="304"/>
      <c r="AF1000" s="304"/>
      <c r="AG1000" s="296"/>
      <c r="AH1000" s="296"/>
      <c r="AI1000" s="297"/>
      <c r="AJ1000" s="298">
        <v>43850</v>
      </c>
      <c r="AK1000" s="297" t="s">
        <v>3270</v>
      </c>
      <c r="AL1000" s="297" t="s">
        <v>3271</v>
      </c>
      <c r="AM1000" s="296" t="s">
        <v>49</v>
      </c>
      <c r="AN1000" s="296" t="s">
        <v>284</v>
      </c>
      <c r="AO1000" s="296" t="s">
        <v>50</v>
      </c>
      <c r="AP1000" s="296" t="s">
        <v>51</v>
      </c>
      <c r="AQ1000" s="296" t="s">
        <v>1346</v>
      </c>
    </row>
    <row r="1001" spans="1:43" ht="15.75" customHeight="1">
      <c r="A1001" s="69">
        <v>43794</v>
      </c>
      <c r="B1001" s="70" t="s">
        <v>76</v>
      </c>
      <c r="C1001" s="290">
        <v>877</v>
      </c>
      <c r="D1001" s="569" t="s">
        <v>1895</v>
      </c>
      <c r="E1001" s="23" t="s">
        <v>647</v>
      </c>
      <c r="F1001" s="24">
        <v>4</v>
      </c>
      <c r="G1001" s="48">
        <v>0</v>
      </c>
      <c r="H1001" s="60">
        <f t="shared" si="109"/>
        <v>0</v>
      </c>
      <c r="I1001" s="61" t="s">
        <v>42</v>
      </c>
      <c r="J1001" s="58" t="s">
        <v>1896</v>
      </c>
      <c r="K1001" s="30">
        <v>43816</v>
      </c>
      <c r="L1001" s="30"/>
      <c r="M1001" s="29">
        <v>43812</v>
      </c>
      <c r="N1001" s="50" t="s">
        <v>1512</v>
      </c>
      <c r="O1001" s="93" t="s">
        <v>3269</v>
      </c>
      <c r="P1001" s="406"/>
      <c r="Q1001" s="511">
        <f t="shared" si="108"/>
        <v>0</v>
      </c>
      <c r="R1001" s="1399"/>
      <c r="S1001" s="1399"/>
      <c r="T1001" s="735"/>
      <c r="U1001" s="736">
        <v>1210</v>
      </c>
      <c r="V1001" s="406"/>
      <c r="W1001" s="304"/>
      <c r="X1001" s="304"/>
      <c r="Y1001" s="304"/>
      <c r="Z1001" s="304"/>
      <c r="AA1001" s="304"/>
      <c r="AB1001" s="304" t="s">
        <v>3268</v>
      </c>
      <c r="AC1001" s="304">
        <v>7367469222</v>
      </c>
      <c r="AD1001" s="304">
        <v>30.42</v>
      </c>
      <c r="AE1001" s="304"/>
      <c r="AF1001" s="304"/>
      <c r="AG1001" s="296"/>
      <c r="AH1001" s="296"/>
      <c r="AI1001" s="297"/>
      <c r="AJ1001" s="298">
        <v>43850</v>
      </c>
      <c r="AK1001" s="297" t="s">
        <v>3270</v>
      </c>
      <c r="AL1001" s="297" t="s">
        <v>3271</v>
      </c>
      <c r="AM1001" s="296" t="s">
        <v>49</v>
      </c>
      <c r="AN1001" s="296" t="s">
        <v>284</v>
      </c>
      <c r="AO1001" s="296" t="s">
        <v>50</v>
      </c>
      <c r="AP1001" s="296" t="s">
        <v>51</v>
      </c>
      <c r="AQ1001" s="296" t="s">
        <v>1346</v>
      </c>
    </row>
    <row r="1002" spans="1:43" ht="15.75" customHeight="1">
      <c r="A1002" s="69">
        <v>43794</v>
      </c>
      <c r="B1002" s="70" t="s">
        <v>76</v>
      </c>
      <c r="C1002" s="290">
        <v>877</v>
      </c>
      <c r="D1002" s="569" t="s">
        <v>1895</v>
      </c>
      <c r="E1002" s="32" t="s">
        <v>650</v>
      </c>
      <c r="F1002" s="24">
        <v>4</v>
      </c>
      <c r="G1002" s="48">
        <v>0</v>
      </c>
      <c r="H1002" s="60">
        <f t="shared" si="109"/>
        <v>0</v>
      </c>
      <c r="I1002" s="61" t="s">
        <v>42</v>
      </c>
      <c r="J1002" s="58" t="s">
        <v>1896</v>
      </c>
      <c r="K1002" s="30">
        <v>43816</v>
      </c>
      <c r="L1002" s="30"/>
      <c r="M1002" s="82" t="s">
        <v>178</v>
      </c>
      <c r="N1002" s="50" t="s">
        <v>178</v>
      </c>
      <c r="O1002" s="93"/>
      <c r="P1002" s="406"/>
      <c r="Q1002" s="732">
        <f t="shared" si="108"/>
        <v>0</v>
      </c>
      <c r="R1002" s="1398"/>
      <c r="S1002" s="1398"/>
      <c r="T1002" s="733"/>
      <c r="U1002" s="711">
        <v>386</v>
      </c>
      <c r="V1002" s="406"/>
      <c r="W1002" s="304"/>
      <c r="X1002" s="304"/>
      <c r="Y1002" s="304"/>
      <c r="Z1002" s="304"/>
      <c r="AA1002" s="304"/>
      <c r="AB1002" s="304" t="s">
        <v>3268</v>
      </c>
      <c r="AC1002" s="304">
        <v>7367469222</v>
      </c>
      <c r="AD1002" s="304">
        <v>30.42</v>
      </c>
      <c r="AE1002" s="304"/>
      <c r="AF1002" s="304"/>
      <c r="AG1002" s="296"/>
      <c r="AH1002" s="296"/>
      <c r="AI1002" s="297"/>
      <c r="AJ1002" s="298">
        <v>43850</v>
      </c>
      <c r="AK1002" s="297" t="s">
        <v>3270</v>
      </c>
      <c r="AL1002" s="297" t="s">
        <v>3271</v>
      </c>
      <c r="AM1002" s="296" t="s">
        <v>49</v>
      </c>
      <c r="AN1002" s="296" t="s">
        <v>284</v>
      </c>
      <c r="AO1002" s="296" t="s">
        <v>50</v>
      </c>
      <c r="AP1002" s="296" t="s">
        <v>51</v>
      </c>
      <c r="AQ1002" s="296" t="s">
        <v>1346</v>
      </c>
    </row>
    <row r="1003" spans="1:43" ht="15.75" customHeight="1">
      <c r="A1003" s="69">
        <v>43794</v>
      </c>
      <c r="B1003" s="70" t="s">
        <v>76</v>
      </c>
      <c r="C1003" s="290">
        <v>877</v>
      </c>
      <c r="D1003" s="569" t="s">
        <v>1895</v>
      </c>
      <c r="E1003" s="32" t="s">
        <v>1898</v>
      </c>
      <c r="F1003" s="24">
        <v>4</v>
      </c>
      <c r="G1003" s="48">
        <v>2</v>
      </c>
      <c r="H1003" s="60">
        <f t="shared" si="109"/>
        <v>8</v>
      </c>
      <c r="I1003" s="61" t="s">
        <v>42</v>
      </c>
      <c r="J1003" s="58" t="s">
        <v>1896</v>
      </c>
      <c r="K1003" s="30">
        <v>43816</v>
      </c>
      <c r="L1003" s="30"/>
      <c r="M1003" s="82" t="s">
        <v>178</v>
      </c>
      <c r="N1003" s="50" t="s">
        <v>178</v>
      </c>
      <c r="O1003" s="93"/>
      <c r="P1003" s="406"/>
      <c r="Q1003" s="732">
        <f t="shared" si="108"/>
        <v>0</v>
      </c>
      <c r="R1003" s="1398"/>
      <c r="S1003" s="1398"/>
      <c r="T1003" s="733"/>
      <c r="U1003" s="734">
        <v>133</v>
      </c>
      <c r="V1003" s="406"/>
      <c r="W1003" s="304"/>
      <c r="X1003" s="304"/>
      <c r="Y1003" s="304"/>
      <c r="Z1003" s="304"/>
      <c r="AA1003" s="304"/>
      <c r="AB1003" s="304" t="s">
        <v>3268</v>
      </c>
      <c r="AC1003" s="304">
        <v>7367469222</v>
      </c>
      <c r="AD1003" s="304">
        <v>30.42</v>
      </c>
      <c r="AE1003" s="304"/>
      <c r="AF1003" s="304"/>
      <c r="AG1003" s="296"/>
      <c r="AH1003" s="296"/>
      <c r="AI1003" s="297"/>
      <c r="AJ1003" s="298">
        <v>43850</v>
      </c>
      <c r="AK1003" s="297" t="s">
        <v>3270</v>
      </c>
      <c r="AL1003" s="297" t="s">
        <v>3271</v>
      </c>
      <c r="AM1003" s="296" t="s">
        <v>49</v>
      </c>
      <c r="AN1003" s="296" t="s">
        <v>284</v>
      </c>
      <c r="AO1003" s="296" t="s">
        <v>50</v>
      </c>
      <c r="AP1003" s="296" t="s">
        <v>51</v>
      </c>
      <c r="AQ1003" s="296" t="s">
        <v>1346</v>
      </c>
    </row>
    <row r="1004" spans="1:43" ht="15.75" customHeight="1">
      <c r="A1004" s="69">
        <v>43794</v>
      </c>
      <c r="B1004" s="70" t="s">
        <v>76</v>
      </c>
      <c r="C1004" s="290">
        <v>877</v>
      </c>
      <c r="D1004" s="569" t="s">
        <v>1895</v>
      </c>
      <c r="E1004" s="23" t="s">
        <v>1899</v>
      </c>
      <c r="F1004" s="24">
        <v>4</v>
      </c>
      <c r="G1004" s="48">
        <v>6</v>
      </c>
      <c r="H1004" s="60">
        <f t="shared" si="109"/>
        <v>24</v>
      </c>
      <c r="I1004" s="61" t="s">
        <v>42</v>
      </c>
      <c r="J1004" s="58" t="s">
        <v>1896</v>
      </c>
      <c r="K1004" s="30">
        <v>43816</v>
      </c>
      <c r="L1004" s="1474"/>
      <c r="M1004" s="457" t="s">
        <v>178</v>
      </c>
      <c r="N1004" s="50" t="s">
        <v>178</v>
      </c>
      <c r="O1004" s="93"/>
      <c r="P1004" s="406"/>
      <c r="Q1004" s="732">
        <f t="shared" si="108"/>
        <v>0</v>
      </c>
      <c r="R1004" s="1398"/>
      <c r="S1004" s="1398"/>
      <c r="T1004" s="733"/>
      <c r="U1004" s="734">
        <v>142</v>
      </c>
      <c r="V1004" s="406"/>
      <c r="W1004" s="304"/>
      <c r="X1004" s="304"/>
      <c r="Y1004" s="304"/>
      <c r="Z1004" s="304"/>
      <c r="AA1004" s="304"/>
      <c r="AB1004" s="304" t="s">
        <v>3268</v>
      </c>
      <c r="AC1004" s="304">
        <v>7367469222</v>
      </c>
      <c r="AD1004" s="304">
        <v>30.42</v>
      </c>
      <c r="AE1004" s="304"/>
      <c r="AF1004" s="304"/>
      <c r="AG1004" s="296"/>
      <c r="AH1004" s="296"/>
      <c r="AI1004" s="297"/>
      <c r="AJ1004" s="298">
        <v>43850</v>
      </c>
      <c r="AK1004" s="297" t="s">
        <v>3270</v>
      </c>
      <c r="AL1004" s="297" t="s">
        <v>3271</v>
      </c>
      <c r="AM1004" s="296" t="s">
        <v>49</v>
      </c>
      <c r="AN1004" s="296" t="s">
        <v>284</v>
      </c>
      <c r="AO1004" s="296" t="s">
        <v>50</v>
      </c>
      <c r="AP1004" s="296" t="s">
        <v>51</v>
      </c>
      <c r="AQ1004" s="296" t="s">
        <v>1346</v>
      </c>
    </row>
    <row r="1005" spans="1:43" ht="15.75" customHeight="1">
      <c r="A1005" s="69">
        <v>43794</v>
      </c>
      <c r="B1005" s="147" t="s">
        <v>100</v>
      </c>
      <c r="C1005" s="21" t="s">
        <v>1900</v>
      </c>
      <c r="D1005" s="71" t="s">
        <v>1901</v>
      </c>
      <c r="E1005" s="23" t="s">
        <v>1561</v>
      </c>
      <c r="F1005" s="24">
        <v>8</v>
      </c>
      <c r="G1005" s="434">
        <v>71</v>
      </c>
      <c r="H1005" s="60">
        <f t="shared" si="109"/>
        <v>568</v>
      </c>
      <c r="I1005" s="61" t="s">
        <v>170</v>
      </c>
      <c r="J1005" s="50" t="s">
        <v>532</v>
      </c>
      <c r="K1005" s="29">
        <v>43829</v>
      </c>
      <c r="L1005" s="29"/>
      <c r="M1005" s="296" t="s">
        <v>3272</v>
      </c>
      <c r="N1005" s="50" t="s">
        <v>177</v>
      </c>
      <c r="O1005" s="93">
        <v>20191128005</v>
      </c>
      <c r="P1005" s="406">
        <v>35.9</v>
      </c>
      <c r="Q1005" s="737">
        <f t="shared" si="108"/>
        <v>301.56</v>
      </c>
      <c r="R1005" s="1400"/>
      <c r="S1005" s="1400"/>
      <c r="T1005" s="731"/>
      <c r="U1005" s="711">
        <v>9195</v>
      </c>
      <c r="V1005" s="406"/>
      <c r="W1005" s="304"/>
      <c r="X1005" s="304"/>
      <c r="Y1005" s="304"/>
      <c r="Z1005" s="304"/>
      <c r="AA1005" s="304"/>
      <c r="AB1005" s="304" t="s">
        <v>3273</v>
      </c>
      <c r="AC1005" s="304">
        <v>1012999982</v>
      </c>
      <c r="AD1005" s="304">
        <v>30.26</v>
      </c>
      <c r="AE1005" s="304"/>
      <c r="AF1005" s="304"/>
      <c r="AG1005" s="296"/>
      <c r="AH1005" s="296"/>
      <c r="AI1005" s="297"/>
      <c r="AJ1005" s="298">
        <v>43885</v>
      </c>
      <c r="AK1005" s="297"/>
      <c r="AL1005" s="297"/>
      <c r="AM1005" s="296" t="s">
        <v>49</v>
      </c>
      <c r="AN1005" s="296" t="s">
        <v>284</v>
      </c>
      <c r="AO1005" s="296" t="s">
        <v>285</v>
      </c>
      <c r="AP1005" s="296" t="s">
        <v>51</v>
      </c>
      <c r="AQ1005" s="296" t="s">
        <v>1346</v>
      </c>
    </row>
    <row r="1006" spans="1:43" ht="15.75" customHeight="1">
      <c r="A1006" s="69">
        <v>43794</v>
      </c>
      <c r="B1006" s="147" t="s">
        <v>100</v>
      </c>
      <c r="C1006" s="21" t="s">
        <v>1900</v>
      </c>
      <c r="D1006" s="71" t="s">
        <v>1901</v>
      </c>
      <c r="E1006" s="23" t="s">
        <v>1562</v>
      </c>
      <c r="F1006" s="24">
        <v>8</v>
      </c>
      <c r="G1006" s="434">
        <v>60</v>
      </c>
      <c r="H1006" s="60">
        <f t="shared" si="109"/>
        <v>480</v>
      </c>
      <c r="I1006" s="61" t="s">
        <v>170</v>
      </c>
      <c r="J1006" s="50" t="s">
        <v>532</v>
      </c>
      <c r="K1006" s="29">
        <v>43829</v>
      </c>
      <c r="L1006" s="29"/>
      <c r="M1006" s="29">
        <v>43798</v>
      </c>
      <c r="N1006" s="296" t="s">
        <v>178</v>
      </c>
      <c r="O1006" s="93"/>
      <c r="P1006" s="406"/>
      <c r="Q1006" s="732">
        <f t="shared" si="108"/>
        <v>0</v>
      </c>
      <c r="R1006" s="1398"/>
      <c r="S1006" s="1398"/>
      <c r="T1006" s="733"/>
      <c r="U1006" s="711">
        <v>10387</v>
      </c>
      <c r="V1006" s="406"/>
      <c r="W1006" s="304"/>
      <c r="X1006" s="304"/>
      <c r="Y1006" s="304"/>
      <c r="Z1006" s="304"/>
      <c r="AA1006" s="304"/>
      <c r="AB1006" s="304" t="s">
        <v>3273</v>
      </c>
      <c r="AC1006" s="304">
        <v>1012999982</v>
      </c>
      <c r="AD1006" s="304">
        <v>30.26</v>
      </c>
      <c r="AE1006" s="304"/>
      <c r="AF1006" s="304"/>
      <c r="AG1006" s="296"/>
      <c r="AH1006" s="296"/>
      <c r="AI1006" s="297"/>
      <c r="AJ1006" s="298">
        <v>43885</v>
      </c>
      <c r="AK1006" s="297"/>
      <c r="AL1006" s="297"/>
      <c r="AM1006" s="296" t="s">
        <v>49</v>
      </c>
      <c r="AN1006" s="296" t="s">
        <v>284</v>
      </c>
      <c r="AO1006" s="296" t="s">
        <v>285</v>
      </c>
      <c r="AP1006" s="296" t="s">
        <v>51</v>
      </c>
      <c r="AQ1006" s="296" t="s">
        <v>1346</v>
      </c>
    </row>
    <row r="1007" spans="1:43" ht="15.75" customHeight="1">
      <c r="A1007" s="69">
        <v>43794</v>
      </c>
      <c r="B1007" s="144" t="s">
        <v>100</v>
      </c>
      <c r="C1007" s="21" t="s">
        <v>1900</v>
      </c>
      <c r="D1007" s="71" t="s">
        <v>1901</v>
      </c>
      <c r="E1007" s="23" t="s">
        <v>1565</v>
      </c>
      <c r="F1007" s="24">
        <v>8</v>
      </c>
      <c r="G1007" s="434">
        <v>47</v>
      </c>
      <c r="H1007" s="60">
        <f t="shared" si="109"/>
        <v>376</v>
      </c>
      <c r="I1007" s="61" t="s">
        <v>170</v>
      </c>
      <c r="J1007" s="50" t="s">
        <v>532</v>
      </c>
      <c r="K1007" s="29">
        <v>43829</v>
      </c>
      <c r="L1007" s="29"/>
      <c r="M1007" s="30">
        <v>43817</v>
      </c>
      <c r="N1007" s="50" t="s">
        <v>2221</v>
      </c>
      <c r="O1007" s="93" t="s">
        <v>3274</v>
      </c>
      <c r="P1007" s="406">
        <v>35</v>
      </c>
      <c r="Q1007" s="732">
        <f t="shared" si="108"/>
        <v>294</v>
      </c>
      <c r="R1007" s="1398"/>
      <c r="S1007" s="1398"/>
      <c r="T1007" s="733">
        <v>1059.2049999999999</v>
      </c>
      <c r="U1007" s="711">
        <v>8897</v>
      </c>
      <c r="V1007" s="406"/>
      <c r="W1007" s="304"/>
      <c r="X1007" s="304"/>
      <c r="Y1007" s="304"/>
      <c r="Z1007" s="304"/>
      <c r="AA1007" s="304"/>
      <c r="AB1007" s="304" t="s">
        <v>3273</v>
      </c>
      <c r="AC1007" s="304">
        <v>1012999982</v>
      </c>
      <c r="AD1007" s="304">
        <v>30.26</v>
      </c>
      <c r="AE1007" s="304"/>
      <c r="AF1007" s="304"/>
      <c r="AG1007" s="296"/>
      <c r="AH1007" s="296"/>
      <c r="AI1007" s="297"/>
      <c r="AJ1007" s="298">
        <v>43885</v>
      </c>
      <c r="AK1007" s="297"/>
      <c r="AL1007" s="297"/>
      <c r="AM1007" s="296" t="s">
        <v>49</v>
      </c>
      <c r="AN1007" s="296" t="s">
        <v>284</v>
      </c>
      <c r="AO1007" s="296" t="s">
        <v>285</v>
      </c>
      <c r="AP1007" s="296" t="s">
        <v>51</v>
      </c>
      <c r="AQ1007" s="296" t="s">
        <v>1346</v>
      </c>
    </row>
    <row r="1008" spans="1:43" ht="15.75" customHeight="1">
      <c r="A1008" s="69">
        <v>43794</v>
      </c>
      <c r="B1008" s="144" t="s">
        <v>100</v>
      </c>
      <c r="C1008" s="21" t="s">
        <v>1900</v>
      </c>
      <c r="D1008" s="71" t="s">
        <v>1901</v>
      </c>
      <c r="E1008" s="23" t="s">
        <v>1902</v>
      </c>
      <c r="F1008" s="24">
        <v>1</v>
      </c>
      <c r="G1008" s="48">
        <v>8</v>
      </c>
      <c r="H1008" s="60">
        <v>8</v>
      </c>
      <c r="I1008" s="61" t="s">
        <v>170</v>
      </c>
      <c r="J1008" s="50" t="s">
        <v>532</v>
      </c>
      <c r="K1008" s="29">
        <v>43829</v>
      </c>
      <c r="L1008" s="29"/>
      <c r="M1008" s="29">
        <v>43803</v>
      </c>
      <c r="N1008" s="50" t="s">
        <v>3275</v>
      </c>
      <c r="O1008" s="93"/>
      <c r="P1008" s="406"/>
      <c r="Q1008" s="732"/>
      <c r="R1008" s="1398"/>
      <c r="S1008" s="1398"/>
      <c r="T1008" s="733"/>
      <c r="U1008" s="711">
        <v>126</v>
      </c>
      <c r="V1008" s="406"/>
      <c r="W1008" s="304"/>
      <c r="X1008" s="304"/>
      <c r="Y1008" s="304"/>
      <c r="Z1008" s="304"/>
      <c r="AA1008" s="304"/>
      <c r="AB1008" s="304" t="s">
        <v>3273</v>
      </c>
      <c r="AC1008" s="304">
        <v>1012999982</v>
      </c>
      <c r="AD1008" s="304">
        <v>30.26</v>
      </c>
      <c r="AE1008" s="304"/>
      <c r="AF1008" s="304"/>
      <c r="AG1008" s="296"/>
      <c r="AH1008" s="296"/>
      <c r="AI1008" s="297"/>
      <c r="AJ1008" s="298">
        <v>43885</v>
      </c>
      <c r="AK1008" s="297"/>
      <c r="AL1008" s="297"/>
      <c r="AM1008" s="296" t="s">
        <v>49</v>
      </c>
      <c r="AN1008" s="296" t="s">
        <v>284</v>
      </c>
      <c r="AO1008" s="296" t="s">
        <v>285</v>
      </c>
      <c r="AP1008" s="296" t="s">
        <v>51</v>
      </c>
      <c r="AQ1008" s="296" t="s">
        <v>1346</v>
      </c>
    </row>
    <row r="1009" spans="1:43" ht="15.75" customHeight="1">
      <c r="A1009" s="69">
        <v>43795</v>
      </c>
      <c r="B1009" s="144" t="s">
        <v>100</v>
      </c>
      <c r="C1009" s="21" t="s">
        <v>1900</v>
      </c>
      <c r="D1009" s="71" t="s">
        <v>1901</v>
      </c>
      <c r="E1009" s="23" t="s">
        <v>1903</v>
      </c>
      <c r="F1009" s="24">
        <v>8</v>
      </c>
      <c r="G1009" s="434">
        <v>669</v>
      </c>
      <c r="H1009" s="60">
        <f t="shared" ref="H1009:H1010" si="111">G1009*F1009</f>
        <v>5352</v>
      </c>
      <c r="I1009" s="61" t="s">
        <v>170</v>
      </c>
      <c r="J1009" s="50" t="s">
        <v>532</v>
      </c>
      <c r="K1009" s="29">
        <v>43829</v>
      </c>
      <c r="L1009" s="29"/>
      <c r="M1009" s="30">
        <v>43829</v>
      </c>
      <c r="N1009" s="296" t="s">
        <v>2979</v>
      </c>
      <c r="O1009" s="93"/>
      <c r="P1009" s="406"/>
      <c r="Q1009" s="732">
        <f>(P1009*F1009)*1.05</f>
        <v>0</v>
      </c>
      <c r="R1009" s="1398"/>
      <c r="S1009" s="1398"/>
      <c r="T1009" s="733"/>
      <c r="U1009" s="711">
        <v>134190</v>
      </c>
      <c r="V1009" s="406"/>
      <c r="W1009" s="304"/>
      <c r="X1009" s="304"/>
      <c r="Y1009" s="304"/>
      <c r="Z1009" s="304"/>
      <c r="AA1009" s="304"/>
      <c r="AB1009" s="304" t="s">
        <v>3273</v>
      </c>
      <c r="AC1009" s="304">
        <v>1012999982</v>
      </c>
      <c r="AD1009" s="304">
        <v>30.26</v>
      </c>
      <c r="AE1009" s="304"/>
      <c r="AF1009" s="304"/>
      <c r="AG1009" s="296"/>
      <c r="AH1009" s="296"/>
      <c r="AI1009" s="297"/>
      <c r="AJ1009" s="298">
        <v>43885</v>
      </c>
      <c r="AK1009" s="297"/>
      <c r="AL1009" s="297"/>
      <c r="AM1009" s="296" t="s">
        <v>49</v>
      </c>
      <c r="AN1009" s="296" t="s">
        <v>284</v>
      </c>
      <c r="AO1009" s="296" t="s">
        <v>285</v>
      </c>
      <c r="AP1009" s="296" t="s">
        <v>51</v>
      </c>
      <c r="AQ1009" s="296" t="s">
        <v>1346</v>
      </c>
    </row>
    <row r="1010" spans="1:43" ht="15.75" customHeight="1">
      <c r="A1010" s="69">
        <v>43797</v>
      </c>
      <c r="B1010" s="70" t="s">
        <v>377</v>
      </c>
      <c r="C1010" s="92"/>
      <c r="D1010" s="71" t="s">
        <v>1904</v>
      </c>
      <c r="E1010" s="23" t="s">
        <v>1905</v>
      </c>
      <c r="F1010" s="24">
        <v>1</v>
      </c>
      <c r="G1010" s="48">
        <v>20</v>
      </c>
      <c r="H1010" s="60">
        <f t="shared" si="111"/>
        <v>20</v>
      </c>
      <c r="I1010" s="61" t="s">
        <v>143</v>
      </c>
      <c r="J1010" s="58" t="s">
        <v>1107</v>
      </c>
      <c r="K1010" s="30">
        <v>43797</v>
      </c>
      <c r="L1010" s="30"/>
      <c r="M1010" s="535"/>
      <c r="N1010" s="50"/>
      <c r="O1010" s="93"/>
      <c r="P1010" s="406"/>
      <c r="Q1010" s="732"/>
      <c r="R1010" s="1398"/>
      <c r="S1010" s="1398"/>
      <c r="T1010" s="733"/>
      <c r="U1010" s="711">
        <v>0</v>
      </c>
      <c r="V1010" s="406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296"/>
      <c r="AH1010" s="296"/>
      <c r="AI1010" s="297"/>
      <c r="AJ1010" s="298">
        <v>43837</v>
      </c>
      <c r="AK1010" s="297" t="s">
        <v>2811</v>
      </c>
      <c r="AL1010" s="297" t="s">
        <v>2812</v>
      </c>
      <c r="AM1010" s="296" t="s">
        <v>49</v>
      </c>
      <c r="AN1010" s="296" t="s">
        <v>284</v>
      </c>
      <c r="AO1010" s="296" t="s">
        <v>50</v>
      </c>
      <c r="AP1010" s="296" t="s">
        <v>51</v>
      </c>
      <c r="AQ1010" s="296" t="s">
        <v>1346</v>
      </c>
    </row>
    <row r="1011" spans="1:43" ht="15.75" customHeight="1">
      <c r="A1011" s="110">
        <v>43798</v>
      </c>
      <c r="B1011" s="21" t="s">
        <v>118</v>
      </c>
      <c r="C1011" s="92"/>
      <c r="D1011" s="21" t="s">
        <v>1906</v>
      </c>
      <c r="E1011" s="23" t="s">
        <v>1831</v>
      </c>
      <c r="F1011" s="24">
        <v>1</v>
      </c>
      <c r="G1011" s="48">
        <v>25</v>
      </c>
      <c r="H1011" s="81">
        <v>25</v>
      </c>
      <c r="I1011" s="61" t="s">
        <v>86</v>
      </c>
      <c r="J1011" s="50" t="s">
        <v>512</v>
      </c>
      <c r="K1011" s="298">
        <v>43803</v>
      </c>
      <c r="L1011" s="298"/>
      <c r="M1011" s="298">
        <v>43802</v>
      </c>
      <c r="N1011" s="50" t="s">
        <v>258</v>
      </c>
      <c r="O1011" s="93"/>
      <c r="P1011" s="406"/>
      <c r="Q1011" s="732"/>
      <c r="R1011" s="1398"/>
      <c r="S1011" s="1398"/>
      <c r="T1011" s="731" t="s">
        <v>0</v>
      </c>
      <c r="U1011" s="711">
        <v>355</v>
      </c>
      <c r="V1011" s="406"/>
      <c r="W1011" s="304"/>
      <c r="X1011" s="304"/>
      <c r="Y1011" s="304"/>
      <c r="Z1011" s="304"/>
      <c r="AA1011" s="304"/>
      <c r="AB1011" s="304"/>
      <c r="AC1011" s="304"/>
      <c r="AD1011" s="535"/>
      <c r="AE1011" s="304"/>
      <c r="AF1011" s="304"/>
      <c r="AG1011" s="296"/>
      <c r="AH1011" s="296"/>
      <c r="AI1011" s="297"/>
      <c r="AJ1011" s="537"/>
      <c r="AK1011" s="297"/>
      <c r="AL1011" s="297"/>
      <c r="AM1011" s="296"/>
      <c r="AN1011" s="296" t="s">
        <v>284</v>
      </c>
      <c r="AO1011" s="296" t="s">
        <v>50</v>
      </c>
      <c r="AP1011" s="296" t="s">
        <v>51</v>
      </c>
      <c r="AQ1011" s="296" t="s">
        <v>1346</v>
      </c>
    </row>
    <row r="1012" spans="1:43" ht="15.75" customHeight="1">
      <c r="A1012" s="110">
        <v>43798</v>
      </c>
      <c r="B1012" s="21" t="s">
        <v>118</v>
      </c>
      <c r="C1012" s="92"/>
      <c r="D1012" s="71" t="s">
        <v>1906</v>
      </c>
      <c r="E1012" s="23" t="s">
        <v>1907</v>
      </c>
      <c r="F1012" s="24">
        <v>1</v>
      </c>
      <c r="G1012" s="48">
        <v>15</v>
      </c>
      <c r="H1012" s="81">
        <v>15</v>
      </c>
      <c r="I1012" s="61" t="s">
        <v>86</v>
      </c>
      <c r="J1012" s="50" t="s">
        <v>512</v>
      </c>
      <c r="K1012" s="298">
        <v>43803</v>
      </c>
      <c r="L1012" s="298"/>
      <c r="M1012" s="298"/>
      <c r="N1012" s="50" t="s">
        <v>262</v>
      </c>
      <c r="O1012" s="93"/>
      <c r="P1012" s="406"/>
      <c r="Q1012" s="732"/>
      <c r="R1012" s="1398"/>
      <c r="S1012" s="1398"/>
      <c r="T1012" s="733"/>
      <c r="U1012" s="711">
        <v>0</v>
      </c>
      <c r="V1012" s="501"/>
      <c r="W1012" s="304"/>
      <c r="X1012" s="304"/>
      <c r="Y1012" s="304"/>
      <c r="Z1012" s="304"/>
      <c r="AA1012" s="304"/>
      <c r="AB1012" s="304"/>
      <c r="AC1012" s="304">
        <v>7983139312</v>
      </c>
      <c r="AD1012" s="304"/>
      <c r="AE1012" s="304"/>
      <c r="AF1012" s="304"/>
      <c r="AG1012" s="296"/>
      <c r="AH1012" s="296"/>
      <c r="AI1012" s="297"/>
      <c r="AJ1012" s="537"/>
      <c r="AK1012" s="297"/>
      <c r="AL1012" s="297"/>
      <c r="AM1012" s="296"/>
      <c r="AN1012" s="296" t="s">
        <v>284</v>
      </c>
      <c r="AO1012" s="296" t="s">
        <v>50</v>
      </c>
      <c r="AP1012" s="296" t="s">
        <v>51</v>
      </c>
      <c r="AQ1012" s="296" t="s">
        <v>1346</v>
      </c>
    </row>
    <row r="1013" spans="1:43" ht="15.75" customHeight="1">
      <c r="A1013" s="69">
        <v>43801</v>
      </c>
      <c r="B1013" s="70" t="s">
        <v>249</v>
      </c>
      <c r="C1013" s="92"/>
      <c r="D1013" s="71" t="s">
        <v>1908</v>
      </c>
      <c r="E1013" s="23" t="s">
        <v>1909</v>
      </c>
      <c r="F1013" s="24">
        <v>1</v>
      </c>
      <c r="G1013" s="48">
        <v>0</v>
      </c>
      <c r="H1013" s="60">
        <v>0</v>
      </c>
      <c r="I1013" s="61" t="s">
        <v>170</v>
      </c>
      <c r="J1013" s="63"/>
      <c r="K1013" s="29">
        <v>43801</v>
      </c>
      <c r="L1013" s="29"/>
      <c r="M1013" s="146"/>
      <c r="N1013" s="63"/>
      <c r="O1013" s="64"/>
      <c r="P1013" s="34"/>
      <c r="Q1013" s="217"/>
      <c r="R1013" s="1401"/>
      <c r="S1013" s="1401"/>
      <c r="T1013" s="218"/>
      <c r="U1013" s="219"/>
      <c r="V1013" s="66"/>
      <c r="W1013" s="52"/>
      <c r="X1013" s="53"/>
      <c r="Y1013" s="53"/>
      <c r="Z1013" s="53"/>
      <c r="AA1013" s="53"/>
      <c r="AB1013" s="53" t="s">
        <v>3276</v>
      </c>
      <c r="AC1013" s="53">
        <v>3282759642</v>
      </c>
      <c r="AD1013" s="53">
        <v>30.45</v>
      </c>
      <c r="AE1013" s="53"/>
      <c r="AF1013" s="53"/>
      <c r="AG1013" s="54"/>
      <c r="AH1013" s="54"/>
      <c r="AI1013" s="55"/>
      <c r="AJ1013" s="68"/>
      <c r="AK1013" s="55"/>
      <c r="AL1013" s="55"/>
      <c r="AM1013" s="54"/>
      <c r="AN1013" s="54" t="s">
        <v>1606</v>
      </c>
      <c r="AO1013" s="54"/>
      <c r="AP1013" s="54"/>
      <c r="AQ1013" s="57"/>
    </row>
    <row r="1014" spans="1:43" ht="15.75" customHeight="1">
      <c r="A1014" s="69">
        <v>43801</v>
      </c>
      <c r="B1014" s="70" t="s">
        <v>249</v>
      </c>
      <c r="C1014" s="128"/>
      <c r="D1014" s="71" t="s">
        <v>1908</v>
      </c>
      <c r="E1014" s="570" t="s">
        <v>1910</v>
      </c>
      <c r="F1014" s="130">
        <v>1</v>
      </c>
      <c r="G1014" s="25">
        <v>0</v>
      </c>
      <c r="H1014" s="60">
        <v>0</v>
      </c>
      <c r="I1014" s="61" t="s">
        <v>170</v>
      </c>
      <c r="J1014" s="63"/>
      <c r="K1014" s="29">
        <v>43801</v>
      </c>
      <c r="L1014" s="29"/>
      <c r="M1014" s="146"/>
      <c r="N1014" s="63"/>
      <c r="O1014" s="64"/>
      <c r="P1014" s="142"/>
      <c r="Q1014" s="738"/>
      <c r="R1014" s="1401"/>
      <c r="S1014" s="1401"/>
      <c r="T1014" s="218"/>
      <c r="U1014" s="106"/>
      <c r="V1014" s="76"/>
      <c r="W1014" s="52"/>
      <c r="X1014" s="53"/>
      <c r="Y1014" s="53"/>
      <c r="Z1014" s="53"/>
      <c r="AA1014" s="53"/>
      <c r="AB1014" s="53" t="s">
        <v>3276</v>
      </c>
      <c r="AC1014" s="53">
        <v>3282759642</v>
      </c>
      <c r="AD1014" s="53">
        <v>30.45</v>
      </c>
      <c r="AE1014" s="53"/>
      <c r="AF1014" s="53"/>
      <c r="AG1014" s="54"/>
      <c r="AH1014" s="54"/>
      <c r="AI1014" s="55"/>
      <c r="AJ1014" s="68"/>
      <c r="AK1014" s="55"/>
      <c r="AL1014" s="55"/>
      <c r="AM1014" s="54"/>
      <c r="AN1014" s="54" t="s">
        <v>1606</v>
      </c>
      <c r="AO1014" s="54"/>
      <c r="AP1014" s="57"/>
      <c r="AQ1014" s="57"/>
    </row>
    <row r="1015" spans="1:43" ht="15.75" customHeight="1">
      <c r="A1015" s="69">
        <v>43801</v>
      </c>
      <c r="B1015" s="70" t="s">
        <v>249</v>
      </c>
      <c r="C1015" s="92"/>
      <c r="D1015" s="71" t="s">
        <v>1908</v>
      </c>
      <c r="E1015" s="570" t="s">
        <v>1911</v>
      </c>
      <c r="F1015" s="24">
        <v>1</v>
      </c>
      <c r="G1015" s="48">
        <v>0</v>
      </c>
      <c r="H1015" s="468">
        <v>0</v>
      </c>
      <c r="I1015" s="61" t="s">
        <v>170</v>
      </c>
      <c r="J1015" s="63"/>
      <c r="K1015" s="29">
        <v>43801</v>
      </c>
      <c r="L1015" s="29"/>
      <c r="M1015" s="146"/>
      <c r="N1015" s="63"/>
      <c r="O1015" s="64"/>
      <c r="P1015" s="34"/>
      <c r="Q1015" s="217"/>
      <c r="R1015" s="1401"/>
      <c r="S1015" s="1401"/>
      <c r="T1015" s="218"/>
      <c r="U1015" s="219"/>
      <c r="V1015" s="66"/>
      <c r="W1015" s="52"/>
      <c r="X1015" s="53"/>
      <c r="Y1015" s="53"/>
      <c r="Z1015" s="53"/>
      <c r="AA1015" s="53"/>
      <c r="AB1015" s="53" t="s">
        <v>3276</v>
      </c>
      <c r="AC1015" s="53">
        <v>3282759642</v>
      </c>
      <c r="AD1015" s="53">
        <v>30.45</v>
      </c>
      <c r="AE1015" s="53"/>
      <c r="AF1015" s="53"/>
      <c r="AG1015" s="54"/>
      <c r="AH1015" s="54"/>
      <c r="AI1015" s="55"/>
      <c r="AJ1015" s="68"/>
      <c r="AK1015" s="55"/>
      <c r="AL1015" s="55"/>
      <c r="AM1015" s="54"/>
      <c r="AN1015" s="54" t="s">
        <v>1606</v>
      </c>
      <c r="AO1015" s="54"/>
      <c r="AP1015" s="54"/>
      <c r="AQ1015" s="57"/>
    </row>
    <row r="1016" spans="1:43" ht="15.75" customHeight="1">
      <c r="A1016" s="69">
        <v>43801</v>
      </c>
      <c r="B1016" s="70" t="s">
        <v>249</v>
      </c>
      <c r="C1016" s="92"/>
      <c r="D1016" s="71" t="s">
        <v>1908</v>
      </c>
      <c r="E1016" s="23" t="s">
        <v>1912</v>
      </c>
      <c r="F1016" s="24">
        <v>1</v>
      </c>
      <c r="G1016" s="48">
        <v>0</v>
      </c>
      <c r="H1016" s="468">
        <v>0</v>
      </c>
      <c r="I1016" s="61" t="s">
        <v>170</v>
      </c>
      <c r="J1016" s="63"/>
      <c r="K1016" s="29">
        <v>43801</v>
      </c>
      <c r="L1016" s="29"/>
      <c r="M1016" s="146"/>
      <c r="N1016" s="63"/>
      <c r="O1016" s="64"/>
      <c r="P1016" s="34"/>
      <c r="Q1016" s="217"/>
      <c r="R1016" s="1401"/>
      <c r="S1016" s="1401"/>
      <c r="T1016" s="218"/>
      <c r="U1016" s="219"/>
      <c r="V1016" s="66"/>
      <c r="W1016" s="52"/>
      <c r="X1016" s="53"/>
      <c r="Y1016" s="53"/>
      <c r="Z1016" s="53"/>
      <c r="AA1016" s="53"/>
      <c r="AB1016" s="53" t="s">
        <v>3276</v>
      </c>
      <c r="AC1016" s="53">
        <v>3282759642</v>
      </c>
      <c r="AD1016" s="53">
        <v>30.45</v>
      </c>
      <c r="AE1016" s="53"/>
      <c r="AF1016" s="53"/>
      <c r="AG1016" s="54"/>
      <c r="AH1016" s="54"/>
      <c r="AI1016" s="55"/>
      <c r="AJ1016" s="68"/>
      <c r="AK1016" s="55"/>
      <c r="AL1016" s="55"/>
      <c r="AM1016" s="54"/>
      <c r="AN1016" s="54" t="s">
        <v>1606</v>
      </c>
      <c r="AO1016" s="54"/>
      <c r="AP1016" s="54"/>
      <c r="AQ1016" s="57"/>
    </row>
    <row r="1017" spans="1:43" ht="15.75" customHeight="1">
      <c r="A1017" s="69">
        <v>43802</v>
      </c>
      <c r="B1017" s="32" t="s">
        <v>76</v>
      </c>
      <c r="C1017" s="21">
        <v>913</v>
      </c>
      <c r="D1017" s="32" t="s">
        <v>180</v>
      </c>
      <c r="E1017" s="23" t="s">
        <v>587</v>
      </c>
      <c r="F1017" s="130">
        <v>1</v>
      </c>
      <c r="G1017" s="25">
        <v>77</v>
      </c>
      <c r="H1017" s="26">
        <f t="shared" ref="H1017:H1019" si="112">G1017*F1017</f>
        <v>77</v>
      </c>
      <c r="I1017" s="61" t="s">
        <v>42</v>
      </c>
      <c r="J1017" s="58" t="s">
        <v>1896</v>
      </c>
      <c r="K1017" s="30">
        <v>43816</v>
      </c>
      <c r="L1017" s="30"/>
      <c r="M1017" s="30">
        <v>43812</v>
      </c>
      <c r="N1017" s="50" t="s">
        <v>1512</v>
      </c>
      <c r="O1017" s="93" t="s">
        <v>3277</v>
      </c>
      <c r="P1017" s="730"/>
      <c r="Q1017" s="739"/>
      <c r="R1017" s="1398"/>
      <c r="S1017" s="1398"/>
      <c r="T1017" s="731">
        <v>1000</v>
      </c>
      <c r="U1017" s="711">
        <f>(T1017*F1017)*1.05</f>
        <v>1050</v>
      </c>
      <c r="V1017" s="406"/>
      <c r="W1017" s="304"/>
      <c r="X1017" s="304"/>
      <c r="Y1017" s="304"/>
      <c r="Z1017" s="304"/>
      <c r="AA1017" s="304"/>
      <c r="AB1017" s="304" t="s">
        <v>3268</v>
      </c>
      <c r="AC1017" s="304">
        <v>7367469222</v>
      </c>
      <c r="AD1017" s="304">
        <v>30.42</v>
      </c>
      <c r="AE1017" s="304"/>
      <c r="AF1017" s="304"/>
      <c r="AG1017" s="296"/>
      <c r="AH1017" s="296"/>
      <c r="AI1017" s="297"/>
      <c r="AJ1017" s="298">
        <v>43850</v>
      </c>
      <c r="AK1017" s="297" t="s">
        <v>3270</v>
      </c>
      <c r="AL1017" s="297" t="s">
        <v>3271</v>
      </c>
      <c r="AM1017" s="296" t="s">
        <v>49</v>
      </c>
      <c r="AN1017" s="296" t="s">
        <v>284</v>
      </c>
      <c r="AO1017" s="296" t="s">
        <v>50</v>
      </c>
      <c r="AP1017" s="234" t="s">
        <v>51</v>
      </c>
      <c r="AQ1017" s="296" t="s">
        <v>1346</v>
      </c>
    </row>
    <row r="1018" spans="1:43" ht="15.75" customHeight="1">
      <c r="A1018" s="69">
        <v>43804</v>
      </c>
      <c r="B1018" s="70" t="s">
        <v>222</v>
      </c>
      <c r="C1018" s="21" t="s">
        <v>1913</v>
      </c>
      <c r="D1018" s="111" t="s">
        <v>1914</v>
      </c>
      <c r="E1018" s="23" t="s">
        <v>1915</v>
      </c>
      <c r="F1018" s="24">
        <v>4</v>
      </c>
      <c r="G1018" s="48">
        <f>31*1.05</f>
        <v>32.550000000000004</v>
      </c>
      <c r="H1018" s="60">
        <f t="shared" si="112"/>
        <v>130.20000000000002</v>
      </c>
      <c r="I1018" s="132" t="s">
        <v>86</v>
      </c>
      <c r="J1018" s="50" t="s">
        <v>89</v>
      </c>
      <c r="K1018" s="30">
        <v>43818</v>
      </c>
      <c r="L1018" s="30"/>
      <c r="M1018" s="30">
        <v>43818</v>
      </c>
      <c r="N1018" s="58" t="s">
        <v>89</v>
      </c>
      <c r="O1018" s="93" t="s">
        <v>3278</v>
      </c>
      <c r="P1018" s="406">
        <v>28</v>
      </c>
      <c r="Q1018" s="304">
        <f t="shared" ref="Q1018:Q1025" si="113">(P1018*F1018)*1.05</f>
        <v>117.60000000000001</v>
      </c>
      <c r="R1018" s="1400"/>
      <c r="S1018" s="1400"/>
      <c r="T1018" s="719"/>
      <c r="U1018" s="719">
        <f>Q1018*30.42</f>
        <v>3577.3920000000003</v>
      </c>
      <c r="V1018" s="51" t="s">
        <v>93</v>
      </c>
      <c r="W1018" s="304"/>
      <c r="X1018" s="304"/>
      <c r="Y1018" s="304"/>
      <c r="Z1018" s="304"/>
      <c r="AA1018" s="304"/>
      <c r="AB1018" s="304" t="s">
        <v>3279</v>
      </c>
      <c r="AC1018" s="304" t="s">
        <v>3280</v>
      </c>
      <c r="AD1018" s="304">
        <v>30.24</v>
      </c>
      <c r="AE1018" s="304">
        <v>3937</v>
      </c>
      <c r="AF1018" s="29">
        <v>43818</v>
      </c>
      <c r="AG1018" s="296"/>
      <c r="AH1018" s="297"/>
      <c r="AI1018" s="537"/>
      <c r="AJ1018" s="298">
        <v>43838</v>
      </c>
      <c r="AK1018" s="297" t="s">
        <v>3281</v>
      </c>
      <c r="AL1018" s="296" t="s">
        <v>3282</v>
      </c>
      <c r="AM1018" s="296" t="s">
        <v>49</v>
      </c>
      <c r="AN1018" s="296" t="s">
        <v>284</v>
      </c>
      <c r="AO1018" s="296" t="s">
        <v>50</v>
      </c>
      <c r="AP1018" s="234" t="s">
        <v>376</v>
      </c>
      <c r="AQ1018" s="296" t="s">
        <v>1346</v>
      </c>
    </row>
    <row r="1019" spans="1:43" ht="15.75" customHeight="1">
      <c r="A1019" s="69">
        <v>43804</v>
      </c>
      <c r="B1019" s="70" t="s">
        <v>222</v>
      </c>
      <c r="C1019" s="21" t="s">
        <v>1913</v>
      </c>
      <c r="D1019" s="111" t="s">
        <v>1914</v>
      </c>
      <c r="E1019" s="23" t="s">
        <v>1916</v>
      </c>
      <c r="F1019" s="24">
        <v>2</v>
      </c>
      <c r="G1019" s="48">
        <v>519.75</v>
      </c>
      <c r="H1019" s="60">
        <f t="shared" si="112"/>
        <v>1039.5</v>
      </c>
      <c r="I1019" s="132" t="s">
        <v>86</v>
      </c>
      <c r="J1019" s="50" t="s">
        <v>89</v>
      </c>
      <c r="K1019" s="29">
        <v>43822</v>
      </c>
      <c r="L1019" s="29"/>
      <c r="M1019" s="30">
        <v>43822</v>
      </c>
      <c r="N1019" s="58" t="s">
        <v>3283</v>
      </c>
      <c r="O1019" s="93" t="s">
        <v>3284</v>
      </c>
      <c r="P1019" s="406">
        <v>408</v>
      </c>
      <c r="Q1019" s="304">
        <f t="shared" si="113"/>
        <v>856.80000000000007</v>
      </c>
      <c r="R1019" s="1400"/>
      <c r="S1019" s="1400"/>
      <c r="T1019" s="719"/>
      <c r="U1019" s="711">
        <v>25883</v>
      </c>
      <c r="V1019" s="20" t="s">
        <v>3285</v>
      </c>
      <c r="W1019" s="304"/>
      <c r="X1019" s="304"/>
      <c r="Y1019" s="304"/>
      <c r="Z1019" s="304"/>
      <c r="AA1019" s="304"/>
      <c r="AB1019" s="304" t="s">
        <v>3286</v>
      </c>
      <c r="AC1019" s="304" t="s">
        <v>3287</v>
      </c>
      <c r="AD1019" s="304">
        <v>30.164999999999999</v>
      </c>
      <c r="AE1019" s="304">
        <v>31357</v>
      </c>
      <c r="AF1019" s="29">
        <v>43822</v>
      </c>
      <c r="AG1019" s="296"/>
      <c r="AH1019" s="297"/>
      <c r="AI1019" s="537"/>
      <c r="AJ1019" s="298">
        <v>43838</v>
      </c>
      <c r="AK1019" s="297" t="s">
        <v>3281</v>
      </c>
      <c r="AL1019" s="296" t="s">
        <v>3282</v>
      </c>
      <c r="AM1019" s="296" t="s">
        <v>49</v>
      </c>
      <c r="AN1019" s="296" t="s">
        <v>284</v>
      </c>
      <c r="AO1019" s="296" t="s">
        <v>50</v>
      </c>
      <c r="AP1019" s="234" t="s">
        <v>376</v>
      </c>
      <c r="AQ1019" s="296" t="s">
        <v>1346</v>
      </c>
    </row>
    <row r="1020" spans="1:43" ht="15.75" customHeight="1">
      <c r="A1020" s="69">
        <v>43810</v>
      </c>
      <c r="B1020" s="70" t="s">
        <v>1454</v>
      </c>
      <c r="C1020" s="21" t="s">
        <v>1455</v>
      </c>
      <c r="D1020" s="71" t="s">
        <v>1917</v>
      </c>
      <c r="E1020" s="23" t="s">
        <v>1918</v>
      </c>
      <c r="F1020" s="24">
        <v>1</v>
      </c>
      <c r="G1020" s="48">
        <v>667.37400000000002</v>
      </c>
      <c r="H1020" s="26">
        <v>667.37</v>
      </c>
      <c r="I1020" s="61" t="s">
        <v>143</v>
      </c>
      <c r="J1020" s="63" t="s">
        <v>1458</v>
      </c>
      <c r="K1020" s="296" t="s">
        <v>3288</v>
      </c>
      <c r="L1020" s="296"/>
      <c r="M1020" s="146"/>
      <c r="N1020" s="63"/>
      <c r="O1020" s="64"/>
      <c r="P1020" s="34"/>
      <c r="Q1020" s="152">
        <f t="shared" si="113"/>
        <v>0</v>
      </c>
      <c r="R1020" s="152"/>
      <c r="S1020" s="152"/>
      <c r="T1020" s="107"/>
      <c r="U1020" s="106">
        <f>(T1020*F1020)*1.05</f>
        <v>0</v>
      </c>
      <c r="V1020" s="66"/>
      <c r="W1020" s="52"/>
      <c r="X1020" s="53"/>
      <c r="Y1020" s="53"/>
      <c r="Z1020" s="53"/>
      <c r="AA1020" s="53"/>
      <c r="AB1020" s="53" t="s">
        <v>3289</v>
      </c>
      <c r="AC1020" s="53" t="s">
        <v>3290</v>
      </c>
      <c r="AD1020" s="53"/>
      <c r="AE1020" s="53">
        <v>65019</v>
      </c>
      <c r="AF1020" s="53"/>
      <c r="AG1020" s="54"/>
      <c r="AH1020" s="54"/>
      <c r="AI1020" s="55"/>
      <c r="AJ1020" s="68"/>
      <c r="AK1020" s="55"/>
      <c r="AL1020" s="55"/>
      <c r="AM1020" s="296" t="s">
        <v>49</v>
      </c>
      <c r="AN1020" s="54" t="s">
        <v>284</v>
      </c>
      <c r="AO1020" s="54"/>
      <c r="AP1020" s="54"/>
      <c r="AQ1020" s="57"/>
    </row>
    <row r="1021" spans="1:43" ht="15.75" customHeight="1">
      <c r="A1021" s="69">
        <v>43810</v>
      </c>
      <c r="B1021" s="70" t="s">
        <v>1454</v>
      </c>
      <c r="C1021" s="21" t="s">
        <v>1455</v>
      </c>
      <c r="D1021" s="71" t="s">
        <v>1917</v>
      </c>
      <c r="E1021" s="23" t="s">
        <v>1919</v>
      </c>
      <c r="F1021" s="24">
        <v>1</v>
      </c>
      <c r="G1021" s="48">
        <v>1283.82</v>
      </c>
      <c r="H1021" s="26">
        <v>1283.82</v>
      </c>
      <c r="I1021" s="61" t="s">
        <v>143</v>
      </c>
      <c r="J1021" s="63" t="s">
        <v>1458</v>
      </c>
      <c r="K1021" s="296" t="s">
        <v>3288</v>
      </c>
      <c r="L1021" s="296"/>
      <c r="M1021" s="146"/>
      <c r="N1021" s="63"/>
      <c r="O1021" s="64"/>
      <c r="P1021" s="34"/>
      <c r="Q1021" s="217">
        <f t="shared" si="113"/>
        <v>0</v>
      </c>
      <c r="R1021" s="1401"/>
      <c r="S1021" s="1401"/>
      <c r="T1021" s="218"/>
      <c r="U1021" s="219">
        <f>(T1021*F1021)*1.05</f>
        <v>0</v>
      </c>
      <c r="V1021" s="66"/>
      <c r="W1021" s="52"/>
      <c r="X1021" s="53"/>
      <c r="Y1021" s="53"/>
      <c r="Z1021" s="53"/>
      <c r="AA1021" s="53"/>
      <c r="AB1021" s="53" t="s">
        <v>3289</v>
      </c>
      <c r="AC1021" s="53" t="s">
        <v>3290</v>
      </c>
      <c r="AD1021" s="53"/>
      <c r="AE1021" s="53" t="s">
        <v>3291</v>
      </c>
      <c r="AF1021" s="53"/>
      <c r="AG1021" s="54"/>
      <c r="AH1021" s="54"/>
      <c r="AI1021" s="55"/>
      <c r="AJ1021" s="68"/>
      <c r="AK1021" s="55"/>
      <c r="AL1021" s="55"/>
      <c r="AM1021" s="296" t="s">
        <v>49</v>
      </c>
      <c r="AN1021" s="54" t="s">
        <v>284</v>
      </c>
      <c r="AO1021" s="54"/>
      <c r="AP1021" s="54"/>
      <c r="AQ1021" s="57"/>
    </row>
    <row r="1022" spans="1:43" ht="15.75" customHeight="1">
      <c r="A1022" s="69">
        <v>43810</v>
      </c>
      <c r="B1022" s="70" t="s">
        <v>222</v>
      </c>
      <c r="C1022" s="21" t="s">
        <v>1920</v>
      </c>
      <c r="D1022" s="112" t="s">
        <v>1921</v>
      </c>
      <c r="E1022" s="23" t="s">
        <v>1922</v>
      </c>
      <c r="F1022" s="24">
        <v>1</v>
      </c>
      <c r="G1022" s="48">
        <v>97.65</v>
      </c>
      <c r="H1022" s="60">
        <v>97.65</v>
      </c>
      <c r="I1022" s="61" t="s">
        <v>86</v>
      </c>
      <c r="J1022" s="50" t="s">
        <v>226</v>
      </c>
      <c r="K1022" s="30">
        <v>43822</v>
      </c>
      <c r="L1022" s="30"/>
      <c r="M1022" s="30">
        <v>43822</v>
      </c>
      <c r="N1022" s="50" t="s">
        <v>89</v>
      </c>
      <c r="O1022" s="406" t="s">
        <v>3292</v>
      </c>
      <c r="P1022" s="406">
        <v>85</v>
      </c>
      <c r="Q1022" s="737">
        <f t="shared" si="113"/>
        <v>89.25</v>
      </c>
      <c r="R1022" s="1400"/>
      <c r="S1022" s="1400"/>
      <c r="T1022" s="731"/>
      <c r="U1022" s="719">
        <f>Q1022*30.42</f>
        <v>2714.9850000000001</v>
      </c>
      <c r="V1022" s="51" t="s">
        <v>93</v>
      </c>
      <c r="W1022" s="304"/>
      <c r="X1022" s="304"/>
      <c r="Y1022" s="304"/>
      <c r="Z1022" s="304"/>
      <c r="AA1022" s="304"/>
      <c r="AB1022" s="304" t="s">
        <v>3293</v>
      </c>
      <c r="AC1022" s="304" t="s">
        <v>3294</v>
      </c>
      <c r="AD1022" s="304">
        <v>30.18</v>
      </c>
      <c r="AE1022" s="304">
        <v>2947</v>
      </c>
      <c r="AF1022" s="303">
        <v>43823</v>
      </c>
      <c r="AG1022" s="296"/>
      <c r="AH1022" s="296"/>
      <c r="AI1022" s="297"/>
      <c r="AJ1022" s="298">
        <v>43838</v>
      </c>
      <c r="AK1022" s="297" t="s">
        <v>3281</v>
      </c>
      <c r="AL1022" s="296" t="s">
        <v>3282</v>
      </c>
      <c r="AM1022" s="296" t="s">
        <v>49</v>
      </c>
      <c r="AN1022" s="296" t="s">
        <v>284</v>
      </c>
      <c r="AO1022" s="296" t="s">
        <v>50</v>
      </c>
      <c r="AP1022" s="234" t="s">
        <v>376</v>
      </c>
      <c r="AQ1022" s="296" t="s">
        <v>1346</v>
      </c>
    </row>
    <row r="1023" spans="1:43" ht="15.75" customHeight="1">
      <c r="A1023" s="69">
        <v>43812</v>
      </c>
      <c r="B1023" s="70" t="s">
        <v>100</v>
      </c>
      <c r="C1023" s="21" t="s">
        <v>1923</v>
      </c>
      <c r="D1023" s="112" t="s">
        <v>1924</v>
      </c>
      <c r="E1023" s="23" t="s">
        <v>1925</v>
      </c>
      <c r="F1023" s="24">
        <v>3</v>
      </c>
      <c r="G1023" s="48">
        <v>550</v>
      </c>
      <c r="H1023" s="60">
        <f t="shared" ref="H1023:H1029" si="114">G1023*F1023</f>
        <v>1650</v>
      </c>
      <c r="I1023" s="61" t="s">
        <v>86</v>
      </c>
      <c r="J1023" s="50" t="s">
        <v>1042</v>
      </c>
      <c r="K1023" s="29">
        <v>43829</v>
      </c>
      <c r="L1023" s="29"/>
      <c r="M1023" s="30">
        <v>43824</v>
      </c>
      <c r="N1023" s="58" t="s">
        <v>3295</v>
      </c>
      <c r="O1023" s="32" t="s">
        <v>3296</v>
      </c>
      <c r="P1023" s="406">
        <v>495</v>
      </c>
      <c r="Q1023" s="740">
        <f t="shared" si="113"/>
        <v>1559.25</v>
      </c>
      <c r="R1023" s="1402"/>
      <c r="S1023" s="1402"/>
      <c r="T1023" s="731"/>
      <c r="U1023" s="711">
        <v>47074</v>
      </c>
      <c r="V1023" s="501"/>
      <c r="W1023" s="304"/>
      <c r="X1023" s="304"/>
      <c r="Y1023" s="304"/>
      <c r="Z1023" s="304"/>
      <c r="AA1023" s="304"/>
      <c r="AB1023" s="304" t="s">
        <v>3273</v>
      </c>
      <c r="AC1023" s="304">
        <v>1012999982</v>
      </c>
      <c r="AD1023" s="304">
        <v>30.26</v>
      </c>
      <c r="AE1023" s="304"/>
      <c r="AF1023" s="304"/>
      <c r="AG1023" s="296"/>
      <c r="AH1023" s="296"/>
      <c r="AI1023" s="297"/>
      <c r="AJ1023" s="298">
        <v>43885</v>
      </c>
      <c r="AK1023" s="297"/>
      <c r="AL1023" s="297"/>
      <c r="AM1023" s="296" t="s">
        <v>49</v>
      </c>
      <c r="AN1023" s="296" t="s">
        <v>284</v>
      </c>
      <c r="AO1023" s="296" t="s">
        <v>50</v>
      </c>
      <c r="AP1023" s="234" t="s">
        <v>51</v>
      </c>
      <c r="AQ1023" s="296" t="s">
        <v>1346</v>
      </c>
    </row>
    <row r="1024" spans="1:43" ht="15.75" customHeight="1">
      <c r="A1024" s="69">
        <v>43812</v>
      </c>
      <c r="B1024" s="70" t="s">
        <v>100</v>
      </c>
      <c r="C1024" s="21" t="s">
        <v>1923</v>
      </c>
      <c r="D1024" s="112" t="s">
        <v>1924</v>
      </c>
      <c r="E1024" s="23" t="s">
        <v>1926</v>
      </c>
      <c r="F1024" s="24">
        <v>3</v>
      </c>
      <c r="G1024" s="48">
        <v>352</v>
      </c>
      <c r="H1024" s="60">
        <f t="shared" si="114"/>
        <v>1056</v>
      </c>
      <c r="I1024" s="61" t="s">
        <v>86</v>
      </c>
      <c r="J1024" s="50" t="s">
        <v>1042</v>
      </c>
      <c r="K1024" s="29">
        <v>43829</v>
      </c>
      <c r="L1024" s="29"/>
      <c r="M1024" s="30">
        <v>43825</v>
      </c>
      <c r="N1024" s="58" t="s">
        <v>3297</v>
      </c>
      <c r="O1024" s="93" t="s">
        <v>3298</v>
      </c>
      <c r="P1024" s="406">
        <v>285</v>
      </c>
      <c r="Q1024" s="740">
        <f t="shared" si="113"/>
        <v>897.75</v>
      </c>
      <c r="R1024" s="1402"/>
      <c r="S1024" s="1402"/>
      <c r="T1024" s="731">
        <f>P1024*30.15</f>
        <v>8592.75</v>
      </c>
      <c r="U1024" s="719">
        <f>(T1024*F1024)*1.05</f>
        <v>27067.162500000002</v>
      </c>
      <c r="V1024" s="635" t="s">
        <v>3299</v>
      </c>
      <c r="W1024" s="304"/>
      <c r="X1024" s="304"/>
      <c r="Y1024" s="304"/>
      <c r="Z1024" s="304"/>
      <c r="AA1024" s="304"/>
      <c r="AB1024" s="304" t="s">
        <v>3273</v>
      </c>
      <c r="AC1024" s="304">
        <v>1012999982</v>
      </c>
      <c r="AD1024" s="304">
        <v>30.26</v>
      </c>
      <c r="AE1024" s="304"/>
      <c r="AF1024" s="304"/>
      <c r="AG1024" s="296"/>
      <c r="AH1024" s="296"/>
      <c r="AI1024" s="297"/>
      <c r="AJ1024" s="298">
        <v>43885</v>
      </c>
      <c r="AK1024" s="297"/>
      <c r="AL1024" s="297"/>
      <c r="AM1024" s="296" t="s">
        <v>49</v>
      </c>
      <c r="AN1024" s="296" t="s">
        <v>284</v>
      </c>
      <c r="AO1024" s="296" t="s">
        <v>50</v>
      </c>
      <c r="AP1024" s="234" t="s">
        <v>51</v>
      </c>
      <c r="AQ1024" s="296" t="s">
        <v>1346</v>
      </c>
    </row>
    <row r="1025" spans="1:43" ht="15.75" customHeight="1">
      <c r="A1025" s="69">
        <v>43812</v>
      </c>
      <c r="B1025" s="70" t="s">
        <v>100</v>
      </c>
      <c r="C1025" s="21" t="s">
        <v>1923</v>
      </c>
      <c r="D1025" s="112" t="s">
        <v>1924</v>
      </c>
      <c r="E1025" s="23" t="s">
        <v>1927</v>
      </c>
      <c r="F1025" s="130">
        <v>3</v>
      </c>
      <c r="G1025" s="25">
        <v>38</v>
      </c>
      <c r="H1025" s="212">
        <f t="shared" si="114"/>
        <v>114</v>
      </c>
      <c r="I1025" s="61" t="s">
        <v>86</v>
      </c>
      <c r="J1025" s="50" t="s">
        <v>1042</v>
      </c>
      <c r="K1025" s="29">
        <v>43829</v>
      </c>
      <c r="L1025" s="29"/>
      <c r="M1025" s="29"/>
      <c r="N1025" s="50" t="s">
        <v>178</v>
      </c>
      <c r="O1025" s="93"/>
      <c r="P1025" s="406"/>
      <c r="Q1025" s="406">
        <f t="shared" si="113"/>
        <v>0</v>
      </c>
      <c r="R1025" s="406"/>
      <c r="S1025" s="406"/>
      <c r="T1025" s="406"/>
      <c r="U1025" s="406">
        <v>2598</v>
      </c>
      <c r="V1025" s="406"/>
      <c r="W1025" s="304"/>
      <c r="X1025" s="304"/>
      <c r="Y1025" s="304"/>
      <c r="Z1025" s="304"/>
      <c r="AA1025" s="304"/>
      <c r="AB1025" s="304" t="s">
        <v>3273</v>
      </c>
      <c r="AC1025" s="304">
        <v>1012999982</v>
      </c>
      <c r="AD1025" s="304">
        <v>30.26</v>
      </c>
      <c r="AE1025" s="304"/>
      <c r="AF1025" s="304"/>
      <c r="AG1025" s="296"/>
      <c r="AH1025" s="296"/>
      <c r="AI1025" s="297"/>
      <c r="AJ1025" s="298">
        <v>43885</v>
      </c>
      <c r="AK1025" s="297"/>
      <c r="AL1025" s="297"/>
      <c r="AM1025" s="296" t="s">
        <v>49</v>
      </c>
      <c r="AN1025" s="296" t="s">
        <v>284</v>
      </c>
      <c r="AO1025" s="296" t="s">
        <v>50</v>
      </c>
      <c r="AP1025" s="234" t="s">
        <v>51</v>
      </c>
      <c r="AQ1025" s="296" t="s">
        <v>1346</v>
      </c>
    </row>
    <row r="1026" spans="1:43" ht="15.75" customHeight="1">
      <c r="A1026" s="69">
        <v>43812</v>
      </c>
      <c r="B1026" s="70" t="s">
        <v>100</v>
      </c>
      <c r="C1026" s="70" t="s">
        <v>1923</v>
      </c>
      <c r="D1026" s="112" t="s">
        <v>1924</v>
      </c>
      <c r="E1026" s="23" t="s">
        <v>1928</v>
      </c>
      <c r="F1026" s="419">
        <v>3</v>
      </c>
      <c r="G1026" s="25">
        <v>15</v>
      </c>
      <c r="H1026" s="60">
        <f t="shared" si="114"/>
        <v>45</v>
      </c>
      <c r="I1026" s="61" t="s">
        <v>86</v>
      </c>
      <c r="J1026" s="50" t="s">
        <v>1042</v>
      </c>
      <c r="K1026" s="29">
        <v>43829</v>
      </c>
      <c r="L1026" s="29"/>
      <c r="M1026" s="82" t="s">
        <v>3300</v>
      </c>
      <c r="N1026" s="50" t="s">
        <v>3301</v>
      </c>
      <c r="O1026" s="32"/>
      <c r="P1026" s="406"/>
      <c r="Q1026" s="737"/>
      <c r="R1026" s="1400"/>
      <c r="S1026" s="1400"/>
      <c r="T1026" s="731"/>
      <c r="U1026" s="719">
        <v>476</v>
      </c>
      <c r="V1026" s="501"/>
      <c r="W1026" s="304"/>
      <c r="X1026" s="304"/>
      <c r="Y1026" s="304"/>
      <c r="Z1026" s="304"/>
      <c r="AA1026" s="304"/>
      <c r="AB1026" s="304" t="s">
        <v>3273</v>
      </c>
      <c r="AC1026" s="304">
        <v>1012999982</v>
      </c>
      <c r="AD1026" s="304">
        <v>30.26</v>
      </c>
      <c r="AE1026" s="304"/>
      <c r="AF1026" s="304"/>
      <c r="AG1026" s="296"/>
      <c r="AH1026" s="296"/>
      <c r="AI1026" s="297"/>
      <c r="AJ1026" s="298">
        <v>43885</v>
      </c>
      <c r="AK1026" s="297"/>
      <c r="AL1026" s="297"/>
      <c r="AM1026" s="296" t="s">
        <v>49</v>
      </c>
      <c r="AN1026" s="296" t="s">
        <v>284</v>
      </c>
      <c r="AO1026" s="296" t="s">
        <v>50</v>
      </c>
      <c r="AP1026" s="234" t="s">
        <v>51</v>
      </c>
      <c r="AQ1026" s="296" t="s">
        <v>1346</v>
      </c>
    </row>
    <row r="1027" spans="1:43" ht="15.75" customHeight="1">
      <c r="A1027" s="69">
        <v>43812</v>
      </c>
      <c r="B1027" s="70" t="s">
        <v>100</v>
      </c>
      <c r="C1027" s="21" t="s">
        <v>1923</v>
      </c>
      <c r="D1027" s="112" t="s">
        <v>1924</v>
      </c>
      <c r="E1027" s="23" t="s">
        <v>1929</v>
      </c>
      <c r="F1027" s="24">
        <v>3</v>
      </c>
      <c r="G1027" s="48">
        <v>10</v>
      </c>
      <c r="H1027" s="60">
        <f t="shared" si="114"/>
        <v>30</v>
      </c>
      <c r="I1027" s="61" t="s">
        <v>86</v>
      </c>
      <c r="J1027" s="50" t="s">
        <v>1042</v>
      </c>
      <c r="K1027" s="29">
        <v>43829</v>
      </c>
      <c r="L1027" s="29"/>
      <c r="M1027" s="29">
        <v>43823</v>
      </c>
      <c r="N1027" s="50" t="s">
        <v>183</v>
      </c>
      <c r="O1027" s="93" t="s">
        <v>3302</v>
      </c>
      <c r="P1027" s="406">
        <v>92</v>
      </c>
      <c r="Q1027" s="737">
        <f>(P1027*1)*1.05</f>
        <v>96.600000000000009</v>
      </c>
      <c r="R1027" s="1400"/>
      <c r="S1027" s="1400"/>
      <c r="T1027" s="731"/>
      <c r="U1027" s="711">
        <v>96.6</v>
      </c>
      <c r="V1027" s="501"/>
      <c r="W1027" s="304"/>
      <c r="X1027" s="304"/>
      <c r="Y1027" s="304"/>
      <c r="Z1027" s="304"/>
      <c r="AA1027" s="304"/>
      <c r="AB1027" s="304" t="s">
        <v>3273</v>
      </c>
      <c r="AC1027" s="304">
        <v>1012999982</v>
      </c>
      <c r="AD1027" s="304">
        <v>30.26</v>
      </c>
      <c r="AE1027" s="304"/>
      <c r="AF1027" s="304"/>
      <c r="AG1027" s="296"/>
      <c r="AH1027" s="296"/>
      <c r="AI1027" s="297"/>
      <c r="AJ1027" s="298">
        <v>43885</v>
      </c>
      <c r="AK1027" s="297"/>
      <c r="AL1027" s="297"/>
      <c r="AM1027" s="296" t="s">
        <v>49</v>
      </c>
      <c r="AN1027" s="296" t="s">
        <v>284</v>
      </c>
      <c r="AO1027" s="296" t="s">
        <v>50</v>
      </c>
      <c r="AP1027" s="234" t="s">
        <v>51</v>
      </c>
      <c r="AQ1027" s="296" t="s">
        <v>1346</v>
      </c>
    </row>
    <row r="1028" spans="1:43" ht="15.75" customHeight="1">
      <c r="A1028" s="69">
        <v>43812</v>
      </c>
      <c r="B1028" s="70" t="s">
        <v>100</v>
      </c>
      <c r="C1028" s="21" t="s">
        <v>1923</v>
      </c>
      <c r="D1028" s="112" t="s">
        <v>1924</v>
      </c>
      <c r="E1028" s="23" t="s">
        <v>1930</v>
      </c>
      <c r="F1028" s="24">
        <v>3</v>
      </c>
      <c r="G1028" s="48">
        <v>79</v>
      </c>
      <c r="H1028" s="60">
        <f t="shared" si="114"/>
        <v>237</v>
      </c>
      <c r="I1028" s="61" t="s">
        <v>86</v>
      </c>
      <c r="J1028" s="50" t="s">
        <v>1042</v>
      </c>
      <c r="K1028" s="29">
        <v>43829</v>
      </c>
      <c r="L1028" s="29"/>
      <c r="M1028" s="29">
        <v>43822</v>
      </c>
      <c r="N1028" s="296" t="s">
        <v>3303</v>
      </c>
      <c r="O1028" s="93" t="s">
        <v>3304</v>
      </c>
      <c r="P1028" s="406">
        <v>980</v>
      </c>
      <c r="Q1028" s="741">
        <f>(P1028*F1028)*1.05</f>
        <v>3087</v>
      </c>
      <c r="R1028" s="1403"/>
      <c r="S1028" s="1403"/>
      <c r="T1028" s="731"/>
      <c r="U1028" s="711">
        <v>3087</v>
      </c>
      <c r="V1028" s="501"/>
      <c r="W1028" s="304"/>
      <c r="X1028" s="304"/>
      <c r="Y1028" s="304"/>
      <c r="Z1028" s="304"/>
      <c r="AA1028" s="304"/>
      <c r="AB1028" s="304" t="s">
        <v>3273</v>
      </c>
      <c r="AC1028" s="304">
        <v>1012999982</v>
      </c>
      <c r="AD1028" s="304">
        <v>30.26</v>
      </c>
      <c r="AE1028" s="304"/>
      <c r="AF1028" s="304"/>
      <c r="AG1028" s="296"/>
      <c r="AH1028" s="296"/>
      <c r="AI1028" s="297"/>
      <c r="AJ1028" s="298">
        <v>43885</v>
      </c>
      <c r="AK1028" s="297"/>
      <c r="AL1028" s="297"/>
      <c r="AM1028" s="296" t="s">
        <v>49</v>
      </c>
      <c r="AN1028" s="296" t="s">
        <v>284</v>
      </c>
      <c r="AO1028" s="296" t="s">
        <v>50</v>
      </c>
      <c r="AP1028" s="234" t="s">
        <v>51</v>
      </c>
      <c r="AQ1028" s="296" t="s">
        <v>1346</v>
      </c>
    </row>
    <row r="1029" spans="1:43" ht="15.75" customHeight="1">
      <c r="A1029" s="69">
        <v>43812</v>
      </c>
      <c r="B1029" s="70" t="s">
        <v>100</v>
      </c>
      <c r="C1029" s="21" t="s">
        <v>1923</v>
      </c>
      <c r="D1029" s="112" t="s">
        <v>1924</v>
      </c>
      <c r="E1029" s="23" t="s">
        <v>1931</v>
      </c>
      <c r="F1029" s="24">
        <v>3</v>
      </c>
      <c r="G1029" s="48">
        <v>58</v>
      </c>
      <c r="H1029" s="60">
        <f t="shared" si="114"/>
        <v>174</v>
      </c>
      <c r="I1029" s="61" t="s">
        <v>86</v>
      </c>
      <c r="J1029" s="50" t="s">
        <v>1042</v>
      </c>
      <c r="K1029" s="29">
        <v>43829</v>
      </c>
      <c r="L1029" s="29"/>
      <c r="M1029" s="30">
        <v>43824</v>
      </c>
      <c r="N1029" s="50" t="s">
        <v>3295</v>
      </c>
      <c r="O1029" s="32" t="s">
        <v>3296</v>
      </c>
      <c r="P1029" s="406">
        <v>49</v>
      </c>
      <c r="Q1029" s="737">
        <f>(P1029*F1029)*1.05</f>
        <v>154.35</v>
      </c>
      <c r="R1029" s="1400"/>
      <c r="S1029" s="1400"/>
      <c r="T1029" s="731"/>
      <c r="U1029" s="711">
        <v>4659</v>
      </c>
      <c r="V1029" s="501"/>
      <c r="W1029" s="304"/>
      <c r="X1029" s="304"/>
      <c r="Y1029" s="304"/>
      <c r="Z1029" s="304"/>
      <c r="AA1029" s="304"/>
      <c r="AB1029" s="304" t="s">
        <v>3273</v>
      </c>
      <c r="AC1029" s="304">
        <v>1012999982</v>
      </c>
      <c r="AD1029" s="304">
        <v>30.26</v>
      </c>
      <c r="AE1029" s="304"/>
      <c r="AF1029" s="304"/>
      <c r="AG1029" s="296"/>
      <c r="AH1029" s="296"/>
      <c r="AI1029" s="297"/>
      <c r="AJ1029" s="298">
        <v>43885</v>
      </c>
      <c r="AK1029" s="297"/>
      <c r="AL1029" s="297"/>
      <c r="AM1029" s="296" t="s">
        <v>49</v>
      </c>
      <c r="AN1029" s="296" t="s">
        <v>284</v>
      </c>
      <c r="AO1029" s="296" t="s">
        <v>50</v>
      </c>
      <c r="AP1029" s="234" t="s">
        <v>51</v>
      </c>
      <c r="AQ1029" s="296" t="s">
        <v>1346</v>
      </c>
    </row>
    <row r="1030" spans="1:43" ht="15.75" customHeight="1">
      <c r="A1030" s="69">
        <v>43812</v>
      </c>
      <c r="B1030" s="70" t="s">
        <v>1454</v>
      </c>
      <c r="C1030" s="21" t="s">
        <v>1455</v>
      </c>
      <c r="D1030" s="71" t="s">
        <v>1932</v>
      </c>
      <c r="E1030" s="23" t="s">
        <v>1933</v>
      </c>
      <c r="F1030" s="24">
        <v>1</v>
      </c>
      <c r="G1030" s="48">
        <v>2404.7199999999998</v>
      </c>
      <c r="H1030" s="26">
        <v>2404.7199999999998</v>
      </c>
      <c r="I1030" s="132" t="s">
        <v>143</v>
      </c>
      <c r="J1030" s="63" t="s">
        <v>1458</v>
      </c>
      <c r="K1030" s="296" t="s">
        <v>3288</v>
      </c>
      <c r="L1030" s="296"/>
      <c r="M1030" s="146"/>
      <c r="N1030" s="63"/>
      <c r="O1030" s="64"/>
      <c r="P1030" s="34" t="e">
        <f>(#REF!*F1030)*1.05</f>
        <v>#REF!</v>
      </c>
      <c r="Q1030" s="142"/>
      <c r="R1030" s="1390"/>
      <c r="S1030" s="1390"/>
      <c r="T1030" s="75">
        <f>(Q1030*F1030)*1.05</f>
        <v>0</v>
      </c>
      <c r="U1030" s="66"/>
      <c r="V1030" s="52"/>
      <c r="W1030" s="53"/>
      <c r="X1030" s="53"/>
      <c r="Y1030" s="53"/>
      <c r="Z1030" s="53"/>
      <c r="AA1030" s="53"/>
      <c r="AB1030" s="53" t="s">
        <v>3305</v>
      </c>
      <c r="AC1030" s="53" t="s">
        <v>3290</v>
      </c>
      <c r="AD1030" s="53"/>
      <c r="AE1030" s="53">
        <v>73332</v>
      </c>
      <c r="AF1030" s="54"/>
      <c r="AG1030" s="54"/>
      <c r="AH1030" s="55"/>
      <c r="AI1030" s="68"/>
      <c r="AJ1030" s="55"/>
      <c r="AK1030" s="55"/>
      <c r="AL1030" s="54"/>
      <c r="AM1030" s="296" t="s">
        <v>49</v>
      </c>
      <c r="AN1030" s="54" t="s">
        <v>284</v>
      </c>
      <c r="AO1030" s="54"/>
      <c r="AP1030" s="54"/>
      <c r="AQ1030" s="57"/>
    </row>
    <row r="1031" spans="1:43" ht="15.75" customHeight="1">
      <c r="A1031" s="69">
        <v>43815</v>
      </c>
      <c r="B1031" s="23" t="s">
        <v>405</v>
      </c>
      <c r="C1031" s="21">
        <v>7000152702</v>
      </c>
      <c r="D1031" s="71" t="s">
        <v>1934</v>
      </c>
      <c r="E1031" s="32" t="s">
        <v>480</v>
      </c>
      <c r="F1031" s="24">
        <v>1</v>
      </c>
      <c r="G1031" s="48">
        <v>137</v>
      </c>
      <c r="H1031" s="60">
        <f t="shared" ref="H1031:H1036" si="115">G1031*F1031</f>
        <v>137</v>
      </c>
      <c r="I1031" s="61" t="s">
        <v>42</v>
      </c>
      <c r="J1031" s="50" t="s">
        <v>512</v>
      </c>
      <c r="K1031" s="30">
        <v>43826</v>
      </c>
      <c r="L1031" s="30"/>
      <c r="M1031" s="29">
        <v>43822</v>
      </c>
      <c r="N1031" s="50" t="s">
        <v>3263</v>
      </c>
      <c r="O1031" s="93" t="s">
        <v>3306</v>
      </c>
      <c r="P1031" s="406"/>
      <c r="Q1031" s="737">
        <f t="shared" ref="Q1031:Q1036" si="116">(P1031*F1031)*1.05</f>
        <v>0</v>
      </c>
      <c r="R1031" s="1400"/>
      <c r="S1031" s="1400"/>
      <c r="T1031" s="731"/>
      <c r="U1031" s="719">
        <v>3770</v>
      </c>
      <c r="V1031" s="406"/>
      <c r="W1031" s="304"/>
      <c r="X1031" s="304"/>
      <c r="Y1031" s="304"/>
      <c r="Z1031" s="304"/>
      <c r="AA1031" s="304"/>
      <c r="AB1031" s="304" t="s">
        <v>3307</v>
      </c>
      <c r="AC1031" s="304">
        <v>5875200774</v>
      </c>
      <c r="AD1031" s="304">
        <v>30.26</v>
      </c>
      <c r="AE1031" s="304"/>
      <c r="AF1031" s="304"/>
      <c r="AG1031" s="296"/>
      <c r="AH1031" s="296"/>
      <c r="AI1031" s="297"/>
      <c r="AJ1031" s="298">
        <v>43860</v>
      </c>
      <c r="AK1031" s="297" t="s">
        <v>3249</v>
      </c>
      <c r="AL1031" s="297" t="s">
        <v>3250</v>
      </c>
      <c r="AM1031" s="296" t="s">
        <v>49</v>
      </c>
      <c r="AN1031" s="296" t="s">
        <v>284</v>
      </c>
      <c r="AO1031" s="296" t="s">
        <v>50</v>
      </c>
      <c r="AP1031" s="234" t="s">
        <v>51</v>
      </c>
      <c r="AQ1031" s="296" t="s">
        <v>1346</v>
      </c>
    </row>
    <row r="1032" spans="1:43" ht="15.75" customHeight="1">
      <c r="A1032" s="69">
        <v>43817</v>
      </c>
      <c r="B1032" s="21" t="s">
        <v>1469</v>
      </c>
      <c r="C1032" s="92"/>
      <c r="D1032" s="21" t="s">
        <v>1935</v>
      </c>
      <c r="E1032" s="23" t="s">
        <v>1936</v>
      </c>
      <c r="F1032" s="130">
        <v>2</v>
      </c>
      <c r="G1032" s="25">
        <v>431</v>
      </c>
      <c r="H1032" s="60">
        <f t="shared" si="115"/>
        <v>862</v>
      </c>
      <c r="I1032" s="132" t="s">
        <v>143</v>
      </c>
      <c r="J1032" s="405" t="s">
        <v>1472</v>
      </c>
      <c r="K1032" s="30">
        <v>43826</v>
      </c>
      <c r="L1032" s="30"/>
      <c r="M1032" s="29">
        <v>43825</v>
      </c>
      <c r="N1032" s="50" t="s">
        <v>126</v>
      </c>
      <c r="O1032" s="93" t="s">
        <v>3308</v>
      </c>
      <c r="P1032" s="730"/>
      <c r="Q1032" s="712">
        <f t="shared" si="116"/>
        <v>0</v>
      </c>
      <c r="R1032" s="1400"/>
      <c r="S1032" s="1400"/>
      <c r="T1032" s="731"/>
      <c r="U1032" s="711">
        <f>(T1032*F1032)*1.05</f>
        <v>0</v>
      </c>
      <c r="V1032" s="406"/>
      <c r="W1032" s="304"/>
      <c r="X1032" s="304"/>
      <c r="Y1032" s="304"/>
      <c r="Z1032" s="304"/>
      <c r="AA1032" s="304"/>
      <c r="AB1032" s="304" t="s">
        <v>3309</v>
      </c>
      <c r="AC1032" s="304">
        <v>121781778</v>
      </c>
      <c r="AD1032" s="304">
        <v>30.26</v>
      </c>
      <c r="AE1032" s="304"/>
      <c r="AF1032" s="304"/>
      <c r="AG1032" s="296"/>
      <c r="AH1032" s="296"/>
      <c r="AI1032" s="297"/>
      <c r="AJ1032" s="29">
        <v>43823</v>
      </c>
      <c r="AK1032" s="297" t="s">
        <v>2558</v>
      </c>
      <c r="AL1032" s="297" t="s">
        <v>2558</v>
      </c>
      <c r="AM1032" s="296" t="s">
        <v>49</v>
      </c>
      <c r="AN1032" s="296" t="s">
        <v>284</v>
      </c>
      <c r="AO1032" s="296" t="s">
        <v>50</v>
      </c>
      <c r="AP1032" s="234" t="s">
        <v>51</v>
      </c>
      <c r="AQ1032" s="296" t="s">
        <v>1346</v>
      </c>
    </row>
    <row r="1033" spans="1:43" ht="15.75" customHeight="1">
      <c r="A1033" s="69">
        <v>43817</v>
      </c>
      <c r="B1033" s="21" t="s">
        <v>1469</v>
      </c>
      <c r="C1033" s="92"/>
      <c r="D1033" s="71" t="s">
        <v>1935</v>
      </c>
      <c r="E1033" s="32" t="s">
        <v>1937</v>
      </c>
      <c r="F1033" s="24">
        <v>2</v>
      </c>
      <c r="G1033" s="48">
        <v>16</v>
      </c>
      <c r="H1033" s="60">
        <f t="shared" si="115"/>
        <v>32</v>
      </c>
      <c r="I1033" s="132" t="s">
        <v>143</v>
      </c>
      <c r="J1033" s="50" t="s">
        <v>1472</v>
      </c>
      <c r="K1033" s="30">
        <v>43826</v>
      </c>
      <c r="L1033" s="30"/>
      <c r="M1033" s="29">
        <v>43825</v>
      </c>
      <c r="N1033" s="50" t="s">
        <v>126</v>
      </c>
      <c r="O1033" s="93" t="s">
        <v>3308</v>
      </c>
      <c r="P1033" s="406"/>
      <c r="Q1033" s="304">
        <f t="shared" si="116"/>
        <v>0</v>
      </c>
      <c r="R1033" s="304"/>
      <c r="S1033" s="304"/>
      <c r="T1033" s="620"/>
      <c r="U1033" s="711">
        <f>(T1033*F1033)*1.05</f>
        <v>0</v>
      </c>
      <c r="V1033" s="406"/>
      <c r="W1033" s="304"/>
      <c r="X1033" s="304"/>
      <c r="Y1033" s="304"/>
      <c r="Z1033" s="304"/>
      <c r="AA1033" s="304"/>
      <c r="AB1033" s="304" t="s">
        <v>3309</v>
      </c>
      <c r="AC1033" s="304">
        <v>121781778</v>
      </c>
      <c r="AD1033" s="304">
        <v>30.26</v>
      </c>
      <c r="AE1033" s="304"/>
      <c r="AF1033" s="304"/>
      <c r="AG1033" s="296"/>
      <c r="AH1033" s="296"/>
      <c r="AI1033" s="297"/>
      <c r="AJ1033" s="29">
        <v>43823</v>
      </c>
      <c r="AK1033" s="297" t="s">
        <v>2558</v>
      </c>
      <c r="AL1033" s="297" t="s">
        <v>2558</v>
      </c>
      <c r="AM1033" s="296" t="s">
        <v>49</v>
      </c>
      <c r="AN1033" s="296" t="s">
        <v>284</v>
      </c>
      <c r="AO1033" s="296" t="s">
        <v>50</v>
      </c>
      <c r="AP1033" s="234" t="s">
        <v>51</v>
      </c>
      <c r="AQ1033" s="296" t="s">
        <v>1346</v>
      </c>
    </row>
    <row r="1034" spans="1:43" ht="15.75" customHeight="1">
      <c r="A1034" s="69">
        <v>43817</v>
      </c>
      <c r="B1034" s="21" t="s">
        <v>1469</v>
      </c>
      <c r="C1034" s="92"/>
      <c r="D1034" s="71" t="s">
        <v>1935</v>
      </c>
      <c r="E1034" s="32" t="s">
        <v>1938</v>
      </c>
      <c r="F1034" s="24">
        <v>1</v>
      </c>
      <c r="G1034" s="48">
        <v>30</v>
      </c>
      <c r="H1034" s="81">
        <f t="shared" si="115"/>
        <v>30</v>
      </c>
      <c r="I1034" s="132" t="s">
        <v>143</v>
      </c>
      <c r="J1034" s="50" t="s">
        <v>1472</v>
      </c>
      <c r="K1034" s="29">
        <v>43830</v>
      </c>
      <c r="L1034" s="29"/>
      <c r="M1034" s="29">
        <v>43826</v>
      </c>
      <c r="N1034" s="50" t="s">
        <v>219</v>
      </c>
      <c r="O1034" s="93"/>
      <c r="P1034" s="406"/>
      <c r="Q1034" s="304">
        <f t="shared" si="116"/>
        <v>0</v>
      </c>
      <c r="R1034" s="304"/>
      <c r="S1034" s="304"/>
      <c r="T1034" s="620"/>
      <c r="U1034" s="711">
        <f>(T1034*F1034)*1.05</f>
        <v>0</v>
      </c>
      <c r="V1034" s="406"/>
      <c r="W1034" s="304"/>
      <c r="X1034" s="304"/>
      <c r="Y1034" s="304"/>
      <c r="Z1034" s="304"/>
      <c r="AA1034" s="304"/>
      <c r="AB1034" s="304" t="s">
        <v>3309</v>
      </c>
      <c r="AC1034" s="304">
        <v>121781778</v>
      </c>
      <c r="AD1034" s="304">
        <v>30.26</v>
      </c>
      <c r="AE1034" s="304"/>
      <c r="AF1034" s="304"/>
      <c r="AG1034" s="296"/>
      <c r="AH1034" s="296"/>
      <c r="AI1034" s="297"/>
      <c r="AJ1034" s="29">
        <v>43823</v>
      </c>
      <c r="AK1034" s="297" t="s">
        <v>2558</v>
      </c>
      <c r="AL1034" s="297" t="s">
        <v>2558</v>
      </c>
      <c r="AM1034" s="296"/>
      <c r="AN1034" s="296" t="s">
        <v>284</v>
      </c>
      <c r="AO1034" s="296" t="s">
        <v>50</v>
      </c>
      <c r="AP1034" s="234" t="s">
        <v>51</v>
      </c>
      <c r="AQ1034" s="296" t="s">
        <v>1346</v>
      </c>
    </row>
    <row r="1035" spans="1:43" ht="15.75" customHeight="1">
      <c r="A1035" s="204">
        <v>43823</v>
      </c>
      <c r="B1035" s="23" t="s">
        <v>405</v>
      </c>
      <c r="C1035" s="21">
        <v>7000152921</v>
      </c>
      <c r="D1035" s="71" t="s">
        <v>1939</v>
      </c>
      <c r="E1035" s="32" t="s">
        <v>1940</v>
      </c>
      <c r="F1035" s="24">
        <v>1</v>
      </c>
      <c r="G1035" s="48">
        <v>137</v>
      </c>
      <c r="H1035" s="216">
        <f t="shared" si="115"/>
        <v>137</v>
      </c>
      <c r="I1035" s="61" t="s">
        <v>42</v>
      </c>
      <c r="J1035" s="50" t="s">
        <v>512</v>
      </c>
      <c r="K1035" s="29">
        <v>43826</v>
      </c>
      <c r="L1035" s="29"/>
      <c r="M1035" s="29">
        <v>43826</v>
      </c>
      <c r="N1035" s="50" t="s">
        <v>3263</v>
      </c>
      <c r="O1035" s="93" t="s">
        <v>3310</v>
      </c>
      <c r="P1035" s="406">
        <v>118</v>
      </c>
      <c r="Q1035" s="737">
        <f t="shared" si="116"/>
        <v>123.9</v>
      </c>
      <c r="R1035" s="1400"/>
      <c r="S1035" s="1400"/>
      <c r="T1035" s="731"/>
      <c r="U1035" s="711">
        <v>3749</v>
      </c>
      <c r="V1035" s="406"/>
      <c r="W1035" s="304"/>
      <c r="X1035" s="304"/>
      <c r="Y1035" s="304"/>
      <c r="Z1035" s="304"/>
      <c r="AA1035" s="304"/>
      <c r="AB1035" s="304" t="s">
        <v>3307</v>
      </c>
      <c r="AC1035" s="304">
        <v>5875200774</v>
      </c>
      <c r="AD1035" s="304">
        <v>30.26</v>
      </c>
      <c r="AE1035" s="304"/>
      <c r="AF1035" s="304"/>
      <c r="AG1035" s="296"/>
      <c r="AH1035" s="296"/>
      <c r="AI1035" s="297"/>
      <c r="AJ1035" s="298">
        <v>43860</v>
      </c>
      <c r="AK1035" s="297" t="s">
        <v>3249</v>
      </c>
      <c r="AL1035" s="297" t="s">
        <v>3250</v>
      </c>
      <c r="AM1035" s="296" t="s">
        <v>49</v>
      </c>
      <c r="AN1035" s="296" t="s">
        <v>284</v>
      </c>
      <c r="AO1035" s="296" t="s">
        <v>50</v>
      </c>
      <c r="AP1035" s="234" t="s">
        <v>51</v>
      </c>
      <c r="AQ1035" s="296" t="s">
        <v>1346</v>
      </c>
    </row>
    <row r="1036" spans="1:43" ht="15.75" customHeight="1">
      <c r="A1036" s="204">
        <v>43823</v>
      </c>
      <c r="B1036" s="23" t="s">
        <v>405</v>
      </c>
      <c r="C1036" s="21">
        <v>7000152921</v>
      </c>
      <c r="D1036" s="21" t="s">
        <v>1939</v>
      </c>
      <c r="E1036" s="32" t="s">
        <v>480</v>
      </c>
      <c r="F1036" s="24">
        <v>2</v>
      </c>
      <c r="G1036" s="48">
        <v>137</v>
      </c>
      <c r="H1036" s="60">
        <f t="shared" si="115"/>
        <v>274</v>
      </c>
      <c r="I1036" s="61" t="s">
        <v>42</v>
      </c>
      <c r="J1036" s="50" t="s">
        <v>512</v>
      </c>
      <c r="K1036" s="29">
        <v>43826</v>
      </c>
      <c r="L1036" s="29"/>
      <c r="M1036" s="29">
        <v>43826</v>
      </c>
      <c r="N1036" s="50" t="s">
        <v>3263</v>
      </c>
      <c r="O1036" s="93" t="s">
        <v>3310</v>
      </c>
      <c r="P1036" s="406">
        <v>118</v>
      </c>
      <c r="Q1036" s="304">
        <f t="shared" si="116"/>
        <v>247.8</v>
      </c>
      <c r="R1036" s="304"/>
      <c r="S1036" s="304"/>
      <c r="T1036" s="620"/>
      <c r="U1036" s="711">
        <v>7498</v>
      </c>
      <c r="V1036" s="406"/>
      <c r="W1036" s="304"/>
      <c r="X1036" s="304"/>
      <c r="Y1036" s="304"/>
      <c r="Z1036" s="304"/>
      <c r="AA1036" s="304"/>
      <c r="AB1036" s="304" t="s">
        <v>3307</v>
      </c>
      <c r="AC1036" s="304">
        <v>5875200774</v>
      </c>
      <c r="AD1036" s="304">
        <v>30.26</v>
      </c>
      <c r="AE1036" s="304"/>
      <c r="AF1036" s="304"/>
      <c r="AG1036" s="296"/>
      <c r="AH1036" s="296"/>
      <c r="AI1036" s="297"/>
      <c r="AJ1036" s="298">
        <v>43860</v>
      </c>
      <c r="AK1036" s="297" t="s">
        <v>3249</v>
      </c>
      <c r="AL1036" s="297" t="s">
        <v>3250</v>
      </c>
      <c r="AM1036" s="296" t="s">
        <v>49</v>
      </c>
      <c r="AN1036" s="296" t="s">
        <v>284</v>
      </c>
      <c r="AO1036" s="296" t="s">
        <v>50</v>
      </c>
      <c r="AP1036" s="234" t="s">
        <v>51</v>
      </c>
      <c r="AQ1036" s="296" t="s">
        <v>1346</v>
      </c>
    </row>
    <row r="1037" spans="1:43" ht="15.75" customHeight="1">
      <c r="A1037" s="743">
        <v>43021</v>
      </c>
      <c r="B1037" s="144" t="s">
        <v>3311</v>
      </c>
      <c r="C1037" s="744" t="s">
        <v>3312</v>
      </c>
      <c r="D1037" s="366" t="s">
        <v>3313</v>
      </c>
      <c r="E1037" s="366" t="s">
        <v>3314</v>
      </c>
      <c r="F1037" s="251">
        <v>2</v>
      </c>
      <c r="G1037" s="252">
        <v>714</v>
      </c>
      <c r="H1037" s="265">
        <f t="shared" ref="H1037:H1050" si="117">G1037*F1037</f>
        <v>1428</v>
      </c>
      <c r="I1037" s="254" t="s">
        <v>3315</v>
      </c>
      <c r="J1037" s="331" t="s">
        <v>3316</v>
      </c>
      <c r="K1037" s="256">
        <v>43104</v>
      </c>
      <c r="L1037" s="256"/>
      <c r="M1037" s="256">
        <v>43102</v>
      </c>
      <c r="N1037" s="331" t="s">
        <v>1512</v>
      </c>
      <c r="O1037" s="308" t="s">
        <v>3317</v>
      </c>
      <c r="Q1037" s="589"/>
      <c r="R1037" s="1404"/>
      <c r="S1037" s="1404"/>
      <c r="U1037" s="328"/>
      <c r="V1037" s="590"/>
      <c r="W1037" s="328"/>
      <c r="X1037" s="745"/>
      <c r="Y1037" s="745"/>
      <c r="Z1037" s="745"/>
      <c r="AA1037" s="746"/>
      <c r="AB1037" s="250" t="s">
        <v>3318</v>
      </c>
      <c r="AC1037" s="744">
        <v>4978297505</v>
      </c>
      <c r="AD1037" s="744"/>
      <c r="AE1037" s="744"/>
      <c r="AF1037" s="744"/>
      <c r="AG1037" s="251" t="s">
        <v>283</v>
      </c>
    </row>
    <row r="1038" spans="1:43" ht="15.75" customHeight="1">
      <c r="A1038" s="743">
        <v>43021</v>
      </c>
      <c r="B1038" s="144" t="s">
        <v>3311</v>
      </c>
      <c r="C1038" s="744" t="s">
        <v>3312</v>
      </c>
      <c r="D1038" s="366" t="s">
        <v>3319</v>
      </c>
      <c r="E1038" s="366" t="s">
        <v>3320</v>
      </c>
      <c r="F1038" s="251">
        <v>2</v>
      </c>
      <c r="G1038" s="252">
        <v>44</v>
      </c>
      <c r="H1038" s="265">
        <f t="shared" si="117"/>
        <v>88</v>
      </c>
      <c r="I1038" s="254" t="s">
        <v>3315</v>
      </c>
      <c r="J1038" s="331" t="s">
        <v>3316</v>
      </c>
      <c r="K1038" s="256">
        <v>43104</v>
      </c>
      <c r="L1038" s="256"/>
      <c r="M1038" s="256">
        <v>43102</v>
      </c>
      <c r="N1038" s="331" t="s">
        <v>1512</v>
      </c>
      <c r="O1038" s="308" t="s">
        <v>3321</v>
      </c>
      <c r="Q1038" s="589"/>
      <c r="R1038" s="1404"/>
      <c r="S1038" s="1404"/>
      <c r="U1038" s="328"/>
      <c r="V1038" s="590"/>
      <c r="W1038" s="328"/>
      <c r="X1038" s="745"/>
      <c r="Y1038" s="745"/>
      <c r="Z1038" s="745"/>
      <c r="AA1038" s="746"/>
      <c r="AB1038" s="250" t="s">
        <v>3318</v>
      </c>
      <c r="AC1038" s="744">
        <v>4978297505</v>
      </c>
      <c r="AD1038" s="744"/>
      <c r="AE1038" s="744"/>
      <c r="AF1038" s="744"/>
      <c r="AG1038" s="251" t="s">
        <v>283</v>
      </c>
    </row>
    <row r="1039" spans="1:43" ht="15.75" customHeight="1">
      <c r="A1039" s="743">
        <v>43061</v>
      </c>
      <c r="B1039" s="263" t="s">
        <v>372</v>
      </c>
      <c r="C1039" s="744" t="s">
        <v>3312</v>
      </c>
      <c r="D1039" s="250" t="s">
        <v>3322</v>
      </c>
      <c r="E1039" s="250" t="s">
        <v>374</v>
      </c>
      <c r="F1039" s="305">
        <v>40</v>
      </c>
      <c r="G1039" s="252">
        <v>63</v>
      </c>
      <c r="H1039" s="266">
        <f t="shared" si="117"/>
        <v>2520</v>
      </c>
      <c r="I1039" s="264" t="s">
        <v>42</v>
      </c>
      <c r="J1039" s="254" t="s">
        <v>89</v>
      </c>
      <c r="K1039" s="256">
        <v>43109</v>
      </c>
      <c r="L1039" s="256"/>
      <c r="M1039" s="256">
        <v>43109</v>
      </c>
      <c r="N1039" s="251" t="s">
        <v>89</v>
      </c>
      <c r="O1039" s="308" t="s">
        <v>3323</v>
      </c>
      <c r="Q1039" s="266">
        <v>2352</v>
      </c>
      <c r="R1039" s="1394"/>
      <c r="S1039" s="1394"/>
      <c r="U1039" s="328"/>
      <c r="V1039" s="338" t="s">
        <v>93</v>
      </c>
      <c r="W1039" s="747">
        <v>43159</v>
      </c>
      <c r="X1039" s="748">
        <v>43109</v>
      </c>
      <c r="Y1039" s="744" t="s">
        <v>3324</v>
      </c>
      <c r="Z1039" s="749">
        <v>70348</v>
      </c>
      <c r="AA1039" s="750">
        <v>43164</v>
      </c>
      <c r="AB1039" s="744" t="s">
        <v>3325</v>
      </c>
      <c r="AC1039" s="744"/>
      <c r="AD1039" s="744" t="s">
        <v>3326</v>
      </c>
      <c r="AE1039" s="751">
        <v>74252</v>
      </c>
      <c r="AF1039" s="744" t="s">
        <v>3327</v>
      </c>
      <c r="AG1039" s="251" t="s">
        <v>376</v>
      </c>
    </row>
    <row r="1040" spans="1:43" ht="15.75" customHeight="1">
      <c r="A1040" s="743">
        <v>43063</v>
      </c>
      <c r="B1040" s="263" t="s">
        <v>76</v>
      </c>
      <c r="C1040" s="744" t="s">
        <v>3312</v>
      </c>
      <c r="D1040" s="250" t="s">
        <v>3328</v>
      </c>
      <c r="E1040" s="250" t="s">
        <v>3329</v>
      </c>
      <c r="F1040" s="264">
        <v>10</v>
      </c>
      <c r="G1040" s="265">
        <v>90</v>
      </c>
      <c r="H1040" s="266">
        <f t="shared" si="117"/>
        <v>900</v>
      </c>
      <c r="I1040" s="254" t="s">
        <v>42</v>
      </c>
      <c r="J1040" s="367" t="s">
        <v>315</v>
      </c>
      <c r="K1040" s="256">
        <v>43103</v>
      </c>
      <c r="L1040" s="256"/>
      <c r="M1040" s="256">
        <v>43090</v>
      </c>
      <c r="N1040" s="331" t="s">
        <v>3330</v>
      </c>
      <c r="O1040" s="250" t="s">
        <v>3331</v>
      </c>
      <c r="Q1040" s="574">
        <v>840</v>
      </c>
      <c r="R1040" s="1405"/>
      <c r="S1040" s="1405"/>
      <c r="U1040" s="572">
        <v>25196</v>
      </c>
      <c r="V1040" s="597" t="s">
        <v>3332</v>
      </c>
      <c r="W1040" s="328"/>
      <c r="X1040" s="748">
        <v>43090</v>
      </c>
      <c r="Y1040" s="744" t="s">
        <v>3333</v>
      </c>
      <c r="Z1040" s="751">
        <v>25196</v>
      </c>
      <c r="AA1040" s="748">
        <v>43105</v>
      </c>
      <c r="AB1040" s="250" t="s">
        <v>3334</v>
      </c>
      <c r="AC1040" s="744">
        <v>171489824</v>
      </c>
      <c r="AD1040" s="744"/>
      <c r="AE1040" s="744"/>
      <c r="AF1040" s="744"/>
      <c r="AG1040" s="251" t="s">
        <v>283</v>
      </c>
    </row>
    <row r="1041" spans="1:33" ht="15.75" customHeight="1">
      <c r="A1041" s="743">
        <v>43070</v>
      </c>
      <c r="B1041" s="338" t="s">
        <v>76</v>
      </c>
      <c r="C1041" s="744" t="s">
        <v>3312</v>
      </c>
      <c r="D1041" s="308" t="s">
        <v>3335</v>
      </c>
      <c r="E1041" s="308" t="s">
        <v>3336</v>
      </c>
      <c r="F1041" s="254">
        <v>15</v>
      </c>
      <c r="G1041" s="752">
        <v>234</v>
      </c>
      <c r="H1041" s="253">
        <f t="shared" si="117"/>
        <v>3510</v>
      </c>
      <c r="I1041" s="254" t="s">
        <v>42</v>
      </c>
      <c r="J1041" s="367" t="s">
        <v>315</v>
      </c>
      <c r="K1041" s="256">
        <v>43103</v>
      </c>
      <c r="L1041" s="256"/>
      <c r="M1041" s="256">
        <v>43096</v>
      </c>
      <c r="N1041" s="401" t="s">
        <v>1967</v>
      </c>
      <c r="O1041" s="308" t="s">
        <v>3337</v>
      </c>
      <c r="Q1041" s="266">
        <v>3228.75</v>
      </c>
      <c r="R1041" s="1394"/>
      <c r="S1041" s="1394"/>
      <c r="U1041" s="328"/>
      <c r="V1041" s="308" t="s">
        <v>1969</v>
      </c>
      <c r="W1041" s="747">
        <v>43164</v>
      </c>
      <c r="X1041" s="748">
        <v>43091</v>
      </c>
      <c r="Y1041" s="744" t="s">
        <v>3338</v>
      </c>
      <c r="Z1041" s="753">
        <v>113910</v>
      </c>
      <c r="AA1041" s="750">
        <v>43164</v>
      </c>
      <c r="AB1041" s="250" t="s">
        <v>3334</v>
      </c>
      <c r="AC1041" s="744">
        <v>171489824</v>
      </c>
      <c r="AD1041" s="744"/>
      <c r="AE1041" s="744"/>
      <c r="AF1041" s="744"/>
      <c r="AG1041" s="251" t="s">
        <v>283</v>
      </c>
    </row>
    <row r="1042" spans="1:33" ht="15.75" customHeight="1">
      <c r="A1042" s="743">
        <v>43070</v>
      </c>
      <c r="B1042" s="338" t="s">
        <v>76</v>
      </c>
      <c r="C1042" s="744" t="s">
        <v>3312</v>
      </c>
      <c r="D1042" s="308" t="s">
        <v>3335</v>
      </c>
      <c r="E1042" s="308" t="s">
        <v>3339</v>
      </c>
      <c r="F1042" s="254">
        <v>15</v>
      </c>
      <c r="G1042" s="752">
        <v>25</v>
      </c>
      <c r="H1042" s="253">
        <f t="shared" si="117"/>
        <v>375</v>
      </c>
      <c r="I1042" s="254" t="s">
        <v>42</v>
      </c>
      <c r="J1042" s="367" t="s">
        <v>315</v>
      </c>
      <c r="K1042" s="256">
        <v>43103</v>
      </c>
      <c r="L1042" s="256"/>
      <c r="M1042" s="256">
        <v>43096</v>
      </c>
      <c r="N1042" s="401" t="s">
        <v>1967</v>
      </c>
      <c r="O1042" s="308" t="s">
        <v>3337</v>
      </c>
      <c r="Q1042" s="266">
        <v>346.5</v>
      </c>
      <c r="R1042" s="1394"/>
      <c r="S1042" s="1394"/>
      <c r="U1042" s="328"/>
      <c r="V1042" s="308" t="s">
        <v>1969</v>
      </c>
      <c r="W1042" s="747">
        <v>43164</v>
      </c>
      <c r="X1042" s="748">
        <v>43091</v>
      </c>
      <c r="Y1042" s="744" t="s">
        <v>3338</v>
      </c>
      <c r="Z1042" s="751" t="s">
        <v>3340</v>
      </c>
      <c r="AA1042" s="750">
        <v>43164</v>
      </c>
      <c r="AB1042" s="250" t="s">
        <v>3334</v>
      </c>
      <c r="AC1042" s="744">
        <v>171489824</v>
      </c>
      <c r="AD1042" s="744"/>
      <c r="AE1042" s="744"/>
      <c r="AF1042" s="744"/>
      <c r="AG1042" s="251" t="s">
        <v>283</v>
      </c>
    </row>
    <row r="1043" spans="1:33" ht="15.75" customHeight="1">
      <c r="A1043" s="743">
        <v>43070</v>
      </c>
      <c r="B1043" s="338" t="s">
        <v>76</v>
      </c>
      <c r="C1043" s="744" t="s">
        <v>3312</v>
      </c>
      <c r="D1043" s="308" t="s">
        <v>3335</v>
      </c>
      <c r="E1043" s="308" t="s">
        <v>3341</v>
      </c>
      <c r="F1043" s="254">
        <v>15</v>
      </c>
      <c r="G1043" s="752">
        <v>18</v>
      </c>
      <c r="H1043" s="253">
        <f t="shared" si="117"/>
        <v>270</v>
      </c>
      <c r="I1043" s="254" t="s">
        <v>42</v>
      </c>
      <c r="J1043" s="367" t="s">
        <v>315</v>
      </c>
      <c r="K1043" s="256">
        <v>43103</v>
      </c>
      <c r="L1043" s="256"/>
      <c r="M1043" s="256">
        <v>43096</v>
      </c>
      <c r="N1043" s="401" t="s">
        <v>1967</v>
      </c>
      <c r="O1043" s="308" t="s">
        <v>3337</v>
      </c>
      <c r="Q1043" s="266">
        <v>220.5</v>
      </c>
      <c r="R1043" s="1394"/>
      <c r="S1043" s="1394"/>
      <c r="U1043" s="328"/>
      <c r="V1043" s="308" t="s">
        <v>1969</v>
      </c>
      <c r="W1043" s="747">
        <v>43164</v>
      </c>
      <c r="X1043" s="748">
        <v>43091</v>
      </c>
      <c r="Y1043" s="744" t="s">
        <v>3338</v>
      </c>
      <c r="Z1043" s="751" t="s">
        <v>3340</v>
      </c>
      <c r="AA1043" s="750">
        <v>43164</v>
      </c>
      <c r="AB1043" s="250" t="s">
        <v>3334</v>
      </c>
      <c r="AC1043" s="744">
        <v>171489824</v>
      </c>
      <c r="AD1043" s="744"/>
      <c r="AE1043" s="744"/>
      <c r="AF1043" s="744"/>
      <c r="AG1043" s="251" t="s">
        <v>283</v>
      </c>
    </row>
    <row r="1044" spans="1:33" ht="15.75" customHeight="1">
      <c r="A1044" s="743">
        <v>43070</v>
      </c>
      <c r="B1044" s="338" t="s">
        <v>76</v>
      </c>
      <c r="C1044" s="744" t="s">
        <v>3312</v>
      </c>
      <c r="D1044" s="308" t="s">
        <v>3335</v>
      </c>
      <c r="E1044" s="308" t="s">
        <v>3342</v>
      </c>
      <c r="F1044" s="264">
        <v>15</v>
      </c>
      <c r="G1044" s="574">
        <v>2</v>
      </c>
      <c r="H1044" s="253">
        <f t="shared" si="117"/>
        <v>30</v>
      </c>
      <c r="I1044" s="254" t="s">
        <v>42</v>
      </c>
      <c r="J1044" s="367" t="s">
        <v>315</v>
      </c>
      <c r="K1044" s="256">
        <v>43103</v>
      </c>
      <c r="L1044" s="256"/>
      <c r="M1044" s="256">
        <v>43091</v>
      </c>
      <c r="N1044" s="331" t="s">
        <v>2006</v>
      </c>
      <c r="O1044" s="308" t="s">
        <v>3343</v>
      </c>
      <c r="Q1044" s="591"/>
      <c r="R1044" s="1406"/>
      <c r="S1044" s="1406"/>
      <c r="U1044" s="754">
        <v>363</v>
      </c>
      <c r="V1044" s="318" t="s">
        <v>2146</v>
      </c>
      <c r="W1044" s="328"/>
      <c r="X1044" s="748">
        <v>43090</v>
      </c>
      <c r="Y1044" s="744" t="s">
        <v>3344</v>
      </c>
      <c r="Z1044" s="753">
        <v>1859</v>
      </c>
      <c r="AA1044" s="748">
        <v>43138</v>
      </c>
      <c r="AB1044" s="250" t="s">
        <v>3334</v>
      </c>
      <c r="AC1044" s="744">
        <v>171489824</v>
      </c>
      <c r="AD1044" s="744"/>
      <c r="AE1044" s="744"/>
      <c r="AF1044" s="744"/>
      <c r="AG1044" s="251" t="s">
        <v>283</v>
      </c>
    </row>
    <row r="1045" spans="1:33" ht="15.75" customHeight="1">
      <c r="A1045" s="743">
        <v>43070</v>
      </c>
      <c r="B1045" s="338" t="s">
        <v>76</v>
      </c>
      <c r="C1045" s="744" t="s">
        <v>3312</v>
      </c>
      <c r="D1045" s="308" t="s">
        <v>3335</v>
      </c>
      <c r="E1045" s="308" t="s">
        <v>3345</v>
      </c>
      <c r="F1045" s="264">
        <v>15</v>
      </c>
      <c r="G1045" s="574">
        <v>6</v>
      </c>
      <c r="H1045" s="253">
        <f t="shared" si="117"/>
        <v>90</v>
      </c>
      <c r="I1045" s="254" t="s">
        <v>42</v>
      </c>
      <c r="J1045" s="367" t="s">
        <v>315</v>
      </c>
      <c r="K1045" s="256">
        <v>43103</v>
      </c>
      <c r="L1045" s="256"/>
      <c r="M1045" s="256">
        <v>43091</v>
      </c>
      <c r="N1045" s="331" t="s">
        <v>2006</v>
      </c>
      <c r="O1045" s="308" t="s">
        <v>3343</v>
      </c>
      <c r="Q1045" s="591"/>
      <c r="R1045" s="1406"/>
      <c r="S1045" s="1406"/>
      <c r="U1045" s="754">
        <v>1496</v>
      </c>
      <c r="V1045" s="318" t="s">
        <v>2146</v>
      </c>
      <c r="W1045" s="328"/>
      <c r="X1045" s="748">
        <v>43090</v>
      </c>
      <c r="Y1045" s="744" t="s">
        <v>3344</v>
      </c>
      <c r="Z1045" s="751" t="s">
        <v>3346</v>
      </c>
      <c r="AA1045" s="748">
        <v>43138</v>
      </c>
      <c r="AB1045" s="250" t="s">
        <v>3334</v>
      </c>
      <c r="AC1045" s="744">
        <v>171489824</v>
      </c>
      <c r="AD1045" s="744"/>
      <c r="AE1045" s="744"/>
      <c r="AF1045" s="744"/>
      <c r="AG1045" s="251" t="s">
        <v>283</v>
      </c>
    </row>
    <row r="1046" spans="1:33" ht="15.75" customHeight="1">
      <c r="A1046" s="743">
        <v>43073</v>
      </c>
      <c r="B1046" s="263" t="s">
        <v>3347</v>
      </c>
      <c r="C1046" s="744" t="s">
        <v>3312</v>
      </c>
      <c r="D1046" s="250" t="s">
        <v>3348</v>
      </c>
      <c r="E1046" s="250" t="s">
        <v>3349</v>
      </c>
      <c r="F1046" s="251">
        <v>250</v>
      </c>
      <c r="G1046" s="252">
        <v>174.5</v>
      </c>
      <c r="H1046" s="253">
        <f t="shared" si="117"/>
        <v>43625</v>
      </c>
      <c r="I1046" s="254" t="s">
        <v>170</v>
      </c>
      <c r="J1046" s="267" t="s">
        <v>3350</v>
      </c>
      <c r="K1046" s="256">
        <v>43112</v>
      </c>
      <c r="L1046" s="256"/>
      <c r="M1046" s="256">
        <v>43105</v>
      </c>
      <c r="N1046" s="331" t="s">
        <v>3351</v>
      </c>
      <c r="O1046" s="308" t="s">
        <v>3352</v>
      </c>
      <c r="Q1046" s="266">
        <v>41475</v>
      </c>
      <c r="R1046" s="1394"/>
      <c r="S1046" s="1394"/>
      <c r="U1046" s="328"/>
      <c r="V1046" s="308" t="s">
        <v>3353</v>
      </c>
      <c r="W1046" s="328"/>
      <c r="X1046" s="744" t="s">
        <v>3354</v>
      </c>
      <c r="Y1046" s="744" t="s">
        <v>3355</v>
      </c>
      <c r="Z1046" s="749" t="s">
        <v>3356</v>
      </c>
      <c r="AA1046" s="748">
        <v>43130</v>
      </c>
      <c r="AB1046" s="250" t="s">
        <v>3357</v>
      </c>
      <c r="AC1046" s="744" t="s">
        <v>3358</v>
      </c>
      <c r="AD1046" s="744"/>
      <c r="AE1046" s="744"/>
      <c r="AF1046" s="744"/>
      <c r="AG1046" s="251" t="s">
        <v>283</v>
      </c>
    </row>
    <row r="1047" spans="1:33" ht="15.75" customHeight="1">
      <c r="A1047" s="755">
        <v>43073</v>
      </c>
      <c r="B1047" s="263" t="s">
        <v>129</v>
      </c>
      <c r="C1047" s="744" t="s">
        <v>3312</v>
      </c>
      <c r="D1047" s="308" t="s">
        <v>3359</v>
      </c>
      <c r="E1047" s="308" t="s">
        <v>3360</v>
      </c>
      <c r="F1047" s="264">
        <v>1</v>
      </c>
      <c r="G1047" s="265">
        <v>244</v>
      </c>
      <c r="H1047" s="253">
        <f t="shared" si="117"/>
        <v>244</v>
      </c>
      <c r="I1047" s="254" t="s">
        <v>419</v>
      </c>
      <c r="J1047" s="756" t="s">
        <v>3361</v>
      </c>
      <c r="K1047" s="256">
        <v>43108</v>
      </c>
      <c r="L1047" s="256"/>
      <c r="M1047" s="256">
        <v>43087</v>
      </c>
      <c r="N1047" s="331" t="s">
        <v>89</v>
      </c>
      <c r="O1047" s="308" t="s">
        <v>3362</v>
      </c>
      <c r="Q1047" s="266">
        <v>239.4</v>
      </c>
      <c r="R1047" s="1394"/>
      <c r="S1047" s="1394"/>
      <c r="U1047" s="328"/>
      <c r="V1047" s="571" t="s">
        <v>93</v>
      </c>
      <c r="W1047" s="328"/>
      <c r="X1047" s="748">
        <v>43449</v>
      </c>
      <c r="Y1047" s="744" t="s">
        <v>3363</v>
      </c>
      <c r="Z1047" s="749">
        <v>7166</v>
      </c>
      <c r="AA1047" s="748">
        <v>43126</v>
      </c>
      <c r="AB1047" s="250" t="s">
        <v>3364</v>
      </c>
      <c r="AC1047" s="250">
        <v>1920631403</v>
      </c>
      <c r="AD1047" s="744"/>
      <c r="AE1047" s="744"/>
      <c r="AF1047" s="744"/>
      <c r="AG1047" s="251" t="s">
        <v>283</v>
      </c>
    </row>
    <row r="1048" spans="1:33" ht="15.75" customHeight="1">
      <c r="A1048" s="743">
        <v>43076</v>
      </c>
      <c r="B1048" s="263" t="s">
        <v>3347</v>
      </c>
      <c r="C1048" s="744" t="s">
        <v>3312</v>
      </c>
      <c r="D1048" s="250" t="s">
        <v>3365</v>
      </c>
      <c r="E1048" s="250" t="s">
        <v>3366</v>
      </c>
      <c r="F1048" s="251">
        <v>11</v>
      </c>
      <c r="G1048" s="252">
        <v>174.5</v>
      </c>
      <c r="H1048" s="253">
        <f t="shared" si="117"/>
        <v>1919.5</v>
      </c>
      <c r="I1048" s="254" t="s">
        <v>170</v>
      </c>
      <c r="J1048" s="267" t="s">
        <v>3350</v>
      </c>
      <c r="K1048" s="256">
        <v>43112</v>
      </c>
      <c r="L1048" s="256"/>
      <c r="M1048" s="256">
        <v>42738</v>
      </c>
      <c r="N1048" s="331" t="s">
        <v>3351</v>
      </c>
      <c r="O1048" s="308" t="s">
        <v>3367</v>
      </c>
      <c r="Q1048" s="266">
        <v>1824.9</v>
      </c>
      <c r="R1048" s="1394"/>
      <c r="S1048" s="1394"/>
      <c r="U1048" s="328"/>
      <c r="V1048" s="308" t="s">
        <v>3353</v>
      </c>
      <c r="W1048" s="328"/>
      <c r="X1048" s="748">
        <v>43104</v>
      </c>
      <c r="Y1048" s="744" t="s">
        <v>3368</v>
      </c>
      <c r="Z1048" s="753">
        <v>54584</v>
      </c>
      <c r="AA1048" s="748">
        <v>43095</v>
      </c>
      <c r="AB1048" s="250" t="s">
        <v>3357</v>
      </c>
      <c r="AC1048" s="744" t="s">
        <v>3358</v>
      </c>
      <c r="AD1048" s="744"/>
      <c r="AE1048" s="744"/>
      <c r="AF1048" s="744"/>
      <c r="AG1048" s="251" t="s">
        <v>283</v>
      </c>
    </row>
    <row r="1049" spans="1:33" ht="15.75" customHeight="1">
      <c r="A1049" s="743">
        <v>43073</v>
      </c>
      <c r="B1049" s="263" t="s">
        <v>3347</v>
      </c>
      <c r="C1049" s="744" t="s">
        <v>3312</v>
      </c>
      <c r="D1049" s="250" t="s">
        <v>3369</v>
      </c>
      <c r="E1049" s="250" t="s">
        <v>3349</v>
      </c>
      <c r="F1049" s="251">
        <v>100</v>
      </c>
      <c r="G1049" s="252">
        <v>174.5</v>
      </c>
      <c r="H1049" s="253">
        <f t="shared" si="117"/>
        <v>17450</v>
      </c>
      <c r="I1049" s="254" t="s">
        <v>170</v>
      </c>
      <c r="J1049" s="267" t="s">
        <v>3350</v>
      </c>
      <c r="K1049" s="256">
        <v>43119</v>
      </c>
      <c r="L1049" s="256"/>
      <c r="M1049" s="256">
        <v>42747</v>
      </c>
      <c r="N1049" s="331" t="s">
        <v>3351</v>
      </c>
      <c r="O1049" s="308" t="s">
        <v>3370</v>
      </c>
      <c r="Q1049" s="266">
        <v>16590</v>
      </c>
      <c r="R1049" s="1394"/>
      <c r="S1049" s="1394"/>
      <c r="U1049" s="328"/>
      <c r="V1049" s="308" t="s">
        <v>3353</v>
      </c>
      <c r="W1049" s="328"/>
      <c r="X1049" s="748">
        <v>43115</v>
      </c>
      <c r="Y1049" s="744" t="s">
        <v>3371</v>
      </c>
      <c r="Z1049" s="749">
        <v>488576</v>
      </c>
      <c r="AA1049" s="748">
        <v>43130</v>
      </c>
      <c r="AB1049" s="744" t="s">
        <v>3372</v>
      </c>
      <c r="AC1049" s="757" t="s">
        <v>3373</v>
      </c>
      <c r="AD1049" s="744"/>
      <c r="AE1049" s="744"/>
      <c r="AF1049" s="744"/>
      <c r="AG1049" s="251" t="s">
        <v>283</v>
      </c>
    </row>
    <row r="1050" spans="1:33" ht="15.75" customHeight="1">
      <c r="A1050" s="743">
        <v>43075</v>
      </c>
      <c r="B1050" s="338" t="s">
        <v>76</v>
      </c>
      <c r="C1050" s="744" t="s">
        <v>3312</v>
      </c>
      <c r="D1050" s="308" t="s">
        <v>3374</v>
      </c>
      <c r="E1050" s="308" t="s">
        <v>3375</v>
      </c>
      <c r="F1050" s="251">
        <v>15</v>
      </c>
      <c r="G1050" s="252">
        <v>73</v>
      </c>
      <c r="H1050" s="253">
        <f t="shared" si="117"/>
        <v>1095</v>
      </c>
      <c r="I1050" s="254" t="s">
        <v>42</v>
      </c>
      <c r="J1050" s="367" t="s">
        <v>315</v>
      </c>
      <c r="K1050" s="256">
        <v>43103</v>
      </c>
      <c r="L1050" s="256"/>
      <c r="M1050" s="256">
        <v>43091</v>
      </c>
      <c r="N1050" s="251" t="s">
        <v>3376</v>
      </c>
      <c r="O1050" s="308" t="s">
        <v>3377</v>
      </c>
      <c r="Q1050" s="328">
        <v>1071</v>
      </c>
      <c r="R1050" s="1407"/>
      <c r="S1050" s="1407"/>
      <c r="U1050" s="572">
        <v>32141</v>
      </c>
      <c r="V1050" s="328" t="s">
        <v>3378</v>
      </c>
      <c r="W1050" s="328"/>
      <c r="X1050" s="748">
        <v>43088</v>
      </c>
      <c r="Y1050" s="744" t="s">
        <v>3379</v>
      </c>
      <c r="Z1050" s="751">
        <v>32141</v>
      </c>
      <c r="AA1050" s="748">
        <v>43453</v>
      </c>
      <c r="AB1050" s="250" t="s">
        <v>3334</v>
      </c>
      <c r="AC1050" s="744">
        <v>171489824</v>
      </c>
      <c r="AD1050" s="744"/>
      <c r="AE1050" s="744"/>
      <c r="AF1050" s="744"/>
      <c r="AG1050" s="251" t="s">
        <v>283</v>
      </c>
    </row>
    <row r="1051" spans="1:33" ht="15.75" customHeight="1">
      <c r="A1051" s="743">
        <v>43083</v>
      </c>
      <c r="B1051" s="263" t="s">
        <v>76</v>
      </c>
      <c r="C1051" s="744" t="s">
        <v>3312</v>
      </c>
      <c r="D1051" s="250" t="s">
        <v>3380</v>
      </c>
      <c r="E1051" s="250" t="s">
        <v>3381</v>
      </c>
      <c r="F1051" s="305">
        <v>10</v>
      </c>
      <c r="G1051" s="252">
        <v>285</v>
      </c>
      <c r="H1051" s="253">
        <f t="shared" ref="H1051:H1052" si="118">F1051*G1051</f>
        <v>2850</v>
      </c>
      <c r="I1051" s="254" t="s">
        <v>42</v>
      </c>
      <c r="J1051" s="367" t="s">
        <v>315</v>
      </c>
      <c r="K1051" s="256">
        <v>43103</v>
      </c>
      <c r="L1051" s="256"/>
      <c r="M1051" s="256">
        <v>43094</v>
      </c>
      <c r="N1051" s="401" t="s">
        <v>1967</v>
      </c>
      <c r="O1051" s="308" t="s">
        <v>3382</v>
      </c>
      <c r="Q1051" s="266">
        <v>2625</v>
      </c>
      <c r="R1051" s="1394"/>
      <c r="S1051" s="1394"/>
      <c r="U1051" s="589"/>
      <c r="V1051" s="308" t="s">
        <v>1969</v>
      </c>
      <c r="W1051" s="747">
        <v>43164</v>
      </c>
      <c r="X1051" s="748">
        <v>43091</v>
      </c>
      <c r="Y1051" s="744" t="s">
        <v>3383</v>
      </c>
      <c r="Z1051" s="753">
        <v>78776</v>
      </c>
      <c r="AA1051" s="750">
        <v>43164</v>
      </c>
      <c r="AB1051" s="250" t="s">
        <v>3334</v>
      </c>
      <c r="AC1051" s="744">
        <v>171489824</v>
      </c>
      <c r="AD1051" s="744"/>
      <c r="AE1051" s="744"/>
      <c r="AF1051" s="744"/>
      <c r="AG1051" s="251" t="s">
        <v>283</v>
      </c>
    </row>
    <row r="1052" spans="1:33" ht="15.75" customHeight="1">
      <c r="A1052" s="743">
        <v>43083</v>
      </c>
      <c r="B1052" s="263" t="s">
        <v>76</v>
      </c>
      <c r="C1052" s="744" t="s">
        <v>3312</v>
      </c>
      <c r="D1052" s="250" t="s">
        <v>3380</v>
      </c>
      <c r="E1052" s="250" t="s">
        <v>317</v>
      </c>
      <c r="F1052" s="251">
        <v>26</v>
      </c>
      <c r="G1052" s="252">
        <v>270</v>
      </c>
      <c r="H1052" s="253">
        <f t="shared" si="118"/>
        <v>7020</v>
      </c>
      <c r="I1052" s="254" t="s">
        <v>42</v>
      </c>
      <c r="J1052" s="367" t="s">
        <v>315</v>
      </c>
      <c r="K1052" s="256">
        <v>43136</v>
      </c>
      <c r="L1052" s="256"/>
      <c r="M1052" s="256">
        <v>43136</v>
      </c>
      <c r="N1052" s="401" t="s">
        <v>1967</v>
      </c>
      <c r="O1052" s="308" t="s">
        <v>3382</v>
      </c>
      <c r="Q1052" s="266">
        <v>6006</v>
      </c>
      <c r="R1052" s="1394"/>
      <c r="S1052" s="1394"/>
      <c r="U1052" s="328"/>
      <c r="V1052" s="308" t="s">
        <v>1969</v>
      </c>
      <c r="W1052" s="747">
        <v>43195</v>
      </c>
      <c r="X1052" s="748">
        <v>43133</v>
      </c>
      <c r="Y1052" s="744" t="s">
        <v>3384</v>
      </c>
      <c r="Z1052" s="749">
        <v>175256</v>
      </c>
      <c r="AA1052" s="748">
        <v>43227</v>
      </c>
      <c r="AB1052" s="250" t="s">
        <v>3385</v>
      </c>
      <c r="AC1052" s="744">
        <v>277959776</v>
      </c>
      <c r="AD1052" s="744"/>
      <c r="AE1052" s="744"/>
      <c r="AF1052" s="744"/>
      <c r="AG1052" s="251" t="s">
        <v>283</v>
      </c>
    </row>
    <row r="1053" spans="1:33" ht="15.75" customHeight="1">
      <c r="A1053" s="743">
        <v>43084</v>
      </c>
      <c r="B1053" s="590" t="s">
        <v>3386</v>
      </c>
      <c r="C1053" s="744" t="s">
        <v>3312</v>
      </c>
      <c r="D1053" s="250" t="s">
        <v>3387</v>
      </c>
      <c r="E1053" s="250" t="s">
        <v>3388</v>
      </c>
      <c r="F1053" s="251">
        <v>20</v>
      </c>
      <c r="G1053" s="252">
        <v>72</v>
      </c>
      <c r="H1053" s="253">
        <f t="shared" ref="H1053:H1076" si="119">G1053*F1053</f>
        <v>1440</v>
      </c>
      <c r="I1053" s="254" t="s">
        <v>3315</v>
      </c>
      <c r="J1053" s="267" t="s">
        <v>3389</v>
      </c>
      <c r="K1053" s="256">
        <v>43111</v>
      </c>
      <c r="L1053" s="256"/>
      <c r="M1053" s="256">
        <v>43109</v>
      </c>
      <c r="N1053" s="331" t="s">
        <v>2008</v>
      </c>
      <c r="O1053" s="308" t="s">
        <v>3390</v>
      </c>
      <c r="Q1053" s="266">
        <v>1344</v>
      </c>
      <c r="R1053" s="1394"/>
      <c r="S1053" s="1394"/>
      <c r="U1053" s="328"/>
      <c r="V1053" s="308" t="s">
        <v>2010</v>
      </c>
      <c r="W1053" s="747">
        <v>43136</v>
      </c>
      <c r="X1053" s="748">
        <v>43108</v>
      </c>
      <c r="Y1053" s="744" t="s">
        <v>3391</v>
      </c>
      <c r="Z1053" s="753">
        <v>39675</v>
      </c>
      <c r="AA1053" s="748">
        <v>43138</v>
      </c>
      <c r="AB1053" s="744" t="s">
        <v>3392</v>
      </c>
      <c r="AC1053" s="744" t="s">
        <v>3393</v>
      </c>
      <c r="AD1053" s="744"/>
      <c r="AE1053" s="744"/>
      <c r="AF1053" s="744"/>
      <c r="AG1053" s="251" t="s">
        <v>283</v>
      </c>
    </row>
    <row r="1054" spans="1:33" ht="15.75" customHeight="1">
      <c r="A1054" s="743">
        <v>43084</v>
      </c>
      <c r="B1054" s="590" t="s">
        <v>3386</v>
      </c>
      <c r="C1054" s="744" t="s">
        <v>3312</v>
      </c>
      <c r="D1054" s="250" t="s">
        <v>3387</v>
      </c>
      <c r="E1054" s="250" t="s">
        <v>692</v>
      </c>
      <c r="F1054" s="251">
        <v>1</v>
      </c>
      <c r="G1054" s="252">
        <v>25</v>
      </c>
      <c r="H1054" s="253">
        <f t="shared" si="119"/>
        <v>25</v>
      </c>
      <c r="I1054" s="758" t="s">
        <v>3315</v>
      </c>
      <c r="J1054" s="267"/>
      <c r="K1054" s="256">
        <v>43111</v>
      </c>
      <c r="L1054" s="256"/>
      <c r="M1054" s="623"/>
      <c r="N1054" s="331"/>
      <c r="O1054" s="308"/>
      <c r="Q1054" s="591"/>
      <c r="R1054" s="1406"/>
      <c r="S1054" s="1406"/>
      <c r="U1054" s="328"/>
      <c r="V1054" s="308"/>
      <c r="W1054" s="328"/>
      <c r="X1054" s="744"/>
      <c r="Y1054" s="744"/>
      <c r="Z1054" s="744"/>
      <c r="AA1054" s="748"/>
      <c r="AB1054" s="744" t="s">
        <v>3392</v>
      </c>
      <c r="AC1054" s="759" t="s">
        <v>3393</v>
      </c>
      <c r="AD1054" s="744"/>
      <c r="AE1054" s="744"/>
      <c r="AF1054" s="744"/>
      <c r="AG1054" s="251" t="s">
        <v>283</v>
      </c>
    </row>
    <row r="1055" spans="1:33" ht="15.75" customHeight="1">
      <c r="A1055" s="743">
        <v>43090</v>
      </c>
      <c r="B1055" s="263" t="s">
        <v>3347</v>
      </c>
      <c r="C1055" s="744" t="s">
        <v>3312</v>
      </c>
      <c r="D1055" s="250" t="s">
        <v>3394</v>
      </c>
      <c r="E1055" s="250" t="s">
        <v>3366</v>
      </c>
      <c r="F1055" s="251">
        <v>20</v>
      </c>
      <c r="G1055" s="252">
        <v>174.5</v>
      </c>
      <c r="H1055" s="253">
        <f t="shared" si="119"/>
        <v>3490</v>
      </c>
      <c r="I1055" s="254" t="s">
        <v>170</v>
      </c>
      <c r="J1055" s="267" t="s">
        <v>3350</v>
      </c>
      <c r="K1055" s="256">
        <v>43112</v>
      </c>
      <c r="L1055" s="256"/>
      <c r="M1055" s="256">
        <v>43105</v>
      </c>
      <c r="N1055" s="331" t="s">
        <v>3351</v>
      </c>
      <c r="O1055" s="308" t="s">
        <v>3395</v>
      </c>
      <c r="Q1055" s="266">
        <v>3318</v>
      </c>
      <c r="R1055" s="1394"/>
      <c r="S1055" s="1394"/>
      <c r="U1055" s="328"/>
      <c r="V1055" s="308" t="s">
        <v>3353</v>
      </c>
      <c r="W1055" s="328"/>
      <c r="X1055" s="748">
        <v>43109</v>
      </c>
      <c r="Y1055" s="744" t="s">
        <v>3396</v>
      </c>
      <c r="Z1055" s="753">
        <v>99242</v>
      </c>
      <c r="AA1055" s="748">
        <v>43095</v>
      </c>
      <c r="AB1055" s="250" t="s">
        <v>3357</v>
      </c>
      <c r="AC1055" s="744" t="s">
        <v>3358</v>
      </c>
      <c r="AD1055" s="744"/>
      <c r="AE1055" s="744"/>
      <c r="AF1055" s="744"/>
      <c r="AG1055" s="251" t="s">
        <v>283</v>
      </c>
    </row>
    <row r="1056" spans="1:33" ht="15.75" customHeight="1">
      <c r="A1056" s="743">
        <v>43090</v>
      </c>
      <c r="B1056" s="144" t="s">
        <v>76</v>
      </c>
      <c r="C1056" s="744" t="s">
        <v>3312</v>
      </c>
      <c r="D1056" s="250" t="s">
        <v>3397</v>
      </c>
      <c r="E1056" s="250" t="s">
        <v>3398</v>
      </c>
      <c r="F1056" s="251">
        <v>1</v>
      </c>
      <c r="G1056" s="252">
        <v>175</v>
      </c>
      <c r="H1056" s="253">
        <f t="shared" si="119"/>
        <v>175</v>
      </c>
      <c r="I1056" s="254" t="s">
        <v>42</v>
      </c>
      <c r="J1056" s="760" t="s">
        <v>3399</v>
      </c>
      <c r="K1056" s="256">
        <v>43130</v>
      </c>
      <c r="L1056" s="256"/>
      <c r="M1056" s="256">
        <v>43129</v>
      </c>
      <c r="N1056" s="331" t="s">
        <v>1512</v>
      </c>
      <c r="O1056" s="308" t="s">
        <v>3400</v>
      </c>
      <c r="Q1056" s="591"/>
      <c r="R1056" s="1406"/>
      <c r="S1056" s="1406"/>
      <c r="U1056" s="328"/>
      <c r="V1056" s="308"/>
      <c r="W1056" s="328"/>
      <c r="X1056" s="745"/>
      <c r="Y1056" s="745"/>
      <c r="Z1056" s="745"/>
      <c r="AA1056" s="746"/>
      <c r="AB1056" s="250" t="s">
        <v>3401</v>
      </c>
      <c r="AC1056" s="744">
        <v>8219623344</v>
      </c>
      <c r="AD1056" s="744"/>
      <c r="AE1056" s="744"/>
      <c r="AF1056" s="744"/>
      <c r="AG1056" s="251" t="s">
        <v>283</v>
      </c>
    </row>
    <row r="1057" spans="1:33" ht="15.75" customHeight="1">
      <c r="A1057" s="743">
        <v>43090</v>
      </c>
      <c r="B1057" s="144" t="s">
        <v>76</v>
      </c>
      <c r="C1057" s="744" t="s">
        <v>3312</v>
      </c>
      <c r="D1057" s="250" t="s">
        <v>3397</v>
      </c>
      <c r="E1057" s="250" t="s">
        <v>3402</v>
      </c>
      <c r="F1057" s="251">
        <v>2</v>
      </c>
      <c r="G1057" s="252">
        <v>6</v>
      </c>
      <c r="H1057" s="253">
        <f t="shared" si="119"/>
        <v>12</v>
      </c>
      <c r="I1057" s="254" t="s">
        <v>42</v>
      </c>
      <c r="J1057" s="760" t="s">
        <v>3399</v>
      </c>
      <c r="K1057" s="256">
        <v>43130</v>
      </c>
      <c r="L1057" s="256"/>
      <c r="M1057" s="256">
        <v>43129</v>
      </c>
      <c r="N1057" s="331" t="s">
        <v>2006</v>
      </c>
      <c r="O1057" s="308" t="s">
        <v>3403</v>
      </c>
      <c r="Q1057" s="591"/>
      <c r="R1057" s="1406"/>
      <c r="S1057" s="1406"/>
      <c r="U1057" s="328"/>
      <c r="V1057" s="308"/>
      <c r="W1057" s="328"/>
      <c r="X1057" s="745"/>
      <c r="Y1057" s="745"/>
      <c r="Z1057" s="745"/>
      <c r="AA1057" s="746"/>
      <c r="AB1057" s="250" t="s">
        <v>3401</v>
      </c>
      <c r="AC1057" s="744">
        <v>8219623344</v>
      </c>
      <c r="AD1057" s="744"/>
      <c r="AE1057" s="744"/>
      <c r="AF1057" s="744"/>
      <c r="AG1057" s="251" t="s">
        <v>283</v>
      </c>
    </row>
    <row r="1058" spans="1:33" ht="15.75" customHeight="1">
      <c r="A1058" s="743">
        <v>43090</v>
      </c>
      <c r="B1058" s="144" t="s">
        <v>76</v>
      </c>
      <c r="C1058" s="744" t="s">
        <v>3312</v>
      </c>
      <c r="D1058" s="250" t="s">
        <v>3397</v>
      </c>
      <c r="E1058" s="250" t="s">
        <v>3404</v>
      </c>
      <c r="F1058" s="251">
        <v>2</v>
      </c>
      <c r="G1058" s="252">
        <v>2</v>
      </c>
      <c r="H1058" s="253">
        <f t="shared" si="119"/>
        <v>4</v>
      </c>
      <c r="I1058" s="254" t="s">
        <v>42</v>
      </c>
      <c r="J1058" s="760" t="s">
        <v>3399</v>
      </c>
      <c r="K1058" s="256">
        <v>43130</v>
      </c>
      <c r="L1058" s="256"/>
      <c r="M1058" s="256">
        <v>43129</v>
      </c>
      <c r="N1058" s="331" t="s">
        <v>2006</v>
      </c>
      <c r="O1058" s="308" t="s">
        <v>3403</v>
      </c>
      <c r="Q1058" s="591"/>
      <c r="R1058" s="1406"/>
      <c r="S1058" s="1406"/>
      <c r="U1058" s="328"/>
      <c r="V1058" s="308"/>
      <c r="W1058" s="328"/>
      <c r="X1058" s="745"/>
      <c r="Y1058" s="745"/>
      <c r="Z1058" s="745"/>
      <c r="AA1058" s="746"/>
      <c r="AB1058" s="250" t="s">
        <v>3401</v>
      </c>
      <c r="AC1058" s="744">
        <v>8219623344</v>
      </c>
      <c r="AD1058" s="744"/>
      <c r="AE1058" s="744"/>
      <c r="AF1058" s="744"/>
      <c r="AG1058" s="251" t="s">
        <v>283</v>
      </c>
    </row>
    <row r="1059" spans="1:33" ht="15.75" customHeight="1">
      <c r="A1059" s="743">
        <v>43115</v>
      </c>
      <c r="B1059" s="144" t="s">
        <v>76</v>
      </c>
      <c r="C1059" s="744" t="s">
        <v>3312</v>
      </c>
      <c r="D1059" s="250" t="s">
        <v>3405</v>
      </c>
      <c r="E1059" s="250" t="s">
        <v>3398</v>
      </c>
      <c r="F1059" s="251">
        <v>1</v>
      </c>
      <c r="G1059" s="252">
        <v>200</v>
      </c>
      <c r="H1059" s="253">
        <f t="shared" si="119"/>
        <v>200</v>
      </c>
      <c r="I1059" s="254" t="s">
        <v>42</v>
      </c>
      <c r="J1059" s="760" t="s">
        <v>3399</v>
      </c>
      <c r="K1059" s="256">
        <v>43130</v>
      </c>
      <c r="L1059" s="256"/>
      <c r="M1059" s="256">
        <v>43129</v>
      </c>
      <c r="N1059" s="331" t="s">
        <v>1512</v>
      </c>
      <c r="O1059" s="308" t="s">
        <v>3400</v>
      </c>
      <c r="Q1059" s="591"/>
      <c r="R1059" s="1406"/>
      <c r="S1059" s="1406"/>
      <c r="U1059" s="328"/>
      <c r="V1059" s="318"/>
      <c r="W1059" s="328"/>
      <c r="X1059" s="745"/>
      <c r="Y1059" s="745"/>
      <c r="Z1059" s="745"/>
      <c r="AA1059" s="746"/>
      <c r="AB1059" s="250" t="s">
        <v>3401</v>
      </c>
      <c r="AC1059" s="744">
        <v>8219623344</v>
      </c>
      <c r="AD1059" s="744"/>
      <c r="AE1059" s="744"/>
      <c r="AF1059" s="744"/>
      <c r="AG1059" s="251" t="s">
        <v>283</v>
      </c>
    </row>
    <row r="1060" spans="1:33" ht="15.75" customHeight="1">
      <c r="A1060" s="743">
        <v>43091</v>
      </c>
      <c r="B1060" s="263" t="s">
        <v>100</v>
      </c>
      <c r="C1060" s="744" t="s">
        <v>3312</v>
      </c>
      <c r="D1060" s="250" t="s">
        <v>3406</v>
      </c>
      <c r="E1060" s="250" t="s">
        <v>3407</v>
      </c>
      <c r="F1060" s="251">
        <v>20</v>
      </c>
      <c r="G1060" s="252">
        <v>93</v>
      </c>
      <c r="H1060" s="253">
        <f t="shared" si="119"/>
        <v>1860</v>
      </c>
      <c r="I1060" s="254" t="s">
        <v>3315</v>
      </c>
      <c r="J1060" s="367" t="s">
        <v>3408</v>
      </c>
      <c r="K1060" s="256">
        <v>43144</v>
      </c>
      <c r="L1060" s="256"/>
      <c r="M1060" s="256">
        <v>43139</v>
      </c>
      <c r="N1060" s="331" t="s">
        <v>2001</v>
      </c>
      <c r="O1060" s="308" t="s">
        <v>3409</v>
      </c>
      <c r="Q1060" s="266">
        <v>1848</v>
      </c>
      <c r="R1060" s="1394"/>
      <c r="S1060" s="1394"/>
      <c r="U1060" s="328"/>
      <c r="V1060" s="318" t="s">
        <v>2003</v>
      </c>
      <c r="W1060" s="747">
        <v>43195</v>
      </c>
      <c r="X1060" s="748">
        <v>43138</v>
      </c>
      <c r="Y1060" s="744" t="s">
        <v>3410</v>
      </c>
      <c r="Z1060" s="749">
        <v>178407</v>
      </c>
      <c r="AA1060" s="748">
        <v>43199</v>
      </c>
      <c r="AB1060" s="744" t="s">
        <v>3411</v>
      </c>
      <c r="AC1060" s="744" t="s">
        <v>3412</v>
      </c>
      <c r="AD1060" s="744"/>
      <c r="AE1060" s="744"/>
      <c r="AF1060" s="744"/>
      <c r="AG1060" s="251" t="s">
        <v>283</v>
      </c>
    </row>
    <row r="1061" spans="1:33" ht="15.75" customHeight="1">
      <c r="A1061" s="743">
        <v>43091</v>
      </c>
      <c r="B1061" s="263" t="s">
        <v>100</v>
      </c>
      <c r="C1061" s="744" t="s">
        <v>3312</v>
      </c>
      <c r="D1061" s="250" t="s">
        <v>3406</v>
      </c>
      <c r="E1061" s="250" t="s">
        <v>3413</v>
      </c>
      <c r="F1061" s="251">
        <v>20</v>
      </c>
      <c r="G1061" s="252">
        <v>73</v>
      </c>
      <c r="H1061" s="253">
        <f t="shared" si="119"/>
        <v>1460</v>
      </c>
      <c r="I1061" s="254" t="s">
        <v>3315</v>
      </c>
      <c r="J1061" s="367" t="s">
        <v>3408</v>
      </c>
      <c r="K1061" s="256">
        <v>43144</v>
      </c>
      <c r="L1061" s="256"/>
      <c r="M1061" s="256">
        <v>43139</v>
      </c>
      <c r="N1061" s="331" t="s">
        <v>2001</v>
      </c>
      <c r="O1061" s="308" t="s">
        <v>3409</v>
      </c>
      <c r="Q1061" s="266">
        <v>1449</v>
      </c>
      <c r="R1061" s="1394"/>
      <c r="S1061" s="1394"/>
      <c r="U1061" s="328"/>
      <c r="V1061" s="318" t="s">
        <v>2003</v>
      </c>
      <c r="W1061" s="747">
        <v>43195</v>
      </c>
      <c r="X1061" s="748">
        <v>43138</v>
      </c>
      <c r="Y1061" s="744" t="s">
        <v>3410</v>
      </c>
      <c r="Z1061" s="744" t="s">
        <v>3414</v>
      </c>
      <c r="AA1061" s="748">
        <v>43199</v>
      </c>
      <c r="AB1061" s="744" t="s">
        <v>3411</v>
      </c>
      <c r="AC1061" s="744" t="s">
        <v>3412</v>
      </c>
      <c r="AD1061" s="744"/>
      <c r="AE1061" s="744"/>
      <c r="AF1061" s="744"/>
      <c r="AG1061" s="251" t="s">
        <v>283</v>
      </c>
    </row>
    <row r="1062" spans="1:33" ht="15.75" customHeight="1">
      <c r="A1062" s="743">
        <v>43091</v>
      </c>
      <c r="B1062" s="263" t="s">
        <v>100</v>
      </c>
      <c r="C1062" s="744" t="s">
        <v>3312</v>
      </c>
      <c r="D1062" s="250" t="s">
        <v>3406</v>
      </c>
      <c r="E1062" s="250" t="s">
        <v>3415</v>
      </c>
      <c r="F1062" s="251">
        <v>20</v>
      </c>
      <c r="G1062" s="252">
        <v>140</v>
      </c>
      <c r="H1062" s="253">
        <f t="shared" si="119"/>
        <v>2800</v>
      </c>
      <c r="I1062" s="254" t="s">
        <v>3315</v>
      </c>
      <c r="J1062" s="367" t="s">
        <v>3408</v>
      </c>
      <c r="K1062" s="256">
        <v>43144</v>
      </c>
      <c r="L1062" s="256"/>
      <c r="M1062" s="256">
        <v>43139</v>
      </c>
      <c r="N1062" s="331" t="s">
        <v>2001</v>
      </c>
      <c r="O1062" s="308" t="s">
        <v>3409</v>
      </c>
      <c r="Q1062" s="266">
        <v>2793</v>
      </c>
      <c r="R1062" s="1394"/>
      <c r="S1062" s="1394"/>
      <c r="U1062" s="328"/>
      <c r="V1062" s="318" t="s">
        <v>2003</v>
      </c>
      <c r="W1062" s="747">
        <v>43195</v>
      </c>
      <c r="X1062" s="748">
        <v>43138</v>
      </c>
      <c r="Y1062" s="744" t="s">
        <v>3410</v>
      </c>
      <c r="Z1062" s="744" t="s">
        <v>3414</v>
      </c>
      <c r="AA1062" s="748">
        <v>43199</v>
      </c>
      <c r="AB1062" s="744" t="s">
        <v>3411</v>
      </c>
      <c r="AC1062" s="744" t="s">
        <v>3412</v>
      </c>
      <c r="AD1062" s="744"/>
      <c r="AE1062" s="744"/>
      <c r="AF1062" s="744"/>
      <c r="AG1062" s="251" t="s">
        <v>283</v>
      </c>
    </row>
    <row r="1063" spans="1:33" ht="15.75" customHeight="1">
      <c r="A1063" s="743">
        <v>43091</v>
      </c>
      <c r="B1063" s="263" t="s">
        <v>100</v>
      </c>
      <c r="C1063" s="744" t="s">
        <v>3312</v>
      </c>
      <c r="D1063" s="250" t="s">
        <v>3406</v>
      </c>
      <c r="E1063" s="250" t="s">
        <v>3416</v>
      </c>
      <c r="F1063" s="251">
        <v>20</v>
      </c>
      <c r="G1063" s="252">
        <v>2</v>
      </c>
      <c r="H1063" s="253">
        <f t="shared" si="119"/>
        <v>40</v>
      </c>
      <c r="I1063" s="254" t="s">
        <v>3315</v>
      </c>
      <c r="J1063" s="367" t="s">
        <v>3408</v>
      </c>
      <c r="K1063" s="256">
        <v>43144</v>
      </c>
      <c r="L1063" s="256"/>
      <c r="M1063" s="256"/>
      <c r="N1063" s="264" t="s">
        <v>178</v>
      </c>
      <c r="O1063" s="308" t="s">
        <v>3417</v>
      </c>
      <c r="Q1063" s="591"/>
      <c r="R1063" s="1406"/>
      <c r="S1063" s="1406"/>
      <c r="U1063" s="328"/>
      <c r="V1063" s="308"/>
      <c r="W1063" s="328"/>
      <c r="X1063" s="745"/>
      <c r="Y1063" s="745"/>
      <c r="Z1063" s="745"/>
      <c r="AA1063" s="746"/>
      <c r="AB1063" s="744" t="s">
        <v>3411</v>
      </c>
      <c r="AC1063" s="744" t="s">
        <v>3412</v>
      </c>
      <c r="AD1063" s="744"/>
      <c r="AE1063" s="744"/>
      <c r="AF1063" s="744"/>
      <c r="AG1063" s="251" t="s">
        <v>283</v>
      </c>
    </row>
    <row r="1064" spans="1:33" ht="15.75" customHeight="1">
      <c r="A1064" s="743">
        <v>43091</v>
      </c>
      <c r="B1064" s="263" t="s">
        <v>100</v>
      </c>
      <c r="C1064" s="744" t="s">
        <v>3312</v>
      </c>
      <c r="D1064" s="250" t="s">
        <v>3406</v>
      </c>
      <c r="E1064" s="250" t="s">
        <v>3418</v>
      </c>
      <c r="F1064" s="251">
        <v>20</v>
      </c>
      <c r="G1064" s="252">
        <v>2.5</v>
      </c>
      <c r="H1064" s="253">
        <f t="shared" si="119"/>
        <v>50</v>
      </c>
      <c r="I1064" s="254" t="s">
        <v>3315</v>
      </c>
      <c r="J1064" s="367" t="s">
        <v>3408</v>
      </c>
      <c r="K1064" s="256">
        <v>43144</v>
      </c>
      <c r="L1064" s="256"/>
      <c r="M1064" s="256"/>
      <c r="N1064" s="264" t="s">
        <v>178</v>
      </c>
      <c r="O1064" s="643" t="s">
        <v>3419</v>
      </c>
      <c r="Q1064" s="591"/>
      <c r="R1064" s="1406"/>
      <c r="S1064" s="1406"/>
      <c r="U1064" s="328"/>
      <c r="V1064" s="308"/>
      <c r="W1064" s="328"/>
      <c r="X1064" s="745"/>
      <c r="Y1064" s="745"/>
      <c r="Z1064" s="745"/>
      <c r="AA1064" s="746"/>
      <c r="AB1064" s="744" t="s">
        <v>3411</v>
      </c>
      <c r="AC1064" s="744" t="s">
        <v>3412</v>
      </c>
      <c r="AD1064" s="744"/>
      <c r="AE1064" s="744"/>
      <c r="AF1064" s="744"/>
      <c r="AG1064" s="251" t="s">
        <v>283</v>
      </c>
    </row>
    <row r="1065" spans="1:33" ht="15.75" customHeight="1">
      <c r="A1065" s="743">
        <v>43091</v>
      </c>
      <c r="B1065" s="263" t="s">
        <v>100</v>
      </c>
      <c r="C1065" s="744" t="s">
        <v>3312</v>
      </c>
      <c r="D1065" s="250" t="s">
        <v>3406</v>
      </c>
      <c r="E1065" s="250" t="s">
        <v>3420</v>
      </c>
      <c r="F1065" s="251">
        <v>20</v>
      </c>
      <c r="G1065" s="252">
        <v>4</v>
      </c>
      <c r="H1065" s="253">
        <f t="shared" si="119"/>
        <v>80</v>
      </c>
      <c r="I1065" s="254" t="s">
        <v>3315</v>
      </c>
      <c r="J1065" s="367" t="s">
        <v>3408</v>
      </c>
      <c r="K1065" s="256">
        <v>43144</v>
      </c>
      <c r="L1065" s="256"/>
      <c r="M1065" s="256">
        <v>43139</v>
      </c>
      <c r="N1065" s="331" t="s">
        <v>2001</v>
      </c>
      <c r="O1065" s="308" t="s">
        <v>3409</v>
      </c>
      <c r="Q1065" s="266">
        <v>63</v>
      </c>
      <c r="R1065" s="1394"/>
      <c r="S1065" s="1394"/>
      <c r="U1065" s="328"/>
      <c r="V1065" s="318" t="s">
        <v>2003</v>
      </c>
      <c r="W1065" s="747">
        <v>43195</v>
      </c>
      <c r="X1065" s="748">
        <v>43138</v>
      </c>
      <c r="Y1065" s="744" t="s">
        <v>3410</v>
      </c>
      <c r="Z1065" s="744" t="s">
        <v>3414</v>
      </c>
      <c r="AA1065" s="748">
        <v>43199</v>
      </c>
      <c r="AB1065" s="744" t="s">
        <v>3411</v>
      </c>
      <c r="AC1065" s="744" t="s">
        <v>3412</v>
      </c>
      <c r="AD1065" s="744"/>
      <c r="AE1065" s="744"/>
      <c r="AF1065" s="744"/>
      <c r="AG1065" s="251" t="s">
        <v>283</v>
      </c>
    </row>
    <row r="1066" spans="1:33" ht="15.75" customHeight="1">
      <c r="A1066" s="743">
        <v>43091</v>
      </c>
      <c r="B1066" s="263" t="s">
        <v>100</v>
      </c>
      <c r="C1066" s="744" t="s">
        <v>3312</v>
      </c>
      <c r="D1066" s="250" t="s">
        <v>3406</v>
      </c>
      <c r="E1066" s="250" t="s">
        <v>3421</v>
      </c>
      <c r="F1066" s="251">
        <v>20</v>
      </c>
      <c r="G1066" s="252">
        <v>8</v>
      </c>
      <c r="H1066" s="253">
        <f t="shared" si="119"/>
        <v>160</v>
      </c>
      <c r="I1066" s="254" t="s">
        <v>3315</v>
      </c>
      <c r="J1066" s="367" t="s">
        <v>3408</v>
      </c>
      <c r="K1066" s="256">
        <v>43144</v>
      </c>
      <c r="L1066" s="256"/>
      <c r="M1066" s="623"/>
      <c r="N1066" s="331"/>
      <c r="O1066" s="308"/>
      <c r="Q1066" s="591"/>
      <c r="R1066" s="1406"/>
      <c r="S1066" s="1406"/>
      <c r="U1066" s="329" t="s">
        <v>3422</v>
      </c>
      <c r="V1066" s="308"/>
      <c r="W1066" s="328"/>
      <c r="X1066" s="745"/>
      <c r="Y1066" s="745"/>
      <c r="Z1066" s="745"/>
      <c r="AA1066" s="746"/>
      <c r="AB1066" s="744" t="s">
        <v>3411</v>
      </c>
      <c r="AC1066" s="744" t="s">
        <v>3412</v>
      </c>
      <c r="AD1066" s="744"/>
      <c r="AE1066" s="744"/>
      <c r="AF1066" s="744"/>
      <c r="AG1066" s="251" t="s">
        <v>283</v>
      </c>
    </row>
    <row r="1067" spans="1:33" ht="15.75" customHeight="1">
      <c r="A1067" s="743">
        <v>43095</v>
      </c>
      <c r="B1067" s="263" t="s">
        <v>3347</v>
      </c>
      <c r="C1067" s="744" t="s">
        <v>3312</v>
      </c>
      <c r="D1067" s="250" t="s">
        <v>3423</v>
      </c>
      <c r="E1067" s="250" t="s">
        <v>3349</v>
      </c>
      <c r="F1067" s="251">
        <v>100</v>
      </c>
      <c r="G1067" s="252">
        <v>174.5</v>
      </c>
      <c r="H1067" s="253">
        <f t="shared" si="119"/>
        <v>17450</v>
      </c>
      <c r="I1067" s="254" t="s">
        <v>3424</v>
      </c>
      <c r="J1067" s="267" t="s">
        <v>3350</v>
      </c>
      <c r="K1067" s="256">
        <v>43137</v>
      </c>
      <c r="L1067" s="256"/>
      <c r="M1067" s="256">
        <v>43133</v>
      </c>
      <c r="N1067" s="331" t="s">
        <v>3351</v>
      </c>
      <c r="O1067" s="308" t="s">
        <v>3425</v>
      </c>
      <c r="Q1067" s="266">
        <v>16590</v>
      </c>
      <c r="R1067" s="1394"/>
      <c r="S1067" s="1394"/>
      <c r="U1067" s="328"/>
      <c r="V1067" s="308" t="s">
        <v>3353</v>
      </c>
      <c r="W1067" s="328"/>
      <c r="X1067" s="750">
        <v>43138</v>
      </c>
      <c r="Y1067" s="250" t="s">
        <v>3426</v>
      </c>
      <c r="Z1067" s="753">
        <v>481028</v>
      </c>
      <c r="AA1067" s="748">
        <v>43130</v>
      </c>
      <c r="AB1067" s="250" t="s">
        <v>3427</v>
      </c>
      <c r="AC1067" s="761" t="s">
        <v>3428</v>
      </c>
      <c r="AD1067" s="744"/>
      <c r="AE1067" s="744"/>
      <c r="AF1067" s="744"/>
      <c r="AG1067" s="251" t="s">
        <v>283</v>
      </c>
    </row>
    <row r="1068" spans="1:33" ht="15.75" customHeight="1">
      <c r="A1068" s="743">
        <v>43095</v>
      </c>
      <c r="B1068" s="263" t="s">
        <v>415</v>
      </c>
      <c r="C1068" s="744" t="s">
        <v>3312</v>
      </c>
      <c r="D1068" s="250" t="s">
        <v>3429</v>
      </c>
      <c r="E1068" s="250" t="s">
        <v>3430</v>
      </c>
      <c r="F1068" s="251">
        <v>1</v>
      </c>
      <c r="G1068" s="252">
        <v>352</v>
      </c>
      <c r="H1068" s="253">
        <f t="shared" si="119"/>
        <v>352</v>
      </c>
      <c r="I1068" s="254" t="s">
        <v>419</v>
      </c>
      <c r="J1068" s="267" t="s">
        <v>3431</v>
      </c>
      <c r="K1068" s="256">
        <v>43132</v>
      </c>
      <c r="L1068" s="256"/>
      <c r="M1068" s="256">
        <v>43112</v>
      </c>
      <c r="N1068" s="331" t="s">
        <v>3432</v>
      </c>
      <c r="O1068" s="308" t="s">
        <v>3433</v>
      </c>
      <c r="Q1068" s="591"/>
      <c r="R1068" s="1406"/>
      <c r="S1068" s="1406"/>
      <c r="U1068" s="572">
        <v>10401</v>
      </c>
      <c r="V1068" s="308" t="s">
        <v>2045</v>
      </c>
      <c r="W1068" s="747">
        <v>43190</v>
      </c>
      <c r="X1068" s="748">
        <v>43105</v>
      </c>
      <c r="Y1068" s="744" t="s">
        <v>3434</v>
      </c>
      <c r="Z1068" s="751">
        <v>10401</v>
      </c>
      <c r="AA1068" s="748">
        <v>43188</v>
      </c>
      <c r="AB1068" s="744" t="s">
        <v>3435</v>
      </c>
      <c r="AC1068" s="744" t="s">
        <v>3436</v>
      </c>
      <c r="AD1068" s="744"/>
      <c r="AE1068" s="744"/>
      <c r="AF1068" s="744"/>
      <c r="AG1068" s="251" t="s">
        <v>283</v>
      </c>
    </row>
    <row r="1069" spans="1:33" ht="15.75" customHeight="1">
      <c r="A1069" s="743">
        <v>43095</v>
      </c>
      <c r="B1069" s="263" t="s">
        <v>415</v>
      </c>
      <c r="C1069" s="744" t="s">
        <v>3312</v>
      </c>
      <c r="D1069" s="250" t="s">
        <v>3429</v>
      </c>
      <c r="E1069" s="250" t="s">
        <v>3437</v>
      </c>
      <c r="F1069" s="251">
        <v>2</v>
      </c>
      <c r="G1069" s="252">
        <v>56</v>
      </c>
      <c r="H1069" s="253">
        <f t="shared" si="119"/>
        <v>112</v>
      </c>
      <c r="I1069" s="254" t="s">
        <v>419</v>
      </c>
      <c r="J1069" s="267" t="s">
        <v>3431</v>
      </c>
      <c r="K1069" s="256">
        <v>43132</v>
      </c>
      <c r="L1069" s="256"/>
      <c r="M1069" s="256">
        <v>43112</v>
      </c>
      <c r="N1069" s="251" t="s">
        <v>2051</v>
      </c>
      <c r="O1069" s="308" t="s">
        <v>3438</v>
      </c>
      <c r="Q1069" s="591"/>
      <c r="R1069" s="1406"/>
      <c r="S1069" s="1406"/>
      <c r="U1069" s="308">
        <v>2520</v>
      </c>
      <c r="V1069" s="597" t="s">
        <v>2053</v>
      </c>
      <c r="W1069" s="328"/>
      <c r="X1069" s="748">
        <v>43111</v>
      </c>
      <c r="Y1069" s="744" t="s">
        <v>3439</v>
      </c>
      <c r="Z1069" s="751">
        <v>2520</v>
      </c>
      <c r="AA1069" s="746"/>
      <c r="AB1069" s="744" t="s">
        <v>3435</v>
      </c>
      <c r="AC1069" s="744" t="s">
        <v>3436</v>
      </c>
      <c r="AD1069" s="744"/>
      <c r="AE1069" s="744"/>
      <c r="AF1069" s="744"/>
      <c r="AG1069" s="251" t="s">
        <v>283</v>
      </c>
    </row>
    <row r="1070" spans="1:33" ht="15.75" customHeight="1">
      <c r="A1070" s="743">
        <v>43095</v>
      </c>
      <c r="B1070" s="263" t="s">
        <v>118</v>
      </c>
      <c r="C1070" s="744" t="s">
        <v>3312</v>
      </c>
      <c r="D1070" s="250" t="s">
        <v>3440</v>
      </c>
      <c r="E1070" s="250" t="s">
        <v>3441</v>
      </c>
      <c r="F1070" s="251">
        <v>7</v>
      </c>
      <c r="G1070" s="252">
        <v>1020</v>
      </c>
      <c r="H1070" s="253">
        <f t="shared" si="119"/>
        <v>7140</v>
      </c>
      <c r="I1070" s="254" t="s">
        <v>419</v>
      </c>
      <c r="J1070" s="267" t="s">
        <v>3442</v>
      </c>
      <c r="K1070" s="256">
        <v>43143</v>
      </c>
      <c r="L1070" s="256"/>
      <c r="M1070" s="256">
        <v>43131</v>
      </c>
      <c r="N1070" s="331" t="s">
        <v>89</v>
      </c>
      <c r="O1070" s="308" t="s">
        <v>3443</v>
      </c>
      <c r="Q1070" s="266">
        <v>5880</v>
      </c>
      <c r="R1070" s="1394"/>
      <c r="S1070" s="1394"/>
      <c r="U1070" s="328"/>
      <c r="V1070" s="338" t="s">
        <v>93</v>
      </c>
      <c r="W1070" s="747">
        <v>43190</v>
      </c>
      <c r="X1070" s="748">
        <v>43131</v>
      </c>
      <c r="Y1070" s="744" t="s">
        <v>3444</v>
      </c>
      <c r="Z1070" s="749">
        <v>1356851</v>
      </c>
      <c r="AA1070" s="748">
        <v>43188</v>
      </c>
      <c r="AB1070" s="250" t="s">
        <v>3445</v>
      </c>
      <c r="AC1070" s="744" t="s">
        <v>3446</v>
      </c>
      <c r="AD1070" s="744"/>
      <c r="AE1070" s="744"/>
      <c r="AF1070" s="744"/>
      <c r="AG1070" s="251" t="s">
        <v>283</v>
      </c>
    </row>
    <row r="1071" spans="1:33" ht="15.75" customHeight="1">
      <c r="A1071" s="743">
        <v>43095</v>
      </c>
      <c r="B1071" s="263" t="s">
        <v>118</v>
      </c>
      <c r="C1071" s="744" t="s">
        <v>3312</v>
      </c>
      <c r="D1071" s="250" t="s">
        <v>3440</v>
      </c>
      <c r="E1071" s="250" t="s">
        <v>3447</v>
      </c>
      <c r="F1071" s="251">
        <v>60</v>
      </c>
      <c r="G1071" s="252">
        <v>370</v>
      </c>
      <c r="H1071" s="253">
        <f t="shared" si="119"/>
        <v>22200</v>
      </c>
      <c r="I1071" s="254" t="s">
        <v>419</v>
      </c>
      <c r="J1071" s="267" t="s">
        <v>3442</v>
      </c>
      <c r="K1071" s="256">
        <v>43143</v>
      </c>
      <c r="L1071" s="256"/>
      <c r="M1071" s="256">
        <v>43131</v>
      </c>
      <c r="N1071" s="331" t="s">
        <v>89</v>
      </c>
      <c r="O1071" s="308" t="s">
        <v>3443</v>
      </c>
      <c r="Q1071" s="266">
        <v>20916</v>
      </c>
      <c r="R1071" s="1394"/>
      <c r="S1071" s="1394"/>
      <c r="U1071" s="328"/>
      <c r="V1071" s="338" t="s">
        <v>93</v>
      </c>
      <c r="W1071" s="747">
        <v>43190</v>
      </c>
      <c r="X1071" s="748">
        <v>43131</v>
      </c>
      <c r="Y1071" s="744" t="s">
        <v>3444</v>
      </c>
      <c r="Z1071" s="744" t="s">
        <v>3448</v>
      </c>
      <c r="AA1071" s="748">
        <v>43188</v>
      </c>
      <c r="AB1071" s="250" t="s">
        <v>3445</v>
      </c>
      <c r="AC1071" s="744" t="s">
        <v>3446</v>
      </c>
      <c r="AD1071" s="744"/>
      <c r="AE1071" s="744"/>
      <c r="AF1071" s="744"/>
      <c r="AG1071" s="251" t="s">
        <v>283</v>
      </c>
    </row>
    <row r="1072" spans="1:33" ht="15.75" customHeight="1">
      <c r="A1072" s="743">
        <v>43095</v>
      </c>
      <c r="B1072" s="263" t="s">
        <v>118</v>
      </c>
      <c r="C1072" s="744" t="s">
        <v>3312</v>
      </c>
      <c r="D1072" s="250" t="s">
        <v>3440</v>
      </c>
      <c r="E1072" s="250" t="s">
        <v>3449</v>
      </c>
      <c r="F1072" s="251">
        <v>8</v>
      </c>
      <c r="G1072" s="252">
        <v>1045</v>
      </c>
      <c r="H1072" s="253">
        <f t="shared" si="119"/>
        <v>8360</v>
      </c>
      <c r="I1072" s="254" t="s">
        <v>419</v>
      </c>
      <c r="J1072" s="267" t="s">
        <v>3442</v>
      </c>
      <c r="K1072" s="256">
        <v>43143</v>
      </c>
      <c r="L1072" s="256"/>
      <c r="M1072" s="256">
        <v>43131</v>
      </c>
      <c r="N1072" s="331" t="s">
        <v>89</v>
      </c>
      <c r="O1072" s="308" t="s">
        <v>3443</v>
      </c>
      <c r="Q1072" s="266">
        <v>7728</v>
      </c>
      <c r="R1072" s="1394"/>
      <c r="S1072" s="1394"/>
      <c r="U1072" s="328"/>
      <c r="V1072" s="338" t="s">
        <v>93</v>
      </c>
      <c r="W1072" s="747">
        <v>43190</v>
      </c>
      <c r="X1072" s="748">
        <v>43131</v>
      </c>
      <c r="Y1072" s="744" t="s">
        <v>3444</v>
      </c>
      <c r="Z1072" s="744" t="s">
        <v>3448</v>
      </c>
      <c r="AA1072" s="748">
        <v>43188</v>
      </c>
      <c r="AB1072" s="250" t="s">
        <v>3445</v>
      </c>
      <c r="AC1072" s="744" t="s">
        <v>3446</v>
      </c>
      <c r="AD1072" s="744"/>
      <c r="AE1072" s="744"/>
      <c r="AF1072" s="744"/>
      <c r="AG1072" s="251" t="s">
        <v>283</v>
      </c>
    </row>
    <row r="1073" spans="1:33" ht="15.75" customHeight="1">
      <c r="A1073" s="743">
        <v>43095</v>
      </c>
      <c r="B1073" s="263" t="s">
        <v>118</v>
      </c>
      <c r="C1073" s="744" t="s">
        <v>3312</v>
      </c>
      <c r="D1073" s="250" t="s">
        <v>3440</v>
      </c>
      <c r="E1073" s="250" t="s">
        <v>3450</v>
      </c>
      <c r="F1073" s="251">
        <v>14</v>
      </c>
      <c r="G1073" s="252">
        <v>335</v>
      </c>
      <c r="H1073" s="253">
        <f t="shared" si="119"/>
        <v>4690</v>
      </c>
      <c r="I1073" s="254" t="s">
        <v>419</v>
      </c>
      <c r="J1073" s="267" t="s">
        <v>3442</v>
      </c>
      <c r="K1073" s="256">
        <v>43143</v>
      </c>
      <c r="L1073" s="256"/>
      <c r="M1073" s="256">
        <v>43131</v>
      </c>
      <c r="N1073" s="331" t="s">
        <v>89</v>
      </c>
      <c r="O1073" s="308" t="s">
        <v>3443</v>
      </c>
      <c r="Q1073" s="266">
        <v>4263</v>
      </c>
      <c r="R1073" s="1394"/>
      <c r="S1073" s="1394"/>
      <c r="U1073" s="328"/>
      <c r="V1073" s="338" t="s">
        <v>93</v>
      </c>
      <c r="W1073" s="747">
        <v>43190</v>
      </c>
      <c r="X1073" s="748">
        <v>43131</v>
      </c>
      <c r="Y1073" s="744" t="s">
        <v>3444</v>
      </c>
      <c r="Z1073" s="744" t="s">
        <v>3448</v>
      </c>
      <c r="AA1073" s="748">
        <v>43188</v>
      </c>
      <c r="AB1073" s="250" t="s">
        <v>3445</v>
      </c>
      <c r="AC1073" s="744" t="s">
        <v>3446</v>
      </c>
      <c r="AD1073" s="744"/>
      <c r="AE1073" s="744"/>
      <c r="AF1073" s="744"/>
      <c r="AG1073" s="251" t="s">
        <v>283</v>
      </c>
    </row>
    <row r="1074" spans="1:33" ht="15.75" customHeight="1">
      <c r="A1074" s="743">
        <v>43095</v>
      </c>
      <c r="B1074" s="263" t="s">
        <v>118</v>
      </c>
      <c r="C1074" s="744" t="s">
        <v>3312</v>
      </c>
      <c r="D1074" s="250" t="s">
        <v>3440</v>
      </c>
      <c r="E1074" s="250" t="s">
        <v>3451</v>
      </c>
      <c r="F1074" s="251">
        <v>13</v>
      </c>
      <c r="G1074" s="252">
        <v>500</v>
      </c>
      <c r="H1074" s="253">
        <f t="shared" si="119"/>
        <v>6500</v>
      </c>
      <c r="I1074" s="254" t="s">
        <v>419</v>
      </c>
      <c r="J1074" s="267" t="s">
        <v>3442</v>
      </c>
      <c r="K1074" s="256">
        <v>43143</v>
      </c>
      <c r="L1074" s="256"/>
      <c r="M1074" s="256">
        <v>43131</v>
      </c>
      <c r="N1074" s="331" t="s">
        <v>89</v>
      </c>
      <c r="O1074" s="308" t="s">
        <v>3443</v>
      </c>
      <c r="Q1074" s="266">
        <v>5801.25</v>
      </c>
      <c r="R1074" s="1394"/>
      <c r="S1074" s="1394"/>
      <c r="U1074" s="328"/>
      <c r="V1074" s="338" t="s">
        <v>93</v>
      </c>
      <c r="W1074" s="747">
        <v>43190</v>
      </c>
      <c r="X1074" s="748">
        <v>43131</v>
      </c>
      <c r="Y1074" s="744" t="s">
        <v>3444</v>
      </c>
      <c r="Z1074" s="744" t="s">
        <v>3448</v>
      </c>
      <c r="AA1074" s="748">
        <v>43188</v>
      </c>
      <c r="AB1074" s="250" t="s">
        <v>3445</v>
      </c>
      <c r="AC1074" s="744" t="s">
        <v>3446</v>
      </c>
      <c r="AD1074" s="744"/>
      <c r="AE1074" s="744"/>
      <c r="AF1074" s="744"/>
      <c r="AG1074" s="251" t="s">
        <v>283</v>
      </c>
    </row>
    <row r="1075" spans="1:33" ht="15.75" customHeight="1">
      <c r="A1075" s="743">
        <v>43095</v>
      </c>
      <c r="B1075" s="263" t="s">
        <v>118</v>
      </c>
      <c r="C1075" s="744" t="s">
        <v>3312</v>
      </c>
      <c r="D1075" s="250" t="s">
        <v>3440</v>
      </c>
      <c r="E1075" s="250" t="s">
        <v>3452</v>
      </c>
      <c r="F1075" s="251">
        <v>24</v>
      </c>
      <c r="G1075" s="252">
        <v>46</v>
      </c>
      <c r="H1075" s="253">
        <f t="shared" si="119"/>
        <v>1104</v>
      </c>
      <c r="I1075" s="254" t="s">
        <v>419</v>
      </c>
      <c r="J1075" s="267" t="s">
        <v>3442</v>
      </c>
      <c r="K1075" s="256">
        <v>43143</v>
      </c>
      <c r="L1075" s="256"/>
      <c r="M1075" s="256">
        <v>43131</v>
      </c>
      <c r="N1075" s="331" t="s">
        <v>89</v>
      </c>
      <c r="O1075" s="308" t="s">
        <v>3443</v>
      </c>
      <c r="Q1075" s="266">
        <v>957.6</v>
      </c>
      <c r="R1075" s="1394"/>
      <c r="S1075" s="1394"/>
      <c r="U1075" s="328"/>
      <c r="V1075" s="338" t="s">
        <v>93</v>
      </c>
      <c r="W1075" s="747">
        <v>43190</v>
      </c>
      <c r="X1075" s="748">
        <v>43131</v>
      </c>
      <c r="Y1075" s="744" t="s">
        <v>3444</v>
      </c>
      <c r="Z1075" s="744" t="s">
        <v>3448</v>
      </c>
      <c r="AA1075" s="748">
        <v>43188</v>
      </c>
      <c r="AB1075" s="250" t="s">
        <v>3445</v>
      </c>
      <c r="AC1075" s="744" t="s">
        <v>3446</v>
      </c>
      <c r="AD1075" s="744"/>
      <c r="AE1075" s="744"/>
      <c r="AF1075" s="744"/>
      <c r="AG1075" s="251" t="s">
        <v>283</v>
      </c>
    </row>
    <row r="1076" spans="1:33" ht="15.75" customHeight="1">
      <c r="A1076" s="743">
        <v>43095</v>
      </c>
      <c r="B1076" s="263" t="s">
        <v>118</v>
      </c>
      <c r="C1076" s="744" t="s">
        <v>3312</v>
      </c>
      <c r="D1076" s="250" t="s">
        <v>3440</v>
      </c>
      <c r="E1076" s="250" t="s">
        <v>3453</v>
      </c>
      <c r="F1076" s="251">
        <v>3</v>
      </c>
      <c r="G1076" s="252">
        <v>179</v>
      </c>
      <c r="H1076" s="253">
        <f t="shared" si="119"/>
        <v>537</v>
      </c>
      <c r="I1076" s="254" t="s">
        <v>419</v>
      </c>
      <c r="J1076" s="267" t="s">
        <v>3442</v>
      </c>
      <c r="K1076" s="256">
        <v>43143</v>
      </c>
      <c r="L1076" s="256"/>
      <c r="M1076" s="256">
        <v>43131</v>
      </c>
      <c r="N1076" s="331" t="s">
        <v>89</v>
      </c>
      <c r="O1076" s="308" t="s">
        <v>3443</v>
      </c>
      <c r="Q1076" s="266">
        <v>472.5</v>
      </c>
      <c r="R1076" s="1394"/>
      <c r="S1076" s="1394"/>
      <c r="U1076" s="328"/>
      <c r="V1076" s="338" t="s">
        <v>93</v>
      </c>
      <c r="W1076" s="747">
        <v>43190</v>
      </c>
      <c r="X1076" s="748">
        <v>43131</v>
      </c>
      <c r="Y1076" s="744" t="s">
        <v>3444</v>
      </c>
      <c r="Z1076" s="744" t="s">
        <v>3448</v>
      </c>
      <c r="AA1076" s="748">
        <v>43188</v>
      </c>
      <c r="AB1076" s="250" t="s">
        <v>3445</v>
      </c>
      <c r="AC1076" s="744" t="s">
        <v>3446</v>
      </c>
      <c r="AD1076" s="744"/>
      <c r="AE1076" s="744"/>
      <c r="AF1076" s="744"/>
      <c r="AG1076" s="251" t="s">
        <v>283</v>
      </c>
    </row>
    <row r="1077" spans="1:33" ht="15.75" customHeight="1">
      <c r="A1077" s="272">
        <v>43095</v>
      </c>
      <c r="B1077" s="762" t="s">
        <v>118</v>
      </c>
      <c r="C1077" s="744" t="s">
        <v>3312</v>
      </c>
      <c r="D1077" s="274" t="s">
        <v>3454</v>
      </c>
      <c r="E1077" s="274" t="s">
        <v>3455</v>
      </c>
      <c r="F1077" s="277">
        <v>2</v>
      </c>
      <c r="G1077" s="278">
        <v>1435</v>
      </c>
      <c r="H1077" s="287"/>
      <c r="I1077" s="280" t="s">
        <v>419</v>
      </c>
      <c r="J1077" s="763" t="s">
        <v>3442</v>
      </c>
      <c r="K1077" s="289">
        <v>43143</v>
      </c>
      <c r="L1077" s="289"/>
      <c r="M1077" s="289"/>
      <c r="N1077" s="281"/>
      <c r="O1077" s="764"/>
      <c r="Q1077" s="576"/>
      <c r="R1077" s="1408"/>
      <c r="S1077" s="1408"/>
      <c r="U1077" s="575"/>
      <c r="V1077" s="765"/>
      <c r="W1077" s="575"/>
      <c r="X1077" s="766"/>
      <c r="Y1077" s="766"/>
      <c r="Z1077" s="766"/>
      <c r="AA1077" s="767"/>
      <c r="AB1077" s="250"/>
      <c r="AC1077" s="744"/>
      <c r="AD1077" s="768"/>
      <c r="AE1077" s="768"/>
      <c r="AF1077" s="768"/>
      <c r="AG1077" s="251" t="s">
        <v>3456</v>
      </c>
    </row>
    <row r="1078" spans="1:33" ht="15.75" customHeight="1">
      <c r="A1078" s="743">
        <v>43095</v>
      </c>
      <c r="B1078" s="263" t="s">
        <v>118</v>
      </c>
      <c r="C1078" s="744" t="s">
        <v>3312</v>
      </c>
      <c r="D1078" s="250" t="s">
        <v>3440</v>
      </c>
      <c r="E1078" s="250" t="s">
        <v>3457</v>
      </c>
      <c r="F1078" s="251">
        <v>100</v>
      </c>
      <c r="G1078" s="252">
        <v>105</v>
      </c>
      <c r="H1078" s="253">
        <f t="shared" ref="H1078:H1086" si="120">G1078*F1078</f>
        <v>10500</v>
      </c>
      <c r="I1078" s="254" t="s">
        <v>419</v>
      </c>
      <c r="J1078" s="267" t="s">
        <v>3442</v>
      </c>
      <c r="K1078" s="256">
        <v>43143</v>
      </c>
      <c r="L1078" s="256"/>
      <c r="M1078" s="256">
        <v>43131</v>
      </c>
      <c r="N1078" s="331" t="s">
        <v>89</v>
      </c>
      <c r="O1078" s="308" t="s">
        <v>3458</v>
      </c>
      <c r="Q1078" s="266">
        <v>8610</v>
      </c>
      <c r="R1078" s="1394"/>
      <c r="S1078" s="1394"/>
      <c r="U1078" s="589"/>
      <c r="V1078" s="338" t="s">
        <v>93</v>
      </c>
      <c r="W1078" s="747">
        <v>43190</v>
      </c>
      <c r="X1078" s="748">
        <v>43131</v>
      </c>
      <c r="Y1078" s="744" t="s">
        <v>3459</v>
      </c>
      <c r="Z1078" s="751">
        <v>253866</v>
      </c>
      <c r="AA1078" s="750">
        <v>43167</v>
      </c>
      <c r="AB1078" s="250" t="s">
        <v>3445</v>
      </c>
      <c r="AC1078" s="744" t="s">
        <v>3446</v>
      </c>
      <c r="AD1078" s="744"/>
      <c r="AE1078" s="744"/>
      <c r="AF1078" s="744"/>
      <c r="AG1078" s="251" t="s">
        <v>283</v>
      </c>
    </row>
    <row r="1079" spans="1:33" ht="15.75" customHeight="1">
      <c r="A1079" s="743">
        <v>43097</v>
      </c>
      <c r="B1079" s="590" t="s">
        <v>405</v>
      </c>
      <c r="C1079" s="744" t="s">
        <v>3312</v>
      </c>
      <c r="D1079" s="250" t="s">
        <v>3460</v>
      </c>
      <c r="E1079" s="250" t="s">
        <v>3461</v>
      </c>
      <c r="F1079" s="251">
        <v>2</v>
      </c>
      <c r="G1079" s="252">
        <v>129</v>
      </c>
      <c r="H1079" s="253">
        <f t="shared" si="120"/>
        <v>258</v>
      </c>
      <c r="I1079" s="254" t="s">
        <v>42</v>
      </c>
      <c r="J1079" s="756" t="s">
        <v>3462</v>
      </c>
      <c r="K1079" s="256">
        <v>43104</v>
      </c>
      <c r="L1079" s="256"/>
      <c r="M1079" s="256">
        <v>43103</v>
      </c>
      <c r="N1079" s="331" t="s">
        <v>3432</v>
      </c>
      <c r="O1079" s="308" t="s">
        <v>3463</v>
      </c>
      <c r="Q1079" s="769"/>
      <c r="R1079" s="1409"/>
      <c r="S1079" s="1409"/>
      <c r="U1079" s="572">
        <v>7520</v>
      </c>
      <c r="V1079" s="308" t="s">
        <v>2045</v>
      </c>
      <c r="W1079" s="747">
        <v>43190</v>
      </c>
      <c r="X1079" s="748">
        <v>43102</v>
      </c>
      <c r="Y1079" s="744" t="s">
        <v>3464</v>
      </c>
      <c r="Z1079" s="751">
        <v>7520</v>
      </c>
      <c r="AA1079" s="748">
        <v>43188</v>
      </c>
      <c r="AB1079" s="250" t="s">
        <v>3465</v>
      </c>
      <c r="AC1079" s="744">
        <v>7972488845</v>
      </c>
      <c r="AD1079" s="744"/>
      <c r="AE1079" s="744"/>
      <c r="AF1079" s="744"/>
      <c r="AG1079" s="251" t="s">
        <v>283</v>
      </c>
    </row>
    <row r="1080" spans="1:33" ht="15.75" customHeight="1">
      <c r="A1080" s="743">
        <v>43097</v>
      </c>
      <c r="B1080" s="263" t="s">
        <v>619</v>
      </c>
      <c r="C1080" s="744" t="s">
        <v>3312</v>
      </c>
      <c r="D1080" s="250" t="s">
        <v>3466</v>
      </c>
      <c r="E1080" s="250" t="s">
        <v>3467</v>
      </c>
      <c r="F1080" s="251">
        <v>2</v>
      </c>
      <c r="G1080" s="252">
        <f>183*1.05</f>
        <v>192.15</v>
      </c>
      <c r="H1080" s="253">
        <f t="shared" si="120"/>
        <v>384.3</v>
      </c>
      <c r="I1080" s="254" t="s">
        <v>3315</v>
      </c>
      <c r="J1080" s="267" t="s">
        <v>232</v>
      </c>
      <c r="K1080" s="256">
        <v>43111</v>
      </c>
      <c r="L1080" s="256"/>
      <c r="M1080" s="256">
        <v>43111</v>
      </c>
      <c r="N1080" s="331" t="s">
        <v>89</v>
      </c>
      <c r="O1080" s="308" t="s">
        <v>3468</v>
      </c>
      <c r="Q1080" s="266">
        <v>357</v>
      </c>
      <c r="R1080" s="1394"/>
      <c r="S1080" s="1394"/>
      <c r="U1080" s="328"/>
      <c r="V1080" s="338" t="s">
        <v>93</v>
      </c>
      <c r="W1080" s="747">
        <v>43159</v>
      </c>
      <c r="X1080" s="748">
        <v>43112</v>
      </c>
      <c r="Y1080" s="744" t="s">
        <v>3469</v>
      </c>
      <c r="Z1080" s="749">
        <v>10514</v>
      </c>
      <c r="AA1080" s="750">
        <v>43164</v>
      </c>
      <c r="AB1080" s="744" t="s">
        <v>3470</v>
      </c>
      <c r="AC1080" s="744"/>
      <c r="AD1080" s="744" t="s">
        <v>3471</v>
      </c>
      <c r="AE1080" s="751">
        <v>11366</v>
      </c>
      <c r="AF1080" s="744" t="s">
        <v>3472</v>
      </c>
      <c r="AG1080" s="251" t="s">
        <v>376</v>
      </c>
    </row>
    <row r="1081" spans="1:33" ht="15.75" customHeight="1">
      <c r="A1081" s="743">
        <v>43102</v>
      </c>
      <c r="B1081" s="263" t="s">
        <v>228</v>
      </c>
      <c r="C1081" s="744" t="s">
        <v>3312</v>
      </c>
      <c r="D1081" s="250" t="s">
        <v>3473</v>
      </c>
      <c r="E1081" s="250" t="s">
        <v>461</v>
      </c>
      <c r="F1081" s="251">
        <v>32</v>
      </c>
      <c r="G1081" s="252">
        <v>407.4</v>
      </c>
      <c r="H1081" s="253">
        <f t="shared" si="120"/>
        <v>13036.8</v>
      </c>
      <c r="I1081" s="254" t="s">
        <v>170</v>
      </c>
      <c r="J1081" s="267" t="s">
        <v>232</v>
      </c>
      <c r="K1081" s="256">
        <v>43118</v>
      </c>
      <c r="L1081" s="256"/>
      <c r="M1081" s="256">
        <v>43118</v>
      </c>
      <c r="N1081" s="331" t="s">
        <v>89</v>
      </c>
      <c r="O1081" s="308" t="s">
        <v>3474</v>
      </c>
      <c r="Q1081" s="266">
        <v>11928</v>
      </c>
      <c r="R1081" s="1394"/>
      <c r="S1081" s="1394"/>
      <c r="U1081" s="328"/>
      <c r="V1081" s="338" t="s">
        <v>93</v>
      </c>
      <c r="W1081" s="328"/>
      <c r="X1081" s="748">
        <v>43118</v>
      </c>
      <c r="Y1081" s="749" t="s">
        <v>3475</v>
      </c>
      <c r="Z1081" s="749">
        <v>351280</v>
      </c>
      <c r="AA1081" s="748">
        <v>43126</v>
      </c>
      <c r="AB1081" s="744" t="s">
        <v>3476</v>
      </c>
      <c r="AC1081" s="744"/>
      <c r="AD1081" s="744" t="s">
        <v>3477</v>
      </c>
      <c r="AE1081" s="751">
        <v>385107</v>
      </c>
      <c r="AF1081" s="744" t="s">
        <v>3478</v>
      </c>
      <c r="AG1081" s="251" t="s">
        <v>376</v>
      </c>
    </row>
    <row r="1082" spans="1:33" ht="15.75" customHeight="1">
      <c r="A1082" s="743">
        <v>43102</v>
      </c>
      <c r="B1082" s="263" t="s">
        <v>3479</v>
      </c>
      <c r="C1082" s="744" t="s">
        <v>3312</v>
      </c>
      <c r="D1082" s="250" t="s">
        <v>3480</v>
      </c>
      <c r="E1082" s="250" t="s">
        <v>3481</v>
      </c>
      <c r="F1082" s="251">
        <v>15</v>
      </c>
      <c r="G1082" s="252">
        <v>281</v>
      </c>
      <c r="H1082" s="253">
        <f t="shared" si="120"/>
        <v>4215</v>
      </c>
      <c r="I1082" s="254" t="s">
        <v>3315</v>
      </c>
      <c r="J1082" s="267" t="s">
        <v>3116</v>
      </c>
      <c r="K1082" s="256">
        <v>43137</v>
      </c>
      <c r="L1082" s="256"/>
      <c r="M1082" s="256">
        <v>43137</v>
      </c>
      <c r="N1082" s="331" t="s">
        <v>3482</v>
      </c>
      <c r="O1082" s="250" t="s">
        <v>3483</v>
      </c>
      <c r="Q1082" s="266">
        <v>4142.25</v>
      </c>
      <c r="R1082" s="1394"/>
      <c r="S1082" s="1394"/>
      <c r="U1082" s="328"/>
      <c r="V1082" s="318" t="s">
        <v>2003</v>
      </c>
      <c r="W1082" s="747">
        <v>43195</v>
      </c>
      <c r="X1082" s="748">
        <v>43136</v>
      </c>
      <c r="Y1082" s="744" t="s">
        <v>3484</v>
      </c>
      <c r="Z1082" s="749">
        <v>206872</v>
      </c>
      <c r="AA1082" s="748">
        <v>43199</v>
      </c>
      <c r="AB1082" s="744" t="s">
        <v>3485</v>
      </c>
      <c r="AC1082" s="744" t="s">
        <v>3486</v>
      </c>
      <c r="AD1082" s="744"/>
      <c r="AE1082" s="744"/>
      <c r="AF1082" s="744"/>
      <c r="AG1082" s="251" t="s">
        <v>283</v>
      </c>
    </row>
    <row r="1083" spans="1:33" ht="15.75" customHeight="1">
      <c r="A1083" s="743">
        <v>43102</v>
      </c>
      <c r="B1083" s="263" t="s">
        <v>3479</v>
      </c>
      <c r="C1083" s="744" t="s">
        <v>3312</v>
      </c>
      <c r="D1083" s="250" t="s">
        <v>3480</v>
      </c>
      <c r="E1083" s="250" t="s">
        <v>3487</v>
      </c>
      <c r="F1083" s="251">
        <v>30</v>
      </c>
      <c r="G1083" s="252">
        <v>102</v>
      </c>
      <c r="H1083" s="253">
        <f t="shared" si="120"/>
        <v>3060</v>
      </c>
      <c r="I1083" s="254" t="s">
        <v>3315</v>
      </c>
      <c r="J1083" s="267" t="s">
        <v>3116</v>
      </c>
      <c r="K1083" s="256">
        <v>43137</v>
      </c>
      <c r="L1083" s="256"/>
      <c r="M1083" s="256">
        <v>43137</v>
      </c>
      <c r="N1083" s="331" t="s">
        <v>2001</v>
      </c>
      <c r="O1083" s="250" t="s">
        <v>3483</v>
      </c>
      <c r="Q1083" s="266">
        <v>2992.5</v>
      </c>
      <c r="R1083" s="1394"/>
      <c r="S1083" s="1394"/>
      <c r="U1083" s="328"/>
      <c r="V1083" s="318" t="s">
        <v>2003</v>
      </c>
      <c r="W1083" s="747">
        <v>43195</v>
      </c>
      <c r="X1083" s="748">
        <v>43136</v>
      </c>
      <c r="Y1083" s="744" t="s">
        <v>3484</v>
      </c>
      <c r="Z1083" s="744" t="s">
        <v>3488</v>
      </c>
      <c r="AA1083" s="748">
        <v>43199</v>
      </c>
      <c r="AB1083" s="744" t="s">
        <v>3485</v>
      </c>
      <c r="AC1083" s="744" t="s">
        <v>3486</v>
      </c>
      <c r="AD1083" s="744"/>
      <c r="AE1083" s="744"/>
      <c r="AF1083" s="744"/>
      <c r="AG1083" s="251" t="s">
        <v>283</v>
      </c>
    </row>
    <row r="1084" spans="1:33" ht="15.75" customHeight="1">
      <c r="A1084" s="743">
        <v>43103</v>
      </c>
      <c r="B1084" s="590" t="s">
        <v>405</v>
      </c>
      <c r="C1084" s="744" t="s">
        <v>3312</v>
      </c>
      <c r="D1084" s="250" t="s">
        <v>3489</v>
      </c>
      <c r="E1084" s="250" t="s">
        <v>3490</v>
      </c>
      <c r="F1084" s="251">
        <v>1</v>
      </c>
      <c r="G1084" s="252">
        <v>397</v>
      </c>
      <c r="H1084" s="253">
        <f t="shared" si="120"/>
        <v>397</v>
      </c>
      <c r="I1084" s="254" t="s">
        <v>42</v>
      </c>
      <c r="J1084" s="756" t="s">
        <v>3462</v>
      </c>
      <c r="K1084" s="256">
        <v>43110</v>
      </c>
      <c r="L1084" s="256"/>
      <c r="M1084" s="256">
        <v>43108</v>
      </c>
      <c r="N1084" s="331" t="s">
        <v>3432</v>
      </c>
      <c r="O1084" s="308" t="s">
        <v>3491</v>
      </c>
      <c r="Q1084" s="591"/>
      <c r="R1084" s="1406"/>
      <c r="S1084" s="1406"/>
      <c r="U1084" s="572">
        <v>11599</v>
      </c>
      <c r="V1084" s="308" t="s">
        <v>2045</v>
      </c>
      <c r="W1084" s="747">
        <v>43190</v>
      </c>
      <c r="X1084" s="748">
        <v>43105</v>
      </c>
      <c r="Y1084" s="744" t="s">
        <v>3492</v>
      </c>
      <c r="Z1084" s="751">
        <v>11599</v>
      </c>
      <c r="AA1084" s="748">
        <v>43188</v>
      </c>
      <c r="AB1084" s="250" t="s">
        <v>3493</v>
      </c>
      <c r="AC1084" s="744">
        <v>1337859946</v>
      </c>
      <c r="AD1084" s="744"/>
      <c r="AE1084" s="744"/>
      <c r="AF1084" s="744"/>
      <c r="AG1084" s="251" t="s">
        <v>283</v>
      </c>
    </row>
    <row r="1085" spans="1:33" ht="15.75" customHeight="1">
      <c r="A1085" s="743">
        <v>43103</v>
      </c>
      <c r="B1085" s="263" t="s">
        <v>577</v>
      </c>
      <c r="C1085" s="744" t="s">
        <v>3312</v>
      </c>
      <c r="D1085" s="250" t="s">
        <v>3494</v>
      </c>
      <c r="E1085" s="250" t="s">
        <v>579</v>
      </c>
      <c r="F1085" s="251">
        <v>80</v>
      </c>
      <c r="G1085" s="252">
        <v>94.5</v>
      </c>
      <c r="H1085" s="253">
        <f t="shared" si="120"/>
        <v>7560</v>
      </c>
      <c r="I1085" s="254" t="s">
        <v>170</v>
      </c>
      <c r="J1085" s="331" t="s">
        <v>580</v>
      </c>
      <c r="K1085" s="256">
        <v>43119</v>
      </c>
      <c r="L1085" s="256"/>
      <c r="M1085" s="256">
        <v>43119</v>
      </c>
      <c r="N1085" s="331" t="s">
        <v>1414</v>
      </c>
      <c r="O1085" s="308" t="s">
        <v>3495</v>
      </c>
      <c r="Q1085" s="591"/>
      <c r="R1085" s="1406"/>
      <c r="S1085" s="1406"/>
      <c r="U1085" s="572">
        <v>199013</v>
      </c>
      <c r="V1085" s="308" t="s">
        <v>1947</v>
      </c>
      <c r="W1085" s="747">
        <v>43164</v>
      </c>
      <c r="X1085" s="748">
        <v>43119</v>
      </c>
      <c r="Y1085" s="744" t="s">
        <v>3496</v>
      </c>
      <c r="Z1085" s="751">
        <v>199013</v>
      </c>
      <c r="AA1085" s="748">
        <v>43165</v>
      </c>
      <c r="AB1085" s="744" t="s">
        <v>3497</v>
      </c>
      <c r="AC1085" s="744"/>
      <c r="AD1085" s="744" t="s">
        <v>3498</v>
      </c>
      <c r="AE1085" s="751">
        <v>226800</v>
      </c>
      <c r="AF1085" s="744" t="s">
        <v>3499</v>
      </c>
      <c r="AG1085" s="251" t="s">
        <v>376</v>
      </c>
    </row>
    <row r="1086" spans="1:33" ht="15.75" customHeight="1">
      <c r="A1086" s="743">
        <v>43103</v>
      </c>
      <c r="B1086" s="263" t="s">
        <v>100</v>
      </c>
      <c r="C1086" s="744" t="s">
        <v>3312</v>
      </c>
      <c r="D1086" s="250" t="s">
        <v>3500</v>
      </c>
      <c r="E1086" s="250" t="s">
        <v>3501</v>
      </c>
      <c r="F1086" s="251">
        <v>2</v>
      </c>
      <c r="G1086" s="252">
        <v>9</v>
      </c>
      <c r="H1086" s="253">
        <f t="shared" si="120"/>
        <v>18</v>
      </c>
      <c r="I1086" s="254" t="s">
        <v>3315</v>
      </c>
      <c r="J1086" s="267" t="s">
        <v>3502</v>
      </c>
      <c r="K1086" s="256">
        <v>43111</v>
      </c>
      <c r="L1086" s="256"/>
      <c r="M1086" s="256">
        <v>43110</v>
      </c>
      <c r="N1086" s="331" t="s">
        <v>1995</v>
      </c>
      <c r="O1086" s="308" t="s">
        <v>3503</v>
      </c>
      <c r="Q1086" s="591"/>
      <c r="R1086" s="1406"/>
      <c r="S1086" s="1406"/>
      <c r="U1086" s="308">
        <v>498</v>
      </c>
      <c r="V1086" s="338" t="s">
        <v>1997</v>
      </c>
      <c r="W1086" s="747">
        <v>43164</v>
      </c>
      <c r="X1086" s="748">
        <v>43109</v>
      </c>
      <c r="Y1086" s="250" t="s">
        <v>3504</v>
      </c>
      <c r="Z1086" s="250">
        <v>498</v>
      </c>
      <c r="AA1086" s="750">
        <v>43164</v>
      </c>
      <c r="AB1086" s="250" t="s">
        <v>3505</v>
      </c>
      <c r="AC1086" s="744" t="s">
        <v>3506</v>
      </c>
      <c r="AD1086" s="744"/>
      <c r="AE1086" s="744"/>
      <c r="AF1086" s="744"/>
      <c r="AG1086" s="251" t="s">
        <v>283</v>
      </c>
    </row>
    <row r="1087" spans="1:33" ht="15.75" customHeight="1">
      <c r="A1087" s="743">
        <v>43103</v>
      </c>
      <c r="B1087" s="263" t="s">
        <v>100</v>
      </c>
      <c r="C1087" s="744" t="s">
        <v>3312</v>
      </c>
      <c r="D1087" s="250" t="s">
        <v>3500</v>
      </c>
      <c r="E1087" s="250" t="s">
        <v>3507</v>
      </c>
      <c r="F1087" s="251">
        <v>1</v>
      </c>
      <c r="G1087" s="252">
        <v>40</v>
      </c>
      <c r="H1087" s="253">
        <v>40</v>
      </c>
      <c r="I1087" s="254" t="s">
        <v>3315</v>
      </c>
      <c r="J1087" s="267" t="s">
        <v>3502</v>
      </c>
      <c r="K1087" s="256">
        <v>43111</v>
      </c>
      <c r="L1087" s="256"/>
      <c r="M1087" s="256"/>
      <c r="N1087" s="331" t="s">
        <v>3502</v>
      </c>
      <c r="O1087" s="308"/>
      <c r="Q1087" s="591"/>
      <c r="R1087" s="1406"/>
      <c r="S1087" s="1406"/>
      <c r="U1087" s="770">
        <v>1110</v>
      </c>
      <c r="V1087" s="308" t="s">
        <v>3508</v>
      </c>
      <c r="W1087" s="328"/>
      <c r="X1087" s="745"/>
      <c r="Y1087" s="745"/>
      <c r="Z1087" s="745"/>
      <c r="AA1087" s="746"/>
      <c r="AB1087" s="745"/>
      <c r="AC1087" s="744"/>
      <c r="AD1087" s="744"/>
      <c r="AE1087" s="744"/>
      <c r="AF1087" s="744"/>
      <c r="AG1087" s="251" t="s">
        <v>283</v>
      </c>
    </row>
    <row r="1088" spans="1:33" ht="15.75" customHeight="1">
      <c r="A1088" s="743">
        <v>43104</v>
      </c>
      <c r="B1088" s="590" t="s">
        <v>405</v>
      </c>
      <c r="C1088" s="744" t="s">
        <v>3312</v>
      </c>
      <c r="D1088" s="250" t="s">
        <v>3509</v>
      </c>
      <c r="E1088" s="250" t="s">
        <v>3510</v>
      </c>
      <c r="F1088" s="251">
        <v>2</v>
      </c>
      <c r="G1088" s="252">
        <v>145</v>
      </c>
      <c r="H1088" s="253">
        <f t="shared" ref="H1088:H1121" si="121">G1088*F1088</f>
        <v>290</v>
      </c>
      <c r="I1088" s="254" t="s">
        <v>42</v>
      </c>
      <c r="J1088" s="756" t="s">
        <v>3462</v>
      </c>
      <c r="K1088" s="256">
        <v>43110</v>
      </c>
      <c r="L1088" s="256"/>
      <c r="M1088" s="256">
        <v>43110</v>
      </c>
      <c r="N1088" s="331" t="s">
        <v>3432</v>
      </c>
      <c r="O1088" s="308" t="s">
        <v>3511</v>
      </c>
      <c r="Q1088" s="591"/>
      <c r="R1088" s="1406"/>
      <c r="S1088" s="1406"/>
      <c r="U1088" s="572">
        <v>8232</v>
      </c>
      <c r="V1088" s="308" t="s">
        <v>2045</v>
      </c>
      <c r="W1088" s="747">
        <v>43190</v>
      </c>
      <c r="X1088" s="748">
        <v>43109</v>
      </c>
      <c r="Y1088" s="744" t="s">
        <v>3512</v>
      </c>
      <c r="Z1088" s="751">
        <v>25232</v>
      </c>
      <c r="AA1088" s="748">
        <v>43188</v>
      </c>
      <c r="AB1088" s="250" t="s">
        <v>3493</v>
      </c>
      <c r="AC1088" s="744">
        <v>1337859946</v>
      </c>
      <c r="AD1088" s="744"/>
      <c r="AE1088" s="744"/>
      <c r="AF1088" s="744"/>
      <c r="AG1088" s="251" t="s">
        <v>283</v>
      </c>
    </row>
    <row r="1089" spans="1:33" ht="15.75" customHeight="1">
      <c r="A1089" s="743">
        <v>43104</v>
      </c>
      <c r="B1089" s="590" t="s">
        <v>405</v>
      </c>
      <c r="C1089" s="744" t="s">
        <v>3312</v>
      </c>
      <c r="D1089" s="250" t="s">
        <v>3509</v>
      </c>
      <c r="E1089" s="250" t="s">
        <v>3513</v>
      </c>
      <c r="F1089" s="251">
        <v>5</v>
      </c>
      <c r="G1089" s="252">
        <v>73</v>
      </c>
      <c r="H1089" s="253">
        <f t="shared" si="121"/>
        <v>365</v>
      </c>
      <c r="I1089" s="254" t="s">
        <v>42</v>
      </c>
      <c r="J1089" s="756" t="s">
        <v>3462</v>
      </c>
      <c r="K1089" s="256">
        <v>43110</v>
      </c>
      <c r="L1089" s="256"/>
      <c r="M1089" s="256">
        <v>43110</v>
      </c>
      <c r="N1089" s="331" t="s">
        <v>3432</v>
      </c>
      <c r="O1089" s="308" t="s">
        <v>3511</v>
      </c>
      <c r="Q1089" s="591"/>
      <c r="R1089" s="1406"/>
      <c r="S1089" s="1406"/>
      <c r="U1089" s="572">
        <v>10290</v>
      </c>
      <c r="V1089" s="308" t="s">
        <v>2045</v>
      </c>
      <c r="W1089" s="747">
        <v>43190</v>
      </c>
      <c r="X1089" s="748">
        <v>43109</v>
      </c>
      <c r="Y1089" s="744" t="s">
        <v>3512</v>
      </c>
      <c r="Z1089" s="744" t="s">
        <v>3514</v>
      </c>
      <c r="AA1089" s="748">
        <v>43188</v>
      </c>
      <c r="AB1089" s="250" t="s">
        <v>3493</v>
      </c>
      <c r="AC1089" s="744">
        <v>1337859946</v>
      </c>
      <c r="AD1089" s="744"/>
      <c r="AE1089" s="744"/>
      <c r="AF1089" s="744"/>
      <c r="AG1089" s="251" t="s">
        <v>283</v>
      </c>
    </row>
    <row r="1090" spans="1:33" ht="15.75" customHeight="1">
      <c r="A1090" s="743">
        <v>43104</v>
      </c>
      <c r="B1090" s="590" t="s">
        <v>405</v>
      </c>
      <c r="C1090" s="744" t="s">
        <v>3312</v>
      </c>
      <c r="D1090" s="250" t="s">
        <v>3509</v>
      </c>
      <c r="E1090" s="250" t="s">
        <v>3515</v>
      </c>
      <c r="F1090" s="251">
        <v>5</v>
      </c>
      <c r="G1090" s="252">
        <v>48</v>
      </c>
      <c r="H1090" s="253">
        <f t="shared" si="121"/>
        <v>240</v>
      </c>
      <c r="I1090" s="254" t="s">
        <v>42</v>
      </c>
      <c r="J1090" s="756" t="s">
        <v>3462</v>
      </c>
      <c r="K1090" s="256">
        <v>43110</v>
      </c>
      <c r="L1090" s="256"/>
      <c r="M1090" s="256">
        <v>43110</v>
      </c>
      <c r="N1090" s="331" t="s">
        <v>3432</v>
      </c>
      <c r="O1090" s="308" t="s">
        <v>3511</v>
      </c>
      <c r="Q1090" s="591"/>
      <c r="R1090" s="1406"/>
      <c r="S1090" s="1406"/>
      <c r="U1090" s="572">
        <v>6710</v>
      </c>
      <c r="V1090" s="308" t="s">
        <v>2045</v>
      </c>
      <c r="W1090" s="747">
        <v>43190</v>
      </c>
      <c r="X1090" s="748">
        <v>43109</v>
      </c>
      <c r="Y1090" s="744" t="s">
        <v>3512</v>
      </c>
      <c r="Z1090" s="744" t="s">
        <v>3514</v>
      </c>
      <c r="AA1090" s="748">
        <v>43188</v>
      </c>
      <c r="AB1090" s="250" t="s">
        <v>3493</v>
      </c>
      <c r="AC1090" s="744">
        <v>1337859946</v>
      </c>
      <c r="AD1090" s="744"/>
      <c r="AE1090" s="744"/>
      <c r="AF1090" s="744"/>
      <c r="AG1090" s="251" t="s">
        <v>283</v>
      </c>
    </row>
    <row r="1091" spans="1:33" ht="15.75" customHeight="1">
      <c r="A1091" s="743">
        <v>43105</v>
      </c>
      <c r="B1091" s="263" t="s">
        <v>3516</v>
      </c>
      <c r="C1091" s="744" t="s">
        <v>3312</v>
      </c>
      <c r="D1091" s="250" t="s">
        <v>3517</v>
      </c>
      <c r="E1091" s="250" t="s">
        <v>3518</v>
      </c>
      <c r="F1091" s="251">
        <v>1</v>
      </c>
      <c r="G1091" s="252">
        <v>209</v>
      </c>
      <c r="H1091" s="253">
        <f t="shared" si="121"/>
        <v>209</v>
      </c>
      <c r="I1091" s="254" t="s">
        <v>3315</v>
      </c>
      <c r="J1091" s="267" t="s">
        <v>3519</v>
      </c>
      <c r="K1091" s="256">
        <v>43129</v>
      </c>
      <c r="L1091" s="256"/>
      <c r="M1091" s="256">
        <v>43125</v>
      </c>
      <c r="N1091" s="331" t="s">
        <v>2008</v>
      </c>
      <c r="O1091" s="308" t="s">
        <v>3520</v>
      </c>
      <c r="Q1091" s="266">
        <v>197.4</v>
      </c>
      <c r="R1091" s="1394"/>
      <c r="S1091" s="1394"/>
      <c r="U1091" s="328"/>
      <c r="V1091" s="308" t="s">
        <v>2010</v>
      </c>
      <c r="W1091" s="747">
        <v>43139</v>
      </c>
      <c r="X1091" s="748">
        <v>43125</v>
      </c>
      <c r="Y1091" s="744" t="s">
        <v>3521</v>
      </c>
      <c r="Z1091" s="751">
        <v>30417</v>
      </c>
      <c r="AA1091" s="748">
        <v>43138</v>
      </c>
      <c r="AB1091" s="250" t="s">
        <v>3522</v>
      </c>
      <c r="AC1091" s="744">
        <v>771342552913</v>
      </c>
      <c r="AD1091" s="744"/>
      <c r="AE1091" s="744"/>
      <c r="AF1091" s="744"/>
      <c r="AG1091" s="251" t="s">
        <v>283</v>
      </c>
    </row>
    <row r="1092" spans="1:33" ht="15.75" customHeight="1">
      <c r="A1092" s="743">
        <v>43105</v>
      </c>
      <c r="B1092" s="263" t="s">
        <v>3516</v>
      </c>
      <c r="C1092" s="744" t="s">
        <v>3312</v>
      </c>
      <c r="D1092" s="250" t="s">
        <v>3517</v>
      </c>
      <c r="E1092" s="250" t="s">
        <v>3523</v>
      </c>
      <c r="F1092" s="251">
        <v>1</v>
      </c>
      <c r="G1092" s="252">
        <v>276</v>
      </c>
      <c r="H1092" s="253">
        <f t="shared" si="121"/>
        <v>276</v>
      </c>
      <c r="I1092" s="254" t="s">
        <v>3315</v>
      </c>
      <c r="J1092" s="267" t="s">
        <v>3519</v>
      </c>
      <c r="K1092" s="256">
        <v>43129</v>
      </c>
      <c r="L1092" s="256"/>
      <c r="M1092" s="256">
        <v>43126</v>
      </c>
      <c r="N1092" s="331" t="s">
        <v>2008</v>
      </c>
      <c r="O1092" s="308" t="s">
        <v>3520</v>
      </c>
      <c r="Q1092" s="266">
        <v>260.39999999999998</v>
      </c>
      <c r="R1092" s="1394"/>
      <c r="S1092" s="1394"/>
      <c r="U1092" s="328"/>
      <c r="V1092" s="308" t="s">
        <v>2010</v>
      </c>
      <c r="W1092" s="747">
        <v>43139</v>
      </c>
      <c r="X1092" s="748">
        <v>43125</v>
      </c>
      <c r="Y1092" s="744" t="s">
        <v>3524</v>
      </c>
      <c r="Z1092" s="751">
        <v>7627</v>
      </c>
      <c r="AA1092" s="748">
        <v>43138</v>
      </c>
      <c r="AB1092" s="250" t="s">
        <v>3522</v>
      </c>
      <c r="AC1092" s="744">
        <v>771342552913</v>
      </c>
      <c r="AD1092" s="744"/>
      <c r="AE1092" s="744"/>
      <c r="AF1092" s="744"/>
      <c r="AG1092" s="251" t="s">
        <v>283</v>
      </c>
    </row>
    <row r="1093" spans="1:33" ht="15.75" customHeight="1">
      <c r="A1093" s="743">
        <v>43105</v>
      </c>
      <c r="B1093" s="263" t="s">
        <v>3516</v>
      </c>
      <c r="C1093" s="744" t="s">
        <v>3312</v>
      </c>
      <c r="D1093" s="250" t="s">
        <v>3517</v>
      </c>
      <c r="E1093" s="250" t="s">
        <v>3525</v>
      </c>
      <c r="F1093" s="251">
        <v>1</v>
      </c>
      <c r="G1093" s="252">
        <v>31</v>
      </c>
      <c r="H1093" s="253">
        <f t="shared" si="121"/>
        <v>31</v>
      </c>
      <c r="I1093" s="254" t="s">
        <v>3315</v>
      </c>
      <c r="J1093" s="267" t="s">
        <v>3519</v>
      </c>
      <c r="K1093" s="256">
        <v>43129</v>
      </c>
      <c r="L1093" s="256"/>
      <c r="M1093" s="256">
        <v>43125</v>
      </c>
      <c r="N1093" s="331" t="s">
        <v>2008</v>
      </c>
      <c r="O1093" s="308" t="s">
        <v>3520</v>
      </c>
      <c r="Q1093" s="266">
        <v>27.3</v>
      </c>
      <c r="R1093" s="1394"/>
      <c r="S1093" s="1394"/>
      <c r="U1093" s="328"/>
      <c r="V1093" s="308" t="s">
        <v>2010</v>
      </c>
      <c r="W1093" s="747">
        <v>43139</v>
      </c>
      <c r="X1093" s="748">
        <v>43125</v>
      </c>
      <c r="Y1093" s="744" t="s">
        <v>3521</v>
      </c>
      <c r="Z1093" s="744" t="s">
        <v>3526</v>
      </c>
      <c r="AA1093" s="748">
        <v>43138</v>
      </c>
      <c r="AB1093" s="250" t="s">
        <v>3522</v>
      </c>
      <c r="AC1093" s="744">
        <v>771342552913</v>
      </c>
      <c r="AD1093" s="744"/>
      <c r="AE1093" s="744"/>
      <c r="AF1093" s="744"/>
      <c r="AG1093" s="251" t="s">
        <v>283</v>
      </c>
    </row>
    <row r="1094" spans="1:33" ht="15.75" customHeight="1">
      <c r="A1094" s="743">
        <v>43105</v>
      </c>
      <c r="B1094" s="263" t="s">
        <v>3516</v>
      </c>
      <c r="C1094" s="744" t="s">
        <v>3312</v>
      </c>
      <c r="D1094" s="250" t="s">
        <v>3517</v>
      </c>
      <c r="E1094" s="250" t="s">
        <v>3527</v>
      </c>
      <c r="F1094" s="251">
        <v>1</v>
      </c>
      <c r="G1094" s="252">
        <v>121</v>
      </c>
      <c r="H1094" s="253">
        <f t="shared" si="121"/>
        <v>121</v>
      </c>
      <c r="I1094" s="254" t="s">
        <v>3315</v>
      </c>
      <c r="J1094" s="267" t="s">
        <v>3519</v>
      </c>
      <c r="K1094" s="256">
        <v>43129</v>
      </c>
      <c r="L1094" s="256"/>
      <c r="M1094" s="256">
        <v>43110</v>
      </c>
      <c r="N1094" s="331" t="s">
        <v>3432</v>
      </c>
      <c r="O1094" s="308" t="s">
        <v>3528</v>
      </c>
      <c r="Q1094" s="591"/>
      <c r="R1094" s="1406"/>
      <c r="S1094" s="1406"/>
      <c r="U1094" s="572">
        <v>3352</v>
      </c>
      <c r="V1094" s="308" t="s">
        <v>2045</v>
      </c>
      <c r="W1094" s="747">
        <v>43190</v>
      </c>
      <c r="X1094" s="748">
        <v>43109</v>
      </c>
      <c r="Y1094" s="744" t="s">
        <v>3529</v>
      </c>
      <c r="Z1094" s="751">
        <v>3352</v>
      </c>
      <c r="AA1094" s="748">
        <v>43188</v>
      </c>
      <c r="AB1094" s="250" t="s">
        <v>3522</v>
      </c>
      <c r="AC1094" s="744">
        <v>771342552913</v>
      </c>
      <c r="AD1094" s="744"/>
      <c r="AE1094" s="744"/>
      <c r="AF1094" s="744"/>
      <c r="AG1094" s="251" t="s">
        <v>283</v>
      </c>
    </row>
    <row r="1095" spans="1:33" ht="15.75" customHeight="1">
      <c r="A1095" s="743">
        <v>43105</v>
      </c>
      <c r="B1095" s="263" t="s">
        <v>3516</v>
      </c>
      <c r="C1095" s="744" t="s">
        <v>3312</v>
      </c>
      <c r="D1095" s="250" t="s">
        <v>3517</v>
      </c>
      <c r="E1095" s="250" t="s">
        <v>3530</v>
      </c>
      <c r="F1095" s="251">
        <v>1</v>
      </c>
      <c r="G1095" s="252">
        <v>64</v>
      </c>
      <c r="H1095" s="253">
        <f t="shared" si="121"/>
        <v>64</v>
      </c>
      <c r="I1095" s="254" t="s">
        <v>3315</v>
      </c>
      <c r="J1095" s="267" t="s">
        <v>3519</v>
      </c>
      <c r="K1095" s="256">
        <v>43129</v>
      </c>
      <c r="L1095" s="256"/>
      <c r="M1095" s="256">
        <v>43126</v>
      </c>
      <c r="N1095" s="331" t="s">
        <v>89</v>
      </c>
      <c r="O1095" s="308" t="s">
        <v>3531</v>
      </c>
      <c r="Q1095" s="266">
        <v>56.7</v>
      </c>
      <c r="R1095" s="1394"/>
      <c r="S1095" s="1394"/>
      <c r="U1095" s="328"/>
      <c r="V1095" s="338" t="s">
        <v>93</v>
      </c>
      <c r="W1095" s="747">
        <v>43190</v>
      </c>
      <c r="X1095" s="748">
        <v>43126</v>
      </c>
      <c r="Y1095" s="744" t="s">
        <v>3532</v>
      </c>
      <c r="Z1095" s="751">
        <v>41300</v>
      </c>
      <c r="AA1095" s="750">
        <v>43167</v>
      </c>
      <c r="AB1095" s="250" t="s">
        <v>3522</v>
      </c>
      <c r="AC1095" s="744">
        <v>771342552913</v>
      </c>
      <c r="AD1095" s="744"/>
      <c r="AE1095" s="744"/>
      <c r="AF1095" s="744"/>
      <c r="AG1095" s="251" t="s">
        <v>283</v>
      </c>
    </row>
    <row r="1096" spans="1:33" ht="15.75" customHeight="1">
      <c r="A1096" s="743">
        <v>43105</v>
      </c>
      <c r="B1096" s="263" t="s">
        <v>3516</v>
      </c>
      <c r="C1096" s="744" t="s">
        <v>3312</v>
      </c>
      <c r="D1096" s="250" t="s">
        <v>3517</v>
      </c>
      <c r="E1096" s="250" t="s">
        <v>3533</v>
      </c>
      <c r="F1096" s="251">
        <v>10</v>
      </c>
      <c r="G1096" s="252">
        <v>135</v>
      </c>
      <c r="H1096" s="253">
        <f t="shared" si="121"/>
        <v>1350</v>
      </c>
      <c r="I1096" s="254" t="s">
        <v>3315</v>
      </c>
      <c r="J1096" s="267" t="s">
        <v>3519</v>
      </c>
      <c r="K1096" s="256">
        <v>43129</v>
      </c>
      <c r="L1096" s="256"/>
      <c r="M1096" s="256">
        <v>43126</v>
      </c>
      <c r="N1096" s="331" t="s">
        <v>89</v>
      </c>
      <c r="O1096" s="308" t="s">
        <v>3531</v>
      </c>
      <c r="Q1096" s="266">
        <v>1344</v>
      </c>
      <c r="R1096" s="1394"/>
      <c r="S1096" s="1394"/>
      <c r="U1096" s="328"/>
      <c r="V1096" s="338" t="s">
        <v>93</v>
      </c>
      <c r="W1096" s="747">
        <v>43190</v>
      </c>
      <c r="X1096" s="748">
        <v>43126</v>
      </c>
      <c r="Y1096" s="744" t="s">
        <v>3532</v>
      </c>
      <c r="Z1096" s="744" t="s">
        <v>3534</v>
      </c>
      <c r="AA1096" s="750">
        <v>43167</v>
      </c>
      <c r="AB1096" s="250" t="s">
        <v>3522</v>
      </c>
      <c r="AC1096" s="744">
        <v>771342552913</v>
      </c>
      <c r="AD1096" s="744"/>
      <c r="AE1096" s="744"/>
      <c r="AF1096" s="744"/>
      <c r="AG1096" s="251" t="s">
        <v>283</v>
      </c>
    </row>
    <row r="1097" spans="1:33" ht="15.75" customHeight="1">
      <c r="A1097" s="743">
        <v>43108</v>
      </c>
      <c r="B1097" s="263" t="s">
        <v>577</v>
      </c>
      <c r="C1097" s="744" t="s">
        <v>3312</v>
      </c>
      <c r="D1097" s="250" t="s">
        <v>3535</v>
      </c>
      <c r="E1097" s="250" t="s">
        <v>579</v>
      </c>
      <c r="F1097" s="251">
        <v>1</v>
      </c>
      <c r="G1097" s="252">
        <v>96.6</v>
      </c>
      <c r="H1097" s="253">
        <f t="shared" si="121"/>
        <v>96.6</v>
      </c>
      <c r="I1097" s="254" t="s">
        <v>170</v>
      </c>
      <c r="J1097" s="331" t="s">
        <v>580</v>
      </c>
      <c r="K1097" s="256">
        <v>43109</v>
      </c>
      <c r="L1097" s="256"/>
      <c r="M1097" s="256">
        <v>43109</v>
      </c>
      <c r="N1097" s="331" t="s">
        <v>1414</v>
      </c>
      <c r="O1097" s="308" t="s">
        <v>3536</v>
      </c>
      <c r="Q1097" s="591"/>
      <c r="R1097" s="1406"/>
      <c r="S1097" s="1406"/>
      <c r="U1097" s="572">
        <v>2475</v>
      </c>
      <c r="V1097" s="308" t="s">
        <v>1947</v>
      </c>
      <c r="W1097" s="747">
        <v>43164</v>
      </c>
      <c r="X1097" s="748">
        <v>43109</v>
      </c>
      <c r="Y1097" s="744" t="s">
        <v>3537</v>
      </c>
      <c r="Z1097" s="751">
        <v>2475</v>
      </c>
      <c r="AA1097" s="748">
        <v>43165</v>
      </c>
      <c r="AB1097" s="744" t="s">
        <v>3538</v>
      </c>
      <c r="AC1097" s="744"/>
      <c r="AD1097" s="744" t="s">
        <v>3539</v>
      </c>
      <c r="AE1097" s="751">
        <v>2946</v>
      </c>
      <c r="AF1097" s="744" t="s">
        <v>3327</v>
      </c>
      <c r="AG1097" s="251" t="s">
        <v>376</v>
      </c>
    </row>
    <row r="1098" spans="1:33" ht="15.75" customHeight="1">
      <c r="A1098" s="743">
        <v>43111</v>
      </c>
      <c r="B1098" s="263" t="s">
        <v>3540</v>
      </c>
      <c r="C1098" s="744" t="s">
        <v>3312</v>
      </c>
      <c r="D1098" s="250" t="s">
        <v>3541</v>
      </c>
      <c r="E1098" s="250" t="s">
        <v>3542</v>
      </c>
      <c r="F1098" s="251">
        <v>5</v>
      </c>
      <c r="G1098" s="252">
        <v>167</v>
      </c>
      <c r="H1098" s="253">
        <f t="shared" si="121"/>
        <v>835</v>
      </c>
      <c r="I1098" s="254" t="s">
        <v>419</v>
      </c>
      <c r="J1098" s="267" t="s">
        <v>3543</v>
      </c>
      <c r="K1098" s="256">
        <v>43153</v>
      </c>
      <c r="L1098" s="256"/>
      <c r="M1098" s="256">
        <v>43125</v>
      </c>
      <c r="N1098" s="331" t="s">
        <v>2008</v>
      </c>
      <c r="O1098" s="308" t="s">
        <v>3544</v>
      </c>
      <c r="Q1098" s="266">
        <v>813.75</v>
      </c>
      <c r="R1098" s="1394"/>
      <c r="S1098" s="1394"/>
      <c r="U1098" s="328"/>
      <c r="V1098" s="308" t="s">
        <v>2010</v>
      </c>
      <c r="W1098" s="747">
        <v>43139</v>
      </c>
      <c r="X1098" s="748">
        <v>43125</v>
      </c>
      <c r="Y1098" s="744" t="s">
        <v>3521</v>
      </c>
      <c r="Z1098" s="744" t="s">
        <v>3526</v>
      </c>
      <c r="AA1098" s="748">
        <v>43138</v>
      </c>
      <c r="AB1098" s="250" t="s">
        <v>3545</v>
      </c>
      <c r="AC1098" s="744">
        <v>290667204</v>
      </c>
      <c r="AD1098" s="744"/>
      <c r="AE1098" s="744"/>
      <c r="AF1098" s="744"/>
      <c r="AG1098" s="251" t="s">
        <v>283</v>
      </c>
    </row>
    <row r="1099" spans="1:33" ht="15.75" customHeight="1">
      <c r="A1099" s="743">
        <v>43111</v>
      </c>
      <c r="B1099" s="144" t="s">
        <v>463</v>
      </c>
      <c r="C1099" s="744" t="s">
        <v>3312</v>
      </c>
      <c r="D1099" s="250" t="s">
        <v>3546</v>
      </c>
      <c r="E1099" s="250" t="s">
        <v>3547</v>
      </c>
      <c r="F1099" s="251">
        <v>1</v>
      </c>
      <c r="G1099" s="252">
        <v>460</v>
      </c>
      <c r="H1099" s="253">
        <f t="shared" si="121"/>
        <v>460</v>
      </c>
      <c r="I1099" s="254" t="s">
        <v>3315</v>
      </c>
      <c r="J1099" s="267" t="s">
        <v>3548</v>
      </c>
      <c r="K1099" s="256">
        <v>43167</v>
      </c>
      <c r="L1099" s="256"/>
      <c r="M1099" s="256">
        <v>43158</v>
      </c>
      <c r="N1099" s="331"/>
      <c r="O1099" s="308" t="s">
        <v>3549</v>
      </c>
      <c r="Q1099" s="591"/>
      <c r="R1099" s="1406"/>
      <c r="S1099" s="1406"/>
      <c r="U1099" s="328"/>
      <c r="V1099" s="308"/>
      <c r="W1099" s="328"/>
      <c r="X1099" s="745"/>
      <c r="Y1099" s="745"/>
      <c r="Z1099" s="745"/>
      <c r="AA1099" s="746"/>
      <c r="AB1099" s="744" t="s">
        <v>3550</v>
      </c>
      <c r="AC1099" s="744" t="s">
        <v>3551</v>
      </c>
      <c r="AD1099" s="744"/>
      <c r="AE1099" s="744"/>
      <c r="AF1099" s="744"/>
      <c r="AG1099" s="251" t="s">
        <v>283</v>
      </c>
    </row>
    <row r="1100" spans="1:33" ht="15.75" customHeight="1">
      <c r="A1100" s="743">
        <v>43111</v>
      </c>
      <c r="B1100" s="144" t="s">
        <v>463</v>
      </c>
      <c r="C1100" s="744" t="s">
        <v>3312</v>
      </c>
      <c r="D1100" s="250" t="s">
        <v>3546</v>
      </c>
      <c r="E1100" s="250" t="s">
        <v>692</v>
      </c>
      <c r="F1100" s="251">
        <v>1</v>
      </c>
      <c r="G1100" s="252">
        <f>25</f>
        <v>25</v>
      </c>
      <c r="H1100" s="265">
        <f t="shared" si="121"/>
        <v>25</v>
      </c>
      <c r="I1100" s="254" t="s">
        <v>3315</v>
      </c>
      <c r="J1100" s="267" t="s">
        <v>3548</v>
      </c>
      <c r="K1100" s="256">
        <v>43167</v>
      </c>
      <c r="L1100" s="256"/>
      <c r="M1100" s="623"/>
      <c r="N1100" s="331"/>
      <c r="O1100" s="308"/>
      <c r="Q1100" s="591"/>
      <c r="R1100" s="1406"/>
      <c r="S1100" s="1406"/>
      <c r="U1100" s="328"/>
      <c r="V1100" s="308"/>
      <c r="W1100" s="328"/>
      <c r="X1100" s="745"/>
      <c r="Y1100" s="745"/>
      <c r="Z1100" s="745"/>
      <c r="AA1100" s="746"/>
      <c r="AB1100" s="744" t="s">
        <v>3550</v>
      </c>
      <c r="AC1100" s="744" t="s">
        <v>3551</v>
      </c>
      <c r="AD1100" s="744"/>
      <c r="AE1100" s="744"/>
      <c r="AF1100" s="744"/>
      <c r="AG1100" s="251" t="s">
        <v>283</v>
      </c>
    </row>
    <row r="1101" spans="1:33" ht="15.75" customHeight="1">
      <c r="A1101" s="743">
        <v>43111</v>
      </c>
      <c r="B1101" s="144" t="s">
        <v>3311</v>
      </c>
      <c r="C1101" s="744" t="s">
        <v>3312</v>
      </c>
      <c r="D1101" s="250" t="s">
        <v>3552</v>
      </c>
      <c r="E1101" s="250" t="s">
        <v>3553</v>
      </c>
      <c r="F1101" s="251">
        <v>5</v>
      </c>
      <c r="G1101" s="252">
        <v>700</v>
      </c>
      <c r="H1101" s="253">
        <f t="shared" si="121"/>
        <v>3500</v>
      </c>
      <c r="I1101" s="254" t="s">
        <v>3315</v>
      </c>
      <c r="J1101" s="331" t="s">
        <v>3316</v>
      </c>
      <c r="K1101" s="256">
        <v>43152</v>
      </c>
      <c r="L1101" s="256"/>
      <c r="M1101" s="256">
        <v>43143</v>
      </c>
      <c r="N1101" s="331" t="s">
        <v>3554</v>
      </c>
      <c r="O1101" s="308" t="s">
        <v>3555</v>
      </c>
      <c r="Q1101" s="591"/>
      <c r="R1101" s="1406"/>
      <c r="S1101" s="1406"/>
      <c r="U1101" s="328"/>
      <c r="V1101" s="308"/>
      <c r="W1101" s="328"/>
      <c r="X1101" s="744" t="s">
        <v>3556</v>
      </c>
      <c r="Y1101" s="744" t="s">
        <v>3556</v>
      </c>
      <c r="Z1101" s="744" t="s">
        <v>3556</v>
      </c>
      <c r="AA1101" s="746"/>
      <c r="AB1101" s="250" t="s">
        <v>3557</v>
      </c>
      <c r="AC1101" s="744">
        <v>1103436283</v>
      </c>
      <c r="AD1101" s="744"/>
      <c r="AE1101" s="744"/>
      <c r="AF1101" s="744"/>
      <c r="AG1101" s="251" t="s">
        <v>283</v>
      </c>
    </row>
    <row r="1102" spans="1:33" ht="15.75" customHeight="1">
      <c r="A1102" s="743">
        <v>43112</v>
      </c>
      <c r="B1102" s="590" t="s">
        <v>405</v>
      </c>
      <c r="C1102" s="744" t="s">
        <v>3312</v>
      </c>
      <c r="D1102" s="250" t="s">
        <v>3558</v>
      </c>
      <c r="E1102" s="250" t="s">
        <v>3559</v>
      </c>
      <c r="F1102" s="251">
        <v>3</v>
      </c>
      <c r="G1102" s="252">
        <v>5</v>
      </c>
      <c r="H1102" s="265">
        <f t="shared" si="121"/>
        <v>15</v>
      </c>
      <c r="I1102" s="254" t="s">
        <v>42</v>
      </c>
      <c r="J1102" s="756" t="s">
        <v>3462</v>
      </c>
      <c r="K1102" s="256">
        <v>43118</v>
      </c>
      <c r="L1102" s="256"/>
      <c r="M1102" s="256">
        <v>43117</v>
      </c>
      <c r="N1102" s="331" t="s">
        <v>3432</v>
      </c>
      <c r="O1102" s="308" t="s">
        <v>3560</v>
      </c>
      <c r="Q1102" s="591"/>
      <c r="R1102" s="1406"/>
      <c r="S1102" s="1406"/>
      <c r="U1102" s="572">
        <v>425</v>
      </c>
      <c r="V1102" s="308" t="s">
        <v>2045</v>
      </c>
      <c r="W1102" s="747">
        <v>43190</v>
      </c>
      <c r="X1102" s="748">
        <v>43116</v>
      </c>
      <c r="Y1102" s="744" t="s">
        <v>3561</v>
      </c>
      <c r="Z1102" s="751">
        <v>30602</v>
      </c>
      <c r="AA1102" s="748">
        <v>43188</v>
      </c>
      <c r="AB1102" s="250" t="s">
        <v>3562</v>
      </c>
      <c r="AC1102" s="744">
        <v>8911917501</v>
      </c>
      <c r="AD1102" s="744"/>
      <c r="AE1102" s="744"/>
      <c r="AF1102" s="744"/>
      <c r="AG1102" s="251" t="s">
        <v>283</v>
      </c>
    </row>
    <row r="1103" spans="1:33" ht="15.75" customHeight="1">
      <c r="A1103" s="743">
        <v>43112</v>
      </c>
      <c r="B1103" s="590" t="s">
        <v>405</v>
      </c>
      <c r="C1103" s="744" t="s">
        <v>3312</v>
      </c>
      <c r="D1103" s="250" t="s">
        <v>3558</v>
      </c>
      <c r="E1103" s="250" t="s">
        <v>3563</v>
      </c>
      <c r="F1103" s="251">
        <v>3</v>
      </c>
      <c r="G1103" s="252">
        <v>8.5</v>
      </c>
      <c r="H1103" s="265">
        <f t="shared" si="121"/>
        <v>25.5</v>
      </c>
      <c r="I1103" s="254" t="s">
        <v>42</v>
      </c>
      <c r="J1103" s="756" t="s">
        <v>3462</v>
      </c>
      <c r="K1103" s="256">
        <v>43118</v>
      </c>
      <c r="L1103" s="256"/>
      <c r="M1103" s="256">
        <v>43117</v>
      </c>
      <c r="N1103" s="331" t="s">
        <v>3432</v>
      </c>
      <c r="O1103" s="308" t="s">
        <v>3560</v>
      </c>
      <c r="Q1103" s="591"/>
      <c r="R1103" s="1406"/>
      <c r="S1103" s="1406"/>
      <c r="U1103" s="572">
        <v>611</v>
      </c>
      <c r="V1103" s="308" t="s">
        <v>2045</v>
      </c>
      <c r="W1103" s="747">
        <v>43190</v>
      </c>
      <c r="X1103" s="748">
        <v>43116</v>
      </c>
      <c r="Y1103" s="744" t="s">
        <v>3561</v>
      </c>
      <c r="Z1103" s="744" t="s">
        <v>3564</v>
      </c>
      <c r="AA1103" s="748">
        <v>43188</v>
      </c>
      <c r="AB1103" s="250" t="s">
        <v>3562</v>
      </c>
      <c r="AC1103" s="744">
        <v>8911917501</v>
      </c>
      <c r="AD1103" s="744"/>
      <c r="AE1103" s="744"/>
      <c r="AF1103" s="744"/>
      <c r="AG1103" s="251" t="s">
        <v>283</v>
      </c>
    </row>
    <row r="1104" spans="1:33" ht="15.75" customHeight="1">
      <c r="A1104" s="743">
        <v>43112</v>
      </c>
      <c r="B1104" s="590" t="s">
        <v>405</v>
      </c>
      <c r="C1104" s="744" t="s">
        <v>3312</v>
      </c>
      <c r="D1104" s="250" t="s">
        <v>3558</v>
      </c>
      <c r="E1104" s="250" t="s">
        <v>3565</v>
      </c>
      <c r="F1104" s="251">
        <v>3</v>
      </c>
      <c r="G1104" s="252">
        <v>250</v>
      </c>
      <c r="H1104" s="265">
        <f t="shared" si="121"/>
        <v>750</v>
      </c>
      <c r="I1104" s="254" t="s">
        <v>42</v>
      </c>
      <c r="J1104" s="756" t="s">
        <v>3462</v>
      </c>
      <c r="K1104" s="256">
        <v>43118</v>
      </c>
      <c r="L1104" s="256"/>
      <c r="M1104" s="256">
        <v>43117</v>
      </c>
      <c r="N1104" s="331" t="s">
        <v>3432</v>
      </c>
      <c r="O1104" s="308" t="s">
        <v>3560</v>
      </c>
      <c r="Q1104" s="591"/>
      <c r="R1104" s="1406"/>
      <c r="S1104" s="1406"/>
      <c r="U1104" s="572">
        <v>21370</v>
      </c>
      <c r="V1104" s="308" t="s">
        <v>2045</v>
      </c>
      <c r="W1104" s="747">
        <v>43190</v>
      </c>
      <c r="X1104" s="748">
        <v>43116</v>
      </c>
      <c r="Y1104" s="744" t="s">
        <v>3561</v>
      </c>
      <c r="Z1104" s="744" t="s">
        <v>3564</v>
      </c>
      <c r="AA1104" s="748">
        <v>43188</v>
      </c>
      <c r="AB1104" s="250" t="s">
        <v>3562</v>
      </c>
      <c r="AC1104" s="744">
        <v>8911917501</v>
      </c>
      <c r="AD1104" s="744"/>
      <c r="AE1104" s="744"/>
      <c r="AF1104" s="744"/>
      <c r="AG1104" s="251" t="s">
        <v>283</v>
      </c>
    </row>
    <row r="1105" spans="1:33" ht="15.75" customHeight="1">
      <c r="A1105" s="743">
        <v>43112</v>
      </c>
      <c r="B1105" s="590" t="s">
        <v>405</v>
      </c>
      <c r="C1105" s="744" t="s">
        <v>3312</v>
      </c>
      <c r="D1105" s="250" t="s">
        <v>3558</v>
      </c>
      <c r="E1105" s="250" t="s">
        <v>3566</v>
      </c>
      <c r="F1105" s="251">
        <v>3</v>
      </c>
      <c r="G1105" s="252">
        <v>55</v>
      </c>
      <c r="H1105" s="266">
        <f t="shared" si="121"/>
        <v>165</v>
      </c>
      <c r="I1105" s="254" t="s">
        <v>42</v>
      </c>
      <c r="J1105" s="756" t="s">
        <v>3462</v>
      </c>
      <c r="K1105" s="256">
        <v>43118</v>
      </c>
      <c r="L1105" s="256"/>
      <c r="M1105" s="256">
        <v>43117</v>
      </c>
      <c r="N1105" s="331" t="s">
        <v>3432</v>
      </c>
      <c r="O1105" s="308" t="s">
        <v>3560</v>
      </c>
      <c r="Q1105" s="591"/>
      <c r="R1105" s="1406"/>
      <c r="S1105" s="1406"/>
      <c r="U1105" s="572">
        <v>4914</v>
      </c>
      <c r="V1105" s="308" t="s">
        <v>2045</v>
      </c>
      <c r="W1105" s="747">
        <v>43190</v>
      </c>
      <c r="X1105" s="748">
        <v>43116</v>
      </c>
      <c r="Y1105" s="744" t="s">
        <v>3561</v>
      </c>
      <c r="Z1105" s="744" t="s">
        <v>3564</v>
      </c>
      <c r="AA1105" s="748">
        <v>43188</v>
      </c>
      <c r="AB1105" s="250" t="s">
        <v>3562</v>
      </c>
      <c r="AC1105" s="744">
        <v>8911917501</v>
      </c>
      <c r="AD1105" s="744"/>
      <c r="AE1105" s="744"/>
      <c r="AF1105" s="744"/>
      <c r="AG1105" s="251" t="s">
        <v>283</v>
      </c>
    </row>
    <row r="1106" spans="1:33" ht="15.75" customHeight="1">
      <c r="A1106" s="743">
        <v>43112</v>
      </c>
      <c r="B1106" s="590" t="s">
        <v>405</v>
      </c>
      <c r="C1106" s="744" t="s">
        <v>3312</v>
      </c>
      <c r="D1106" s="250" t="s">
        <v>3558</v>
      </c>
      <c r="E1106" s="250" t="s">
        <v>3567</v>
      </c>
      <c r="F1106" s="251">
        <v>3</v>
      </c>
      <c r="G1106" s="252">
        <v>39</v>
      </c>
      <c r="H1106" s="265">
        <f t="shared" si="121"/>
        <v>117</v>
      </c>
      <c r="I1106" s="254" t="s">
        <v>42</v>
      </c>
      <c r="J1106" s="756" t="s">
        <v>3462</v>
      </c>
      <c r="K1106" s="256">
        <v>43118</v>
      </c>
      <c r="L1106" s="256"/>
      <c r="M1106" s="256">
        <v>43117</v>
      </c>
      <c r="N1106" s="331" t="s">
        <v>3432</v>
      </c>
      <c r="O1106" s="308" t="s">
        <v>3560</v>
      </c>
      <c r="Q1106" s="591"/>
      <c r="R1106" s="1406"/>
      <c r="S1106" s="1406"/>
      <c r="U1106" s="572">
        <v>3282</v>
      </c>
      <c r="V1106" s="308" t="s">
        <v>2045</v>
      </c>
      <c r="W1106" s="747">
        <v>43190</v>
      </c>
      <c r="X1106" s="748">
        <v>43116</v>
      </c>
      <c r="Y1106" s="744" t="s">
        <v>3561</v>
      </c>
      <c r="Z1106" s="744" t="s">
        <v>3564</v>
      </c>
      <c r="AA1106" s="748">
        <v>43188</v>
      </c>
      <c r="AB1106" s="250" t="s">
        <v>3562</v>
      </c>
      <c r="AC1106" s="744">
        <v>8911917501</v>
      </c>
      <c r="AD1106" s="744"/>
      <c r="AE1106" s="744"/>
      <c r="AF1106" s="744"/>
      <c r="AG1106" s="251" t="s">
        <v>283</v>
      </c>
    </row>
    <row r="1107" spans="1:33" ht="25.5" customHeight="1">
      <c r="A1107" s="743">
        <v>43112</v>
      </c>
      <c r="B1107" s="590" t="s">
        <v>3568</v>
      </c>
      <c r="C1107" s="744" t="s">
        <v>3312</v>
      </c>
      <c r="D1107" s="744" t="s">
        <v>3569</v>
      </c>
      <c r="E1107" s="744" t="s">
        <v>3570</v>
      </c>
      <c r="F1107" s="251">
        <v>1</v>
      </c>
      <c r="G1107" s="252">
        <v>1088</v>
      </c>
      <c r="H1107" s="265">
        <f t="shared" si="121"/>
        <v>1088</v>
      </c>
      <c r="I1107" s="254" t="s">
        <v>3315</v>
      </c>
      <c r="J1107" s="331" t="s">
        <v>3571</v>
      </c>
      <c r="K1107" s="256">
        <v>43125</v>
      </c>
      <c r="L1107" s="256"/>
      <c r="M1107" s="256">
        <v>43119</v>
      </c>
      <c r="N1107" s="264" t="s">
        <v>2212</v>
      </c>
      <c r="O1107" s="308" t="s">
        <v>3572</v>
      </c>
      <c r="Q1107" s="591"/>
      <c r="R1107" s="1406"/>
      <c r="S1107" s="1406"/>
      <c r="U1107" s="770">
        <v>32340</v>
      </c>
      <c r="V1107" s="338" t="s">
        <v>2214</v>
      </c>
      <c r="W1107" s="328"/>
      <c r="X1107" s="748">
        <v>43119</v>
      </c>
      <c r="Y1107" s="744" t="s">
        <v>3573</v>
      </c>
      <c r="Z1107" s="749">
        <v>32340</v>
      </c>
      <c r="AA1107" s="748">
        <v>43136</v>
      </c>
      <c r="AB1107" s="250" t="s">
        <v>3574</v>
      </c>
      <c r="AC1107" s="744" t="s">
        <v>3575</v>
      </c>
      <c r="AD1107" s="744"/>
      <c r="AE1107" s="744"/>
      <c r="AF1107" s="744"/>
      <c r="AG1107" s="251" t="s">
        <v>283</v>
      </c>
    </row>
    <row r="1108" spans="1:33" ht="15.75" customHeight="1">
      <c r="A1108" s="743">
        <v>43112</v>
      </c>
      <c r="B1108" s="590" t="s">
        <v>3568</v>
      </c>
      <c r="C1108" s="744" t="s">
        <v>3312</v>
      </c>
      <c r="D1108" s="744" t="s">
        <v>3569</v>
      </c>
      <c r="E1108" s="744" t="s">
        <v>692</v>
      </c>
      <c r="F1108" s="251">
        <v>1</v>
      </c>
      <c r="G1108" s="252">
        <f>25</f>
        <v>25</v>
      </c>
      <c r="H1108" s="265">
        <f t="shared" si="121"/>
        <v>25</v>
      </c>
      <c r="I1108" s="254" t="s">
        <v>3315</v>
      </c>
      <c r="J1108" s="331" t="s">
        <v>3571</v>
      </c>
      <c r="K1108" s="256">
        <v>43125</v>
      </c>
      <c r="L1108" s="256"/>
      <c r="M1108" s="623"/>
      <c r="N1108" s="331"/>
      <c r="O1108" s="308"/>
      <c r="Q1108" s="591"/>
      <c r="R1108" s="1406"/>
      <c r="S1108" s="1406"/>
      <c r="U1108" s="328"/>
      <c r="V1108" s="308"/>
      <c r="W1108" s="328"/>
      <c r="X1108" s="745"/>
      <c r="Y1108" s="745"/>
      <c r="Z1108" s="745"/>
      <c r="AA1108" s="746"/>
      <c r="AB1108" s="250" t="s">
        <v>3574</v>
      </c>
      <c r="AC1108" s="744" t="s">
        <v>3575</v>
      </c>
      <c r="AD1108" s="744"/>
      <c r="AE1108" s="744"/>
      <c r="AF1108" s="744"/>
      <c r="AG1108" s="251" t="s">
        <v>283</v>
      </c>
    </row>
    <row r="1109" spans="1:33" ht="15.75" customHeight="1">
      <c r="A1109" s="743">
        <v>43112</v>
      </c>
      <c r="B1109" s="263" t="s">
        <v>100</v>
      </c>
      <c r="C1109" s="744" t="s">
        <v>3312</v>
      </c>
      <c r="D1109" s="744" t="s">
        <v>3576</v>
      </c>
      <c r="E1109" s="744" t="s">
        <v>3577</v>
      </c>
      <c r="F1109" s="251">
        <v>3</v>
      </c>
      <c r="G1109" s="252">
        <v>472</v>
      </c>
      <c r="H1109" s="265">
        <f t="shared" si="121"/>
        <v>1416</v>
      </c>
      <c r="I1109" s="254" t="s">
        <v>3315</v>
      </c>
      <c r="J1109" s="267" t="s">
        <v>3578</v>
      </c>
      <c r="K1109" s="256">
        <v>43132</v>
      </c>
      <c r="L1109" s="256"/>
      <c r="M1109" s="256">
        <v>43129</v>
      </c>
      <c r="N1109" s="401" t="s">
        <v>1995</v>
      </c>
      <c r="O1109" s="308" t="s">
        <v>3579</v>
      </c>
      <c r="Q1109" s="591"/>
      <c r="R1109" s="1406"/>
      <c r="S1109" s="1406"/>
      <c r="U1109" s="572">
        <v>37692</v>
      </c>
      <c r="V1109" s="571" t="s">
        <v>1997</v>
      </c>
      <c r="W1109" s="747">
        <v>43164</v>
      </c>
      <c r="X1109" s="748">
        <v>43126</v>
      </c>
      <c r="Y1109" s="744" t="s">
        <v>3580</v>
      </c>
      <c r="Z1109" s="749">
        <v>38065</v>
      </c>
      <c r="AA1109" s="750">
        <v>43164</v>
      </c>
      <c r="AB1109" s="250" t="s">
        <v>3581</v>
      </c>
      <c r="AC1109" s="744">
        <v>2891154652</v>
      </c>
      <c r="AD1109" s="744"/>
      <c r="AE1109" s="744"/>
      <c r="AF1109" s="744"/>
      <c r="AG1109" s="251" t="s">
        <v>283</v>
      </c>
    </row>
    <row r="1110" spans="1:33" ht="15.75" customHeight="1">
      <c r="A1110" s="743">
        <v>43112</v>
      </c>
      <c r="B1110" s="263" t="s">
        <v>100</v>
      </c>
      <c r="C1110" s="744" t="s">
        <v>3312</v>
      </c>
      <c r="D1110" s="744" t="s">
        <v>3576</v>
      </c>
      <c r="E1110" s="744" t="s">
        <v>3582</v>
      </c>
      <c r="F1110" s="251">
        <v>3</v>
      </c>
      <c r="G1110" s="252">
        <v>52</v>
      </c>
      <c r="H1110" s="265">
        <f t="shared" si="121"/>
        <v>156</v>
      </c>
      <c r="I1110" s="254" t="s">
        <v>3315</v>
      </c>
      <c r="J1110" s="267" t="s">
        <v>3578</v>
      </c>
      <c r="K1110" s="256">
        <v>43132</v>
      </c>
      <c r="L1110" s="256"/>
      <c r="M1110" s="264" t="s">
        <v>178</v>
      </c>
      <c r="N1110" s="331"/>
      <c r="O1110" s="308" t="s">
        <v>3583</v>
      </c>
      <c r="Q1110" s="591"/>
      <c r="R1110" s="1406"/>
      <c r="S1110" s="1406"/>
      <c r="U1110" s="328"/>
      <c r="V1110" s="308"/>
      <c r="W1110" s="328"/>
      <c r="X1110" s="745"/>
      <c r="Y1110" s="745"/>
      <c r="Z1110" s="745"/>
      <c r="AA1110" s="746"/>
      <c r="AB1110" s="250" t="s">
        <v>3581</v>
      </c>
      <c r="AC1110" s="744">
        <v>2891154652</v>
      </c>
      <c r="AD1110" s="744"/>
      <c r="AE1110" s="744"/>
      <c r="AF1110" s="744"/>
      <c r="AG1110" s="251" t="s">
        <v>283</v>
      </c>
    </row>
    <row r="1111" spans="1:33" ht="15.75" customHeight="1">
      <c r="A1111" s="743">
        <v>43112</v>
      </c>
      <c r="B1111" s="263" t="s">
        <v>100</v>
      </c>
      <c r="C1111" s="744" t="s">
        <v>3312</v>
      </c>
      <c r="D1111" s="744" t="s">
        <v>3576</v>
      </c>
      <c r="E1111" s="744" t="s">
        <v>3584</v>
      </c>
      <c r="F1111" s="251">
        <v>3</v>
      </c>
      <c r="G1111" s="252">
        <v>4</v>
      </c>
      <c r="H1111" s="265">
        <f t="shared" si="121"/>
        <v>12</v>
      </c>
      <c r="I1111" s="254" t="s">
        <v>3315</v>
      </c>
      <c r="J1111" s="267" t="s">
        <v>3578</v>
      </c>
      <c r="K1111" s="256">
        <v>43132</v>
      </c>
      <c r="L1111" s="256"/>
      <c r="M1111" s="256">
        <v>43129</v>
      </c>
      <c r="N1111" s="401" t="s">
        <v>1995</v>
      </c>
      <c r="O1111" s="308" t="s">
        <v>3579</v>
      </c>
      <c r="Q1111" s="591"/>
      <c r="R1111" s="1406"/>
      <c r="S1111" s="1406"/>
      <c r="U1111" s="572">
        <v>373</v>
      </c>
      <c r="V1111" s="571" t="s">
        <v>1997</v>
      </c>
      <c r="W1111" s="747">
        <v>43164</v>
      </c>
      <c r="X1111" s="748">
        <v>43126</v>
      </c>
      <c r="Y1111" s="744" t="s">
        <v>3580</v>
      </c>
      <c r="Z1111" s="744" t="s">
        <v>3585</v>
      </c>
      <c r="AA1111" s="750">
        <v>43164</v>
      </c>
      <c r="AB1111" s="250" t="s">
        <v>3581</v>
      </c>
      <c r="AC1111" s="744">
        <v>2891154652</v>
      </c>
      <c r="AD1111" s="744"/>
      <c r="AE1111" s="744"/>
      <c r="AF1111" s="744"/>
      <c r="AG1111" s="251" t="s">
        <v>283</v>
      </c>
    </row>
    <row r="1112" spans="1:33" ht="15.75" customHeight="1">
      <c r="A1112" s="743">
        <v>43118</v>
      </c>
      <c r="B1112" s="263" t="s">
        <v>546</v>
      </c>
      <c r="C1112" s="744" t="s">
        <v>3312</v>
      </c>
      <c r="D1112" s="744" t="s">
        <v>3586</v>
      </c>
      <c r="E1112" s="744" t="s">
        <v>3587</v>
      </c>
      <c r="F1112" s="251">
        <v>1</v>
      </c>
      <c r="G1112" s="252">
        <v>2294</v>
      </c>
      <c r="H1112" s="265">
        <f t="shared" si="121"/>
        <v>2294</v>
      </c>
      <c r="I1112" s="254" t="s">
        <v>3315</v>
      </c>
      <c r="J1112" s="267" t="s">
        <v>3588</v>
      </c>
      <c r="K1112" s="256">
        <v>43171</v>
      </c>
      <c r="L1112" s="256"/>
      <c r="M1112" s="256">
        <v>43161</v>
      </c>
      <c r="N1112" s="331" t="s">
        <v>3432</v>
      </c>
      <c r="O1112" s="308" t="s">
        <v>3589</v>
      </c>
      <c r="Q1112" s="591"/>
      <c r="R1112" s="1406"/>
      <c r="S1112" s="1406"/>
      <c r="U1112" s="572">
        <v>64219</v>
      </c>
      <c r="V1112" s="308" t="s">
        <v>2045</v>
      </c>
      <c r="W1112" s="747">
        <v>43251</v>
      </c>
      <c r="X1112" s="748">
        <v>43160</v>
      </c>
      <c r="Y1112" s="744" t="s">
        <v>3590</v>
      </c>
      <c r="Z1112" s="749">
        <v>64219</v>
      </c>
      <c r="AA1112" s="750">
        <v>43251</v>
      </c>
      <c r="AB1112" s="250" t="s">
        <v>3591</v>
      </c>
      <c r="AC1112" s="744">
        <v>4004678648</v>
      </c>
      <c r="AD1112" s="744"/>
      <c r="AE1112" s="744"/>
      <c r="AF1112" s="744"/>
      <c r="AG1112" s="251" t="s">
        <v>283</v>
      </c>
    </row>
    <row r="1113" spans="1:33" ht="15.75" customHeight="1">
      <c r="A1113" s="743">
        <v>43118</v>
      </c>
      <c r="B1113" s="263" t="s">
        <v>415</v>
      </c>
      <c r="C1113" s="744" t="s">
        <v>3312</v>
      </c>
      <c r="D1113" s="250" t="s">
        <v>3592</v>
      </c>
      <c r="E1113" s="250" t="s">
        <v>3593</v>
      </c>
      <c r="F1113" s="251">
        <v>4</v>
      </c>
      <c r="G1113" s="252">
        <v>51</v>
      </c>
      <c r="H1113" s="265">
        <f t="shared" si="121"/>
        <v>204</v>
      </c>
      <c r="I1113" s="254" t="s">
        <v>419</v>
      </c>
      <c r="J1113" s="267" t="s">
        <v>70</v>
      </c>
      <c r="K1113" s="256">
        <v>43132</v>
      </c>
      <c r="L1113" s="256"/>
      <c r="M1113" s="256">
        <v>43124</v>
      </c>
      <c r="N1113" s="331" t="s">
        <v>89</v>
      </c>
      <c r="O1113" s="308" t="s">
        <v>3594</v>
      </c>
      <c r="Q1113" s="266">
        <v>193.2</v>
      </c>
      <c r="R1113" s="1394"/>
      <c r="S1113" s="1394"/>
      <c r="U1113" s="328"/>
      <c r="V1113" s="338" t="s">
        <v>93</v>
      </c>
      <c r="W1113" s="747">
        <v>43159</v>
      </c>
      <c r="X1113" s="748">
        <v>43123</v>
      </c>
      <c r="Y1113" s="744" t="s">
        <v>3595</v>
      </c>
      <c r="Z1113" s="753">
        <v>5697</v>
      </c>
      <c r="AA1113" s="750">
        <v>43164</v>
      </c>
      <c r="AB1113" s="744" t="s">
        <v>3435</v>
      </c>
      <c r="AC1113" s="744" t="s">
        <v>3436</v>
      </c>
      <c r="AD1113" s="744"/>
      <c r="AE1113" s="744"/>
      <c r="AF1113" s="744"/>
      <c r="AG1113" s="251" t="s">
        <v>283</v>
      </c>
    </row>
    <row r="1114" spans="1:33" ht="15.75" customHeight="1">
      <c r="A1114" s="743">
        <v>43118</v>
      </c>
      <c r="B1114" s="263" t="s">
        <v>415</v>
      </c>
      <c r="C1114" s="744" t="s">
        <v>3312</v>
      </c>
      <c r="D1114" s="250" t="s">
        <v>3592</v>
      </c>
      <c r="E1114" s="250" t="s">
        <v>3437</v>
      </c>
      <c r="F1114" s="251">
        <v>1</v>
      </c>
      <c r="G1114" s="252">
        <v>56</v>
      </c>
      <c r="H1114" s="265">
        <f t="shared" si="121"/>
        <v>56</v>
      </c>
      <c r="I1114" s="254" t="s">
        <v>419</v>
      </c>
      <c r="J1114" s="267" t="s">
        <v>70</v>
      </c>
      <c r="K1114" s="256">
        <v>43132</v>
      </c>
      <c r="L1114" s="256"/>
      <c r="M1114" s="256">
        <v>43124</v>
      </c>
      <c r="N1114" s="251" t="s">
        <v>2051</v>
      </c>
      <c r="O1114" s="308" t="s">
        <v>3596</v>
      </c>
      <c r="Q1114" s="591"/>
      <c r="R1114" s="1406"/>
      <c r="S1114" s="1406"/>
      <c r="U1114" s="572">
        <v>1260</v>
      </c>
      <c r="V1114" s="597" t="s">
        <v>2053</v>
      </c>
      <c r="W1114" s="771"/>
      <c r="X1114" s="750">
        <v>43124</v>
      </c>
      <c r="Y1114" s="250" t="s">
        <v>3597</v>
      </c>
      <c r="Z1114" s="749">
        <v>1260</v>
      </c>
      <c r="AA1114" s="748">
        <v>43124</v>
      </c>
      <c r="AB1114" s="744" t="s">
        <v>3435</v>
      </c>
      <c r="AC1114" s="744" t="s">
        <v>3436</v>
      </c>
      <c r="AD1114" s="744"/>
      <c r="AE1114" s="744"/>
      <c r="AF1114" s="744"/>
      <c r="AG1114" s="251" t="s">
        <v>283</v>
      </c>
    </row>
    <row r="1115" spans="1:33" ht="15.75" customHeight="1">
      <c r="A1115" s="743">
        <v>43118</v>
      </c>
      <c r="B1115" s="263" t="s">
        <v>228</v>
      </c>
      <c r="C1115" s="744" t="s">
        <v>3312</v>
      </c>
      <c r="D1115" s="595" t="s">
        <v>3598</v>
      </c>
      <c r="E1115" s="595" t="s">
        <v>461</v>
      </c>
      <c r="F1115" s="305">
        <v>80</v>
      </c>
      <c r="G1115" s="323">
        <v>407.4</v>
      </c>
      <c r="H1115" s="265">
        <f t="shared" si="121"/>
        <v>32592</v>
      </c>
      <c r="I1115" s="254" t="s">
        <v>170</v>
      </c>
      <c r="J1115" s="267" t="s">
        <v>232</v>
      </c>
      <c r="K1115" s="256">
        <v>43139</v>
      </c>
      <c r="L1115" s="256"/>
      <c r="M1115" s="256">
        <v>43139</v>
      </c>
      <c r="N1115" s="331" t="s">
        <v>89</v>
      </c>
      <c r="O1115" s="308" t="s">
        <v>3599</v>
      </c>
      <c r="Q1115" s="266">
        <v>29820</v>
      </c>
      <c r="R1115" s="1394"/>
      <c r="S1115" s="1394"/>
      <c r="U1115" s="328"/>
      <c r="V1115" s="338" t="s">
        <v>93</v>
      </c>
      <c r="W1115" s="747">
        <v>43190</v>
      </c>
      <c r="X1115" s="748">
        <v>43139</v>
      </c>
      <c r="Y1115" s="744" t="s">
        <v>3600</v>
      </c>
      <c r="Z1115" s="753">
        <v>882106</v>
      </c>
      <c r="AA1115" s="748">
        <v>43180</v>
      </c>
      <c r="AB1115" s="744" t="s">
        <v>3601</v>
      </c>
      <c r="AC1115" s="744"/>
      <c r="AD1115" s="744" t="s">
        <v>3602</v>
      </c>
      <c r="AE1115" s="751">
        <v>972640</v>
      </c>
      <c r="AF1115" s="744" t="s">
        <v>3603</v>
      </c>
      <c r="AG1115" s="251" t="s">
        <v>376</v>
      </c>
    </row>
    <row r="1116" spans="1:33" ht="15.75" customHeight="1">
      <c r="A1116" s="743">
        <v>43118</v>
      </c>
      <c r="B1116" s="263" t="s">
        <v>228</v>
      </c>
      <c r="C1116" s="744" t="s">
        <v>3312</v>
      </c>
      <c r="D1116" s="595" t="s">
        <v>3598</v>
      </c>
      <c r="E1116" s="595" t="s">
        <v>3604</v>
      </c>
      <c r="F1116" s="264">
        <v>2</v>
      </c>
      <c r="G1116" s="772">
        <v>336</v>
      </c>
      <c r="H1116" s="265">
        <f t="shared" si="121"/>
        <v>672</v>
      </c>
      <c r="I1116" s="254" t="s">
        <v>170</v>
      </c>
      <c r="J1116" s="267" t="s">
        <v>232</v>
      </c>
      <c r="K1116" s="256">
        <v>43139</v>
      </c>
      <c r="L1116" s="256"/>
      <c r="M1116" s="256">
        <v>43139</v>
      </c>
      <c r="N1116" s="331" t="s">
        <v>89</v>
      </c>
      <c r="O1116" s="308" t="s">
        <v>3599</v>
      </c>
      <c r="Q1116" s="266">
        <v>602.70000000000005</v>
      </c>
      <c r="R1116" s="1394"/>
      <c r="S1116" s="1394"/>
      <c r="U1116" s="328"/>
      <c r="V1116" s="338" t="s">
        <v>93</v>
      </c>
      <c r="W1116" s="747">
        <v>43190</v>
      </c>
      <c r="X1116" s="748">
        <v>43139</v>
      </c>
      <c r="Y1116" s="744" t="s">
        <v>3600</v>
      </c>
      <c r="Z1116" s="744" t="s">
        <v>3605</v>
      </c>
      <c r="AA1116" s="748">
        <v>43180</v>
      </c>
      <c r="AB1116" s="744" t="s">
        <v>3601</v>
      </c>
      <c r="AC1116" s="744"/>
      <c r="AD1116" s="744" t="s">
        <v>3602</v>
      </c>
      <c r="AE1116" s="744" t="s">
        <v>3606</v>
      </c>
      <c r="AF1116" s="744" t="s">
        <v>3603</v>
      </c>
      <c r="AG1116" s="251" t="s">
        <v>376</v>
      </c>
    </row>
    <row r="1117" spans="1:33" ht="15.75" customHeight="1">
      <c r="A1117" s="743">
        <v>43119</v>
      </c>
      <c r="B1117" s="263" t="s">
        <v>76</v>
      </c>
      <c r="C1117" s="744" t="s">
        <v>3312</v>
      </c>
      <c r="D1117" s="250" t="s">
        <v>3607</v>
      </c>
      <c r="E1117" s="250" t="s">
        <v>477</v>
      </c>
      <c r="F1117" s="264">
        <v>50</v>
      </c>
      <c r="G1117" s="336">
        <v>2.25</v>
      </c>
      <c r="H1117" s="265">
        <f t="shared" si="121"/>
        <v>112.5</v>
      </c>
      <c r="I1117" s="585" t="s">
        <v>42</v>
      </c>
      <c r="J1117" s="367" t="s">
        <v>315</v>
      </c>
      <c r="K1117" s="256">
        <v>43157</v>
      </c>
      <c r="L1117" s="256"/>
      <c r="M1117" s="256">
        <v>43140</v>
      </c>
      <c r="N1117" s="331" t="s">
        <v>3608</v>
      </c>
      <c r="O1117" s="308" t="s">
        <v>3609</v>
      </c>
      <c r="Q1117" s="591"/>
      <c r="R1117" s="1406"/>
      <c r="S1117" s="1406"/>
      <c r="U1117" s="328"/>
      <c r="V1117" s="386" t="s">
        <v>2093</v>
      </c>
      <c r="W1117" s="328"/>
      <c r="X1117" s="744" t="s">
        <v>3556</v>
      </c>
      <c r="Y1117" s="744" t="s">
        <v>3556</v>
      </c>
      <c r="Z1117" s="744" t="s">
        <v>3556</v>
      </c>
      <c r="AA1117" s="748"/>
      <c r="AB1117" s="250" t="s">
        <v>3610</v>
      </c>
      <c r="AC1117" s="744">
        <v>292481022</v>
      </c>
      <c r="AD1117" s="744"/>
      <c r="AE1117" s="744"/>
      <c r="AF1117" s="744"/>
      <c r="AG1117" s="251" t="s">
        <v>283</v>
      </c>
    </row>
    <row r="1118" spans="1:33" ht="15.75" customHeight="1">
      <c r="A1118" s="743">
        <v>43119</v>
      </c>
      <c r="B1118" s="263" t="s">
        <v>325</v>
      </c>
      <c r="C1118" s="744" t="s">
        <v>3312</v>
      </c>
      <c r="D1118" s="744" t="s">
        <v>3611</v>
      </c>
      <c r="E1118" s="744" t="s">
        <v>3612</v>
      </c>
      <c r="F1118" s="264">
        <v>10</v>
      </c>
      <c r="G1118" s="336">
        <v>567</v>
      </c>
      <c r="H1118" s="265">
        <f t="shared" si="121"/>
        <v>5670</v>
      </c>
      <c r="I1118" s="254" t="s">
        <v>3315</v>
      </c>
      <c r="J1118" s="267" t="s">
        <v>3613</v>
      </c>
      <c r="K1118" s="256">
        <v>43137</v>
      </c>
      <c r="L1118" s="256"/>
      <c r="M1118" s="256">
        <v>43133</v>
      </c>
      <c r="N1118" s="331" t="s">
        <v>3614</v>
      </c>
      <c r="O1118" s="250" t="s">
        <v>3615</v>
      </c>
      <c r="Q1118" s="266">
        <v>5355</v>
      </c>
      <c r="R1118" s="1394"/>
      <c r="S1118" s="1394"/>
      <c r="U1118" s="328"/>
      <c r="V1118" s="420" t="s">
        <v>2159</v>
      </c>
      <c r="W1118" s="747">
        <v>43189</v>
      </c>
      <c r="X1118" s="748">
        <v>43133</v>
      </c>
      <c r="Y1118" s="744" t="s">
        <v>3616</v>
      </c>
      <c r="Z1118" s="749">
        <v>163574</v>
      </c>
      <c r="AA1118" s="748">
        <v>43188</v>
      </c>
      <c r="AB1118" s="744" t="s">
        <v>3617</v>
      </c>
      <c r="AC1118" s="744" t="s">
        <v>3618</v>
      </c>
      <c r="AD1118" s="744"/>
      <c r="AE1118" s="744"/>
      <c r="AF1118" s="744"/>
      <c r="AG1118" s="251" t="s">
        <v>283</v>
      </c>
    </row>
    <row r="1119" spans="1:33" ht="15.75" customHeight="1">
      <c r="A1119" s="743">
        <v>43119</v>
      </c>
      <c r="B1119" s="263" t="s">
        <v>325</v>
      </c>
      <c r="C1119" s="744" t="s">
        <v>3312</v>
      </c>
      <c r="D1119" s="744" t="s">
        <v>3611</v>
      </c>
      <c r="E1119" s="744" t="s">
        <v>52</v>
      </c>
      <c r="F1119" s="264">
        <v>10</v>
      </c>
      <c r="G1119" s="336">
        <v>31</v>
      </c>
      <c r="H1119" s="265">
        <f t="shared" si="121"/>
        <v>310</v>
      </c>
      <c r="I1119" s="254" t="s">
        <v>3315</v>
      </c>
      <c r="J1119" s="267" t="s">
        <v>3613</v>
      </c>
      <c r="K1119" s="256">
        <v>43137</v>
      </c>
      <c r="L1119" s="256"/>
      <c r="M1119" s="256">
        <v>43133</v>
      </c>
      <c r="N1119" s="331" t="s">
        <v>3614</v>
      </c>
      <c r="O1119" s="250" t="s">
        <v>3615</v>
      </c>
      <c r="Q1119" s="266">
        <v>226.8</v>
      </c>
      <c r="R1119" s="1394"/>
      <c r="S1119" s="1394"/>
      <c r="U1119" s="593"/>
      <c r="V1119" s="420" t="s">
        <v>2159</v>
      </c>
      <c r="W1119" s="747">
        <v>43189</v>
      </c>
      <c r="X1119" s="748">
        <v>43133</v>
      </c>
      <c r="Y1119" s="744" t="s">
        <v>3616</v>
      </c>
      <c r="Z1119" s="744" t="s">
        <v>3619</v>
      </c>
      <c r="AA1119" s="748">
        <v>43188</v>
      </c>
      <c r="AB1119" s="744" t="s">
        <v>3617</v>
      </c>
      <c r="AC1119" s="744" t="s">
        <v>3618</v>
      </c>
      <c r="AD1119" s="744"/>
      <c r="AE1119" s="744"/>
      <c r="AF1119" s="744"/>
      <c r="AG1119" s="251" t="s">
        <v>283</v>
      </c>
    </row>
    <row r="1120" spans="1:33" ht="15.75" customHeight="1">
      <c r="A1120" s="743">
        <v>43119</v>
      </c>
      <c r="B1120" s="263" t="s">
        <v>325</v>
      </c>
      <c r="C1120" s="744" t="s">
        <v>3312</v>
      </c>
      <c r="D1120" s="744" t="s">
        <v>3611</v>
      </c>
      <c r="E1120" s="744" t="s">
        <v>58</v>
      </c>
      <c r="F1120" s="264">
        <v>10</v>
      </c>
      <c r="G1120" s="336">
        <v>4</v>
      </c>
      <c r="H1120" s="265">
        <f t="shared" si="121"/>
        <v>40</v>
      </c>
      <c r="I1120" s="254" t="s">
        <v>3315</v>
      </c>
      <c r="J1120" s="267" t="s">
        <v>3613</v>
      </c>
      <c r="K1120" s="256">
        <v>43137</v>
      </c>
      <c r="L1120" s="256"/>
      <c r="M1120" s="256">
        <v>43133</v>
      </c>
      <c r="N1120" s="331" t="s">
        <v>3614</v>
      </c>
      <c r="O1120" s="250" t="s">
        <v>3615</v>
      </c>
      <c r="Q1120" s="266">
        <v>21</v>
      </c>
      <c r="R1120" s="1394"/>
      <c r="S1120" s="1394"/>
      <c r="U1120" s="328"/>
      <c r="V1120" s="420" t="s">
        <v>2159</v>
      </c>
      <c r="W1120" s="747">
        <v>43189</v>
      </c>
      <c r="X1120" s="748">
        <v>43133</v>
      </c>
      <c r="Y1120" s="744" t="s">
        <v>3616</v>
      </c>
      <c r="Z1120" s="744" t="s">
        <v>3619</v>
      </c>
      <c r="AA1120" s="748">
        <v>43188</v>
      </c>
      <c r="AB1120" s="744" t="s">
        <v>3617</v>
      </c>
      <c r="AC1120" s="744" t="s">
        <v>3618</v>
      </c>
      <c r="AD1120" s="744"/>
      <c r="AE1120" s="744"/>
      <c r="AF1120" s="744"/>
      <c r="AG1120" s="251" t="s">
        <v>283</v>
      </c>
    </row>
    <row r="1121" spans="1:33" ht="15.75" customHeight="1">
      <c r="A1121" s="743">
        <v>43119</v>
      </c>
      <c r="B1121" s="263" t="s">
        <v>325</v>
      </c>
      <c r="C1121" s="744" t="s">
        <v>3312</v>
      </c>
      <c r="D1121" s="744" t="s">
        <v>3611</v>
      </c>
      <c r="E1121" s="744" t="s">
        <v>3620</v>
      </c>
      <c r="F1121" s="264">
        <v>10</v>
      </c>
      <c r="G1121" s="336">
        <v>273</v>
      </c>
      <c r="H1121" s="265">
        <f t="shared" si="121"/>
        <v>2730</v>
      </c>
      <c r="I1121" s="254" t="s">
        <v>3315</v>
      </c>
      <c r="J1121" s="267" t="s">
        <v>3613</v>
      </c>
      <c r="K1121" s="256">
        <v>43137</v>
      </c>
      <c r="L1121" s="256"/>
      <c r="M1121" s="256">
        <v>43133</v>
      </c>
      <c r="N1121" s="331" t="s">
        <v>44</v>
      </c>
      <c r="O1121" s="250" t="s">
        <v>3621</v>
      </c>
      <c r="Q1121" s="266">
        <v>2257.5</v>
      </c>
      <c r="R1121" s="1394"/>
      <c r="S1121" s="1394"/>
      <c r="U1121" s="328"/>
      <c r="V1121" s="338" t="s">
        <v>46</v>
      </c>
      <c r="W1121" s="747">
        <v>43164</v>
      </c>
      <c r="X1121" s="748">
        <v>43130</v>
      </c>
      <c r="Y1121" s="744" t="s">
        <v>3622</v>
      </c>
      <c r="Z1121" s="749">
        <v>65807</v>
      </c>
      <c r="AA1121" s="750">
        <v>43164</v>
      </c>
      <c r="AB1121" s="744" t="s">
        <v>3617</v>
      </c>
      <c r="AC1121" s="744" t="s">
        <v>3618</v>
      </c>
      <c r="AD1121" s="744"/>
      <c r="AE1121" s="744"/>
      <c r="AF1121" s="744"/>
      <c r="AG1121" s="251" t="s">
        <v>283</v>
      </c>
    </row>
    <row r="1122" spans="1:33" ht="15.75" customHeight="1">
      <c r="A1122" s="743">
        <v>43119</v>
      </c>
      <c r="B1122" s="263" t="s">
        <v>118</v>
      </c>
      <c r="C1122" s="744" t="s">
        <v>3312</v>
      </c>
      <c r="D1122" s="250" t="s">
        <v>3623</v>
      </c>
      <c r="E1122" s="250" t="s">
        <v>3451</v>
      </c>
      <c r="F1122" s="251">
        <v>2</v>
      </c>
      <c r="G1122" s="252">
        <v>500</v>
      </c>
      <c r="H1122" s="253">
        <f t="shared" ref="H1122:H1123" si="122">F1122*G1122</f>
        <v>1000</v>
      </c>
      <c r="I1122" s="254" t="s">
        <v>419</v>
      </c>
      <c r="J1122" s="267" t="s">
        <v>3624</v>
      </c>
      <c r="K1122" s="256">
        <v>43143</v>
      </c>
      <c r="L1122" s="256"/>
      <c r="M1122" s="256">
        <v>43131</v>
      </c>
      <c r="N1122" s="331" t="s">
        <v>89</v>
      </c>
      <c r="O1122" s="308" t="s">
        <v>3625</v>
      </c>
      <c r="Q1122" s="266">
        <v>892.5</v>
      </c>
      <c r="R1122" s="1394"/>
      <c r="S1122" s="1394"/>
      <c r="U1122" s="328"/>
      <c r="V1122" s="338" t="s">
        <v>93</v>
      </c>
      <c r="W1122" s="747">
        <v>43190</v>
      </c>
      <c r="X1122" s="748">
        <v>43131</v>
      </c>
      <c r="Y1122" s="744" t="s">
        <v>3626</v>
      </c>
      <c r="Z1122" s="749">
        <v>26315</v>
      </c>
      <c r="AA1122" s="750">
        <v>43167</v>
      </c>
      <c r="AB1122" s="250" t="s">
        <v>3445</v>
      </c>
      <c r="AC1122" s="744" t="s">
        <v>3446</v>
      </c>
      <c r="AD1122" s="744"/>
      <c r="AE1122" s="744"/>
      <c r="AF1122" s="744"/>
      <c r="AG1122" s="251" t="s">
        <v>283</v>
      </c>
    </row>
    <row r="1123" spans="1:33" ht="15.75" customHeight="1">
      <c r="A1123" s="743">
        <v>43119</v>
      </c>
      <c r="B1123" s="263" t="s">
        <v>118</v>
      </c>
      <c r="C1123" s="744" t="s">
        <v>3312</v>
      </c>
      <c r="D1123" s="250" t="s">
        <v>3623</v>
      </c>
      <c r="E1123" s="250" t="s">
        <v>3627</v>
      </c>
      <c r="F1123" s="251">
        <v>12</v>
      </c>
      <c r="G1123" s="252">
        <v>930</v>
      </c>
      <c r="H1123" s="253">
        <f t="shared" si="122"/>
        <v>11160</v>
      </c>
      <c r="I1123" s="254" t="s">
        <v>419</v>
      </c>
      <c r="J1123" s="267" t="s">
        <v>3624</v>
      </c>
      <c r="K1123" s="256">
        <v>43143</v>
      </c>
      <c r="L1123" s="256"/>
      <c r="M1123" s="256">
        <v>43126</v>
      </c>
      <c r="N1123" s="251" t="s">
        <v>3628</v>
      </c>
      <c r="O1123" s="308" t="s">
        <v>3629</v>
      </c>
      <c r="Q1123" s="308">
        <v>10218.6</v>
      </c>
      <c r="R1123" s="1410"/>
      <c r="S1123" s="1410"/>
      <c r="U1123" s="773"/>
      <c r="V1123" s="318" t="s">
        <v>3285</v>
      </c>
      <c r="W1123" s="328"/>
      <c r="X1123" s="748">
        <v>43126</v>
      </c>
      <c r="Y1123" s="744" t="s">
        <v>3630</v>
      </c>
      <c r="Z1123" s="749">
        <v>297770</v>
      </c>
      <c r="AA1123" s="748">
        <v>43130</v>
      </c>
      <c r="AB1123" s="250" t="s">
        <v>3445</v>
      </c>
      <c r="AC1123" s="744" t="s">
        <v>3446</v>
      </c>
      <c r="AD1123" s="744"/>
      <c r="AE1123" s="744"/>
      <c r="AF1123" s="744"/>
      <c r="AG1123" s="251" t="s">
        <v>283</v>
      </c>
    </row>
    <row r="1124" spans="1:33" ht="15.75" customHeight="1">
      <c r="A1124" s="755">
        <v>43122</v>
      </c>
      <c r="B1124" s="338" t="s">
        <v>53</v>
      </c>
      <c r="C1124" s="744" t="s">
        <v>3312</v>
      </c>
      <c r="D1124" s="308" t="s">
        <v>3631</v>
      </c>
      <c r="E1124" s="308" t="s">
        <v>3632</v>
      </c>
      <c r="F1124" s="264">
        <v>4</v>
      </c>
      <c r="G1124" s="252">
        <v>150.15</v>
      </c>
      <c r="H1124" s="265">
        <f t="shared" ref="H1124:H1159" si="123">G1124*F1124</f>
        <v>600.6</v>
      </c>
      <c r="I1124" s="264" t="s">
        <v>42</v>
      </c>
      <c r="J1124" s="251" t="s">
        <v>89</v>
      </c>
      <c r="K1124" s="256">
        <v>43139</v>
      </c>
      <c r="L1124" s="256"/>
      <c r="M1124" s="256">
        <v>43139</v>
      </c>
      <c r="N1124" s="331" t="s">
        <v>89</v>
      </c>
      <c r="O1124" s="308" t="s">
        <v>3633</v>
      </c>
      <c r="Q1124" s="266">
        <v>537.6</v>
      </c>
      <c r="R1124" s="1394"/>
      <c r="S1124" s="1394"/>
      <c r="U1124" s="328"/>
      <c r="V1124" s="338" t="s">
        <v>93</v>
      </c>
      <c r="W1124" s="747">
        <v>43190</v>
      </c>
      <c r="X1124" s="748">
        <v>43139</v>
      </c>
      <c r="Y1124" s="744" t="s">
        <v>3634</v>
      </c>
      <c r="Z1124" s="749">
        <v>15588</v>
      </c>
      <c r="AA1124" s="750">
        <v>43167</v>
      </c>
      <c r="AB1124" s="744" t="s">
        <v>3635</v>
      </c>
      <c r="AC1124" s="744"/>
      <c r="AD1124" s="744" t="s">
        <v>3636</v>
      </c>
      <c r="AE1124" s="749">
        <v>17579</v>
      </c>
      <c r="AF1124" s="744" t="s">
        <v>3603</v>
      </c>
      <c r="AG1124" s="251" t="s">
        <v>376</v>
      </c>
    </row>
    <row r="1125" spans="1:33" ht="15.75" customHeight="1">
      <c r="A1125" s="743">
        <v>43122</v>
      </c>
      <c r="B1125" s="590" t="s">
        <v>405</v>
      </c>
      <c r="C1125" s="744" t="s">
        <v>3312</v>
      </c>
      <c r="D1125" s="250" t="s">
        <v>3637</v>
      </c>
      <c r="E1125" s="250" t="s">
        <v>3638</v>
      </c>
      <c r="F1125" s="251">
        <v>1</v>
      </c>
      <c r="G1125" s="252">
        <v>100</v>
      </c>
      <c r="H1125" s="253">
        <f t="shared" si="123"/>
        <v>100</v>
      </c>
      <c r="I1125" s="254" t="s">
        <v>42</v>
      </c>
      <c r="J1125" s="756" t="s">
        <v>3462</v>
      </c>
      <c r="K1125" s="256">
        <v>43129</v>
      </c>
      <c r="L1125" s="256"/>
      <c r="M1125" s="256">
        <v>43126</v>
      </c>
      <c r="N1125" s="331" t="s">
        <v>3432</v>
      </c>
      <c r="O1125" s="250" t="s">
        <v>3639</v>
      </c>
      <c r="Q1125" s="591"/>
      <c r="R1125" s="1406"/>
      <c r="S1125" s="1406"/>
      <c r="U1125" s="572">
        <v>2774</v>
      </c>
      <c r="V1125" s="308" t="s">
        <v>2045</v>
      </c>
      <c r="W1125" s="747">
        <v>43220</v>
      </c>
      <c r="X1125" s="748">
        <v>43126</v>
      </c>
      <c r="Y1125" s="744" t="s">
        <v>3640</v>
      </c>
      <c r="Z1125" s="749">
        <v>2774</v>
      </c>
      <c r="AA1125" s="748">
        <v>43225</v>
      </c>
      <c r="AB1125" s="250" t="s">
        <v>3641</v>
      </c>
      <c r="AC1125" s="744">
        <v>7508940854</v>
      </c>
      <c r="AD1125" s="744"/>
      <c r="AE1125" s="744"/>
      <c r="AF1125" s="744"/>
      <c r="AG1125" s="251" t="s">
        <v>283</v>
      </c>
    </row>
    <row r="1126" spans="1:33" ht="15.75" customHeight="1">
      <c r="A1126" s="743">
        <v>43122</v>
      </c>
      <c r="B1126" s="774" t="s">
        <v>405</v>
      </c>
      <c r="C1126" s="744" t="s">
        <v>3312</v>
      </c>
      <c r="D1126" s="250" t="s">
        <v>3642</v>
      </c>
      <c r="E1126" s="250" t="s">
        <v>3643</v>
      </c>
      <c r="F1126" s="251">
        <v>5</v>
      </c>
      <c r="G1126" s="252">
        <v>685</v>
      </c>
      <c r="H1126" s="365">
        <f t="shared" si="123"/>
        <v>3425</v>
      </c>
      <c r="I1126" s="254" t="s">
        <v>42</v>
      </c>
      <c r="J1126" s="331" t="s">
        <v>3644</v>
      </c>
      <c r="K1126" s="256">
        <v>43174</v>
      </c>
      <c r="L1126" s="256"/>
      <c r="M1126" s="256">
        <v>43171</v>
      </c>
      <c r="N1126" s="331" t="s">
        <v>1512</v>
      </c>
      <c r="O1126" s="308" t="s">
        <v>3645</v>
      </c>
      <c r="Q1126" s="591"/>
      <c r="R1126" s="1406"/>
      <c r="S1126" s="1406"/>
      <c r="U1126" s="328"/>
      <c r="V1126" s="318"/>
      <c r="W1126" s="328"/>
      <c r="X1126" s="745"/>
      <c r="Y1126" s="745"/>
      <c r="Z1126" s="745"/>
      <c r="AA1126" s="746"/>
      <c r="AB1126" s="250" t="s">
        <v>3646</v>
      </c>
      <c r="AC1126" s="744">
        <v>185039024</v>
      </c>
      <c r="AD1126" s="744"/>
      <c r="AE1126" s="744"/>
      <c r="AF1126" s="744"/>
      <c r="AG1126" s="251" t="s">
        <v>283</v>
      </c>
    </row>
    <row r="1127" spans="1:33" ht="15.75" customHeight="1">
      <c r="A1127" s="743">
        <v>43122</v>
      </c>
      <c r="B1127" s="774" t="s">
        <v>405</v>
      </c>
      <c r="C1127" s="744" t="s">
        <v>3312</v>
      </c>
      <c r="D1127" s="250" t="s">
        <v>3642</v>
      </c>
      <c r="E1127" s="250" t="s">
        <v>511</v>
      </c>
      <c r="F1127" s="251">
        <v>5</v>
      </c>
      <c r="G1127" s="252">
        <v>39</v>
      </c>
      <c r="H1127" s="365">
        <f t="shared" si="123"/>
        <v>195</v>
      </c>
      <c r="I1127" s="254" t="s">
        <v>42</v>
      </c>
      <c r="J1127" s="331" t="s">
        <v>3644</v>
      </c>
      <c r="K1127" s="256">
        <v>43174</v>
      </c>
      <c r="L1127" s="256"/>
      <c r="M1127" s="256">
        <v>43133</v>
      </c>
      <c r="N1127" s="331" t="s">
        <v>2124</v>
      </c>
      <c r="O1127" s="308" t="s">
        <v>3647</v>
      </c>
      <c r="Q1127" s="265">
        <v>173.25</v>
      </c>
      <c r="R1127" s="1411"/>
      <c r="S1127" s="1411"/>
      <c r="U1127" s="572">
        <v>5068</v>
      </c>
      <c r="V1127" s="308" t="s">
        <v>2126</v>
      </c>
      <c r="W1127" s="328"/>
      <c r="X1127" s="744" t="s">
        <v>3556</v>
      </c>
      <c r="Y1127" s="744" t="s">
        <v>3556</v>
      </c>
      <c r="Z1127" s="744" t="s">
        <v>3556</v>
      </c>
      <c r="AA1127" s="748">
        <v>43129</v>
      </c>
      <c r="AB1127" s="250" t="s">
        <v>3646</v>
      </c>
      <c r="AC1127" s="744">
        <v>185039024</v>
      </c>
      <c r="AD1127" s="744"/>
      <c r="AE1127" s="744"/>
      <c r="AF1127" s="744"/>
      <c r="AG1127" s="251" t="s">
        <v>283</v>
      </c>
    </row>
    <row r="1128" spans="1:33" ht="15.75" customHeight="1">
      <c r="A1128" s="743">
        <v>43122</v>
      </c>
      <c r="B1128" s="774" t="s">
        <v>405</v>
      </c>
      <c r="C1128" s="744" t="s">
        <v>3312</v>
      </c>
      <c r="D1128" s="250" t="s">
        <v>3642</v>
      </c>
      <c r="E1128" s="250" t="s">
        <v>514</v>
      </c>
      <c r="F1128" s="251">
        <v>5</v>
      </c>
      <c r="G1128" s="252">
        <v>43</v>
      </c>
      <c r="H1128" s="365">
        <f t="shared" si="123"/>
        <v>215</v>
      </c>
      <c r="I1128" s="254" t="s">
        <v>42</v>
      </c>
      <c r="J1128" s="331" t="s">
        <v>3644</v>
      </c>
      <c r="K1128" s="256">
        <v>43174</v>
      </c>
      <c r="L1128" s="256"/>
      <c r="M1128" s="256">
        <v>43133</v>
      </c>
      <c r="N1128" s="331" t="s">
        <v>2124</v>
      </c>
      <c r="O1128" s="308" t="s">
        <v>3647</v>
      </c>
      <c r="Q1128" s="266">
        <v>197.4</v>
      </c>
      <c r="R1128" s="1394"/>
      <c r="S1128" s="1394"/>
      <c r="U1128" s="572">
        <v>5774</v>
      </c>
      <c r="V1128" s="308" t="s">
        <v>2126</v>
      </c>
      <c r="W1128" s="328"/>
      <c r="X1128" s="744" t="s">
        <v>3556</v>
      </c>
      <c r="Y1128" s="744" t="s">
        <v>3556</v>
      </c>
      <c r="Z1128" s="744" t="s">
        <v>3556</v>
      </c>
      <c r="AA1128" s="748">
        <v>43129</v>
      </c>
      <c r="AB1128" s="250" t="s">
        <v>3646</v>
      </c>
      <c r="AC1128" s="744">
        <v>185039024</v>
      </c>
      <c r="AD1128" s="744"/>
      <c r="AE1128" s="744"/>
      <c r="AF1128" s="744"/>
      <c r="AG1128" s="251" t="s">
        <v>283</v>
      </c>
    </row>
    <row r="1129" spans="1:33" ht="15.75" customHeight="1">
      <c r="A1129" s="743">
        <v>43122</v>
      </c>
      <c r="B1129" s="263" t="s">
        <v>3347</v>
      </c>
      <c r="C1129" s="744" t="s">
        <v>3312</v>
      </c>
      <c r="D1129" s="250" t="s">
        <v>3648</v>
      </c>
      <c r="E1129" s="250" t="s">
        <v>3649</v>
      </c>
      <c r="F1129" s="251">
        <v>15</v>
      </c>
      <c r="G1129" s="252">
        <v>174.5</v>
      </c>
      <c r="H1129" s="253">
        <f t="shared" si="123"/>
        <v>2617.5</v>
      </c>
      <c r="I1129" s="254" t="s">
        <v>3424</v>
      </c>
      <c r="J1129" s="267" t="s">
        <v>3350</v>
      </c>
      <c r="K1129" s="256">
        <v>43137</v>
      </c>
      <c r="L1129" s="256"/>
      <c r="M1129" s="256">
        <v>43132</v>
      </c>
      <c r="N1129" s="331" t="s">
        <v>3351</v>
      </c>
      <c r="O1129" s="308" t="s">
        <v>3650</v>
      </c>
      <c r="Q1129" s="266">
        <v>2488.5</v>
      </c>
      <c r="R1129" s="1394"/>
      <c r="S1129" s="1394"/>
      <c r="U1129" s="328"/>
      <c r="V1129" s="308" t="s">
        <v>3353</v>
      </c>
      <c r="W1129" s="771"/>
      <c r="X1129" s="750">
        <v>43138</v>
      </c>
      <c r="Y1129" s="250" t="s">
        <v>3651</v>
      </c>
      <c r="Z1129" s="753">
        <v>72155</v>
      </c>
      <c r="AA1129" s="748">
        <v>43130</v>
      </c>
      <c r="AB1129" s="250" t="s">
        <v>3427</v>
      </c>
      <c r="AC1129" s="761" t="s">
        <v>3428</v>
      </c>
      <c r="AD1129" s="744"/>
      <c r="AE1129" s="744"/>
      <c r="AF1129" s="744"/>
      <c r="AG1129" s="251" t="s">
        <v>283</v>
      </c>
    </row>
    <row r="1130" spans="1:33" ht="15.75" customHeight="1">
      <c r="A1130" s="775">
        <v>43122</v>
      </c>
      <c r="B1130" s="762" t="s">
        <v>3347</v>
      </c>
      <c r="C1130" s="744" t="s">
        <v>3312</v>
      </c>
      <c r="D1130" s="274" t="s">
        <v>3652</v>
      </c>
      <c r="E1130" s="274"/>
      <c r="F1130" s="776">
        <v>6</v>
      </c>
      <c r="G1130" s="279">
        <v>0</v>
      </c>
      <c r="H1130" s="287">
        <f t="shared" si="123"/>
        <v>0</v>
      </c>
      <c r="I1130" s="280" t="s">
        <v>3424</v>
      </c>
      <c r="J1130" s="281" t="s">
        <v>3350</v>
      </c>
      <c r="K1130" s="776" t="s">
        <v>70</v>
      </c>
      <c r="L1130" s="776"/>
      <c r="M1130" s="289"/>
      <c r="N1130" s="281"/>
      <c r="O1130" s="777"/>
      <c r="Q1130" s="778"/>
      <c r="R1130" s="1412"/>
      <c r="S1130" s="1412"/>
      <c r="U1130" s="777"/>
      <c r="V1130" s="779"/>
      <c r="W1130" s="777"/>
      <c r="X1130" s="780"/>
      <c r="Y1130" s="780"/>
      <c r="Z1130" s="780"/>
      <c r="AA1130" s="781"/>
      <c r="AB1130" s="780"/>
      <c r="AC1130" s="274"/>
      <c r="AD1130" s="274"/>
      <c r="AE1130" s="274"/>
      <c r="AF1130" s="274"/>
      <c r="AG1130" s="264" t="s">
        <v>3456</v>
      </c>
    </row>
    <row r="1131" spans="1:33" ht="15.75" customHeight="1">
      <c r="A1131" s="743">
        <v>43123</v>
      </c>
      <c r="B1131" s="263" t="s">
        <v>76</v>
      </c>
      <c r="C1131" s="744" t="s">
        <v>3312</v>
      </c>
      <c r="D1131" s="250" t="s">
        <v>3653</v>
      </c>
      <c r="E1131" s="250" t="s">
        <v>3329</v>
      </c>
      <c r="F1131" s="264">
        <v>50</v>
      </c>
      <c r="G1131" s="252">
        <v>90</v>
      </c>
      <c r="H1131" s="253">
        <f t="shared" si="123"/>
        <v>4500</v>
      </c>
      <c r="I1131" s="254" t="s">
        <v>42</v>
      </c>
      <c r="J1131" s="367" t="s">
        <v>315</v>
      </c>
      <c r="K1131" s="256">
        <v>43157</v>
      </c>
      <c r="L1131" s="256"/>
      <c r="M1131" s="256">
        <v>43136</v>
      </c>
      <c r="N1131" s="331" t="s">
        <v>3330</v>
      </c>
      <c r="O1131" s="308" t="s">
        <v>3654</v>
      </c>
      <c r="Q1131" s="591"/>
      <c r="R1131" s="1406"/>
      <c r="S1131" s="1406"/>
      <c r="U1131" s="572">
        <v>122273</v>
      </c>
      <c r="V1131" s="597" t="s">
        <v>3655</v>
      </c>
      <c r="W1131" s="747">
        <v>43143</v>
      </c>
      <c r="X1131" s="748">
        <v>43136</v>
      </c>
      <c r="Y1131" s="744" t="s">
        <v>3656</v>
      </c>
      <c r="Z1131" s="749">
        <v>171182</v>
      </c>
      <c r="AA1131" s="748">
        <v>43154</v>
      </c>
      <c r="AB1131" s="250" t="s">
        <v>3610</v>
      </c>
      <c r="AC1131" s="744">
        <v>292481022</v>
      </c>
      <c r="AD1131" s="744"/>
      <c r="AE1131" s="744"/>
      <c r="AF1131" s="744"/>
      <c r="AG1131" s="251" t="s">
        <v>283</v>
      </c>
    </row>
    <row r="1132" spans="1:33" ht="15.75" customHeight="1">
      <c r="A1132" s="743">
        <v>43123</v>
      </c>
      <c r="B1132" s="263" t="s">
        <v>76</v>
      </c>
      <c r="C1132" s="744" t="s">
        <v>3312</v>
      </c>
      <c r="D1132" s="250" t="s">
        <v>3653</v>
      </c>
      <c r="E1132" s="250" t="s">
        <v>1730</v>
      </c>
      <c r="F1132" s="305">
        <v>200</v>
      </c>
      <c r="G1132" s="323">
        <v>3</v>
      </c>
      <c r="H1132" s="253">
        <f t="shared" si="123"/>
        <v>600</v>
      </c>
      <c r="I1132" s="254" t="s">
        <v>42</v>
      </c>
      <c r="J1132" s="367" t="s">
        <v>315</v>
      </c>
      <c r="K1132" s="256">
        <v>43157</v>
      </c>
      <c r="L1132" s="256"/>
      <c r="M1132" s="256">
        <v>43143</v>
      </c>
      <c r="N1132" s="331" t="s">
        <v>3608</v>
      </c>
      <c r="O1132" s="308" t="s">
        <v>3657</v>
      </c>
      <c r="Q1132" s="591"/>
      <c r="R1132" s="1406"/>
      <c r="S1132" s="1406"/>
      <c r="U1132" s="572">
        <v>13650</v>
      </c>
      <c r="V1132" s="386" t="s">
        <v>2093</v>
      </c>
      <c r="W1132" s="747">
        <v>43164</v>
      </c>
      <c r="X1132" s="748">
        <v>43139</v>
      </c>
      <c r="Y1132" s="744" t="s">
        <v>3658</v>
      </c>
      <c r="Z1132" s="749">
        <v>28846</v>
      </c>
      <c r="AA1132" s="748">
        <v>43164</v>
      </c>
      <c r="AB1132" s="250" t="s">
        <v>3610</v>
      </c>
      <c r="AC1132" s="744">
        <v>292481022</v>
      </c>
      <c r="AD1132" s="744"/>
      <c r="AE1132" s="744"/>
      <c r="AF1132" s="744"/>
      <c r="AG1132" s="251" t="s">
        <v>283</v>
      </c>
    </row>
    <row r="1133" spans="1:33" ht="15.75" customHeight="1">
      <c r="A1133" s="743">
        <v>43123</v>
      </c>
      <c r="B1133" s="263" t="s">
        <v>76</v>
      </c>
      <c r="C1133" s="744" t="s">
        <v>3312</v>
      </c>
      <c r="D1133" s="250" t="s">
        <v>3653</v>
      </c>
      <c r="E1133" s="250" t="s">
        <v>477</v>
      </c>
      <c r="F1133" s="264">
        <v>100</v>
      </c>
      <c r="G1133" s="252">
        <v>2.25</v>
      </c>
      <c r="H1133" s="253">
        <f t="shared" si="123"/>
        <v>225</v>
      </c>
      <c r="I1133" s="254" t="s">
        <v>42</v>
      </c>
      <c r="J1133" s="367" t="s">
        <v>315</v>
      </c>
      <c r="K1133" s="256">
        <v>43157</v>
      </c>
      <c r="L1133" s="256"/>
      <c r="M1133" s="256">
        <v>43143</v>
      </c>
      <c r="N1133" s="331" t="s">
        <v>3608</v>
      </c>
      <c r="O1133" s="308" t="s">
        <v>3657</v>
      </c>
      <c r="Q1133" s="591"/>
      <c r="R1133" s="1406"/>
      <c r="S1133" s="1406"/>
      <c r="U1133" s="572">
        <v>7560</v>
      </c>
      <c r="V1133" s="386" t="s">
        <v>2093</v>
      </c>
      <c r="W1133" s="747">
        <v>43164</v>
      </c>
      <c r="X1133" s="748">
        <v>43139</v>
      </c>
      <c r="Y1133" s="744" t="s">
        <v>3658</v>
      </c>
      <c r="Z1133" s="744" t="s">
        <v>3659</v>
      </c>
      <c r="AA1133" s="748">
        <v>43164</v>
      </c>
      <c r="AB1133" s="250" t="s">
        <v>3610</v>
      </c>
      <c r="AC1133" s="744">
        <v>292481022</v>
      </c>
      <c r="AD1133" s="744"/>
      <c r="AE1133" s="744"/>
      <c r="AF1133" s="744"/>
      <c r="AG1133" s="251" t="s">
        <v>283</v>
      </c>
    </row>
    <row r="1134" spans="1:33" ht="15.75" customHeight="1">
      <c r="A1134" s="775">
        <v>43123</v>
      </c>
      <c r="B1134" s="762" t="s">
        <v>3347</v>
      </c>
      <c r="C1134" s="744" t="s">
        <v>3312</v>
      </c>
      <c r="D1134" s="274" t="s">
        <v>3660</v>
      </c>
      <c r="E1134" s="274" t="s">
        <v>3661</v>
      </c>
      <c r="F1134" s="776">
        <v>100</v>
      </c>
      <c r="G1134" s="279">
        <v>0</v>
      </c>
      <c r="H1134" s="287">
        <f t="shared" si="123"/>
        <v>0</v>
      </c>
      <c r="I1134" s="280" t="s">
        <v>170</v>
      </c>
      <c r="J1134" s="281" t="s">
        <v>3350</v>
      </c>
      <c r="K1134" s="281" t="s">
        <v>70</v>
      </c>
      <c r="L1134" s="1386"/>
      <c r="M1134" s="289">
        <v>43206</v>
      </c>
      <c r="N1134" s="281" t="s">
        <v>3351</v>
      </c>
      <c r="O1134" s="777" t="s">
        <v>3662</v>
      </c>
      <c r="Q1134" s="778">
        <v>16569</v>
      </c>
      <c r="R1134" s="1412"/>
      <c r="S1134" s="1412"/>
      <c r="U1134" s="782"/>
      <c r="V1134" s="777" t="s">
        <v>3353</v>
      </c>
      <c r="W1134" s="777"/>
      <c r="X1134" s="780"/>
      <c r="Y1134" s="780"/>
      <c r="Z1134" s="780"/>
      <c r="AA1134" s="781"/>
      <c r="AB1134" s="780"/>
      <c r="AC1134" s="274"/>
      <c r="AD1134" s="274"/>
      <c r="AE1134" s="274"/>
      <c r="AF1134" s="274"/>
      <c r="AG1134" s="251" t="s">
        <v>3456</v>
      </c>
    </row>
    <row r="1135" spans="1:33" ht="15.75" customHeight="1">
      <c r="A1135" s="775">
        <v>43123</v>
      </c>
      <c r="B1135" s="762" t="s">
        <v>3347</v>
      </c>
      <c r="C1135" s="744" t="s">
        <v>3312</v>
      </c>
      <c r="D1135" s="274" t="s">
        <v>3660</v>
      </c>
      <c r="E1135" s="274" t="s">
        <v>3663</v>
      </c>
      <c r="F1135" s="776">
        <v>20</v>
      </c>
      <c r="G1135" s="279">
        <v>0</v>
      </c>
      <c r="H1135" s="287">
        <f t="shared" si="123"/>
        <v>0</v>
      </c>
      <c r="I1135" s="280" t="s">
        <v>170</v>
      </c>
      <c r="J1135" s="281" t="s">
        <v>3350</v>
      </c>
      <c r="K1135" s="281" t="s">
        <v>70</v>
      </c>
      <c r="L1135" s="1386"/>
      <c r="M1135" s="289">
        <v>43206</v>
      </c>
      <c r="N1135" s="281" t="s">
        <v>3351</v>
      </c>
      <c r="O1135" s="777" t="s">
        <v>3662</v>
      </c>
      <c r="Q1135" s="778">
        <v>3313.8</v>
      </c>
      <c r="R1135" s="1412"/>
      <c r="S1135" s="1412"/>
      <c r="U1135" s="782"/>
      <c r="V1135" s="777" t="s">
        <v>3353</v>
      </c>
      <c r="W1135" s="777"/>
      <c r="X1135" s="780"/>
      <c r="Y1135" s="780"/>
      <c r="Z1135" s="780"/>
      <c r="AA1135" s="781"/>
      <c r="AB1135" s="780"/>
      <c r="AC1135" s="274"/>
      <c r="AD1135" s="274"/>
      <c r="AE1135" s="274"/>
      <c r="AF1135" s="274"/>
      <c r="AG1135" s="251" t="s">
        <v>3456</v>
      </c>
    </row>
    <row r="1136" spans="1:33" ht="15.75" customHeight="1">
      <c r="A1136" s="743">
        <v>43126</v>
      </c>
      <c r="B1136" s="263" t="s">
        <v>546</v>
      </c>
      <c r="C1136" s="744" t="s">
        <v>3312</v>
      </c>
      <c r="D1136" s="250" t="s">
        <v>3664</v>
      </c>
      <c r="E1136" s="250" t="s">
        <v>3665</v>
      </c>
      <c r="F1136" s="251">
        <v>1</v>
      </c>
      <c r="G1136" s="252">
        <v>270</v>
      </c>
      <c r="H1136" s="253">
        <f t="shared" si="123"/>
        <v>270</v>
      </c>
      <c r="I1136" s="254" t="s">
        <v>3315</v>
      </c>
      <c r="J1136" s="267" t="s">
        <v>3588</v>
      </c>
      <c r="K1136" s="256">
        <v>43132</v>
      </c>
      <c r="L1136" s="256"/>
      <c r="M1136" s="256">
        <v>43131</v>
      </c>
      <c r="N1136" s="331" t="s">
        <v>3666</v>
      </c>
      <c r="O1136" s="250">
        <v>165235965</v>
      </c>
      <c r="Q1136" s="591"/>
      <c r="R1136" s="1406"/>
      <c r="S1136" s="1406"/>
      <c r="U1136" s="572">
        <v>6641</v>
      </c>
      <c r="V1136" s="318" t="s">
        <v>3667</v>
      </c>
      <c r="W1136" s="328"/>
      <c r="X1136" s="750">
        <v>43130</v>
      </c>
      <c r="Y1136" s="250" t="s">
        <v>3668</v>
      </c>
      <c r="Z1136" s="753">
        <v>6641</v>
      </c>
      <c r="AA1136" s="748">
        <v>43130</v>
      </c>
      <c r="AB1136" s="250" t="s">
        <v>3669</v>
      </c>
      <c r="AC1136" s="744">
        <v>2891272985</v>
      </c>
      <c r="AD1136" s="744"/>
      <c r="AE1136" s="744"/>
      <c r="AF1136" s="744"/>
      <c r="AG1136" s="251" t="s">
        <v>283</v>
      </c>
    </row>
    <row r="1137" spans="1:33" ht="15.75" customHeight="1">
      <c r="A1137" s="743">
        <v>43129</v>
      </c>
      <c r="B1137" s="590" t="s">
        <v>405</v>
      </c>
      <c r="C1137" s="744" t="s">
        <v>3312</v>
      </c>
      <c r="D1137" s="250" t="s">
        <v>3670</v>
      </c>
      <c r="E1137" s="250" t="s">
        <v>3671</v>
      </c>
      <c r="F1137" s="251">
        <v>1</v>
      </c>
      <c r="G1137" s="252">
        <v>935</v>
      </c>
      <c r="H1137" s="253">
        <f t="shared" si="123"/>
        <v>935</v>
      </c>
      <c r="I1137" s="254" t="s">
        <v>42</v>
      </c>
      <c r="J1137" s="756" t="s">
        <v>3462</v>
      </c>
      <c r="K1137" s="256">
        <v>43139</v>
      </c>
      <c r="L1137" s="256"/>
      <c r="M1137" s="256">
        <v>43133</v>
      </c>
      <c r="N1137" s="331" t="s">
        <v>3432</v>
      </c>
      <c r="O1137" s="308" t="s">
        <v>3672</v>
      </c>
      <c r="Q1137" s="591"/>
      <c r="R1137" s="1406"/>
      <c r="S1137" s="1406"/>
      <c r="U1137" s="572">
        <v>26506</v>
      </c>
      <c r="V1137" s="308" t="s">
        <v>2045</v>
      </c>
      <c r="W1137" s="747">
        <v>43220</v>
      </c>
      <c r="X1137" s="748">
        <v>43132</v>
      </c>
      <c r="Y1137" s="744" t="s">
        <v>3673</v>
      </c>
      <c r="Z1137" s="749">
        <v>26506</v>
      </c>
      <c r="AA1137" s="748">
        <v>43225</v>
      </c>
      <c r="AB1137" s="744" t="s">
        <v>3674</v>
      </c>
      <c r="AC1137" s="744">
        <v>4836279965</v>
      </c>
      <c r="AD1137" s="744"/>
      <c r="AE1137" s="744"/>
      <c r="AF1137" s="744"/>
      <c r="AG1137" s="251" t="s">
        <v>283</v>
      </c>
    </row>
    <row r="1138" spans="1:33" ht="15.75" customHeight="1">
      <c r="A1138" s="743">
        <v>43131</v>
      </c>
      <c r="B1138" s="263" t="s">
        <v>1189</v>
      </c>
      <c r="C1138" s="744" t="s">
        <v>3312</v>
      </c>
      <c r="D1138" s="250" t="s">
        <v>3675</v>
      </c>
      <c r="E1138" s="250" t="s">
        <v>3676</v>
      </c>
      <c r="F1138" s="251">
        <v>1</v>
      </c>
      <c r="G1138" s="252">
        <v>380</v>
      </c>
      <c r="H1138" s="253">
        <f t="shared" si="123"/>
        <v>380</v>
      </c>
      <c r="I1138" s="254" t="s">
        <v>42</v>
      </c>
      <c r="J1138" s="331" t="s">
        <v>3677</v>
      </c>
      <c r="K1138" s="256">
        <v>43174</v>
      </c>
      <c r="L1138" s="256"/>
      <c r="M1138" s="256">
        <v>43161</v>
      </c>
      <c r="N1138" s="331" t="s">
        <v>3678</v>
      </c>
      <c r="O1138" s="308" t="s">
        <v>3679</v>
      </c>
      <c r="Q1138" s="591"/>
      <c r="R1138" s="1406"/>
      <c r="S1138" s="1406"/>
      <c r="U1138" s="572">
        <v>10080</v>
      </c>
      <c r="V1138" s="318" t="s">
        <v>3680</v>
      </c>
      <c r="W1138" s="747">
        <v>43220</v>
      </c>
      <c r="X1138" s="748">
        <v>43160</v>
      </c>
      <c r="Y1138" s="744" t="s">
        <v>3681</v>
      </c>
      <c r="Z1138" s="749">
        <v>10080</v>
      </c>
      <c r="AA1138" s="750">
        <v>43220</v>
      </c>
      <c r="AB1138" s="250" t="s">
        <v>3682</v>
      </c>
      <c r="AC1138" s="744">
        <v>184857455</v>
      </c>
      <c r="AD1138" s="744"/>
      <c r="AE1138" s="744"/>
      <c r="AF1138" s="744"/>
      <c r="AG1138" s="251" t="s">
        <v>283</v>
      </c>
    </row>
    <row r="1139" spans="1:33" ht="15.75" customHeight="1">
      <c r="A1139" s="743">
        <v>43131</v>
      </c>
      <c r="B1139" s="263" t="s">
        <v>100</v>
      </c>
      <c r="C1139" s="744" t="s">
        <v>3312</v>
      </c>
      <c r="D1139" s="250" t="s">
        <v>3683</v>
      </c>
      <c r="E1139" s="250" t="s">
        <v>3684</v>
      </c>
      <c r="F1139" s="251">
        <v>5</v>
      </c>
      <c r="G1139" s="252">
        <v>1118</v>
      </c>
      <c r="H1139" s="253">
        <f t="shared" si="123"/>
        <v>5590</v>
      </c>
      <c r="I1139" s="254" t="s">
        <v>3315</v>
      </c>
      <c r="J1139" s="331" t="s">
        <v>3578</v>
      </c>
      <c r="K1139" s="256">
        <v>43153</v>
      </c>
      <c r="L1139" s="256"/>
      <c r="M1139" s="256">
        <v>43144</v>
      </c>
      <c r="N1139" s="331" t="s">
        <v>1414</v>
      </c>
      <c r="O1139" s="308" t="s">
        <v>3685</v>
      </c>
      <c r="Q1139" s="591"/>
      <c r="R1139" s="1406"/>
      <c r="S1139" s="1406"/>
      <c r="U1139" s="572">
        <v>152271</v>
      </c>
      <c r="V1139" s="318" t="s">
        <v>1947</v>
      </c>
      <c r="W1139" s="747">
        <v>43164</v>
      </c>
      <c r="X1139" s="750">
        <v>43143</v>
      </c>
      <c r="Y1139" s="250" t="s">
        <v>3686</v>
      </c>
      <c r="Z1139" s="753">
        <v>152272</v>
      </c>
      <c r="AA1139" s="748">
        <v>43165</v>
      </c>
      <c r="AB1139" s="250" t="s">
        <v>3687</v>
      </c>
      <c r="AC1139" s="250">
        <v>6776473406</v>
      </c>
      <c r="AD1139" s="744"/>
      <c r="AE1139" s="744"/>
      <c r="AF1139" s="744"/>
      <c r="AG1139" s="251" t="s">
        <v>283</v>
      </c>
    </row>
    <row r="1140" spans="1:33" ht="15.75" customHeight="1">
      <c r="A1140" s="743">
        <v>43131</v>
      </c>
      <c r="B1140" s="263" t="s">
        <v>100</v>
      </c>
      <c r="C1140" s="744" t="s">
        <v>3312</v>
      </c>
      <c r="D1140" s="250" t="s">
        <v>3683</v>
      </c>
      <c r="E1140" s="250" t="s">
        <v>3688</v>
      </c>
      <c r="F1140" s="251">
        <v>5</v>
      </c>
      <c r="G1140" s="252">
        <v>87</v>
      </c>
      <c r="H1140" s="253">
        <f t="shared" si="123"/>
        <v>435</v>
      </c>
      <c r="I1140" s="254" t="s">
        <v>3315</v>
      </c>
      <c r="J1140" s="331" t="s">
        <v>3578</v>
      </c>
      <c r="K1140" s="256">
        <v>43153</v>
      </c>
      <c r="L1140" s="256"/>
      <c r="M1140" s="256">
        <v>43139</v>
      </c>
      <c r="N1140" s="331" t="s">
        <v>2087</v>
      </c>
      <c r="O1140" s="308" t="s">
        <v>3689</v>
      </c>
      <c r="Q1140" s="591"/>
      <c r="R1140" s="1406"/>
      <c r="S1140" s="1406"/>
      <c r="U1140" s="572">
        <v>10710</v>
      </c>
      <c r="V1140" s="318" t="s">
        <v>2089</v>
      </c>
      <c r="W1140" s="574" t="s">
        <v>421</v>
      </c>
      <c r="X1140" s="748">
        <v>43138</v>
      </c>
      <c r="Y1140" s="744" t="s">
        <v>3690</v>
      </c>
      <c r="Z1140" s="749">
        <v>10710</v>
      </c>
      <c r="AA1140" s="748">
        <v>43136</v>
      </c>
      <c r="AB1140" s="250" t="s">
        <v>3687</v>
      </c>
      <c r="AC1140" s="250">
        <v>6776473406</v>
      </c>
      <c r="AD1140" s="744"/>
      <c r="AE1140" s="744"/>
      <c r="AF1140" s="744"/>
      <c r="AG1140" s="251" t="s">
        <v>283</v>
      </c>
    </row>
    <row r="1141" spans="1:33" ht="15.75" customHeight="1">
      <c r="A1141" s="743">
        <v>43131</v>
      </c>
      <c r="B1141" s="263" t="s">
        <v>76</v>
      </c>
      <c r="C1141" s="744" t="s">
        <v>3312</v>
      </c>
      <c r="D1141" s="250" t="s">
        <v>3691</v>
      </c>
      <c r="E1141" s="250" t="s">
        <v>3329</v>
      </c>
      <c r="F1141" s="264">
        <v>20</v>
      </c>
      <c r="G1141" s="252">
        <v>90</v>
      </c>
      <c r="H1141" s="253">
        <f t="shared" si="123"/>
        <v>1800</v>
      </c>
      <c r="I1141" s="254" t="s">
        <v>42</v>
      </c>
      <c r="J1141" s="401" t="s">
        <v>315</v>
      </c>
      <c r="K1141" s="256">
        <v>43157</v>
      </c>
      <c r="L1141" s="256"/>
      <c r="M1141" s="256">
        <v>43136</v>
      </c>
      <c r="N1141" s="331" t="s">
        <v>3330</v>
      </c>
      <c r="O1141" s="308" t="s">
        <v>3654</v>
      </c>
      <c r="Q1141" s="591"/>
      <c r="R1141" s="1406"/>
      <c r="S1141" s="1406"/>
      <c r="U1141" s="572">
        <v>48909</v>
      </c>
      <c r="V1141" s="597" t="s">
        <v>3655</v>
      </c>
      <c r="W1141" s="747">
        <v>43143</v>
      </c>
      <c r="X1141" s="748">
        <v>43136</v>
      </c>
      <c r="Y1141" s="744" t="s">
        <v>3656</v>
      </c>
      <c r="Z1141" s="749" t="s">
        <v>3692</v>
      </c>
      <c r="AA1141" s="748">
        <v>43154</v>
      </c>
      <c r="AB1141" s="250" t="s">
        <v>3610</v>
      </c>
      <c r="AC1141" s="744">
        <v>292481022</v>
      </c>
      <c r="AD1141" s="744"/>
      <c r="AE1141" s="744"/>
      <c r="AF1141" s="744"/>
      <c r="AG1141" s="251" t="s">
        <v>283</v>
      </c>
    </row>
    <row r="1142" spans="1:33" ht="15.75" customHeight="1">
      <c r="A1142" s="743">
        <v>43132</v>
      </c>
      <c r="B1142" s="263" t="s">
        <v>100</v>
      </c>
      <c r="C1142" s="744" t="s">
        <v>3312</v>
      </c>
      <c r="D1142" s="250" t="s">
        <v>3693</v>
      </c>
      <c r="E1142" s="250" t="s">
        <v>3694</v>
      </c>
      <c r="F1142" s="251">
        <v>6</v>
      </c>
      <c r="G1142" s="252">
        <v>339</v>
      </c>
      <c r="H1142" s="253">
        <f t="shared" si="123"/>
        <v>2034</v>
      </c>
      <c r="I1142" s="254"/>
      <c r="J1142" s="331" t="s">
        <v>3578</v>
      </c>
      <c r="K1142" s="256">
        <v>43153</v>
      </c>
      <c r="L1142" s="256"/>
      <c r="M1142" s="256">
        <v>43140</v>
      </c>
      <c r="N1142" s="401" t="s">
        <v>1995</v>
      </c>
      <c r="O1142" s="308" t="s">
        <v>3695</v>
      </c>
      <c r="Q1142" s="591"/>
      <c r="R1142" s="1406"/>
      <c r="S1142" s="1406"/>
      <c r="U1142" s="572">
        <v>56001</v>
      </c>
      <c r="V1142" s="571" t="s">
        <v>1997</v>
      </c>
      <c r="W1142" s="747">
        <v>43195</v>
      </c>
      <c r="X1142" s="748">
        <v>43139</v>
      </c>
      <c r="Y1142" s="744" t="s">
        <v>3696</v>
      </c>
      <c r="Z1142" s="749">
        <v>57469</v>
      </c>
      <c r="AA1142" s="748">
        <v>43199</v>
      </c>
      <c r="AB1142" s="250" t="s">
        <v>3687</v>
      </c>
      <c r="AC1142" s="250">
        <v>6776473406</v>
      </c>
      <c r="AD1142" s="744"/>
      <c r="AE1142" s="744"/>
      <c r="AF1142" s="744"/>
      <c r="AG1142" s="251" t="s">
        <v>283</v>
      </c>
    </row>
    <row r="1143" spans="1:33" ht="15.75" customHeight="1">
      <c r="A1143" s="743">
        <v>43132</v>
      </c>
      <c r="B1143" s="263" t="s">
        <v>100</v>
      </c>
      <c r="C1143" s="744" t="s">
        <v>3312</v>
      </c>
      <c r="D1143" s="250" t="s">
        <v>3693</v>
      </c>
      <c r="E1143" s="250" t="s">
        <v>3697</v>
      </c>
      <c r="F1143" s="251">
        <v>6</v>
      </c>
      <c r="G1143" s="252">
        <v>39</v>
      </c>
      <c r="H1143" s="253">
        <f t="shared" si="123"/>
        <v>234</v>
      </c>
      <c r="I1143" s="254" t="s">
        <v>3315</v>
      </c>
      <c r="J1143" s="331" t="s">
        <v>3578</v>
      </c>
      <c r="K1143" s="256">
        <v>43153</v>
      </c>
      <c r="L1143" s="256"/>
      <c r="M1143" s="256">
        <v>43143</v>
      </c>
      <c r="N1143" s="331" t="s">
        <v>2124</v>
      </c>
      <c r="O1143" s="308" t="s">
        <v>3698</v>
      </c>
      <c r="Q1143" s="591"/>
      <c r="R1143" s="1406"/>
      <c r="S1143" s="1406"/>
      <c r="U1143" s="572">
        <v>6917</v>
      </c>
      <c r="V1143" s="308" t="s">
        <v>2126</v>
      </c>
      <c r="W1143" s="574" t="s">
        <v>421</v>
      </c>
      <c r="X1143" s="748">
        <v>43140</v>
      </c>
      <c r="Y1143" s="744" t="s">
        <v>3699</v>
      </c>
      <c r="Z1143" s="749">
        <v>6917</v>
      </c>
      <c r="AA1143" s="748">
        <v>43138</v>
      </c>
      <c r="AB1143" s="250" t="s">
        <v>3687</v>
      </c>
      <c r="AC1143" s="250">
        <v>6776473406</v>
      </c>
      <c r="AD1143" s="744"/>
      <c r="AE1143" s="744"/>
      <c r="AF1143" s="744"/>
      <c r="AG1143" s="251" t="s">
        <v>283</v>
      </c>
    </row>
    <row r="1144" spans="1:33" ht="15.75" customHeight="1">
      <c r="A1144" s="743">
        <v>43132</v>
      </c>
      <c r="B1144" s="263" t="s">
        <v>100</v>
      </c>
      <c r="C1144" s="744" t="s">
        <v>3312</v>
      </c>
      <c r="D1144" s="250" t="s">
        <v>3693</v>
      </c>
      <c r="E1144" s="250" t="s">
        <v>3700</v>
      </c>
      <c r="F1144" s="251">
        <v>6</v>
      </c>
      <c r="G1144" s="252">
        <v>9</v>
      </c>
      <c r="H1144" s="253">
        <f t="shared" si="123"/>
        <v>54</v>
      </c>
      <c r="I1144" s="254" t="s">
        <v>3315</v>
      </c>
      <c r="J1144" s="331" t="s">
        <v>3578</v>
      </c>
      <c r="K1144" s="256">
        <v>43153</v>
      </c>
      <c r="L1144" s="256"/>
      <c r="M1144" s="256">
        <v>43140</v>
      </c>
      <c r="N1144" s="401" t="s">
        <v>1995</v>
      </c>
      <c r="O1144" s="308" t="s">
        <v>3695</v>
      </c>
      <c r="Q1144" s="591"/>
      <c r="R1144" s="1406"/>
      <c r="S1144" s="1406"/>
      <c r="U1144" s="572">
        <v>1468</v>
      </c>
      <c r="V1144" s="571" t="s">
        <v>1997</v>
      </c>
      <c r="W1144" s="747">
        <v>43195</v>
      </c>
      <c r="X1144" s="748">
        <v>43139</v>
      </c>
      <c r="Y1144" s="744" t="s">
        <v>3696</v>
      </c>
      <c r="Z1144" s="744" t="s">
        <v>3701</v>
      </c>
      <c r="AA1144" s="748">
        <v>43199</v>
      </c>
      <c r="AB1144" s="250" t="s">
        <v>3687</v>
      </c>
      <c r="AC1144" s="250">
        <v>6776473406</v>
      </c>
      <c r="AD1144" s="744"/>
      <c r="AE1144" s="744"/>
      <c r="AF1144" s="744"/>
      <c r="AG1144" s="251" t="s">
        <v>283</v>
      </c>
    </row>
    <row r="1145" spans="1:33" ht="15.75" customHeight="1">
      <c r="A1145" s="743">
        <v>43133</v>
      </c>
      <c r="B1145" s="590" t="s">
        <v>405</v>
      </c>
      <c r="C1145" s="744" t="s">
        <v>3312</v>
      </c>
      <c r="D1145" s="250" t="s">
        <v>3702</v>
      </c>
      <c r="E1145" s="250" t="s">
        <v>3703</v>
      </c>
      <c r="F1145" s="251">
        <v>8</v>
      </c>
      <c r="G1145" s="252">
        <v>136</v>
      </c>
      <c r="H1145" s="253">
        <f t="shared" si="123"/>
        <v>1088</v>
      </c>
      <c r="I1145" s="254" t="s">
        <v>42</v>
      </c>
      <c r="J1145" s="756" t="s">
        <v>3462</v>
      </c>
      <c r="K1145" s="256">
        <v>43144</v>
      </c>
      <c r="L1145" s="256"/>
      <c r="M1145" s="256">
        <v>43143</v>
      </c>
      <c r="N1145" s="331" t="s">
        <v>3432</v>
      </c>
      <c r="O1145" s="308" t="s">
        <v>3704</v>
      </c>
      <c r="Q1145" s="591"/>
      <c r="R1145" s="1406"/>
      <c r="S1145" s="1406"/>
      <c r="U1145" s="572">
        <v>30240</v>
      </c>
      <c r="V1145" s="308" t="s">
        <v>2045</v>
      </c>
      <c r="W1145" s="747">
        <v>43220</v>
      </c>
      <c r="X1145" s="748">
        <v>43140</v>
      </c>
      <c r="Y1145" s="744" t="s">
        <v>3705</v>
      </c>
      <c r="Z1145" s="749">
        <v>53219</v>
      </c>
      <c r="AA1145" s="748">
        <v>43225</v>
      </c>
      <c r="AB1145" s="250" t="s">
        <v>3706</v>
      </c>
      <c r="AC1145" s="744">
        <v>4143891415</v>
      </c>
      <c r="AD1145" s="744"/>
      <c r="AE1145" s="744"/>
      <c r="AF1145" s="744"/>
      <c r="AG1145" s="251" t="s">
        <v>283</v>
      </c>
    </row>
    <row r="1146" spans="1:33" ht="15.75" customHeight="1">
      <c r="A1146" s="743">
        <v>43133</v>
      </c>
      <c r="B1146" s="590" t="s">
        <v>405</v>
      </c>
      <c r="C1146" s="744" t="s">
        <v>3312</v>
      </c>
      <c r="D1146" s="250" t="s">
        <v>3702</v>
      </c>
      <c r="E1146" s="250" t="s">
        <v>3707</v>
      </c>
      <c r="F1146" s="251">
        <v>5</v>
      </c>
      <c r="G1146" s="252">
        <v>161</v>
      </c>
      <c r="H1146" s="253">
        <f t="shared" si="123"/>
        <v>805</v>
      </c>
      <c r="I1146" s="254" t="s">
        <v>42</v>
      </c>
      <c r="J1146" s="756" t="s">
        <v>3462</v>
      </c>
      <c r="K1146" s="256">
        <v>43144</v>
      </c>
      <c r="L1146" s="256"/>
      <c r="M1146" s="256">
        <v>43143</v>
      </c>
      <c r="N1146" s="331" t="s">
        <v>3432</v>
      </c>
      <c r="O1146" s="308" t="s">
        <v>3704</v>
      </c>
      <c r="Q1146" s="591"/>
      <c r="R1146" s="1406"/>
      <c r="S1146" s="1406"/>
      <c r="U1146" s="572">
        <v>22979</v>
      </c>
      <c r="V1146" s="308" t="s">
        <v>2045</v>
      </c>
      <c r="W1146" s="747">
        <v>43220</v>
      </c>
      <c r="X1146" s="748">
        <v>43140</v>
      </c>
      <c r="Y1146" s="744" t="s">
        <v>3705</v>
      </c>
      <c r="Z1146" s="744" t="s">
        <v>3708</v>
      </c>
      <c r="AA1146" s="748">
        <v>43225</v>
      </c>
      <c r="AB1146" s="250" t="s">
        <v>3706</v>
      </c>
      <c r="AC1146" s="744">
        <v>4143891415</v>
      </c>
      <c r="AD1146" s="744"/>
      <c r="AE1146" s="744"/>
      <c r="AF1146" s="744"/>
      <c r="AG1146" s="251" t="s">
        <v>283</v>
      </c>
    </row>
    <row r="1147" spans="1:33" ht="15.75" customHeight="1">
      <c r="A1147" s="743">
        <v>43133</v>
      </c>
      <c r="B1147" s="762" t="s">
        <v>3709</v>
      </c>
      <c r="C1147" s="744" t="s">
        <v>3312</v>
      </c>
      <c r="D1147" s="274" t="s">
        <v>3710</v>
      </c>
      <c r="E1147" s="274" t="s">
        <v>3711</v>
      </c>
      <c r="F1147" s="277">
        <v>1</v>
      </c>
      <c r="G1147" s="278">
        <v>0</v>
      </c>
      <c r="H1147" s="287">
        <f t="shared" si="123"/>
        <v>0</v>
      </c>
      <c r="I1147" s="280" t="s">
        <v>3712</v>
      </c>
      <c r="J1147" s="281" t="s">
        <v>3713</v>
      </c>
      <c r="K1147" s="776" t="s">
        <v>70</v>
      </c>
      <c r="L1147" s="776"/>
      <c r="M1147" s="289">
        <v>43182</v>
      </c>
      <c r="N1147" s="281" t="s">
        <v>89</v>
      </c>
      <c r="O1147" s="777" t="s">
        <v>3714</v>
      </c>
      <c r="Q1147" s="591"/>
      <c r="R1147" s="1406"/>
      <c r="S1147" s="1406"/>
      <c r="U1147" s="328"/>
      <c r="V1147" s="338"/>
      <c r="W1147" s="328"/>
      <c r="X1147" s="745"/>
      <c r="Y1147" s="745"/>
      <c r="Z1147" s="745"/>
      <c r="AA1147" s="746"/>
      <c r="AB1147" s="745"/>
      <c r="AC1147" s="744"/>
      <c r="AD1147" s="744"/>
      <c r="AE1147" s="744"/>
      <c r="AF1147" s="744"/>
      <c r="AG1147" s="251" t="s">
        <v>3456</v>
      </c>
    </row>
    <row r="1148" spans="1:33" ht="15.75" customHeight="1">
      <c r="A1148" s="743">
        <v>43133</v>
      </c>
      <c r="B1148" s="263" t="s">
        <v>3709</v>
      </c>
      <c r="C1148" s="744" t="s">
        <v>3312</v>
      </c>
      <c r="D1148" s="250" t="s">
        <v>3710</v>
      </c>
      <c r="E1148" s="250" t="s">
        <v>3715</v>
      </c>
      <c r="F1148" s="251">
        <v>2</v>
      </c>
      <c r="G1148" s="252">
        <v>150</v>
      </c>
      <c r="H1148" s="253">
        <f t="shared" si="123"/>
        <v>300</v>
      </c>
      <c r="I1148" s="254" t="s">
        <v>3712</v>
      </c>
      <c r="J1148" s="331" t="s">
        <v>3716</v>
      </c>
      <c r="K1148" s="256">
        <v>43144</v>
      </c>
      <c r="L1148" s="256"/>
      <c r="M1148" s="256">
        <v>43143</v>
      </c>
      <c r="N1148" s="331" t="s">
        <v>89</v>
      </c>
      <c r="O1148" s="308" t="s">
        <v>3710</v>
      </c>
      <c r="Q1148" s="266">
        <v>216.3</v>
      </c>
      <c r="R1148" s="1394"/>
      <c r="S1148" s="1394"/>
      <c r="U1148" s="328"/>
      <c r="V1148" s="338" t="s">
        <v>93</v>
      </c>
      <c r="W1148" s="747">
        <v>43190</v>
      </c>
      <c r="X1148" s="748">
        <v>43140</v>
      </c>
      <c r="Y1148" s="250" t="s">
        <v>3717</v>
      </c>
      <c r="Z1148" s="753">
        <v>6272</v>
      </c>
      <c r="AA1148" s="750">
        <v>43167</v>
      </c>
      <c r="AB1148" s="250" t="s">
        <v>3718</v>
      </c>
      <c r="AC1148" s="744">
        <v>284169012</v>
      </c>
      <c r="AD1148" s="744"/>
      <c r="AE1148" s="744"/>
      <c r="AF1148" s="744"/>
      <c r="AG1148" s="251" t="s">
        <v>283</v>
      </c>
    </row>
    <row r="1149" spans="1:33" ht="15.75" customHeight="1">
      <c r="A1149" s="743">
        <v>43133</v>
      </c>
      <c r="B1149" s="263" t="s">
        <v>3709</v>
      </c>
      <c r="C1149" s="744" t="s">
        <v>3312</v>
      </c>
      <c r="D1149" s="250" t="s">
        <v>3710</v>
      </c>
      <c r="E1149" s="250" t="s">
        <v>3719</v>
      </c>
      <c r="F1149" s="251">
        <v>2</v>
      </c>
      <c r="G1149" s="252">
        <v>135</v>
      </c>
      <c r="H1149" s="253">
        <f t="shared" si="123"/>
        <v>270</v>
      </c>
      <c r="I1149" s="254" t="s">
        <v>3712</v>
      </c>
      <c r="J1149" s="331" t="s">
        <v>3716</v>
      </c>
      <c r="K1149" s="256">
        <v>43144</v>
      </c>
      <c r="L1149" s="256"/>
      <c r="M1149" s="256">
        <v>43143</v>
      </c>
      <c r="N1149" s="331" t="s">
        <v>89</v>
      </c>
      <c r="O1149" s="308" t="s">
        <v>3720</v>
      </c>
      <c r="Q1149" s="266">
        <v>245.7</v>
      </c>
      <c r="R1149" s="1394"/>
      <c r="S1149" s="1394"/>
      <c r="U1149" s="328"/>
      <c r="V1149" s="338" t="s">
        <v>93</v>
      </c>
      <c r="W1149" s="747">
        <v>43190</v>
      </c>
      <c r="X1149" s="748">
        <v>43140</v>
      </c>
      <c r="Y1149" s="744" t="s">
        <v>3721</v>
      </c>
      <c r="Z1149" s="749">
        <v>7124</v>
      </c>
      <c r="AA1149" s="750">
        <v>43167</v>
      </c>
      <c r="AB1149" s="250" t="s">
        <v>3718</v>
      </c>
      <c r="AC1149" s="744">
        <v>284169012</v>
      </c>
      <c r="AD1149" s="744"/>
      <c r="AE1149" s="744"/>
      <c r="AF1149" s="744"/>
      <c r="AG1149" s="251" t="s">
        <v>283</v>
      </c>
    </row>
    <row r="1150" spans="1:33" ht="15.75" customHeight="1">
      <c r="A1150" s="743">
        <v>43136</v>
      </c>
      <c r="B1150" s="263" t="s">
        <v>118</v>
      </c>
      <c r="C1150" s="744" t="s">
        <v>3312</v>
      </c>
      <c r="D1150" s="250" t="s">
        <v>3722</v>
      </c>
      <c r="E1150" s="250" t="s">
        <v>3723</v>
      </c>
      <c r="F1150" s="251">
        <v>3</v>
      </c>
      <c r="G1150" s="252">
        <v>1020</v>
      </c>
      <c r="H1150" s="253">
        <f t="shared" si="123"/>
        <v>3060</v>
      </c>
      <c r="I1150" s="254" t="s">
        <v>419</v>
      </c>
      <c r="J1150" s="331" t="s">
        <v>3442</v>
      </c>
      <c r="K1150" s="256">
        <v>43178</v>
      </c>
      <c r="L1150" s="256"/>
      <c r="M1150" s="256">
        <v>43157</v>
      </c>
      <c r="N1150" s="331" t="s">
        <v>89</v>
      </c>
      <c r="O1150" s="308" t="s">
        <v>3724</v>
      </c>
      <c r="Q1150" s="266">
        <v>2520</v>
      </c>
      <c r="R1150" s="1394"/>
      <c r="S1150" s="1394"/>
      <c r="U1150" s="328"/>
      <c r="V1150" s="338" t="s">
        <v>93</v>
      </c>
      <c r="W1150" s="747">
        <v>43220</v>
      </c>
      <c r="X1150" s="748">
        <v>43157</v>
      </c>
      <c r="Y1150" s="744" t="s">
        <v>3725</v>
      </c>
      <c r="Z1150" s="749">
        <v>296558</v>
      </c>
      <c r="AA1150" s="750">
        <v>43220</v>
      </c>
      <c r="AB1150" s="250" t="s">
        <v>3726</v>
      </c>
      <c r="AC1150" s="744" t="s">
        <v>3727</v>
      </c>
      <c r="AD1150" s="744"/>
      <c r="AE1150" s="744"/>
      <c r="AF1150" s="744"/>
      <c r="AG1150" s="251" t="s">
        <v>538</v>
      </c>
    </row>
    <row r="1151" spans="1:33" ht="15.75" customHeight="1">
      <c r="A1151" s="743">
        <v>43136</v>
      </c>
      <c r="B1151" s="263" t="s">
        <v>118</v>
      </c>
      <c r="C1151" s="744" t="s">
        <v>3312</v>
      </c>
      <c r="D1151" s="250" t="s">
        <v>3722</v>
      </c>
      <c r="E1151" s="250" t="s">
        <v>3447</v>
      </c>
      <c r="F1151" s="251">
        <v>18</v>
      </c>
      <c r="G1151" s="252">
        <v>370</v>
      </c>
      <c r="H1151" s="253">
        <f t="shared" si="123"/>
        <v>6660</v>
      </c>
      <c r="I1151" s="254" t="s">
        <v>419</v>
      </c>
      <c r="J1151" s="426" t="s">
        <v>3442</v>
      </c>
      <c r="K1151" s="256">
        <v>43178</v>
      </c>
      <c r="L1151" s="256"/>
      <c r="M1151" s="256">
        <v>43157</v>
      </c>
      <c r="N1151" s="331" t="s">
        <v>89</v>
      </c>
      <c r="O1151" s="308" t="s">
        <v>3724</v>
      </c>
      <c r="Q1151" s="266">
        <v>6274.8</v>
      </c>
      <c r="R1151" s="1394"/>
      <c r="S1151" s="1394"/>
      <c r="U1151" s="328"/>
      <c r="V1151" s="338" t="s">
        <v>93</v>
      </c>
      <c r="W1151" s="747">
        <v>43220</v>
      </c>
      <c r="X1151" s="748">
        <v>43157</v>
      </c>
      <c r="Y1151" s="744" t="s">
        <v>3725</v>
      </c>
      <c r="Z1151" s="749" t="s">
        <v>3728</v>
      </c>
      <c r="AA1151" s="750">
        <v>43220</v>
      </c>
      <c r="AB1151" s="250" t="s">
        <v>3726</v>
      </c>
      <c r="AC1151" s="744" t="s">
        <v>3727</v>
      </c>
      <c r="AD1151" s="744"/>
      <c r="AE1151" s="744"/>
      <c r="AF1151" s="744"/>
      <c r="AG1151" s="251" t="s">
        <v>538</v>
      </c>
    </row>
    <row r="1152" spans="1:33" ht="15.75" customHeight="1">
      <c r="A1152" s="743">
        <v>43136</v>
      </c>
      <c r="B1152" s="263" t="s">
        <v>118</v>
      </c>
      <c r="C1152" s="744" t="s">
        <v>3312</v>
      </c>
      <c r="D1152" s="250" t="s">
        <v>3722</v>
      </c>
      <c r="E1152" s="250" t="s">
        <v>3729</v>
      </c>
      <c r="F1152" s="251">
        <v>3</v>
      </c>
      <c r="G1152" s="252">
        <v>500</v>
      </c>
      <c r="H1152" s="253">
        <f t="shared" si="123"/>
        <v>1500</v>
      </c>
      <c r="I1152" s="254" t="s">
        <v>419</v>
      </c>
      <c r="J1152" s="426" t="s">
        <v>3442</v>
      </c>
      <c r="K1152" s="256">
        <v>43178</v>
      </c>
      <c r="L1152" s="256"/>
      <c r="M1152" s="256">
        <v>43157</v>
      </c>
      <c r="N1152" s="331" t="s">
        <v>89</v>
      </c>
      <c r="O1152" s="308" t="s">
        <v>3724</v>
      </c>
      <c r="Q1152" s="266">
        <v>1338.75</v>
      </c>
      <c r="R1152" s="1394"/>
      <c r="S1152" s="1394"/>
      <c r="U1152" s="328"/>
      <c r="V1152" s="338" t="s">
        <v>93</v>
      </c>
      <c r="W1152" s="747">
        <v>43220</v>
      </c>
      <c r="X1152" s="748">
        <v>43157</v>
      </c>
      <c r="Y1152" s="744" t="s">
        <v>3725</v>
      </c>
      <c r="Z1152" s="749" t="s">
        <v>3728</v>
      </c>
      <c r="AA1152" s="750">
        <v>43220</v>
      </c>
      <c r="AB1152" s="250" t="s">
        <v>3726</v>
      </c>
      <c r="AC1152" s="744" t="s">
        <v>3727</v>
      </c>
      <c r="AD1152" s="744"/>
      <c r="AE1152" s="744"/>
      <c r="AF1152" s="744"/>
      <c r="AG1152" s="251" t="s">
        <v>538</v>
      </c>
    </row>
    <row r="1153" spans="1:33" ht="15.75" customHeight="1">
      <c r="A1153" s="743">
        <v>43136</v>
      </c>
      <c r="B1153" s="263" t="s">
        <v>118</v>
      </c>
      <c r="C1153" s="744" t="s">
        <v>3312</v>
      </c>
      <c r="D1153" s="250" t="s">
        <v>3730</v>
      </c>
      <c r="E1153" s="250" t="s">
        <v>3447</v>
      </c>
      <c r="F1153" s="251">
        <v>20</v>
      </c>
      <c r="G1153" s="252">
        <v>370</v>
      </c>
      <c r="H1153" s="253">
        <f t="shared" si="123"/>
        <v>7400</v>
      </c>
      <c r="I1153" s="254" t="s">
        <v>419</v>
      </c>
      <c r="J1153" s="426" t="s">
        <v>3442</v>
      </c>
      <c r="K1153" s="256">
        <v>43178</v>
      </c>
      <c r="L1153" s="256"/>
      <c r="M1153" s="256">
        <v>43175</v>
      </c>
      <c r="N1153" s="331" t="s">
        <v>89</v>
      </c>
      <c r="O1153" s="308" t="s">
        <v>3731</v>
      </c>
      <c r="Q1153" s="266">
        <v>6972</v>
      </c>
      <c r="R1153" s="1394"/>
      <c r="S1153" s="1394"/>
      <c r="U1153" s="328"/>
      <c r="V1153" s="338" t="s">
        <v>93</v>
      </c>
      <c r="W1153" s="747">
        <v>43220</v>
      </c>
      <c r="X1153" s="748">
        <v>43174</v>
      </c>
      <c r="Y1153" s="744" t="s">
        <v>3732</v>
      </c>
      <c r="Z1153" s="749">
        <v>254126</v>
      </c>
      <c r="AA1153" s="750">
        <v>43220</v>
      </c>
      <c r="AB1153" s="250" t="s">
        <v>3726</v>
      </c>
      <c r="AC1153" s="744" t="s">
        <v>3727</v>
      </c>
      <c r="AD1153" s="744"/>
      <c r="AE1153" s="744"/>
      <c r="AF1153" s="744"/>
      <c r="AG1153" s="251" t="s">
        <v>538</v>
      </c>
    </row>
    <row r="1154" spans="1:33" ht="15.75" customHeight="1">
      <c r="A1154" s="743">
        <v>43136</v>
      </c>
      <c r="B1154" s="263" t="s">
        <v>118</v>
      </c>
      <c r="C1154" s="744" t="s">
        <v>3312</v>
      </c>
      <c r="D1154" s="250" t="s">
        <v>3730</v>
      </c>
      <c r="E1154" s="250" t="s">
        <v>3457</v>
      </c>
      <c r="F1154" s="251">
        <v>20</v>
      </c>
      <c r="G1154" s="252">
        <v>105</v>
      </c>
      <c r="H1154" s="253">
        <f t="shared" si="123"/>
        <v>2100</v>
      </c>
      <c r="I1154" s="254" t="s">
        <v>419</v>
      </c>
      <c r="J1154" s="426" t="s">
        <v>3442</v>
      </c>
      <c r="K1154" s="256">
        <v>43178</v>
      </c>
      <c r="L1154" s="256"/>
      <c r="M1154" s="256">
        <v>43175</v>
      </c>
      <c r="N1154" s="331" t="s">
        <v>89</v>
      </c>
      <c r="O1154" s="308" t="s">
        <v>3731</v>
      </c>
      <c r="Q1154" s="266">
        <v>1722</v>
      </c>
      <c r="R1154" s="1394"/>
      <c r="S1154" s="1394"/>
      <c r="U1154" s="328"/>
      <c r="V1154" s="338" t="s">
        <v>93</v>
      </c>
      <c r="W1154" s="747">
        <v>43220</v>
      </c>
      <c r="X1154" s="748">
        <v>43174</v>
      </c>
      <c r="Y1154" s="744" t="s">
        <v>3732</v>
      </c>
      <c r="Z1154" s="749" t="s">
        <v>3733</v>
      </c>
      <c r="AA1154" s="750">
        <v>43220</v>
      </c>
      <c r="AB1154" s="250" t="s">
        <v>3726</v>
      </c>
      <c r="AC1154" s="744" t="s">
        <v>3727</v>
      </c>
      <c r="AD1154" s="744"/>
      <c r="AE1154" s="744"/>
      <c r="AF1154" s="744"/>
      <c r="AG1154" s="251" t="s">
        <v>538</v>
      </c>
    </row>
    <row r="1155" spans="1:33" ht="15.75" customHeight="1">
      <c r="A1155" s="743">
        <v>43137</v>
      </c>
      <c r="B1155" s="263" t="s">
        <v>100</v>
      </c>
      <c r="C1155" s="744" t="s">
        <v>3312</v>
      </c>
      <c r="D1155" s="250" t="s">
        <v>3734</v>
      </c>
      <c r="E1155" s="250" t="s">
        <v>3735</v>
      </c>
      <c r="F1155" s="251">
        <v>1</v>
      </c>
      <c r="G1155" s="252">
        <v>622</v>
      </c>
      <c r="H1155" s="253">
        <f t="shared" si="123"/>
        <v>622</v>
      </c>
      <c r="I1155" s="254" t="s">
        <v>3315</v>
      </c>
      <c r="J1155" s="267" t="s">
        <v>3578</v>
      </c>
      <c r="K1155" s="256">
        <v>43158</v>
      </c>
      <c r="L1155" s="256"/>
      <c r="M1155" s="256">
        <v>43154</v>
      </c>
      <c r="N1155" s="401" t="s">
        <v>1995</v>
      </c>
      <c r="O1155" s="308" t="s">
        <v>3736</v>
      </c>
      <c r="Q1155" s="591"/>
      <c r="R1155" s="1406"/>
      <c r="S1155" s="1406"/>
      <c r="U1155" s="572">
        <v>17170</v>
      </c>
      <c r="V1155" s="571" t="s">
        <v>1997</v>
      </c>
      <c r="W1155" s="747">
        <v>43195</v>
      </c>
      <c r="X1155" s="750">
        <v>43153</v>
      </c>
      <c r="Y1155" s="250" t="s">
        <v>3737</v>
      </c>
      <c r="Z1155" s="753">
        <v>17170</v>
      </c>
      <c r="AA1155" s="748">
        <v>43199</v>
      </c>
      <c r="AB1155" s="250" t="s">
        <v>3738</v>
      </c>
      <c r="AC1155" s="744">
        <v>8200018842</v>
      </c>
      <c r="AD1155" s="744"/>
      <c r="AE1155" s="744"/>
      <c r="AF1155" s="744"/>
      <c r="AG1155" s="251" t="s">
        <v>283</v>
      </c>
    </row>
    <row r="1156" spans="1:33" ht="15.75" customHeight="1">
      <c r="A1156" s="743">
        <v>43137</v>
      </c>
      <c r="B1156" s="263" t="s">
        <v>100</v>
      </c>
      <c r="C1156" s="744" t="s">
        <v>3312</v>
      </c>
      <c r="D1156" s="250" t="s">
        <v>3734</v>
      </c>
      <c r="E1156" s="250" t="s">
        <v>3739</v>
      </c>
      <c r="F1156" s="251">
        <v>1</v>
      </c>
      <c r="G1156" s="252">
        <v>38</v>
      </c>
      <c r="H1156" s="253">
        <f t="shared" si="123"/>
        <v>38</v>
      </c>
      <c r="I1156" s="254" t="s">
        <v>3315</v>
      </c>
      <c r="J1156" s="267" t="s">
        <v>3578</v>
      </c>
      <c r="K1156" s="256">
        <v>43158</v>
      </c>
      <c r="L1156" s="256"/>
      <c r="M1156" s="256">
        <v>43153</v>
      </c>
      <c r="N1156" s="331" t="s">
        <v>1414</v>
      </c>
      <c r="O1156" s="308" t="s">
        <v>3740</v>
      </c>
      <c r="Q1156" s="591"/>
      <c r="R1156" s="1406"/>
      <c r="S1156" s="1406"/>
      <c r="U1156" s="572">
        <v>1074</v>
      </c>
      <c r="V1156" s="318" t="s">
        <v>1947</v>
      </c>
      <c r="W1156" s="747">
        <v>43164</v>
      </c>
      <c r="X1156" s="748">
        <v>43152</v>
      </c>
      <c r="Y1156" s="744" t="s">
        <v>3741</v>
      </c>
      <c r="Z1156" s="749">
        <v>1074</v>
      </c>
      <c r="AA1156" s="748">
        <v>43165</v>
      </c>
      <c r="AB1156" s="250" t="s">
        <v>3738</v>
      </c>
      <c r="AC1156" s="744">
        <v>8200018842</v>
      </c>
      <c r="AD1156" s="744"/>
      <c r="AE1156" s="744"/>
      <c r="AF1156" s="744"/>
      <c r="AG1156" s="251" t="s">
        <v>283</v>
      </c>
    </row>
    <row r="1157" spans="1:33" ht="15.75" customHeight="1">
      <c r="A1157" s="743">
        <v>43137</v>
      </c>
      <c r="B1157" s="263" t="s">
        <v>100</v>
      </c>
      <c r="C1157" s="744" t="s">
        <v>3312</v>
      </c>
      <c r="D1157" s="250" t="s">
        <v>3734</v>
      </c>
      <c r="E1157" s="250" t="s">
        <v>3742</v>
      </c>
      <c r="F1157" s="251">
        <v>1</v>
      </c>
      <c r="G1157" s="252">
        <v>218</v>
      </c>
      <c r="H1157" s="253">
        <f t="shared" si="123"/>
        <v>218</v>
      </c>
      <c r="I1157" s="254" t="s">
        <v>3315</v>
      </c>
      <c r="J1157" s="267" t="s">
        <v>3578</v>
      </c>
      <c r="K1157" s="256">
        <v>43158</v>
      </c>
      <c r="L1157" s="256"/>
      <c r="M1157" s="256">
        <v>43143</v>
      </c>
      <c r="N1157" s="331" t="s">
        <v>1952</v>
      </c>
      <c r="O1157" s="308" t="s">
        <v>3743</v>
      </c>
      <c r="Q1157" s="591"/>
      <c r="R1157" s="1406"/>
      <c r="S1157" s="1406"/>
      <c r="U1157" s="572">
        <v>5481</v>
      </c>
      <c r="V1157" s="308" t="s">
        <v>3744</v>
      </c>
      <c r="W1157" s="747">
        <v>43164</v>
      </c>
      <c r="X1157" s="748">
        <v>43139</v>
      </c>
      <c r="Y1157" s="744" t="s">
        <v>3745</v>
      </c>
      <c r="Z1157" s="749">
        <v>5481</v>
      </c>
      <c r="AA1157" s="748">
        <v>43164</v>
      </c>
      <c r="AB1157" s="250" t="s">
        <v>3738</v>
      </c>
      <c r="AC1157" s="744">
        <v>8200018842</v>
      </c>
      <c r="AD1157" s="744"/>
      <c r="AE1157" s="744"/>
      <c r="AF1157" s="744"/>
      <c r="AG1157" s="251" t="s">
        <v>283</v>
      </c>
    </row>
    <row r="1158" spans="1:33" ht="15.75" customHeight="1">
      <c r="A1158" s="743">
        <v>43137</v>
      </c>
      <c r="B1158" s="263" t="s">
        <v>100</v>
      </c>
      <c r="C1158" s="744" t="s">
        <v>3312</v>
      </c>
      <c r="D1158" s="250" t="s">
        <v>3734</v>
      </c>
      <c r="E1158" s="250" t="s">
        <v>3746</v>
      </c>
      <c r="F1158" s="251">
        <v>1</v>
      </c>
      <c r="G1158" s="252">
        <v>352</v>
      </c>
      <c r="H1158" s="253">
        <f t="shared" si="123"/>
        <v>352</v>
      </c>
      <c r="I1158" s="254" t="s">
        <v>3315</v>
      </c>
      <c r="J1158" s="267" t="s">
        <v>3578</v>
      </c>
      <c r="K1158" s="256">
        <v>43158</v>
      </c>
      <c r="L1158" s="256"/>
      <c r="M1158" s="256">
        <v>43154</v>
      </c>
      <c r="N1158" s="331" t="s">
        <v>2091</v>
      </c>
      <c r="O1158" s="308" t="s">
        <v>3747</v>
      </c>
      <c r="Q1158" s="266">
        <v>299.25</v>
      </c>
      <c r="R1158" s="1394"/>
      <c r="S1158" s="1394"/>
      <c r="U1158" s="328"/>
      <c r="V1158" s="338" t="s">
        <v>46</v>
      </c>
      <c r="W1158" s="747">
        <v>43183</v>
      </c>
      <c r="X1158" s="750">
        <v>43153</v>
      </c>
      <c r="Y1158" s="250" t="s">
        <v>3748</v>
      </c>
      <c r="Z1158" s="753">
        <v>8752</v>
      </c>
      <c r="AA1158" s="748">
        <v>43199</v>
      </c>
      <c r="AB1158" s="250" t="s">
        <v>3738</v>
      </c>
      <c r="AC1158" s="744">
        <v>8200018842</v>
      </c>
      <c r="AD1158" s="744"/>
      <c r="AE1158" s="744"/>
      <c r="AF1158" s="744"/>
      <c r="AG1158" s="251" t="s">
        <v>283</v>
      </c>
    </row>
    <row r="1159" spans="1:33" ht="15.75" customHeight="1">
      <c r="A1159" s="743">
        <v>43137</v>
      </c>
      <c r="B1159" s="263" t="s">
        <v>100</v>
      </c>
      <c r="C1159" s="744" t="s">
        <v>3312</v>
      </c>
      <c r="D1159" s="250" t="s">
        <v>3734</v>
      </c>
      <c r="E1159" s="250" t="s">
        <v>3749</v>
      </c>
      <c r="F1159" s="251">
        <v>1</v>
      </c>
      <c r="G1159" s="252">
        <v>40</v>
      </c>
      <c r="H1159" s="253">
        <f t="shared" si="123"/>
        <v>40</v>
      </c>
      <c r="I1159" s="254" t="s">
        <v>3315</v>
      </c>
      <c r="J1159" s="267" t="s">
        <v>3578</v>
      </c>
      <c r="K1159" s="256">
        <v>43158</v>
      </c>
      <c r="L1159" s="256"/>
      <c r="M1159" s="308" t="s">
        <v>3750</v>
      </c>
      <c r="N1159" s="328"/>
      <c r="O1159" s="308" t="s">
        <v>3750</v>
      </c>
      <c r="Q1159" s="591"/>
      <c r="R1159" s="1406"/>
      <c r="S1159" s="1406"/>
      <c r="U1159" s="328"/>
      <c r="V1159" s="308"/>
      <c r="W1159" s="328"/>
      <c r="X1159" s="250" t="s">
        <v>3556</v>
      </c>
      <c r="Y1159" s="250" t="s">
        <v>3556</v>
      </c>
      <c r="Z1159" s="250" t="s">
        <v>3556</v>
      </c>
      <c r="AA1159" s="746"/>
      <c r="AB1159" s="250" t="s">
        <v>3738</v>
      </c>
      <c r="AC1159" s="744">
        <v>8200018842</v>
      </c>
      <c r="AD1159" s="744"/>
      <c r="AE1159" s="744"/>
      <c r="AF1159" s="744"/>
      <c r="AG1159" s="251" t="s">
        <v>283</v>
      </c>
    </row>
    <row r="1160" spans="1:33" ht="15.75" customHeight="1">
      <c r="A1160" s="272">
        <v>43137</v>
      </c>
      <c r="B1160" s="783" t="s">
        <v>405</v>
      </c>
      <c r="C1160" s="744" t="s">
        <v>3312</v>
      </c>
      <c r="D1160" s="274" t="s">
        <v>3751</v>
      </c>
      <c r="E1160" s="274" t="s">
        <v>3752</v>
      </c>
      <c r="F1160" s="277">
        <v>1</v>
      </c>
      <c r="G1160" s="278">
        <v>194</v>
      </c>
      <c r="H1160" s="784"/>
      <c r="I1160" s="280" t="s">
        <v>42</v>
      </c>
      <c r="J1160" s="281" t="s">
        <v>70</v>
      </c>
      <c r="K1160" s="289">
        <v>43165</v>
      </c>
      <c r="L1160" s="289"/>
      <c r="M1160" s="289">
        <v>43161</v>
      </c>
      <c r="N1160" s="281"/>
      <c r="O1160" s="777" t="s">
        <v>3753</v>
      </c>
      <c r="Q1160" s="576"/>
      <c r="R1160" s="1408"/>
      <c r="S1160" s="1408"/>
      <c r="U1160" s="575"/>
      <c r="V1160" s="779" t="s">
        <v>3754</v>
      </c>
      <c r="W1160" s="575"/>
      <c r="X1160" s="766"/>
      <c r="Y1160" s="766"/>
      <c r="Z1160" s="766"/>
      <c r="AA1160" s="767"/>
      <c r="AB1160" s="766"/>
      <c r="AC1160" s="768"/>
      <c r="AD1160" s="768"/>
      <c r="AE1160" s="768"/>
      <c r="AF1160" s="768"/>
      <c r="AG1160" s="251" t="s">
        <v>3456</v>
      </c>
    </row>
    <row r="1161" spans="1:33" ht="15.75" customHeight="1">
      <c r="A1161" s="743">
        <v>43137</v>
      </c>
      <c r="B1161" s="590" t="s">
        <v>405</v>
      </c>
      <c r="C1161" s="744" t="s">
        <v>3312</v>
      </c>
      <c r="D1161" s="250" t="s">
        <v>3755</v>
      </c>
      <c r="E1161" s="250" t="s">
        <v>3515</v>
      </c>
      <c r="F1161" s="251">
        <v>1</v>
      </c>
      <c r="G1161" s="252">
        <v>48</v>
      </c>
      <c r="H1161" s="253">
        <f t="shared" ref="H1161:H1221" si="124">G1161*F1161</f>
        <v>48</v>
      </c>
      <c r="I1161" s="254" t="s">
        <v>42</v>
      </c>
      <c r="J1161" s="756" t="s">
        <v>3462</v>
      </c>
      <c r="K1161" s="256">
        <v>43144</v>
      </c>
      <c r="L1161" s="256"/>
      <c r="M1161" s="256">
        <v>43143</v>
      </c>
      <c r="N1161" s="331" t="s">
        <v>3432</v>
      </c>
      <c r="O1161" s="308" t="s">
        <v>3756</v>
      </c>
      <c r="Q1161" s="591"/>
      <c r="R1161" s="1406"/>
      <c r="S1161" s="1406"/>
      <c r="U1161" s="572">
        <v>1342</v>
      </c>
      <c r="V1161" s="308" t="s">
        <v>2045</v>
      </c>
      <c r="W1161" s="747">
        <v>43220</v>
      </c>
      <c r="X1161" s="748">
        <v>43140</v>
      </c>
      <c r="Y1161" s="744" t="s">
        <v>3757</v>
      </c>
      <c r="Z1161" s="749">
        <v>1342</v>
      </c>
      <c r="AA1161" s="748">
        <v>43225</v>
      </c>
      <c r="AB1161" s="250" t="s">
        <v>3706</v>
      </c>
      <c r="AC1161" s="744">
        <v>4143891415</v>
      </c>
      <c r="AD1161" s="744"/>
      <c r="AE1161" s="744"/>
      <c r="AF1161" s="744"/>
      <c r="AG1161" s="251" t="s">
        <v>283</v>
      </c>
    </row>
    <row r="1162" spans="1:33" ht="15.75" customHeight="1">
      <c r="A1162" s="743">
        <v>43138</v>
      </c>
      <c r="B1162" s="263" t="s">
        <v>372</v>
      </c>
      <c r="C1162" s="744" t="s">
        <v>3312</v>
      </c>
      <c r="D1162" s="250" t="s">
        <v>3758</v>
      </c>
      <c r="E1162" s="250" t="s">
        <v>374</v>
      </c>
      <c r="F1162" s="305">
        <v>60</v>
      </c>
      <c r="G1162" s="252">
        <v>63</v>
      </c>
      <c r="H1162" s="266">
        <f t="shared" si="124"/>
        <v>3780</v>
      </c>
      <c r="I1162" s="264" t="s">
        <v>42</v>
      </c>
      <c r="J1162" s="254" t="s">
        <v>89</v>
      </c>
      <c r="K1162" s="256">
        <v>43144</v>
      </c>
      <c r="L1162" s="256"/>
      <c r="M1162" s="256">
        <v>43144</v>
      </c>
      <c r="N1162" s="331" t="s">
        <v>89</v>
      </c>
      <c r="O1162" s="308" t="s">
        <v>3759</v>
      </c>
      <c r="Q1162" s="266">
        <v>3528</v>
      </c>
      <c r="R1162" s="1394"/>
      <c r="S1162" s="1394"/>
      <c r="U1162" s="328"/>
      <c r="V1162" s="338" t="s">
        <v>93</v>
      </c>
      <c r="W1162" s="747">
        <v>43190</v>
      </c>
      <c r="X1162" s="748">
        <v>43144</v>
      </c>
      <c r="Y1162" s="744" t="s">
        <v>3760</v>
      </c>
      <c r="Z1162" s="749">
        <v>103176</v>
      </c>
      <c r="AA1162" s="750">
        <v>43167</v>
      </c>
      <c r="AB1162" s="744" t="s">
        <v>3761</v>
      </c>
      <c r="AC1162" s="744"/>
      <c r="AD1162" s="744" t="s">
        <v>3762</v>
      </c>
      <c r="AE1162" s="751">
        <v>110943</v>
      </c>
      <c r="AF1162" s="744" t="s">
        <v>3763</v>
      </c>
      <c r="AG1162" s="251" t="s">
        <v>376</v>
      </c>
    </row>
    <row r="1163" spans="1:33" ht="15.75" customHeight="1">
      <c r="A1163" s="755">
        <v>43139</v>
      </c>
      <c r="B1163" s="338" t="s">
        <v>53</v>
      </c>
      <c r="C1163" s="744" t="s">
        <v>3312</v>
      </c>
      <c r="D1163" s="308" t="s">
        <v>3764</v>
      </c>
      <c r="E1163" s="308" t="s">
        <v>3632</v>
      </c>
      <c r="F1163" s="264">
        <v>6</v>
      </c>
      <c r="G1163" s="252">
        <v>150.15</v>
      </c>
      <c r="H1163" s="265">
        <f t="shared" si="124"/>
        <v>900.90000000000009</v>
      </c>
      <c r="I1163" s="264" t="s">
        <v>42</v>
      </c>
      <c r="J1163" s="251" t="s">
        <v>89</v>
      </c>
      <c r="K1163" s="256">
        <v>43174</v>
      </c>
      <c r="L1163" s="256"/>
      <c r="M1163" s="256">
        <v>43174</v>
      </c>
      <c r="N1163" s="331" t="s">
        <v>89</v>
      </c>
      <c r="O1163" s="308" t="s">
        <v>3765</v>
      </c>
      <c r="Q1163" s="266">
        <v>806.4</v>
      </c>
      <c r="R1163" s="1394"/>
      <c r="S1163" s="1394"/>
      <c r="U1163" s="328"/>
      <c r="V1163" s="338" t="s">
        <v>93</v>
      </c>
      <c r="W1163" s="747">
        <v>43220</v>
      </c>
      <c r="X1163" s="748">
        <v>43174</v>
      </c>
      <c r="Y1163" s="744" t="s">
        <v>3766</v>
      </c>
      <c r="Z1163" s="749">
        <v>23571</v>
      </c>
      <c r="AA1163" s="750">
        <v>43220</v>
      </c>
      <c r="AB1163" s="744" t="s">
        <v>3767</v>
      </c>
      <c r="AC1163" s="744"/>
      <c r="AD1163" s="744" t="s">
        <v>3768</v>
      </c>
      <c r="AE1163" s="749">
        <v>26358</v>
      </c>
      <c r="AF1163" s="744" t="s">
        <v>3769</v>
      </c>
      <c r="AG1163" s="251" t="s">
        <v>376</v>
      </c>
    </row>
    <row r="1164" spans="1:33" ht="15.75" customHeight="1">
      <c r="A1164" s="743">
        <v>43140</v>
      </c>
      <c r="B1164" s="263" t="s">
        <v>325</v>
      </c>
      <c r="C1164" s="744" t="s">
        <v>3312</v>
      </c>
      <c r="D1164" s="250" t="s">
        <v>3770</v>
      </c>
      <c r="E1164" s="250" t="s">
        <v>3771</v>
      </c>
      <c r="F1164" s="251">
        <v>30</v>
      </c>
      <c r="G1164" s="252">
        <v>245</v>
      </c>
      <c r="H1164" s="265">
        <f t="shared" si="124"/>
        <v>7350</v>
      </c>
      <c r="I1164" s="254" t="s">
        <v>3315</v>
      </c>
      <c r="J1164" s="267" t="s">
        <v>3613</v>
      </c>
      <c r="K1164" s="256">
        <v>43171</v>
      </c>
      <c r="L1164" s="256"/>
      <c r="M1164" s="256">
        <v>43167</v>
      </c>
      <c r="N1164" s="331" t="s">
        <v>3614</v>
      </c>
      <c r="O1164" s="308" t="s">
        <v>3772</v>
      </c>
      <c r="Q1164" s="266">
        <v>7245</v>
      </c>
      <c r="R1164" s="1394"/>
      <c r="S1164" s="1394"/>
      <c r="U1164" s="328"/>
      <c r="V1164" s="420" t="s">
        <v>2159</v>
      </c>
      <c r="W1164" s="747">
        <v>43220</v>
      </c>
      <c r="X1164" s="748">
        <v>43167</v>
      </c>
      <c r="Y1164" s="744" t="s">
        <v>3773</v>
      </c>
      <c r="Z1164" s="749">
        <v>211916</v>
      </c>
      <c r="AA1164" s="750">
        <v>43220</v>
      </c>
      <c r="AB1164" s="250" t="s">
        <v>3774</v>
      </c>
      <c r="AC1164" s="744">
        <v>812337368680</v>
      </c>
      <c r="AD1164" s="744"/>
      <c r="AE1164" s="744"/>
      <c r="AF1164" s="744"/>
      <c r="AG1164" s="251" t="s">
        <v>283</v>
      </c>
    </row>
    <row r="1165" spans="1:33" ht="15.75" customHeight="1">
      <c r="A1165" s="743">
        <v>43141</v>
      </c>
      <c r="B1165" s="263" t="s">
        <v>76</v>
      </c>
      <c r="C1165" s="744" t="s">
        <v>3312</v>
      </c>
      <c r="D1165" s="250" t="s">
        <v>3775</v>
      </c>
      <c r="E1165" s="250" t="s">
        <v>361</v>
      </c>
      <c r="F1165" s="305">
        <v>20</v>
      </c>
      <c r="G1165" s="252">
        <v>20</v>
      </c>
      <c r="H1165" s="265">
        <f t="shared" si="124"/>
        <v>400</v>
      </c>
      <c r="I1165" s="254" t="s">
        <v>42</v>
      </c>
      <c r="J1165" s="367" t="s">
        <v>315</v>
      </c>
      <c r="K1165" s="256">
        <v>43157</v>
      </c>
      <c r="L1165" s="256"/>
      <c r="M1165" s="256">
        <v>43153</v>
      </c>
      <c r="N1165" s="331" t="s">
        <v>2008</v>
      </c>
      <c r="O1165" s="308" t="s">
        <v>3776</v>
      </c>
      <c r="Q1165" s="266">
        <v>371.7</v>
      </c>
      <c r="R1165" s="1394"/>
      <c r="S1165" s="1394"/>
      <c r="U1165" s="328"/>
      <c r="V1165" s="308" t="s">
        <v>2010</v>
      </c>
      <c r="W1165" s="747">
        <v>43164</v>
      </c>
      <c r="X1165" s="748">
        <v>43152</v>
      </c>
      <c r="Y1165" s="744" t="s">
        <v>3777</v>
      </c>
      <c r="Z1165" s="749">
        <v>10905</v>
      </c>
      <c r="AA1165" s="748">
        <v>43164</v>
      </c>
      <c r="AB1165" s="250" t="s">
        <v>3610</v>
      </c>
      <c r="AC1165" s="744">
        <v>292481022</v>
      </c>
      <c r="AD1165" s="744"/>
      <c r="AE1165" s="744"/>
      <c r="AF1165" s="744"/>
      <c r="AG1165" s="251" t="s">
        <v>283</v>
      </c>
    </row>
    <row r="1166" spans="1:33" ht="15.75" customHeight="1">
      <c r="A1166" s="743">
        <v>43143</v>
      </c>
      <c r="B1166" s="590" t="s">
        <v>405</v>
      </c>
      <c r="C1166" s="744" t="s">
        <v>3312</v>
      </c>
      <c r="D1166" s="250" t="s">
        <v>3778</v>
      </c>
      <c r="E1166" s="250" t="s">
        <v>3638</v>
      </c>
      <c r="F1166" s="251">
        <v>1</v>
      </c>
      <c r="G1166" s="252">
        <v>100</v>
      </c>
      <c r="H1166" s="265">
        <f t="shared" si="124"/>
        <v>100</v>
      </c>
      <c r="I1166" s="254" t="s">
        <v>42</v>
      </c>
      <c r="J1166" s="331" t="s">
        <v>3779</v>
      </c>
      <c r="K1166" s="256">
        <v>43158</v>
      </c>
      <c r="L1166" s="256"/>
      <c r="M1166" s="256">
        <v>43152</v>
      </c>
      <c r="N1166" s="331" t="s">
        <v>3432</v>
      </c>
      <c r="O1166" s="308" t="s">
        <v>3780</v>
      </c>
      <c r="Q1166" s="591"/>
      <c r="R1166" s="1406"/>
      <c r="S1166" s="1406"/>
      <c r="U1166" s="572">
        <v>2774</v>
      </c>
      <c r="V1166" s="308" t="s">
        <v>2045</v>
      </c>
      <c r="W1166" s="747">
        <v>43220</v>
      </c>
      <c r="X1166" s="748">
        <v>43152</v>
      </c>
      <c r="Y1166" s="744" t="s">
        <v>3781</v>
      </c>
      <c r="Z1166" s="749">
        <v>2774</v>
      </c>
      <c r="AA1166" s="748">
        <v>43225</v>
      </c>
      <c r="AB1166" s="250" t="s">
        <v>3782</v>
      </c>
      <c r="AC1166" s="744">
        <v>8053284374</v>
      </c>
      <c r="AD1166" s="744"/>
      <c r="AE1166" s="744"/>
      <c r="AF1166" s="744"/>
      <c r="AG1166" s="251" t="s">
        <v>283</v>
      </c>
    </row>
    <row r="1167" spans="1:33" ht="15.75" customHeight="1">
      <c r="A1167" s="743">
        <v>43143</v>
      </c>
      <c r="B1167" s="263" t="s">
        <v>129</v>
      </c>
      <c r="C1167" s="744" t="s">
        <v>3312</v>
      </c>
      <c r="D1167" s="250" t="s">
        <v>3783</v>
      </c>
      <c r="E1167" s="250" t="s">
        <v>3784</v>
      </c>
      <c r="F1167" s="264">
        <v>1</v>
      </c>
      <c r="G1167" s="265">
        <v>423</v>
      </c>
      <c r="H1167" s="265">
        <f t="shared" si="124"/>
        <v>423</v>
      </c>
      <c r="I1167" s="254" t="s">
        <v>419</v>
      </c>
      <c r="J1167" s="401" t="s">
        <v>3361</v>
      </c>
      <c r="K1167" s="256">
        <v>43174</v>
      </c>
      <c r="L1167" s="256"/>
      <c r="M1167" s="256">
        <v>43172</v>
      </c>
      <c r="N1167" s="331" t="s">
        <v>89</v>
      </c>
      <c r="O1167" s="308" t="s">
        <v>3785</v>
      </c>
      <c r="Q1167" s="266">
        <v>404.25</v>
      </c>
      <c r="R1167" s="1394"/>
      <c r="S1167" s="1394"/>
      <c r="U1167" s="328"/>
      <c r="V1167" s="338" t="s">
        <v>93</v>
      </c>
      <c r="W1167" s="747">
        <v>43220</v>
      </c>
      <c r="X1167" s="748">
        <v>43172</v>
      </c>
      <c r="Y1167" s="744" t="s">
        <v>3786</v>
      </c>
      <c r="Z1167" s="749">
        <v>62212</v>
      </c>
      <c r="AA1167" s="750">
        <v>43220</v>
      </c>
      <c r="AB1167" s="250" t="s">
        <v>3787</v>
      </c>
      <c r="AC1167" s="744">
        <v>7578912924</v>
      </c>
      <c r="AD1167" s="744"/>
      <c r="AE1167" s="744"/>
      <c r="AF1167" s="744"/>
      <c r="AG1167" s="251" t="s">
        <v>283</v>
      </c>
    </row>
    <row r="1168" spans="1:33" ht="15.75" customHeight="1">
      <c r="A1168" s="594">
        <v>43143</v>
      </c>
      <c r="B1168" s="785" t="s">
        <v>129</v>
      </c>
      <c r="C1168" s="744" t="s">
        <v>3312</v>
      </c>
      <c r="D1168" s="250" t="s">
        <v>3788</v>
      </c>
      <c r="E1168" s="250" t="s">
        <v>3789</v>
      </c>
      <c r="F1168" s="786">
        <v>10</v>
      </c>
      <c r="G1168" s="253">
        <v>90</v>
      </c>
      <c r="H1168" s="265">
        <f t="shared" si="124"/>
        <v>900</v>
      </c>
      <c r="I1168" s="254" t="s">
        <v>419</v>
      </c>
      <c r="J1168" s="401" t="s">
        <v>3361</v>
      </c>
      <c r="K1168" s="256">
        <v>43174</v>
      </c>
      <c r="L1168" s="256"/>
      <c r="M1168" s="256">
        <v>43172</v>
      </c>
      <c r="N1168" s="331" t="s">
        <v>89</v>
      </c>
      <c r="O1168" s="308" t="s">
        <v>3785</v>
      </c>
      <c r="Q1168" s="266">
        <v>892.5</v>
      </c>
      <c r="R1168" s="1394"/>
      <c r="S1168" s="1394"/>
      <c r="U1168" s="328"/>
      <c r="V1168" s="338" t="s">
        <v>93</v>
      </c>
      <c r="W1168" s="747">
        <v>43220</v>
      </c>
      <c r="X1168" s="748">
        <v>43172</v>
      </c>
      <c r="Y1168" s="744" t="s">
        <v>3786</v>
      </c>
      <c r="Z1168" s="744" t="s">
        <v>3790</v>
      </c>
      <c r="AA1168" s="750">
        <v>43220</v>
      </c>
      <c r="AB1168" s="250" t="s">
        <v>3787</v>
      </c>
      <c r="AC1168" s="744">
        <v>7578912924</v>
      </c>
      <c r="AD1168" s="744"/>
      <c r="AE1168" s="744"/>
      <c r="AF1168" s="744"/>
      <c r="AG1168" s="251" t="s">
        <v>283</v>
      </c>
    </row>
    <row r="1169" spans="1:33" ht="15.75" customHeight="1">
      <c r="A1169" s="743">
        <v>43143</v>
      </c>
      <c r="B1169" s="263" t="s">
        <v>129</v>
      </c>
      <c r="C1169" s="744" t="s">
        <v>3312</v>
      </c>
      <c r="D1169" s="250" t="s">
        <v>3788</v>
      </c>
      <c r="E1169" s="250" t="s">
        <v>3791</v>
      </c>
      <c r="F1169" s="264">
        <v>6</v>
      </c>
      <c r="G1169" s="265">
        <v>85</v>
      </c>
      <c r="H1169" s="265">
        <f t="shared" si="124"/>
        <v>510</v>
      </c>
      <c r="I1169" s="254" t="s">
        <v>419</v>
      </c>
      <c r="J1169" s="401" t="s">
        <v>3361</v>
      </c>
      <c r="K1169" s="256">
        <v>43174</v>
      </c>
      <c r="L1169" s="256"/>
      <c r="M1169" s="256">
        <v>43172</v>
      </c>
      <c r="N1169" s="331" t="s">
        <v>89</v>
      </c>
      <c r="O1169" s="308" t="s">
        <v>3785</v>
      </c>
      <c r="Q1169" s="266">
        <v>466.2</v>
      </c>
      <c r="R1169" s="1394"/>
      <c r="S1169" s="1394"/>
      <c r="U1169" s="328"/>
      <c r="V1169" s="338" t="s">
        <v>93</v>
      </c>
      <c r="W1169" s="747">
        <v>43220</v>
      </c>
      <c r="X1169" s="748">
        <v>43172</v>
      </c>
      <c r="Y1169" s="744" t="s">
        <v>3786</v>
      </c>
      <c r="Z1169" s="744" t="s">
        <v>3790</v>
      </c>
      <c r="AA1169" s="750">
        <v>43220</v>
      </c>
      <c r="AB1169" s="250" t="s">
        <v>3787</v>
      </c>
      <c r="AC1169" s="744">
        <v>7578912924</v>
      </c>
      <c r="AD1169" s="744"/>
      <c r="AE1169" s="744"/>
      <c r="AF1169" s="744"/>
      <c r="AG1169" s="251" t="s">
        <v>283</v>
      </c>
    </row>
    <row r="1170" spans="1:33" ht="15.75" customHeight="1">
      <c r="A1170" s="743">
        <v>43143</v>
      </c>
      <c r="B1170" s="263" t="s">
        <v>129</v>
      </c>
      <c r="C1170" s="744" t="s">
        <v>3312</v>
      </c>
      <c r="D1170" s="250" t="s">
        <v>3788</v>
      </c>
      <c r="E1170" s="250" t="s">
        <v>3360</v>
      </c>
      <c r="F1170" s="264">
        <v>1</v>
      </c>
      <c r="G1170" s="265">
        <v>244</v>
      </c>
      <c r="H1170" s="265">
        <f t="shared" si="124"/>
        <v>244</v>
      </c>
      <c r="I1170" s="254" t="s">
        <v>419</v>
      </c>
      <c r="J1170" s="401" t="s">
        <v>3361</v>
      </c>
      <c r="K1170" s="256">
        <v>43174</v>
      </c>
      <c r="L1170" s="256"/>
      <c r="M1170" s="256">
        <v>43172</v>
      </c>
      <c r="N1170" s="331" t="s">
        <v>89</v>
      </c>
      <c r="O1170" s="308" t="s">
        <v>3785</v>
      </c>
      <c r="Q1170" s="266">
        <v>239.4</v>
      </c>
      <c r="R1170" s="1394"/>
      <c r="S1170" s="1394"/>
      <c r="U1170" s="328"/>
      <c r="V1170" s="338" t="s">
        <v>93</v>
      </c>
      <c r="W1170" s="747">
        <v>43220</v>
      </c>
      <c r="X1170" s="748">
        <v>43172</v>
      </c>
      <c r="Y1170" s="744" t="s">
        <v>3786</v>
      </c>
      <c r="Z1170" s="744" t="s">
        <v>3790</v>
      </c>
      <c r="AA1170" s="750">
        <v>43220</v>
      </c>
      <c r="AB1170" s="250" t="s">
        <v>3787</v>
      </c>
      <c r="AC1170" s="744">
        <v>7578912924</v>
      </c>
      <c r="AD1170" s="744"/>
      <c r="AE1170" s="744"/>
      <c r="AF1170" s="744"/>
      <c r="AG1170" s="251" t="s">
        <v>283</v>
      </c>
    </row>
    <row r="1171" spans="1:33" ht="15.75" customHeight="1">
      <c r="A1171" s="743">
        <v>43143</v>
      </c>
      <c r="B1171" s="263" t="s">
        <v>129</v>
      </c>
      <c r="C1171" s="744" t="s">
        <v>3312</v>
      </c>
      <c r="D1171" s="250" t="s">
        <v>3788</v>
      </c>
      <c r="E1171" s="250" t="s">
        <v>3792</v>
      </c>
      <c r="F1171" s="264">
        <v>2</v>
      </c>
      <c r="G1171" s="265">
        <v>66</v>
      </c>
      <c r="H1171" s="265">
        <f t="shared" si="124"/>
        <v>132</v>
      </c>
      <c r="I1171" s="254" t="s">
        <v>419</v>
      </c>
      <c r="J1171" s="401" t="s">
        <v>3361</v>
      </c>
      <c r="K1171" s="256">
        <v>43174</v>
      </c>
      <c r="L1171" s="256"/>
      <c r="M1171" s="256">
        <v>43172</v>
      </c>
      <c r="N1171" s="331" t="s">
        <v>89</v>
      </c>
      <c r="O1171" s="308" t="s">
        <v>3785</v>
      </c>
      <c r="Q1171" s="266">
        <v>126</v>
      </c>
      <c r="R1171" s="1394"/>
      <c r="S1171" s="1394"/>
      <c r="U1171" s="328"/>
      <c r="V1171" s="338" t="s">
        <v>93</v>
      </c>
      <c r="W1171" s="747">
        <v>43220</v>
      </c>
      <c r="X1171" s="748">
        <v>43172</v>
      </c>
      <c r="Y1171" s="744" t="s">
        <v>3786</v>
      </c>
      <c r="Z1171" s="744" t="s">
        <v>3790</v>
      </c>
      <c r="AA1171" s="750">
        <v>43220</v>
      </c>
      <c r="AB1171" s="250" t="s">
        <v>3787</v>
      </c>
      <c r="AC1171" s="744">
        <v>7578912924</v>
      </c>
      <c r="AD1171" s="744"/>
      <c r="AE1171" s="744"/>
      <c r="AF1171" s="744"/>
      <c r="AG1171" s="251" t="s">
        <v>283</v>
      </c>
    </row>
    <row r="1172" spans="1:33" ht="15.75" customHeight="1">
      <c r="A1172" s="755">
        <v>43152</v>
      </c>
      <c r="B1172" s="263" t="s">
        <v>76</v>
      </c>
      <c r="C1172" s="744" t="s">
        <v>3312</v>
      </c>
      <c r="D1172" s="250" t="s">
        <v>3793</v>
      </c>
      <c r="E1172" s="250" t="s">
        <v>3381</v>
      </c>
      <c r="F1172" s="787">
        <v>20</v>
      </c>
      <c r="G1172" s="265">
        <v>285</v>
      </c>
      <c r="H1172" s="253">
        <f t="shared" si="124"/>
        <v>5700</v>
      </c>
      <c r="I1172" s="254" t="s">
        <v>42</v>
      </c>
      <c r="J1172" s="331" t="s">
        <v>478</v>
      </c>
      <c r="K1172" s="256">
        <v>43186</v>
      </c>
      <c r="L1172" s="256"/>
      <c r="M1172" s="256">
        <v>43181</v>
      </c>
      <c r="N1172" s="331" t="s">
        <v>1967</v>
      </c>
      <c r="O1172" s="308" t="s">
        <v>3794</v>
      </c>
      <c r="Q1172" s="266">
        <v>5250</v>
      </c>
      <c r="R1172" s="1394"/>
      <c r="S1172" s="1394"/>
      <c r="U1172" s="308"/>
      <c r="V1172" s="308" t="s">
        <v>1969</v>
      </c>
      <c r="W1172" s="747">
        <v>43225</v>
      </c>
      <c r="X1172" s="750">
        <v>43181</v>
      </c>
      <c r="Y1172" s="250" t="s">
        <v>3795</v>
      </c>
      <c r="Z1172" s="753">
        <v>523029</v>
      </c>
      <c r="AA1172" s="750">
        <v>43256</v>
      </c>
      <c r="AB1172" s="250" t="s">
        <v>3796</v>
      </c>
      <c r="AC1172" s="250" t="s">
        <v>3797</v>
      </c>
      <c r="AD1172" s="250"/>
      <c r="AE1172" s="250"/>
      <c r="AF1172" s="250"/>
      <c r="AG1172" s="264" t="s">
        <v>283</v>
      </c>
    </row>
    <row r="1173" spans="1:33" ht="15.75" customHeight="1">
      <c r="A1173" s="755">
        <v>43152</v>
      </c>
      <c r="B1173" s="263" t="s">
        <v>76</v>
      </c>
      <c r="C1173" s="744" t="s">
        <v>3312</v>
      </c>
      <c r="D1173" s="250" t="s">
        <v>3793</v>
      </c>
      <c r="E1173" s="250" t="s">
        <v>317</v>
      </c>
      <c r="F1173" s="264">
        <v>55</v>
      </c>
      <c r="G1173" s="265">
        <v>255</v>
      </c>
      <c r="H1173" s="253">
        <f t="shared" si="124"/>
        <v>14025</v>
      </c>
      <c r="I1173" s="254" t="s">
        <v>42</v>
      </c>
      <c r="J1173" s="331" t="s">
        <v>478</v>
      </c>
      <c r="K1173" s="256">
        <v>43186</v>
      </c>
      <c r="L1173" s="256"/>
      <c r="M1173" s="256">
        <v>43181</v>
      </c>
      <c r="N1173" s="331" t="s">
        <v>1967</v>
      </c>
      <c r="O1173" s="308" t="s">
        <v>3794</v>
      </c>
      <c r="Q1173" s="266">
        <v>12705</v>
      </c>
      <c r="R1173" s="1394"/>
      <c r="S1173" s="1394"/>
      <c r="U1173" s="308"/>
      <c r="V1173" s="308" t="s">
        <v>1969</v>
      </c>
      <c r="W1173" s="747">
        <v>43225</v>
      </c>
      <c r="X1173" s="750">
        <v>43181</v>
      </c>
      <c r="Y1173" s="250" t="s">
        <v>3795</v>
      </c>
      <c r="Z1173" s="250" t="s">
        <v>3798</v>
      </c>
      <c r="AA1173" s="750">
        <v>43256</v>
      </c>
      <c r="AB1173" s="250" t="s">
        <v>3796</v>
      </c>
      <c r="AC1173" s="250" t="s">
        <v>3797</v>
      </c>
      <c r="AD1173" s="250"/>
      <c r="AE1173" s="250"/>
      <c r="AF1173" s="250"/>
      <c r="AG1173" s="264" t="s">
        <v>283</v>
      </c>
    </row>
    <row r="1174" spans="1:33" ht="15.75" customHeight="1">
      <c r="A1174" s="755">
        <v>43152</v>
      </c>
      <c r="B1174" s="590" t="s">
        <v>405</v>
      </c>
      <c r="C1174" s="744" t="s">
        <v>3312</v>
      </c>
      <c r="D1174" s="250" t="s">
        <v>3799</v>
      </c>
      <c r="E1174" s="250" t="s">
        <v>3800</v>
      </c>
      <c r="F1174" s="264">
        <v>1</v>
      </c>
      <c r="G1174" s="265">
        <v>1317</v>
      </c>
      <c r="H1174" s="265">
        <f t="shared" si="124"/>
        <v>1317</v>
      </c>
      <c r="I1174" s="254" t="s">
        <v>42</v>
      </c>
      <c r="J1174" s="331" t="s">
        <v>3779</v>
      </c>
      <c r="K1174" s="256">
        <v>43158</v>
      </c>
      <c r="L1174" s="256"/>
      <c r="M1174" s="256">
        <v>43153</v>
      </c>
      <c r="N1174" s="331" t="s">
        <v>3432</v>
      </c>
      <c r="O1174" s="250" t="s">
        <v>3801</v>
      </c>
      <c r="Q1174" s="266"/>
      <c r="R1174" s="1394"/>
      <c r="S1174" s="1394"/>
      <c r="U1174" s="572">
        <v>35991</v>
      </c>
      <c r="V1174" s="308" t="s">
        <v>2045</v>
      </c>
      <c r="W1174" s="747">
        <v>43220</v>
      </c>
      <c r="X1174" s="750">
        <v>43152</v>
      </c>
      <c r="Y1174" s="250" t="s">
        <v>3802</v>
      </c>
      <c r="Z1174" s="753">
        <v>35991</v>
      </c>
      <c r="AA1174" s="750">
        <v>43225</v>
      </c>
      <c r="AB1174" s="250" t="s">
        <v>3782</v>
      </c>
      <c r="AC1174" s="250">
        <v>8053284374</v>
      </c>
      <c r="AD1174" s="250"/>
      <c r="AE1174" s="250"/>
      <c r="AF1174" s="250"/>
      <c r="AG1174" s="264" t="s">
        <v>283</v>
      </c>
    </row>
    <row r="1175" spans="1:33" ht="15.75" customHeight="1">
      <c r="A1175" s="755">
        <v>43152</v>
      </c>
      <c r="B1175" s="263" t="s">
        <v>100</v>
      </c>
      <c r="C1175" s="744" t="s">
        <v>3312</v>
      </c>
      <c r="D1175" s="420" t="s">
        <v>3803</v>
      </c>
      <c r="E1175" s="420" t="s">
        <v>3804</v>
      </c>
      <c r="F1175" s="264">
        <v>4</v>
      </c>
      <c r="G1175" s="265">
        <v>550</v>
      </c>
      <c r="H1175" s="265">
        <f t="shared" si="124"/>
        <v>2200</v>
      </c>
      <c r="I1175" s="254" t="s">
        <v>3315</v>
      </c>
      <c r="J1175" s="331" t="s">
        <v>3578</v>
      </c>
      <c r="K1175" s="256">
        <v>43174</v>
      </c>
      <c r="L1175" s="256"/>
      <c r="M1175" s="256">
        <v>43171</v>
      </c>
      <c r="N1175" s="401" t="s">
        <v>1995</v>
      </c>
      <c r="O1175" s="308" t="s">
        <v>3805</v>
      </c>
      <c r="Q1175" s="266"/>
      <c r="R1175" s="1394"/>
      <c r="S1175" s="1394"/>
      <c r="U1175" s="572">
        <v>60812</v>
      </c>
      <c r="V1175" s="571" t="s">
        <v>1997</v>
      </c>
      <c r="W1175" s="747">
        <v>43225</v>
      </c>
      <c r="X1175" s="750">
        <v>43167</v>
      </c>
      <c r="Y1175" s="250" t="s">
        <v>3806</v>
      </c>
      <c r="Z1175" s="753">
        <v>60812</v>
      </c>
      <c r="AA1175" s="750">
        <v>43225</v>
      </c>
      <c r="AB1175" s="250" t="s">
        <v>3807</v>
      </c>
      <c r="AC1175" s="250">
        <v>7578687653</v>
      </c>
      <c r="AD1175" s="250"/>
      <c r="AE1175" s="250"/>
      <c r="AF1175" s="250"/>
      <c r="AG1175" s="251" t="s">
        <v>283</v>
      </c>
    </row>
    <row r="1176" spans="1:33" ht="15.75" customHeight="1">
      <c r="A1176" s="755">
        <v>43152</v>
      </c>
      <c r="B1176" s="263" t="s">
        <v>100</v>
      </c>
      <c r="C1176" s="744" t="s">
        <v>3312</v>
      </c>
      <c r="D1176" s="420" t="s">
        <v>3803</v>
      </c>
      <c r="E1176" s="420" t="s">
        <v>3808</v>
      </c>
      <c r="F1176" s="264">
        <v>2</v>
      </c>
      <c r="G1176" s="265">
        <v>352</v>
      </c>
      <c r="H1176" s="265">
        <f t="shared" si="124"/>
        <v>704</v>
      </c>
      <c r="I1176" s="254" t="s">
        <v>3315</v>
      </c>
      <c r="J1176" s="331" t="s">
        <v>3578</v>
      </c>
      <c r="K1176" s="256">
        <v>43174</v>
      </c>
      <c r="L1176" s="256"/>
      <c r="M1176" s="256">
        <v>43161</v>
      </c>
      <c r="N1176" s="331" t="s">
        <v>1993</v>
      </c>
      <c r="O1176" s="308" t="s">
        <v>3809</v>
      </c>
      <c r="Q1176" s="266">
        <v>598.5</v>
      </c>
      <c r="R1176" s="1394"/>
      <c r="S1176" s="1394"/>
      <c r="U1176" s="308"/>
      <c r="V1176" s="338" t="s">
        <v>46</v>
      </c>
      <c r="W1176" s="747">
        <v>43192</v>
      </c>
      <c r="X1176" s="750">
        <v>43160</v>
      </c>
      <c r="Y1176" s="250" t="s">
        <v>3810</v>
      </c>
      <c r="Z1176" s="753">
        <v>28850</v>
      </c>
      <c r="AA1176" s="750">
        <v>43199</v>
      </c>
      <c r="AB1176" s="250" t="s">
        <v>3807</v>
      </c>
      <c r="AC1176" s="250">
        <v>7578687653</v>
      </c>
      <c r="AD1176" s="250"/>
      <c r="AE1176" s="250"/>
      <c r="AF1176" s="250"/>
      <c r="AG1176" s="251" t="s">
        <v>283</v>
      </c>
    </row>
    <row r="1177" spans="1:33" ht="15.75" customHeight="1">
      <c r="A1177" s="755">
        <v>43152</v>
      </c>
      <c r="B1177" s="263" t="s">
        <v>100</v>
      </c>
      <c r="C1177" s="744" t="s">
        <v>3312</v>
      </c>
      <c r="D1177" s="420" t="s">
        <v>3803</v>
      </c>
      <c r="E1177" s="420" t="s">
        <v>3811</v>
      </c>
      <c r="F1177" s="264">
        <v>2</v>
      </c>
      <c r="G1177" s="265">
        <v>229</v>
      </c>
      <c r="H1177" s="265">
        <f t="shared" si="124"/>
        <v>458</v>
      </c>
      <c r="I1177" s="254" t="s">
        <v>3315</v>
      </c>
      <c r="J1177" s="331" t="s">
        <v>3578</v>
      </c>
      <c r="K1177" s="256">
        <v>43174</v>
      </c>
      <c r="L1177" s="256"/>
      <c r="M1177" s="256">
        <v>43161</v>
      </c>
      <c r="N1177" s="331" t="s">
        <v>1993</v>
      </c>
      <c r="O1177" s="308" t="s">
        <v>3809</v>
      </c>
      <c r="Q1177" s="266">
        <v>388.5</v>
      </c>
      <c r="R1177" s="1394"/>
      <c r="S1177" s="1394"/>
      <c r="U1177" s="308"/>
      <c r="V1177" s="338" t="s">
        <v>46</v>
      </c>
      <c r="W1177" s="747">
        <v>43192</v>
      </c>
      <c r="X1177" s="750">
        <v>43160</v>
      </c>
      <c r="Y1177" s="250" t="s">
        <v>3810</v>
      </c>
      <c r="Z1177" s="250" t="s">
        <v>3812</v>
      </c>
      <c r="AA1177" s="750">
        <v>43199</v>
      </c>
      <c r="AB1177" s="250" t="s">
        <v>3807</v>
      </c>
      <c r="AC1177" s="250">
        <v>7578687653</v>
      </c>
      <c r="AD1177" s="250"/>
      <c r="AE1177" s="250"/>
      <c r="AF1177" s="250"/>
      <c r="AG1177" s="251" t="s">
        <v>283</v>
      </c>
    </row>
    <row r="1178" spans="1:33" ht="15.75" customHeight="1">
      <c r="A1178" s="755">
        <v>43152</v>
      </c>
      <c r="B1178" s="263" t="s">
        <v>100</v>
      </c>
      <c r="C1178" s="744" t="s">
        <v>3312</v>
      </c>
      <c r="D1178" s="420" t="s">
        <v>3813</v>
      </c>
      <c r="E1178" s="420" t="s">
        <v>3814</v>
      </c>
      <c r="F1178" s="264">
        <v>2</v>
      </c>
      <c r="G1178" s="265">
        <v>278</v>
      </c>
      <c r="H1178" s="265">
        <f t="shared" si="124"/>
        <v>556</v>
      </c>
      <c r="I1178" s="254" t="s">
        <v>3315</v>
      </c>
      <c r="J1178" s="331" t="s">
        <v>3578</v>
      </c>
      <c r="K1178" s="256">
        <v>43174</v>
      </c>
      <c r="L1178" s="256"/>
      <c r="M1178" s="256">
        <v>43168</v>
      </c>
      <c r="N1178" s="401" t="s">
        <v>1995</v>
      </c>
      <c r="O1178" s="308" t="s">
        <v>3815</v>
      </c>
      <c r="Q1178" s="266"/>
      <c r="R1178" s="1394"/>
      <c r="S1178" s="1394"/>
      <c r="U1178" s="572">
        <v>16277</v>
      </c>
      <c r="V1178" s="571" t="s">
        <v>1997</v>
      </c>
      <c r="W1178" s="747">
        <v>43225</v>
      </c>
      <c r="X1178" s="750">
        <v>43167</v>
      </c>
      <c r="Y1178" s="250" t="s">
        <v>3816</v>
      </c>
      <c r="Z1178" s="753">
        <v>16277</v>
      </c>
      <c r="AA1178" s="750">
        <v>43225</v>
      </c>
      <c r="AB1178" s="250" t="s">
        <v>3807</v>
      </c>
      <c r="AC1178" s="250">
        <v>7578687653</v>
      </c>
      <c r="AD1178" s="250"/>
      <c r="AE1178" s="250"/>
      <c r="AF1178" s="250"/>
      <c r="AG1178" s="251" t="s">
        <v>283</v>
      </c>
    </row>
    <row r="1179" spans="1:33" ht="15.75" customHeight="1">
      <c r="A1179" s="755">
        <v>43152</v>
      </c>
      <c r="B1179" s="263" t="s">
        <v>100</v>
      </c>
      <c r="C1179" s="744" t="s">
        <v>3312</v>
      </c>
      <c r="D1179" s="420" t="s">
        <v>3813</v>
      </c>
      <c r="E1179" s="420" t="s">
        <v>3320</v>
      </c>
      <c r="F1179" s="264">
        <v>2</v>
      </c>
      <c r="G1179" s="265">
        <v>52</v>
      </c>
      <c r="H1179" s="265">
        <f t="shared" si="124"/>
        <v>104</v>
      </c>
      <c r="I1179" s="254" t="s">
        <v>3315</v>
      </c>
      <c r="J1179" s="331" t="s">
        <v>3578</v>
      </c>
      <c r="K1179" s="256">
        <v>43174</v>
      </c>
      <c r="L1179" s="256"/>
      <c r="M1179" s="264" t="s">
        <v>178</v>
      </c>
      <c r="N1179" s="331" t="s">
        <v>178</v>
      </c>
      <c r="O1179" s="308" t="s">
        <v>3817</v>
      </c>
      <c r="Q1179" s="266"/>
      <c r="R1179" s="1394"/>
      <c r="S1179" s="1394"/>
      <c r="U1179" s="308"/>
      <c r="V1179" s="308"/>
      <c r="W1179" s="308"/>
      <c r="X1179" s="250" t="s">
        <v>3556</v>
      </c>
      <c r="Y1179" s="250" t="s">
        <v>3556</v>
      </c>
      <c r="Z1179" s="250" t="s">
        <v>3556</v>
      </c>
      <c r="AA1179" s="788"/>
      <c r="AB1179" s="250" t="s">
        <v>3807</v>
      </c>
      <c r="AC1179" s="250">
        <v>7578687653</v>
      </c>
      <c r="AD1179" s="250"/>
      <c r="AE1179" s="250"/>
      <c r="AF1179" s="250"/>
      <c r="AG1179" s="251" t="s">
        <v>283</v>
      </c>
    </row>
    <row r="1180" spans="1:33" ht="15.75" customHeight="1">
      <c r="A1180" s="743">
        <v>43155</v>
      </c>
      <c r="B1180" s="263" t="s">
        <v>3516</v>
      </c>
      <c r="C1180" s="744" t="s">
        <v>3312</v>
      </c>
      <c r="D1180" s="250" t="s">
        <v>3818</v>
      </c>
      <c r="E1180" s="250" t="s">
        <v>3819</v>
      </c>
      <c r="F1180" s="251">
        <v>7</v>
      </c>
      <c r="G1180" s="252">
        <v>64</v>
      </c>
      <c r="H1180" s="265">
        <f t="shared" si="124"/>
        <v>448</v>
      </c>
      <c r="I1180" s="254" t="s">
        <v>3315</v>
      </c>
      <c r="J1180" s="267" t="s">
        <v>3519</v>
      </c>
      <c r="K1180" s="256">
        <v>43167</v>
      </c>
      <c r="L1180" s="256"/>
      <c r="M1180" s="256">
        <v>43166</v>
      </c>
      <c r="N1180" s="331" t="s">
        <v>89</v>
      </c>
      <c r="O1180" s="308" t="s">
        <v>3820</v>
      </c>
      <c r="Q1180" s="266">
        <v>396.9</v>
      </c>
      <c r="R1180" s="1394"/>
      <c r="S1180" s="1394"/>
      <c r="U1180" s="328"/>
      <c r="V1180" s="338" t="s">
        <v>93</v>
      </c>
      <c r="W1180" s="747">
        <v>43220</v>
      </c>
      <c r="X1180" s="748">
        <v>43166</v>
      </c>
      <c r="Y1180" s="744" t="s">
        <v>3821</v>
      </c>
      <c r="Z1180" s="749">
        <v>11607</v>
      </c>
      <c r="AA1180" s="748">
        <v>43164</v>
      </c>
      <c r="AB1180" s="250" t="s">
        <v>3822</v>
      </c>
      <c r="AC1180" s="744">
        <v>771747977233</v>
      </c>
      <c r="AD1180" s="744"/>
      <c r="AE1180" s="744"/>
      <c r="AF1180" s="744"/>
      <c r="AG1180" s="251" t="s">
        <v>283</v>
      </c>
    </row>
    <row r="1181" spans="1:33" ht="15.75" customHeight="1">
      <c r="A1181" s="743">
        <v>43155</v>
      </c>
      <c r="B1181" s="263" t="s">
        <v>3516</v>
      </c>
      <c r="C1181" s="744" t="s">
        <v>3312</v>
      </c>
      <c r="D1181" s="250" t="s">
        <v>3818</v>
      </c>
      <c r="E1181" s="250" t="s">
        <v>3823</v>
      </c>
      <c r="F1181" s="251">
        <v>1</v>
      </c>
      <c r="G1181" s="252">
        <v>162</v>
      </c>
      <c r="H1181" s="265">
        <f t="shared" si="124"/>
        <v>162</v>
      </c>
      <c r="I1181" s="254" t="s">
        <v>3315</v>
      </c>
      <c r="J1181" s="267" t="s">
        <v>3519</v>
      </c>
      <c r="K1181" s="256">
        <v>43167</v>
      </c>
      <c r="L1181" s="256"/>
      <c r="M1181" s="256">
        <v>43166</v>
      </c>
      <c r="N1181" s="331" t="s">
        <v>3432</v>
      </c>
      <c r="O1181" s="308" t="s">
        <v>3824</v>
      </c>
      <c r="Q1181" s="591"/>
      <c r="R1181" s="1406"/>
      <c r="S1181" s="1406"/>
      <c r="U1181" s="572">
        <v>4474</v>
      </c>
      <c r="V1181" s="308" t="s">
        <v>2045</v>
      </c>
      <c r="W1181" s="747">
        <v>43251</v>
      </c>
      <c r="X1181" s="748">
        <v>43164</v>
      </c>
      <c r="Y1181" s="744" t="s">
        <v>3825</v>
      </c>
      <c r="Z1181" s="749">
        <v>4474</v>
      </c>
      <c r="AA1181" s="750">
        <v>43251</v>
      </c>
      <c r="AB1181" s="250" t="s">
        <v>3822</v>
      </c>
      <c r="AC1181" s="744">
        <v>771747977233</v>
      </c>
      <c r="AD1181" s="744"/>
      <c r="AE1181" s="744"/>
      <c r="AF1181" s="744"/>
      <c r="AG1181" s="251" t="s">
        <v>283</v>
      </c>
    </row>
    <row r="1182" spans="1:33" ht="15.75" customHeight="1">
      <c r="A1182" s="743">
        <v>43155</v>
      </c>
      <c r="B1182" s="263" t="s">
        <v>3516</v>
      </c>
      <c r="C1182" s="744" t="s">
        <v>3312</v>
      </c>
      <c r="D1182" s="250" t="s">
        <v>3818</v>
      </c>
      <c r="E1182" s="250" t="s">
        <v>3826</v>
      </c>
      <c r="F1182" s="251">
        <v>6</v>
      </c>
      <c r="G1182" s="252">
        <v>163</v>
      </c>
      <c r="H1182" s="265">
        <f t="shared" si="124"/>
        <v>978</v>
      </c>
      <c r="I1182" s="254" t="s">
        <v>3315</v>
      </c>
      <c r="J1182" s="267" t="s">
        <v>3519</v>
      </c>
      <c r="K1182" s="256">
        <v>43223</v>
      </c>
      <c r="L1182" s="256"/>
      <c r="M1182" s="256">
        <v>43217</v>
      </c>
      <c r="N1182" s="331" t="s">
        <v>3432</v>
      </c>
      <c r="O1182" s="308" t="s">
        <v>3824</v>
      </c>
      <c r="Q1182" s="591"/>
      <c r="R1182" s="1406"/>
      <c r="S1182" s="1406"/>
      <c r="U1182" s="572">
        <v>26844</v>
      </c>
      <c r="V1182" s="308" t="s">
        <v>2045</v>
      </c>
      <c r="W1182" s="747">
        <v>43312</v>
      </c>
      <c r="X1182" s="748">
        <v>43216</v>
      </c>
      <c r="Y1182" s="744" t="s">
        <v>3827</v>
      </c>
      <c r="Z1182" s="753">
        <v>26844</v>
      </c>
      <c r="AA1182" s="748">
        <v>43280</v>
      </c>
      <c r="AB1182" s="250" t="s">
        <v>3828</v>
      </c>
      <c r="AC1182" s="744">
        <v>772141222685</v>
      </c>
      <c r="AD1182" s="744"/>
      <c r="AE1182" s="744"/>
      <c r="AF1182" s="744"/>
      <c r="AG1182" s="251" t="s">
        <v>283</v>
      </c>
    </row>
    <row r="1183" spans="1:33" ht="15.75" customHeight="1">
      <c r="A1183" s="743">
        <v>43156</v>
      </c>
      <c r="B1183" s="263" t="s">
        <v>118</v>
      </c>
      <c r="C1183" s="744" t="s">
        <v>3312</v>
      </c>
      <c r="D1183" s="250" t="s">
        <v>3829</v>
      </c>
      <c r="E1183" s="250" t="s">
        <v>3447</v>
      </c>
      <c r="F1183" s="251">
        <v>10</v>
      </c>
      <c r="G1183" s="252">
        <v>370</v>
      </c>
      <c r="H1183" s="253">
        <f t="shared" si="124"/>
        <v>3700</v>
      </c>
      <c r="I1183" s="254" t="s">
        <v>3830</v>
      </c>
      <c r="J1183" s="426" t="s">
        <v>3442</v>
      </c>
      <c r="K1183" s="256">
        <v>43202</v>
      </c>
      <c r="L1183" s="256"/>
      <c r="M1183" s="256">
        <v>43182</v>
      </c>
      <c r="N1183" s="331" t="s">
        <v>89</v>
      </c>
      <c r="O1183" s="308" t="s">
        <v>3831</v>
      </c>
      <c r="Q1183" s="266">
        <v>3486</v>
      </c>
      <c r="R1183" s="1394"/>
      <c r="S1183" s="1394"/>
      <c r="U1183" s="328"/>
      <c r="V1183" s="338" t="s">
        <v>93</v>
      </c>
      <c r="W1183" s="747">
        <v>43220</v>
      </c>
      <c r="X1183" s="748">
        <v>43181</v>
      </c>
      <c r="Y1183" s="744" t="s">
        <v>3832</v>
      </c>
      <c r="Z1183" s="749">
        <v>427673</v>
      </c>
      <c r="AA1183" s="750">
        <v>43220</v>
      </c>
      <c r="AB1183" s="744" t="s">
        <v>3833</v>
      </c>
      <c r="AC1183" s="744" t="s">
        <v>3834</v>
      </c>
      <c r="AD1183" s="744"/>
      <c r="AE1183" s="744"/>
      <c r="AF1183" s="744"/>
      <c r="AG1183" s="251" t="s">
        <v>283</v>
      </c>
    </row>
    <row r="1184" spans="1:33" ht="15.75" customHeight="1">
      <c r="A1184" s="743">
        <v>43156</v>
      </c>
      <c r="B1184" s="263" t="s">
        <v>118</v>
      </c>
      <c r="C1184" s="744" t="s">
        <v>3312</v>
      </c>
      <c r="D1184" s="250" t="s">
        <v>3829</v>
      </c>
      <c r="E1184" s="250" t="s">
        <v>3457</v>
      </c>
      <c r="F1184" s="251">
        <v>130</v>
      </c>
      <c r="G1184" s="252">
        <v>105</v>
      </c>
      <c r="H1184" s="253">
        <f t="shared" si="124"/>
        <v>13650</v>
      </c>
      <c r="I1184" s="254" t="s">
        <v>3830</v>
      </c>
      <c r="J1184" s="426" t="s">
        <v>3442</v>
      </c>
      <c r="K1184" s="256">
        <v>43202</v>
      </c>
      <c r="L1184" s="256"/>
      <c r="M1184" s="256">
        <v>43182</v>
      </c>
      <c r="N1184" s="331" t="s">
        <v>89</v>
      </c>
      <c r="O1184" s="308" t="s">
        <v>3831</v>
      </c>
      <c r="Q1184" s="266">
        <v>11193</v>
      </c>
      <c r="R1184" s="1394"/>
      <c r="S1184" s="1394"/>
      <c r="U1184" s="328"/>
      <c r="V1184" s="338" t="s">
        <v>93</v>
      </c>
      <c r="W1184" s="747">
        <v>43220</v>
      </c>
      <c r="X1184" s="748">
        <v>43181</v>
      </c>
      <c r="Y1184" s="744" t="s">
        <v>3832</v>
      </c>
      <c r="Z1184" s="744" t="s">
        <v>3835</v>
      </c>
      <c r="AA1184" s="750">
        <v>43220</v>
      </c>
      <c r="AB1184" s="744" t="s">
        <v>3833</v>
      </c>
      <c r="AC1184" s="744" t="s">
        <v>3834</v>
      </c>
      <c r="AD1184" s="744"/>
      <c r="AE1184" s="744"/>
      <c r="AF1184" s="744"/>
      <c r="AG1184" s="251" t="s">
        <v>283</v>
      </c>
    </row>
    <row r="1185" spans="1:33" ht="15.75" customHeight="1">
      <c r="A1185" s="743">
        <v>43156</v>
      </c>
      <c r="B1185" s="263" t="s">
        <v>118</v>
      </c>
      <c r="C1185" s="744" t="s">
        <v>3312</v>
      </c>
      <c r="D1185" s="250" t="s">
        <v>3829</v>
      </c>
      <c r="E1185" s="250" t="s">
        <v>3451</v>
      </c>
      <c r="F1185" s="251">
        <v>8</v>
      </c>
      <c r="G1185" s="252">
        <v>500</v>
      </c>
      <c r="H1185" s="253">
        <f t="shared" si="124"/>
        <v>4000</v>
      </c>
      <c r="I1185" s="254" t="s">
        <v>419</v>
      </c>
      <c r="J1185" s="426" t="s">
        <v>3442</v>
      </c>
      <c r="K1185" s="256">
        <v>43178</v>
      </c>
      <c r="L1185" s="256"/>
      <c r="M1185" s="256">
        <v>43175</v>
      </c>
      <c r="N1185" s="331" t="s">
        <v>89</v>
      </c>
      <c r="O1185" s="308" t="s">
        <v>3831</v>
      </c>
      <c r="Q1185" s="266">
        <v>3570</v>
      </c>
      <c r="R1185" s="1394"/>
      <c r="S1185" s="1394"/>
      <c r="U1185" s="328"/>
      <c r="V1185" s="338" t="s">
        <v>93</v>
      </c>
      <c r="W1185" s="747">
        <v>43220</v>
      </c>
      <c r="X1185" s="748">
        <v>43174</v>
      </c>
      <c r="Y1185" s="744" t="s">
        <v>3836</v>
      </c>
      <c r="Z1185" s="749">
        <v>116014</v>
      </c>
      <c r="AA1185" s="750">
        <v>43220</v>
      </c>
      <c r="AB1185" s="250" t="s">
        <v>3726</v>
      </c>
      <c r="AC1185" s="744" t="s">
        <v>3727</v>
      </c>
      <c r="AD1185" s="744"/>
      <c r="AE1185" s="744"/>
      <c r="AF1185" s="744"/>
      <c r="AG1185" s="251" t="s">
        <v>283</v>
      </c>
    </row>
    <row r="1186" spans="1:33" ht="15.75" customHeight="1">
      <c r="A1186" s="743">
        <v>43156</v>
      </c>
      <c r="B1186" s="263" t="s">
        <v>118</v>
      </c>
      <c r="C1186" s="744" t="s">
        <v>3312</v>
      </c>
      <c r="D1186" s="250" t="s">
        <v>3829</v>
      </c>
      <c r="E1186" s="250" t="s">
        <v>3452</v>
      </c>
      <c r="F1186" s="251">
        <v>10</v>
      </c>
      <c r="G1186" s="252">
        <v>46</v>
      </c>
      <c r="H1186" s="253">
        <f t="shared" si="124"/>
        <v>460</v>
      </c>
      <c r="I1186" s="254" t="s">
        <v>419</v>
      </c>
      <c r="J1186" s="264" t="s">
        <v>3442</v>
      </c>
      <c r="K1186" s="256">
        <v>43178</v>
      </c>
      <c r="L1186" s="256"/>
      <c r="M1186" s="256">
        <v>43175</v>
      </c>
      <c r="N1186" s="331" t="s">
        <v>89</v>
      </c>
      <c r="O1186" s="308" t="s">
        <v>3831</v>
      </c>
      <c r="Q1186" s="266">
        <v>399</v>
      </c>
      <c r="R1186" s="1394"/>
      <c r="S1186" s="1394"/>
      <c r="U1186" s="328"/>
      <c r="V1186" s="338" t="s">
        <v>93</v>
      </c>
      <c r="W1186" s="747">
        <v>43220</v>
      </c>
      <c r="X1186" s="748">
        <v>43174</v>
      </c>
      <c r="Y1186" s="744" t="s">
        <v>3836</v>
      </c>
      <c r="Z1186" s="744" t="s">
        <v>3837</v>
      </c>
      <c r="AA1186" s="750">
        <v>43220</v>
      </c>
      <c r="AB1186" s="250" t="s">
        <v>3726</v>
      </c>
      <c r="AC1186" s="744" t="s">
        <v>3727</v>
      </c>
      <c r="AD1186" s="744"/>
      <c r="AE1186" s="744"/>
      <c r="AF1186" s="744"/>
      <c r="AG1186" s="251" t="s">
        <v>283</v>
      </c>
    </row>
    <row r="1187" spans="1:33" ht="15.75" customHeight="1">
      <c r="A1187" s="743">
        <v>43158</v>
      </c>
      <c r="B1187" s="590" t="s">
        <v>405</v>
      </c>
      <c r="C1187" s="744" t="s">
        <v>3312</v>
      </c>
      <c r="D1187" s="250" t="s">
        <v>3838</v>
      </c>
      <c r="E1187" s="250" t="s">
        <v>3839</v>
      </c>
      <c r="F1187" s="251">
        <v>8</v>
      </c>
      <c r="G1187" s="252">
        <v>325</v>
      </c>
      <c r="H1187" s="253">
        <f t="shared" si="124"/>
        <v>2600</v>
      </c>
      <c r="I1187" s="254" t="s">
        <v>42</v>
      </c>
      <c r="J1187" s="331" t="s">
        <v>3840</v>
      </c>
      <c r="K1187" s="256">
        <v>43167</v>
      </c>
      <c r="L1187" s="256"/>
      <c r="M1187" s="256">
        <v>43166</v>
      </c>
      <c r="N1187" s="331" t="s">
        <v>2518</v>
      </c>
      <c r="O1187" s="308" t="s">
        <v>3841</v>
      </c>
      <c r="Q1187" s="591"/>
      <c r="R1187" s="1406"/>
      <c r="S1187" s="1406"/>
      <c r="U1187" s="630">
        <v>75600</v>
      </c>
      <c r="V1187" s="597" t="s">
        <v>3842</v>
      </c>
      <c r="W1187" s="789">
        <v>43196</v>
      </c>
      <c r="X1187" s="748">
        <v>43165</v>
      </c>
      <c r="Y1187" s="744" t="s">
        <v>3843</v>
      </c>
      <c r="Z1187" s="749">
        <v>75600</v>
      </c>
      <c r="AA1187" s="748">
        <v>43228</v>
      </c>
      <c r="AB1187" s="250" t="s">
        <v>3844</v>
      </c>
      <c r="AC1187" s="744">
        <v>2856486345</v>
      </c>
      <c r="AD1187" s="744"/>
      <c r="AE1187" s="744"/>
      <c r="AF1187" s="744"/>
      <c r="AG1187" s="264" t="s">
        <v>283</v>
      </c>
    </row>
    <row r="1188" spans="1:33" ht="15.75" customHeight="1">
      <c r="A1188" s="743">
        <v>43158</v>
      </c>
      <c r="B1188" s="590" t="s">
        <v>405</v>
      </c>
      <c r="C1188" s="744" t="s">
        <v>3312</v>
      </c>
      <c r="D1188" s="250" t="s">
        <v>3838</v>
      </c>
      <c r="E1188" s="250" t="s">
        <v>3839</v>
      </c>
      <c r="F1188" s="251">
        <v>20</v>
      </c>
      <c r="G1188" s="252">
        <v>325</v>
      </c>
      <c r="H1188" s="253">
        <f t="shared" si="124"/>
        <v>6500</v>
      </c>
      <c r="I1188" s="254" t="s">
        <v>42</v>
      </c>
      <c r="J1188" s="331" t="s">
        <v>3840</v>
      </c>
      <c r="K1188" s="256">
        <v>43167</v>
      </c>
      <c r="L1188" s="256"/>
      <c r="M1188" s="256">
        <v>43166</v>
      </c>
      <c r="N1188" s="331" t="s">
        <v>2518</v>
      </c>
      <c r="O1188" s="308" t="s">
        <v>3841</v>
      </c>
      <c r="Q1188" s="591"/>
      <c r="R1188" s="1406"/>
      <c r="S1188" s="1406"/>
      <c r="U1188" s="630">
        <v>189000</v>
      </c>
      <c r="V1188" s="597" t="s">
        <v>2520</v>
      </c>
      <c r="W1188" s="789">
        <v>43196</v>
      </c>
      <c r="X1188" s="748">
        <v>43165</v>
      </c>
      <c r="Y1188" s="744" t="s">
        <v>3845</v>
      </c>
      <c r="Z1188" s="749">
        <v>189000</v>
      </c>
      <c r="AA1188" s="748">
        <v>43228</v>
      </c>
      <c r="AB1188" s="250" t="s">
        <v>3844</v>
      </c>
      <c r="AC1188" s="744">
        <v>2856486345</v>
      </c>
      <c r="AD1188" s="744"/>
      <c r="AE1188" s="744"/>
      <c r="AF1188" s="744"/>
      <c r="AG1188" s="264" t="s">
        <v>283</v>
      </c>
    </row>
    <row r="1189" spans="1:33" ht="15.75" customHeight="1">
      <c r="A1189" s="743">
        <v>43158</v>
      </c>
      <c r="B1189" s="590" t="s">
        <v>405</v>
      </c>
      <c r="C1189" s="744" t="s">
        <v>3312</v>
      </c>
      <c r="D1189" s="250" t="s">
        <v>3846</v>
      </c>
      <c r="E1189" s="250" t="s">
        <v>3847</v>
      </c>
      <c r="F1189" s="251">
        <v>1</v>
      </c>
      <c r="G1189" s="252">
        <v>282</v>
      </c>
      <c r="H1189" s="253">
        <f t="shared" si="124"/>
        <v>282</v>
      </c>
      <c r="I1189" s="254" t="s">
        <v>42</v>
      </c>
      <c r="J1189" s="331" t="s">
        <v>3840</v>
      </c>
      <c r="K1189" s="256">
        <v>43167</v>
      </c>
      <c r="L1189" s="256"/>
      <c r="M1189" s="256">
        <v>43161</v>
      </c>
      <c r="N1189" s="331" t="s">
        <v>3432</v>
      </c>
      <c r="O1189" s="308" t="s">
        <v>3848</v>
      </c>
      <c r="Q1189" s="591"/>
      <c r="R1189" s="1406"/>
      <c r="S1189" s="1406"/>
      <c r="U1189" s="572">
        <v>7841</v>
      </c>
      <c r="V1189" s="308" t="s">
        <v>2045</v>
      </c>
      <c r="W1189" s="747">
        <v>43251</v>
      </c>
      <c r="X1189" s="748">
        <v>43160</v>
      </c>
      <c r="Y1189" s="744" t="s">
        <v>3849</v>
      </c>
      <c r="Z1189" s="749">
        <v>10643</v>
      </c>
      <c r="AA1189" s="750">
        <v>43251</v>
      </c>
      <c r="AB1189" s="250" t="s">
        <v>3844</v>
      </c>
      <c r="AC1189" s="744">
        <v>2856486345</v>
      </c>
      <c r="AD1189" s="744"/>
      <c r="AE1189" s="744"/>
      <c r="AF1189" s="744"/>
      <c r="AG1189" s="264" t="s">
        <v>283</v>
      </c>
    </row>
    <row r="1190" spans="1:33" ht="15.75" customHeight="1">
      <c r="A1190" s="743">
        <v>43158</v>
      </c>
      <c r="B1190" s="590" t="s">
        <v>405</v>
      </c>
      <c r="C1190" s="744" t="s">
        <v>3312</v>
      </c>
      <c r="D1190" s="250" t="s">
        <v>3846</v>
      </c>
      <c r="E1190" s="250" t="s">
        <v>3850</v>
      </c>
      <c r="F1190" s="251">
        <v>1</v>
      </c>
      <c r="G1190" s="252">
        <v>100</v>
      </c>
      <c r="H1190" s="253">
        <f t="shared" si="124"/>
        <v>100</v>
      </c>
      <c r="I1190" s="254" t="s">
        <v>42</v>
      </c>
      <c r="J1190" s="331" t="s">
        <v>3840</v>
      </c>
      <c r="K1190" s="256">
        <v>43167</v>
      </c>
      <c r="L1190" s="256"/>
      <c r="M1190" s="256">
        <v>43161</v>
      </c>
      <c r="N1190" s="331" t="s">
        <v>3432</v>
      </c>
      <c r="O1190" s="308" t="s">
        <v>3848</v>
      </c>
      <c r="Q1190" s="591"/>
      <c r="R1190" s="1406"/>
      <c r="S1190" s="1406"/>
      <c r="U1190" s="572">
        <v>2801</v>
      </c>
      <c r="V1190" s="308" t="s">
        <v>2045</v>
      </c>
      <c r="W1190" s="747">
        <v>43251</v>
      </c>
      <c r="X1190" s="748">
        <v>43160</v>
      </c>
      <c r="Y1190" s="744" t="s">
        <v>3849</v>
      </c>
      <c r="Z1190" s="744" t="s">
        <v>3851</v>
      </c>
      <c r="AA1190" s="750">
        <v>43251</v>
      </c>
      <c r="AB1190" s="250" t="s">
        <v>3844</v>
      </c>
      <c r="AC1190" s="744">
        <v>2856486345</v>
      </c>
      <c r="AD1190" s="744"/>
      <c r="AE1190" s="744"/>
      <c r="AF1190" s="744"/>
      <c r="AG1190" s="264" t="s">
        <v>283</v>
      </c>
    </row>
    <row r="1191" spans="1:33" ht="15.75" customHeight="1">
      <c r="A1191" s="743">
        <v>43158</v>
      </c>
      <c r="B1191" s="263" t="s">
        <v>228</v>
      </c>
      <c r="C1191" s="744" t="s">
        <v>3312</v>
      </c>
      <c r="D1191" s="250" t="s">
        <v>3852</v>
      </c>
      <c r="E1191" s="250" t="s">
        <v>461</v>
      </c>
      <c r="F1191" s="305">
        <v>38</v>
      </c>
      <c r="G1191" s="323">
        <v>407.4</v>
      </c>
      <c r="H1191" s="253">
        <f t="shared" si="124"/>
        <v>15481.199999999999</v>
      </c>
      <c r="I1191" s="254" t="s">
        <v>170</v>
      </c>
      <c r="J1191" s="267" t="s">
        <v>89</v>
      </c>
      <c r="K1191" s="256">
        <v>43179</v>
      </c>
      <c r="L1191" s="256"/>
      <c r="M1191" s="256">
        <v>43179</v>
      </c>
      <c r="N1191" s="331" t="s">
        <v>89</v>
      </c>
      <c r="O1191" s="308" t="s">
        <v>3853</v>
      </c>
      <c r="Q1191" s="266">
        <v>14164.5</v>
      </c>
      <c r="R1191" s="1394"/>
      <c r="S1191" s="1394"/>
      <c r="U1191" s="328"/>
      <c r="V1191" s="338" t="s">
        <v>93</v>
      </c>
      <c r="W1191" s="747">
        <v>43220</v>
      </c>
      <c r="X1191" s="748">
        <v>43179</v>
      </c>
      <c r="Y1191" s="744" t="s">
        <v>3854</v>
      </c>
      <c r="Z1191" s="749">
        <v>414028</v>
      </c>
      <c r="AA1191" s="750">
        <v>43220</v>
      </c>
      <c r="AB1191" s="744" t="s">
        <v>3855</v>
      </c>
      <c r="AC1191" s="744"/>
      <c r="AD1191" s="744" t="s">
        <v>3856</v>
      </c>
      <c r="AE1191" s="751">
        <v>451432</v>
      </c>
      <c r="AF1191" s="744" t="s">
        <v>3857</v>
      </c>
      <c r="AG1191" s="251" t="s">
        <v>376</v>
      </c>
    </row>
    <row r="1192" spans="1:33" ht="15.75" customHeight="1">
      <c r="A1192" s="743">
        <v>43159</v>
      </c>
      <c r="B1192" s="263" t="s">
        <v>100</v>
      </c>
      <c r="C1192" s="744" t="s">
        <v>3312</v>
      </c>
      <c r="D1192" s="250" t="s">
        <v>3858</v>
      </c>
      <c r="E1192" s="250" t="s">
        <v>3859</v>
      </c>
      <c r="F1192" s="251">
        <v>15</v>
      </c>
      <c r="G1192" s="252">
        <v>1005</v>
      </c>
      <c r="H1192" s="253">
        <f t="shared" si="124"/>
        <v>15075</v>
      </c>
      <c r="I1192" s="254" t="s">
        <v>3315</v>
      </c>
      <c r="J1192" s="267" t="s">
        <v>3578</v>
      </c>
      <c r="K1192" s="256">
        <v>43174</v>
      </c>
      <c r="L1192" s="256"/>
      <c r="M1192" s="256">
        <v>43173</v>
      </c>
      <c r="N1192" s="331" t="s">
        <v>1414</v>
      </c>
      <c r="O1192" s="308" t="s">
        <v>3860</v>
      </c>
      <c r="Q1192" s="591"/>
      <c r="R1192" s="1406"/>
      <c r="S1192" s="1406"/>
      <c r="U1192" s="572">
        <v>459097</v>
      </c>
      <c r="V1192" s="318" t="s">
        <v>1947</v>
      </c>
      <c r="W1192" s="747">
        <v>43220</v>
      </c>
      <c r="X1192" s="748">
        <v>43172</v>
      </c>
      <c r="Y1192" s="744" t="s">
        <v>3861</v>
      </c>
      <c r="Z1192" s="749">
        <v>459089</v>
      </c>
      <c r="AA1192" s="750">
        <v>43220</v>
      </c>
      <c r="AB1192" s="250" t="s">
        <v>3807</v>
      </c>
      <c r="AC1192" s="744">
        <v>7578687653</v>
      </c>
      <c r="AD1192" s="744"/>
      <c r="AE1192" s="744"/>
      <c r="AF1192" s="744"/>
      <c r="AG1192" s="251" t="s">
        <v>283</v>
      </c>
    </row>
    <row r="1193" spans="1:33" ht="15.75" customHeight="1">
      <c r="A1193" s="743">
        <v>43162</v>
      </c>
      <c r="B1193" s="263" t="s">
        <v>577</v>
      </c>
      <c r="C1193" s="744" t="s">
        <v>3312</v>
      </c>
      <c r="D1193" s="250" t="s">
        <v>3862</v>
      </c>
      <c r="E1193" s="250" t="s">
        <v>579</v>
      </c>
      <c r="F1193" s="251">
        <v>2</v>
      </c>
      <c r="G1193" s="252">
        <v>96.6</v>
      </c>
      <c r="H1193" s="253">
        <f t="shared" si="124"/>
        <v>193.2</v>
      </c>
      <c r="I1193" s="254" t="s">
        <v>170</v>
      </c>
      <c r="J1193" s="331" t="s">
        <v>580</v>
      </c>
      <c r="K1193" s="256">
        <v>43175</v>
      </c>
      <c r="L1193" s="256"/>
      <c r="M1193" s="256">
        <v>43175</v>
      </c>
      <c r="N1193" s="331" t="s">
        <v>1414</v>
      </c>
      <c r="O1193" s="308" t="s">
        <v>3863</v>
      </c>
      <c r="Q1193" s="591"/>
      <c r="R1193" s="1406"/>
      <c r="S1193" s="1406"/>
      <c r="U1193" s="572">
        <v>4914</v>
      </c>
      <c r="V1193" s="318" t="s">
        <v>1947</v>
      </c>
      <c r="W1193" s="747">
        <v>43220</v>
      </c>
      <c r="X1193" s="748">
        <v>43175</v>
      </c>
      <c r="Y1193" s="744" t="s">
        <v>3864</v>
      </c>
      <c r="Z1193" s="749">
        <v>4915</v>
      </c>
      <c r="AA1193" s="750">
        <v>43220</v>
      </c>
      <c r="AB1193" s="744" t="s">
        <v>3865</v>
      </c>
      <c r="AC1193" s="744"/>
      <c r="AD1193" s="744" t="s">
        <v>3866</v>
      </c>
      <c r="AE1193" s="749">
        <v>5699</v>
      </c>
      <c r="AF1193" s="744" t="s">
        <v>3867</v>
      </c>
      <c r="AG1193" s="251" t="s">
        <v>376</v>
      </c>
    </row>
    <row r="1194" spans="1:33" ht="15.75" customHeight="1">
      <c r="A1194" s="743">
        <v>43165</v>
      </c>
      <c r="B1194" s="263" t="s">
        <v>3516</v>
      </c>
      <c r="C1194" s="744" t="s">
        <v>3312</v>
      </c>
      <c r="D1194" s="744" t="s">
        <v>3868</v>
      </c>
      <c r="E1194" s="744" t="s">
        <v>3869</v>
      </c>
      <c r="F1194" s="251">
        <v>2</v>
      </c>
      <c r="G1194" s="252">
        <v>225</v>
      </c>
      <c r="H1194" s="253">
        <f t="shared" si="124"/>
        <v>450</v>
      </c>
      <c r="I1194" s="254" t="s">
        <v>3315</v>
      </c>
      <c r="J1194" s="267" t="s">
        <v>3870</v>
      </c>
      <c r="K1194" s="256">
        <v>43174</v>
      </c>
      <c r="L1194" s="256"/>
      <c r="M1194" s="256">
        <v>43173</v>
      </c>
      <c r="N1194" s="331" t="s">
        <v>89</v>
      </c>
      <c r="O1194" s="308" t="s">
        <v>3871</v>
      </c>
      <c r="Q1194" s="266">
        <v>424.2</v>
      </c>
      <c r="R1194" s="1394"/>
      <c r="S1194" s="1394"/>
      <c r="U1194" s="328"/>
      <c r="V1194" s="338" t="s">
        <v>93</v>
      </c>
      <c r="W1194" s="747">
        <v>43220</v>
      </c>
      <c r="X1194" s="748">
        <v>43173</v>
      </c>
      <c r="Y1194" s="744" t="s">
        <v>3872</v>
      </c>
      <c r="Z1194" s="749">
        <v>30753</v>
      </c>
      <c r="AA1194" s="750">
        <v>43220</v>
      </c>
      <c r="AB1194" s="250" t="s">
        <v>3873</v>
      </c>
      <c r="AC1194" s="744">
        <v>780073932491</v>
      </c>
      <c r="AD1194" s="744"/>
      <c r="AE1194" s="744"/>
      <c r="AF1194" s="744"/>
      <c r="AG1194" s="251" t="s">
        <v>283</v>
      </c>
    </row>
    <row r="1195" spans="1:33" ht="15.75" customHeight="1">
      <c r="A1195" s="743">
        <v>43165</v>
      </c>
      <c r="B1195" s="263" t="s">
        <v>3516</v>
      </c>
      <c r="C1195" s="744" t="s">
        <v>3312</v>
      </c>
      <c r="D1195" s="744" t="s">
        <v>3868</v>
      </c>
      <c r="E1195" s="744" t="s">
        <v>3874</v>
      </c>
      <c r="F1195" s="251">
        <v>2</v>
      </c>
      <c r="G1195" s="252">
        <v>333</v>
      </c>
      <c r="H1195" s="253">
        <f t="shared" si="124"/>
        <v>666</v>
      </c>
      <c r="I1195" s="254" t="s">
        <v>3315</v>
      </c>
      <c r="J1195" s="267" t="s">
        <v>3870</v>
      </c>
      <c r="K1195" s="256">
        <v>43174</v>
      </c>
      <c r="L1195" s="256"/>
      <c r="M1195" s="256">
        <v>43173</v>
      </c>
      <c r="N1195" s="331" t="s">
        <v>89</v>
      </c>
      <c r="O1195" s="308" t="s">
        <v>3871</v>
      </c>
      <c r="Q1195" s="266">
        <v>627.9</v>
      </c>
      <c r="R1195" s="1394"/>
      <c r="S1195" s="1394"/>
      <c r="U1195" s="328"/>
      <c r="V1195" s="338" t="s">
        <v>93</v>
      </c>
      <c r="W1195" s="747">
        <v>43220</v>
      </c>
      <c r="X1195" s="748">
        <v>43173</v>
      </c>
      <c r="Y1195" s="744" t="s">
        <v>3872</v>
      </c>
      <c r="Z1195" s="744" t="s">
        <v>3875</v>
      </c>
      <c r="AA1195" s="750">
        <v>43220</v>
      </c>
      <c r="AB1195" s="250" t="s">
        <v>3873</v>
      </c>
      <c r="AC1195" s="744">
        <v>780073932491</v>
      </c>
      <c r="AD1195" s="744"/>
      <c r="AE1195" s="744"/>
      <c r="AF1195" s="744"/>
      <c r="AG1195" s="251" t="s">
        <v>283</v>
      </c>
    </row>
    <row r="1196" spans="1:33" ht="15.75" customHeight="1">
      <c r="A1196" s="743">
        <v>43165</v>
      </c>
      <c r="B1196" s="263" t="s">
        <v>3516</v>
      </c>
      <c r="C1196" s="744" t="s">
        <v>3312</v>
      </c>
      <c r="D1196" s="744" t="s">
        <v>3868</v>
      </c>
      <c r="E1196" s="744" t="s">
        <v>3876</v>
      </c>
      <c r="F1196" s="251">
        <v>1</v>
      </c>
      <c r="G1196" s="252">
        <v>420</v>
      </c>
      <c r="H1196" s="253">
        <f t="shared" si="124"/>
        <v>420</v>
      </c>
      <c r="I1196" s="254" t="s">
        <v>3315</v>
      </c>
      <c r="J1196" s="267" t="s">
        <v>3519</v>
      </c>
      <c r="K1196" s="256">
        <v>43181</v>
      </c>
      <c r="L1196" s="256"/>
      <c r="M1196" s="256">
        <v>43174</v>
      </c>
      <c r="N1196" s="331" t="s">
        <v>2008</v>
      </c>
      <c r="O1196" s="759" t="s">
        <v>3877</v>
      </c>
      <c r="Q1196" s="266">
        <v>383.25</v>
      </c>
      <c r="R1196" s="1394"/>
      <c r="S1196" s="1394"/>
      <c r="U1196" s="328"/>
      <c r="V1196" s="308" t="s">
        <v>2010</v>
      </c>
      <c r="W1196" s="747">
        <v>43195</v>
      </c>
      <c r="X1196" s="748">
        <v>43173</v>
      </c>
      <c r="Y1196" s="744" t="s">
        <v>3878</v>
      </c>
      <c r="Z1196" s="749">
        <v>11210</v>
      </c>
      <c r="AA1196" s="748">
        <v>43201</v>
      </c>
      <c r="AB1196" s="250" t="s">
        <v>3879</v>
      </c>
      <c r="AC1196" s="744">
        <v>771805060755</v>
      </c>
      <c r="AD1196" s="744"/>
      <c r="AE1196" s="744"/>
      <c r="AF1196" s="744"/>
      <c r="AG1196" s="251" t="s">
        <v>283</v>
      </c>
    </row>
    <row r="1197" spans="1:33" ht="15.75" customHeight="1">
      <c r="A1197" s="743">
        <v>43165</v>
      </c>
      <c r="B1197" s="590" t="s">
        <v>629</v>
      </c>
      <c r="C1197" s="744" t="s">
        <v>3312</v>
      </c>
      <c r="D1197" s="250" t="s">
        <v>3880</v>
      </c>
      <c r="E1197" s="250" t="s">
        <v>3881</v>
      </c>
      <c r="F1197" s="305">
        <v>3</v>
      </c>
      <c r="G1197" s="323">
        <v>168</v>
      </c>
      <c r="H1197" s="253">
        <f t="shared" si="124"/>
        <v>504</v>
      </c>
      <c r="I1197" s="254" t="s">
        <v>170</v>
      </c>
      <c r="J1197" s="267" t="s">
        <v>626</v>
      </c>
      <c r="K1197" s="256">
        <v>43171</v>
      </c>
      <c r="L1197" s="256"/>
      <c r="M1197" s="256">
        <v>43167</v>
      </c>
      <c r="N1197" s="331" t="s">
        <v>2212</v>
      </c>
      <c r="O1197" s="308" t="s">
        <v>3882</v>
      </c>
      <c r="Q1197" s="591"/>
      <c r="R1197" s="1406"/>
      <c r="S1197" s="1406"/>
      <c r="U1197" s="572">
        <v>15278</v>
      </c>
      <c r="V1197" s="308" t="s">
        <v>2214</v>
      </c>
      <c r="W1197" s="337"/>
      <c r="X1197" s="748">
        <v>43166</v>
      </c>
      <c r="Y1197" s="744" t="s">
        <v>3883</v>
      </c>
      <c r="Z1197" s="749">
        <v>15278</v>
      </c>
      <c r="AA1197" s="748">
        <v>43166</v>
      </c>
      <c r="AB1197" s="744" t="s">
        <v>3884</v>
      </c>
      <c r="AC1197" s="744" t="s">
        <v>3885</v>
      </c>
      <c r="AD1197" s="595" t="s">
        <v>3886</v>
      </c>
      <c r="AE1197" s="753">
        <v>14745</v>
      </c>
      <c r="AF1197" s="744" t="s">
        <v>3887</v>
      </c>
      <c r="AG1197" s="251" t="s">
        <v>376</v>
      </c>
    </row>
    <row r="1198" spans="1:33" ht="15.75" customHeight="1">
      <c r="A1198" s="743">
        <v>43165</v>
      </c>
      <c r="B1198" s="263" t="s">
        <v>325</v>
      </c>
      <c r="C1198" s="744">
        <v>2021803</v>
      </c>
      <c r="D1198" s="744" t="s">
        <v>3888</v>
      </c>
      <c r="E1198" s="744" t="s">
        <v>3612</v>
      </c>
      <c r="F1198" s="305">
        <v>3</v>
      </c>
      <c r="G1198" s="323">
        <v>567</v>
      </c>
      <c r="H1198" s="253">
        <f t="shared" si="124"/>
        <v>1701</v>
      </c>
      <c r="I1198" s="254" t="s">
        <v>3315</v>
      </c>
      <c r="J1198" s="267" t="s">
        <v>328</v>
      </c>
      <c r="K1198" s="256">
        <v>43181</v>
      </c>
      <c r="L1198" s="256"/>
      <c r="M1198" s="256">
        <v>43179</v>
      </c>
      <c r="N1198" s="331" t="s">
        <v>3614</v>
      </c>
      <c r="O1198" s="308" t="s">
        <v>3889</v>
      </c>
      <c r="Q1198" s="266">
        <v>1606.5</v>
      </c>
      <c r="R1198" s="1394"/>
      <c r="S1198" s="1394"/>
      <c r="U1198" s="328"/>
      <c r="V1198" s="420" t="s">
        <v>2159</v>
      </c>
      <c r="W1198" s="747">
        <v>43220</v>
      </c>
      <c r="X1198" s="748">
        <v>43178</v>
      </c>
      <c r="Y1198" s="744" t="s">
        <v>3890</v>
      </c>
      <c r="Z1198" s="749">
        <v>49013</v>
      </c>
      <c r="AA1198" s="750">
        <v>43220</v>
      </c>
      <c r="AB1198" s="250" t="s">
        <v>3891</v>
      </c>
      <c r="AC1198" s="744"/>
      <c r="AD1198" s="744"/>
      <c r="AE1198" s="744"/>
      <c r="AF1198" s="744"/>
      <c r="AG1198" s="251" t="s">
        <v>283</v>
      </c>
    </row>
    <row r="1199" spans="1:33" ht="15.75" customHeight="1">
      <c r="A1199" s="743">
        <v>43165</v>
      </c>
      <c r="B1199" s="263" t="s">
        <v>325</v>
      </c>
      <c r="C1199" s="744">
        <v>2021803</v>
      </c>
      <c r="D1199" s="744" t="s">
        <v>3888</v>
      </c>
      <c r="E1199" s="744" t="s">
        <v>52</v>
      </c>
      <c r="F1199" s="305">
        <v>3</v>
      </c>
      <c r="G1199" s="323">
        <v>31</v>
      </c>
      <c r="H1199" s="253">
        <f t="shared" si="124"/>
        <v>93</v>
      </c>
      <c r="I1199" s="254" t="s">
        <v>3315</v>
      </c>
      <c r="J1199" s="267" t="s">
        <v>328</v>
      </c>
      <c r="K1199" s="256">
        <v>43181</v>
      </c>
      <c r="L1199" s="256"/>
      <c r="M1199" s="256">
        <v>43179</v>
      </c>
      <c r="N1199" s="331" t="s">
        <v>3614</v>
      </c>
      <c r="O1199" s="308" t="s">
        <v>3889</v>
      </c>
      <c r="Q1199" s="266">
        <v>68.040000000000006</v>
      </c>
      <c r="R1199" s="1394"/>
      <c r="S1199" s="1394"/>
      <c r="U1199" s="328"/>
      <c r="V1199" s="420" t="s">
        <v>2159</v>
      </c>
      <c r="W1199" s="747">
        <v>43220</v>
      </c>
      <c r="X1199" s="748">
        <v>43178</v>
      </c>
      <c r="Y1199" s="744" t="s">
        <v>3890</v>
      </c>
      <c r="Z1199" s="744" t="s">
        <v>3892</v>
      </c>
      <c r="AA1199" s="750">
        <v>43220</v>
      </c>
      <c r="AB1199" s="250" t="s">
        <v>3891</v>
      </c>
      <c r="AC1199" s="744"/>
      <c r="AD1199" s="744"/>
      <c r="AE1199" s="744"/>
      <c r="AF1199" s="744"/>
      <c r="AG1199" s="251" t="s">
        <v>283</v>
      </c>
    </row>
    <row r="1200" spans="1:33" ht="15.75" customHeight="1">
      <c r="A1200" s="743">
        <v>43165</v>
      </c>
      <c r="B1200" s="263" t="s">
        <v>325</v>
      </c>
      <c r="C1200" s="744">
        <v>2021803</v>
      </c>
      <c r="D1200" s="744" t="s">
        <v>3888</v>
      </c>
      <c r="E1200" s="744" t="s">
        <v>58</v>
      </c>
      <c r="F1200" s="305">
        <v>3</v>
      </c>
      <c r="G1200" s="323">
        <v>4</v>
      </c>
      <c r="H1200" s="253">
        <f t="shared" si="124"/>
        <v>12</v>
      </c>
      <c r="I1200" s="254" t="s">
        <v>3315</v>
      </c>
      <c r="J1200" s="267" t="s">
        <v>328</v>
      </c>
      <c r="K1200" s="256">
        <v>43181</v>
      </c>
      <c r="L1200" s="256"/>
      <c r="M1200" s="256">
        <v>43179</v>
      </c>
      <c r="N1200" s="331" t="s">
        <v>3614</v>
      </c>
      <c r="O1200" s="308" t="s">
        <v>3889</v>
      </c>
      <c r="Q1200" s="266">
        <v>6.3</v>
      </c>
      <c r="R1200" s="1394"/>
      <c r="S1200" s="1394"/>
      <c r="U1200" s="328"/>
      <c r="V1200" s="420" t="s">
        <v>2159</v>
      </c>
      <c r="W1200" s="747">
        <v>43220</v>
      </c>
      <c r="X1200" s="748">
        <v>43178</v>
      </c>
      <c r="Y1200" s="744" t="s">
        <v>3890</v>
      </c>
      <c r="Z1200" s="744" t="s">
        <v>3892</v>
      </c>
      <c r="AA1200" s="750">
        <v>43220</v>
      </c>
      <c r="AB1200" s="250" t="s">
        <v>3891</v>
      </c>
      <c r="AC1200" s="744"/>
      <c r="AD1200" s="744"/>
      <c r="AE1200" s="744"/>
      <c r="AF1200" s="744"/>
      <c r="AG1200" s="251" t="s">
        <v>283</v>
      </c>
    </row>
    <row r="1201" spans="1:33" ht="15.75" customHeight="1">
      <c r="A1201" s="743">
        <v>43165</v>
      </c>
      <c r="B1201" s="263" t="s">
        <v>325</v>
      </c>
      <c r="C1201" s="744">
        <v>2021803</v>
      </c>
      <c r="D1201" s="744" t="s">
        <v>3888</v>
      </c>
      <c r="E1201" s="744" t="s">
        <v>3893</v>
      </c>
      <c r="F1201" s="305">
        <v>3</v>
      </c>
      <c r="G1201" s="323">
        <v>285</v>
      </c>
      <c r="H1201" s="253">
        <f t="shared" si="124"/>
        <v>855</v>
      </c>
      <c r="I1201" s="254" t="s">
        <v>3315</v>
      </c>
      <c r="J1201" s="267" t="s">
        <v>328</v>
      </c>
      <c r="K1201" s="256">
        <v>43181</v>
      </c>
      <c r="L1201" s="256"/>
      <c r="M1201" s="256">
        <v>43172</v>
      </c>
      <c r="N1201" s="331" t="s">
        <v>44</v>
      </c>
      <c r="O1201" s="308" t="s">
        <v>3894</v>
      </c>
      <c r="Q1201" s="266">
        <v>718.2</v>
      </c>
      <c r="R1201" s="1394"/>
      <c r="S1201" s="1394"/>
      <c r="U1201" s="328"/>
      <c r="V1201" s="338" t="s">
        <v>46</v>
      </c>
      <c r="W1201" s="747">
        <v>43201</v>
      </c>
      <c r="X1201" s="748">
        <v>43171</v>
      </c>
      <c r="Y1201" s="744" t="s">
        <v>3895</v>
      </c>
      <c r="Z1201" s="749">
        <v>21043</v>
      </c>
      <c r="AA1201" s="748">
        <v>43199</v>
      </c>
      <c r="AB1201" s="250" t="s">
        <v>3891</v>
      </c>
      <c r="AC1201" s="744"/>
      <c r="AD1201" s="744"/>
      <c r="AE1201" s="744"/>
      <c r="AF1201" s="744"/>
      <c r="AG1201" s="251" t="s">
        <v>283</v>
      </c>
    </row>
    <row r="1202" spans="1:33" ht="15.75" customHeight="1">
      <c r="A1202" s="743">
        <v>43166</v>
      </c>
      <c r="B1202" s="590" t="s">
        <v>405</v>
      </c>
      <c r="C1202" s="744">
        <v>7000136428</v>
      </c>
      <c r="D1202" s="250" t="s">
        <v>3896</v>
      </c>
      <c r="E1202" s="250" t="s">
        <v>3897</v>
      </c>
      <c r="F1202" s="251">
        <v>2</v>
      </c>
      <c r="G1202" s="323">
        <v>78</v>
      </c>
      <c r="H1202" s="365">
        <f t="shared" si="124"/>
        <v>156</v>
      </c>
      <c r="I1202" s="254" t="s">
        <v>42</v>
      </c>
      <c r="J1202" s="331" t="s">
        <v>3779</v>
      </c>
      <c r="K1202" s="256">
        <v>43174</v>
      </c>
      <c r="L1202" s="256"/>
      <c r="M1202" s="256">
        <v>43172</v>
      </c>
      <c r="N1202" s="331" t="s">
        <v>3432</v>
      </c>
      <c r="O1202" s="308" t="s">
        <v>3898</v>
      </c>
      <c r="Q1202" s="591"/>
      <c r="R1202" s="1406"/>
      <c r="S1202" s="1406"/>
      <c r="U1202" s="572">
        <v>4293</v>
      </c>
      <c r="V1202" s="308" t="s">
        <v>2045</v>
      </c>
      <c r="W1202" s="747">
        <v>43251</v>
      </c>
      <c r="X1202" s="748">
        <v>43172</v>
      </c>
      <c r="Y1202" s="744" t="s">
        <v>3899</v>
      </c>
      <c r="Z1202" s="749">
        <v>7367</v>
      </c>
      <c r="AA1202" s="750">
        <v>43251</v>
      </c>
      <c r="AB1202" s="250" t="s">
        <v>3900</v>
      </c>
      <c r="AC1202" s="744">
        <v>8305665303</v>
      </c>
      <c r="AD1202" s="744"/>
      <c r="AE1202" s="744"/>
      <c r="AF1202" s="744"/>
      <c r="AG1202" s="264" t="s">
        <v>283</v>
      </c>
    </row>
    <row r="1203" spans="1:33" ht="15.75" customHeight="1">
      <c r="A1203" s="743">
        <v>43166</v>
      </c>
      <c r="B1203" s="590" t="s">
        <v>405</v>
      </c>
      <c r="C1203" s="744">
        <v>7000136428</v>
      </c>
      <c r="D1203" s="250" t="s">
        <v>3896</v>
      </c>
      <c r="E1203" s="250" t="s">
        <v>3901</v>
      </c>
      <c r="F1203" s="251">
        <v>2</v>
      </c>
      <c r="G1203" s="323">
        <v>188</v>
      </c>
      <c r="H1203" s="365">
        <f t="shared" si="124"/>
        <v>376</v>
      </c>
      <c r="I1203" s="254" t="s">
        <v>42</v>
      </c>
      <c r="J1203" s="331" t="s">
        <v>3779</v>
      </c>
      <c r="K1203" s="256">
        <v>43174</v>
      </c>
      <c r="L1203" s="256"/>
      <c r="M1203" s="256">
        <v>43172</v>
      </c>
      <c r="N1203" s="331" t="s">
        <v>3432</v>
      </c>
      <c r="O1203" s="308" t="s">
        <v>3898</v>
      </c>
      <c r="Q1203" s="591"/>
      <c r="R1203" s="1406"/>
      <c r="S1203" s="1406"/>
      <c r="U1203" s="572">
        <v>10441</v>
      </c>
      <c r="V1203" s="308" t="s">
        <v>2045</v>
      </c>
      <c r="W1203" s="747">
        <v>43251</v>
      </c>
      <c r="X1203" s="748">
        <v>43172</v>
      </c>
      <c r="Y1203" s="744" t="s">
        <v>3899</v>
      </c>
      <c r="Z1203" s="744" t="s">
        <v>3902</v>
      </c>
      <c r="AA1203" s="750">
        <v>43251</v>
      </c>
      <c r="AB1203" s="250" t="s">
        <v>3900</v>
      </c>
      <c r="AC1203" s="744">
        <v>8305665303</v>
      </c>
      <c r="AD1203" s="744"/>
      <c r="AE1203" s="744"/>
      <c r="AF1203" s="744"/>
      <c r="AG1203" s="264" t="s">
        <v>283</v>
      </c>
    </row>
    <row r="1204" spans="1:33" ht="15.75" customHeight="1">
      <c r="A1204" s="743">
        <v>43166</v>
      </c>
      <c r="B1204" s="263" t="s">
        <v>118</v>
      </c>
      <c r="C1204" s="744" t="s">
        <v>3903</v>
      </c>
      <c r="D1204" s="250" t="s">
        <v>3904</v>
      </c>
      <c r="E1204" s="250" t="s">
        <v>3905</v>
      </c>
      <c r="F1204" s="251">
        <v>100</v>
      </c>
      <c r="G1204" s="323">
        <v>105</v>
      </c>
      <c r="H1204" s="253">
        <f t="shared" si="124"/>
        <v>10500</v>
      </c>
      <c r="I1204" s="254" t="s">
        <v>3830</v>
      </c>
      <c r="J1204" s="426" t="s">
        <v>3906</v>
      </c>
      <c r="K1204" s="256">
        <v>43223</v>
      </c>
      <c r="L1204" s="256"/>
      <c r="M1204" s="256">
        <v>43182</v>
      </c>
      <c r="N1204" s="331" t="s">
        <v>89</v>
      </c>
      <c r="O1204" s="308" t="s">
        <v>3907</v>
      </c>
      <c r="Q1204" s="266">
        <v>8610</v>
      </c>
      <c r="R1204" s="1394"/>
      <c r="S1204" s="1394"/>
      <c r="U1204" s="328"/>
      <c r="V1204" s="338" t="s">
        <v>93</v>
      </c>
      <c r="W1204" s="747">
        <v>43220</v>
      </c>
      <c r="X1204" s="748">
        <v>43181</v>
      </c>
      <c r="Y1204" s="744" t="s">
        <v>3908</v>
      </c>
      <c r="Z1204" s="749">
        <v>250852</v>
      </c>
      <c r="AA1204" s="750">
        <v>43220</v>
      </c>
      <c r="AB1204" s="250" t="s">
        <v>3909</v>
      </c>
      <c r="AC1204" s="744" t="s">
        <v>3910</v>
      </c>
      <c r="AD1204" s="744"/>
      <c r="AE1204" s="744"/>
      <c r="AF1204" s="744"/>
      <c r="AG1204" s="251" t="s">
        <v>283</v>
      </c>
    </row>
    <row r="1205" spans="1:33" ht="15.75" customHeight="1">
      <c r="A1205" s="743">
        <v>43167</v>
      </c>
      <c r="B1205" s="263" t="s">
        <v>325</v>
      </c>
      <c r="C1205" s="757" t="s">
        <v>3911</v>
      </c>
      <c r="D1205" s="250" t="s">
        <v>3912</v>
      </c>
      <c r="E1205" s="250" t="s">
        <v>3612</v>
      </c>
      <c r="F1205" s="251">
        <v>10</v>
      </c>
      <c r="G1205" s="323">
        <v>567</v>
      </c>
      <c r="H1205" s="253">
        <f t="shared" si="124"/>
        <v>5670</v>
      </c>
      <c r="I1205" s="254" t="s">
        <v>3315</v>
      </c>
      <c r="J1205" s="267" t="s">
        <v>328</v>
      </c>
      <c r="K1205" s="256">
        <v>43193</v>
      </c>
      <c r="L1205" s="256"/>
      <c r="M1205" s="256">
        <v>43192</v>
      </c>
      <c r="N1205" s="331" t="s">
        <v>3614</v>
      </c>
      <c r="O1205" s="308" t="s">
        <v>3913</v>
      </c>
      <c r="Q1205" s="572">
        <v>5355</v>
      </c>
      <c r="R1205" s="1413"/>
      <c r="S1205" s="1413"/>
      <c r="U1205" s="589"/>
      <c r="V1205" s="420" t="s">
        <v>2159</v>
      </c>
      <c r="W1205" s="747">
        <v>43251</v>
      </c>
      <c r="X1205" s="744" t="s">
        <v>3914</v>
      </c>
      <c r="Y1205" s="744" t="s">
        <v>3915</v>
      </c>
      <c r="Z1205" s="749" t="s">
        <v>3916</v>
      </c>
      <c r="AA1205" s="750">
        <v>43251</v>
      </c>
      <c r="AB1205" s="744" t="s">
        <v>3917</v>
      </c>
      <c r="AC1205" s="744" t="s">
        <v>3918</v>
      </c>
      <c r="AD1205" s="744"/>
      <c r="AE1205" s="744"/>
      <c r="AF1205" s="744"/>
      <c r="AG1205" s="251" t="s">
        <v>283</v>
      </c>
    </row>
    <row r="1206" spans="1:33" ht="15.75" customHeight="1">
      <c r="A1206" s="743">
        <v>43167</v>
      </c>
      <c r="B1206" s="263" t="s">
        <v>325</v>
      </c>
      <c r="C1206" s="757" t="s">
        <v>3911</v>
      </c>
      <c r="D1206" s="250" t="s">
        <v>3912</v>
      </c>
      <c r="E1206" s="250" t="s">
        <v>3620</v>
      </c>
      <c r="F1206" s="251">
        <v>10</v>
      </c>
      <c r="G1206" s="323">
        <v>273</v>
      </c>
      <c r="H1206" s="253">
        <f t="shared" si="124"/>
        <v>2730</v>
      </c>
      <c r="I1206" s="254" t="s">
        <v>3315</v>
      </c>
      <c r="J1206" s="267" t="s">
        <v>328</v>
      </c>
      <c r="K1206" s="256">
        <v>43193</v>
      </c>
      <c r="L1206" s="256"/>
      <c r="M1206" s="256">
        <v>43181</v>
      </c>
      <c r="N1206" s="331" t="s">
        <v>44</v>
      </c>
      <c r="O1206" s="308" t="s">
        <v>3919</v>
      </c>
      <c r="Q1206" s="266">
        <v>2205</v>
      </c>
      <c r="R1206" s="1394"/>
      <c r="S1206" s="1394"/>
      <c r="U1206" s="328"/>
      <c r="V1206" s="338" t="s">
        <v>46</v>
      </c>
      <c r="W1206" s="747">
        <v>43208</v>
      </c>
      <c r="X1206" s="748">
        <v>43178</v>
      </c>
      <c r="Y1206" s="744" t="s">
        <v>3920</v>
      </c>
      <c r="Z1206" s="749">
        <v>64454</v>
      </c>
      <c r="AA1206" s="748">
        <v>43222</v>
      </c>
      <c r="AB1206" s="744" t="s">
        <v>3917</v>
      </c>
      <c r="AC1206" s="744" t="s">
        <v>3918</v>
      </c>
      <c r="AD1206" s="744"/>
      <c r="AE1206" s="744"/>
      <c r="AF1206" s="744"/>
      <c r="AG1206" s="251" t="s">
        <v>283</v>
      </c>
    </row>
    <row r="1207" spans="1:33" ht="15.75" customHeight="1">
      <c r="A1207" s="743">
        <v>43167</v>
      </c>
      <c r="B1207" s="263" t="s">
        <v>325</v>
      </c>
      <c r="C1207" s="757" t="s">
        <v>3911</v>
      </c>
      <c r="D1207" s="250" t="s">
        <v>3912</v>
      </c>
      <c r="E1207" s="250" t="s">
        <v>52</v>
      </c>
      <c r="F1207" s="251">
        <v>10</v>
      </c>
      <c r="G1207" s="323">
        <v>31</v>
      </c>
      <c r="H1207" s="253">
        <f t="shared" si="124"/>
        <v>310</v>
      </c>
      <c r="I1207" s="254" t="s">
        <v>3315</v>
      </c>
      <c r="J1207" s="267" t="s">
        <v>328</v>
      </c>
      <c r="K1207" s="256">
        <v>43193</v>
      </c>
      <c r="L1207" s="256"/>
      <c r="M1207" s="256">
        <v>43192</v>
      </c>
      <c r="N1207" s="331" t="s">
        <v>3614</v>
      </c>
      <c r="O1207" s="308" t="s">
        <v>3913</v>
      </c>
      <c r="Q1207" s="790">
        <v>226.8</v>
      </c>
      <c r="R1207" s="1414"/>
      <c r="S1207" s="1414"/>
      <c r="U1207" s="791"/>
      <c r="V1207" s="420" t="s">
        <v>2159</v>
      </c>
      <c r="W1207" s="747">
        <v>43251</v>
      </c>
      <c r="X1207" s="744" t="s">
        <v>3914</v>
      </c>
      <c r="Y1207" s="744" t="s">
        <v>3915</v>
      </c>
      <c r="Z1207" s="744" t="s">
        <v>3921</v>
      </c>
      <c r="AA1207" s="750">
        <v>43251</v>
      </c>
      <c r="AB1207" s="744" t="s">
        <v>3917</v>
      </c>
      <c r="AC1207" s="744" t="s">
        <v>3918</v>
      </c>
      <c r="AD1207" s="744"/>
      <c r="AE1207" s="744"/>
      <c r="AF1207" s="744"/>
      <c r="AG1207" s="251" t="s">
        <v>283</v>
      </c>
    </row>
    <row r="1208" spans="1:33" ht="15.75" customHeight="1">
      <c r="A1208" s="743">
        <v>43167</v>
      </c>
      <c r="B1208" s="263" t="s">
        <v>325</v>
      </c>
      <c r="C1208" s="757" t="s">
        <v>3911</v>
      </c>
      <c r="D1208" s="250" t="s">
        <v>3912</v>
      </c>
      <c r="E1208" s="250" t="s">
        <v>58</v>
      </c>
      <c r="F1208" s="251">
        <v>10</v>
      </c>
      <c r="G1208" s="323">
        <v>4</v>
      </c>
      <c r="H1208" s="253">
        <f t="shared" si="124"/>
        <v>40</v>
      </c>
      <c r="I1208" s="254" t="s">
        <v>3315</v>
      </c>
      <c r="J1208" s="267" t="s">
        <v>328</v>
      </c>
      <c r="K1208" s="256">
        <v>43193</v>
      </c>
      <c r="L1208" s="256"/>
      <c r="M1208" s="256">
        <v>43192</v>
      </c>
      <c r="N1208" s="331" t="s">
        <v>3614</v>
      </c>
      <c r="O1208" s="308" t="s">
        <v>3913</v>
      </c>
      <c r="Q1208" s="792">
        <v>21</v>
      </c>
      <c r="R1208" s="1415"/>
      <c r="S1208" s="1415"/>
      <c r="U1208" s="589"/>
      <c r="V1208" s="420" t="s">
        <v>2159</v>
      </c>
      <c r="W1208" s="747">
        <v>43251</v>
      </c>
      <c r="X1208" s="744" t="s">
        <v>3914</v>
      </c>
      <c r="Y1208" s="744" t="s">
        <v>3915</v>
      </c>
      <c r="Z1208" s="744" t="s">
        <v>3921</v>
      </c>
      <c r="AA1208" s="750">
        <v>43251</v>
      </c>
      <c r="AB1208" s="744" t="s">
        <v>3917</v>
      </c>
      <c r="AC1208" s="744" t="s">
        <v>3918</v>
      </c>
      <c r="AD1208" s="744"/>
      <c r="AE1208" s="744"/>
      <c r="AF1208" s="744"/>
      <c r="AG1208" s="251" t="s">
        <v>283</v>
      </c>
    </row>
    <row r="1209" spans="1:33" ht="15.75" customHeight="1">
      <c r="A1209" s="743">
        <v>43171</v>
      </c>
      <c r="B1209" s="590" t="s">
        <v>405</v>
      </c>
      <c r="C1209" s="744">
        <v>7000136575</v>
      </c>
      <c r="D1209" s="250" t="s">
        <v>3922</v>
      </c>
      <c r="E1209" s="250" t="s">
        <v>3923</v>
      </c>
      <c r="F1209" s="251">
        <v>3</v>
      </c>
      <c r="G1209" s="323">
        <v>188</v>
      </c>
      <c r="H1209" s="253">
        <f t="shared" si="124"/>
        <v>564</v>
      </c>
      <c r="I1209" s="254" t="s">
        <v>42</v>
      </c>
      <c r="J1209" s="331" t="s">
        <v>3840</v>
      </c>
      <c r="K1209" s="256">
        <v>43181</v>
      </c>
      <c r="L1209" s="256"/>
      <c r="M1209" s="256">
        <v>43175</v>
      </c>
      <c r="N1209" s="331" t="s">
        <v>3432</v>
      </c>
      <c r="O1209" s="308" t="s">
        <v>3924</v>
      </c>
      <c r="Q1209" s="591"/>
      <c r="R1209" s="1406"/>
      <c r="S1209" s="1406"/>
      <c r="U1209" s="572">
        <v>15661</v>
      </c>
      <c r="V1209" s="308" t="s">
        <v>2045</v>
      </c>
      <c r="W1209" s="747">
        <v>43251</v>
      </c>
      <c r="X1209" s="748">
        <v>43173</v>
      </c>
      <c r="Y1209" s="744" t="s">
        <v>3925</v>
      </c>
      <c r="Z1209" s="749">
        <v>22100</v>
      </c>
      <c r="AA1209" s="750">
        <v>43251</v>
      </c>
      <c r="AB1209" s="250" t="s">
        <v>3926</v>
      </c>
      <c r="AC1209" s="744">
        <v>3574971212</v>
      </c>
      <c r="AD1209" s="744"/>
      <c r="AE1209" s="744"/>
      <c r="AF1209" s="744"/>
      <c r="AG1209" s="251" t="s">
        <v>283</v>
      </c>
    </row>
    <row r="1210" spans="1:33" ht="15.75" customHeight="1">
      <c r="A1210" s="743">
        <v>43171</v>
      </c>
      <c r="B1210" s="590" t="s">
        <v>405</v>
      </c>
      <c r="C1210" s="744">
        <v>7000136575</v>
      </c>
      <c r="D1210" s="250" t="s">
        <v>3922</v>
      </c>
      <c r="E1210" s="250" t="s">
        <v>3927</v>
      </c>
      <c r="F1210" s="251">
        <v>5</v>
      </c>
      <c r="G1210" s="323">
        <v>56</v>
      </c>
      <c r="H1210" s="253">
        <f t="shared" si="124"/>
        <v>280</v>
      </c>
      <c r="I1210" s="254" t="s">
        <v>42</v>
      </c>
      <c r="J1210" s="401" t="s">
        <v>519</v>
      </c>
      <c r="K1210" s="256">
        <v>43223</v>
      </c>
      <c r="L1210" s="256"/>
      <c r="M1210" s="256">
        <v>43217</v>
      </c>
      <c r="N1210" s="331" t="s">
        <v>3432</v>
      </c>
      <c r="O1210" s="308" t="s">
        <v>3924</v>
      </c>
      <c r="Q1210" s="591"/>
      <c r="R1210" s="1406"/>
      <c r="S1210" s="1406"/>
      <c r="U1210" s="572">
        <v>7361</v>
      </c>
      <c r="V1210" s="308" t="s">
        <v>2045</v>
      </c>
      <c r="W1210" s="747">
        <v>43312</v>
      </c>
      <c r="X1210" s="748">
        <v>43216</v>
      </c>
      <c r="Y1210" s="744" t="s">
        <v>3928</v>
      </c>
      <c r="Z1210" s="753">
        <v>7361</v>
      </c>
      <c r="AA1210" s="748">
        <v>43280</v>
      </c>
      <c r="AB1210" s="250" t="s">
        <v>3929</v>
      </c>
      <c r="AC1210" s="744" t="s">
        <v>3930</v>
      </c>
      <c r="AD1210" s="744"/>
      <c r="AE1210" s="744"/>
      <c r="AF1210" s="744"/>
      <c r="AG1210" s="251" t="s">
        <v>283</v>
      </c>
    </row>
    <row r="1211" spans="1:33" ht="15.75" customHeight="1">
      <c r="A1211" s="743">
        <v>43171</v>
      </c>
      <c r="B1211" s="590" t="s">
        <v>405</v>
      </c>
      <c r="C1211" s="744">
        <v>7000136575</v>
      </c>
      <c r="D1211" s="250" t="s">
        <v>3922</v>
      </c>
      <c r="E1211" s="250" t="s">
        <v>3931</v>
      </c>
      <c r="F1211" s="251">
        <v>3</v>
      </c>
      <c r="G1211" s="323">
        <v>78</v>
      </c>
      <c r="H1211" s="253">
        <f t="shared" si="124"/>
        <v>234</v>
      </c>
      <c r="I1211" s="254" t="s">
        <v>42</v>
      </c>
      <c r="J1211" s="331" t="s">
        <v>3840</v>
      </c>
      <c r="K1211" s="256">
        <v>43181</v>
      </c>
      <c r="L1211" s="256"/>
      <c r="M1211" s="256">
        <v>43175</v>
      </c>
      <c r="N1211" s="331" t="s">
        <v>3432</v>
      </c>
      <c r="O1211" s="308" t="s">
        <v>3924</v>
      </c>
      <c r="Q1211" s="591"/>
      <c r="R1211" s="1406"/>
      <c r="S1211" s="1406"/>
      <c r="U1211" s="572">
        <v>6439</v>
      </c>
      <c r="V1211" s="308" t="s">
        <v>2045</v>
      </c>
      <c r="W1211" s="747">
        <v>43251</v>
      </c>
      <c r="X1211" s="748">
        <v>43173</v>
      </c>
      <c r="Y1211" s="744" t="s">
        <v>3925</v>
      </c>
      <c r="Z1211" s="744" t="s">
        <v>3932</v>
      </c>
      <c r="AA1211" s="750">
        <v>43251</v>
      </c>
      <c r="AB1211" s="250" t="s">
        <v>3926</v>
      </c>
      <c r="AC1211" s="744">
        <v>3574971212</v>
      </c>
      <c r="AD1211" s="744"/>
      <c r="AE1211" s="744"/>
      <c r="AF1211" s="744"/>
      <c r="AG1211" s="251" t="s">
        <v>283</v>
      </c>
    </row>
    <row r="1212" spans="1:33" ht="15.75" customHeight="1">
      <c r="A1212" s="743">
        <v>43171</v>
      </c>
      <c r="B1212" s="590" t="s">
        <v>405</v>
      </c>
      <c r="C1212" s="744">
        <v>7000136575</v>
      </c>
      <c r="D1212" s="250" t="s">
        <v>3922</v>
      </c>
      <c r="E1212" s="250" t="s">
        <v>3933</v>
      </c>
      <c r="F1212" s="251">
        <v>1</v>
      </c>
      <c r="G1212" s="252">
        <v>514</v>
      </c>
      <c r="H1212" s="365">
        <f t="shared" si="124"/>
        <v>514</v>
      </c>
      <c r="I1212" s="254" t="s">
        <v>42</v>
      </c>
      <c r="J1212" s="331" t="s">
        <v>3779</v>
      </c>
      <c r="K1212" s="256">
        <v>43193</v>
      </c>
      <c r="L1212" s="256"/>
      <c r="M1212" s="256">
        <v>43187</v>
      </c>
      <c r="N1212" s="331" t="s">
        <v>3432</v>
      </c>
      <c r="O1212" s="308" t="s">
        <v>3924</v>
      </c>
      <c r="Q1212" s="591"/>
      <c r="R1212" s="1406"/>
      <c r="S1212" s="1406"/>
      <c r="U1212" s="572">
        <v>14437</v>
      </c>
      <c r="V1212" s="308" t="s">
        <v>2045</v>
      </c>
      <c r="W1212" s="747">
        <v>43281</v>
      </c>
      <c r="X1212" s="748">
        <v>43186</v>
      </c>
      <c r="Y1212" s="744" t="s">
        <v>3934</v>
      </c>
      <c r="Z1212" s="749">
        <v>14438</v>
      </c>
      <c r="AA1212" s="750">
        <v>43259</v>
      </c>
      <c r="AB1212" s="250" t="s">
        <v>3935</v>
      </c>
      <c r="AC1212" s="744">
        <v>1805775392</v>
      </c>
      <c r="AD1212" s="744"/>
      <c r="AE1212" s="744"/>
      <c r="AF1212" s="744"/>
      <c r="AG1212" s="264" t="s">
        <v>283</v>
      </c>
    </row>
    <row r="1213" spans="1:33" ht="15.75" customHeight="1">
      <c r="A1213" s="755">
        <v>43172</v>
      </c>
      <c r="B1213" s="338" t="s">
        <v>76</v>
      </c>
      <c r="C1213" s="250">
        <v>223</v>
      </c>
      <c r="D1213" s="308" t="s">
        <v>3936</v>
      </c>
      <c r="E1213" s="308" t="s">
        <v>712</v>
      </c>
      <c r="F1213" s="264">
        <v>50</v>
      </c>
      <c r="G1213" s="265">
        <v>1.9</v>
      </c>
      <c r="H1213" s="253">
        <f t="shared" si="124"/>
        <v>95</v>
      </c>
      <c r="I1213" s="254" t="s">
        <v>42</v>
      </c>
      <c r="J1213" s="331" t="s">
        <v>478</v>
      </c>
      <c r="K1213" s="256">
        <v>43186</v>
      </c>
      <c r="L1213" s="256"/>
      <c r="M1213" s="256">
        <v>43181</v>
      </c>
      <c r="N1213" s="331" t="s">
        <v>3608</v>
      </c>
      <c r="O1213" s="308" t="s">
        <v>3937</v>
      </c>
      <c r="Q1213" s="591"/>
      <c r="R1213" s="1406"/>
      <c r="S1213" s="1406"/>
      <c r="U1213" s="572"/>
      <c r="V1213" s="386"/>
      <c r="W1213" s="328"/>
      <c r="X1213" s="745"/>
      <c r="Y1213" s="745"/>
      <c r="Z1213" s="745"/>
      <c r="AA1213" s="746"/>
      <c r="AB1213" s="744" t="s">
        <v>3796</v>
      </c>
      <c r="AC1213" s="744" t="s">
        <v>3797</v>
      </c>
      <c r="AD1213" s="744"/>
      <c r="AE1213" s="744"/>
      <c r="AF1213" s="744"/>
      <c r="AG1213" s="251" t="s">
        <v>283</v>
      </c>
    </row>
    <row r="1214" spans="1:33" ht="15.75" customHeight="1">
      <c r="A1214" s="755">
        <v>43172</v>
      </c>
      <c r="B1214" s="338" t="s">
        <v>76</v>
      </c>
      <c r="C1214" s="250">
        <v>167</v>
      </c>
      <c r="D1214" s="308" t="s">
        <v>3938</v>
      </c>
      <c r="E1214" s="308" t="s">
        <v>3939</v>
      </c>
      <c r="F1214" s="251">
        <v>100</v>
      </c>
      <c r="G1214" s="252">
        <v>28</v>
      </c>
      <c r="H1214" s="253">
        <f t="shared" si="124"/>
        <v>2800</v>
      </c>
      <c r="I1214" s="254" t="s">
        <v>42</v>
      </c>
      <c r="J1214" s="367" t="s">
        <v>315</v>
      </c>
      <c r="K1214" s="256">
        <v>43262</v>
      </c>
      <c r="L1214" s="256"/>
      <c r="M1214" s="256">
        <v>43259</v>
      </c>
      <c r="N1214" s="331" t="s">
        <v>3940</v>
      </c>
      <c r="O1214" s="308" t="s">
        <v>3941</v>
      </c>
      <c r="Q1214" s="266">
        <v>2625</v>
      </c>
      <c r="R1214" s="1394"/>
      <c r="S1214" s="1394"/>
      <c r="U1214" s="328"/>
      <c r="V1214" s="308" t="s">
        <v>3942</v>
      </c>
      <c r="W1214" s="789">
        <v>43249</v>
      </c>
      <c r="X1214" s="748">
        <v>43259</v>
      </c>
      <c r="Y1214" s="744" t="s">
        <v>3943</v>
      </c>
      <c r="Z1214" s="749">
        <v>78475</v>
      </c>
      <c r="AA1214" s="750">
        <v>43255</v>
      </c>
      <c r="AB1214" s="744" t="s">
        <v>3944</v>
      </c>
      <c r="AC1214" s="744">
        <v>123352051</v>
      </c>
      <c r="AD1214" s="744"/>
      <c r="AE1214" s="744"/>
      <c r="AF1214" s="744"/>
      <c r="AG1214" s="251" t="s">
        <v>283</v>
      </c>
    </row>
    <row r="1215" spans="1:33" ht="15.75" customHeight="1">
      <c r="A1215" s="743">
        <v>43175</v>
      </c>
      <c r="B1215" s="263" t="s">
        <v>100</v>
      </c>
      <c r="C1215" s="744" t="s">
        <v>3945</v>
      </c>
      <c r="D1215" s="250" t="s">
        <v>3946</v>
      </c>
      <c r="E1215" s="250" t="s">
        <v>3947</v>
      </c>
      <c r="F1215" s="251">
        <v>3</v>
      </c>
      <c r="G1215" s="252">
        <v>417</v>
      </c>
      <c r="H1215" s="253">
        <f t="shared" si="124"/>
        <v>1251</v>
      </c>
      <c r="I1215" s="254" t="s">
        <v>3315</v>
      </c>
      <c r="J1215" s="267" t="s">
        <v>3578</v>
      </c>
      <c r="K1215" s="256">
        <v>43192</v>
      </c>
      <c r="L1215" s="256"/>
      <c r="M1215" s="256">
        <v>43188</v>
      </c>
      <c r="N1215" s="401" t="s">
        <v>1995</v>
      </c>
      <c r="O1215" s="308" t="s">
        <v>3948</v>
      </c>
      <c r="Q1215" s="591"/>
      <c r="R1215" s="1406"/>
      <c r="S1215" s="1406"/>
      <c r="U1215" s="572">
        <v>34474</v>
      </c>
      <c r="V1215" s="571" t="s">
        <v>1997</v>
      </c>
      <c r="W1215" s="747">
        <v>43225</v>
      </c>
      <c r="X1215" s="748">
        <v>43187</v>
      </c>
      <c r="Y1215" s="744" t="s">
        <v>3949</v>
      </c>
      <c r="Z1215" s="749">
        <v>34474</v>
      </c>
      <c r="AA1215" s="750">
        <v>43225</v>
      </c>
      <c r="AB1215" s="250" t="s">
        <v>3950</v>
      </c>
      <c r="AC1215" s="744">
        <v>7755708601</v>
      </c>
      <c r="AD1215" s="744"/>
      <c r="AE1215" s="744"/>
      <c r="AF1215" s="744"/>
      <c r="AG1215" s="251" t="s">
        <v>283</v>
      </c>
    </row>
    <row r="1216" spans="1:33" ht="15.75" customHeight="1">
      <c r="A1216" s="743">
        <v>43175</v>
      </c>
      <c r="B1216" s="263" t="s">
        <v>100</v>
      </c>
      <c r="C1216" s="744" t="s">
        <v>3945</v>
      </c>
      <c r="D1216" s="250" t="s">
        <v>3946</v>
      </c>
      <c r="E1216" s="250" t="s">
        <v>3951</v>
      </c>
      <c r="F1216" s="251">
        <v>3</v>
      </c>
      <c r="G1216" s="252">
        <v>92</v>
      </c>
      <c r="H1216" s="253">
        <f t="shared" si="124"/>
        <v>276</v>
      </c>
      <c r="I1216" s="254" t="s">
        <v>3315</v>
      </c>
      <c r="J1216" s="267" t="s">
        <v>3578</v>
      </c>
      <c r="K1216" s="256">
        <v>43192</v>
      </c>
      <c r="L1216" s="256"/>
      <c r="M1216" s="264" t="s">
        <v>3260</v>
      </c>
      <c r="N1216" s="331" t="s">
        <v>178</v>
      </c>
      <c r="O1216" s="308" t="s">
        <v>3952</v>
      </c>
      <c r="Q1216" s="591"/>
      <c r="R1216" s="1406"/>
      <c r="S1216" s="1406"/>
      <c r="U1216" s="328"/>
      <c r="V1216" s="308"/>
      <c r="W1216" s="328"/>
      <c r="X1216" s="745"/>
      <c r="Y1216" s="745"/>
      <c r="Z1216" s="745"/>
      <c r="AA1216" s="746"/>
      <c r="AB1216" s="250" t="s">
        <v>3950</v>
      </c>
      <c r="AC1216" s="744">
        <v>7755708601</v>
      </c>
      <c r="AD1216" s="744"/>
      <c r="AE1216" s="744"/>
      <c r="AF1216" s="744"/>
      <c r="AG1216" s="251" t="s">
        <v>283</v>
      </c>
    </row>
    <row r="1217" spans="1:33" ht="15.75" customHeight="1">
      <c r="A1217" s="743">
        <v>43178</v>
      </c>
      <c r="B1217" s="263" t="s">
        <v>619</v>
      </c>
      <c r="C1217" s="744"/>
      <c r="D1217" s="250" t="s">
        <v>3953</v>
      </c>
      <c r="E1217" s="250" t="s">
        <v>3954</v>
      </c>
      <c r="F1217" s="251">
        <v>2</v>
      </c>
      <c r="G1217" s="252">
        <f>194*1.05</f>
        <v>203.70000000000002</v>
      </c>
      <c r="H1217" s="253">
        <f t="shared" si="124"/>
        <v>407.40000000000003</v>
      </c>
      <c r="I1217" s="254" t="s">
        <v>3315</v>
      </c>
      <c r="J1217" s="267" t="s">
        <v>232</v>
      </c>
      <c r="K1217" s="256">
        <v>43188</v>
      </c>
      <c r="L1217" s="256"/>
      <c r="M1217" s="256">
        <v>43188</v>
      </c>
      <c r="N1217" s="331" t="s">
        <v>89</v>
      </c>
      <c r="O1217" s="308" t="s">
        <v>3955</v>
      </c>
      <c r="Q1217" s="266">
        <v>382.2</v>
      </c>
      <c r="R1217" s="1394"/>
      <c r="S1217" s="1394"/>
      <c r="U1217" s="328"/>
      <c r="V1217" s="338" t="s">
        <v>93</v>
      </c>
      <c r="W1217" s="747">
        <v>43251</v>
      </c>
      <c r="X1217" s="750">
        <v>43188</v>
      </c>
      <c r="Y1217" s="250" t="s">
        <v>3956</v>
      </c>
      <c r="Z1217" s="753">
        <v>11135</v>
      </c>
      <c r="AA1217" s="750">
        <v>43251</v>
      </c>
      <c r="AB1217" s="744" t="s">
        <v>3957</v>
      </c>
      <c r="AC1217" s="744"/>
      <c r="AD1217" s="744" t="s">
        <v>3958</v>
      </c>
      <c r="AE1217" s="751">
        <v>11899</v>
      </c>
      <c r="AF1217" s="744" t="s">
        <v>3959</v>
      </c>
      <c r="AG1217" s="251" t="s">
        <v>376</v>
      </c>
    </row>
    <row r="1218" spans="1:33" ht="15.75" customHeight="1">
      <c r="A1218" s="743">
        <v>43179</v>
      </c>
      <c r="B1218" s="263" t="s">
        <v>129</v>
      </c>
      <c r="C1218" s="744" t="s">
        <v>3960</v>
      </c>
      <c r="D1218" s="250" t="s">
        <v>3961</v>
      </c>
      <c r="E1218" s="250" t="s">
        <v>3792</v>
      </c>
      <c r="F1218" s="251">
        <v>20</v>
      </c>
      <c r="G1218" s="252">
        <v>66</v>
      </c>
      <c r="H1218" s="253">
        <f t="shared" si="124"/>
        <v>1320</v>
      </c>
      <c r="I1218" s="254" t="s">
        <v>419</v>
      </c>
      <c r="J1218" s="401" t="s">
        <v>3361</v>
      </c>
      <c r="K1218" s="256">
        <v>43193</v>
      </c>
      <c r="L1218" s="256"/>
      <c r="M1218" s="256">
        <v>43192</v>
      </c>
      <c r="N1218" s="331" t="s">
        <v>89</v>
      </c>
      <c r="O1218" s="308" t="s">
        <v>3962</v>
      </c>
      <c r="Q1218" s="266">
        <v>1260</v>
      </c>
      <c r="R1218" s="1394"/>
      <c r="S1218" s="1394"/>
      <c r="U1218" s="328"/>
      <c r="V1218" s="338" t="s">
        <v>93</v>
      </c>
      <c r="W1218" s="747">
        <v>43251</v>
      </c>
      <c r="X1218" s="748">
        <v>43192</v>
      </c>
      <c r="Y1218" s="744" t="s">
        <v>3963</v>
      </c>
      <c r="Z1218" s="749">
        <v>49669</v>
      </c>
      <c r="AA1218" s="750">
        <v>43251</v>
      </c>
      <c r="AB1218" s="250" t="s">
        <v>3964</v>
      </c>
      <c r="AC1218" s="744">
        <v>9239956795</v>
      </c>
      <c r="AD1218" s="744"/>
      <c r="AE1218" s="744"/>
      <c r="AF1218" s="744"/>
      <c r="AG1218" s="251" t="s">
        <v>283</v>
      </c>
    </row>
    <row r="1219" spans="1:33" ht="15.75" customHeight="1">
      <c r="A1219" s="743">
        <v>43179</v>
      </c>
      <c r="B1219" s="263" t="s">
        <v>129</v>
      </c>
      <c r="C1219" s="744" t="s">
        <v>3960</v>
      </c>
      <c r="D1219" s="250" t="s">
        <v>3961</v>
      </c>
      <c r="E1219" s="250" t="s">
        <v>3789</v>
      </c>
      <c r="F1219" s="251">
        <v>5</v>
      </c>
      <c r="G1219" s="252">
        <v>90</v>
      </c>
      <c r="H1219" s="253">
        <f t="shared" si="124"/>
        <v>450</v>
      </c>
      <c r="I1219" s="254" t="s">
        <v>419</v>
      </c>
      <c r="J1219" s="401" t="s">
        <v>3361</v>
      </c>
      <c r="K1219" s="256">
        <v>43193</v>
      </c>
      <c r="L1219" s="256"/>
      <c r="M1219" s="256">
        <v>43192</v>
      </c>
      <c r="N1219" s="331" t="s">
        <v>89</v>
      </c>
      <c r="O1219" s="308" t="s">
        <v>3962</v>
      </c>
      <c r="Q1219" s="266">
        <v>446.25</v>
      </c>
      <c r="R1219" s="1394"/>
      <c r="S1219" s="1394"/>
      <c r="U1219" s="328"/>
      <c r="V1219" s="338" t="s">
        <v>93</v>
      </c>
      <c r="W1219" s="747">
        <v>43251</v>
      </c>
      <c r="X1219" s="748">
        <v>43192</v>
      </c>
      <c r="Y1219" s="744" t="s">
        <v>3963</v>
      </c>
      <c r="Z1219" s="744" t="s">
        <v>3965</v>
      </c>
      <c r="AA1219" s="750">
        <v>43251</v>
      </c>
      <c r="AB1219" s="250" t="s">
        <v>3964</v>
      </c>
      <c r="AC1219" s="744">
        <v>9239956795</v>
      </c>
      <c r="AD1219" s="744"/>
      <c r="AE1219" s="744"/>
      <c r="AF1219" s="744"/>
      <c r="AG1219" s="251" t="s">
        <v>283</v>
      </c>
    </row>
    <row r="1220" spans="1:33" ht="15.75" customHeight="1">
      <c r="A1220" s="743">
        <v>43179</v>
      </c>
      <c r="B1220" s="263" t="s">
        <v>577</v>
      </c>
      <c r="C1220" s="744">
        <v>20180320002</v>
      </c>
      <c r="D1220" s="250" t="s">
        <v>3966</v>
      </c>
      <c r="E1220" s="250" t="s">
        <v>3967</v>
      </c>
      <c r="F1220" s="251">
        <v>1</v>
      </c>
      <c r="G1220" s="336">
        <v>157.5</v>
      </c>
      <c r="H1220" s="265">
        <f t="shared" si="124"/>
        <v>157.5</v>
      </c>
      <c r="I1220" s="254" t="s">
        <v>170</v>
      </c>
      <c r="J1220" s="267" t="s">
        <v>580</v>
      </c>
      <c r="K1220" s="256">
        <v>43181</v>
      </c>
      <c r="L1220" s="256"/>
      <c r="M1220" s="256">
        <v>43181</v>
      </c>
      <c r="N1220" s="331" t="s">
        <v>1414</v>
      </c>
      <c r="O1220" s="308" t="s">
        <v>3968</v>
      </c>
      <c r="Q1220" s="591"/>
      <c r="R1220" s="1406"/>
      <c r="S1220" s="1406"/>
      <c r="U1220" s="572">
        <v>3827</v>
      </c>
      <c r="V1220" s="318" t="s">
        <v>1947</v>
      </c>
      <c r="W1220" s="747">
        <v>43220</v>
      </c>
      <c r="X1220" s="748">
        <v>43181</v>
      </c>
      <c r="Y1220" s="744" t="s">
        <v>3969</v>
      </c>
      <c r="Z1220" s="749">
        <v>3827</v>
      </c>
      <c r="AA1220" s="750">
        <v>43220</v>
      </c>
      <c r="AB1220" s="744" t="s">
        <v>3970</v>
      </c>
      <c r="AC1220" s="744"/>
      <c r="AD1220" s="744"/>
      <c r="AE1220" s="751">
        <v>4725</v>
      </c>
      <c r="AF1220" s="744" t="s">
        <v>3971</v>
      </c>
      <c r="AG1220" s="251" t="s">
        <v>376</v>
      </c>
    </row>
    <row r="1221" spans="1:33" ht="15.75" customHeight="1">
      <c r="A1221" s="743">
        <v>43179</v>
      </c>
      <c r="B1221" s="590" t="s">
        <v>405</v>
      </c>
      <c r="C1221" s="744">
        <v>7000136736</v>
      </c>
      <c r="D1221" s="250" t="s">
        <v>3972</v>
      </c>
      <c r="E1221" s="250" t="s">
        <v>3973</v>
      </c>
      <c r="F1221" s="251">
        <v>3</v>
      </c>
      <c r="G1221" s="252">
        <v>143</v>
      </c>
      <c r="H1221" s="253">
        <f t="shared" si="124"/>
        <v>429</v>
      </c>
      <c r="I1221" s="254" t="s">
        <v>42</v>
      </c>
      <c r="J1221" s="401" t="s">
        <v>133</v>
      </c>
      <c r="K1221" s="256">
        <v>43207</v>
      </c>
      <c r="L1221" s="256"/>
      <c r="M1221" s="256">
        <v>43193</v>
      </c>
      <c r="N1221" s="331" t="s">
        <v>3432</v>
      </c>
      <c r="O1221" s="308" t="s">
        <v>3974</v>
      </c>
      <c r="Q1221" s="591"/>
      <c r="R1221" s="1406"/>
      <c r="S1221" s="1406"/>
      <c r="U1221" s="572">
        <v>11869</v>
      </c>
      <c r="V1221" s="308" t="s">
        <v>2045</v>
      </c>
      <c r="W1221" s="747">
        <v>43281</v>
      </c>
      <c r="X1221" s="748">
        <v>43192</v>
      </c>
      <c r="Y1221" s="744" t="s">
        <v>3975</v>
      </c>
      <c r="Z1221" s="749">
        <v>11869</v>
      </c>
      <c r="AA1221" s="750">
        <v>43259</v>
      </c>
      <c r="AB1221" s="744" t="s">
        <v>3976</v>
      </c>
      <c r="AC1221" s="744">
        <v>5722401683</v>
      </c>
      <c r="AD1221" s="744"/>
      <c r="AE1221" s="744"/>
      <c r="AF1221" s="744"/>
      <c r="AG1221" s="251" t="s">
        <v>283</v>
      </c>
    </row>
    <row r="1222" spans="1:33" ht="15.75" customHeight="1">
      <c r="A1222" s="743">
        <v>43180</v>
      </c>
      <c r="B1222" s="263" t="s">
        <v>129</v>
      </c>
      <c r="C1222" s="744" t="s">
        <v>3977</v>
      </c>
      <c r="D1222" s="250" t="s">
        <v>3978</v>
      </c>
      <c r="E1222" s="250" t="s">
        <v>3979</v>
      </c>
      <c r="F1222" s="251">
        <v>5</v>
      </c>
      <c r="G1222" s="252">
        <v>58</v>
      </c>
      <c r="H1222" s="253">
        <v>290</v>
      </c>
      <c r="I1222" s="254" t="s">
        <v>419</v>
      </c>
      <c r="J1222" s="401" t="s">
        <v>3361</v>
      </c>
      <c r="K1222" s="256">
        <v>43193</v>
      </c>
      <c r="L1222" s="256"/>
      <c r="M1222" s="256">
        <v>43192</v>
      </c>
      <c r="N1222" s="331" t="s">
        <v>89</v>
      </c>
      <c r="O1222" s="308" t="s">
        <v>3980</v>
      </c>
      <c r="Q1222" s="266">
        <v>273</v>
      </c>
      <c r="R1222" s="1394"/>
      <c r="S1222" s="1394"/>
      <c r="U1222" s="328"/>
      <c r="V1222" s="338" t="s">
        <v>93</v>
      </c>
      <c r="W1222" s="747">
        <v>43251</v>
      </c>
      <c r="X1222" s="748">
        <v>43192</v>
      </c>
      <c r="Y1222" s="744" t="s">
        <v>3981</v>
      </c>
      <c r="Z1222" s="749">
        <v>7947</v>
      </c>
      <c r="AA1222" s="750">
        <v>43251</v>
      </c>
      <c r="AB1222" s="250" t="s">
        <v>3964</v>
      </c>
      <c r="AC1222" s="744">
        <v>9239956795</v>
      </c>
      <c r="AD1222" s="744"/>
      <c r="AE1222" s="744"/>
      <c r="AF1222" s="744"/>
      <c r="AG1222" s="251" t="s">
        <v>283</v>
      </c>
    </row>
    <row r="1223" spans="1:33" ht="15.75" customHeight="1">
      <c r="A1223" s="743">
        <v>43182</v>
      </c>
      <c r="B1223" s="263" t="s">
        <v>76</v>
      </c>
      <c r="C1223" s="744">
        <v>251</v>
      </c>
      <c r="D1223" s="250" t="s">
        <v>3982</v>
      </c>
      <c r="E1223" s="250" t="s">
        <v>3983</v>
      </c>
      <c r="F1223" s="305">
        <v>60</v>
      </c>
      <c r="G1223" s="252">
        <v>5</v>
      </c>
      <c r="H1223" s="253">
        <f t="shared" ref="H1223:H1245" si="125">G1223*F1223</f>
        <v>300</v>
      </c>
      <c r="I1223" s="254" t="s">
        <v>42</v>
      </c>
      <c r="J1223" s="367" t="s">
        <v>1083</v>
      </c>
      <c r="K1223" s="256">
        <v>43242</v>
      </c>
      <c r="L1223" s="256"/>
      <c r="M1223" s="256">
        <v>43237</v>
      </c>
      <c r="N1223" s="251" t="s">
        <v>2006</v>
      </c>
      <c r="O1223" s="308" t="s">
        <v>3984</v>
      </c>
      <c r="Q1223" s="591"/>
      <c r="R1223" s="1406"/>
      <c r="S1223" s="1406"/>
      <c r="U1223" s="572">
        <v>3654</v>
      </c>
      <c r="V1223" s="318" t="s">
        <v>2146</v>
      </c>
      <c r="W1223" s="747">
        <v>43256</v>
      </c>
      <c r="X1223" s="748">
        <v>43236</v>
      </c>
      <c r="Y1223" s="744" t="s">
        <v>3985</v>
      </c>
      <c r="Z1223" s="749">
        <v>11655</v>
      </c>
      <c r="AA1223" s="748">
        <v>43256</v>
      </c>
      <c r="AB1223" s="250" t="s">
        <v>3986</v>
      </c>
      <c r="AC1223" s="744">
        <v>109039486</v>
      </c>
      <c r="AD1223" s="744"/>
      <c r="AE1223" s="744"/>
      <c r="AF1223" s="744"/>
      <c r="AG1223" s="251" t="s">
        <v>283</v>
      </c>
    </row>
    <row r="1224" spans="1:33" ht="15.75" customHeight="1">
      <c r="A1224" s="743">
        <v>43182</v>
      </c>
      <c r="B1224" s="263" t="s">
        <v>619</v>
      </c>
      <c r="C1224" s="744"/>
      <c r="D1224" s="250" t="s">
        <v>3987</v>
      </c>
      <c r="E1224" s="250" t="s">
        <v>3988</v>
      </c>
      <c r="F1224" s="251">
        <v>2</v>
      </c>
      <c r="G1224" s="252">
        <f>73*1.05</f>
        <v>76.650000000000006</v>
      </c>
      <c r="H1224" s="253">
        <f t="shared" si="125"/>
        <v>153.30000000000001</v>
      </c>
      <c r="I1224" s="254" t="s">
        <v>3315</v>
      </c>
      <c r="J1224" s="331" t="s">
        <v>232</v>
      </c>
      <c r="K1224" s="256">
        <v>43199</v>
      </c>
      <c r="L1224" s="256"/>
      <c r="M1224" s="256">
        <v>43199</v>
      </c>
      <c r="N1224" s="331" t="s">
        <v>89</v>
      </c>
      <c r="O1224" s="308" t="s">
        <v>3989</v>
      </c>
      <c r="Q1224" s="266">
        <v>136.5</v>
      </c>
      <c r="R1224" s="1394"/>
      <c r="S1224" s="1394"/>
      <c r="U1224" s="328"/>
      <c r="V1224" s="338" t="s">
        <v>93</v>
      </c>
      <c r="W1224" s="747">
        <v>43251</v>
      </c>
      <c r="X1224" s="748">
        <v>43199</v>
      </c>
      <c r="Y1224" s="744" t="s">
        <v>3990</v>
      </c>
      <c r="Z1224" s="749">
        <v>3974</v>
      </c>
      <c r="AA1224" s="750">
        <v>43251</v>
      </c>
      <c r="AB1224" s="744" t="s">
        <v>3991</v>
      </c>
      <c r="AC1224" s="744"/>
      <c r="AD1224" s="744" t="s">
        <v>3992</v>
      </c>
      <c r="AE1224" s="751">
        <v>4469</v>
      </c>
      <c r="AF1224" s="744" t="s">
        <v>3993</v>
      </c>
      <c r="AG1224" s="251" t="s">
        <v>376</v>
      </c>
    </row>
    <row r="1225" spans="1:33" ht="15.75" customHeight="1">
      <c r="A1225" s="743">
        <v>43185</v>
      </c>
      <c r="B1225" s="590" t="s">
        <v>405</v>
      </c>
      <c r="C1225" s="744">
        <v>7000136800</v>
      </c>
      <c r="D1225" s="250" t="s">
        <v>3994</v>
      </c>
      <c r="E1225" s="250" t="s">
        <v>3995</v>
      </c>
      <c r="F1225" s="251">
        <v>5</v>
      </c>
      <c r="G1225" s="252">
        <v>548</v>
      </c>
      <c r="H1225" s="365">
        <f t="shared" si="125"/>
        <v>2740</v>
      </c>
      <c r="I1225" s="254" t="s">
        <v>42</v>
      </c>
      <c r="J1225" s="331" t="s">
        <v>3779</v>
      </c>
      <c r="K1225" s="256">
        <v>43193</v>
      </c>
      <c r="L1225" s="256"/>
      <c r="M1225" s="256">
        <v>43188</v>
      </c>
      <c r="N1225" s="331" t="s">
        <v>3678</v>
      </c>
      <c r="O1225" s="250" t="s">
        <v>3996</v>
      </c>
      <c r="Q1225" s="337"/>
      <c r="R1225" s="1416"/>
      <c r="S1225" s="1416"/>
      <c r="U1225" s="630">
        <v>81900</v>
      </c>
      <c r="V1225" s="386" t="s">
        <v>3680</v>
      </c>
      <c r="W1225" s="747">
        <v>43251</v>
      </c>
      <c r="X1225" s="748">
        <v>43187</v>
      </c>
      <c r="Y1225" s="744" t="s">
        <v>3997</v>
      </c>
      <c r="Z1225" s="749">
        <v>87570</v>
      </c>
      <c r="AA1225" s="750">
        <v>43251</v>
      </c>
      <c r="AB1225" s="250" t="s">
        <v>3935</v>
      </c>
      <c r="AC1225" s="744">
        <v>1805775392</v>
      </c>
      <c r="AD1225" s="744"/>
      <c r="AE1225" s="744"/>
      <c r="AF1225" s="744"/>
      <c r="AG1225" s="264" t="s">
        <v>283</v>
      </c>
    </row>
    <row r="1226" spans="1:33" ht="15.75" customHeight="1">
      <c r="A1226" s="743">
        <v>43185</v>
      </c>
      <c r="B1226" s="590" t="s">
        <v>405</v>
      </c>
      <c r="C1226" s="744">
        <v>7000136800</v>
      </c>
      <c r="D1226" s="250" t="s">
        <v>3994</v>
      </c>
      <c r="E1226" s="250" t="s">
        <v>3995</v>
      </c>
      <c r="F1226" s="251">
        <v>2</v>
      </c>
      <c r="G1226" s="252">
        <v>548</v>
      </c>
      <c r="H1226" s="253">
        <f t="shared" si="125"/>
        <v>1096</v>
      </c>
      <c r="I1226" s="254" t="s">
        <v>42</v>
      </c>
      <c r="J1226" s="401" t="s">
        <v>3779</v>
      </c>
      <c r="K1226" s="256">
        <v>43234</v>
      </c>
      <c r="L1226" s="256"/>
      <c r="M1226" s="256">
        <v>43228</v>
      </c>
      <c r="N1226" s="331" t="s">
        <v>3678</v>
      </c>
      <c r="O1226" s="250" t="s">
        <v>3996</v>
      </c>
      <c r="Q1226" s="337"/>
      <c r="R1226" s="1416"/>
      <c r="S1226" s="1416"/>
      <c r="U1226" s="630">
        <v>32760</v>
      </c>
      <c r="V1226" s="386" t="s">
        <v>3680</v>
      </c>
      <c r="W1226" s="747">
        <v>43281</v>
      </c>
      <c r="X1226" s="748">
        <v>43227</v>
      </c>
      <c r="Y1226" s="744" t="s">
        <v>3998</v>
      </c>
      <c r="Z1226" s="749">
        <v>35028</v>
      </c>
      <c r="AA1226" s="748">
        <v>43284</v>
      </c>
      <c r="AB1226" s="744" t="s">
        <v>3999</v>
      </c>
      <c r="AC1226" s="744">
        <v>7316938613</v>
      </c>
      <c r="AD1226" s="744"/>
      <c r="AE1226" s="744"/>
      <c r="AF1226" s="744"/>
      <c r="AG1226" s="251" t="s">
        <v>283</v>
      </c>
    </row>
    <row r="1227" spans="1:33" ht="15.75" customHeight="1">
      <c r="A1227" s="743">
        <v>43185</v>
      </c>
      <c r="B1227" s="590" t="s">
        <v>405</v>
      </c>
      <c r="C1227" s="744">
        <v>7000136800</v>
      </c>
      <c r="D1227" s="250" t="s">
        <v>3994</v>
      </c>
      <c r="E1227" s="250" t="s">
        <v>4000</v>
      </c>
      <c r="F1227" s="251">
        <v>5</v>
      </c>
      <c r="G1227" s="252">
        <v>40</v>
      </c>
      <c r="H1227" s="365">
        <f t="shared" si="125"/>
        <v>200</v>
      </c>
      <c r="I1227" s="254" t="s">
        <v>42</v>
      </c>
      <c r="J1227" s="331" t="s">
        <v>3779</v>
      </c>
      <c r="K1227" s="256">
        <v>43193</v>
      </c>
      <c r="L1227" s="256"/>
      <c r="M1227" s="256">
        <v>43188</v>
      </c>
      <c r="N1227" s="331" t="s">
        <v>3678</v>
      </c>
      <c r="O1227" s="250" t="s">
        <v>3996</v>
      </c>
      <c r="Q1227" s="337"/>
      <c r="R1227" s="1416"/>
      <c r="S1227" s="1416"/>
      <c r="U1227" s="630">
        <v>5670</v>
      </c>
      <c r="V1227" s="386" t="s">
        <v>3680</v>
      </c>
      <c r="W1227" s="747">
        <v>43251</v>
      </c>
      <c r="X1227" s="748">
        <v>43187</v>
      </c>
      <c r="Y1227" s="744" t="s">
        <v>3997</v>
      </c>
      <c r="Z1227" s="744" t="s">
        <v>4001</v>
      </c>
      <c r="AA1227" s="750">
        <v>43251</v>
      </c>
      <c r="AB1227" s="250" t="s">
        <v>3935</v>
      </c>
      <c r="AC1227" s="744">
        <v>1805775392</v>
      </c>
      <c r="AD1227" s="744"/>
      <c r="AE1227" s="744"/>
      <c r="AF1227" s="744"/>
      <c r="AG1227" s="264" t="s">
        <v>283</v>
      </c>
    </row>
    <row r="1228" spans="1:33" ht="15.75" customHeight="1">
      <c r="A1228" s="743">
        <v>43185</v>
      </c>
      <c r="B1228" s="590" t="s">
        <v>405</v>
      </c>
      <c r="C1228" s="744">
        <v>7000136800</v>
      </c>
      <c r="D1228" s="250" t="s">
        <v>3994</v>
      </c>
      <c r="E1228" s="250" t="s">
        <v>4000</v>
      </c>
      <c r="F1228" s="251">
        <v>2</v>
      </c>
      <c r="G1228" s="252">
        <v>40</v>
      </c>
      <c r="H1228" s="253">
        <f t="shared" si="125"/>
        <v>80</v>
      </c>
      <c r="I1228" s="254" t="s">
        <v>42</v>
      </c>
      <c r="J1228" s="401" t="s">
        <v>3779</v>
      </c>
      <c r="K1228" s="256">
        <v>43234</v>
      </c>
      <c r="L1228" s="256"/>
      <c r="M1228" s="256">
        <v>43228</v>
      </c>
      <c r="N1228" s="331" t="s">
        <v>3678</v>
      </c>
      <c r="O1228" s="250" t="s">
        <v>3996</v>
      </c>
      <c r="Q1228" s="337"/>
      <c r="R1228" s="1416"/>
      <c r="S1228" s="1416"/>
      <c r="U1228" s="630">
        <v>2268</v>
      </c>
      <c r="V1228" s="386" t="s">
        <v>3680</v>
      </c>
      <c r="W1228" s="747">
        <v>43281</v>
      </c>
      <c r="X1228" s="748">
        <v>43227</v>
      </c>
      <c r="Y1228" s="744" t="s">
        <v>3998</v>
      </c>
      <c r="Z1228" s="744" t="s">
        <v>4002</v>
      </c>
      <c r="AA1228" s="748">
        <v>43284</v>
      </c>
      <c r="AB1228" s="744" t="s">
        <v>3999</v>
      </c>
      <c r="AC1228" s="744">
        <v>7316938613</v>
      </c>
      <c r="AD1228" s="744"/>
      <c r="AE1228" s="744"/>
      <c r="AF1228" s="744"/>
      <c r="AG1228" s="251" t="s">
        <v>283</v>
      </c>
    </row>
    <row r="1229" spans="1:33" ht="15.75" customHeight="1">
      <c r="A1229" s="743">
        <v>43185</v>
      </c>
      <c r="B1229" s="590" t="s">
        <v>405</v>
      </c>
      <c r="C1229" s="744">
        <v>7000136912</v>
      </c>
      <c r="D1229" s="250" t="s">
        <v>4003</v>
      </c>
      <c r="E1229" s="250" t="s">
        <v>3933</v>
      </c>
      <c r="F1229" s="251">
        <v>1</v>
      </c>
      <c r="G1229" s="252">
        <v>514</v>
      </c>
      <c r="H1229" s="253">
        <f t="shared" si="125"/>
        <v>514</v>
      </c>
      <c r="I1229" s="254" t="s">
        <v>42</v>
      </c>
      <c r="J1229" s="401" t="s">
        <v>519</v>
      </c>
      <c r="K1229" s="256">
        <v>43223</v>
      </c>
      <c r="L1229" s="256"/>
      <c r="M1229" s="256">
        <v>43217</v>
      </c>
      <c r="N1229" s="331" t="s">
        <v>3432</v>
      </c>
      <c r="O1229" s="308" t="s">
        <v>4004</v>
      </c>
      <c r="Q1229" s="591"/>
      <c r="R1229" s="1406"/>
      <c r="S1229" s="1406"/>
      <c r="U1229" s="630">
        <v>13944</v>
      </c>
      <c r="V1229" s="308" t="s">
        <v>2045</v>
      </c>
      <c r="W1229" s="747">
        <v>43312</v>
      </c>
      <c r="X1229" s="748">
        <v>43216</v>
      </c>
      <c r="Y1229" s="744" t="s">
        <v>4005</v>
      </c>
      <c r="Z1229" s="753">
        <v>13944</v>
      </c>
      <c r="AA1229" s="748">
        <v>43280</v>
      </c>
      <c r="AB1229" s="250" t="s">
        <v>3929</v>
      </c>
      <c r="AC1229" s="744" t="s">
        <v>3930</v>
      </c>
      <c r="AD1229" s="744"/>
      <c r="AE1229" s="744"/>
      <c r="AF1229" s="744"/>
      <c r="AG1229" s="251" t="s">
        <v>283</v>
      </c>
    </row>
    <row r="1230" spans="1:33" ht="15.75" customHeight="1">
      <c r="A1230" s="743">
        <v>43185</v>
      </c>
      <c r="B1230" s="590" t="s">
        <v>405</v>
      </c>
      <c r="C1230" s="744">
        <v>7000136912</v>
      </c>
      <c r="D1230" s="250" t="s">
        <v>4003</v>
      </c>
      <c r="E1230" s="250" t="s">
        <v>3638</v>
      </c>
      <c r="F1230" s="251">
        <v>3</v>
      </c>
      <c r="G1230" s="252">
        <v>100</v>
      </c>
      <c r="H1230" s="365">
        <f t="shared" si="125"/>
        <v>300</v>
      </c>
      <c r="I1230" s="254" t="s">
        <v>42</v>
      </c>
      <c r="J1230" s="331" t="s">
        <v>3779</v>
      </c>
      <c r="K1230" s="256">
        <v>43193</v>
      </c>
      <c r="L1230" s="256"/>
      <c r="M1230" s="256">
        <v>43193</v>
      </c>
      <c r="N1230" s="331" t="s">
        <v>3432</v>
      </c>
      <c r="O1230" s="308" t="s">
        <v>4004</v>
      </c>
      <c r="Q1230" s="591"/>
      <c r="R1230" s="1406"/>
      <c r="S1230" s="1406"/>
      <c r="U1230" s="630">
        <v>8404</v>
      </c>
      <c r="V1230" s="308" t="s">
        <v>2045</v>
      </c>
      <c r="W1230" s="747">
        <v>43281</v>
      </c>
      <c r="X1230" s="748">
        <v>43193</v>
      </c>
      <c r="Y1230" s="744" t="s">
        <v>4006</v>
      </c>
      <c r="Z1230" s="749">
        <v>8404</v>
      </c>
      <c r="AA1230" s="750">
        <v>43259</v>
      </c>
      <c r="AB1230" s="250" t="s">
        <v>3935</v>
      </c>
      <c r="AC1230" s="744">
        <v>1805775392</v>
      </c>
      <c r="AD1230" s="744"/>
      <c r="AE1230" s="744"/>
      <c r="AF1230" s="744"/>
      <c r="AG1230" s="264" t="s">
        <v>283</v>
      </c>
    </row>
    <row r="1231" spans="1:33" ht="15.75" customHeight="1">
      <c r="A1231" s="743">
        <v>43185</v>
      </c>
      <c r="B1231" s="590" t="s">
        <v>405</v>
      </c>
      <c r="C1231" s="744">
        <v>7000136912</v>
      </c>
      <c r="D1231" s="250" t="s">
        <v>4003</v>
      </c>
      <c r="E1231" s="250" t="s">
        <v>4007</v>
      </c>
      <c r="F1231" s="251">
        <v>2</v>
      </c>
      <c r="G1231" s="252">
        <v>130.5</v>
      </c>
      <c r="H1231" s="365">
        <f t="shared" si="125"/>
        <v>261</v>
      </c>
      <c r="I1231" s="254" t="s">
        <v>42</v>
      </c>
      <c r="J1231" s="331" t="s">
        <v>3779</v>
      </c>
      <c r="K1231" s="256">
        <v>43193</v>
      </c>
      <c r="L1231" s="256"/>
      <c r="M1231" s="256">
        <v>43192</v>
      </c>
      <c r="N1231" s="331" t="s">
        <v>3432</v>
      </c>
      <c r="O1231" s="308" t="s">
        <v>4008</v>
      </c>
      <c r="Q1231" s="591"/>
      <c r="R1231" s="1406"/>
      <c r="S1231" s="1406"/>
      <c r="U1231" s="630">
        <v>7472</v>
      </c>
      <c r="V1231" s="308" t="s">
        <v>2045</v>
      </c>
      <c r="W1231" s="747">
        <v>43281</v>
      </c>
      <c r="X1231" s="748">
        <v>43192</v>
      </c>
      <c r="Y1231" s="744" t="s">
        <v>4009</v>
      </c>
      <c r="Z1231" s="749">
        <v>7472</v>
      </c>
      <c r="AA1231" s="750">
        <v>43259</v>
      </c>
      <c r="AB1231" s="250" t="s">
        <v>3935</v>
      </c>
      <c r="AC1231" s="744">
        <v>1805775392</v>
      </c>
      <c r="AD1231" s="744"/>
      <c r="AE1231" s="744"/>
      <c r="AF1231" s="744"/>
      <c r="AG1231" s="264" t="s">
        <v>283</v>
      </c>
    </row>
    <row r="1232" spans="1:33" ht="15.75" customHeight="1">
      <c r="A1232" s="743">
        <v>43186</v>
      </c>
      <c r="B1232" s="590" t="s">
        <v>405</v>
      </c>
      <c r="C1232" s="744">
        <v>7000136847</v>
      </c>
      <c r="D1232" s="250" t="s">
        <v>4010</v>
      </c>
      <c r="E1232" s="250" t="s">
        <v>4011</v>
      </c>
      <c r="F1232" s="251">
        <v>1</v>
      </c>
      <c r="G1232" s="252">
        <v>485</v>
      </c>
      <c r="H1232" s="253">
        <f t="shared" si="125"/>
        <v>485</v>
      </c>
      <c r="I1232" s="254" t="s">
        <v>42</v>
      </c>
      <c r="J1232" s="401" t="s">
        <v>133</v>
      </c>
      <c r="K1232" s="256">
        <v>43200</v>
      </c>
      <c r="L1232" s="256"/>
      <c r="M1232" s="256">
        <v>43200</v>
      </c>
      <c r="N1232" s="331" t="s">
        <v>1967</v>
      </c>
      <c r="O1232" s="308" t="s">
        <v>4012</v>
      </c>
      <c r="Q1232" s="266">
        <v>456.75</v>
      </c>
      <c r="R1232" s="1394"/>
      <c r="S1232" s="1394"/>
      <c r="U1232" s="328"/>
      <c r="V1232" s="308" t="s">
        <v>1969</v>
      </c>
      <c r="W1232" s="747">
        <v>43286</v>
      </c>
      <c r="X1232" s="748">
        <v>43199</v>
      </c>
      <c r="Y1232" s="744" t="s">
        <v>4013</v>
      </c>
      <c r="Z1232" s="749">
        <v>13341</v>
      </c>
      <c r="AA1232" s="748">
        <v>43286</v>
      </c>
      <c r="AB1232" s="250" t="s">
        <v>4014</v>
      </c>
      <c r="AC1232" s="744">
        <v>4796967571</v>
      </c>
      <c r="AD1232" s="744"/>
      <c r="AE1232" s="744"/>
      <c r="AF1232" s="744"/>
      <c r="AG1232" s="251" t="s">
        <v>283</v>
      </c>
    </row>
    <row r="1233" spans="1:33" ht="15.75" customHeight="1">
      <c r="A1233" s="743">
        <v>43186</v>
      </c>
      <c r="B1233" s="263" t="s">
        <v>325</v>
      </c>
      <c r="C1233" s="757" t="s">
        <v>3911</v>
      </c>
      <c r="D1233" s="250" t="s">
        <v>4015</v>
      </c>
      <c r="E1233" s="250" t="s">
        <v>4016</v>
      </c>
      <c r="F1233" s="251">
        <v>10</v>
      </c>
      <c r="G1233" s="323">
        <v>567</v>
      </c>
      <c r="H1233" s="253">
        <f t="shared" si="125"/>
        <v>5670</v>
      </c>
      <c r="I1233" s="254" t="s">
        <v>3315</v>
      </c>
      <c r="J1233" s="267" t="s">
        <v>328</v>
      </c>
      <c r="K1233" s="256">
        <v>43209</v>
      </c>
      <c r="L1233" s="256"/>
      <c r="M1233" s="256">
        <v>43203</v>
      </c>
      <c r="N1233" s="331" t="s">
        <v>3614</v>
      </c>
      <c r="O1233" s="308" t="s">
        <v>4017</v>
      </c>
      <c r="Q1233" s="792">
        <v>5355</v>
      </c>
      <c r="R1233" s="1415"/>
      <c r="S1233" s="1415"/>
      <c r="U1233" s="589"/>
      <c r="V1233" s="420" t="s">
        <v>2159</v>
      </c>
      <c r="W1233" s="747">
        <v>43251</v>
      </c>
      <c r="X1233" s="748">
        <v>43203</v>
      </c>
      <c r="Y1233" s="744" t="s">
        <v>4018</v>
      </c>
      <c r="Z1233" s="749">
        <v>163910</v>
      </c>
      <c r="AA1233" s="750">
        <v>43251</v>
      </c>
      <c r="AB1233" s="744" t="s">
        <v>4019</v>
      </c>
      <c r="AC1233" s="744" t="s">
        <v>4020</v>
      </c>
      <c r="AD1233" s="744"/>
      <c r="AE1233" s="744"/>
      <c r="AF1233" s="744"/>
      <c r="AG1233" s="251" t="s">
        <v>283</v>
      </c>
    </row>
    <row r="1234" spans="1:33" ht="15.75" customHeight="1">
      <c r="A1234" s="743">
        <v>43186</v>
      </c>
      <c r="B1234" s="263" t="s">
        <v>325</v>
      </c>
      <c r="C1234" s="757" t="s">
        <v>3911</v>
      </c>
      <c r="D1234" s="250" t="s">
        <v>4015</v>
      </c>
      <c r="E1234" s="250" t="s">
        <v>4021</v>
      </c>
      <c r="F1234" s="251">
        <v>10</v>
      </c>
      <c r="G1234" s="323">
        <v>273</v>
      </c>
      <c r="H1234" s="253">
        <f t="shared" si="125"/>
        <v>2730</v>
      </c>
      <c r="I1234" s="254" t="s">
        <v>3315</v>
      </c>
      <c r="J1234" s="267" t="s">
        <v>328</v>
      </c>
      <c r="K1234" s="256">
        <v>43209</v>
      </c>
      <c r="L1234" s="256"/>
      <c r="M1234" s="256">
        <v>43201</v>
      </c>
      <c r="N1234" s="331" t="s">
        <v>44</v>
      </c>
      <c r="O1234" s="308" t="s">
        <v>4022</v>
      </c>
      <c r="Q1234" s="266">
        <v>2205</v>
      </c>
      <c r="R1234" s="1394"/>
      <c r="S1234" s="1394"/>
      <c r="U1234" s="328"/>
      <c r="V1234" s="338" t="s">
        <v>46</v>
      </c>
      <c r="W1234" s="747">
        <v>43230</v>
      </c>
      <c r="X1234" s="748">
        <v>43200</v>
      </c>
      <c r="Y1234" s="744" t="s">
        <v>4023</v>
      </c>
      <c r="Z1234" s="749">
        <v>64406</v>
      </c>
      <c r="AA1234" s="750">
        <v>43231</v>
      </c>
      <c r="AB1234" s="744" t="s">
        <v>4019</v>
      </c>
      <c r="AC1234" s="744" t="s">
        <v>4020</v>
      </c>
      <c r="AD1234" s="744"/>
      <c r="AE1234" s="744"/>
      <c r="AF1234" s="744"/>
      <c r="AG1234" s="251" t="s">
        <v>283</v>
      </c>
    </row>
    <row r="1235" spans="1:33" ht="15.75" customHeight="1">
      <c r="A1235" s="743">
        <v>43186</v>
      </c>
      <c r="B1235" s="263" t="s">
        <v>325</v>
      </c>
      <c r="C1235" s="757" t="s">
        <v>3911</v>
      </c>
      <c r="D1235" s="250" t="s">
        <v>4015</v>
      </c>
      <c r="E1235" s="250" t="s">
        <v>4024</v>
      </c>
      <c r="F1235" s="251">
        <v>10</v>
      </c>
      <c r="G1235" s="323">
        <v>31</v>
      </c>
      <c r="H1235" s="253">
        <f t="shared" si="125"/>
        <v>310</v>
      </c>
      <c r="I1235" s="254" t="s">
        <v>3315</v>
      </c>
      <c r="J1235" s="267" t="s">
        <v>328</v>
      </c>
      <c r="K1235" s="256">
        <v>43209</v>
      </c>
      <c r="L1235" s="256"/>
      <c r="M1235" s="256">
        <v>43203</v>
      </c>
      <c r="N1235" s="331" t="s">
        <v>3614</v>
      </c>
      <c r="O1235" s="308" t="s">
        <v>4017</v>
      </c>
      <c r="Q1235" s="793">
        <v>226.8</v>
      </c>
      <c r="R1235" s="1417"/>
      <c r="S1235" s="1417"/>
      <c r="U1235" s="791"/>
      <c r="V1235" s="420" t="s">
        <v>2159</v>
      </c>
      <c r="W1235" s="747">
        <v>43251</v>
      </c>
      <c r="X1235" s="748">
        <v>43203</v>
      </c>
      <c r="Y1235" s="744" t="s">
        <v>4018</v>
      </c>
      <c r="Z1235" s="744" t="s">
        <v>4025</v>
      </c>
      <c r="AA1235" s="750">
        <v>43251</v>
      </c>
      <c r="AB1235" s="744" t="s">
        <v>4019</v>
      </c>
      <c r="AC1235" s="744" t="s">
        <v>4020</v>
      </c>
      <c r="AD1235" s="744"/>
      <c r="AE1235" s="744"/>
      <c r="AF1235" s="744"/>
      <c r="AG1235" s="251" t="s">
        <v>283</v>
      </c>
    </row>
    <row r="1236" spans="1:33" ht="15.75" customHeight="1">
      <c r="A1236" s="743">
        <v>43186</v>
      </c>
      <c r="B1236" s="263" t="s">
        <v>325</v>
      </c>
      <c r="C1236" s="757" t="s">
        <v>3911</v>
      </c>
      <c r="D1236" s="250" t="s">
        <v>4015</v>
      </c>
      <c r="E1236" s="250" t="s">
        <v>4026</v>
      </c>
      <c r="F1236" s="251">
        <v>10</v>
      </c>
      <c r="G1236" s="323">
        <v>4</v>
      </c>
      <c r="H1236" s="253">
        <f t="shared" si="125"/>
        <v>40</v>
      </c>
      <c r="I1236" s="254" t="s">
        <v>3315</v>
      </c>
      <c r="J1236" s="267" t="s">
        <v>328</v>
      </c>
      <c r="K1236" s="256">
        <v>43209</v>
      </c>
      <c r="L1236" s="256"/>
      <c r="M1236" s="256">
        <v>43203</v>
      </c>
      <c r="N1236" s="331" t="s">
        <v>3614</v>
      </c>
      <c r="O1236" s="308" t="s">
        <v>4017</v>
      </c>
      <c r="Q1236" s="572">
        <v>21</v>
      </c>
      <c r="R1236" s="1413"/>
      <c r="S1236" s="1413"/>
      <c r="U1236" s="589"/>
      <c r="V1236" s="420" t="s">
        <v>2159</v>
      </c>
      <c r="W1236" s="747">
        <v>43251</v>
      </c>
      <c r="X1236" s="748">
        <v>43203</v>
      </c>
      <c r="Y1236" s="744" t="s">
        <v>4018</v>
      </c>
      <c r="Z1236" s="744" t="s">
        <v>4025</v>
      </c>
      <c r="AA1236" s="750">
        <v>43251</v>
      </c>
      <c r="AB1236" s="744" t="s">
        <v>4019</v>
      </c>
      <c r="AC1236" s="744" t="s">
        <v>4020</v>
      </c>
      <c r="AD1236" s="744"/>
      <c r="AE1236" s="744"/>
      <c r="AF1236" s="744"/>
      <c r="AG1236" s="251" t="s">
        <v>283</v>
      </c>
    </row>
    <row r="1237" spans="1:33" ht="15.75" customHeight="1">
      <c r="A1237" s="743">
        <v>43187</v>
      </c>
      <c r="B1237" s="590" t="s">
        <v>405</v>
      </c>
      <c r="C1237" s="744">
        <v>7000136986</v>
      </c>
      <c r="D1237" s="250" t="s">
        <v>4027</v>
      </c>
      <c r="E1237" s="250" t="s">
        <v>4028</v>
      </c>
      <c r="F1237" s="251">
        <v>1</v>
      </c>
      <c r="G1237" s="252">
        <v>802</v>
      </c>
      <c r="H1237" s="365">
        <f t="shared" si="125"/>
        <v>802</v>
      </c>
      <c r="I1237" s="254" t="s">
        <v>42</v>
      </c>
      <c r="J1237" s="331" t="s">
        <v>3779</v>
      </c>
      <c r="K1237" s="256">
        <v>43193</v>
      </c>
      <c r="L1237" s="256"/>
      <c r="M1237" s="256">
        <v>43192</v>
      </c>
      <c r="N1237" s="331" t="s">
        <v>3432</v>
      </c>
      <c r="O1237" s="308" t="s">
        <v>4029</v>
      </c>
      <c r="Q1237" s="591"/>
      <c r="R1237" s="1406"/>
      <c r="S1237" s="1406"/>
      <c r="U1237" s="630">
        <v>22089</v>
      </c>
      <c r="V1237" s="308" t="s">
        <v>2045</v>
      </c>
      <c r="W1237" s="747">
        <v>43281</v>
      </c>
      <c r="X1237" s="748">
        <v>43192</v>
      </c>
      <c r="Y1237" s="744" t="s">
        <v>4030</v>
      </c>
      <c r="Z1237" s="749">
        <v>36373</v>
      </c>
      <c r="AA1237" s="750">
        <v>43259</v>
      </c>
      <c r="AB1237" s="250" t="s">
        <v>3935</v>
      </c>
      <c r="AC1237" s="744">
        <v>1805775392</v>
      </c>
      <c r="AD1237" s="744"/>
      <c r="AE1237" s="744"/>
      <c r="AF1237" s="744"/>
      <c r="AG1237" s="264" t="s">
        <v>283</v>
      </c>
    </row>
    <row r="1238" spans="1:33" ht="15.75" customHeight="1">
      <c r="A1238" s="743">
        <v>43187</v>
      </c>
      <c r="B1238" s="590" t="s">
        <v>405</v>
      </c>
      <c r="C1238" s="744">
        <v>7000136986</v>
      </c>
      <c r="D1238" s="250" t="s">
        <v>4027</v>
      </c>
      <c r="E1238" s="250" t="s">
        <v>4031</v>
      </c>
      <c r="F1238" s="251">
        <v>2</v>
      </c>
      <c r="G1238" s="252">
        <v>72</v>
      </c>
      <c r="H1238" s="365">
        <f t="shared" si="125"/>
        <v>144</v>
      </c>
      <c r="I1238" s="254" t="s">
        <v>42</v>
      </c>
      <c r="J1238" s="331" t="s">
        <v>3779</v>
      </c>
      <c r="K1238" s="256">
        <v>43193</v>
      </c>
      <c r="L1238" s="256"/>
      <c r="M1238" s="256">
        <v>43192</v>
      </c>
      <c r="N1238" s="331" t="s">
        <v>3432</v>
      </c>
      <c r="O1238" s="308" t="s">
        <v>4029</v>
      </c>
      <c r="Q1238" s="591"/>
      <c r="R1238" s="1406"/>
      <c r="S1238" s="1406"/>
      <c r="U1238" s="630">
        <v>3977</v>
      </c>
      <c r="V1238" s="308" t="s">
        <v>2045</v>
      </c>
      <c r="W1238" s="747">
        <v>43281</v>
      </c>
      <c r="X1238" s="748">
        <v>43192</v>
      </c>
      <c r="Y1238" s="744" t="s">
        <v>4030</v>
      </c>
      <c r="Z1238" s="744" t="s">
        <v>4032</v>
      </c>
      <c r="AA1238" s="750">
        <v>43259</v>
      </c>
      <c r="AB1238" s="250" t="s">
        <v>3935</v>
      </c>
      <c r="AC1238" s="744">
        <v>1805775392</v>
      </c>
      <c r="AD1238" s="744"/>
      <c r="AE1238" s="744"/>
      <c r="AF1238" s="744"/>
      <c r="AG1238" s="264" t="s">
        <v>283</v>
      </c>
    </row>
    <row r="1239" spans="1:33" ht="15.75" customHeight="1">
      <c r="A1239" s="743">
        <v>43187</v>
      </c>
      <c r="B1239" s="590" t="s">
        <v>405</v>
      </c>
      <c r="C1239" s="744">
        <v>7000136986</v>
      </c>
      <c r="D1239" s="250" t="s">
        <v>4027</v>
      </c>
      <c r="E1239" s="250" t="s">
        <v>4033</v>
      </c>
      <c r="F1239" s="251">
        <v>2</v>
      </c>
      <c r="G1239" s="252">
        <v>108</v>
      </c>
      <c r="H1239" s="365">
        <f t="shared" si="125"/>
        <v>216</v>
      </c>
      <c r="I1239" s="254" t="s">
        <v>42</v>
      </c>
      <c r="J1239" s="331" t="s">
        <v>3779</v>
      </c>
      <c r="K1239" s="256">
        <v>43193</v>
      </c>
      <c r="L1239" s="256"/>
      <c r="M1239" s="256">
        <v>43192</v>
      </c>
      <c r="N1239" s="331" t="s">
        <v>3432</v>
      </c>
      <c r="O1239" s="308" t="s">
        <v>4029</v>
      </c>
      <c r="Q1239" s="591"/>
      <c r="R1239" s="1406"/>
      <c r="S1239" s="1406"/>
      <c r="U1239" s="630">
        <v>5964</v>
      </c>
      <c r="V1239" s="308" t="s">
        <v>2045</v>
      </c>
      <c r="W1239" s="747">
        <v>43281</v>
      </c>
      <c r="X1239" s="748">
        <v>43192</v>
      </c>
      <c r="Y1239" s="744" t="s">
        <v>4030</v>
      </c>
      <c r="Z1239" s="744" t="s">
        <v>4032</v>
      </c>
      <c r="AA1239" s="750">
        <v>43259</v>
      </c>
      <c r="AB1239" s="250" t="s">
        <v>3935</v>
      </c>
      <c r="AC1239" s="744">
        <v>1805775392</v>
      </c>
      <c r="AD1239" s="744"/>
      <c r="AE1239" s="744"/>
      <c r="AF1239" s="744"/>
      <c r="AG1239" s="264" t="s">
        <v>283</v>
      </c>
    </row>
    <row r="1240" spans="1:33" ht="15.75" customHeight="1">
      <c r="A1240" s="743">
        <v>43187</v>
      </c>
      <c r="B1240" s="590" t="s">
        <v>405</v>
      </c>
      <c r="C1240" s="744">
        <v>7000136986</v>
      </c>
      <c r="D1240" s="250" t="s">
        <v>4027</v>
      </c>
      <c r="E1240" s="250" t="s">
        <v>4034</v>
      </c>
      <c r="F1240" s="251">
        <v>2</v>
      </c>
      <c r="G1240" s="252">
        <v>78</v>
      </c>
      <c r="H1240" s="253">
        <f t="shared" si="125"/>
        <v>156</v>
      </c>
      <c r="I1240" s="254" t="s">
        <v>42</v>
      </c>
      <c r="J1240" s="401" t="s">
        <v>133</v>
      </c>
      <c r="K1240" s="256">
        <v>43200</v>
      </c>
      <c r="L1240" s="256"/>
      <c r="M1240" s="256">
        <v>43192</v>
      </c>
      <c r="N1240" s="331" t="s">
        <v>3432</v>
      </c>
      <c r="O1240" s="308" t="s">
        <v>4029</v>
      </c>
      <c r="Q1240" s="591"/>
      <c r="R1240" s="1406"/>
      <c r="S1240" s="1406"/>
      <c r="U1240" s="630">
        <v>4343</v>
      </c>
      <c r="V1240" s="308" t="s">
        <v>2045</v>
      </c>
      <c r="W1240" s="747">
        <v>43281</v>
      </c>
      <c r="X1240" s="748">
        <v>43192</v>
      </c>
      <c r="Y1240" s="744" t="s">
        <v>4030</v>
      </c>
      <c r="Z1240" s="744" t="s">
        <v>4032</v>
      </c>
      <c r="AA1240" s="750">
        <v>43259</v>
      </c>
      <c r="AB1240" s="250" t="s">
        <v>4014</v>
      </c>
      <c r="AC1240" s="744">
        <v>4796967571</v>
      </c>
      <c r="AD1240" s="744"/>
      <c r="AE1240" s="744"/>
      <c r="AF1240" s="744"/>
      <c r="AG1240" s="264" t="s">
        <v>283</v>
      </c>
    </row>
    <row r="1241" spans="1:33" ht="15.75" customHeight="1">
      <c r="A1241" s="743">
        <v>43187</v>
      </c>
      <c r="B1241" s="263" t="s">
        <v>100</v>
      </c>
      <c r="C1241" s="595" t="s">
        <v>4035</v>
      </c>
      <c r="D1241" s="250" t="s">
        <v>4036</v>
      </c>
      <c r="E1241" s="250" t="s">
        <v>4037</v>
      </c>
      <c r="F1241" s="251">
        <v>5</v>
      </c>
      <c r="G1241" s="252">
        <v>1118</v>
      </c>
      <c r="H1241" s="253">
        <f t="shared" si="125"/>
        <v>5590</v>
      </c>
      <c r="I1241" s="254" t="s">
        <v>3315</v>
      </c>
      <c r="J1241" s="267" t="s">
        <v>3578</v>
      </c>
      <c r="K1241" s="256">
        <v>43209</v>
      </c>
      <c r="L1241" s="256"/>
      <c r="M1241" s="256">
        <v>43207</v>
      </c>
      <c r="N1241" s="331" t="s">
        <v>1414</v>
      </c>
      <c r="O1241" s="308" t="s">
        <v>4038</v>
      </c>
      <c r="Q1241" s="591"/>
      <c r="R1241" s="1406"/>
      <c r="S1241" s="1406"/>
      <c r="U1241" s="572">
        <v>152271</v>
      </c>
      <c r="V1241" s="318" t="s">
        <v>1947</v>
      </c>
      <c r="W1241" s="747">
        <v>43250</v>
      </c>
      <c r="X1241" s="748">
        <v>43206</v>
      </c>
      <c r="Y1241" s="744" t="s">
        <v>4039</v>
      </c>
      <c r="Z1241" s="749">
        <v>152272</v>
      </c>
      <c r="AA1241" s="750">
        <v>43250</v>
      </c>
      <c r="AB1241" s="744" t="s">
        <v>4040</v>
      </c>
      <c r="AC1241" s="744">
        <v>3763501770</v>
      </c>
      <c r="AD1241" s="744"/>
      <c r="AE1241" s="744"/>
      <c r="AF1241" s="744"/>
      <c r="AG1241" s="251" t="s">
        <v>283</v>
      </c>
    </row>
    <row r="1242" spans="1:33" ht="21" customHeight="1">
      <c r="A1242" s="743">
        <v>43187</v>
      </c>
      <c r="B1242" s="263" t="s">
        <v>100</v>
      </c>
      <c r="C1242" s="595" t="s">
        <v>4035</v>
      </c>
      <c r="D1242" s="250" t="s">
        <v>4036</v>
      </c>
      <c r="E1242" s="250" t="s">
        <v>4041</v>
      </c>
      <c r="F1242" s="251">
        <v>5</v>
      </c>
      <c r="G1242" s="252">
        <v>87</v>
      </c>
      <c r="H1242" s="253">
        <f t="shared" si="125"/>
        <v>435</v>
      </c>
      <c r="I1242" s="254" t="s">
        <v>3315</v>
      </c>
      <c r="J1242" s="267" t="s">
        <v>3578</v>
      </c>
      <c r="K1242" s="256">
        <v>43209</v>
      </c>
      <c r="L1242" s="256"/>
      <c r="M1242" s="264" t="s">
        <v>3260</v>
      </c>
      <c r="N1242" s="331"/>
      <c r="O1242" s="308" t="s">
        <v>4042</v>
      </c>
      <c r="Q1242" s="591"/>
      <c r="R1242" s="1406"/>
      <c r="S1242" s="1406"/>
      <c r="U1242" s="328"/>
      <c r="V1242" s="308"/>
      <c r="W1242" s="328"/>
      <c r="X1242" s="745"/>
      <c r="Y1242" s="745"/>
      <c r="Z1242" s="745"/>
      <c r="AA1242" s="746"/>
      <c r="AB1242" s="744" t="s">
        <v>4040</v>
      </c>
      <c r="AC1242" s="744">
        <v>3763501770</v>
      </c>
      <c r="AD1242" s="744"/>
      <c r="AE1242" s="744"/>
      <c r="AF1242" s="744"/>
      <c r="AG1242" s="251" t="s">
        <v>283</v>
      </c>
    </row>
    <row r="1243" spans="1:33" ht="15.75" customHeight="1">
      <c r="A1243" s="743">
        <v>43187</v>
      </c>
      <c r="B1243" s="263" t="s">
        <v>415</v>
      </c>
      <c r="C1243" s="744" t="s">
        <v>4043</v>
      </c>
      <c r="D1243" s="250" t="s">
        <v>4044</v>
      </c>
      <c r="E1243" s="250" t="s">
        <v>3360</v>
      </c>
      <c r="F1243" s="251">
        <v>1</v>
      </c>
      <c r="G1243" s="252">
        <v>262</v>
      </c>
      <c r="H1243" s="365">
        <f t="shared" si="125"/>
        <v>262</v>
      </c>
      <c r="I1243" s="254" t="s">
        <v>419</v>
      </c>
      <c r="J1243" s="267" t="s">
        <v>831</v>
      </c>
      <c r="K1243" s="256">
        <v>43202</v>
      </c>
      <c r="L1243" s="256"/>
      <c r="M1243" s="256">
        <v>43201</v>
      </c>
      <c r="N1243" s="331" t="s">
        <v>89</v>
      </c>
      <c r="O1243" s="308" t="s">
        <v>4045</v>
      </c>
      <c r="Q1243" s="266">
        <v>239.4</v>
      </c>
      <c r="R1243" s="1394"/>
      <c r="S1243" s="1394"/>
      <c r="U1243" s="328"/>
      <c r="V1243" s="338" t="s">
        <v>93</v>
      </c>
      <c r="W1243" s="747">
        <v>43251</v>
      </c>
      <c r="X1243" s="748">
        <v>43201</v>
      </c>
      <c r="Y1243" s="744" t="s">
        <v>4046</v>
      </c>
      <c r="Z1243" s="749">
        <v>6964</v>
      </c>
      <c r="AA1243" s="750">
        <v>43251</v>
      </c>
      <c r="AB1243" s="250" t="s">
        <v>4047</v>
      </c>
      <c r="AC1243" s="595" t="s">
        <v>4048</v>
      </c>
      <c r="AD1243" s="744"/>
      <c r="AE1243" s="744"/>
      <c r="AF1243" s="744"/>
      <c r="AG1243" s="251" t="s">
        <v>283</v>
      </c>
    </row>
    <row r="1244" spans="1:33" ht="15.75" customHeight="1">
      <c r="A1244" s="743">
        <v>43187</v>
      </c>
      <c r="B1244" s="263" t="s">
        <v>129</v>
      </c>
      <c r="C1244" s="744" t="s">
        <v>4049</v>
      </c>
      <c r="D1244" s="250" t="s">
        <v>4050</v>
      </c>
      <c r="E1244" s="250" t="s">
        <v>4051</v>
      </c>
      <c r="F1244" s="251">
        <v>10</v>
      </c>
      <c r="G1244" s="252">
        <v>4</v>
      </c>
      <c r="H1244" s="253">
        <f t="shared" si="125"/>
        <v>40</v>
      </c>
      <c r="I1244" s="254" t="s">
        <v>419</v>
      </c>
      <c r="J1244" s="401" t="s">
        <v>3361</v>
      </c>
      <c r="K1244" s="256">
        <v>43193</v>
      </c>
      <c r="L1244" s="256"/>
      <c r="M1244" s="256">
        <v>43192</v>
      </c>
      <c r="N1244" s="331" t="s">
        <v>89</v>
      </c>
      <c r="O1244" s="308" t="s">
        <v>4052</v>
      </c>
      <c r="Q1244" s="266">
        <v>31.5</v>
      </c>
      <c r="R1244" s="1394"/>
      <c r="S1244" s="1394"/>
      <c r="U1244" s="328"/>
      <c r="V1244" s="338" t="s">
        <v>93</v>
      </c>
      <c r="W1244" s="747">
        <v>43251</v>
      </c>
      <c r="X1244" s="748">
        <v>43192</v>
      </c>
      <c r="Y1244" s="744" t="s">
        <v>4053</v>
      </c>
      <c r="Z1244" s="744">
        <v>917</v>
      </c>
      <c r="AA1244" s="750">
        <v>43251</v>
      </c>
      <c r="AB1244" s="250" t="s">
        <v>3964</v>
      </c>
      <c r="AC1244" s="744">
        <v>9239956795</v>
      </c>
      <c r="AD1244" s="744"/>
      <c r="AE1244" s="744"/>
      <c r="AF1244" s="744"/>
      <c r="AG1244" s="251" t="s">
        <v>283</v>
      </c>
    </row>
    <row r="1245" spans="1:33" ht="15.75" customHeight="1">
      <c r="A1245" s="743">
        <v>43188</v>
      </c>
      <c r="B1245" s="263" t="s">
        <v>4054</v>
      </c>
      <c r="C1245" s="744"/>
      <c r="D1245" s="250" t="s">
        <v>4055</v>
      </c>
      <c r="E1245" s="250" t="s">
        <v>4056</v>
      </c>
      <c r="F1245" s="251">
        <v>1</v>
      </c>
      <c r="G1245" s="252">
        <v>503</v>
      </c>
      <c r="H1245" s="253">
        <f t="shared" si="125"/>
        <v>503</v>
      </c>
      <c r="I1245" s="254" t="s">
        <v>4057</v>
      </c>
      <c r="J1245" s="331" t="s">
        <v>4058</v>
      </c>
      <c r="K1245" s="256">
        <v>43375</v>
      </c>
      <c r="L1245" s="256"/>
      <c r="M1245" s="256">
        <v>43340</v>
      </c>
      <c r="N1245" s="331" t="s">
        <v>4059</v>
      </c>
      <c r="O1245" s="250" t="s">
        <v>4060</v>
      </c>
      <c r="Q1245" s="266">
        <v>459.9</v>
      </c>
      <c r="R1245" s="1394"/>
      <c r="S1245" s="1394"/>
      <c r="U1245" s="572">
        <v>14133</v>
      </c>
      <c r="V1245" s="571" t="s">
        <v>4061</v>
      </c>
      <c r="W1245" s="747">
        <v>43336</v>
      </c>
      <c r="X1245" s="748">
        <v>43339</v>
      </c>
      <c r="Y1245" s="744" t="s">
        <v>4062</v>
      </c>
      <c r="Z1245" s="749">
        <v>14133</v>
      </c>
      <c r="AA1245" s="748">
        <v>43335</v>
      </c>
      <c r="AB1245" s="744" t="s">
        <v>4063</v>
      </c>
      <c r="AC1245" s="744">
        <v>645970846</v>
      </c>
      <c r="AD1245" s="744"/>
      <c r="AE1245" s="744"/>
      <c r="AF1245" s="744"/>
      <c r="AG1245" s="251" t="s">
        <v>283</v>
      </c>
    </row>
    <row r="1246" spans="1:33" ht="15.75" customHeight="1">
      <c r="A1246" s="743">
        <v>43188</v>
      </c>
      <c r="B1246" s="263" t="s">
        <v>100</v>
      </c>
      <c r="C1246" s="744" t="s">
        <v>4064</v>
      </c>
      <c r="D1246" s="250" t="s">
        <v>4065</v>
      </c>
      <c r="E1246" s="250" t="s">
        <v>4066</v>
      </c>
      <c r="F1246" s="251">
        <v>4</v>
      </c>
      <c r="G1246" s="252">
        <v>622</v>
      </c>
      <c r="H1246" s="253">
        <f t="shared" ref="H1246:H1253" si="126">F1246*G1246</f>
        <v>2488</v>
      </c>
      <c r="I1246" s="254" t="s">
        <v>3315</v>
      </c>
      <c r="J1246" s="267" t="s">
        <v>3578</v>
      </c>
      <c r="K1246" s="256">
        <v>43242</v>
      </c>
      <c r="L1246" s="256"/>
      <c r="M1246" s="256">
        <v>43241</v>
      </c>
      <c r="N1246" s="401" t="s">
        <v>1995</v>
      </c>
      <c r="O1246" s="308" t="s">
        <v>4067</v>
      </c>
      <c r="Q1246" s="591"/>
      <c r="R1246" s="1406"/>
      <c r="S1246" s="1406"/>
      <c r="U1246" s="572">
        <v>68561</v>
      </c>
      <c r="V1246" s="571" t="s">
        <v>1997</v>
      </c>
      <c r="W1246" s="747">
        <v>43286</v>
      </c>
      <c r="X1246" s="748">
        <v>43238</v>
      </c>
      <c r="Y1246" s="744" t="s">
        <v>4068</v>
      </c>
      <c r="Z1246" s="749">
        <v>68561</v>
      </c>
      <c r="AA1246" s="748">
        <v>43286</v>
      </c>
      <c r="AB1246" s="250" t="s">
        <v>4069</v>
      </c>
      <c r="AC1246" s="744">
        <v>8444617495</v>
      </c>
      <c r="AD1246" s="744"/>
      <c r="AE1246" s="744"/>
      <c r="AF1246" s="744"/>
      <c r="AG1246" s="251" t="s">
        <v>283</v>
      </c>
    </row>
    <row r="1247" spans="1:33" ht="17.25" customHeight="1">
      <c r="A1247" s="743">
        <v>43188</v>
      </c>
      <c r="B1247" s="263" t="s">
        <v>100</v>
      </c>
      <c r="C1247" s="744" t="s">
        <v>4064</v>
      </c>
      <c r="D1247" s="250" t="s">
        <v>4065</v>
      </c>
      <c r="E1247" s="250" t="s">
        <v>4070</v>
      </c>
      <c r="F1247" s="251">
        <v>4</v>
      </c>
      <c r="G1247" s="252">
        <v>352</v>
      </c>
      <c r="H1247" s="253">
        <f t="shared" si="126"/>
        <v>1408</v>
      </c>
      <c r="I1247" s="254" t="s">
        <v>3315</v>
      </c>
      <c r="J1247" s="267" t="s">
        <v>3578</v>
      </c>
      <c r="K1247" s="256">
        <v>43242</v>
      </c>
      <c r="L1247" s="256"/>
      <c r="M1247" s="256">
        <v>43223</v>
      </c>
      <c r="N1247" s="331" t="s">
        <v>1993</v>
      </c>
      <c r="O1247" s="308" t="s">
        <v>4071</v>
      </c>
      <c r="Q1247" s="266">
        <v>1188.5999999999999</v>
      </c>
      <c r="R1247" s="1394"/>
      <c r="S1247" s="1394"/>
      <c r="U1247" s="328"/>
      <c r="V1247" s="338" t="s">
        <v>46</v>
      </c>
      <c r="W1247" s="747">
        <v>43256</v>
      </c>
      <c r="X1247" s="750">
        <v>43222</v>
      </c>
      <c r="Y1247" s="250" t="s">
        <v>4072</v>
      </c>
      <c r="Z1247" s="753">
        <v>35189</v>
      </c>
      <c r="AA1247" s="750">
        <v>43256</v>
      </c>
      <c r="AB1247" s="250" t="s">
        <v>4069</v>
      </c>
      <c r="AC1247" s="744">
        <v>8444617495</v>
      </c>
      <c r="AD1247" s="744"/>
      <c r="AE1247" s="744"/>
      <c r="AF1247" s="744"/>
      <c r="AG1247" s="251" t="s">
        <v>283</v>
      </c>
    </row>
    <row r="1248" spans="1:33" ht="15.75" customHeight="1">
      <c r="A1248" s="743">
        <v>43188</v>
      </c>
      <c r="B1248" s="263" t="s">
        <v>100</v>
      </c>
      <c r="C1248" s="744" t="s">
        <v>4064</v>
      </c>
      <c r="D1248" s="250" t="s">
        <v>4065</v>
      </c>
      <c r="E1248" s="250" t="s">
        <v>4073</v>
      </c>
      <c r="F1248" s="251">
        <v>4</v>
      </c>
      <c r="G1248" s="252">
        <v>58</v>
      </c>
      <c r="H1248" s="253">
        <f t="shared" si="126"/>
        <v>232</v>
      </c>
      <c r="I1248" s="254" t="s">
        <v>3315</v>
      </c>
      <c r="J1248" s="267" t="s">
        <v>3578</v>
      </c>
      <c r="K1248" s="256">
        <v>43242</v>
      </c>
      <c r="L1248" s="256"/>
      <c r="M1248" s="256">
        <v>43223</v>
      </c>
      <c r="N1248" s="331" t="s">
        <v>1987</v>
      </c>
      <c r="O1248" s="308" t="s">
        <v>4074</v>
      </c>
      <c r="Q1248" s="266">
        <v>196.56</v>
      </c>
      <c r="R1248" s="1394"/>
      <c r="S1248" s="1394"/>
      <c r="U1248" s="328"/>
      <c r="V1248" s="308" t="s">
        <v>3744</v>
      </c>
      <c r="W1248" s="747">
        <v>43256</v>
      </c>
      <c r="X1248" s="748">
        <v>43222</v>
      </c>
      <c r="Y1248" s="744" t="s">
        <v>4075</v>
      </c>
      <c r="Z1248" s="749">
        <v>5819</v>
      </c>
      <c r="AA1248" s="748">
        <v>43263</v>
      </c>
      <c r="AB1248" s="250" t="s">
        <v>4069</v>
      </c>
      <c r="AC1248" s="744">
        <v>8444617495</v>
      </c>
      <c r="AD1248" s="744"/>
      <c r="AE1248" s="744"/>
      <c r="AF1248" s="744"/>
      <c r="AG1248" s="251" t="s">
        <v>283</v>
      </c>
    </row>
    <row r="1249" spans="1:33" ht="15.75" customHeight="1">
      <c r="A1249" s="743">
        <v>43188</v>
      </c>
      <c r="B1249" s="263" t="s">
        <v>100</v>
      </c>
      <c r="C1249" s="744" t="s">
        <v>4064</v>
      </c>
      <c r="D1249" s="250" t="s">
        <v>4076</v>
      </c>
      <c r="E1249" s="250" t="s">
        <v>4077</v>
      </c>
      <c r="F1249" s="251">
        <v>8</v>
      </c>
      <c r="G1249" s="252">
        <v>550</v>
      </c>
      <c r="H1249" s="253">
        <f t="shared" si="126"/>
        <v>4400</v>
      </c>
      <c r="I1249" s="254" t="s">
        <v>3315</v>
      </c>
      <c r="J1249" s="267" t="s">
        <v>3578</v>
      </c>
      <c r="K1249" s="256">
        <v>43209</v>
      </c>
      <c r="L1249" s="256"/>
      <c r="M1249" s="256">
        <v>43207</v>
      </c>
      <c r="N1249" s="401" t="s">
        <v>1995</v>
      </c>
      <c r="O1249" s="308" t="s">
        <v>4067</v>
      </c>
      <c r="Q1249" s="591"/>
      <c r="R1249" s="1406"/>
      <c r="S1249" s="1406"/>
      <c r="U1249" s="572">
        <v>121203</v>
      </c>
      <c r="V1249" s="571" t="s">
        <v>1997</v>
      </c>
      <c r="W1249" s="747">
        <v>43256</v>
      </c>
      <c r="X1249" s="748">
        <v>43206</v>
      </c>
      <c r="Y1249" s="744" t="s">
        <v>4078</v>
      </c>
      <c r="Z1249" s="749">
        <v>121203</v>
      </c>
      <c r="AA1249" s="748">
        <v>43256</v>
      </c>
      <c r="AB1249" s="744" t="s">
        <v>4079</v>
      </c>
      <c r="AC1249" s="744">
        <v>9511004554</v>
      </c>
      <c r="AD1249" s="744"/>
      <c r="AE1249" s="744"/>
      <c r="AF1249" s="744"/>
      <c r="AG1249" s="251" t="s">
        <v>283</v>
      </c>
    </row>
    <row r="1250" spans="1:33" ht="15.75" customHeight="1">
      <c r="A1250" s="743">
        <v>43188</v>
      </c>
      <c r="B1250" s="263" t="s">
        <v>100</v>
      </c>
      <c r="C1250" s="744" t="s">
        <v>4064</v>
      </c>
      <c r="D1250" s="250" t="s">
        <v>4076</v>
      </c>
      <c r="E1250" s="794" t="s">
        <v>4070</v>
      </c>
      <c r="F1250" s="251">
        <v>8</v>
      </c>
      <c r="G1250" s="252">
        <v>352</v>
      </c>
      <c r="H1250" s="253">
        <f t="shared" si="126"/>
        <v>2816</v>
      </c>
      <c r="I1250" s="254" t="s">
        <v>3315</v>
      </c>
      <c r="J1250" s="267" t="s">
        <v>3578</v>
      </c>
      <c r="K1250" s="256">
        <v>43209</v>
      </c>
      <c r="L1250" s="256"/>
      <c r="M1250" s="256">
        <v>43202</v>
      </c>
      <c r="N1250" s="331" t="s">
        <v>1993</v>
      </c>
      <c r="O1250" s="308" t="s">
        <v>4071</v>
      </c>
      <c r="Q1250" s="266">
        <v>2377.1999999999998</v>
      </c>
      <c r="R1250" s="1394"/>
      <c r="S1250" s="1394"/>
      <c r="U1250" s="328"/>
      <c r="V1250" s="338" t="s">
        <v>46</v>
      </c>
      <c r="W1250" s="747">
        <v>43231</v>
      </c>
      <c r="X1250" s="750">
        <v>43201</v>
      </c>
      <c r="Y1250" s="744" t="s">
        <v>4080</v>
      </c>
      <c r="Z1250" s="749">
        <v>69390</v>
      </c>
      <c r="AA1250" s="750">
        <v>43231</v>
      </c>
      <c r="AB1250" s="744" t="s">
        <v>4079</v>
      </c>
      <c r="AC1250" s="744">
        <v>9511004554</v>
      </c>
      <c r="AD1250" s="744"/>
      <c r="AE1250" s="744"/>
      <c r="AF1250" s="744"/>
      <c r="AG1250" s="251" t="s">
        <v>283</v>
      </c>
    </row>
    <row r="1251" spans="1:33" ht="15.75" customHeight="1">
      <c r="A1251" s="743">
        <v>43188</v>
      </c>
      <c r="B1251" s="263" t="s">
        <v>100</v>
      </c>
      <c r="C1251" s="744" t="s">
        <v>4064</v>
      </c>
      <c r="D1251" s="250" t="s">
        <v>4076</v>
      </c>
      <c r="E1251" s="794" t="s">
        <v>4073</v>
      </c>
      <c r="F1251" s="251">
        <v>8</v>
      </c>
      <c r="G1251" s="252">
        <v>58</v>
      </c>
      <c r="H1251" s="253">
        <f t="shared" si="126"/>
        <v>464</v>
      </c>
      <c r="I1251" s="254" t="s">
        <v>3315</v>
      </c>
      <c r="J1251" s="267" t="s">
        <v>3578</v>
      </c>
      <c r="K1251" s="256">
        <v>43209</v>
      </c>
      <c r="L1251" s="256"/>
      <c r="M1251" s="256">
        <v>43202</v>
      </c>
      <c r="N1251" s="331" t="s">
        <v>1987</v>
      </c>
      <c r="O1251" s="308" t="s">
        <v>4074</v>
      </c>
      <c r="Q1251" s="266">
        <v>393.12</v>
      </c>
      <c r="R1251" s="1394"/>
      <c r="S1251" s="1394"/>
      <c r="U1251" s="328"/>
      <c r="V1251" s="308" t="s">
        <v>3744</v>
      </c>
      <c r="W1251" s="747">
        <v>43230</v>
      </c>
      <c r="X1251" s="748">
        <v>43200</v>
      </c>
      <c r="Y1251" s="744" t="s">
        <v>4081</v>
      </c>
      <c r="Z1251" s="749">
        <v>11483</v>
      </c>
      <c r="AA1251" s="750">
        <v>43225</v>
      </c>
      <c r="AB1251" s="744" t="s">
        <v>4079</v>
      </c>
      <c r="AC1251" s="744">
        <v>9511004554</v>
      </c>
      <c r="AD1251" s="744"/>
      <c r="AE1251" s="744"/>
      <c r="AF1251" s="744"/>
      <c r="AG1251" s="251" t="s">
        <v>283</v>
      </c>
    </row>
    <row r="1252" spans="1:33" ht="15.75" customHeight="1">
      <c r="A1252" s="743">
        <v>43189</v>
      </c>
      <c r="B1252" s="263" t="s">
        <v>129</v>
      </c>
      <c r="C1252" s="744" t="s">
        <v>4082</v>
      </c>
      <c r="D1252" s="250" t="s">
        <v>4083</v>
      </c>
      <c r="E1252" s="595" t="s">
        <v>3789</v>
      </c>
      <c r="F1252" s="251">
        <v>20</v>
      </c>
      <c r="G1252" s="252">
        <v>90</v>
      </c>
      <c r="H1252" s="253">
        <f t="shared" si="126"/>
        <v>1800</v>
      </c>
      <c r="I1252" s="254" t="s">
        <v>419</v>
      </c>
      <c r="J1252" s="401" t="s">
        <v>3361</v>
      </c>
      <c r="K1252" s="256">
        <v>43216</v>
      </c>
      <c r="L1252" s="256"/>
      <c r="M1252" s="256">
        <v>43215</v>
      </c>
      <c r="N1252" s="331" t="s">
        <v>89</v>
      </c>
      <c r="O1252" s="308" t="s">
        <v>4084</v>
      </c>
      <c r="Q1252" s="266">
        <v>1785</v>
      </c>
      <c r="R1252" s="1394"/>
      <c r="S1252" s="1394"/>
      <c r="U1252" s="328"/>
      <c r="V1252" s="338" t="s">
        <v>93</v>
      </c>
      <c r="W1252" s="747">
        <v>43251</v>
      </c>
      <c r="X1252" s="748">
        <v>43215</v>
      </c>
      <c r="Y1252" s="744" t="s">
        <v>4085</v>
      </c>
      <c r="Z1252" s="749">
        <v>54036</v>
      </c>
      <c r="AA1252" s="750">
        <v>43251</v>
      </c>
      <c r="AB1252" s="250" t="s">
        <v>4086</v>
      </c>
      <c r="AC1252" s="744">
        <v>6653234486</v>
      </c>
      <c r="AD1252" s="744"/>
      <c r="AE1252" s="744"/>
      <c r="AF1252" s="744"/>
      <c r="AG1252" s="251" t="s">
        <v>283</v>
      </c>
    </row>
    <row r="1253" spans="1:33" ht="15.75" customHeight="1">
      <c r="A1253" s="743">
        <v>43189</v>
      </c>
      <c r="B1253" s="263" t="s">
        <v>129</v>
      </c>
      <c r="C1253" s="744" t="s">
        <v>4082</v>
      </c>
      <c r="D1253" s="250" t="s">
        <v>4083</v>
      </c>
      <c r="E1253" s="595" t="s">
        <v>4051</v>
      </c>
      <c r="F1253" s="251">
        <v>20</v>
      </c>
      <c r="G1253" s="252">
        <v>4</v>
      </c>
      <c r="H1253" s="253">
        <f t="shared" si="126"/>
        <v>80</v>
      </c>
      <c r="I1253" s="254" t="s">
        <v>419</v>
      </c>
      <c r="J1253" s="401" t="s">
        <v>3361</v>
      </c>
      <c r="K1253" s="256">
        <v>43216</v>
      </c>
      <c r="L1253" s="256"/>
      <c r="M1253" s="256">
        <v>43215</v>
      </c>
      <c r="N1253" s="331" t="s">
        <v>89</v>
      </c>
      <c r="O1253" s="308" t="s">
        <v>4084</v>
      </c>
      <c r="Q1253" s="266">
        <v>63</v>
      </c>
      <c r="R1253" s="1394"/>
      <c r="S1253" s="1394"/>
      <c r="U1253" s="328"/>
      <c r="V1253" s="338" t="s">
        <v>93</v>
      </c>
      <c r="W1253" s="747">
        <v>43251</v>
      </c>
      <c r="X1253" s="748">
        <v>43215</v>
      </c>
      <c r="Y1253" s="744" t="s">
        <v>4085</v>
      </c>
      <c r="Z1253" s="744" t="s">
        <v>4087</v>
      </c>
      <c r="AA1253" s="750">
        <v>43251</v>
      </c>
      <c r="AB1253" s="250" t="s">
        <v>4086</v>
      </c>
      <c r="AC1253" s="744">
        <v>6653234486</v>
      </c>
      <c r="AD1253" s="744"/>
      <c r="AE1253" s="744"/>
      <c r="AF1253" s="744"/>
      <c r="AG1253" s="251" t="s">
        <v>283</v>
      </c>
    </row>
    <row r="1254" spans="1:33" ht="15.75" customHeight="1">
      <c r="A1254" s="743">
        <v>43192</v>
      </c>
      <c r="B1254" s="590" t="s">
        <v>405</v>
      </c>
      <c r="C1254" s="744">
        <v>7000137113</v>
      </c>
      <c r="D1254" s="250" t="s">
        <v>4088</v>
      </c>
      <c r="E1254" s="595" t="s">
        <v>4089</v>
      </c>
      <c r="F1254" s="251">
        <v>2</v>
      </c>
      <c r="G1254" s="252">
        <v>18</v>
      </c>
      <c r="H1254" s="253">
        <f t="shared" ref="H1254:H1315" si="127">G1254*F1254</f>
        <v>36</v>
      </c>
      <c r="I1254" s="254" t="s">
        <v>42</v>
      </c>
      <c r="J1254" s="401" t="s">
        <v>133</v>
      </c>
      <c r="K1254" s="256">
        <v>43200</v>
      </c>
      <c r="L1254" s="256"/>
      <c r="M1254" s="256">
        <v>43200</v>
      </c>
      <c r="N1254" s="331" t="s">
        <v>3678</v>
      </c>
      <c r="O1254" s="308" t="s">
        <v>4090</v>
      </c>
      <c r="Q1254" s="591"/>
      <c r="R1254" s="1406"/>
      <c r="S1254" s="1406"/>
      <c r="U1254" s="630">
        <v>882</v>
      </c>
      <c r="V1254" s="386" t="s">
        <v>3680</v>
      </c>
      <c r="W1254" s="747">
        <v>43251</v>
      </c>
      <c r="X1254" s="748">
        <v>43199</v>
      </c>
      <c r="Y1254" s="744" t="s">
        <v>4091</v>
      </c>
      <c r="Z1254" s="744">
        <v>882</v>
      </c>
      <c r="AA1254" s="750">
        <v>43251</v>
      </c>
      <c r="AB1254" s="250" t="s">
        <v>4014</v>
      </c>
      <c r="AC1254" s="744">
        <v>4796967571</v>
      </c>
      <c r="AD1254" s="744"/>
      <c r="AE1254" s="744"/>
      <c r="AF1254" s="744"/>
      <c r="AG1254" s="264" t="s">
        <v>283</v>
      </c>
    </row>
    <row r="1255" spans="1:33" ht="15.75" customHeight="1">
      <c r="A1255" s="743">
        <v>43192</v>
      </c>
      <c r="B1255" s="263" t="s">
        <v>228</v>
      </c>
      <c r="C1255" s="744"/>
      <c r="D1255" s="250" t="s">
        <v>4092</v>
      </c>
      <c r="E1255" s="595" t="s">
        <v>4093</v>
      </c>
      <c r="F1255" s="251">
        <v>45</v>
      </c>
      <c r="G1255" s="323">
        <v>407.4</v>
      </c>
      <c r="H1255" s="253">
        <f t="shared" si="127"/>
        <v>18333</v>
      </c>
      <c r="I1255" s="254" t="s">
        <v>170</v>
      </c>
      <c r="J1255" s="267" t="s">
        <v>89</v>
      </c>
      <c r="K1255" s="256">
        <v>43209</v>
      </c>
      <c r="L1255" s="256"/>
      <c r="M1255" s="256">
        <v>43209</v>
      </c>
      <c r="N1255" s="331" t="s">
        <v>89</v>
      </c>
      <c r="O1255" s="308" t="s">
        <v>4094</v>
      </c>
      <c r="Q1255" s="266">
        <v>16773.75</v>
      </c>
      <c r="R1255" s="1394"/>
      <c r="S1255" s="1394"/>
      <c r="U1255" s="328"/>
      <c r="V1255" s="338" t="s">
        <v>93</v>
      </c>
      <c r="W1255" s="747">
        <v>43251</v>
      </c>
      <c r="X1255" s="748">
        <v>43209</v>
      </c>
      <c r="Y1255" s="744" t="s">
        <v>4095</v>
      </c>
      <c r="Z1255" s="749">
        <v>487948</v>
      </c>
      <c r="AA1255" s="750">
        <v>43251</v>
      </c>
      <c r="AB1255" s="744" t="s">
        <v>4096</v>
      </c>
      <c r="AC1255" s="744"/>
      <c r="AD1255" s="744" t="s">
        <v>4097</v>
      </c>
      <c r="AE1255" s="753">
        <v>537890</v>
      </c>
      <c r="AF1255" s="744" t="s">
        <v>4098</v>
      </c>
      <c r="AG1255" s="251" t="s">
        <v>376</v>
      </c>
    </row>
    <row r="1256" spans="1:33" ht="15.75" customHeight="1">
      <c r="A1256" s="743">
        <v>43199</v>
      </c>
      <c r="B1256" s="590" t="s">
        <v>405</v>
      </c>
      <c r="C1256" s="744">
        <v>7000137224</v>
      </c>
      <c r="D1256" s="250" t="s">
        <v>4099</v>
      </c>
      <c r="E1256" s="595" t="s">
        <v>4100</v>
      </c>
      <c r="F1256" s="251">
        <v>2</v>
      </c>
      <c r="G1256" s="323">
        <v>130.5</v>
      </c>
      <c r="H1256" s="253">
        <f t="shared" si="127"/>
        <v>261</v>
      </c>
      <c r="I1256" s="254" t="s">
        <v>42</v>
      </c>
      <c r="J1256" s="401" t="s">
        <v>133</v>
      </c>
      <c r="K1256" s="256">
        <v>43207</v>
      </c>
      <c r="L1256" s="256"/>
      <c r="M1256" s="256">
        <v>43206</v>
      </c>
      <c r="N1256" s="331" t="s">
        <v>3432</v>
      </c>
      <c r="O1256" s="308" t="s">
        <v>4101</v>
      </c>
      <c r="Q1256" s="591"/>
      <c r="R1256" s="1406"/>
      <c r="S1256" s="1406"/>
      <c r="U1256" s="630">
        <v>7470</v>
      </c>
      <c r="V1256" s="308" t="s">
        <v>2045</v>
      </c>
      <c r="W1256" s="747">
        <v>43281</v>
      </c>
      <c r="X1256" s="748">
        <v>43209</v>
      </c>
      <c r="Y1256" s="744" t="s">
        <v>4102</v>
      </c>
      <c r="Z1256" s="749">
        <v>12111</v>
      </c>
      <c r="AA1256" s="750">
        <v>43259</v>
      </c>
      <c r="AB1256" s="744" t="s">
        <v>3976</v>
      </c>
      <c r="AC1256" s="744">
        <v>5722401683</v>
      </c>
      <c r="AD1256" s="744"/>
      <c r="AE1256" s="744"/>
      <c r="AF1256" s="744"/>
      <c r="AG1256" s="251" t="s">
        <v>283</v>
      </c>
    </row>
    <row r="1257" spans="1:33" ht="15.75" customHeight="1">
      <c r="A1257" s="743">
        <v>43199</v>
      </c>
      <c r="B1257" s="590" t="s">
        <v>405</v>
      </c>
      <c r="C1257" s="744">
        <v>7000137224</v>
      </c>
      <c r="D1257" s="250" t="s">
        <v>4099</v>
      </c>
      <c r="E1257" s="595" t="s">
        <v>4103</v>
      </c>
      <c r="F1257" s="251">
        <v>1</v>
      </c>
      <c r="G1257" s="323">
        <v>167</v>
      </c>
      <c r="H1257" s="253">
        <f t="shared" si="127"/>
        <v>167</v>
      </c>
      <c r="I1257" s="254" t="s">
        <v>42</v>
      </c>
      <c r="J1257" s="401" t="s">
        <v>133</v>
      </c>
      <c r="K1257" s="256">
        <v>43207</v>
      </c>
      <c r="L1257" s="256"/>
      <c r="M1257" s="256">
        <v>43206</v>
      </c>
      <c r="N1257" s="331" t="s">
        <v>3432</v>
      </c>
      <c r="O1257" s="308" t="s">
        <v>4101</v>
      </c>
      <c r="Q1257" s="591"/>
      <c r="R1257" s="1406"/>
      <c r="S1257" s="1406"/>
      <c r="U1257" s="630">
        <v>4641</v>
      </c>
      <c r="V1257" s="308" t="s">
        <v>2045</v>
      </c>
      <c r="W1257" s="747">
        <v>43281</v>
      </c>
      <c r="X1257" s="748">
        <v>43209</v>
      </c>
      <c r="Y1257" s="744" t="s">
        <v>4102</v>
      </c>
      <c r="Z1257" s="744" t="s">
        <v>4104</v>
      </c>
      <c r="AA1257" s="750">
        <v>43259</v>
      </c>
      <c r="AB1257" s="744" t="s">
        <v>3976</v>
      </c>
      <c r="AC1257" s="744">
        <v>5722401683</v>
      </c>
      <c r="AD1257" s="744"/>
      <c r="AE1257" s="744"/>
      <c r="AF1257" s="744"/>
      <c r="AG1257" s="251" t="s">
        <v>283</v>
      </c>
    </row>
    <row r="1258" spans="1:33" ht="15.75" customHeight="1">
      <c r="A1258" s="743">
        <v>43199</v>
      </c>
      <c r="B1258" s="590" t="s">
        <v>629</v>
      </c>
      <c r="C1258" s="744" t="s">
        <v>4105</v>
      </c>
      <c r="D1258" s="250" t="s">
        <v>4106</v>
      </c>
      <c r="E1258" s="338" t="s">
        <v>4107</v>
      </c>
      <c r="F1258" s="251">
        <v>3</v>
      </c>
      <c r="G1258" s="323">
        <v>173.25</v>
      </c>
      <c r="H1258" s="253">
        <f t="shared" si="127"/>
        <v>519.75</v>
      </c>
      <c r="I1258" s="254" t="s">
        <v>170</v>
      </c>
      <c r="J1258" s="331" t="s">
        <v>626</v>
      </c>
      <c r="K1258" s="256">
        <v>43202</v>
      </c>
      <c r="L1258" s="256"/>
      <c r="M1258" s="256">
        <v>43200</v>
      </c>
      <c r="N1258" s="331" t="s">
        <v>2212</v>
      </c>
      <c r="O1258" s="308" t="s">
        <v>4108</v>
      </c>
      <c r="Q1258" s="591"/>
      <c r="R1258" s="1406"/>
      <c r="S1258" s="1406"/>
      <c r="U1258" s="572">
        <v>15278</v>
      </c>
      <c r="V1258" s="308" t="s">
        <v>2214</v>
      </c>
      <c r="W1258" s="747">
        <v>43201</v>
      </c>
      <c r="X1258" s="748">
        <v>43200</v>
      </c>
      <c r="Y1258" s="744" t="s">
        <v>4109</v>
      </c>
      <c r="Z1258" s="749">
        <v>15278</v>
      </c>
      <c r="AA1258" s="748">
        <v>43215</v>
      </c>
      <c r="AB1258" s="744" t="s">
        <v>4110</v>
      </c>
      <c r="AC1258" s="744" t="s">
        <v>4111</v>
      </c>
      <c r="AD1258" s="595" t="s">
        <v>4112</v>
      </c>
      <c r="AE1258" s="753">
        <v>15192</v>
      </c>
      <c r="AF1258" s="744" t="s">
        <v>4113</v>
      </c>
      <c r="AG1258" s="251" t="s">
        <v>376</v>
      </c>
    </row>
    <row r="1259" spans="1:33" ht="15.75" customHeight="1">
      <c r="A1259" s="743">
        <v>43200</v>
      </c>
      <c r="B1259" s="263" t="s">
        <v>619</v>
      </c>
      <c r="C1259" s="744"/>
      <c r="D1259" s="250" t="s">
        <v>4114</v>
      </c>
      <c r="E1259" s="338" t="s">
        <v>4115</v>
      </c>
      <c r="F1259" s="251">
        <v>4</v>
      </c>
      <c r="G1259" s="323">
        <f>183*1.05</f>
        <v>192.15</v>
      </c>
      <c r="H1259" s="253">
        <f t="shared" si="127"/>
        <v>768.6</v>
      </c>
      <c r="I1259" s="254" t="s">
        <v>3315</v>
      </c>
      <c r="J1259" s="331" t="s">
        <v>232</v>
      </c>
      <c r="K1259" s="256">
        <v>43206</v>
      </c>
      <c r="L1259" s="256"/>
      <c r="M1259" s="256">
        <v>43206</v>
      </c>
      <c r="N1259" s="331" t="s">
        <v>89</v>
      </c>
      <c r="O1259" s="308" t="s">
        <v>4116</v>
      </c>
      <c r="Q1259" s="266">
        <v>714</v>
      </c>
      <c r="R1259" s="1394"/>
      <c r="S1259" s="1394"/>
      <c r="U1259" s="328"/>
      <c r="V1259" s="338" t="s">
        <v>93</v>
      </c>
      <c r="W1259" s="747">
        <v>43251</v>
      </c>
      <c r="X1259" s="748">
        <v>43206</v>
      </c>
      <c r="Y1259" s="744" t="s">
        <v>4117</v>
      </c>
      <c r="Z1259" s="749">
        <v>20770</v>
      </c>
      <c r="AA1259" s="750">
        <v>43251</v>
      </c>
      <c r="AB1259" s="744" t="s">
        <v>4118</v>
      </c>
      <c r="AC1259" s="744"/>
      <c r="AD1259" s="744" t="s">
        <v>4119</v>
      </c>
      <c r="AE1259" s="751">
        <v>22428</v>
      </c>
      <c r="AF1259" s="744" t="s">
        <v>4120</v>
      </c>
      <c r="AG1259" s="251" t="s">
        <v>376</v>
      </c>
    </row>
    <row r="1260" spans="1:33" ht="15.75" customHeight="1">
      <c r="A1260" s="743">
        <v>43200</v>
      </c>
      <c r="B1260" s="263" t="s">
        <v>100</v>
      </c>
      <c r="C1260" s="744" t="s">
        <v>4121</v>
      </c>
      <c r="D1260" s="250" t="s">
        <v>4122</v>
      </c>
      <c r="E1260" s="595" t="s">
        <v>4123</v>
      </c>
      <c r="F1260" s="251">
        <v>2</v>
      </c>
      <c r="G1260" s="323">
        <v>483</v>
      </c>
      <c r="H1260" s="253">
        <f t="shared" si="127"/>
        <v>966</v>
      </c>
      <c r="I1260" s="254" t="s">
        <v>3315</v>
      </c>
      <c r="J1260" s="331" t="s">
        <v>3578</v>
      </c>
      <c r="K1260" s="256">
        <v>43209</v>
      </c>
      <c r="L1260" s="256"/>
      <c r="M1260" s="256">
        <v>43209</v>
      </c>
      <c r="N1260" s="401" t="s">
        <v>1995</v>
      </c>
      <c r="O1260" s="308" t="s">
        <v>4124</v>
      </c>
      <c r="Q1260" s="591"/>
      <c r="R1260" s="1406"/>
      <c r="S1260" s="1406"/>
      <c r="U1260" s="572">
        <v>26048</v>
      </c>
      <c r="V1260" s="571" t="s">
        <v>1997</v>
      </c>
      <c r="W1260" s="747">
        <v>43256</v>
      </c>
      <c r="X1260" s="748">
        <v>43210</v>
      </c>
      <c r="Y1260" s="744" t="s">
        <v>4125</v>
      </c>
      <c r="Z1260" s="749">
        <v>26048</v>
      </c>
      <c r="AA1260" s="748">
        <v>43256</v>
      </c>
      <c r="AB1260" s="744" t="s">
        <v>4040</v>
      </c>
      <c r="AC1260" s="744">
        <v>3763501770</v>
      </c>
      <c r="AD1260" s="744"/>
      <c r="AE1260" s="744"/>
      <c r="AF1260" s="744"/>
      <c r="AG1260" s="251" t="s">
        <v>283</v>
      </c>
    </row>
    <row r="1261" spans="1:33" ht="15.75" customHeight="1">
      <c r="A1261" s="743">
        <v>43201</v>
      </c>
      <c r="B1261" s="263" t="s">
        <v>118</v>
      </c>
      <c r="C1261" s="744" t="s">
        <v>4126</v>
      </c>
      <c r="D1261" s="250" t="s">
        <v>4127</v>
      </c>
      <c r="E1261" s="794" t="s">
        <v>4128</v>
      </c>
      <c r="F1261" s="251">
        <v>6</v>
      </c>
      <c r="G1261" s="252">
        <v>500</v>
      </c>
      <c r="H1261" s="253">
        <f t="shared" si="127"/>
        <v>3000</v>
      </c>
      <c r="I1261" s="254" t="s">
        <v>3830</v>
      </c>
      <c r="J1261" s="426" t="s">
        <v>3906</v>
      </c>
      <c r="K1261" s="256">
        <v>43223</v>
      </c>
      <c r="L1261" s="256"/>
      <c r="M1261" s="256">
        <v>43214</v>
      </c>
      <c r="N1261" s="331" t="s">
        <v>89</v>
      </c>
      <c r="O1261" s="308" t="s">
        <v>4129</v>
      </c>
      <c r="Q1261" s="266">
        <v>2677.5</v>
      </c>
      <c r="R1261" s="1394"/>
      <c r="S1261" s="1394"/>
      <c r="U1261" s="328"/>
      <c r="V1261" s="338" t="s">
        <v>93</v>
      </c>
      <c r="W1261" s="747">
        <v>43251</v>
      </c>
      <c r="X1261" s="748">
        <v>43214</v>
      </c>
      <c r="Y1261" s="744" t="s">
        <v>4130</v>
      </c>
      <c r="Z1261" s="749">
        <v>149519</v>
      </c>
      <c r="AA1261" s="750">
        <v>43251</v>
      </c>
      <c r="AB1261" s="250" t="s">
        <v>3909</v>
      </c>
      <c r="AC1261" s="744" t="s">
        <v>3910</v>
      </c>
      <c r="AD1261" s="744"/>
      <c r="AE1261" s="744"/>
      <c r="AF1261" s="744"/>
      <c r="AG1261" s="251" t="s">
        <v>283</v>
      </c>
    </row>
    <row r="1262" spans="1:33" ht="15.75" customHeight="1">
      <c r="A1262" s="743">
        <v>43201</v>
      </c>
      <c r="B1262" s="263" t="s">
        <v>118</v>
      </c>
      <c r="C1262" s="744" t="s">
        <v>4126</v>
      </c>
      <c r="D1262" s="250" t="s">
        <v>4127</v>
      </c>
      <c r="E1262" s="328" t="s">
        <v>4131</v>
      </c>
      <c r="F1262" s="251">
        <v>12</v>
      </c>
      <c r="G1262" s="252">
        <v>930</v>
      </c>
      <c r="H1262" s="253">
        <f t="shared" si="127"/>
        <v>11160</v>
      </c>
      <c r="I1262" s="254" t="s">
        <v>3830</v>
      </c>
      <c r="J1262" s="426" t="s">
        <v>3906</v>
      </c>
      <c r="K1262" s="256">
        <v>43223</v>
      </c>
      <c r="L1262" s="256"/>
      <c r="M1262" s="256">
        <v>43214</v>
      </c>
      <c r="N1262" s="331" t="s">
        <v>89</v>
      </c>
      <c r="O1262" s="308" t="s">
        <v>4132</v>
      </c>
      <c r="Q1262" s="266">
        <v>10313.1</v>
      </c>
      <c r="R1262" s="1394"/>
      <c r="S1262" s="1394"/>
      <c r="U1262" s="328"/>
      <c r="V1262" s="338" t="s">
        <v>93</v>
      </c>
      <c r="W1262" s="747">
        <v>43251</v>
      </c>
      <c r="X1262" s="748">
        <v>43214</v>
      </c>
      <c r="Y1262" s="744" t="s">
        <v>4133</v>
      </c>
      <c r="Z1262" s="749">
        <v>301555</v>
      </c>
      <c r="AA1262" s="750">
        <v>43251</v>
      </c>
      <c r="AB1262" s="250" t="s">
        <v>3909</v>
      </c>
      <c r="AC1262" s="744" t="s">
        <v>3910</v>
      </c>
      <c r="AD1262" s="744"/>
      <c r="AE1262" s="744"/>
      <c r="AF1262" s="744"/>
      <c r="AG1262" s="251" t="s">
        <v>283</v>
      </c>
    </row>
    <row r="1263" spans="1:33" ht="15.75" customHeight="1">
      <c r="A1263" s="743">
        <v>43201</v>
      </c>
      <c r="B1263" s="263" t="s">
        <v>118</v>
      </c>
      <c r="C1263" s="744" t="s">
        <v>4126</v>
      </c>
      <c r="D1263" s="250" t="s">
        <v>4127</v>
      </c>
      <c r="E1263" s="595" t="s">
        <v>4134</v>
      </c>
      <c r="F1263" s="251">
        <v>8</v>
      </c>
      <c r="G1263" s="252">
        <v>335</v>
      </c>
      <c r="H1263" s="253">
        <f t="shared" si="127"/>
        <v>2680</v>
      </c>
      <c r="I1263" s="254" t="s">
        <v>3830</v>
      </c>
      <c r="J1263" s="426" t="s">
        <v>3906</v>
      </c>
      <c r="K1263" s="256">
        <v>43223</v>
      </c>
      <c r="L1263" s="256"/>
      <c r="M1263" s="256">
        <v>43214</v>
      </c>
      <c r="N1263" s="331" t="s">
        <v>89</v>
      </c>
      <c r="O1263" s="308" t="s">
        <v>4129</v>
      </c>
      <c r="Q1263" s="266">
        <v>2436</v>
      </c>
      <c r="R1263" s="1394"/>
      <c r="S1263" s="1394"/>
      <c r="U1263" s="328"/>
      <c r="V1263" s="338" t="s">
        <v>93</v>
      </c>
      <c r="W1263" s="747">
        <v>43251</v>
      </c>
      <c r="X1263" s="748">
        <v>43214</v>
      </c>
      <c r="Y1263" s="744" t="s">
        <v>4130</v>
      </c>
      <c r="Z1263" s="744" t="s">
        <v>4135</v>
      </c>
      <c r="AA1263" s="750">
        <v>43251</v>
      </c>
      <c r="AB1263" s="250" t="s">
        <v>3909</v>
      </c>
      <c r="AC1263" s="744" t="s">
        <v>3910</v>
      </c>
      <c r="AD1263" s="744"/>
      <c r="AE1263" s="744"/>
      <c r="AF1263" s="744"/>
      <c r="AG1263" s="251" t="s">
        <v>283</v>
      </c>
    </row>
    <row r="1264" spans="1:33" ht="15.75" customHeight="1">
      <c r="A1264" s="743">
        <v>43201</v>
      </c>
      <c r="B1264" s="263" t="s">
        <v>118</v>
      </c>
      <c r="C1264" s="744" t="s">
        <v>4126</v>
      </c>
      <c r="D1264" s="250" t="s">
        <v>4136</v>
      </c>
      <c r="E1264" s="595" t="s">
        <v>4137</v>
      </c>
      <c r="F1264" s="251">
        <v>4</v>
      </c>
      <c r="G1264" s="252">
        <v>1045</v>
      </c>
      <c r="H1264" s="253">
        <f t="shared" si="127"/>
        <v>4180</v>
      </c>
      <c r="I1264" s="254" t="s">
        <v>3830</v>
      </c>
      <c r="J1264" s="426" t="s">
        <v>3906</v>
      </c>
      <c r="K1264" s="256">
        <v>43238</v>
      </c>
      <c r="L1264" s="256"/>
      <c r="M1264" s="256">
        <v>43231</v>
      </c>
      <c r="N1264" s="331" t="s">
        <v>89</v>
      </c>
      <c r="O1264" s="308" t="s">
        <v>4138</v>
      </c>
      <c r="Q1264" s="266">
        <v>3864</v>
      </c>
      <c r="R1264" s="1394"/>
      <c r="S1264" s="1394"/>
      <c r="U1264" s="328"/>
      <c r="V1264" s="338" t="s">
        <v>93</v>
      </c>
      <c r="W1264" s="747">
        <v>43281</v>
      </c>
      <c r="X1264" s="748">
        <v>43231</v>
      </c>
      <c r="Y1264" s="744" t="s">
        <v>4139</v>
      </c>
      <c r="Z1264" s="749">
        <v>114587</v>
      </c>
      <c r="AA1264" s="748">
        <v>43284</v>
      </c>
      <c r="AB1264" s="250" t="s">
        <v>4140</v>
      </c>
      <c r="AC1264" s="744" t="s">
        <v>4141</v>
      </c>
      <c r="AD1264" s="744"/>
      <c r="AE1264" s="744"/>
      <c r="AF1264" s="744"/>
      <c r="AG1264" s="251" t="s">
        <v>283</v>
      </c>
    </row>
    <row r="1265" spans="1:33" ht="15.75" customHeight="1">
      <c r="A1265" s="743">
        <v>43201</v>
      </c>
      <c r="B1265" s="263" t="s">
        <v>129</v>
      </c>
      <c r="C1265" s="744" t="s">
        <v>4142</v>
      </c>
      <c r="D1265" s="250" t="s">
        <v>4143</v>
      </c>
      <c r="E1265" s="595" t="s">
        <v>4144</v>
      </c>
      <c r="F1265" s="251">
        <v>10</v>
      </c>
      <c r="G1265" s="252">
        <v>85</v>
      </c>
      <c r="H1265" s="253">
        <f t="shared" si="127"/>
        <v>850</v>
      </c>
      <c r="I1265" s="254" t="s">
        <v>419</v>
      </c>
      <c r="J1265" s="401" t="s">
        <v>3361</v>
      </c>
      <c r="K1265" s="256">
        <v>43216</v>
      </c>
      <c r="L1265" s="256"/>
      <c r="M1265" s="256">
        <v>43215</v>
      </c>
      <c r="N1265" s="331" t="s">
        <v>89</v>
      </c>
      <c r="O1265" s="308" t="s">
        <v>4145</v>
      </c>
      <c r="Q1265" s="266">
        <v>777</v>
      </c>
      <c r="R1265" s="1394"/>
      <c r="S1265" s="1394"/>
      <c r="U1265" s="328"/>
      <c r="V1265" s="338" t="s">
        <v>93</v>
      </c>
      <c r="W1265" s="747">
        <v>43251</v>
      </c>
      <c r="X1265" s="748">
        <v>43215</v>
      </c>
      <c r="Y1265" s="744" t="s">
        <v>4146</v>
      </c>
      <c r="Z1265" s="749">
        <v>59562</v>
      </c>
      <c r="AA1265" s="750">
        <v>43251</v>
      </c>
      <c r="AB1265" s="250" t="s">
        <v>4086</v>
      </c>
      <c r="AC1265" s="744">
        <v>6653234486</v>
      </c>
      <c r="AD1265" s="744"/>
      <c r="AE1265" s="744"/>
      <c r="AF1265" s="744"/>
      <c r="AG1265" s="251" t="s">
        <v>283</v>
      </c>
    </row>
    <row r="1266" spans="1:33" ht="15.75" customHeight="1">
      <c r="A1266" s="743">
        <v>43201</v>
      </c>
      <c r="B1266" s="263" t="s">
        <v>129</v>
      </c>
      <c r="C1266" s="744" t="s">
        <v>4142</v>
      </c>
      <c r="D1266" s="250" t="s">
        <v>4143</v>
      </c>
      <c r="E1266" s="595" t="s">
        <v>3792</v>
      </c>
      <c r="F1266" s="251">
        <v>20</v>
      </c>
      <c r="G1266" s="252">
        <v>66</v>
      </c>
      <c r="H1266" s="253">
        <f t="shared" si="127"/>
        <v>1320</v>
      </c>
      <c r="I1266" s="254" t="s">
        <v>419</v>
      </c>
      <c r="J1266" s="401" t="s">
        <v>3361</v>
      </c>
      <c r="K1266" s="256">
        <v>43216</v>
      </c>
      <c r="L1266" s="256"/>
      <c r="M1266" s="256">
        <v>43215</v>
      </c>
      <c r="N1266" s="331" t="s">
        <v>89</v>
      </c>
      <c r="O1266" s="308" t="s">
        <v>4145</v>
      </c>
      <c r="Q1266" s="266">
        <v>1260</v>
      </c>
      <c r="R1266" s="1394"/>
      <c r="S1266" s="1394"/>
      <c r="U1266" s="328"/>
      <c r="V1266" s="338" t="s">
        <v>93</v>
      </c>
      <c r="W1266" s="747">
        <v>43251</v>
      </c>
      <c r="X1266" s="748">
        <v>43215</v>
      </c>
      <c r="Y1266" s="744" t="s">
        <v>4146</v>
      </c>
      <c r="Z1266" s="744" t="s">
        <v>4147</v>
      </c>
      <c r="AA1266" s="750">
        <v>43251</v>
      </c>
      <c r="AB1266" s="250" t="s">
        <v>4086</v>
      </c>
      <c r="AC1266" s="744">
        <v>6653234486</v>
      </c>
      <c r="AD1266" s="744"/>
      <c r="AE1266" s="744"/>
      <c r="AF1266" s="744"/>
      <c r="AG1266" s="251" t="s">
        <v>283</v>
      </c>
    </row>
    <row r="1267" spans="1:33" ht="15.75" customHeight="1">
      <c r="A1267" s="743">
        <v>43201</v>
      </c>
      <c r="B1267" s="263" t="s">
        <v>129</v>
      </c>
      <c r="C1267" s="744" t="s">
        <v>4142</v>
      </c>
      <c r="D1267" s="250" t="s">
        <v>4143</v>
      </c>
      <c r="E1267" s="595" t="s">
        <v>3979</v>
      </c>
      <c r="F1267" s="251">
        <v>10</v>
      </c>
      <c r="G1267" s="252">
        <v>58</v>
      </c>
      <c r="H1267" s="253">
        <f t="shared" si="127"/>
        <v>580</v>
      </c>
      <c r="I1267" s="254" t="s">
        <v>419</v>
      </c>
      <c r="J1267" s="401" t="s">
        <v>3361</v>
      </c>
      <c r="K1267" s="256">
        <v>43216</v>
      </c>
      <c r="L1267" s="256"/>
      <c r="M1267" s="256">
        <v>43215</v>
      </c>
      <c r="N1267" s="331" t="s">
        <v>89</v>
      </c>
      <c r="O1267" s="308" t="s">
        <v>4148</v>
      </c>
      <c r="Q1267" s="266">
        <v>546</v>
      </c>
      <c r="R1267" s="1394"/>
      <c r="S1267" s="1394"/>
      <c r="U1267" s="795"/>
      <c r="V1267" s="338" t="s">
        <v>93</v>
      </c>
      <c r="W1267" s="747">
        <v>43251</v>
      </c>
      <c r="X1267" s="748">
        <v>43215</v>
      </c>
      <c r="Y1267" s="744" t="s">
        <v>4149</v>
      </c>
      <c r="Z1267" s="749">
        <v>15965</v>
      </c>
      <c r="AA1267" s="750">
        <v>43251</v>
      </c>
      <c r="AB1267" s="250" t="s">
        <v>4086</v>
      </c>
      <c r="AC1267" s="744">
        <v>6653234486</v>
      </c>
      <c r="AD1267" s="744"/>
      <c r="AE1267" s="744"/>
      <c r="AF1267" s="744"/>
      <c r="AG1267" s="251" t="s">
        <v>283</v>
      </c>
    </row>
    <row r="1268" spans="1:33" ht="15.75" customHeight="1">
      <c r="A1268" s="743">
        <v>43202</v>
      </c>
      <c r="B1268" s="590" t="s">
        <v>405</v>
      </c>
      <c r="C1268" s="744">
        <v>7000137364</v>
      </c>
      <c r="D1268" s="250" t="s">
        <v>4150</v>
      </c>
      <c r="E1268" s="595" t="s">
        <v>4151</v>
      </c>
      <c r="F1268" s="251">
        <v>1</v>
      </c>
      <c r="G1268" s="252">
        <v>66</v>
      </c>
      <c r="H1268" s="253">
        <f t="shared" si="127"/>
        <v>66</v>
      </c>
      <c r="I1268" s="254" t="s">
        <v>42</v>
      </c>
      <c r="J1268" s="401" t="s">
        <v>519</v>
      </c>
      <c r="K1268" s="256">
        <v>43223</v>
      </c>
      <c r="L1268" s="256"/>
      <c r="M1268" s="256">
        <v>43217</v>
      </c>
      <c r="N1268" s="331" t="s">
        <v>3432</v>
      </c>
      <c r="O1268" s="308" t="s">
        <v>4152</v>
      </c>
      <c r="Q1268" s="591"/>
      <c r="R1268" s="1406"/>
      <c r="S1268" s="1406"/>
      <c r="U1268" s="630">
        <v>1819</v>
      </c>
      <c r="V1268" s="308" t="s">
        <v>2045</v>
      </c>
      <c r="W1268" s="747">
        <v>43312</v>
      </c>
      <c r="X1268" s="748">
        <v>43216</v>
      </c>
      <c r="Y1268" s="744" t="s">
        <v>4153</v>
      </c>
      <c r="Z1268" s="753">
        <v>5485</v>
      </c>
      <c r="AA1268" s="748">
        <v>43280</v>
      </c>
      <c r="AB1268" s="250" t="s">
        <v>3929</v>
      </c>
      <c r="AC1268" s="744" t="s">
        <v>3930</v>
      </c>
      <c r="AD1268" s="744"/>
      <c r="AE1268" s="744"/>
      <c r="AF1268" s="744"/>
      <c r="AG1268" s="251" t="s">
        <v>283</v>
      </c>
    </row>
    <row r="1269" spans="1:33" ht="15.75" customHeight="1">
      <c r="A1269" s="743">
        <v>43202</v>
      </c>
      <c r="B1269" s="590" t="s">
        <v>405</v>
      </c>
      <c r="C1269" s="744">
        <v>7000137364</v>
      </c>
      <c r="D1269" s="250" t="s">
        <v>4150</v>
      </c>
      <c r="E1269" s="595" t="s">
        <v>4154</v>
      </c>
      <c r="F1269" s="251">
        <v>1</v>
      </c>
      <c r="G1269" s="252">
        <v>132</v>
      </c>
      <c r="H1269" s="253">
        <f t="shared" si="127"/>
        <v>132</v>
      </c>
      <c r="I1269" s="254" t="s">
        <v>42</v>
      </c>
      <c r="J1269" s="401" t="s">
        <v>519</v>
      </c>
      <c r="K1269" s="256">
        <v>43223</v>
      </c>
      <c r="L1269" s="256"/>
      <c r="M1269" s="256">
        <v>43217</v>
      </c>
      <c r="N1269" s="331" t="s">
        <v>3432</v>
      </c>
      <c r="O1269" s="308" t="s">
        <v>4152</v>
      </c>
      <c r="Q1269" s="591"/>
      <c r="R1269" s="1406"/>
      <c r="S1269" s="1406"/>
      <c r="U1269" s="630">
        <v>3666</v>
      </c>
      <c r="V1269" s="308" t="s">
        <v>2045</v>
      </c>
      <c r="W1269" s="747">
        <v>43312</v>
      </c>
      <c r="X1269" s="748">
        <v>43216</v>
      </c>
      <c r="Y1269" s="744" t="s">
        <v>4153</v>
      </c>
      <c r="Z1269" s="250" t="s">
        <v>4155</v>
      </c>
      <c r="AA1269" s="748">
        <v>43280</v>
      </c>
      <c r="AB1269" s="250" t="s">
        <v>3929</v>
      </c>
      <c r="AC1269" s="744" t="s">
        <v>3930</v>
      </c>
      <c r="AD1269" s="744"/>
      <c r="AE1269" s="744"/>
      <c r="AF1269" s="744"/>
      <c r="AG1269" s="251" t="s">
        <v>283</v>
      </c>
    </row>
    <row r="1270" spans="1:33" ht="15.75" customHeight="1">
      <c r="A1270" s="743">
        <v>43206</v>
      </c>
      <c r="B1270" s="144" t="s">
        <v>76</v>
      </c>
      <c r="C1270" s="744">
        <v>295</v>
      </c>
      <c r="D1270" s="250" t="s">
        <v>4156</v>
      </c>
      <c r="E1270" s="595" t="s">
        <v>648</v>
      </c>
      <c r="F1270" s="251">
        <v>3</v>
      </c>
      <c r="G1270" s="252">
        <v>2</v>
      </c>
      <c r="H1270" s="253">
        <f t="shared" si="127"/>
        <v>6</v>
      </c>
      <c r="I1270" s="254" t="s">
        <v>42</v>
      </c>
      <c r="J1270" s="367" t="s">
        <v>315</v>
      </c>
      <c r="K1270" s="256">
        <v>43234</v>
      </c>
      <c r="L1270" s="256"/>
      <c r="M1270" s="256">
        <v>43228</v>
      </c>
      <c r="N1270" s="251" t="s">
        <v>2006</v>
      </c>
      <c r="O1270" s="250" t="s">
        <v>4157</v>
      </c>
      <c r="Q1270" s="266"/>
      <c r="R1270" s="1394"/>
      <c r="S1270" s="1394"/>
      <c r="U1270" s="574" t="s">
        <v>4158</v>
      </c>
      <c r="V1270" s="328" t="s">
        <v>2146</v>
      </c>
      <c r="W1270" s="328"/>
      <c r="X1270" s="745"/>
      <c r="Y1270" s="745"/>
      <c r="Z1270" s="745"/>
      <c r="AA1270" s="746"/>
      <c r="AB1270" s="250" t="s">
        <v>4159</v>
      </c>
      <c r="AC1270" s="744">
        <v>103167971</v>
      </c>
      <c r="AD1270" s="744"/>
      <c r="AE1270" s="744"/>
      <c r="AF1270" s="744"/>
      <c r="AG1270" s="251" t="s">
        <v>283</v>
      </c>
    </row>
    <row r="1271" spans="1:33" ht="15.75" customHeight="1">
      <c r="A1271" s="743">
        <v>43206</v>
      </c>
      <c r="B1271" s="144" t="s">
        <v>76</v>
      </c>
      <c r="C1271" s="744">
        <v>295</v>
      </c>
      <c r="D1271" s="250" t="s">
        <v>4156</v>
      </c>
      <c r="E1271" s="595" t="s">
        <v>649</v>
      </c>
      <c r="F1271" s="251">
        <v>3</v>
      </c>
      <c r="G1271" s="252">
        <v>6</v>
      </c>
      <c r="H1271" s="253">
        <f t="shared" si="127"/>
        <v>18</v>
      </c>
      <c r="I1271" s="254" t="s">
        <v>42</v>
      </c>
      <c r="J1271" s="367" t="s">
        <v>315</v>
      </c>
      <c r="K1271" s="256">
        <v>43234</v>
      </c>
      <c r="L1271" s="256"/>
      <c r="M1271" s="256">
        <v>43228</v>
      </c>
      <c r="N1271" s="251" t="s">
        <v>2006</v>
      </c>
      <c r="O1271" s="250" t="s">
        <v>4157</v>
      </c>
      <c r="Q1271" s="266"/>
      <c r="R1271" s="1394"/>
      <c r="S1271" s="1394"/>
      <c r="U1271" s="574" t="s">
        <v>4158</v>
      </c>
      <c r="V1271" s="328" t="s">
        <v>2146</v>
      </c>
      <c r="W1271" s="328"/>
      <c r="X1271" s="745"/>
      <c r="Y1271" s="745"/>
      <c r="Z1271" s="745"/>
      <c r="AA1271" s="746"/>
      <c r="AB1271" s="250" t="s">
        <v>4159</v>
      </c>
      <c r="AC1271" s="744">
        <v>103167971</v>
      </c>
      <c r="AD1271" s="744"/>
      <c r="AE1271" s="744"/>
      <c r="AF1271" s="744"/>
      <c r="AG1271" s="251" t="s">
        <v>283</v>
      </c>
    </row>
    <row r="1272" spans="1:33" ht="15.75" customHeight="1">
      <c r="A1272" s="743">
        <v>43206</v>
      </c>
      <c r="B1272" s="144" t="s">
        <v>76</v>
      </c>
      <c r="C1272" s="744">
        <v>295</v>
      </c>
      <c r="D1272" s="250" t="s">
        <v>4156</v>
      </c>
      <c r="E1272" s="595" t="s">
        <v>642</v>
      </c>
      <c r="F1272" s="251">
        <v>3</v>
      </c>
      <c r="G1272" s="252">
        <v>200</v>
      </c>
      <c r="H1272" s="253">
        <f t="shared" si="127"/>
        <v>600</v>
      </c>
      <c r="I1272" s="254" t="s">
        <v>42</v>
      </c>
      <c r="J1272" s="367" t="s">
        <v>315</v>
      </c>
      <c r="K1272" s="256">
        <v>43234</v>
      </c>
      <c r="L1272" s="256"/>
      <c r="M1272" s="256">
        <v>43230</v>
      </c>
      <c r="N1272" s="796" t="s">
        <v>1512</v>
      </c>
      <c r="O1272" s="308" t="s">
        <v>4160</v>
      </c>
      <c r="Q1272" s="591"/>
      <c r="R1272" s="1406"/>
      <c r="S1272" s="1406"/>
      <c r="U1272" s="572">
        <v>15082</v>
      </c>
      <c r="V1272" s="744" t="s">
        <v>2109</v>
      </c>
      <c r="W1272" s="747">
        <v>43256</v>
      </c>
      <c r="X1272" s="748">
        <v>43229</v>
      </c>
      <c r="Y1272" s="744" t="s">
        <v>4161</v>
      </c>
      <c r="Z1272" s="749">
        <v>15082</v>
      </c>
      <c r="AA1272" s="747">
        <v>43256</v>
      </c>
      <c r="AB1272" s="250" t="s">
        <v>4159</v>
      </c>
      <c r="AC1272" s="744">
        <v>103167971</v>
      </c>
      <c r="AD1272" s="744"/>
      <c r="AE1272" s="744"/>
      <c r="AF1272" s="744"/>
      <c r="AG1272" s="251" t="s">
        <v>283</v>
      </c>
    </row>
    <row r="1273" spans="1:33" ht="15.75" customHeight="1">
      <c r="A1273" s="743">
        <v>43206</v>
      </c>
      <c r="B1273" s="144" t="s">
        <v>76</v>
      </c>
      <c r="C1273" s="744">
        <v>295</v>
      </c>
      <c r="D1273" s="250" t="s">
        <v>4156</v>
      </c>
      <c r="E1273" s="250" t="s">
        <v>644</v>
      </c>
      <c r="F1273" s="251">
        <v>3</v>
      </c>
      <c r="G1273" s="252">
        <v>0</v>
      </c>
      <c r="H1273" s="253">
        <f t="shared" si="127"/>
        <v>0</v>
      </c>
      <c r="I1273" s="254" t="s">
        <v>42</v>
      </c>
      <c r="J1273" s="367" t="s">
        <v>315</v>
      </c>
      <c r="K1273" s="256">
        <v>43234</v>
      </c>
      <c r="L1273" s="256"/>
      <c r="M1273" s="256">
        <v>43230</v>
      </c>
      <c r="N1273" s="264" t="s">
        <v>1512</v>
      </c>
      <c r="O1273" s="308" t="s">
        <v>4160</v>
      </c>
      <c r="Q1273" s="591"/>
      <c r="R1273" s="1406"/>
      <c r="S1273" s="1406"/>
      <c r="U1273" s="308">
        <v>0</v>
      </c>
      <c r="V1273" s="744" t="s">
        <v>2109</v>
      </c>
      <c r="W1273" s="747">
        <v>43256</v>
      </c>
      <c r="X1273" s="748">
        <v>43229</v>
      </c>
      <c r="Y1273" s="744" t="s">
        <v>4161</v>
      </c>
      <c r="Z1273" s="744" t="s">
        <v>4162</v>
      </c>
      <c r="AA1273" s="747">
        <v>43256</v>
      </c>
      <c r="AB1273" s="250" t="s">
        <v>4159</v>
      </c>
      <c r="AC1273" s="744">
        <v>103167971</v>
      </c>
      <c r="AD1273" s="744"/>
      <c r="AE1273" s="744"/>
      <c r="AF1273" s="744"/>
      <c r="AG1273" s="251" t="s">
        <v>283</v>
      </c>
    </row>
    <row r="1274" spans="1:33" ht="15.75" customHeight="1">
      <c r="A1274" s="743">
        <v>43206</v>
      </c>
      <c r="B1274" s="144" t="s">
        <v>76</v>
      </c>
      <c r="C1274" s="744">
        <v>295</v>
      </c>
      <c r="D1274" s="250" t="s">
        <v>4156</v>
      </c>
      <c r="E1274" s="250" t="s">
        <v>645</v>
      </c>
      <c r="F1274" s="251">
        <v>3</v>
      </c>
      <c r="G1274" s="252">
        <v>0</v>
      </c>
      <c r="H1274" s="253">
        <f t="shared" si="127"/>
        <v>0</v>
      </c>
      <c r="I1274" s="254" t="s">
        <v>42</v>
      </c>
      <c r="J1274" s="367" t="s">
        <v>315</v>
      </c>
      <c r="K1274" s="256">
        <v>43234</v>
      </c>
      <c r="L1274" s="256"/>
      <c r="M1274" s="256">
        <v>43230</v>
      </c>
      <c r="N1274" s="264" t="s">
        <v>1512</v>
      </c>
      <c r="O1274" s="308" t="s">
        <v>4160</v>
      </c>
      <c r="Q1274" s="591"/>
      <c r="R1274" s="1406"/>
      <c r="S1274" s="1406"/>
      <c r="U1274" s="308">
        <v>0</v>
      </c>
      <c r="V1274" s="744" t="s">
        <v>2109</v>
      </c>
      <c r="W1274" s="747">
        <v>43256</v>
      </c>
      <c r="X1274" s="748">
        <v>43229</v>
      </c>
      <c r="Y1274" s="744" t="s">
        <v>4161</v>
      </c>
      <c r="Z1274" s="744" t="s">
        <v>4162</v>
      </c>
      <c r="AA1274" s="747">
        <v>43256</v>
      </c>
      <c r="AB1274" s="250" t="s">
        <v>4159</v>
      </c>
      <c r="AC1274" s="744">
        <v>103167971</v>
      </c>
      <c r="AD1274" s="744"/>
      <c r="AE1274" s="744"/>
      <c r="AF1274" s="744"/>
      <c r="AG1274" s="251" t="s">
        <v>283</v>
      </c>
    </row>
    <row r="1275" spans="1:33" ht="15.75" customHeight="1">
      <c r="A1275" s="743">
        <v>43206</v>
      </c>
      <c r="B1275" s="144" t="s">
        <v>76</v>
      </c>
      <c r="C1275" s="744">
        <v>295</v>
      </c>
      <c r="D1275" s="250" t="s">
        <v>4156</v>
      </c>
      <c r="E1275" s="250" t="s">
        <v>646</v>
      </c>
      <c r="F1275" s="251">
        <v>3</v>
      </c>
      <c r="G1275" s="252">
        <v>0</v>
      </c>
      <c r="H1275" s="253">
        <f t="shared" si="127"/>
        <v>0</v>
      </c>
      <c r="I1275" s="254" t="s">
        <v>42</v>
      </c>
      <c r="J1275" s="367" t="s">
        <v>315</v>
      </c>
      <c r="K1275" s="256">
        <v>43234</v>
      </c>
      <c r="L1275" s="256"/>
      <c r="M1275" s="256">
        <v>43230</v>
      </c>
      <c r="N1275" s="264" t="s">
        <v>1512</v>
      </c>
      <c r="O1275" s="308" t="s">
        <v>4160</v>
      </c>
      <c r="Q1275" s="591"/>
      <c r="R1275" s="1406"/>
      <c r="S1275" s="1406"/>
      <c r="U1275" s="308">
        <v>0</v>
      </c>
      <c r="V1275" s="744" t="s">
        <v>2109</v>
      </c>
      <c r="W1275" s="747">
        <v>43256</v>
      </c>
      <c r="X1275" s="748">
        <v>43229</v>
      </c>
      <c r="Y1275" s="744" t="s">
        <v>4161</v>
      </c>
      <c r="Z1275" s="744" t="s">
        <v>4162</v>
      </c>
      <c r="AA1275" s="747">
        <v>43256</v>
      </c>
      <c r="AB1275" s="250" t="s">
        <v>4159</v>
      </c>
      <c r="AC1275" s="744">
        <v>103167971</v>
      </c>
      <c r="AD1275" s="744"/>
      <c r="AE1275" s="744"/>
      <c r="AF1275" s="744"/>
      <c r="AG1275" s="251" t="s">
        <v>283</v>
      </c>
    </row>
    <row r="1276" spans="1:33" ht="15.75" customHeight="1">
      <c r="A1276" s="743">
        <v>43206</v>
      </c>
      <c r="B1276" s="144" t="s">
        <v>76</v>
      </c>
      <c r="C1276" s="744">
        <v>295</v>
      </c>
      <c r="D1276" s="250" t="s">
        <v>4156</v>
      </c>
      <c r="E1276" s="250" t="s">
        <v>647</v>
      </c>
      <c r="F1276" s="251">
        <v>3</v>
      </c>
      <c r="G1276" s="252">
        <v>0</v>
      </c>
      <c r="H1276" s="253">
        <f t="shared" si="127"/>
        <v>0</v>
      </c>
      <c r="I1276" s="254" t="s">
        <v>42</v>
      </c>
      <c r="J1276" s="367" t="s">
        <v>315</v>
      </c>
      <c r="K1276" s="256">
        <v>43234</v>
      </c>
      <c r="L1276" s="256"/>
      <c r="M1276" s="256">
        <v>43230</v>
      </c>
      <c r="N1276" s="264" t="s">
        <v>1512</v>
      </c>
      <c r="O1276" s="308" t="s">
        <v>4160</v>
      </c>
      <c r="Q1276" s="591"/>
      <c r="R1276" s="1406"/>
      <c r="S1276" s="1406"/>
      <c r="U1276" s="308">
        <v>0</v>
      </c>
      <c r="V1276" s="744" t="s">
        <v>2109</v>
      </c>
      <c r="W1276" s="747">
        <v>43256</v>
      </c>
      <c r="X1276" s="748">
        <v>43229</v>
      </c>
      <c r="Y1276" s="744" t="s">
        <v>4161</v>
      </c>
      <c r="Z1276" s="744" t="s">
        <v>4162</v>
      </c>
      <c r="AA1276" s="747">
        <v>43256</v>
      </c>
      <c r="AB1276" s="250" t="s">
        <v>4159</v>
      </c>
      <c r="AC1276" s="744">
        <v>103167971</v>
      </c>
      <c r="AD1276" s="744"/>
      <c r="AE1276" s="744"/>
      <c r="AF1276" s="744"/>
      <c r="AG1276" s="251" t="s">
        <v>283</v>
      </c>
    </row>
    <row r="1277" spans="1:33" ht="15.75" customHeight="1">
      <c r="A1277" s="743">
        <v>43206</v>
      </c>
      <c r="B1277" s="144" t="s">
        <v>76</v>
      </c>
      <c r="C1277" s="744">
        <v>295</v>
      </c>
      <c r="D1277" s="250" t="s">
        <v>4156</v>
      </c>
      <c r="E1277" s="250" t="s">
        <v>650</v>
      </c>
      <c r="F1277" s="251">
        <v>3</v>
      </c>
      <c r="G1277" s="252">
        <v>0</v>
      </c>
      <c r="H1277" s="253">
        <f t="shared" si="127"/>
        <v>0</v>
      </c>
      <c r="I1277" s="254" t="s">
        <v>42</v>
      </c>
      <c r="J1277" s="367" t="s">
        <v>315</v>
      </c>
      <c r="K1277" s="256">
        <v>43234</v>
      </c>
      <c r="L1277" s="256"/>
      <c r="M1277" s="256">
        <v>43228</v>
      </c>
      <c r="N1277" s="251" t="s">
        <v>2006</v>
      </c>
      <c r="O1277" s="250" t="s">
        <v>4157</v>
      </c>
      <c r="Q1277" s="266"/>
      <c r="R1277" s="1394"/>
      <c r="S1277" s="1394"/>
      <c r="U1277" s="572">
        <v>4200</v>
      </c>
      <c r="V1277" s="328" t="s">
        <v>2146</v>
      </c>
      <c r="W1277" s="328"/>
      <c r="X1277" s="745"/>
      <c r="Y1277" s="745"/>
      <c r="Z1277" s="745"/>
      <c r="AA1277" s="746"/>
      <c r="AB1277" s="250" t="s">
        <v>4159</v>
      </c>
      <c r="AC1277" s="744">
        <v>103167971</v>
      </c>
      <c r="AD1277" s="744"/>
      <c r="AE1277" s="744"/>
      <c r="AF1277" s="744"/>
      <c r="AG1277" s="251" t="s">
        <v>283</v>
      </c>
    </row>
    <row r="1278" spans="1:33" ht="35.25" customHeight="1">
      <c r="A1278" s="743">
        <v>43207</v>
      </c>
      <c r="B1278" s="263" t="s">
        <v>546</v>
      </c>
      <c r="C1278" s="744" t="s">
        <v>4163</v>
      </c>
      <c r="D1278" s="250" t="s">
        <v>4164</v>
      </c>
      <c r="E1278" s="595" t="s">
        <v>4165</v>
      </c>
      <c r="F1278" s="251">
        <v>1</v>
      </c>
      <c r="G1278" s="252">
        <v>2294</v>
      </c>
      <c r="H1278" s="253">
        <f t="shared" si="127"/>
        <v>2294</v>
      </c>
      <c r="I1278" s="254" t="s">
        <v>3315</v>
      </c>
      <c r="J1278" s="267" t="s">
        <v>3588</v>
      </c>
      <c r="K1278" s="256">
        <v>43228</v>
      </c>
      <c r="L1278" s="256"/>
      <c r="M1278" s="256">
        <v>43227</v>
      </c>
      <c r="N1278" s="401" t="s">
        <v>3432</v>
      </c>
      <c r="O1278" s="308" t="s">
        <v>4166</v>
      </c>
      <c r="Q1278" s="591"/>
      <c r="R1278" s="1406"/>
      <c r="S1278" s="1406"/>
      <c r="U1278" s="572">
        <v>64861</v>
      </c>
      <c r="V1278" s="308" t="s">
        <v>2045</v>
      </c>
      <c r="W1278" s="747">
        <v>43312</v>
      </c>
      <c r="X1278" s="748">
        <v>43222</v>
      </c>
      <c r="Y1278" s="744" t="s">
        <v>4167</v>
      </c>
      <c r="Z1278" s="753">
        <v>64861</v>
      </c>
      <c r="AA1278" s="750">
        <v>43312</v>
      </c>
      <c r="AB1278" s="250" t="s">
        <v>4168</v>
      </c>
      <c r="AC1278" s="744">
        <v>3027635844</v>
      </c>
      <c r="AD1278" s="744"/>
      <c r="AE1278" s="744"/>
      <c r="AF1278" s="744"/>
      <c r="AG1278" s="251" t="s">
        <v>283</v>
      </c>
    </row>
    <row r="1279" spans="1:33" ht="15.75" customHeight="1">
      <c r="A1279" s="743">
        <v>43208</v>
      </c>
      <c r="B1279" s="590" t="s">
        <v>405</v>
      </c>
      <c r="C1279" s="744">
        <v>7000137490</v>
      </c>
      <c r="D1279" s="250" t="s">
        <v>4169</v>
      </c>
      <c r="E1279" s="595" t="s">
        <v>4011</v>
      </c>
      <c r="F1279" s="251">
        <v>10</v>
      </c>
      <c r="G1279" s="252">
        <v>435</v>
      </c>
      <c r="H1279" s="253">
        <f t="shared" si="127"/>
        <v>4350</v>
      </c>
      <c r="I1279" s="254" t="s">
        <v>42</v>
      </c>
      <c r="J1279" s="401" t="s">
        <v>519</v>
      </c>
      <c r="K1279" s="256">
        <v>43223</v>
      </c>
      <c r="L1279" s="256"/>
      <c r="M1279" s="256">
        <v>43220</v>
      </c>
      <c r="N1279" s="401" t="s">
        <v>1967</v>
      </c>
      <c r="O1279" s="250" t="s">
        <v>4170</v>
      </c>
      <c r="Q1279" s="266">
        <v>4147.5</v>
      </c>
      <c r="R1279" s="1394"/>
      <c r="S1279" s="1394"/>
      <c r="U1279" s="328"/>
      <c r="V1279" s="308" t="s">
        <v>1969</v>
      </c>
      <c r="W1279" s="747">
        <v>43286</v>
      </c>
      <c r="X1279" s="748">
        <v>43220</v>
      </c>
      <c r="Y1279" s="744" t="s">
        <v>4171</v>
      </c>
      <c r="Z1279" s="749">
        <v>122600</v>
      </c>
      <c r="AA1279" s="748">
        <v>43286</v>
      </c>
      <c r="AB1279" s="250" t="s">
        <v>3929</v>
      </c>
      <c r="AC1279" s="744" t="s">
        <v>3930</v>
      </c>
      <c r="AD1279" s="744"/>
      <c r="AE1279" s="744"/>
      <c r="AF1279" s="744"/>
      <c r="AG1279" s="251" t="s">
        <v>283</v>
      </c>
    </row>
    <row r="1280" spans="1:33" ht="15.75" customHeight="1">
      <c r="A1280" s="743">
        <v>43208</v>
      </c>
      <c r="B1280" s="590" t="s">
        <v>405</v>
      </c>
      <c r="C1280" s="744">
        <v>7000137492</v>
      </c>
      <c r="D1280" s="250" t="s">
        <v>4172</v>
      </c>
      <c r="E1280" s="595" t="s">
        <v>4173</v>
      </c>
      <c r="F1280" s="251">
        <v>4</v>
      </c>
      <c r="G1280" s="252">
        <v>834</v>
      </c>
      <c r="H1280" s="253">
        <f t="shared" si="127"/>
        <v>3336</v>
      </c>
      <c r="I1280" s="254" t="s">
        <v>42</v>
      </c>
      <c r="J1280" s="401" t="s">
        <v>519</v>
      </c>
      <c r="K1280" s="256">
        <v>43223</v>
      </c>
      <c r="L1280" s="256"/>
      <c r="M1280" s="256">
        <v>43217</v>
      </c>
      <c r="N1280" s="401" t="s">
        <v>3432</v>
      </c>
      <c r="O1280" s="250" t="s">
        <v>4174</v>
      </c>
      <c r="Q1280" s="591"/>
      <c r="R1280" s="1406"/>
      <c r="S1280" s="1406"/>
      <c r="U1280" s="630">
        <v>95957</v>
      </c>
      <c r="V1280" s="308" t="s">
        <v>2045</v>
      </c>
      <c r="W1280" s="747">
        <v>43281</v>
      </c>
      <c r="X1280" s="748">
        <v>43216</v>
      </c>
      <c r="Y1280" s="744" t="s">
        <v>4175</v>
      </c>
      <c r="Z1280" s="749">
        <v>95957</v>
      </c>
      <c r="AA1280" s="750">
        <v>43259</v>
      </c>
      <c r="AB1280" s="250" t="s">
        <v>3929</v>
      </c>
      <c r="AC1280" s="744" t="s">
        <v>3930</v>
      </c>
      <c r="AD1280" s="744"/>
      <c r="AE1280" s="744"/>
      <c r="AF1280" s="744"/>
      <c r="AG1280" s="251" t="s">
        <v>283</v>
      </c>
    </row>
    <row r="1281" spans="1:33" ht="15.75" customHeight="1">
      <c r="A1281" s="743">
        <v>43210</v>
      </c>
      <c r="B1281" s="263" t="s">
        <v>100</v>
      </c>
      <c r="C1281" s="744" t="s">
        <v>4176</v>
      </c>
      <c r="D1281" s="250" t="s">
        <v>4177</v>
      </c>
      <c r="E1281" s="595" t="s">
        <v>4178</v>
      </c>
      <c r="F1281" s="251">
        <v>5</v>
      </c>
      <c r="G1281" s="252">
        <v>1118</v>
      </c>
      <c r="H1281" s="253">
        <f t="shared" si="127"/>
        <v>5590</v>
      </c>
      <c r="I1281" s="254" t="s">
        <v>170</v>
      </c>
      <c r="J1281" s="331" t="s">
        <v>3578</v>
      </c>
      <c r="K1281" s="256">
        <v>43227</v>
      </c>
      <c r="L1281" s="256"/>
      <c r="M1281" s="256">
        <v>43217</v>
      </c>
      <c r="N1281" s="401" t="s">
        <v>1414</v>
      </c>
      <c r="O1281" s="308" t="s">
        <v>4179</v>
      </c>
      <c r="Q1281" s="591"/>
      <c r="R1281" s="1406"/>
      <c r="S1281" s="1406"/>
      <c r="U1281" s="630">
        <v>153920</v>
      </c>
      <c r="V1281" s="318" t="s">
        <v>1947</v>
      </c>
      <c r="W1281" s="747">
        <v>43250</v>
      </c>
      <c r="X1281" s="750">
        <v>43216</v>
      </c>
      <c r="Y1281" s="250" t="s">
        <v>4180</v>
      </c>
      <c r="Z1281" s="753">
        <v>153917</v>
      </c>
      <c r="AA1281" s="750">
        <v>43250</v>
      </c>
      <c r="AB1281" s="250" t="s">
        <v>4181</v>
      </c>
      <c r="AC1281" s="744">
        <v>4539951065</v>
      </c>
      <c r="AD1281" s="744"/>
      <c r="AE1281" s="744"/>
      <c r="AF1281" s="744"/>
      <c r="AG1281" s="251" t="s">
        <v>283</v>
      </c>
    </row>
    <row r="1282" spans="1:33" ht="15.75" customHeight="1">
      <c r="A1282" s="743">
        <v>43210</v>
      </c>
      <c r="B1282" s="263" t="s">
        <v>100</v>
      </c>
      <c r="C1282" s="744" t="s">
        <v>4182</v>
      </c>
      <c r="D1282" s="250" t="s">
        <v>4183</v>
      </c>
      <c r="E1282" s="595" t="s">
        <v>4184</v>
      </c>
      <c r="F1282" s="251">
        <v>6</v>
      </c>
      <c r="G1282" s="252">
        <v>339</v>
      </c>
      <c r="H1282" s="253">
        <f t="shared" si="127"/>
        <v>2034</v>
      </c>
      <c r="I1282" s="254" t="s">
        <v>170</v>
      </c>
      <c r="J1282" s="331" t="s">
        <v>3578</v>
      </c>
      <c r="K1282" s="256">
        <v>43234</v>
      </c>
      <c r="L1282" s="256"/>
      <c r="M1282" s="256">
        <v>43223</v>
      </c>
      <c r="N1282" s="401" t="s">
        <v>1995</v>
      </c>
      <c r="O1282" s="308" t="s">
        <v>4185</v>
      </c>
      <c r="Q1282" s="591"/>
      <c r="R1282" s="1406"/>
      <c r="S1282" s="1406"/>
      <c r="U1282" s="630">
        <v>56618</v>
      </c>
      <c r="V1282" s="571" t="s">
        <v>1997</v>
      </c>
      <c r="W1282" s="747">
        <v>43286</v>
      </c>
      <c r="X1282" s="748">
        <v>43222</v>
      </c>
      <c r="Y1282" s="744" t="s">
        <v>4186</v>
      </c>
      <c r="Z1282" s="749">
        <v>58105</v>
      </c>
      <c r="AA1282" s="748">
        <v>43286</v>
      </c>
      <c r="AB1282" s="250" t="s">
        <v>4187</v>
      </c>
      <c r="AC1282" s="744">
        <v>3441826920</v>
      </c>
      <c r="AD1282" s="744"/>
      <c r="AE1282" s="744"/>
      <c r="AF1282" s="744"/>
      <c r="AG1282" s="251" t="s">
        <v>283</v>
      </c>
    </row>
    <row r="1283" spans="1:33" ht="15.75" customHeight="1">
      <c r="A1283" s="743">
        <v>43210</v>
      </c>
      <c r="B1283" s="263" t="s">
        <v>100</v>
      </c>
      <c r="C1283" s="744" t="s">
        <v>4182</v>
      </c>
      <c r="D1283" s="250" t="s">
        <v>4183</v>
      </c>
      <c r="E1283" s="595" t="s">
        <v>3697</v>
      </c>
      <c r="F1283" s="251">
        <v>6</v>
      </c>
      <c r="G1283" s="252">
        <v>47</v>
      </c>
      <c r="H1283" s="253">
        <f t="shared" si="127"/>
        <v>282</v>
      </c>
      <c r="I1283" s="254" t="s">
        <v>170</v>
      </c>
      <c r="J1283" s="331" t="s">
        <v>3578</v>
      </c>
      <c r="K1283" s="256">
        <v>43234</v>
      </c>
      <c r="L1283" s="256"/>
      <c r="M1283" s="256">
        <v>43220</v>
      </c>
      <c r="N1283" s="401" t="s">
        <v>2124</v>
      </c>
      <c r="O1283" s="308" t="s">
        <v>4188</v>
      </c>
      <c r="Q1283" s="266">
        <v>245.07</v>
      </c>
      <c r="R1283" s="1394"/>
      <c r="S1283" s="1394"/>
      <c r="U1283" s="630">
        <v>7236</v>
      </c>
      <c r="V1283" s="308" t="s">
        <v>2126</v>
      </c>
      <c r="W1283" s="328"/>
      <c r="X1283" s="748">
        <v>43220</v>
      </c>
      <c r="Y1283" s="744" t="s">
        <v>4189</v>
      </c>
      <c r="Z1283" s="749">
        <v>7236</v>
      </c>
      <c r="AA1283" s="748">
        <v>43216</v>
      </c>
      <c r="AB1283" s="250" t="s">
        <v>4187</v>
      </c>
      <c r="AC1283" s="744">
        <v>3441826920</v>
      </c>
      <c r="AD1283" s="744"/>
      <c r="AE1283" s="744"/>
      <c r="AF1283" s="744"/>
      <c r="AG1283" s="251" t="s">
        <v>283</v>
      </c>
    </row>
    <row r="1284" spans="1:33" ht="15.75" customHeight="1">
      <c r="A1284" s="743">
        <v>43210</v>
      </c>
      <c r="B1284" s="263" t="s">
        <v>100</v>
      </c>
      <c r="C1284" s="744" t="s">
        <v>4182</v>
      </c>
      <c r="D1284" s="250" t="s">
        <v>4190</v>
      </c>
      <c r="E1284" s="595" t="s">
        <v>3700</v>
      </c>
      <c r="F1284" s="251">
        <v>6</v>
      </c>
      <c r="G1284" s="252">
        <v>9</v>
      </c>
      <c r="H1284" s="253">
        <f t="shared" si="127"/>
        <v>54</v>
      </c>
      <c r="I1284" s="254" t="s">
        <v>170</v>
      </c>
      <c r="J1284" s="331" t="s">
        <v>3578</v>
      </c>
      <c r="K1284" s="256">
        <v>43234</v>
      </c>
      <c r="L1284" s="256"/>
      <c r="M1284" s="256">
        <v>43223</v>
      </c>
      <c r="N1284" s="401" t="s">
        <v>1995</v>
      </c>
      <c r="O1284" s="308" t="s">
        <v>4185</v>
      </c>
      <c r="Q1284" s="591"/>
      <c r="R1284" s="1406"/>
      <c r="S1284" s="1406"/>
      <c r="U1284" s="630">
        <v>1487</v>
      </c>
      <c r="V1284" s="571" t="s">
        <v>1997</v>
      </c>
      <c r="W1284" s="747">
        <v>43286</v>
      </c>
      <c r="X1284" s="748">
        <v>43222</v>
      </c>
      <c r="Y1284" s="744" t="s">
        <v>4186</v>
      </c>
      <c r="Z1284" s="744" t="s">
        <v>4191</v>
      </c>
      <c r="AA1284" s="748">
        <v>43286</v>
      </c>
      <c r="AB1284" s="250" t="s">
        <v>4187</v>
      </c>
      <c r="AC1284" s="744">
        <v>3441826920</v>
      </c>
      <c r="AD1284" s="744"/>
      <c r="AE1284" s="744"/>
      <c r="AF1284" s="744"/>
      <c r="AG1284" s="251" t="s">
        <v>283</v>
      </c>
    </row>
    <row r="1285" spans="1:33" ht="15.75" customHeight="1">
      <c r="A1285" s="743">
        <v>43210</v>
      </c>
      <c r="B1285" s="144" t="s">
        <v>100</v>
      </c>
      <c r="C1285" s="744" t="s">
        <v>4192</v>
      </c>
      <c r="D1285" s="250" t="s">
        <v>4193</v>
      </c>
      <c r="E1285" s="595" t="s">
        <v>4194</v>
      </c>
      <c r="F1285" s="305">
        <v>4</v>
      </c>
      <c r="G1285" s="252">
        <v>237</v>
      </c>
      <c r="H1285" s="253">
        <f t="shared" si="127"/>
        <v>948</v>
      </c>
      <c r="I1285" s="254" t="s">
        <v>170</v>
      </c>
      <c r="J1285" s="331" t="s">
        <v>3578</v>
      </c>
      <c r="K1285" s="256">
        <v>43234</v>
      </c>
      <c r="L1285" s="256"/>
      <c r="M1285" s="256">
        <v>43230</v>
      </c>
      <c r="N1285" s="264" t="s">
        <v>1512</v>
      </c>
      <c r="O1285" s="308" t="s">
        <v>4195</v>
      </c>
      <c r="Q1285" s="591"/>
      <c r="R1285" s="1406"/>
      <c r="S1285" s="1406"/>
      <c r="U1285" s="572">
        <v>22231</v>
      </c>
      <c r="V1285" s="744" t="s">
        <v>2109</v>
      </c>
      <c r="W1285" s="747">
        <v>43256</v>
      </c>
      <c r="X1285" s="748">
        <v>43229</v>
      </c>
      <c r="Y1285" s="744" t="s">
        <v>4196</v>
      </c>
      <c r="Z1285" s="749">
        <v>22231</v>
      </c>
      <c r="AA1285" s="789">
        <v>43256</v>
      </c>
      <c r="AB1285" s="250" t="s">
        <v>4187</v>
      </c>
      <c r="AC1285" s="744">
        <v>3441826920</v>
      </c>
      <c r="AD1285" s="744"/>
      <c r="AE1285" s="744"/>
      <c r="AF1285" s="744"/>
      <c r="AG1285" s="251" t="s">
        <v>283</v>
      </c>
    </row>
    <row r="1286" spans="1:33" ht="15.75" customHeight="1">
      <c r="A1286" s="743">
        <v>43210</v>
      </c>
      <c r="B1286" s="263" t="s">
        <v>228</v>
      </c>
      <c r="C1286" s="744"/>
      <c r="D1286" s="250" t="s">
        <v>4197</v>
      </c>
      <c r="E1286" s="595" t="s">
        <v>461</v>
      </c>
      <c r="F1286" s="251">
        <v>33</v>
      </c>
      <c r="G1286" s="323">
        <v>407.4</v>
      </c>
      <c r="H1286" s="253">
        <f t="shared" si="127"/>
        <v>13444.199999999999</v>
      </c>
      <c r="I1286" s="254" t="s">
        <v>170</v>
      </c>
      <c r="J1286" s="267" t="s">
        <v>89</v>
      </c>
      <c r="K1286" s="256">
        <v>43230</v>
      </c>
      <c r="L1286" s="256"/>
      <c r="M1286" s="256">
        <v>43230</v>
      </c>
      <c r="N1286" s="401" t="s">
        <v>89</v>
      </c>
      <c r="O1286" s="308" t="s">
        <v>4198</v>
      </c>
      <c r="Q1286" s="266">
        <v>12300.75</v>
      </c>
      <c r="R1286" s="1394"/>
      <c r="S1286" s="1394"/>
      <c r="U1286" s="328"/>
      <c r="V1286" s="338" t="s">
        <v>93</v>
      </c>
      <c r="W1286" s="747">
        <v>43281</v>
      </c>
      <c r="X1286" s="748">
        <v>43230</v>
      </c>
      <c r="Y1286" s="744" t="s">
        <v>4199</v>
      </c>
      <c r="Z1286" s="749">
        <v>408702</v>
      </c>
      <c r="AA1286" s="748">
        <v>43284</v>
      </c>
      <c r="AB1286" s="744" t="s">
        <v>4200</v>
      </c>
      <c r="AC1286" s="744"/>
      <c r="AD1286" s="744" t="s">
        <v>4201</v>
      </c>
      <c r="AE1286" s="753">
        <v>452516</v>
      </c>
      <c r="AF1286" s="744" t="s">
        <v>4202</v>
      </c>
      <c r="AG1286" s="264" t="s">
        <v>376</v>
      </c>
    </row>
    <row r="1287" spans="1:33" ht="15.75" customHeight="1">
      <c r="A1287" s="743">
        <v>43210</v>
      </c>
      <c r="B1287" s="263" t="s">
        <v>228</v>
      </c>
      <c r="C1287" s="744"/>
      <c r="D1287" s="250" t="s">
        <v>4197</v>
      </c>
      <c r="E1287" s="592" t="s">
        <v>3604</v>
      </c>
      <c r="F1287" s="251">
        <v>5</v>
      </c>
      <c r="G1287" s="772">
        <v>336</v>
      </c>
      <c r="H1287" s="253">
        <f t="shared" si="127"/>
        <v>1680</v>
      </c>
      <c r="I1287" s="254" t="s">
        <v>170</v>
      </c>
      <c r="J1287" s="267" t="s">
        <v>89</v>
      </c>
      <c r="K1287" s="256">
        <v>43230</v>
      </c>
      <c r="L1287" s="256"/>
      <c r="M1287" s="256">
        <v>43230</v>
      </c>
      <c r="N1287" s="401" t="s">
        <v>89</v>
      </c>
      <c r="O1287" s="308" t="s">
        <v>4198</v>
      </c>
      <c r="Q1287" s="266">
        <v>1506.75</v>
      </c>
      <c r="R1287" s="1394"/>
      <c r="S1287" s="1394"/>
      <c r="U1287" s="328"/>
      <c r="V1287" s="338" t="s">
        <v>93</v>
      </c>
      <c r="W1287" s="747">
        <v>43281</v>
      </c>
      <c r="X1287" s="748">
        <v>43230</v>
      </c>
      <c r="Y1287" s="744" t="s">
        <v>4199</v>
      </c>
      <c r="Z1287" s="744" t="s">
        <v>4203</v>
      </c>
      <c r="AA1287" s="748">
        <v>43284</v>
      </c>
      <c r="AB1287" s="744" t="s">
        <v>4200</v>
      </c>
      <c r="AC1287" s="744"/>
      <c r="AD1287" s="744" t="s">
        <v>4201</v>
      </c>
      <c r="AE1287" s="753" t="s">
        <v>4204</v>
      </c>
      <c r="AF1287" s="744" t="s">
        <v>4202</v>
      </c>
      <c r="AG1287" s="264" t="s">
        <v>376</v>
      </c>
    </row>
    <row r="1288" spans="1:33" ht="15.75" customHeight="1">
      <c r="A1288" s="743">
        <v>43213</v>
      </c>
      <c r="B1288" s="590" t="s">
        <v>405</v>
      </c>
      <c r="C1288" s="744">
        <v>7000137575</v>
      </c>
      <c r="D1288" s="250" t="s">
        <v>4205</v>
      </c>
      <c r="E1288" s="595" t="s">
        <v>3515</v>
      </c>
      <c r="F1288" s="251">
        <v>2</v>
      </c>
      <c r="G1288" s="252">
        <v>48</v>
      </c>
      <c r="H1288" s="253">
        <f t="shared" si="127"/>
        <v>96</v>
      </c>
      <c r="I1288" s="254" t="s">
        <v>42</v>
      </c>
      <c r="J1288" s="401" t="s">
        <v>519</v>
      </c>
      <c r="K1288" s="256">
        <v>43223</v>
      </c>
      <c r="L1288" s="256"/>
      <c r="M1288" s="256">
        <v>43217</v>
      </c>
      <c r="N1288" s="401" t="s">
        <v>3432</v>
      </c>
      <c r="O1288" s="250" t="s">
        <v>4206</v>
      </c>
      <c r="Q1288" s="591"/>
      <c r="R1288" s="1406"/>
      <c r="S1288" s="1406"/>
      <c r="U1288" s="630">
        <v>2709</v>
      </c>
      <c r="V1288" s="308" t="s">
        <v>2045</v>
      </c>
      <c r="W1288" s="747">
        <v>43312</v>
      </c>
      <c r="X1288" s="750">
        <v>43216</v>
      </c>
      <c r="Y1288" s="744" t="s">
        <v>4207</v>
      </c>
      <c r="Z1288" s="753">
        <v>2709</v>
      </c>
      <c r="AA1288" s="748">
        <v>43280</v>
      </c>
      <c r="AB1288" s="250" t="s">
        <v>3929</v>
      </c>
      <c r="AC1288" s="744" t="s">
        <v>3930</v>
      </c>
      <c r="AD1288" s="744"/>
      <c r="AE1288" s="744"/>
      <c r="AF1288" s="744"/>
      <c r="AG1288" s="251" t="s">
        <v>283</v>
      </c>
    </row>
    <row r="1289" spans="1:33" ht="15.75" customHeight="1">
      <c r="A1289" s="743">
        <v>43214</v>
      </c>
      <c r="B1289" s="263" t="s">
        <v>76</v>
      </c>
      <c r="C1289" s="744">
        <v>303</v>
      </c>
      <c r="D1289" s="250" t="s">
        <v>4208</v>
      </c>
      <c r="E1289" s="595" t="s">
        <v>317</v>
      </c>
      <c r="F1289" s="251">
        <v>30</v>
      </c>
      <c r="G1289" s="252">
        <v>255</v>
      </c>
      <c r="H1289" s="253">
        <f t="shared" si="127"/>
        <v>7650</v>
      </c>
      <c r="I1289" s="254" t="s">
        <v>42</v>
      </c>
      <c r="J1289" s="367" t="s">
        <v>315</v>
      </c>
      <c r="K1289" s="256">
        <v>43234</v>
      </c>
      <c r="L1289" s="256"/>
      <c r="M1289" s="256">
        <v>43223</v>
      </c>
      <c r="N1289" s="401" t="s">
        <v>1967</v>
      </c>
      <c r="O1289" s="308" t="s">
        <v>4209</v>
      </c>
      <c r="Q1289" s="266">
        <v>6930</v>
      </c>
      <c r="R1289" s="1394"/>
      <c r="S1289" s="1394"/>
      <c r="U1289" s="328"/>
      <c r="V1289" s="308" t="s">
        <v>1969</v>
      </c>
      <c r="W1289" s="747">
        <v>43348</v>
      </c>
      <c r="X1289" s="748">
        <v>43224</v>
      </c>
      <c r="Y1289" s="744" t="s">
        <v>4210</v>
      </c>
      <c r="Z1289" s="749">
        <v>205752</v>
      </c>
      <c r="AA1289" s="748">
        <v>43349</v>
      </c>
      <c r="AB1289" s="250" t="s">
        <v>4159</v>
      </c>
      <c r="AC1289" s="744">
        <v>103167971</v>
      </c>
      <c r="AD1289" s="744"/>
      <c r="AE1289" s="744"/>
      <c r="AF1289" s="744"/>
      <c r="AG1289" s="251" t="s">
        <v>283</v>
      </c>
    </row>
    <row r="1290" spans="1:33" ht="15.75" customHeight="1">
      <c r="A1290" s="743">
        <v>43214</v>
      </c>
      <c r="B1290" s="263" t="s">
        <v>76</v>
      </c>
      <c r="C1290" s="744">
        <v>303</v>
      </c>
      <c r="D1290" s="250" t="s">
        <v>4208</v>
      </c>
      <c r="E1290" s="595" t="s">
        <v>4211</v>
      </c>
      <c r="F1290" s="251">
        <v>100</v>
      </c>
      <c r="G1290" s="252">
        <v>1.85</v>
      </c>
      <c r="H1290" s="253">
        <f t="shared" si="127"/>
        <v>185</v>
      </c>
      <c r="I1290" s="254" t="s">
        <v>42</v>
      </c>
      <c r="J1290" s="367" t="s">
        <v>315</v>
      </c>
      <c r="K1290" s="256">
        <v>43262</v>
      </c>
      <c r="L1290" s="256"/>
      <c r="M1290" s="256">
        <v>43258</v>
      </c>
      <c r="N1290" s="251" t="s">
        <v>2006</v>
      </c>
      <c r="O1290" s="308" t="s">
        <v>4212</v>
      </c>
      <c r="Q1290" s="591"/>
      <c r="R1290" s="1406"/>
      <c r="S1290" s="1406"/>
      <c r="U1290" s="770">
        <v>4200</v>
      </c>
      <c r="V1290" s="328" t="s">
        <v>2146</v>
      </c>
      <c r="W1290" s="747">
        <v>43286</v>
      </c>
      <c r="X1290" s="748">
        <v>43257</v>
      </c>
      <c r="Y1290" s="744" t="s">
        <v>4213</v>
      </c>
      <c r="Z1290" s="749">
        <v>13020</v>
      </c>
      <c r="AA1290" s="748">
        <v>43286</v>
      </c>
      <c r="AB1290" s="250" t="s">
        <v>3944</v>
      </c>
      <c r="AC1290" s="744">
        <v>123352051</v>
      </c>
      <c r="AD1290" s="744"/>
      <c r="AE1290" s="744"/>
      <c r="AF1290" s="744"/>
      <c r="AG1290" s="251" t="s">
        <v>283</v>
      </c>
    </row>
    <row r="1291" spans="1:33" ht="15.75" customHeight="1">
      <c r="A1291" s="743">
        <v>43214</v>
      </c>
      <c r="B1291" s="263" t="s">
        <v>76</v>
      </c>
      <c r="C1291" s="744">
        <v>303</v>
      </c>
      <c r="D1291" s="250" t="s">
        <v>4208</v>
      </c>
      <c r="E1291" s="595" t="s">
        <v>4214</v>
      </c>
      <c r="F1291" s="251">
        <v>200</v>
      </c>
      <c r="G1291" s="252">
        <v>1.95</v>
      </c>
      <c r="H1291" s="253">
        <f t="shared" si="127"/>
        <v>390</v>
      </c>
      <c r="I1291" s="254" t="s">
        <v>42</v>
      </c>
      <c r="J1291" s="367" t="s">
        <v>315</v>
      </c>
      <c r="K1291" s="256">
        <v>43262</v>
      </c>
      <c r="L1291" s="256"/>
      <c r="M1291" s="256">
        <v>43258</v>
      </c>
      <c r="N1291" s="251" t="s">
        <v>2006</v>
      </c>
      <c r="O1291" s="308" t="s">
        <v>4212</v>
      </c>
      <c r="Q1291" s="591"/>
      <c r="R1291" s="1406"/>
      <c r="S1291" s="1406"/>
      <c r="U1291" s="770">
        <v>8820</v>
      </c>
      <c r="V1291" s="328" t="s">
        <v>2146</v>
      </c>
      <c r="W1291" s="747">
        <v>43286</v>
      </c>
      <c r="X1291" s="748">
        <v>43257</v>
      </c>
      <c r="Y1291" s="744" t="s">
        <v>4213</v>
      </c>
      <c r="Z1291" s="744" t="s">
        <v>2318</v>
      </c>
      <c r="AA1291" s="748">
        <v>43286</v>
      </c>
      <c r="AB1291" s="250" t="s">
        <v>3944</v>
      </c>
      <c r="AC1291" s="744">
        <v>123352051</v>
      </c>
      <c r="AD1291" s="744"/>
      <c r="AE1291" s="744"/>
      <c r="AF1291" s="744"/>
      <c r="AG1291" s="251" t="s">
        <v>283</v>
      </c>
    </row>
    <row r="1292" spans="1:33" ht="15.75" customHeight="1">
      <c r="A1292" s="743">
        <v>43214</v>
      </c>
      <c r="B1292" s="144" t="s">
        <v>76</v>
      </c>
      <c r="C1292" s="744">
        <v>303</v>
      </c>
      <c r="D1292" s="250" t="s">
        <v>4208</v>
      </c>
      <c r="E1292" s="595" t="s">
        <v>4215</v>
      </c>
      <c r="F1292" s="251">
        <v>1</v>
      </c>
      <c r="G1292" s="252">
        <v>6</v>
      </c>
      <c r="H1292" s="253">
        <f t="shared" si="127"/>
        <v>6</v>
      </c>
      <c r="I1292" s="254" t="s">
        <v>42</v>
      </c>
      <c r="J1292" s="367" t="s">
        <v>1083</v>
      </c>
      <c r="K1292" s="256">
        <v>43242</v>
      </c>
      <c r="L1292" s="256"/>
      <c r="M1292" s="256">
        <v>43238</v>
      </c>
      <c r="N1292" s="251" t="s">
        <v>2006</v>
      </c>
      <c r="O1292" s="250" t="s">
        <v>4157</v>
      </c>
      <c r="Q1292" s="591"/>
      <c r="R1292" s="1406"/>
      <c r="S1292" s="1406"/>
      <c r="U1292" s="574" t="s">
        <v>4158</v>
      </c>
      <c r="V1292" s="328" t="s">
        <v>2146</v>
      </c>
      <c r="W1292" s="328"/>
      <c r="X1292" s="745"/>
      <c r="Y1292" s="745"/>
      <c r="Z1292" s="745"/>
      <c r="AA1292" s="797"/>
      <c r="AB1292" s="250" t="s">
        <v>3986</v>
      </c>
      <c r="AC1292" s="744">
        <v>109039486</v>
      </c>
      <c r="AD1292" s="744"/>
      <c r="AE1292" s="744"/>
      <c r="AF1292" s="744"/>
      <c r="AG1292" s="251" t="s">
        <v>283</v>
      </c>
    </row>
    <row r="1293" spans="1:33" ht="15.75" customHeight="1">
      <c r="A1293" s="743">
        <v>43214</v>
      </c>
      <c r="B1293" s="144" t="s">
        <v>76</v>
      </c>
      <c r="C1293" s="744">
        <v>303</v>
      </c>
      <c r="D1293" s="250" t="s">
        <v>4208</v>
      </c>
      <c r="E1293" s="595" t="s">
        <v>4216</v>
      </c>
      <c r="F1293" s="251">
        <v>1</v>
      </c>
      <c r="G1293" s="252">
        <v>6</v>
      </c>
      <c r="H1293" s="253">
        <f t="shared" si="127"/>
        <v>6</v>
      </c>
      <c r="I1293" s="254" t="s">
        <v>42</v>
      </c>
      <c r="J1293" s="367" t="s">
        <v>1083</v>
      </c>
      <c r="K1293" s="256">
        <v>43242</v>
      </c>
      <c r="L1293" s="256"/>
      <c r="M1293" s="256">
        <v>43238</v>
      </c>
      <c r="N1293" s="251" t="s">
        <v>2006</v>
      </c>
      <c r="O1293" s="250" t="s">
        <v>4157</v>
      </c>
      <c r="Q1293" s="591"/>
      <c r="R1293" s="1406"/>
      <c r="S1293" s="1406"/>
      <c r="U1293" s="574" t="s">
        <v>4158</v>
      </c>
      <c r="V1293" s="328" t="s">
        <v>2146</v>
      </c>
      <c r="W1293" s="328"/>
      <c r="X1293" s="745"/>
      <c r="Y1293" s="745"/>
      <c r="Z1293" s="745"/>
      <c r="AA1293" s="797"/>
      <c r="AB1293" s="250" t="s">
        <v>3986</v>
      </c>
      <c r="AC1293" s="744">
        <v>109039486</v>
      </c>
      <c r="AD1293" s="744"/>
      <c r="AE1293" s="744"/>
      <c r="AF1293" s="744"/>
      <c r="AG1293" s="251" t="s">
        <v>283</v>
      </c>
    </row>
    <row r="1294" spans="1:33" ht="15.75" customHeight="1">
      <c r="A1294" s="743">
        <v>43214</v>
      </c>
      <c r="B1294" s="144" t="s">
        <v>76</v>
      </c>
      <c r="C1294" s="744">
        <v>303</v>
      </c>
      <c r="D1294" s="250" t="s">
        <v>4208</v>
      </c>
      <c r="E1294" s="595" t="s">
        <v>4217</v>
      </c>
      <c r="F1294" s="251">
        <v>1</v>
      </c>
      <c r="G1294" s="252">
        <v>2</v>
      </c>
      <c r="H1294" s="253">
        <f t="shared" si="127"/>
        <v>2</v>
      </c>
      <c r="I1294" s="254" t="s">
        <v>42</v>
      </c>
      <c r="J1294" s="367" t="s">
        <v>1083</v>
      </c>
      <c r="K1294" s="256">
        <v>43242</v>
      </c>
      <c r="L1294" s="256"/>
      <c r="M1294" s="256">
        <v>43238</v>
      </c>
      <c r="N1294" s="251" t="s">
        <v>2006</v>
      </c>
      <c r="O1294" s="250" t="s">
        <v>4157</v>
      </c>
      <c r="Q1294" s="591"/>
      <c r="R1294" s="1406"/>
      <c r="S1294" s="1406"/>
      <c r="U1294" s="574" t="s">
        <v>4158</v>
      </c>
      <c r="V1294" s="328" t="s">
        <v>2146</v>
      </c>
      <c r="W1294" s="328"/>
      <c r="X1294" s="745"/>
      <c r="Y1294" s="745"/>
      <c r="Z1294" s="745"/>
      <c r="AA1294" s="797"/>
      <c r="AB1294" s="250" t="s">
        <v>3986</v>
      </c>
      <c r="AC1294" s="744">
        <v>109039486</v>
      </c>
      <c r="AD1294" s="744"/>
      <c r="AE1294" s="744"/>
      <c r="AF1294" s="744"/>
      <c r="AG1294" s="251" t="s">
        <v>283</v>
      </c>
    </row>
    <row r="1295" spans="1:33" ht="15.75" customHeight="1">
      <c r="A1295" s="743">
        <v>43214</v>
      </c>
      <c r="B1295" s="144" t="s">
        <v>76</v>
      </c>
      <c r="C1295" s="744">
        <v>303</v>
      </c>
      <c r="D1295" s="250" t="s">
        <v>4208</v>
      </c>
      <c r="E1295" s="595" t="s">
        <v>4218</v>
      </c>
      <c r="F1295" s="251">
        <v>1</v>
      </c>
      <c r="G1295" s="252">
        <v>2</v>
      </c>
      <c r="H1295" s="253">
        <f t="shared" si="127"/>
        <v>2</v>
      </c>
      <c r="I1295" s="254" t="s">
        <v>42</v>
      </c>
      <c r="J1295" s="367" t="s">
        <v>1083</v>
      </c>
      <c r="K1295" s="256">
        <v>43242</v>
      </c>
      <c r="L1295" s="256"/>
      <c r="M1295" s="256">
        <v>43238</v>
      </c>
      <c r="N1295" s="251" t="s">
        <v>2006</v>
      </c>
      <c r="O1295" s="250" t="s">
        <v>4157</v>
      </c>
      <c r="Q1295" s="591"/>
      <c r="R1295" s="1406"/>
      <c r="S1295" s="1406"/>
      <c r="U1295" s="574" t="s">
        <v>4158</v>
      </c>
      <c r="V1295" s="328" t="s">
        <v>2146</v>
      </c>
      <c r="W1295" s="328"/>
      <c r="X1295" s="745"/>
      <c r="Y1295" s="745"/>
      <c r="Z1295" s="745"/>
      <c r="AA1295" s="797"/>
      <c r="AB1295" s="250" t="s">
        <v>3986</v>
      </c>
      <c r="AC1295" s="744">
        <v>109039486</v>
      </c>
      <c r="AD1295" s="744"/>
      <c r="AE1295" s="744"/>
      <c r="AF1295" s="744"/>
      <c r="AG1295" s="251" t="s">
        <v>283</v>
      </c>
    </row>
    <row r="1296" spans="1:33" ht="15.75" customHeight="1">
      <c r="A1296" s="743">
        <v>43214</v>
      </c>
      <c r="B1296" s="144" t="s">
        <v>76</v>
      </c>
      <c r="C1296" s="744">
        <v>303</v>
      </c>
      <c r="D1296" s="250" t="s">
        <v>4208</v>
      </c>
      <c r="E1296" s="595" t="s">
        <v>4219</v>
      </c>
      <c r="F1296" s="251">
        <v>1</v>
      </c>
      <c r="G1296" s="252">
        <v>180</v>
      </c>
      <c r="H1296" s="253">
        <f t="shared" si="127"/>
        <v>180</v>
      </c>
      <c r="I1296" s="254" t="s">
        <v>42</v>
      </c>
      <c r="J1296" s="367" t="s">
        <v>1083</v>
      </c>
      <c r="K1296" s="256">
        <v>43242</v>
      </c>
      <c r="L1296" s="256"/>
      <c r="M1296" s="256">
        <v>43227</v>
      </c>
      <c r="N1296" s="251" t="s">
        <v>4220</v>
      </c>
      <c r="O1296" s="308" t="s">
        <v>4221</v>
      </c>
      <c r="Q1296" s="266">
        <v>81.900000000000006</v>
      </c>
      <c r="R1296" s="1394"/>
      <c r="S1296" s="1394"/>
      <c r="U1296" s="572">
        <v>2435</v>
      </c>
      <c r="V1296" s="597" t="s">
        <v>4222</v>
      </c>
      <c r="W1296" s="328"/>
      <c r="X1296" s="748">
        <v>43224</v>
      </c>
      <c r="Y1296" s="744" t="s">
        <v>4223</v>
      </c>
      <c r="Z1296" s="749">
        <v>2435</v>
      </c>
      <c r="AA1296" s="573">
        <v>43224</v>
      </c>
      <c r="AB1296" s="250" t="s">
        <v>3986</v>
      </c>
      <c r="AC1296" s="744">
        <v>109039486</v>
      </c>
      <c r="AD1296" s="744"/>
      <c r="AE1296" s="744"/>
      <c r="AF1296" s="744"/>
      <c r="AG1296" s="251" t="s">
        <v>283</v>
      </c>
    </row>
    <row r="1297" spans="1:33" ht="15.75" customHeight="1">
      <c r="A1297" s="743">
        <v>43214</v>
      </c>
      <c r="B1297" s="144" t="s">
        <v>76</v>
      </c>
      <c r="C1297" s="744">
        <v>303</v>
      </c>
      <c r="D1297" s="250" t="s">
        <v>4208</v>
      </c>
      <c r="E1297" s="250" t="s">
        <v>4224</v>
      </c>
      <c r="F1297" s="251">
        <v>1</v>
      </c>
      <c r="G1297" s="252">
        <v>0</v>
      </c>
      <c r="H1297" s="253">
        <f t="shared" si="127"/>
        <v>0</v>
      </c>
      <c r="I1297" s="254" t="s">
        <v>42</v>
      </c>
      <c r="J1297" s="367" t="s">
        <v>1083</v>
      </c>
      <c r="K1297" s="256">
        <v>43242</v>
      </c>
      <c r="L1297" s="256"/>
      <c r="M1297" s="256">
        <v>43236</v>
      </c>
      <c r="N1297" s="264" t="s">
        <v>1512</v>
      </c>
      <c r="O1297" s="308" t="s">
        <v>4225</v>
      </c>
      <c r="Q1297" s="266">
        <v>60</v>
      </c>
      <c r="R1297" s="1394"/>
      <c r="S1297" s="1394"/>
      <c r="U1297" s="572">
        <v>1873</v>
      </c>
      <c r="V1297" s="597" t="s">
        <v>4226</v>
      </c>
      <c r="W1297" s="747">
        <v>43256</v>
      </c>
      <c r="X1297" s="750">
        <v>43234</v>
      </c>
      <c r="Y1297" s="250" t="s">
        <v>4227</v>
      </c>
      <c r="Z1297" s="753">
        <v>3995</v>
      </c>
      <c r="AA1297" s="789">
        <v>43256</v>
      </c>
      <c r="AB1297" s="250" t="s">
        <v>3986</v>
      </c>
      <c r="AC1297" s="744">
        <v>109039486</v>
      </c>
      <c r="AD1297" s="744"/>
      <c r="AE1297" s="744"/>
      <c r="AF1297" s="744"/>
      <c r="AG1297" s="251" t="s">
        <v>283</v>
      </c>
    </row>
    <row r="1298" spans="1:33" ht="15.75" customHeight="1">
      <c r="A1298" s="743">
        <v>43214</v>
      </c>
      <c r="B1298" s="144" t="s">
        <v>76</v>
      </c>
      <c r="C1298" s="744">
        <v>303</v>
      </c>
      <c r="D1298" s="250" t="s">
        <v>4208</v>
      </c>
      <c r="E1298" s="250" t="s">
        <v>645</v>
      </c>
      <c r="F1298" s="251">
        <v>1</v>
      </c>
      <c r="G1298" s="252">
        <v>0</v>
      </c>
      <c r="H1298" s="253">
        <f t="shared" si="127"/>
        <v>0</v>
      </c>
      <c r="I1298" s="254" t="s">
        <v>42</v>
      </c>
      <c r="J1298" s="367" t="s">
        <v>1083</v>
      </c>
      <c r="K1298" s="256">
        <v>43242</v>
      </c>
      <c r="L1298" s="256"/>
      <c r="M1298" s="256">
        <v>43236</v>
      </c>
      <c r="N1298" s="264" t="s">
        <v>1512</v>
      </c>
      <c r="O1298" s="308" t="s">
        <v>4225</v>
      </c>
      <c r="Q1298" s="266">
        <v>0</v>
      </c>
      <c r="R1298" s="1394"/>
      <c r="S1298" s="1394"/>
      <c r="U1298" s="266">
        <v>0</v>
      </c>
      <c r="V1298" s="328" t="s">
        <v>2109</v>
      </c>
      <c r="W1298" s="328"/>
      <c r="X1298" s="744"/>
      <c r="Y1298" s="744"/>
      <c r="Z1298" s="744"/>
      <c r="AA1298" s="573"/>
      <c r="AB1298" s="250" t="s">
        <v>3986</v>
      </c>
      <c r="AC1298" s="744">
        <v>109039486</v>
      </c>
      <c r="AD1298" s="744"/>
      <c r="AE1298" s="744"/>
      <c r="AF1298" s="744"/>
      <c r="AG1298" s="251" t="s">
        <v>283</v>
      </c>
    </row>
    <row r="1299" spans="1:33" ht="15.75" customHeight="1">
      <c r="A1299" s="743">
        <v>43214</v>
      </c>
      <c r="B1299" s="144" t="s">
        <v>76</v>
      </c>
      <c r="C1299" s="744">
        <v>303</v>
      </c>
      <c r="D1299" s="250" t="s">
        <v>4208</v>
      </c>
      <c r="E1299" s="250" t="s">
        <v>646</v>
      </c>
      <c r="F1299" s="251">
        <v>1</v>
      </c>
      <c r="G1299" s="252">
        <v>0</v>
      </c>
      <c r="H1299" s="253">
        <f t="shared" si="127"/>
        <v>0</v>
      </c>
      <c r="I1299" s="254" t="s">
        <v>42</v>
      </c>
      <c r="J1299" s="367" t="s">
        <v>1083</v>
      </c>
      <c r="K1299" s="256">
        <v>43242</v>
      </c>
      <c r="L1299" s="256"/>
      <c r="M1299" s="256">
        <v>43236</v>
      </c>
      <c r="N1299" s="264" t="s">
        <v>1512</v>
      </c>
      <c r="O1299" s="308" t="s">
        <v>4225</v>
      </c>
      <c r="Q1299" s="266">
        <v>0</v>
      </c>
      <c r="R1299" s="1394"/>
      <c r="S1299" s="1394"/>
      <c r="U1299" s="266">
        <v>0</v>
      </c>
      <c r="V1299" s="597" t="s">
        <v>4226</v>
      </c>
      <c r="W1299" s="328"/>
      <c r="X1299" s="744"/>
      <c r="Y1299" s="744"/>
      <c r="Z1299" s="744"/>
      <c r="AA1299" s="573"/>
      <c r="AB1299" s="250" t="s">
        <v>3986</v>
      </c>
      <c r="AC1299" s="744">
        <v>109039486</v>
      </c>
      <c r="AD1299" s="744"/>
      <c r="AE1299" s="744"/>
      <c r="AF1299" s="744"/>
      <c r="AG1299" s="251" t="s">
        <v>283</v>
      </c>
    </row>
    <row r="1300" spans="1:33" ht="15.75" customHeight="1">
      <c r="A1300" s="743">
        <v>43214</v>
      </c>
      <c r="B1300" s="144" t="s">
        <v>76</v>
      </c>
      <c r="C1300" s="744">
        <v>303</v>
      </c>
      <c r="D1300" s="250" t="s">
        <v>4208</v>
      </c>
      <c r="E1300" s="250" t="s">
        <v>647</v>
      </c>
      <c r="F1300" s="251">
        <v>1</v>
      </c>
      <c r="G1300" s="252">
        <v>0</v>
      </c>
      <c r="H1300" s="253">
        <f t="shared" si="127"/>
        <v>0</v>
      </c>
      <c r="I1300" s="254" t="s">
        <v>42</v>
      </c>
      <c r="J1300" s="367" t="s">
        <v>1083</v>
      </c>
      <c r="K1300" s="256">
        <v>43242</v>
      </c>
      <c r="L1300" s="256"/>
      <c r="M1300" s="256">
        <v>43236</v>
      </c>
      <c r="N1300" s="264" t="s">
        <v>1512</v>
      </c>
      <c r="O1300" s="308" t="s">
        <v>4225</v>
      </c>
      <c r="Q1300" s="266">
        <v>0</v>
      </c>
      <c r="R1300" s="1394"/>
      <c r="S1300" s="1394"/>
      <c r="U1300" s="266">
        <v>0</v>
      </c>
      <c r="V1300" s="597" t="s">
        <v>4226</v>
      </c>
      <c r="W1300" s="328"/>
      <c r="X1300" s="744"/>
      <c r="Y1300" s="744"/>
      <c r="Z1300" s="744"/>
      <c r="AA1300" s="573"/>
      <c r="AB1300" s="250" t="s">
        <v>3986</v>
      </c>
      <c r="AC1300" s="744">
        <v>109039486</v>
      </c>
      <c r="AD1300" s="744"/>
      <c r="AE1300" s="744"/>
      <c r="AF1300" s="744"/>
      <c r="AG1300" s="251" t="s">
        <v>283</v>
      </c>
    </row>
    <row r="1301" spans="1:33" ht="15.75" customHeight="1">
      <c r="A1301" s="743">
        <v>43214</v>
      </c>
      <c r="B1301" s="144" t="s">
        <v>76</v>
      </c>
      <c r="C1301" s="744">
        <v>303</v>
      </c>
      <c r="D1301" s="250" t="s">
        <v>4208</v>
      </c>
      <c r="E1301" s="250" t="s">
        <v>4228</v>
      </c>
      <c r="F1301" s="251">
        <v>1</v>
      </c>
      <c r="G1301" s="252">
        <v>0</v>
      </c>
      <c r="H1301" s="253">
        <f t="shared" si="127"/>
        <v>0</v>
      </c>
      <c r="I1301" s="254" t="s">
        <v>42</v>
      </c>
      <c r="J1301" s="367" t="s">
        <v>1083</v>
      </c>
      <c r="K1301" s="256">
        <v>43242</v>
      </c>
      <c r="L1301" s="256"/>
      <c r="M1301" s="256">
        <v>43238</v>
      </c>
      <c r="N1301" s="251" t="s">
        <v>2006</v>
      </c>
      <c r="O1301" s="250" t="s">
        <v>4157</v>
      </c>
      <c r="Q1301" s="591"/>
      <c r="R1301" s="1406"/>
      <c r="S1301" s="1406"/>
      <c r="U1301" s="574" t="s">
        <v>4158</v>
      </c>
      <c r="V1301" s="328" t="s">
        <v>2146</v>
      </c>
      <c r="W1301" s="328"/>
      <c r="X1301" s="744"/>
      <c r="Y1301" s="744"/>
      <c r="Z1301" s="744"/>
      <c r="AA1301" s="573"/>
      <c r="AB1301" s="250" t="s">
        <v>3986</v>
      </c>
      <c r="AC1301" s="744">
        <v>109039486</v>
      </c>
      <c r="AD1301" s="744"/>
      <c r="AE1301" s="744"/>
      <c r="AF1301" s="744"/>
      <c r="AG1301" s="251" t="s">
        <v>283</v>
      </c>
    </row>
    <row r="1302" spans="1:33" ht="15.75" customHeight="1">
      <c r="A1302" s="743">
        <v>43214</v>
      </c>
      <c r="B1302" s="144" t="s">
        <v>76</v>
      </c>
      <c r="C1302" s="744">
        <v>303</v>
      </c>
      <c r="D1302" s="250" t="s">
        <v>4208</v>
      </c>
      <c r="E1302" s="595" t="s">
        <v>4229</v>
      </c>
      <c r="F1302" s="251">
        <v>1</v>
      </c>
      <c r="G1302" s="252">
        <v>183</v>
      </c>
      <c r="H1302" s="253">
        <f t="shared" si="127"/>
        <v>183</v>
      </c>
      <c r="I1302" s="254" t="s">
        <v>42</v>
      </c>
      <c r="J1302" s="367" t="s">
        <v>1083</v>
      </c>
      <c r="K1302" s="256">
        <v>43242</v>
      </c>
      <c r="L1302" s="256"/>
      <c r="M1302" s="256">
        <v>43227</v>
      </c>
      <c r="N1302" s="331" t="s">
        <v>4230</v>
      </c>
      <c r="O1302" s="308" t="s">
        <v>4231</v>
      </c>
      <c r="Q1302" s="266">
        <v>57.75</v>
      </c>
      <c r="R1302" s="1394"/>
      <c r="S1302" s="1394"/>
      <c r="U1302" s="572">
        <v>1717</v>
      </c>
      <c r="V1302" s="597" t="s">
        <v>4232</v>
      </c>
      <c r="W1302" s="574" t="s">
        <v>421</v>
      </c>
      <c r="X1302" s="748">
        <v>43227</v>
      </c>
      <c r="Y1302" s="744" t="s">
        <v>4233</v>
      </c>
      <c r="Z1302" s="749">
        <v>1717</v>
      </c>
      <c r="AA1302" s="573">
        <v>43224</v>
      </c>
      <c r="AB1302" s="250" t="s">
        <v>3986</v>
      </c>
      <c r="AC1302" s="744">
        <v>109039486</v>
      </c>
      <c r="AD1302" s="744"/>
      <c r="AE1302" s="744"/>
      <c r="AF1302" s="744"/>
      <c r="AG1302" s="251" t="s">
        <v>283</v>
      </c>
    </row>
    <row r="1303" spans="1:33" ht="15.75" customHeight="1">
      <c r="A1303" s="743">
        <v>43214</v>
      </c>
      <c r="B1303" s="144" t="s">
        <v>76</v>
      </c>
      <c r="C1303" s="744">
        <v>303</v>
      </c>
      <c r="D1303" s="250" t="s">
        <v>4208</v>
      </c>
      <c r="E1303" s="250" t="s">
        <v>4234</v>
      </c>
      <c r="F1303" s="251">
        <v>1</v>
      </c>
      <c r="G1303" s="252">
        <v>0</v>
      </c>
      <c r="H1303" s="253">
        <f t="shared" si="127"/>
        <v>0</v>
      </c>
      <c r="I1303" s="254" t="s">
        <v>42</v>
      </c>
      <c r="J1303" s="367" t="s">
        <v>1083</v>
      </c>
      <c r="K1303" s="256">
        <v>43242</v>
      </c>
      <c r="L1303" s="256"/>
      <c r="M1303" s="256">
        <v>43236</v>
      </c>
      <c r="N1303" s="264" t="s">
        <v>1512</v>
      </c>
      <c r="O1303" s="308" t="s">
        <v>4225</v>
      </c>
      <c r="Q1303" s="266">
        <v>68</v>
      </c>
      <c r="R1303" s="1394"/>
      <c r="S1303" s="1394"/>
      <c r="U1303" s="572">
        <v>2122</v>
      </c>
      <c r="V1303" s="597" t="s">
        <v>4226</v>
      </c>
      <c r="W1303" s="747">
        <v>43256</v>
      </c>
      <c r="X1303" s="750">
        <v>43234</v>
      </c>
      <c r="Y1303" s="250" t="s">
        <v>4227</v>
      </c>
      <c r="Z1303" s="753">
        <v>3995</v>
      </c>
      <c r="AA1303" s="789">
        <v>43256</v>
      </c>
      <c r="AB1303" s="250" t="s">
        <v>3986</v>
      </c>
      <c r="AC1303" s="744">
        <v>109039486</v>
      </c>
      <c r="AD1303" s="744"/>
      <c r="AE1303" s="744"/>
      <c r="AF1303" s="744"/>
      <c r="AG1303" s="251" t="s">
        <v>283</v>
      </c>
    </row>
    <row r="1304" spans="1:33" ht="15.75" customHeight="1">
      <c r="A1304" s="743">
        <v>43214</v>
      </c>
      <c r="B1304" s="144" t="s">
        <v>76</v>
      </c>
      <c r="C1304" s="744">
        <v>303</v>
      </c>
      <c r="D1304" s="250" t="s">
        <v>4208</v>
      </c>
      <c r="E1304" s="250" t="s">
        <v>645</v>
      </c>
      <c r="F1304" s="251">
        <v>1</v>
      </c>
      <c r="G1304" s="252">
        <v>0</v>
      </c>
      <c r="H1304" s="253">
        <f t="shared" si="127"/>
        <v>0</v>
      </c>
      <c r="I1304" s="254" t="s">
        <v>42</v>
      </c>
      <c r="J1304" s="367" t="s">
        <v>1083</v>
      </c>
      <c r="K1304" s="256">
        <v>43242</v>
      </c>
      <c r="L1304" s="256"/>
      <c r="M1304" s="256">
        <v>43236</v>
      </c>
      <c r="N1304" s="264" t="s">
        <v>1512</v>
      </c>
      <c r="O1304" s="308" t="s">
        <v>4225</v>
      </c>
      <c r="Q1304" s="266">
        <v>0</v>
      </c>
      <c r="R1304" s="1394"/>
      <c r="S1304" s="1394"/>
      <c r="U1304" s="266">
        <v>0</v>
      </c>
      <c r="V1304" s="328" t="s">
        <v>2109</v>
      </c>
      <c r="W1304" s="328"/>
      <c r="X1304" s="745"/>
      <c r="Y1304" s="745"/>
      <c r="Z1304" s="745"/>
      <c r="AA1304" s="797"/>
      <c r="AB1304" s="250" t="s">
        <v>3986</v>
      </c>
      <c r="AC1304" s="744">
        <v>109039486</v>
      </c>
      <c r="AD1304" s="744"/>
      <c r="AE1304" s="744"/>
      <c r="AF1304" s="744"/>
      <c r="AG1304" s="251" t="s">
        <v>283</v>
      </c>
    </row>
    <row r="1305" spans="1:33" ht="15.75" customHeight="1">
      <c r="A1305" s="743">
        <v>43214</v>
      </c>
      <c r="B1305" s="144" t="s">
        <v>76</v>
      </c>
      <c r="C1305" s="744">
        <v>303</v>
      </c>
      <c r="D1305" s="250" t="s">
        <v>4208</v>
      </c>
      <c r="E1305" s="250" t="s">
        <v>646</v>
      </c>
      <c r="F1305" s="251">
        <v>1</v>
      </c>
      <c r="G1305" s="252">
        <v>0</v>
      </c>
      <c r="H1305" s="253">
        <f t="shared" si="127"/>
        <v>0</v>
      </c>
      <c r="I1305" s="254" t="s">
        <v>42</v>
      </c>
      <c r="J1305" s="367" t="s">
        <v>1083</v>
      </c>
      <c r="K1305" s="256">
        <v>43242</v>
      </c>
      <c r="L1305" s="256"/>
      <c r="M1305" s="256">
        <v>43236</v>
      </c>
      <c r="N1305" s="264" t="s">
        <v>1512</v>
      </c>
      <c r="O1305" s="308" t="s">
        <v>4225</v>
      </c>
      <c r="Q1305" s="266">
        <v>0</v>
      </c>
      <c r="R1305" s="1394"/>
      <c r="S1305" s="1394"/>
      <c r="U1305" s="266">
        <v>0</v>
      </c>
      <c r="V1305" s="597" t="s">
        <v>4226</v>
      </c>
      <c r="W1305" s="328"/>
      <c r="X1305" s="745"/>
      <c r="Y1305" s="745"/>
      <c r="Z1305" s="745"/>
      <c r="AA1305" s="797"/>
      <c r="AB1305" s="250" t="s">
        <v>3986</v>
      </c>
      <c r="AC1305" s="744">
        <v>109039486</v>
      </c>
      <c r="AD1305" s="744"/>
      <c r="AE1305" s="744"/>
      <c r="AF1305" s="744"/>
      <c r="AG1305" s="251" t="s">
        <v>283</v>
      </c>
    </row>
    <row r="1306" spans="1:33" ht="15.75" customHeight="1">
      <c r="A1306" s="743">
        <v>43214</v>
      </c>
      <c r="B1306" s="144" t="s">
        <v>76</v>
      </c>
      <c r="C1306" s="744">
        <v>303</v>
      </c>
      <c r="D1306" s="250" t="s">
        <v>4208</v>
      </c>
      <c r="E1306" s="250" t="s">
        <v>647</v>
      </c>
      <c r="F1306" s="251">
        <v>1</v>
      </c>
      <c r="G1306" s="252">
        <v>0</v>
      </c>
      <c r="H1306" s="253">
        <f t="shared" si="127"/>
        <v>0</v>
      </c>
      <c r="I1306" s="254" t="s">
        <v>42</v>
      </c>
      <c r="J1306" s="367" t="s">
        <v>1083</v>
      </c>
      <c r="K1306" s="256">
        <v>43242</v>
      </c>
      <c r="L1306" s="256"/>
      <c r="M1306" s="256">
        <v>43236</v>
      </c>
      <c r="N1306" s="264" t="s">
        <v>1512</v>
      </c>
      <c r="O1306" s="308" t="s">
        <v>4225</v>
      </c>
      <c r="Q1306" s="266">
        <v>0</v>
      </c>
      <c r="R1306" s="1394"/>
      <c r="S1306" s="1394"/>
      <c r="U1306" s="266">
        <v>0</v>
      </c>
      <c r="V1306" s="597" t="s">
        <v>4226</v>
      </c>
      <c r="W1306" s="328"/>
      <c r="X1306" s="745"/>
      <c r="Y1306" s="745"/>
      <c r="Z1306" s="745"/>
      <c r="AA1306" s="797"/>
      <c r="AB1306" s="250" t="s">
        <v>3986</v>
      </c>
      <c r="AC1306" s="744">
        <v>109039486</v>
      </c>
      <c r="AD1306" s="744"/>
      <c r="AE1306" s="744"/>
      <c r="AF1306" s="744"/>
      <c r="AG1306" s="251" t="s">
        <v>283</v>
      </c>
    </row>
    <row r="1307" spans="1:33" ht="15.75" customHeight="1">
      <c r="A1307" s="743">
        <v>43214</v>
      </c>
      <c r="B1307" s="144" t="s">
        <v>76</v>
      </c>
      <c r="C1307" s="744">
        <v>303</v>
      </c>
      <c r="D1307" s="250" t="s">
        <v>4208</v>
      </c>
      <c r="E1307" s="250" t="s">
        <v>4228</v>
      </c>
      <c r="F1307" s="251">
        <v>1</v>
      </c>
      <c r="G1307" s="252">
        <v>0</v>
      </c>
      <c r="H1307" s="253">
        <f t="shared" si="127"/>
        <v>0</v>
      </c>
      <c r="I1307" s="254" t="s">
        <v>42</v>
      </c>
      <c r="J1307" s="367" t="s">
        <v>1083</v>
      </c>
      <c r="K1307" s="256">
        <v>43242</v>
      </c>
      <c r="L1307" s="256"/>
      <c r="M1307" s="256">
        <v>43238</v>
      </c>
      <c r="N1307" s="251" t="s">
        <v>2006</v>
      </c>
      <c r="O1307" s="250" t="s">
        <v>4157</v>
      </c>
      <c r="Q1307" s="591"/>
      <c r="R1307" s="1406"/>
      <c r="S1307" s="1406"/>
      <c r="U1307" s="574" t="s">
        <v>4158</v>
      </c>
      <c r="V1307" s="328" t="s">
        <v>2146</v>
      </c>
      <c r="W1307" s="328"/>
      <c r="X1307" s="745"/>
      <c r="Y1307" s="745"/>
      <c r="Z1307" s="745"/>
      <c r="AA1307" s="797"/>
      <c r="AB1307" s="250" t="s">
        <v>3986</v>
      </c>
      <c r="AC1307" s="744">
        <v>109039486</v>
      </c>
      <c r="AD1307" s="744"/>
      <c r="AE1307" s="744"/>
      <c r="AF1307" s="744"/>
      <c r="AG1307" s="251" t="s">
        <v>283</v>
      </c>
    </row>
    <row r="1308" spans="1:33" ht="15.75" customHeight="1">
      <c r="A1308" s="743">
        <v>43216</v>
      </c>
      <c r="B1308" s="263" t="s">
        <v>629</v>
      </c>
      <c r="C1308" s="744" t="s">
        <v>4235</v>
      </c>
      <c r="D1308" s="250" t="s">
        <v>4236</v>
      </c>
      <c r="E1308" s="595" t="s">
        <v>4107</v>
      </c>
      <c r="F1308" s="251">
        <v>10</v>
      </c>
      <c r="G1308" s="323">
        <v>173.25</v>
      </c>
      <c r="H1308" s="253">
        <f t="shared" si="127"/>
        <v>1732.5</v>
      </c>
      <c r="I1308" s="254" t="s">
        <v>170</v>
      </c>
      <c r="J1308" s="267" t="s">
        <v>626</v>
      </c>
      <c r="K1308" s="256">
        <v>43220</v>
      </c>
      <c r="L1308" s="256"/>
      <c r="M1308" s="256">
        <v>43217</v>
      </c>
      <c r="N1308" s="331" t="s">
        <v>2212</v>
      </c>
      <c r="O1308" s="308" t="s">
        <v>4237</v>
      </c>
      <c r="Q1308" s="591"/>
      <c r="R1308" s="1406"/>
      <c r="S1308" s="1406"/>
      <c r="U1308" s="572">
        <v>50925</v>
      </c>
      <c r="V1308" s="308" t="s">
        <v>2214</v>
      </c>
      <c r="W1308" s="328"/>
      <c r="X1308" s="748">
        <v>43216</v>
      </c>
      <c r="Y1308" s="744" t="s">
        <v>4238</v>
      </c>
      <c r="Z1308" s="749">
        <v>50925</v>
      </c>
      <c r="AA1308" s="750">
        <v>43222</v>
      </c>
      <c r="AB1308" s="744" t="s">
        <v>4239</v>
      </c>
      <c r="AC1308" s="250" t="s">
        <v>4240</v>
      </c>
      <c r="AD1308" s="595" t="s">
        <v>4241</v>
      </c>
      <c r="AE1308" s="753">
        <v>51161</v>
      </c>
      <c r="AF1308" s="744" t="s">
        <v>4242</v>
      </c>
      <c r="AG1308" s="251" t="s">
        <v>376</v>
      </c>
    </row>
    <row r="1309" spans="1:33" ht="15.75" customHeight="1">
      <c r="A1309" s="743">
        <v>43216</v>
      </c>
      <c r="B1309" s="263" t="s">
        <v>4243</v>
      </c>
      <c r="C1309" s="744"/>
      <c r="D1309" s="250" t="s">
        <v>4244</v>
      </c>
      <c r="E1309" s="595" t="s">
        <v>4245</v>
      </c>
      <c r="F1309" s="251">
        <v>1</v>
      </c>
      <c r="G1309" s="252">
        <v>180</v>
      </c>
      <c r="H1309" s="253">
        <f t="shared" si="127"/>
        <v>180</v>
      </c>
      <c r="I1309" s="254" t="s">
        <v>419</v>
      </c>
      <c r="J1309" s="267" t="s">
        <v>4246</v>
      </c>
      <c r="K1309" s="798">
        <v>43325</v>
      </c>
      <c r="L1309" s="1476"/>
      <c r="M1309" s="256">
        <v>43245</v>
      </c>
      <c r="N1309" s="331" t="s">
        <v>2008</v>
      </c>
      <c r="O1309" s="308" t="s">
        <v>4247</v>
      </c>
      <c r="Q1309" s="266">
        <v>172.2</v>
      </c>
      <c r="R1309" s="1394"/>
      <c r="S1309" s="1394"/>
      <c r="U1309" s="328"/>
      <c r="V1309" s="308" t="s">
        <v>2010</v>
      </c>
      <c r="W1309" s="328"/>
      <c r="X1309" s="748">
        <v>43244</v>
      </c>
      <c r="Y1309" s="744" t="s">
        <v>4248</v>
      </c>
      <c r="Z1309" s="749">
        <v>21203</v>
      </c>
      <c r="AA1309" s="748">
        <v>43276</v>
      </c>
      <c r="AB1309" s="250" t="s">
        <v>4249</v>
      </c>
      <c r="AC1309" s="744">
        <v>611782474</v>
      </c>
      <c r="AD1309" s="744"/>
      <c r="AE1309" s="744"/>
      <c r="AF1309" s="744"/>
      <c r="AG1309" s="251" t="s">
        <v>283</v>
      </c>
    </row>
    <row r="1310" spans="1:33" ht="15.75" customHeight="1">
      <c r="A1310" s="755">
        <v>43220</v>
      </c>
      <c r="B1310" s="318" t="s">
        <v>325</v>
      </c>
      <c r="C1310" s="250">
        <v>2022616</v>
      </c>
      <c r="D1310" s="308" t="s">
        <v>4250</v>
      </c>
      <c r="E1310" s="595" t="s">
        <v>4251</v>
      </c>
      <c r="F1310" s="251">
        <v>2</v>
      </c>
      <c r="G1310" s="252">
        <v>607</v>
      </c>
      <c r="H1310" s="253">
        <f t="shared" si="127"/>
        <v>1214</v>
      </c>
      <c r="I1310" s="254" t="s">
        <v>42</v>
      </c>
      <c r="J1310" s="267" t="s">
        <v>328</v>
      </c>
      <c r="K1310" s="256">
        <v>43244</v>
      </c>
      <c r="L1310" s="256"/>
      <c r="M1310" s="256">
        <v>43234</v>
      </c>
      <c r="N1310" s="331" t="s">
        <v>3614</v>
      </c>
      <c r="O1310" s="308" t="s">
        <v>4252</v>
      </c>
      <c r="Q1310" s="266">
        <v>1186.5</v>
      </c>
      <c r="R1310" s="1394"/>
      <c r="S1310" s="1394"/>
      <c r="U1310" s="328"/>
      <c r="V1310" s="420" t="s">
        <v>2159</v>
      </c>
      <c r="W1310" s="747">
        <v>43281</v>
      </c>
      <c r="X1310" s="750">
        <v>43236</v>
      </c>
      <c r="Y1310" s="250" t="s">
        <v>4253</v>
      </c>
      <c r="Z1310" s="753">
        <v>204228</v>
      </c>
      <c r="AA1310" s="748">
        <v>43284</v>
      </c>
      <c r="AB1310" s="250" t="s">
        <v>4254</v>
      </c>
      <c r="AC1310" s="744" t="s">
        <v>4255</v>
      </c>
      <c r="AD1310" s="744"/>
      <c r="AE1310" s="744"/>
      <c r="AF1310" s="744"/>
      <c r="AG1310" s="251" t="s">
        <v>283</v>
      </c>
    </row>
    <row r="1311" spans="1:33" ht="15.75" customHeight="1">
      <c r="A1311" s="755">
        <v>43220</v>
      </c>
      <c r="B1311" s="318" t="s">
        <v>325</v>
      </c>
      <c r="C1311" s="250">
        <v>2022616</v>
      </c>
      <c r="D1311" s="308" t="s">
        <v>4250</v>
      </c>
      <c r="E1311" s="595" t="s">
        <v>4256</v>
      </c>
      <c r="F1311" s="251">
        <v>2</v>
      </c>
      <c r="G1311" s="252">
        <v>27</v>
      </c>
      <c r="H1311" s="253">
        <f t="shared" si="127"/>
        <v>54</v>
      </c>
      <c r="I1311" s="254" t="s">
        <v>42</v>
      </c>
      <c r="J1311" s="267" t="s">
        <v>328</v>
      </c>
      <c r="K1311" s="256">
        <v>43244</v>
      </c>
      <c r="L1311" s="256"/>
      <c r="M1311" s="256">
        <v>43234</v>
      </c>
      <c r="N1311" s="331" t="s">
        <v>3614</v>
      </c>
      <c r="O1311" s="308" t="s">
        <v>4252</v>
      </c>
      <c r="Q1311" s="266">
        <v>52.5</v>
      </c>
      <c r="R1311" s="1394"/>
      <c r="S1311" s="1394"/>
      <c r="U1311" s="328"/>
      <c r="V1311" s="420" t="s">
        <v>2159</v>
      </c>
      <c r="W1311" s="747">
        <v>43281</v>
      </c>
      <c r="X1311" s="750">
        <v>43236</v>
      </c>
      <c r="Y1311" s="250" t="s">
        <v>4253</v>
      </c>
      <c r="Z1311" s="785" t="s">
        <v>4257</v>
      </c>
      <c r="AA1311" s="748">
        <v>43284</v>
      </c>
      <c r="AB1311" s="250" t="s">
        <v>4254</v>
      </c>
      <c r="AC1311" s="744" t="s">
        <v>4255</v>
      </c>
      <c r="AD1311" s="744"/>
      <c r="AE1311" s="744"/>
      <c r="AF1311" s="744"/>
      <c r="AG1311" s="251" t="s">
        <v>283</v>
      </c>
    </row>
    <row r="1312" spans="1:33" ht="15.75" customHeight="1">
      <c r="A1312" s="755">
        <v>43220</v>
      </c>
      <c r="B1312" s="318" t="s">
        <v>325</v>
      </c>
      <c r="C1312" s="250">
        <v>2022616</v>
      </c>
      <c r="D1312" s="308" t="s">
        <v>4250</v>
      </c>
      <c r="E1312" s="799" t="s">
        <v>3612</v>
      </c>
      <c r="F1312" s="251">
        <v>10</v>
      </c>
      <c r="G1312" s="323">
        <v>567</v>
      </c>
      <c r="H1312" s="253">
        <f t="shared" si="127"/>
        <v>5670</v>
      </c>
      <c r="I1312" s="254" t="s">
        <v>42</v>
      </c>
      <c r="J1312" s="267" t="s">
        <v>328</v>
      </c>
      <c r="K1312" s="256">
        <v>43244</v>
      </c>
      <c r="L1312" s="256"/>
      <c r="M1312" s="256">
        <v>43235</v>
      </c>
      <c r="N1312" s="331" t="s">
        <v>3614</v>
      </c>
      <c r="O1312" s="308" t="s">
        <v>4252</v>
      </c>
      <c r="Q1312" s="266">
        <v>5355</v>
      </c>
      <c r="R1312" s="1394"/>
      <c r="S1312" s="1394"/>
      <c r="U1312" s="328"/>
      <c r="V1312" s="420" t="s">
        <v>2159</v>
      </c>
      <c r="W1312" s="747">
        <v>43281</v>
      </c>
      <c r="X1312" s="750">
        <v>43236</v>
      </c>
      <c r="Y1312" s="250" t="s">
        <v>4253</v>
      </c>
      <c r="Z1312" s="785" t="s">
        <v>4257</v>
      </c>
      <c r="AA1312" s="748">
        <v>43284</v>
      </c>
      <c r="AB1312" s="250" t="s">
        <v>4254</v>
      </c>
      <c r="AC1312" s="744" t="s">
        <v>4255</v>
      </c>
      <c r="AD1312" s="744"/>
      <c r="AE1312" s="744"/>
      <c r="AF1312" s="744"/>
      <c r="AG1312" s="251" t="s">
        <v>283</v>
      </c>
    </row>
    <row r="1313" spans="1:33" ht="15.75" customHeight="1">
      <c r="A1313" s="755">
        <v>43220</v>
      </c>
      <c r="B1313" s="318" t="s">
        <v>325</v>
      </c>
      <c r="C1313" s="250">
        <v>2022616</v>
      </c>
      <c r="D1313" s="308" t="s">
        <v>4250</v>
      </c>
      <c r="E1313" s="799" t="s">
        <v>3620</v>
      </c>
      <c r="F1313" s="251">
        <v>10</v>
      </c>
      <c r="G1313" s="323">
        <v>273</v>
      </c>
      <c r="H1313" s="253">
        <f t="shared" si="127"/>
        <v>2730</v>
      </c>
      <c r="I1313" s="254" t="s">
        <v>42</v>
      </c>
      <c r="J1313" s="267" t="s">
        <v>328</v>
      </c>
      <c r="K1313" s="256">
        <v>43244</v>
      </c>
      <c r="L1313" s="256"/>
      <c r="M1313" s="256">
        <v>43231</v>
      </c>
      <c r="N1313" s="331" t="s">
        <v>44</v>
      </c>
      <c r="O1313" s="308" t="s">
        <v>4258</v>
      </c>
      <c r="Q1313" s="266">
        <v>2184</v>
      </c>
      <c r="R1313" s="1394"/>
      <c r="S1313" s="1394"/>
      <c r="U1313" s="328"/>
      <c r="V1313" s="338" t="s">
        <v>46</v>
      </c>
      <c r="W1313" s="747">
        <v>43259</v>
      </c>
      <c r="X1313" s="748">
        <v>43229</v>
      </c>
      <c r="Y1313" s="744" t="s">
        <v>4259</v>
      </c>
      <c r="Z1313" s="749">
        <v>65046</v>
      </c>
      <c r="AA1313" s="746"/>
      <c r="AB1313" s="250" t="s">
        <v>4254</v>
      </c>
      <c r="AC1313" s="744" t="s">
        <v>4255</v>
      </c>
      <c r="AD1313" s="744"/>
      <c r="AE1313" s="744"/>
      <c r="AF1313" s="744"/>
      <c r="AG1313" s="251" t="s">
        <v>283</v>
      </c>
    </row>
    <row r="1314" spans="1:33" ht="15.75" customHeight="1">
      <c r="A1314" s="755">
        <v>43220</v>
      </c>
      <c r="B1314" s="318" t="s">
        <v>325</v>
      </c>
      <c r="C1314" s="250">
        <v>2022616</v>
      </c>
      <c r="D1314" s="308" t="s">
        <v>4250</v>
      </c>
      <c r="E1314" s="799" t="s">
        <v>52</v>
      </c>
      <c r="F1314" s="251">
        <v>10</v>
      </c>
      <c r="G1314" s="323">
        <v>31</v>
      </c>
      <c r="H1314" s="253">
        <f t="shared" si="127"/>
        <v>310</v>
      </c>
      <c r="I1314" s="254" t="s">
        <v>42</v>
      </c>
      <c r="J1314" s="267" t="s">
        <v>328</v>
      </c>
      <c r="K1314" s="256">
        <v>43244</v>
      </c>
      <c r="L1314" s="256"/>
      <c r="M1314" s="256">
        <v>43235</v>
      </c>
      <c r="N1314" s="331" t="s">
        <v>3614</v>
      </c>
      <c r="O1314" s="308" t="s">
        <v>4252</v>
      </c>
      <c r="Q1314" s="266">
        <v>226.8</v>
      </c>
      <c r="R1314" s="1394"/>
      <c r="S1314" s="1394"/>
      <c r="U1314" s="328"/>
      <c r="V1314" s="420" t="s">
        <v>2159</v>
      </c>
      <c r="W1314" s="747">
        <v>43281</v>
      </c>
      <c r="X1314" s="750">
        <v>43236</v>
      </c>
      <c r="Y1314" s="250" t="s">
        <v>4253</v>
      </c>
      <c r="Z1314" s="785" t="s">
        <v>4257</v>
      </c>
      <c r="AA1314" s="748">
        <v>43284</v>
      </c>
      <c r="AB1314" s="250" t="s">
        <v>4254</v>
      </c>
      <c r="AC1314" s="744" t="s">
        <v>4255</v>
      </c>
      <c r="AD1314" s="744"/>
      <c r="AE1314" s="744"/>
      <c r="AF1314" s="744"/>
      <c r="AG1314" s="251" t="s">
        <v>283</v>
      </c>
    </row>
    <row r="1315" spans="1:33" ht="15.75" customHeight="1">
      <c r="A1315" s="755">
        <v>43220</v>
      </c>
      <c r="B1315" s="318" t="s">
        <v>325</v>
      </c>
      <c r="C1315" s="250">
        <v>2022616</v>
      </c>
      <c r="D1315" s="308" t="s">
        <v>4250</v>
      </c>
      <c r="E1315" s="799" t="s">
        <v>58</v>
      </c>
      <c r="F1315" s="251">
        <v>10</v>
      </c>
      <c r="G1315" s="323">
        <v>4</v>
      </c>
      <c r="H1315" s="253">
        <f t="shared" si="127"/>
        <v>40</v>
      </c>
      <c r="I1315" s="254" t="s">
        <v>42</v>
      </c>
      <c r="J1315" s="267" t="s">
        <v>328</v>
      </c>
      <c r="K1315" s="256">
        <v>43244</v>
      </c>
      <c r="L1315" s="256"/>
      <c r="M1315" s="256">
        <v>43235</v>
      </c>
      <c r="N1315" s="331" t="s">
        <v>3614</v>
      </c>
      <c r="O1315" s="308" t="s">
        <v>4252</v>
      </c>
      <c r="Q1315" s="266">
        <v>21</v>
      </c>
      <c r="R1315" s="1394"/>
      <c r="S1315" s="1394"/>
      <c r="U1315" s="328"/>
      <c r="V1315" s="420" t="s">
        <v>2159</v>
      </c>
      <c r="W1315" s="747">
        <v>43281</v>
      </c>
      <c r="X1315" s="750">
        <v>43236</v>
      </c>
      <c r="Y1315" s="250" t="s">
        <v>4253</v>
      </c>
      <c r="Z1315" s="785" t="s">
        <v>4257</v>
      </c>
      <c r="AA1315" s="748">
        <v>43284</v>
      </c>
      <c r="AB1315" s="250" t="s">
        <v>4254</v>
      </c>
      <c r="AC1315" s="744" t="s">
        <v>4255</v>
      </c>
      <c r="AD1315" s="744"/>
      <c r="AE1315" s="744"/>
      <c r="AF1315" s="744"/>
      <c r="AG1315" s="251" t="s">
        <v>283</v>
      </c>
    </row>
    <row r="1316" spans="1:33" ht="15.75" customHeight="1">
      <c r="A1316" s="272">
        <v>43220</v>
      </c>
      <c r="B1316" s="762" t="s">
        <v>325</v>
      </c>
      <c r="C1316" s="768">
        <v>2022655</v>
      </c>
      <c r="D1316" s="275" t="s">
        <v>4260</v>
      </c>
      <c r="E1316" s="800" t="s">
        <v>4261</v>
      </c>
      <c r="F1316" s="277">
        <v>100</v>
      </c>
      <c r="G1316" s="278">
        <v>133</v>
      </c>
      <c r="H1316" s="801"/>
      <c r="I1316" s="802"/>
      <c r="J1316" s="803"/>
      <c r="K1316" s="586"/>
      <c r="L1316" s="586"/>
      <c r="M1316" s="623"/>
      <c r="N1316" s="331"/>
      <c r="O1316" s="308"/>
      <c r="Q1316" s="591"/>
      <c r="R1316" s="1406"/>
      <c r="S1316" s="1406"/>
      <c r="U1316" s="328"/>
      <c r="V1316" s="308"/>
      <c r="W1316" s="328"/>
      <c r="X1316" s="745"/>
      <c r="Y1316" s="745"/>
      <c r="Z1316" s="745"/>
      <c r="AA1316" s="746"/>
      <c r="AB1316" s="745"/>
      <c r="AC1316" s="744"/>
      <c r="AD1316" s="744"/>
      <c r="AE1316" s="744"/>
      <c r="AF1316" s="744"/>
      <c r="AG1316" s="251" t="s">
        <v>3456</v>
      </c>
    </row>
    <row r="1317" spans="1:33" ht="15.75" customHeight="1">
      <c r="A1317" s="743">
        <v>43220</v>
      </c>
      <c r="B1317" s="263" t="s">
        <v>118</v>
      </c>
      <c r="C1317" s="744" t="s">
        <v>4262</v>
      </c>
      <c r="D1317" s="250" t="s">
        <v>4263</v>
      </c>
      <c r="E1317" s="595" t="s">
        <v>4264</v>
      </c>
      <c r="F1317" s="251">
        <v>6</v>
      </c>
      <c r="G1317" s="252">
        <v>120</v>
      </c>
      <c r="H1317" s="253">
        <f t="shared" ref="H1317:H1344" si="128">G1317*F1317</f>
        <v>720</v>
      </c>
      <c r="I1317" s="254" t="s">
        <v>3830</v>
      </c>
      <c r="J1317" s="426" t="s">
        <v>3906</v>
      </c>
      <c r="K1317" s="256">
        <v>43238</v>
      </c>
      <c r="L1317" s="256"/>
      <c r="M1317" s="256">
        <v>43228</v>
      </c>
      <c r="N1317" s="331" t="s">
        <v>2091</v>
      </c>
      <c r="O1317" s="308" t="s">
        <v>4265</v>
      </c>
      <c r="Q1317" s="266">
        <v>711.9</v>
      </c>
      <c r="R1317" s="1394"/>
      <c r="S1317" s="1394"/>
      <c r="U1317" s="328"/>
      <c r="V1317" s="338" t="s">
        <v>46</v>
      </c>
      <c r="W1317" s="747">
        <v>43257</v>
      </c>
      <c r="X1317" s="748">
        <v>43227</v>
      </c>
      <c r="Y1317" s="744" t="s">
        <v>4266</v>
      </c>
      <c r="Z1317" s="749">
        <v>21154</v>
      </c>
      <c r="AA1317" s="746"/>
      <c r="AB1317" s="250" t="s">
        <v>4140</v>
      </c>
      <c r="AC1317" s="744" t="s">
        <v>4141</v>
      </c>
      <c r="AD1317" s="744"/>
      <c r="AE1317" s="744"/>
      <c r="AF1317" s="744"/>
      <c r="AG1317" s="251" t="s">
        <v>283</v>
      </c>
    </row>
    <row r="1318" spans="1:33" ht="15.75" customHeight="1">
      <c r="A1318" s="743">
        <v>43223</v>
      </c>
      <c r="B1318" s="263" t="s">
        <v>619</v>
      </c>
      <c r="C1318" s="744"/>
      <c r="D1318" s="250" t="s">
        <v>4267</v>
      </c>
      <c r="E1318" s="595" t="s">
        <v>4268</v>
      </c>
      <c r="F1318" s="251">
        <v>2</v>
      </c>
      <c r="G1318" s="252">
        <v>140.69999999999999</v>
      </c>
      <c r="H1318" s="253">
        <f t="shared" si="128"/>
        <v>281.39999999999998</v>
      </c>
      <c r="I1318" s="254" t="s">
        <v>170</v>
      </c>
      <c r="J1318" s="319" t="s">
        <v>89</v>
      </c>
      <c r="K1318" s="256">
        <v>43230</v>
      </c>
      <c r="L1318" s="256"/>
      <c r="M1318" s="594">
        <v>43230</v>
      </c>
      <c r="N1318" s="331" t="s">
        <v>89</v>
      </c>
      <c r="O1318" s="308" t="s">
        <v>4269</v>
      </c>
      <c r="Q1318" s="266">
        <v>260.39999999999998</v>
      </c>
      <c r="R1318" s="1394"/>
      <c r="S1318" s="1394"/>
      <c r="U1318" s="328"/>
      <c r="V1318" s="338" t="s">
        <v>93</v>
      </c>
      <c r="W1318" s="747">
        <v>43281</v>
      </c>
      <c r="X1318" s="748">
        <v>43230</v>
      </c>
      <c r="Y1318" s="744" t="s">
        <v>4270</v>
      </c>
      <c r="Z1318" s="749">
        <v>7708</v>
      </c>
      <c r="AA1318" s="748">
        <v>43284</v>
      </c>
      <c r="AB1318" s="744" t="s">
        <v>4271</v>
      </c>
      <c r="AC1318" s="744"/>
      <c r="AD1318" s="744" t="s">
        <v>4272</v>
      </c>
      <c r="AE1318" s="751">
        <v>8416</v>
      </c>
      <c r="AF1318" s="744" t="s">
        <v>4202</v>
      </c>
      <c r="AG1318" s="264" t="s">
        <v>376</v>
      </c>
    </row>
    <row r="1319" spans="1:33" ht="15.75" customHeight="1">
      <c r="A1319" s="743">
        <v>43223</v>
      </c>
      <c r="B1319" s="263" t="s">
        <v>577</v>
      </c>
      <c r="C1319" s="744"/>
      <c r="D1319" s="250" t="s">
        <v>4273</v>
      </c>
      <c r="E1319" s="595" t="s">
        <v>579</v>
      </c>
      <c r="F1319" s="251">
        <v>3</v>
      </c>
      <c r="G1319" s="252">
        <v>96.6</v>
      </c>
      <c r="H1319" s="253">
        <f t="shared" si="128"/>
        <v>289.79999999999995</v>
      </c>
      <c r="I1319" s="254" t="s">
        <v>170</v>
      </c>
      <c r="J1319" s="319" t="s">
        <v>580</v>
      </c>
      <c r="K1319" s="256">
        <v>43252</v>
      </c>
      <c r="L1319" s="256"/>
      <c r="M1319" s="256">
        <v>43251</v>
      </c>
      <c r="N1319" s="331" t="s">
        <v>1414</v>
      </c>
      <c r="O1319" s="308" t="s">
        <v>4274</v>
      </c>
      <c r="Q1319" s="591"/>
      <c r="R1319" s="1406"/>
      <c r="S1319" s="1406"/>
      <c r="U1319" s="572">
        <v>7494</v>
      </c>
      <c r="V1319" s="318" t="s">
        <v>1947</v>
      </c>
      <c r="W1319" s="747">
        <v>43281</v>
      </c>
      <c r="X1319" s="750">
        <v>43251</v>
      </c>
      <c r="Y1319" s="250" t="s">
        <v>4275</v>
      </c>
      <c r="Z1319" s="753">
        <v>7493</v>
      </c>
      <c r="AA1319" s="748">
        <v>43286</v>
      </c>
      <c r="AB1319" s="744" t="s">
        <v>4276</v>
      </c>
      <c r="AC1319" s="744"/>
      <c r="AD1319" s="744"/>
      <c r="AE1319" s="753">
        <v>8694</v>
      </c>
      <c r="AF1319" s="744" t="s">
        <v>4277</v>
      </c>
      <c r="AG1319" s="251" t="s">
        <v>376</v>
      </c>
    </row>
    <row r="1320" spans="1:33" ht="15.75" customHeight="1">
      <c r="A1320" s="743">
        <v>43223</v>
      </c>
      <c r="B1320" s="263" t="s">
        <v>4278</v>
      </c>
      <c r="C1320" s="744"/>
      <c r="D1320" s="250" t="s">
        <v>4279</v>
      </c>
      <c r="E1320" s="595" t="s">
        <v>4280</v>
      </c>
      <c r="F1320" s="251">
        <v>1</v>
      </c>
      <c r="G1320" s="252">
        <v>961</v>
      </c>
      <c r="H1320" s="253">
        <f t="shared" si="128"/>
        <v>961</v>
      </c>
      <c r="I1320" s="254" t="s">
        <v>170</v>
      </c>
      <c r="J1320" s="267" t="s">
        <v>4281</v>
      </c>
      <c r="K1320" s="256">
        <v>43235</v>
      </c>
      <c r="L1320" s="256"/>
      <c r="M1320" s="256">
        <v>43235</v>
      </c>
      <c r="N1320" s="331" t="s">
        <v>1414</v>
      </c>
      <c r="O1320" s="308" t="s">
        <v>4282</v>
      </c>
      <c r="Q1320" s="591"/>
      <c r="R1320" s="1406"/>
      <c r="S1320" s="1406"/>
      <c r="U1320" s="572">
        <v>25421</v>
      </c>
      <c r="V1320" s="318" t="s">
        <v>1947</v>
      </c>
      <c r="W1320" s="747">
        <v>43281</v>
      </c>
      <c r="X1320" s="748">
        <v>43234</v>
      </c>
      <c r="Y1320" s="744" t="s">
        <v>4283</v>
      </c>
      <c r="Z1320" s="749">
        <v>25421</v>
      </c>
      <c r="AA1320" s="748">
        <v>43286</v>
      </c>
      <c r="AB1320" s="250" t="s">
        <v>4284</v>
      </c>
      <c r="AC1320" s="744" t="s">
        <v>4285</v>
      </c>
      <c r="AD1320" s="744"/>
      <c r="AE1320" s="744"/>
      <c r="AF1320" s="744"/>
      <c r="AG1320" s="251" t="s">
        <v>283</v>
      </c>
    </row>
    <row r="1321" spans="1:33" ht="15.75" customHeight="1">
      <c r="A1321" s="743">
        <v>43224</v>
      </c>
      <c r="B1321" s="263" t="s">
        <v>629</v>
      </c>
      <c r="C1321" s="744" t="s">
        <v>4286</v>
      </c>
      <c r="D1321" s="250" t="s">
        <v>4287</v>
      </c>
      <c r="E1321" s="595" t="s">
        <v>3515</v>
      </c>
      <c r="F1321" s="251">
        <v>6</v>
      </c>
      <c r="G1321" s="323">
        <v>173.25</v>
      </c>
      <c r="H1321" s="253">
        <f t="shared" si="128"/>
        <v>1039.5</v>
      </c>
      <c r="I1321" s="254" t="s">
        <v>170</v>
      </c>
      <c r="J1321" s="267" t="s">
        <v>626</v>
      </c>
      <c r="K1321" s="256">
        <v>43230</v>
      </c>
      <c r="L1321" s="256"/>
      <c r="M1321" s="256">
        <v>43229</v>
      </c>
      <c r="N1321" s="331" t="s">
        <v>2212</v>
      </c>
      <c r="O1321" s="308" t="s">
        <v>4288</v>
      </c>
      <c r="Q1321" s="591"/>
      <c r="R1321" s="1406"/>
      <c r="S1321" s="1406"/>
      <c r="U1321" s="572">
        <v>30555</v>
      </c>
      <c r="V1321" s="308" t="s">
        <v>2214</v>
      </c>
      <c r="W1321" s="328"/>
      <c r="X1321" s="748">
        <v>43228</v>
      </c>
      <c r="Y1321" s="744" t="s">
        <v>4289</v>
      </c>
      <c r="Z1321" s="749">
        <v>30555</v>
      </c>
      <c r="AA1321" s="748">
        <v>43229</v>
      </c>
      <c r="AB1321" s="744" t="s">
        <v>4290</v>
      </c>
      <c r="AC1321" s="250" t="s">
        <v>4291</v>
      </c>
      <c r="AD1321" s="595" t="s">
        <v>4292</v>
      </c>
      <c r="AE1321" s="753">
        <v>31086</v>
      </c>
      <c r="AF1321" s="744" t="s">
        <v>4293</v>
      </c>
      <c r="AG1321" s="251" t="s">
        <v>376</v>
      </c>
    </row>
    <row r="1322" spans="1:33" ht="15.75" customHeight="1">
      <c r="A1322" s="743">
        <v>43213</v>
      </c>
      <c r="B1322" s="590" t="s">
        <v>405</v>
      </c>
      <c r="C1322" s="744">
        <v>7000137849</v>
      </c>
      <c r="D1322" s="250" t="s">
        <v>4294</v>
      </c>
      <c r="E1322" s="595" t="s">
        <v>3515</v>
      </c>
      <c r="F1322" s="251">
        <v>1</v>
      </c>
      <c r="G1322" s="252">
        <v>48</v>
      </c>
      <c r="H1322" s="253">
        <f t="shared" si="128"/>
        <v>48</v>
      </c>
      <c r="I1322" s="254" t="s">
        <v>42</v>
      </c>
      <c r="J1322" s="401" t="s">
        <v>3779</v>
      </c>
      <c r="K1322" s="256">
        <v>43234</v>
      </c>
      <c r="L1322" s="256"/>
      <c r="M1322" s="256">
        <v>43231</v>
      </c>
      <c r="N1322" s="331" t="s">
        <v>3432</v>
      </c>
      <c r="O1322" s="308" t="s">
        <v>4295</v>
      </c>
      <c r="Q1322" s="591"/>
      <c r="R1322" s="1406"/>
      <c r="S1322" s="1406"/>
      <c r="U1322" s="630">
        <v>1356</v>
      </c>
      <c r="V1322" s="308" t="s">
        <v>2045</v>
      </c>
      <c r="W1322" s="747">
        <v>43312</v>
      </c>
      <c r="X1322" s="748">
        <v>43230</v>
      </c>
      <c r="Y1322" s="744" t="s">
        <v>4296</v>
      </c>
      <c r="Z1322" s="753">
        <v>1356</v>
      </c>
      <c r="AA1322" s="750">
        <v>43312</v>
      </c>
      <c r="AB1322" s="744" t="s">
        <v>3999</v>
      </c>
      <c r="AC1322" s="744">
        <v>7316938613</v>
      </c>
      <c r="AD1322" s="744"/>
      <c r="AE1322" s="744"/>
      <c r="AF1322" s="744"/>
      <c r="AG1322" s="251" t="s">
        <v>283</v>
      </c>
    </row>
    <row r="1323" spans="1:33" ht="15.75" customHeight="1">
      <c r="A1323" s="743">
        <v>43228</v>
      </c>
      <c r="B1323" s="307" t="s">
        <v>377</v>
      </c>
      <c r="C1323" s="744">
        <v>8487</v>
      </c>
      <c r="D1323" s="250" t="s">
        <v>4297</v>
      </c>
      <c r="E1323" s="328" t="s">
        <v>379</v>
      </c>
      <c r="F1323" s="305">
        <v>100</v>
      </c>
      <c r="G1323" s="336">
        <v>62</v>
      </c>
      <c r="H1323" s="253">
        <f t="shared" si="128"/>
        <v>6200</v>
      </c>
      <c r="I1323" s="254" t="s">
        <v>170</v>
      </c>
      <c r="J1323" s="367" t="s">
        <v>4298</v>
      </c>
      <c r="K1323" s="256">
        <v>43304</v>
      </c>
      <c r="L1323" s="256"/>
      <c r="M1323" s="256">
        <v>43304</v>
      </c>
      <c r="N1323" s="254" t="s">
        <v>2021</v>
      </c>
      <c r="O1323" s="308" t="s">
        <v>4299</v>
      </c>
      <c r="Q1323" s="591"/>
      <c r="R1323" s="1406"/>
      <c r="S1323" s="1406"/>
      <c r="U1323" s="572">
        <v>149730</v>
      </c>
      <c r="V1323" s="263" t="s">
        <v>2023</v>
      </c>
      <c r="W1323" s="747">
        <v>43317</v>
      </c>
      <c r="X1323" s="748">
        <v>43301</v>
      </c>
      <c r="Y1323" s="744" t="s">
        <v>4300</v>
      </c>
      <c r="Z1323" s="749">
        <v>149730</v>
      </c>
      <c r="AA1323" s="748">
        <v>43318</v>
      </c>
      <c r="AB1323" s="744" t="s">
        <v>4301</v>
      </c>
      <c r="AC1323" s="744" t="s">
        <v>4302</v>
      </c>
      <c r="AD1323" s="744"/>
      <c r="AE1323" s="744"/>
      <c r="AF1323" s="744"/>
      <c r="AG1323" s="251" t="s">
        <v>283</v>
      </c>
    </row>
    <row r="1324" spans="1:33" ht="15.75" customHeight="1">
      <c r="A1324" s="743">
        <v>43229</v>
      </c>
      <c r="B1324" s="263" t="s">
        <v>3516</v>
      </c>
      <c r="C1324" s="744">
        <v>300318</v>
      </c>
      <c r="D1324" s="250" t="s">
        <v>4303</v>
      </c>
      <c r="E1324" s="595" t="s">
        <v>4304</v>
      </c>
      <c r="F1324" s="251">
        <v>20</v>
      </c>
      <c r="G1324" s="252">
        <v>82</v>
      </c>
      <c r="H1324" s="253">
        <f t="shared" si="128"/>
        <v>1640</v>
      </c>
      <c r="I1324" s="254" t="s">
        <v>170</v>
      </c>
      <c r="J1324" s="267" t="s">
        <v>3519</v>
      </c>
      <c r="K1324" s="256">
        <v>43237</v>
      </c>
      <c r="L1324" s="256"/>
      <c r="M1324" s="256">
        <v>43236</v>
      </c>
      <c r="N1324" s="331" t="s">
        <v>89</v>
      </c>
      <c r="O1324" s="308" t="s">
        <v>4305</v>
      </c>
      <c r="Q1324" s="266">
        <v>1554</v>
      </c>
      <c r="R1324" s="1394"/>
      <c r="S1324" s="1394"/>
      <c r="U1324" s="328"/>
      <c r="V1324" s="338" t="s">
        <v>93</v>
      </c>
      <c r="W1324" s="747">
        <v>43281</v>
      </c>
      <c r="X1324" s="748">
        <v>43236</v>
      </c>
      <c r="Y1324" s="744" t="s">
        <v>4306</v>
      </c>
      <c r="Z1324" s="749">
        <v>46084</v>
      </c>
      <c r="AA1324" s="748">
        <v>43284</v>
      </c>
      <c r="AB1324" s="250" t="s">
        <v>4307</v>
      </c>
      <c r="AC1324" s="744">
        <v>772254333200</v>
      </c>
      <c r="AD1324" s="744"/>
      <c r="AE1324" s="744"/>
      <c r="AF1324" s="744"/>
      <c r="AG1324" s="251" t="s">
        <v>283</v>
      </c>
    </row>
    <row r="1325" spans="1:33" ht="15.75" customHeight="1">
      <c r="A1325" s="743">
        <v>43229</v>
      </c>
      <c r="B1325" s="590" t="s">
        <v>3568</v>
      </c>
      <c r="C1325" s="744" t="s">
        <v>4308</v>
      </c>
      <c r="D1325" s="250" t="s">
        <v>4309</v>
      </c>
      <c r="E1325" s="804" t="s">
        <v>4310</v>
      </c>
      <c r="F1325" s="251">
        <v>1</v>
      </c>
      <c r="G1325" s="252">
        <v>1743</v>
      </c>
      <c r="H1325" s="253">
        <f t="shared" si="128"/>
        <v>1743</v>
      </c>
      <c r="I1325" s="254" t="s">
        <v>170</v>
      </c>
      <c r="J1325" s="331" t="s">
        <v>3571</v>
      </c>
      <c r="K1325" s="256">
        <v>43241</v>
      </c>
      <c r="L1325" s="256"/>
      <c r="M1325" s="256">
        <v>43236</v>
      </c>
      <c r="N1325" s="331" t="s">
        <v>2001</v>
      </c>
      <c r="O1325" s="308" t="s">
        <v>4311</v>
      </c>
      <c r="Q1325" s="266">
        <v>1638</v>
      </c>
      <c r="R1325" s="1394"/>
      <c r="S1325" s="1394"/>
      <c r="U1325" s="328"/>
      <c r="V1325" s="308" t="s">
        <v>2003</v>
      </c>
      <c r="W1325" s="747">
        <v>43286</v>
      </c>
      <c r="X1325" s="748">
        <v>43235</v>
      </c>
      <c r="Y1325" s="744" t="s">
        <v>4312</v>
      </c>
      <c r="Z1325" s="749">
        <v>57792</v>
      </c>
      <c r="AA1325" s="748">
        <v>43286</v>
      </c>
      <c r="AB1325" s="250" t="s">
        <v>4313</v>
      </c>
      <c r="AC1325" s="744" t="s">
        <v>4314</v>
      </c>
      <c r="AD1325" s="744"/>
      <c r="AE1325" s="744"/>
      <c r="AF1325" s="744"/>
      <c r="AG1325" s="251" t="s">
        <v>283</v>
      </c>
    </row>
    <row r="1326" spans="1:33" ht="15.75" customHeight="1">
      <c r="A1326" s="743">
        <v>43229</v>
      </c>
      <c r="B1326" s="590" t="s">
        <v>3568</v>
      </c>
      <c r="C1326" s="744" t="s">
        <v>4308</v>
      </c>
      <c r="D1326" s="250" t="s">
        <v>4309</v>
      </c>
      <c r="E1326" s="595" t="s">
        <v>4315</v>
      </c>
      <c r="F1326" s="251">
        <v>2</v>
      </c>
      <c r="G1326" s="252">
        <v>167</v>
      </c>
      <c r="H1326" s="253">
        <f t="shared" si="128"/>
        <v>334</v>
      </c>
      <c r="I1326" s="254" t="s">
        <v>170</v>
      </c>
      <c r="J1326" s="331" t="s">
        <v>3571</v>
      </c>
      <c r="K1326" s="256">
        <v>43241</v>
      </c>
      <c r="L1326" s="256"/>
      <c r="M1326" s="256">
        <v>43236</v>
      </c>
      <c r="N1326" s="331" t="s">
        <v>2001</v>
      </c>
      <c r="O1326" s="308" t="s">
        <v>4311</v>
      </c>
      <c r="Q1326" s="266">
        <v>310.8</v>
      </c>
      <c r="R1326" s="1394"/>
      <c r="S1326" s="1394"/>
      <c r="U1326" s="328"/>
      <c r="V1326" s="308" t="s">
        <v>2003</v>
      </c>
      <c r="W1326" s="747">
        <v>43286</v>
      </c>
      <c r="X1326" s="748">
        <v>43235</v>
      </c>
      <c r="Y1326" s="744" t="s">
        <v>4312</v>
      </c>
      <c r="Z1326" s="744" t="s">
        <v>4316</v>
      </c>
      <c r="AA1326" s="748">
        <v>43286</v>
      </c>
      <c r="AB1326" s="250" t="s">
        <v>4313</v>
      </c>
      <c r="AC1326" s="744" t="s">
        <v>4314</v>
      </c>
      <c r="AD1326" s="744"/>
      <c r="AE1326" s="744"/>
      <c r="AF1326" s="744"/>
      <c r="AG1326" s="251" t="s">
        <v>283</v>
      </c>
    </row>
    <row r="1327" spans="1:33" ht="15.75" customHeight="1">
      <c r="A1327" s="743">
        <v>43229</v>
      </c>
      <c r="B1327" s="590" t="s">
        <v>405</v>
      </c>
      <c r="C1327" s="744">
        <v>7000137939</v>
      </c>
      <c r="D1327" s="250" t="s">
        <v>4317</v>
      </c>
      <c r="E1327" s="595" t="s">
        <v>4318</v>
      </c>
      <c r="F1327" s="251">
        <v>4</v>
      </c>
      <c r="G1327" s="252">
        <v>225</v>
      </c>
      <c r="H1327" s="253">
        <f t="shared" si="128"/>
        <v>900</v>
      </c>
      <c r="I1327" s="254" t="s">
        <v>42</v>
      </c>
      <c r="J1327" s="401" t="s">
        <v>519</v>
      </c>
      <c r="K1327" s="256">
        <v>43235</v>
      </c>
      <c r="L1327" s="256"/>
      <c r="M1327" s="256">
        <v>43231</v>
      </c>
      <c r="N1327" s="331" t="s">
        <v>3432</v>
      </c>
      <c r="O1327" s="308" t="s">
        <v>4319</v>
      </c>
      <c r="Q1327" s="591"/>
      <c r="R1327" s="1406"/>
      <c r="S1327" s="1406"/>
      <c r="U1327" s="630">
        <v>25150</v>
      </c>
      <c r="V1327" s="308" t="s">
        <v>2045</v>
      </c>
      <c r="W1327" s="747">
        <v>43312</v>
      </c>
      <c r="X1327" s="748">
        <v>43230</v>
      </c>
      <c r="Y1327" s="744" t="s">
        <v>4320</v>
      </c>
      <c r="Z1327" s="753">
        <v>25150</v>
      </c>
      <c r="AA1327" s="750">
        <v>43312</v>
      </c>
      <c r="AB1327" s="744" t="s">
        <v>4321</v>
      </c>
      <c r="AC1327" s="744" t="s">
        <v>4322</v>
      </c>
      <c r="AD1327" s="744"/>
      <c r="AE1327" s="744"/>
      <c r="AF1327" s="744"/>
      <c r="AG1327" s="251" t="s">
        <v>283</v>
      </c>
    </row>
    <row r="1328" spans="1:33" ht="37.5" customHeight="1">
      <c r="A1328" s="743">
        <v>43229</v>
      </c>
      <c r="B1328" s="590" t="s">
        <v>1189</v>
      </c>
      <c r="C1328" s="744" t="s">
        <v>4323</v>
      </c>
      <c r="D1328" s="308" t="s">
        <v>4324</v>
      </c>
      <c r="E1328" s="308" t="s">
        <v>4325</v>
      </c>
      <c r="F1328" s="787">
        <v>100</v>
      </c>
      <c r="G1328" s="266">
        <v>7.5</v>
      </c>
      <c r="H1328" s="253">
        <f t="shared" si="128"/>
        <v>750</v>
      </c>
      <c r="I1328" s="264" t="s">
        <v>42</v>
      </c>
      <c r="J1328" s="267" t="s">
        <v>4326</v>
      </c>
      <c r="K1328" s="256">
        <v>43304</v>
      </c>
      <c r="L1328" s="256"/>
      <c r="M1328" s="256">
        <v>43301</v>
      </c>
      <c r="N1328" s="331" t="s">
        <v>2411</v>
      </c>
      <c r="O1328" s="308" t="s">
        <v>4327</v>
      </c>
      <c r="Q1328" s="591"/>
      <c r="R1328" s="1406"/>
      <c r="S1328" s="1406"/>
      <c r="U1328" s="630">
        <v>20475</v>
      </c>
      <c r="V1328" s="308" t="s">
        <v>4328</v>
      </c>
      <c r="W1328" s="747">
        <v>43317</v>
      </c>
      <c r="X1328" s="750">
        <v>43298</v>
      </c>
      <c r="Y1328" s="250" t="s">
        <v>4329</v>
      </c>
      <c r="Z1328" s="753">
        <v>20475</v>
      </c>
      <c r="AA1328" s="748">
        <v>43317</v>
      </c>
      <c r="AB1328" s="744" t="s">
        <v>4330</v>
      </c>
      <c r="AC1328" s="744">
        <v>253703472</v>
      </c>
      <c r="AD1328" s="744"/>
      <c r="AE1328" s="744"/>
      <c r="AF1328" s="744"/>
      <c r="AG1328" s="251" t="s">
        <v>283</v>
      </c>
    </row>
    <row r="1329" spans="1:33" ht="15.75" customHeight="1">
      <c r="A1329" s="743">
        <v>43229</v>
      </c>
      <c r="B1329" s="590" t="s">
        <v>1189</v>
      </c>
      <c r="C1329" s="744" t="s">
        <v>4331</v>
      </c>
      <c r="D1329" s="308" t="s">
        <v>4332</v>
      </c>
      <c r="E1329" s="308" t="s">
        <v>4325</v>
      </c>
      <c r="F1329" s="787">
        <v>100</v>
      </c>
      <c r="G1329" s="266">
        <v>7.5</v>
      </c>
      <c r="H1329" s="253">
        <f t="shared" si="128"/>
        <v>750</v>
      </c>
      <c r="I1329" s="264" t="s">
        <v>42</v>
      </c>
      <c r="J1329" s="267" t="s">
        <v>4326</v>
      </c>
      <c r="K1329" s="256">
        <v>43374</v>
      </c>
      <c r="L1329" s="256"/>
      <c r="M1329" s="256">
        <v>43370</v>
      </c>
      <c r="N1329" s="331" t="s">
        <v>2411</v>
      </c>
      <c r="O1329" s="308" t="s">
        <v>4327</v>
      </c>
      <c r="Q1329" s="591"/>
      <c r="R1329" s="1406"/>
      <c r="S1329" s="1406"/>
      <c r="U1329" s="630">
        <v>20475</v>
      </c>
      <c r="V1329" s="308" t="s">
        <v>4328</v>
      </c>
      <c r="W1329" s="805">
        <v>43409</v>
      </c>
      <c r="X1329" s="748">
        <v>43374</v>
      </c>
      <c r="Y1329" s="744" t="s">
        <v>4333</v>
      </c>
      <c r="Z1329" s="749">
        <v>20475</v>
      </c>
      <c r="AA1329" s="750">
        <v>43409</v>
      </c>
      <c r="AB1329" s="250" t="s">
        <v>4334</v>
      </c>
      <c r="AC1329" s="744">
        <v>645085280</v>
      </c>
      <c r="AD1329" s="744"/>
      <c r="AE1329" s="744"/>
      <c r="AF1329" s="744"/>
      <c r="AG1329" s="251" t="s">
        <v>283</v>
      </c>
    </row>
    <row r="1330" spans="1:33" ht="15.75" customHeight="1">
      <c r="A1330" s="743">
        <v>43230</v>
      </c>
      <c r="B1330" s="263" t="s">
        <v>100</v>
      </c>
      <c r="C1330" s="744" t="s">
        <v>4335</v>
      </c>
      <c r="D1330" s="250" t="s">
        <v>4336</v>
      </c>
      <c r="E1330" s="595" t="s">
        <v>4337</v>
      </c>
      <c r="F1330" s="251">
        <v>2</v>
      </c>
      <c r="G1330" s="252">
        <v>515</v>
      </c>
      <c r="H1330" s="253">
        <f t="shared" si="128"/>
        <v>1030</v>
      </c>
      <c r="I1330" s="254" t="s">
        <v>170</v>
      </c>
      <c r="J1330" s="331" t="s">
        <v>3578</v>
      </c>
      <c r="K1330" s="256">
        <v>43242</v>
      </c>
      <c r="L1330" s="256"/>
      <c r="M1330" s="256">
        <v>43241</v>
      </c>
      <c r="N1330" s="331" t="s">
        <v>1995</v>
      </c>
      <c r="O1330" s="308" t="s">
        <v>4338</v>
      </c>
      <c r="Q1330" s="591"/>
      <c r="R1330" s="1406"/>
      <c r="S1330" s="1406"/>
      <c r="U1330" s="630">
        <v>28886</v>
      </c>
      <c r="V1330" s="571" t="s">
        <v>1997</v>
      </c>
      <c r="W1330" s="747">
        <v>43286</v>
      </c>
      <c r="X1330" s="748">
        <v>43238</v>
      </c>
      <c r="Y1330" s="744" t="s">
        <v>4339</v>
      </c>
      <c r="Z1330" s="749">
        <v>28886</v>
      </c>
      <c r="AA1330" s="748">
        <v>43286</v>
      </c>
      <c r="AB1330" s="250" t="s">
        <v>4340</v>
      </c>
      <c r="AC1330" s="744">
        <v>2569038371</v>
      </c>
      <c r="AD1330" s="744"/>
      <c r="AE1330" s="744"/>
      <c r="AF1330" s="744"/>
      <c r="AG1330" s="251" t="s">
        <v>283</v>
      </c>
    </row>
    <row r="1331" spans="1:33" ht="15.75" customHeight="1">
      <c r="A1331" s="743">
        <v>43230</v>
      </c>
      <c r="B1331" s="263" t="s">
        <v>100</v>
      </c>
      <c r="C1331" s="744" t="s">
        <v>4335</v>
      </c>
      <c r="D1331" s="250" t="s">
        <v>4336</v>
      </c>
      <c r="E1331" s="794" t="s">
        <v>1926</v>
      </c>
      <c r="F1331" s="251">
        <v>2</v>
      </c>
      <c r="G1331" s="252">
        <v>352</v>
      </c>
      <c r="H1331" s="253">
        <f t="shared" si="128"/>
        <v>704</v>
      </c>
      <c r="I1331" s="254" t="s">
        <v>170</v>
      </c>
      <c r="J1331" s="331" t="s">
        <v>3578</v>
      </c>
      <c r="K1331" s="256">
        <v>43242</v>
      </c>
      <c r="L1331" s="256"/>
      <c r="M1331" s="256">
        <v>43236</v>
      </c>
      <c r="N1331" s="331" t="s">
        <v>1993</v>
      </c>
      <c r="O1331" s="308" t="s">
        <v>4341</v>
      </c>
      <c r="Q1331" s="266">
        <v>594.29999999999995</v>
      </c>
      <c r="R1331" s="1394"/>
      <c r="S1331" s="1394"/>
      <c r="U1331" s="328"/>
      <c r="V1331" s="338" t="s">
        <v>46</v>
      </c>
      <c r="W1331" s="747">
        <v>43266</v>
      </c>
      <c r="X1331" s="748">
        <v>43235</v>
      </c>
      <c r="Y1331" s="744" t="s">
        <v>4342</v>
      </c>
      <c r="Z1331" s="749">
        <v>17676</v>
      </c>
      <c r="AA1331" s="750">
        <v>43266</v>
      </c>
      <c r="AB1331" s="250" t="s">
        <v>4340</v>
      </c>
      <c r="AC1331" s="744">
        <v>2569038371</v>
      </c>
      <c r="AD1331" s="744"/>
      <c r="AE1331" s="744"/>
      <c r="AF1331" s="744"/>
      <c r="AG1331" s="251" t="s">
        <v>283</v>
      </c>
    </row>
    <row r="1332" spans="1:33" ht="15.75" customHeight="1">
      <c r="A1332" s="743">
        <v>43230</v>
      </c>
      <c r="B1332" s="263" t="s">
        <v>100</v>
      </c>
      <c r="C1332" s="744" t="s">
        <v>4335</v>
      </c>
      <c r="D1332" s="250" t="s">
        <v>4336</v>
      </c>
      <c r="E1332" s="595" t="s">
        <v>4343</v>
      </c>
      <c r="F1332" s="251">
        <v>2</v>
      </c>
      <c r="G1332" s="252">
        <v>98</v>
      </c>
      <c r="H1332" s="253">
        <f t="shared" si="128"/>
        <v>196</v>
      </c>
      <c r="I1332" s="254" t="s">
        <v>170</v>
      </c>
      <c r="J1332" s="331" t="s">
        <v>3578</v>
      </c>
      <c r="K1332" s="256">
        <v>43242</v>
      </c>
      <c r="L1332" s="256"/>
      <c r="M1332" s="264" t="s">
        <v>3260</v>
      </c>
      <c r="N1332" s="251" t="s">
        <v>1987</v>
      </c>
      <c r="O1332" s="308" t="s">
        <v>4344</v>
      </c>
      <c r="Q1332" s="591"/>
      <c r="R1332" s="1406"/>
      <c r="S1332" s="1406"/>
      <c r="U1332" s="630">
        <v>5349</v>
      </c>
      <c r="V1332" s="597" t="s">
        <v>3744</v>
      </c>
      <c r="W1332" s="747">
        <v>43273</v>
      </c>
      <c r="X1332" s="750">
        <v>43242</v>
      </c>
      <c r="Y1332" s="250" t="s">
        <v>4345</v>
      </c>
      <c r="Z1332" s="753">
        <v>5349</v>
      </c>
      <c r="AA1332" s="748">
        <v>43276</v>
      </c>
      <c r="AB1332" s="250" t="s">
        <v>4340</v>
      </c>
      <c r="AC1332" s="744">
        <v>2569038371</v>
      </c>
      <c r="AD1332" s="744"/>
      <c r="AE1332" s="744"/>
      <c r="AF1332" s="744"/>
      <c r="AG1332" s="251" t="s">
        <v>283</v>
      </c>
    </row>
    <row r="1333" spans="1:33" ht="15.75" customHeight="1">
      <c r="A1333" s="755">
        <v>43230</v>
      </c>
      <c r="B1333" s="338" t="s">
        <v>53</v>
      </c>
      <c r="C1333" s="250" t="s">
        <v>4346</v>
      </c>
      <c r="D1333" s="308" t="s">
        <v>4347</v>
      </c>
      <c r="E1333" s="571" t="s">
        <v>3632</v>
      </c>
      <c r="F1333" s="264">
        <v>8</v>
      </c>
      <c r="G1333" s="252">
        <v>150.15</v>
      </c>
      <c r="H1333" s="265">
        <f t="shared" si="128"/>
        <v>1201.2</v>
      </c>
      <c r="I1333" s="264" t="s">
        <v>42</v>
      </c>
      <c r="J1333" s="251" t="s">
        <v>89</v>
      </c>
      <c r="K1333" s="256">
        <v>43256</v>
      </c>
      <c r="L1333" s="256"/>
      <c r="M1333" s="256">
        <v>43256</v>
      </c>
      <c r="N1333" s="331" t="s">
        <v>89</v>
      </c>
      <c r="O1333" s="308" t="s">
        <v>4348</v>
      </c>
      <c r="Q1333" s="266">
        <v>1075.2</v>
      </c>
      <c r="R1333" s="1394"/>
      <c r="S1333" s="1394"/>
      <c r="U1333" s="328"/>
      <c r="V1333" s="338" t="s">
        <v>93</v>
      </c>
      <c r="W1333" s="747">
        <v>43312</v>
      </c>
      <c r="X1333" s="750">
        <v>43256</v>
      </c>
      <c r="Y1333" s="250" t="s">
        <v>4349</v>
      </c>
      <c r="Z1333" s="753">
        <v>32143</v>
      </c>
      <c r="AA1333" s="750">
        <v>43312</v>
      </c>
      <c r="AB1333" s="250" t="s">
        <v>4350</v>
      </c>
      <c r="AC1333" s="744"/>
      <c r="AD1333" s="744" t="s">
        <v>4351</v>
      </c>
      <c r="AE1333" s="749">
        <v>35820</v>
      </c>
      <c r="AF1333" s="744" t="s">
        <v>4352</v>
      </c>
      <c r="AG1333" s="251" t="s">
        <v>376</v>
      </c>
    </row>
    <row r="1334" spans="1:33" ht="15.75" customHeight="1">
      <c r="A1334" s="755">
        <v>43230</v>
      </c>
      <c r="B1334" s="263" t="s">
        <v>546</v>
      </c>
      <c r="C1334" s="744" t="s">
        <v>4353</v>
      </c>
      <c r="D1334" s="328" t="s">
        <v>4354</v>
      </c>
      <c r="E1334" s="595" t="s">
        <v>4355</v>
      </c>
      <c r="F1334" s="251">
        <v>12</v>
      </c>
      <c r="G1334" s="252">
        <v>630</v>
      </c>
      <c r="H1334" s="253">
        <f t="shared" si="128"/>
        <v>7560</v>
      </c>
      <c r="I1334" s="254" t="s">
        <v>3712</v>
      </c>
      <c r="J1334" s="267" t="s">
        <v>3588</v>
      </c>
      <c r="K1334" s="256">
        <v>43241</v>
      </c>
      <c r="L1334" s="256"/>
      <c r="M1334" s="256">
        <v>43236</v>
      </c>
      <c r="N1334" s="331" t="s">
        <v>3432</v>
      </c>
      <c r="O1334" s="328" t="s">
        <v>4356</v>
      </c>
      <c r="Q1334" s="591"/>
      <c r="R1334" s="1406"/>
      <c r="S1334" s="1406"/>
      <c r="U1334" s="630">
        <v>219794</v>
      </c>
      <c r="V1334" s="308" t="s">
        <v>2045</v>
      </c>
      <c r="W1334" s="747">
        <v>43312</v>
      </c>
      <c r="X1334" s="748">
        <v>43235</v>
      </c>
      <c r="Y1334" s="744" t="s">
        <v>4357</v>
      </c>
      <c r="Z1334" s="753">
        <v>219794</v>
      </c>
      <c r="AA1334" s="748">
        <v>43280</v>
      </c>
      <c r="AB1334" s="250" t="s">
        <v>4358</v>
      </c>
      <c r="AC1334" s="744">
        <v>2706828611</v>
      </c>
      <c r="AD1334" s="744"/>
      <c r="AE1334" s="744"/>
      <c r="AF1334" s="744"/>
      <c r="AG1334" s="251" t="s">
        <v>283</v>
      </c>
    </row>
    <row r="1335" spans="1:33" ht="15.75" customHeight="1">
      <c r="A1335" s="755">
        <v>43234</v>
      </c>
      <c r="B1335" s="263" t="s">
        <v>100</v>
      </c>
      <c r="C1335" s="744" t="s">
        <v>4359</v>
      </c>
      <c r="D1335" s="308" t="s">
        <v>4360</v>
      </c>
      <c r="E1335" s="595" t="s">
        <v>4361</v>
      </c>
      <c r="F1335" s="251">
        <v>20</v>
      </c>
      <c r="G1335" s="252">
        <v>592</v>
      </c>
      <c r="H1335" s="253">
        <f t="shared" si="128"/>
        <v>11840</v>
      </c>
      <c r="I1335" s="254" t="s">
        <v>170</v>
      </c>
      <c r="J1335" s="331" t="s">
        <v>3578</v>
      </c>
      <c r="K1335" s="256">
        <v>43272</v>
      </c>
      <c r="L1335" s="256"/>
      <c r="M1335" s="256">
        <v>43271</v>
      </c>
      <c r="N1335" s="331" t="s">
        <v>1995</v>
      </c>
      <c r="O1335" s="308" t="s">
        <v>4362</v>
      </c>
      <c r="Q1335" s="591"/>
      <c r="R1335" s="1406"/>
      <c r="S1335" s="1406"/>
      <c r="U1335" s="630">
        <v>331002</v>
      </c>
      <c r="V1335" s="571" t="s">
        <v>1997</v>
      </c>
      <c r="W1335" s="747">
        <v>43317</v>
      </c>
      <c r="X1335" s="748">
        <v>43270</v>
      </c>
      <c r="Y1335" s="744" t="s">
        <v>4363</v>
      </c>
      <c r="Z1335" s="749">
        <v>331002</v>
      </c>
      <c r="AA1335" s="748">
        <v>43319</v>
      </c>
      <c r="AB1335" s="250" t="s">
        <v>4364</v>
      </c>
      <c r="AC1335" s="744">
        <v>3734528663</v>
      </c>
      <c r="AD1335" s="744"/>
      <c r="AE1335" s="744"/>
      <c r="AF1335" s="744"/>
      <c r="AG1335" s="251" t="s">
        <v>283</v>
      </c>
    </row>
    <row r="1336" spans="1:33" ht="15.75" customHeight="1">
      <c r="A1336" s="755">
        <v>43234</v>
      </c>
      <c r="B1336" s="263" t="s">
        <v>100</v>
      </c>
      <c r="C1336" s="744" t="s">
        <v>4359</v>
      </c>
      <c r="D1336" s="308" t="s">
        <v>4360</v>
      </c>
      <c r="E1336" s="794" t="s">
        <v>1926</v>
      </c>
      <c r="F1336" s="251">
        <v>20</v>
      </c>
      <c r="G1336" s="806">
        <v>352</v>
      </c>
      <c r="H1336" s="253">
        <f t="shared" si="128"/>
        <v>7040</v>
      </c>
      <c r="I1336" s="254" t="s">
        <v>170</v>
      </c>
      <c r="J1336" s="331" t="s">
        <v>3578</v>
      </c>
      <c r="K1336" s="256">
        <v>43272</v>
      </c>
      <c r="L1336" s="256"/>
      <c r="M1336" s="256">
        <v>43263</v>
      </c>
      <c r="N1336" s="331" t="s">
        <v>1993</v>
      </c>
      <c r="O1336" s="308" t="s">
        <v>4365</v>
      </c>
      <c r="Q1336" s="266">
        <v>5901</v>
      </c>
      <c r="R1336" s="1394"/>
      <c r="S1336" s="1394"/>
      <c r="U1336" s="328"/>
      <c r="V1336" s="338" t="s">
        <v>46</v>
      </c>
      <c r="W1336" s="747">
        <v>43292</v>
      </c>
      <c r="X1336" s="748">
        <v>43262</v>
      </c>
      <c r="Y1336" s="744" t="s">
        <v>4366</v>
      </c>
      <c r="Z1336" s="749">
        <v>175944</v>
      </c>
      <c r="AA1336" s="748">
        <v>43305</v>
      </c>
      <c r="AB1336" s="250" t="s">
        <v>4364</v>
      </c>
      <c r="AC1336" s="744" t="s">
        <v>4367</v>
      </c>
      <c r="AD1336" s="744"/>
      <c r="AE1336" s="744"/>
      <c r="AF1336" s="744"/>
      <c r="AG1336" s="251" t="s">
        <v>283</v>
      </c>
    </row>
    <row r="1337" spans="1:33" ht="15.75" customHeight="1">
      <c r="A1337" s="755">
        <v>43234</v>
      </c>
      <c r="B1337" s="263" t="s">
        <v>100</v>
      </c>
      <c r="C1337" s="744" t="s">
        <v>4359</v>
      </c>
      <c r="D1337" s="777" t="s">
        <v>4368</v>
      </c>
      <c r="E1337" s="800" t="s">
        <v>4343</v>
      </c>
      <c r="F1337" s="277">
        <v>20</v>
      </c>
      <c r="G1337" s="807">
        <v>95</v>
      </c>
      <c r="H1337" s="808">
        <f t="shared" si="128"/>
        <v>1900</v>
      </c>
      <c r="I1337" s="254" t="s">
        <v>170</v>
      </c>
      <c r="J1337" s="331" t="s">
        <v>3578</v>
      </c>
      <c r="K1337" s="256">
        <v>43272</v>
      </c>
      <c r="L1337" s="256"/>
      <c r="M1337" s="256">
        <v>43263</v>
      </c>
      <c r="N1337" s="251" t="s">
        <v>1987</v>
      </c>
      <c r="O1337" s="308" t="s">
        <v>4369</v>
      </c>
      <c r="Q1337" s="266">
        <v>1782.9</v>
      </c>
      <c r="R1337" s="1394"/>
      <c r="S1337" s="1394"/>
      <c r="U1337" s="328"/>
      <c r="V1337" s="597" t="s">
        <v>3744</v>
      </c>
      <c r="W1337" s="747">
        <v>43286</v>
      </c>
      <c r="X1337" s="748">
        <v>43256</v>
      </c>
      <c r="Y1337" s="744" t="s">
        <v>4370</v>
      </c>
      <c r="Z1337" s="749">
        <v>53166</v>
      </c>
      <c r="AA1337" s="748">
        <v>43286</v>
      </c>
      <c r="AB1337" s="250" t="s">
        <v>4364</v>
      </c>
      <c r="AC1337" s="744">
        <v>3734528663</v>
      </c>
      <c r="AD1337" s="744"/>
      <c r="AE1337" s="744"/>
      <c r="AF1337" s="744"/>
      <c r="AG1337" s="251" t="s">
        <v>283</v>
      </c>
    </row>
    <row r="1338" spans="1:33" ht="15.75" customHeight="1">
      <c r="A1338" s="755">
        <v>43234</v>
      </c>
      <c r="B1338" s="263" t="s">
        <v>619</v>
      </c>
      <c r="C1338" s="744"/>
      <c r="D1338" s="250" t="s">
        <v>4371</v>
      </c>
      <c r="E1338" s="595" t="s">
        <v>4372</v>
      </c>
      <c r="F1338" s="251">
        <v>6</v>
      </c>
      <c r="G1338" s="806">
        <v>97.125</v>
      </c>
      <c r="H1338" s="253">
        <f t="shared" si="128"/>
        <v>582.75</v>
      </c>
      <c r="I1338" s="254" t="s">
        <v>170</v>
      </c>
      <c r="J1338" s="251" t="s">
        <v>89</v>
      </c>
      <c r="K1338" s="256">
        <v>43244</v>
      </c>
      <c r="L1338" s="256"/>
      <c r="M1338" s="256">
        <v>43244</v>
      </c>
      <c r="N1338" s="331" t="s">
        <v>89</v>
      </c>
      <c r="O1338" s="308" t="s">
        <v>4373</v>
      </c>
      <c r="Q1338" s="266">
        <v>535.5</v>
      </c>
      <c r="R1338" s="1394"/>
      <c r="S1338" s="1394"/>
      <c r="U1338" s="328"/>
      <c r="V1338" s="338" t="s">
        <v>93</v>
      </c>
      <c r="W1338" s="747">
        <v>43281</v>
      </c>
      <c r="X1338" s="748">
        <v>43244</v>
      </c>
      <c r="Y1338" s="744" t="s">
        <v>4374</v>
      </c>
      <c r="Z1338" s="749">
        <v>15958</v>
      </c>
      <c r="AA1338" s="748">
        <v>43284</v>
      </c>
      <c r="AB1338" s="744" t="s">
        <v>4375</v>
      </c>
      <c r="AC1338" s="744"/>
      <c r="AD1338" s="744" t="s">
        <v>4376</v>
      </c>
      <c r="AE1338" s="751">
        <v>17442</v>
      </c>
      <c r="AF1338" s="744" t="s">
        <v>4377</v>
      </c>
      <c r="AG1338" s="264" t="s">
        <v>376</v>
      </c>
    </row>
    <row r="1339" spans="1:33" ht="15.75" customHeight="1">
      <c r="A1339" s="755">
        <v>43235</v>
      </c>
      <c r="B1339" s="590" t="s">
        <v>4378</v>
      </c>
      <c r="C1339" s="744"/>
      <c r="D1339" s="250" t="s">
        <v>4379</v>
      </c>
      <c r="E1339" s="595" t="s">
        <v>3481</v>
      </c>
      <c r="F1339" s="251">
        <v>15</v>
      </c>
      <c r="G1339" s="252">
        <v>290</v>
      </c>
      <c r="H1339" s="253">
        <f t="shared" si="128"/>
        <v>4350</v>
      </c>
      <c r="I1339" s="254" t="s">
        <v>170</v>
      </c>
      <c r="J1339" s="267" t="s">
        <v>3116</v>
      </c>
      <c r="K1339" s="256">
        <v>43265</v>
      </c>
      <c r="L1339" s="256"/>
      <c r="M1339" s="256">
        <v>43245</v>
      </c>
      <c r="N1339" s="331" t="s">
        <v>2001</v>
      </c>
      <c r="O1339" s="308" t="s">
        <v>4380</v>
      </c>
      <c r="Q1339" s="266">
        <v>4173.75</v>
      </c>
      <c r="R1339" s="1394"/>
      <c r="S1339" s="1394"/>
      <c r="U1339" s="328"/>
      <c r="V1339" s="308" t="s">
        <v>2003</v>
      </c>
      <c r="W1339" s="747">
        <v>43286</v>
      </c>
      <c r="X1339" s="748">
        <v>43242</v>
      </c>
      <c r="Y1339" s="744" t="s">
        <v>4381</v>
      </c>
      <c r="Z1339" s="749">
        <v>124378</v>
      </c>
      <c r="AA1339" s="748">
        <v>43286</v>
      </c>
      <c r="AB1339" s="250" t="s">
        <v>4382</v>
      </c>
      <c r="AC1339" s="744" t="s">
        <v>4383</v>
      </c>
      <c r="AD1339" s="744"/>
      <c r="AE1339" s="744"/>
      <c r="AF1339" s="744"/>
      <c r="AG1339" s="251" t="s">
        <v>283</v>
      </c>
    </row>
    <row r="1340" spans="1:33" ht="15.75" customHeight="1">
      <c r="A1340" s="755">
        <v>43235</v>
      </c>
      <c r="B1340" s="590" t="s">
        <v>4378</v>
      </c>
      <c r="C1340" s="744"/>
      <c r="D1340" s="250" t="s">
        <v>4379</v>
      </c>
      <c r="E1340" s="595" t="s">
        <v>3487</v>
      </c>
      <c r="F1340" s="251">
        <v>30</v>
      </c>
      <c r="G1340" s="252">
        <v>106</v>
      </c>
      <c r="H1340" s="253">
        <f t="shared" si="128"/>
        <v>3180</v>
      </c>
      <c r="I1340" s="254" t="s">
        <v>170</v>
      </c>
      <c r="J1340" s="267" t="s">
        <v>3116</v>
      </c>
      <c r="K1340" s="256">
        <v>43265</v>
      </c>
      <c r="L1340" s="256"/>
      <c r="M1340" s="256">
        <v>43249</v>
      </c>
      <c r="N1340" s="331" t="s">
        <v>2001</v>
      </c>
      <c r="O1340" s="308" t="s">
        <v>4380</v>
      </c>
      <c r="Q1340" s="266">
        <v>3024</v>
      </c>
      <c r="R1340" s="1394"/>
      <c r="S1340" s="1394"/>
      <c r="U1340" s="328"/>
      <c r="V1340" s="308" t="s">
        <v>2003</v>
      </c>
      <c r="W1340" s="747">
        <v>43317</v>
      </c>
      <c r="X1340" s="748">
        <v>43249</v>
      </c>
      <c r="Y1340" s="744" t="s">
        <v>4384</v>
      </c>
      <c r="Z1340" s="749">
        <v>90115</v>
      </c>
      <c r="AA1340" s="750">
        <v>43317</v>
      </c>
      <c r="AB1340" s="250" t="s">
        <v>4382</v>
      </c>
      <c r="AC1340" s="744" t="s">
        <v>4383</v>
      </c>
      <c r="AD1340" s="744"/>
      <c r="AE1340" s="744"/>
      <c r="AF1340" s="744"/>
      <c r="AG1340" s="251" t="s">
        <v>283</v>
      </c>
    </row>
    <row r="1341" spans="1:33" ht="15.75" customHeight="1">
      <c r="A1341" s="755">
        <v>43235</v>
      </c>
      <c r="B1341" s="263" t="s">
        <v>546</v>
      </c>
      <c r="C1341" s="744" t="s">
        <v>4385</v>
      </c>
      <c r="D1341" s="250" t="s">
        <v>4386</v>
      </c>
      <c r="E1341" s="595" t="s">
        <v>4387</v>
      </c>
      <c r="F1341" s="251">
        <v>2</v>
      </c>
      <c r="G1341" s="252">
        <v>285</v>
      </c>
      <c r="H1341" s="253">
        <f t="shared" si="128"/>
        <v>570</v>
      </c>
      <c r="I1341" s="254" t="s">
        <v>3712</v>
      </c>
      <c r="J1341" s="267" t="s">
        <v>3588</v>
      </c>
      <c r="K1341" s="256">
        <v>43241</v>
      </c>
      <c r="L1341" s="256"/>
      <c r="M1341" s="256">
        <v>43238</v>
      </c>
      <c r="N1341" s="331" t="s">
        <v>3432</v>
      </c>
      <c r="O1341" s="308" t="s">
        <v>4388</v>
      </c>
      <c r="Q1341" s="591"/>
      <c r="R1341" s="1406"/>
      <c r="S1341" s="1406"/>
      <c r="U1341" s="630">
        <v>16136</v>
      </c>
      <c r="V1341" s="308" t="s">
        <v>2045</v>
      </c>
      <c r="W1341" s="747">
        <v>43312</v>
      </c>
      <c r="X1341" s="748">
        <v>43237</v>
      </c>
      <c r="Y1341" s="744" t="s">
        <v>4389</v>
      </c>
      <c r="Z1341" s="749">
        <v>16136</v>
      </c>
      <c r="AA1341" s="750">
        <v>43312</v>
      </c>
      <c r="AB1341" s="250" t="s">
        <v>4358</v>
      </c>
      <c r="AC1341" s="744">
        <v>2706828611</v>
      </c>
      <c r="AD1341" s="744"/>
      <c r="AE1341" s="744"/>
      <c r="AF1341" s="744"/>
      <c r="AG1341" s="251" t="s">
        <v>283</v>
      </c>
    </row>
    <row r="1342" spans="1:33" ht="15.75" customHeight="1">
      <c r="A1342" s="743">
        <v>43237</v>
      </c>
      <c r="B1342" s="263" t="s">
        <v>577</v>
      </c>
      <c r="C1342" s="744">
        <v>20180516001</v>
      </c>
      <c r="D1342" s="250" t="s">
        <v>4390</v>
      </c>
      <c r="E1342" s="595" t="s">
        <v>579</v>
      </c>
      <c r="F1342" s="251">
        <v>4</v>
      </c>
      <c r="G1342" s="252">
        <v>96.6</v>
      </c>
      <c r="H1342" s="253">
        <f t="shared" si="128"/>
        <v>386.4</v>
      </c>
      <c r="I1342" s="254" t="s">
        <v>170</v>
      </c>
      <c r="J1342" s="319" t="s">
        <v>580</v>
      </c>
      <c r="K1342" s="256">
        <v>43252</v>
      </c>
      <c r="L1342" s="256"/>
      <c r="M1342" s="256">
        <v>43252</v>
      </c>
      <c r="N1342" s="331" t="s">
        <v>1414</v>
      </c>
      <c r="O1342" s="308" t="s">
        <v>4391</v>
      </c>
      <c r="Q1342" s="591"/>
      <c r="R1342" s="1406"/>
      <c r="S1342" s="1406"/>
      <c r="U1342" s="572">
        <v>10042</v>
      </c>
      <c r="V1342" s="318" t="s">
        <v>1947</v>
      </c>
      <c r="W1342" s="747">
        <v>43281</v>
      </c>
      <c r="X1342" s="750">
        <v>43251</v>
      </c>
      <c r="Y1342" s="250" t="s">
        <v>4392</v>
      </c>
      <c r="Z1342" s="753">
        <v>10044</v>
      </c>
      <c r="AA1342" s="748">
        <v>43286</v>
      </c>
      <c r="AB1342" s="744" t="s">
        <v>4393</v>
      </c>
      <c r="AC1342" s="744"/>
      <c r="AD1342" s="744"/>
      <c r="AE1342" s="753">
        <v>11592</v>
      </c>
      <c r="AF1342" s="744" t="s">
        <v>4394</v>
      </c>
      <c r="AG1342" s="251" t="s">
        <v>376</v>
      </c>
    </row>
    <row r="1343" spans="1:33" ht="15.75" customHeight="1">
      <c r="A1343" s="755">
        <v>43237</v>
      </c>
      <c r="B1343" s="590" t="s">
        <v>4378</v>
      </c>
      <c r="C1343" s="744"/>
      <c r="D1343" s="250" t="s">
        <v>4395</v>
      </c>
      <c r="E1343" s="595" t="s">
        <v>4396</v>
      </c>
      <c r="F1343" s="251">
        <v>1</v>
      </c>
      <c r="G1343" s="252">
        <v>560</v>
      </c>
      <c r="H1343" s="253">
        <f t="shared" si="128"/>
        <v>560</v>
      </c>
      <c r="I1343" s="254" t="s">
        <v>170</v>
      </c>
      <c r="J1343" s="267" t="s">
        <v>3116</v>
      </c>
      <c r="K1343" s="256">
        <v>43265</v>
      </c>
      <c r="L1343" s="256"/>
      <c r="M1343" s="256">
        <v>43245</v>
      </c>
      <c r="N1343" s="331" t="s">
        <v>2008</v>
      </c>
      <c r="O1343" s="308" t="s">
        <v>4397</v>
      </c>
      <c r="Q1343" s="266">
        <v>535.5</v>
      </c>
      <c r="R1343" s="1394"/>
      <c r="S1343" s="1394"/>
      <c r="U1343" s="328"/>
      <c r="V1343" s="308" t="s">
        <v>2010</v>
      </c>
      <c r="W1343" s="328"/>
      <c r="X1343" s="748">
        <v>43244</v>
      </c>
      <c r="Y1343" s="744" t="s">
        <v>4248</v>
      </c>
      <c r="Z1343" s="749" t="s">
        <v>4398</v>
      </c>
      <c r="AA1343" s="748">
        <v>43276</v>
      </c>
      <c r="AB1343" s="250" t="s">
        <v>4382</v>
      </c>
      <c r="AC1343" s="744" t="s">
        <v>4383</v>
      </c>
      <c r="AD1343" s="744"/>
      <c r="AE1343" s="744"/>
      <c r="AF1343" s="744"/>
      <c r="AG1343" s="251" t="s">
        <v>283</v>
      </c>
    </row>
    <row r="1344" spans="1:33" ht="15.75" customHeight="1">
      <c r="A1344" s="755">
        <v>43237</v>
      </c>
      <c r="B1344" s="590" t="s">
        <v>4378</v>
      </c>
      <c r="C1344" s="744"/>
      <c r="D1344" s="250" t="s">
        <v>4399</v>
      </c>
      <c r="E1344" s="595" t="s">
        <v>4400</v>
      </c>
      <c r="F1344" s="251">
        <v>17</v>
      </c>
      <c r="G1344" s="252">
        <v>162</v>
      </c>
      <c r="H1344" s="253">
        <f t="shared" si="128"/>
        <v>2754</v>
      </c>
      <c r="I1344" s="254" t="s">
        <v>170</v>
      </c>
      <c r="J1344" s="267" t="s">
        <v>3116</v>
      </c>
      <c r="K1344" s="256">
        <v>43265</v>
      </c>
      <c r="L1344" s="256"/>
      <c r="M1344" s="256">
        <v>43262</v>
      </c>
      <c r="N1344" s="331" t="s">
        <v>89</v>
      </c>
      <c r="O1344" s="308" t="s">
        <v>4401</v>
      </c>
      <c r="Q1344" s="266">
        <v>2494.54</v>
      </c>
      <c r="R1344" s="1394"/>
      <c r="S1344" s="1394"/>
      <c r="U1344" s="328"/>
      <c r="V1344" s="338" t="s">
        <v>93</v>
      </c>
      <c r="W1344" s="747">
        <v>43312</v>
      </c>
      <c r="X1344" s="748">
        <v>43262</v>
      </c>
      <c r="Y1344" s="744" t="s">
        <v>4402</v>
      </c>
      <c r="Z1344" s="749">
        <v>74225</v>
      </c>
      <c r="AA1344" s="748">
        <v>43312</v>
      </c>
      <c r="AB1344" s="250" t="s">
        <v>4382</v>
      </c>
      <c r="AC1344" s="744" t="s">
        <v>4383</v>
      </c>
      <c r="AD1344" s="744"/>
      <c r="AE1344" s="744"/>
      <c r="AF1344" s="744"/>
      <c r="AG1344" s="251" t="s">
        <v>283</v>
      </c>
    </row>
    <row r="1345" spans="1:33" ht="15.75" customHeight="1">
      <c r="A1345" s="809">
        <v>43237</v>
      </c>
      <c r="B1345" s="263" t="s">
        <v>1469</v>
      </c>
      <c r="C1345" s="744"/>
      <c r="D1345" s="250" t="s">
        <v>4403</v>
      </c>
      <c r="E1345" s="595" t="s">
        <v>4404</v>
      </c>
      <c r="F1345" s="251">
        <v>4</v>
      </c>
      <c r="G1345" s="252">
        <v>65</v>
      </c>
      <c r="H1345" s="253">
        <v>260</v>
      </c>
      <c r="I1345" s="254" t="s">
        <v>419</v>
      </c>
      <c r="J1345" s="267" t="s">
        <v>4405</v>
      </c>
      <c r="K1345" s="256">
        <v>43251</v>
      </c>
      <c r="L1345" s="256"/>
      <c r="M1345" s="256">
        <v>43245</v>
      </c>
      <c r="N1345" s="331" t="s">
        <v>89</v>
      </c>
      <c r="O1345" s="308" t="s">
        <v>4406</v>
      </c>
      <c r="Q1345" s="266">
        <v>243.6</v>
      </c>
      <c r="R1345" s="1394"/>
      <c r="S1345" s="1394"/>
      <c r="U1345" s="328"/>
      <c r="V1345" s="338" t="s">
        <v>93</v>
      </c>
      <c r="W1345" s="747">
        <v>43281</v>
      </c>
      <c r="X1345" s="748">
        <v>43245</v>
      </c>
      <c r="Y1345" s="744" t="s">
        <v>4407</v>
      </c>
      <c r="Z1345" s="749">
        <v>7259</v>
      </c>
      <c r="AA1345" s="748">
        <v>43284</v>
      </c>
      <c r="AB1345" s="250" t="s">
        <v>4408</v>
      </c>
      <c r="AC1345" s="744" t="s">
        <v>4409</v>
      </c>
      <c r="AD1345" s="744"/>
      <c r="AE1345" s="744"/>
      <c r="AF1345" s="744"/>
      <c r="AG1345" s="251" t="s">
        <v>283</v>
      </c>
    </row>
    <row r="1346" spans="1:33" ht="15.75" customHeight="1">
      <c r="A1346" s="755">
        <v>43237</v>
      </c>
      <c r="B1346" s="318" t="s">
        <v>325</v>
      </c>
      <c r="C1346" s="250">
        <v>2022919</v>
      </c>
      <c r="D1346" s="308" t="s">
        <v>4410</v>
      </c>
      <c r="E1346" s="799" t="s">
        <v>187</v>
      </c>
      <c r="F1346" s="251">
        <v>120</v>
      </c>
      <c r="G1346" s="252">
        <v>273</v>
      </c>
      <c r="H1346" s="253">
        <f t="shared" ref="H1346:H1370" si="129">G1346*F1346</f>
        <v>32760</v>
      </c>
      <c r="I1346" s="254" t="s">
        <v>42</v>
      </c>
      <c r="J1346" s="267" t="s">
        <v>328</v>
      </c>
      <c r="K1346" s="256">
        <v>43356</v>
      </c>
      <c r="L1346" s="256"/>
      <c r="M1346" s="256">
        <v>43304</v>
      </c>
      <c r="N1346" s="331" t="s">
        <v>3614</v>
      </c>
      <c r="O1346" s="308" t="s">
        <v>4411</v>
      </c>
      <c r="Q1346" s="266">
        <v>28980</v>
      </c>
      <c r="R1346" s="1394"/>
      <c r="S1346" s="1394"/>
      <c r="U1346" s="328"/>
      <c r="V1346" s="420" t="s">
        <v>2159</v>
      </c>
      <c r="W1346" s="747">
        <v>43343</v>
      </c>
      <c r="X1346" s="748">
        <v>43305</v>
      </c>
      <c r="Y1346" s="744" t="s">
        <v>4412</v>
      </c>
      <c r="Z1346" s="749">
        <v>887947</v>
      </c>
      <c r="AA1346" s="748">
        <v>43356</v>
      </c>
      <c r="AB1346" s="744" t="s">
        <v>4413</v>
      </c>
      <c r="AC1346" s="744">
        <v>609229</v>
      </c>
      <c r="AD1346" s="744"/>
      <c r="AE1346" s="744"/>
      <c r="AF1346" s="744"/>
      <c r="AG1346" s="251" t="s">
        <v>283</v>
      </c>
    </row>
    <row r="1347" spans="1:33" ht="15.75" customHeight="1">
      <c r="A1347" s="743">
        <v>43237</v>
      </c>
      <c r="B1347" s="590" t="s">
        <v>405</v>
      </c>
      <c r="C1347" s="744">
        <v>7000138157</v>
      </c>
      <c r="D1347" s="250" t="s">
        <v>4414</v>
      </c>
      <c r="E1347" s="595" t="s">
        <v>3490</v>
      </c>
      <c r="F1347" s="251">
        <v>2</v>
      </c>
      <c r="G1347" s="252">
        <v>421</v>
      </c>
      <c r="H1347" s="253">
        <f t="shared" si="129"/>
        <v>842</v>
      </c>
      <c r="I1347" s="254" t="s">
        <v>42</v>
      </c>
      <c r="J1347" s="331" t="s">
        <v>3840</v>
      </c>
      <c r="K1347" s="256">
        <v>43244</v>
      </c>
      <c r="L1347" s="256"/>
      <c r="M1347" s="256">
        <v>43242</v>
      </c>
      <c r="N1347" s="331" t="s">
        <v>3432</v>
      </c>
      <c r="O1347" s="308" t="s">
        <v>4415</v>
      </c>
      <c r="Q1347" s="591"/>
      <c r="R1347" s="1406"/>
      <c r="S1347" s="1406"/>
      <c r="U1347" s="630">
        <v>23432</v>
      </c>
      <c r="V1347" s="308" t="s">
        <v>2045</v>
      </c>
      <c r="W1347" s="747">
        <v>43312</v>
      </c>
      <c r="X1347" s="748">
        <v>43241</v>
      </c>
      <c r="Y1347" s="744" t="s">
        <v>4416</v>
      </c>
      <c r="Z1347" s="749">
        <v>28854</v>
      </c>
      <c r="AA1347" s="750">
        <v>43312</v>
      </c>
      <c r="AB1347" s="250" t="s">
        <v>4417</v>
      </c>
      <c r="AC1347" s="744">
        <v>3599676275</v>
      </c>
      <c r="AD1347" s="744"/>
      <c r="AE1347" s="744"/>
      <c r="AF1347" s="744"/>
      <c r="AG1347" s="251" t="s">
        <v>283</v>
      </c>
    </row>
    <row r="1348" spans="1:33" ht="15.75" customHeight="1">
      <c r="A1348" s="743">
        <v>43237</v>
      </c>
      <c r="B1348" s="590" t="s">
        <v>405</v>
      </c>
      <c r="C1348" s="744">
        <v>7000138157</v>
      </c>
      <c r="D1348" s="250" t="s">
        <v>4414</v>
      </c>
      <c r="E1348" s="595" t="s">
        <v>4418</v>
      </c>
      <c r="F1348" s="251">
        <v>1</v>
      </c>
      <c r="G1348" s="252">
        <v>674</v>
      </c>
      <c r="H1348" s="253">
        <f t="shared" si="129"/>
        <v>674</v>
      </c>
      <c r="I1348" s="254" t="s">
        <v>42</v>
      </c>
      <c r="J1348" s="331" t="s">
        <v>3840</v>
      </c>
      <c r="K1348" s="256">
        <v>43265</v>
      </c>
      <c r="L1348" s="256"/>
      <c r="M1348" s="256">
        <v>43259</v>
      </c>
      <c r="N1348" s="331" t="s">
        <v>3432</v>
      </c>
      <c r="O1348" s="308" t="s">
        <v>4415</v>
      </c>
      <c r="Q1348" s="591"/>
      <c r="R1348" s="1406"/>
      <c r="S1348" s="1406"/>
      <c r="U1348" s="630">
        <v>18766</v>
      </c>
      <c r="V1348" s="308" t="s">
        <v>2045</v>
      </c>
      <c r="W1348" s="747">
        <v>43343</v>
      </c>
      <c r="X1348" s="748">
        <v>43256</v>
      </c>
      <c r="Y1348" s="744" t="s">
        <v>4419</v>
      </c>
      <c r="Z1348" s="749">
        <v>18766</v>
      </c>
      <c r="AA1348" s="748">
        <v>43320</v>
      </c>
      <c r="AB1348" s="250" t="s">
        <v>4420</v>
      </c>
      <c r="AC1348" s="250">
        <v>2886338571</v>
      </c>
      <c r="AD1348" s="744"/>
      <c r="AE1348" s="744"/>
      <c r="AF1348" s="744"/>
      <c r="AG1348" s="251" t="s">
        <v>283</v>
      </c>
    </row>
    <row r="1349" spans="1:33" ht="15.75" customHeight="1">
      <c r="A1349" s="743">
        <v>43237</v>
      </c>
      <c r="B1349" s="590" t="s">
        <v>405</v>
      </c>
      <c r="C1349" s="744">
        <v>7000138157</v>
      </c>
      <c r="D1349" s="250" t="s">
        <v>4414</v>
      </c>
      <c r="E1349" s="595" t="s">
        <v>3515</v>
      </c>
      <c r="F1349" s="251">
        <v>4</v>
      </c>
      <c r="G1349" s="252">
        <v>48</v>
      </c>
      <c r="H1349" s="253">
        <f t="shared" si="129"/>
        <v>192</v>
      </c>
      <c r="I1349" s="254" t="s">
        <v>42</v>
      </c>
      <c r="J1349" s="331" t="s">
        <v>3840</v>
      </c>
      <c r="K1349" s="256">
        <v>43244</v>
      </c>
      <c r="L1349" s="256"/>
      <c r="M1349" s="256">
        <v>43242</v>
      </c>
      <c r="N1349" s="331" t="s">
        <v>3432</v>
      </c>
      <c r="O1349" s="308" t="s">
        <v>4415</v>
      </c>
      <c r="Q1349" s="591"/>
      <c r="R1349" s="1406"/>
      <c r="S1349" s="1406"/>
      <c r="U1349" s="630">
        <v>5422</v>
      </c>
      <c r="V1349" s="308" t="s">
        <v>2045</v>
      </c>
      <c r="W1349" s="747">
        <v>43312</v>
      </c>
      <c r="X1349" s="748">
        <v>43241</v>
      </c>
      <c r="Y1349" s="744" t="s">
        <v>4416</v>
      </c>
      <c r="Z1349" s="744" t="s">
        <v>4421</v>
      </c>
      <c r="AA1349" s="750">
        <v>43312</v>
      </c>
      <c r="AB1349" s="250" t="s">
        <v>4417</v>
      </c>
      <c r="AC1349" s="744">
        <v>3599676275</v>
      </c>
      <c r="AD1349" s="744"/>
      <c r="AE1349" s="744"/>
      <c r="AF1349" s="744"/>
      <c r="AG1349" s="251" t="s">
        <v>283</v>
      </c>
    </row>
    <row r="1350" spans="1:33" ht="15.75" customHeight="1">
      <c r="A1350" s="743">
        <v>43242</v>
      </c>
      <c r="B1350" s="263" t="s">
        <v>372</v>
      </c>
      <c r="C1350" s="744">
        <v>201805210015</v>
      </c>
      <c r="D1350" s="250" t="s">
        <v>4422</v>
      </c>
      <c r="E1350" s="595" t="s">
        <v>374</v>
      </c>
      <c r="F1350" s="305">
        <v>60</v>
      </c>
      <c r="G1350" s="252">
        <v>63</v>
      </c>
      <c r="H1350" s="266">
        <f t="shared" si="129"/>
        <v>3780</v>
      </c>
      <c r="I1350" s="264" t="s">
        <v>42</v>
      </c>
      <c r="J1350" s="254" t="s">
        <v>89</v>
      </c>
      <c r="K1350" s="256">
        <v>43245</v>
      </c>
      <c r="L1350" s="256"/>
      <c r="M1350" s="256">
        <v>43245</v>
      </c>
      <c r="N1350" s="331" t="s">
        <v>962</v>
      </c>
      <c r="O1350" s="308" t="s">
        <v>4423</v>
      </c>
      <c r="Q1350" s="266">
        <v>3528</v>
      </c>
      <c r="R1350" s="1394"/>
      <c r="S1350" s="1394"/>
      <c r="U1350" s="328"/>
      <c r="V1350" s="338" t="s">
        <v>93</v>
      </c>
      <c r="W1350" s="747">
        <v>43281</v>
      </c>
      <c r="X1350" s="748">
        <v>43245</v>
      </c>
      <c r="Y1350" s="744" t="s">
        <v>4424</v>
      </c>
      <c r="Z1350" s="749">
        <v>105134</v>
      </c>
      <c r="AA1350" s="748">
        <v>43284</v>
      </c>
      <c r="AB1350" s="744" t="s">
        <v>4425</v>
      </c>
      <c r="AC1350" s="744"/>
      <c r="AD1350" s="744" t="s">
        <v>4426</v>
      </c>
      <c r="AE1350" s="751">
        <v>113135</v>
      </c>
      <c r="AF1350" s="744" t="s">
        <v>4427</v>
      </c>
      <c r="AG1350" s="251" t="s">
        <v>376</v>
      </c>
    </row>
    <row r="1351" spans="1:33" ht="15.75" customHeight="1">
      <c r="A1351" s="743">
        <v>43244</v>
      </c>
      <c r="B1351" s="590" t="s">
        <v>405</v>
      </c>
      <c r="C1351" s="744">
        <v>7000138263</v>
      </c>
      <c r="D1351" s="250" t="s">
        <v>4428</v>
      </c>
      <c r="E1351" s="595" t="s">
        <v>4429</v>
      </c>
      <c r="F1351" s="251">
        <v>1</v>
      </c>
      <c r="G1351" s="252">
        <v>90</v>
      </c>
      <c r="H1351" s="266">
        <f t="shared" si="129"/>
        <v>90</v>
      </c>
      <c r="I1351" s="264" t="s">
        <v>42</v>
      </c>
      <c r="J1351" s="331" t="s">
        <v>3840</v>
      </c>
      <c r="K1351" s="256">
        <v>43251</v>
      </c>
      <c r="L1351" s="256"/>
      <c r="M1351" s="256">
        <v>43250</v>
      </c>
      <c r="N1351" s="401" t="s">
        <v>2124</v>
      </c>
      <c r="O1351" s="308" t="s">
        <v>4430</v>
      </c>
      <c r="Q1351" s="591"/>
      <c r="R1351" s="1406"/>
      <c r="S1351" s="1406"/>
      <c r="U1351" s="810">
        <v>2453</v>
      </c>
      <c r="V1351" s="308" t="s">
        <v>2126</v>
      </c>
      <c r="W1351" s="328"/>
      <c r="X1351" s="748">
        <v>43249</v>
      </c>
      <c r="Y1351" s="744" t="s">
        <v>4431</v>
      </c>
      <c r="Z1351" s="749">
        <v>2453</v>
      </c>
      <c r="AA1351" s="748">
        <v>43244</v>
      </c>
      <c r="AB1351" s="250" t="s">
        <v>4432</v>
      </c>
      <c r="AC1351" s="744">
        <v>5137684296</v>
      </c>
      <c r="AD1351" s="744"/>
      <c r="AE1351" s="744"/>
      <c r="AF1351" s="744"/>
      <c r="AG1351" s="251" t="s">
        <v>283</v>
      </c>
    </row>
    <row r="1352" spans="1:33" ht="15.75" customHeight="1">
      <c r="A1352" s="743">
        <v>43244</v>
      </c>
      <c r="B1352" s="590" t="s">
        <v>405</v>
      </c>
      <c r="C1352" s="744">
        <v>7000138263</v>
      </c>
      <c r="D1352" s="250" t="s">
        <v>4428</v>
      </c>
      <c r="E1352" s="595" t="s">
        <v>4028</v>
      </c>
      <c r="F1352" s="251">
        <v>1</v>
      </c>
      <c r="G1352" s="252">
        <v>802</v>
      </c>
      <c r="H1352" s="266">
        <f t="shared" si="129"/>
        <v>802</v>
      </c>
      <c r="I1352" s="264" t="s">
        <v>42</v>
      </c>
      <c r="J1352" s="331" t="s">
        <v>3840</v>
      </c>
      <c r="K1352" s="256">
        <v>43251</v>
      </c>
      <c r="L1352" s="256"/>
      <c r="M1352" s="256">
        <v>43249</v>
      </c>
      <c r="N1352" s="331" t="s">
        <v>3432</v>
      </c>
      <c r="O1352" s="308" t="s">
        <v>4433</v>
      </c>
      <c r="Q1352" s="591"/>
      <c r="R1352" s="1406"/>
      <c r="S1352" s="1406"/>
      <c r="U1352" s="630">
        <v>22089</v>
      </c>
      <c r="V1352" s="308" t="s">
        <v>2045</v>
      </c>
      <c r="W1352" s="747">
        <v>43343</v>
      </c>
      <c r="X1352" s="748">
        <v>43249</v>
      </c>
      <c r="Y1352" s="744" t="s">
        <v>4434</v>
      </c>
      <c r="Z1352" s="749">
        <v>22089</v>
      </c>
      <c r="AA1352" s="748">
        <v>43320</v>
      </c>
      <c r="AB1352" s="250" t="s">
        <v>4432</v>
      </c>
      <c r="AC1352" s="744">
        <v>5137684296</v>
      </c>
      <c r="AD1352" s="744"/>
      <c r="AE1352" s="744"/>
      <c r="AF1352" s="744"/>
      <c r="AG1352" s="251" t="s">
        <v>283</v>
      </c>
    </row>
    <row r="1353" spans="1:33" ht="15.75" customHeight="1">
      <c r="A1353" s="755">
        <v>43244</v>
      </c>
      <c r="B1353" s="318" t="s">
        <v>325</v>
      </c>
      <c r="C1353" s="250">
        <v>2023087</v>
      </c>
      <c r="D1353" s="308" t="s">
        <v>4435</v>
      </c>
      <c r="E1353" s="799" t="s">
        <v>3612</v>
      </c>
      <c r="F1353" s="251">
        <v>10</v>
      </c>
      <c r="G1353" s="323">
        <v>567</v>
      </c>
      <c r="H1353" s="253">
        <f t="shared" si="129"/>
        <v>5670</v>
      </c>
      <c r="I1353" s="254" t="s">
        <v>42</v>
      </c>
      <c r="J1353" s="267" t="s">
        <v>328</v>
      </c>
      <c r="K1353" s="256">
        <v>43270</v>
      </c>
      <c r="L1353" s="256"/>
      <c r="M1353" s="256">
        <v>43263</v>
      </c>
      <c r="N1353" s="331" t="s">
        <v>3614</v>
      </c>
      <c r="O1353" s="308" t="s">
        <v>4436</v>
      </c>
      <c r="Q1353" s="266">
        <v>5355</v>
      </c>
      <c r="R1353" s="1394"/>
      <c r="S1353" s="1394"/>
      <c r="U1353" s="328"/>
      <c r="V1353" s="420" t="s">
        <v>2159</v>
      </c>
      <c r="W1353" s="747">
        <v>43312</v>
      </c>
      <c r="X1353" s="748">
        <v>43265</v>
      </c>
      <c r="Y1353" s="744" t="s">
        <v>4437</v>
      </c>
      <c r="Z1353" s="749">
        <v>167216</v>
      </c>
      <c r="AA1353" s="750">
        <v>43312</v>
      </c>
      <c r="AB1353" s="250" t="s">
        <v>4438</v>
      </c>
      <c r="AC1353" s="744"/>
      <c r="AD1353" s="744"/>
      <c r="AE1353" s="744"/>
      <c r="AF1353" s="744"/>
      <c r="AG1353" s="251" t="s">
        <v>283</v>
      </c>
    </row>
    <row r="1354" spans="1:33" ht="15.75" customHeight="1">
      <c r="A1354" s="755">
        <v>43244</v>
      </c>
      <c r="B1354" s="318" t="s">
        <v>325</v>
      </c>
      <c r="C1354" s="250">
        <v>2023087</v>
      </c>
      <c r="D1354" s="308" t="s">
        <v>4435</v>
      </c>
      <c r="E1354" s="799" t="s">
        <v>3620</v>
      </c>
      <c r="F1354" s="251">
        <v>10</v>
      </c>
      <c r="G1354" s="323">
        <v>273</v>
      </c>
      <c r="H1354" s="253">
        <f t="shared" si="129"/>
        <v>2730</v>
      </c>
      <c r="I1354" s="254" t="s">
        <v>42</v>
      </c>
      <c r="J1354" s="267" t="s">
        <v>328</v>
      </c>
      <c r="K1354" s="256">
        <v>43270</v>
      </c>
      <c r="L1354" s="256"/>
      <c r="M1354" s="256">
        <v>43258</v>
      </c>
      <c r="N1354" s="331" t="s">
        <v>44</v>
      </c>
      <c r="O1354" s="308" t="s">
        <v>4439</v>
      </c>
      <c r="Q1354" s="266">
        <v>2184</v>
      </c>
      <c r="R1354" s="1394"/>
      <c r="S1354" s="1394"/>
      <c r="U1354" s="328"/>
      <c r="V1354" s="338" t="s">
        <v>46</v>
      </c>
      <c r="W1354" s="747">
        <v>43286</v>
      </c>
      <c r="X1354" s="748">
        <v>43256</v>
      </c>
      <c r="Y1354" s="744" t="s">
        <v>4440</v>
      </c>
      <c r="Z1354" s="749">
        <v>65127</v>
      </c>
      <c r="AA1354" s="748">
        <v>43286</v>
      </c>
      <c r="AB1354" s="250" t="s">
        <v>4438</v>
      </c>
      <c r="AC1354" s="744"/>
      <c r="AD1354" s="744"/>
      <c r="AE1354" s="744"/>
      <c r="AF1354" s="744"/>
      <c r="AG1354" s="251" t="s">
        <v>283</v>
      </c>
    </row>
    <row r="1355" spans="1:33" ht="15.75" customHeight="1">
      <c r="A1355" s="755">
        <v>43244</v>
      </c>
      <c r="B1355" s="318" t="s">
        <v>325</v>
      </c>
      <c r="C1355" s="250">
        <v>2023087</v>
      </c>
      <c r="D1355" s="308" t="s">
        <v>4435</v>
      </c>
      <c r="E1355" s="799" t="s">
        <v>52</v>
      </c>
      <c r="F1355" s="251">
        <v>10</v>
      </c>
      <c r="G1355" s="323">
        <v>31</v>
      </c>
      <c r="H1355" s="253">
        <f t="shared" si="129"/>
        <v>310</v>
      </c>
      <c r="I1355" s="254" t="s">
        <v>42</v>
      </c>
      <c r="J1355" s="267" t="s">
        <v>328</v>
      </c>
      <c r="K1355" s="256">
        <v>43270</v>
      </c>
      <c r="L1355" s="256"/>
      <c r="M1355" s="256">
        <v>43263</v>
      </c>
      <c r="N1355" s="331" t="s">
        <v>3614</v>
      </c>
      <c r="O1355" s="308" t="s">
        <v>4436</v>
      </c>
      <c r="Q1355" s="266">
        <v>226.8</v>
      </c>
      <c r="R1355" s="1394"/>
      <c r="S1355" s="1394"/>
      <c r="U1355" s="328"/>
      <c r="V1355" s="420" t="s">
        <v>2159</v>
      </c>
      <c r="W1355" s="747">
        <v>43312</v>
      </c>
      <c r="X1355" s="748">
        <v>43265</v>
      </c>
      <c r="Y1355" s="744" t="s">
        <v>4437</v>
      </c>
      <c r="Z1355" s="250" t="s">
        <v>4441</v>
      </c>
      <c r="AA1355" s="750">
        <v>43312</v>
      </c>
      <c r="AB1355" s="250" t="s">
        <v>4438</v>
      </c>
      <c r="AC1355" s="744"/>
      <c r="AD1355" s="744"/>
      <c r="AE1355" s="744"/>
      <c r="AF1355" s="744"/>
      <c r="AG1355" s="251" t="s">
        <v>283</v>
      </c>
    </row>
    <row r="1356" spans="1:33" ht="15.75" customHeight="1">
      <c r="A1356" s="755">
        <v>43244</v>
      </c>
      <c r="B1356" s="318" t="s">
        <v>325</v>
      </c>
      <c r="C1356" s="250">
        <v>2023087</v>
      </c>
      <c r="D1356" s="308" t="s">
        <v>4435</v>
      </c>
      <c r="E1356" s="799" t="s">
        <v>58</v>
      </c>
      <c r="F1356" s="251">
        <v>10</v>
      </c>
      <c r="G1356" s="323">
        <v>4</v>
      </c>
      <c r="H1356" s="253">
        <f t="shared" si="129"/>
        <v>40</v>
      </c>
      <c r="I1356" s="254" t="s">
        <v>42</v>
      </c>
      <c r="J1356" s="267" t="s">
        <v>328</v>
      </c>
      <c r="K1356" s="256">
        <v>43270</v>
      </c>
      <c r="L1356" s="256"/>
      <c r="M1356" s="256">
        <v>43263</v>
      </c>
      <c r="N1356" s="331" t="s">
        <v>3614</v>
      </c>
      <c r="O1356" s="308" t="s">
        <v>4436</v>
      </c>
      <c r="Q1356" s="266">
        <v>21</v>
      </c>
      <c r="R1356" s="1394"/>
      <c r="S1356" s="1394"/>
      <c r="U1356" s="328"/>
      <c r="V1356" s="420" t="s">
        <v>2159</v>
      </c>
      <c r="W1356" s="747">
        <v>43312</v>
      </c>
      <c r="X1356" s="748">
        <v>43265</v>
      </c>
      <c r="Y1356" s="744" t="s">
        <v>4437</v>
      </c>
      <c r="Z1356" s="250" t="s">
        <v>4441</v>
      </c>
      <c r="AA1356" s="750">
        <v>43312</v>
      </c>
      <c r="AB1356" s="250" t="s">
        <v>4438</v>
      </c>
      <c r="AC1356" s="744"/>
      <c r="AD1356" s="744"/>
      <c r="AE1356" s="744"/>
      <c r="AF1356" s="744"/>
      <c r="AG1356" s="251" t="s">
        <v>283</v>
      </c>
    </row>
    <row r="1357" spans="1:33" ht="15.75" customHeight="1">
      <c r="A1357" s="743">
        <v>43244</v>
      </c>
      <c r="B1357" s="590" t="s">
        <v>405</v>
      </c>
      <c r="C1357" s="744">
        <v>7000138283</v>
      </c>
      <c r="D1357" s="250" t="s">
        <v>4442</v>
      </c>
      <c r="E1357" s="799" t="s">
        <v>4443</v>
      </c>
      <c r="F1357" s="251">
        <v>2</v>
      </c>
      <c r="G1357" s="323">
        <v>235</v>
      </c>
      <c r="H1357" s="253">
        <f t="shared" si="129"/>
        <v>470</v>
      </c>
      <c r="I1357" s="254" t="s">
        <v>42</v>
      </c>
      <c r="J1357" s="331" t="s">
        <v>3840</v>
      </c>
      <c r="K1357" s="256">
        <v>43279</v>
      </c>
      <c r="L1357" s="256"/>
      <c r="M1357" s="256">
        <v>43277</v>
      </c>
      <c r="N1357" s="331" t="s">
        <v>3432</v>
      </c>
      <c r="O1357" s="308" t="s">
        <v>4442</v>
      </c>
      <c r="Q1357" s="591"/>
      <c r="R1357" s="1406"/>
      <c r="S1357" s="1406"/>
      <c r="U1357" s="630">
        <v>12905</v>
      </c>
      <c r="V1357" s="308" t="s">
        <v>2045</v>
      </c>
      <c r="W1357" s="747">
        <v>43373</v>
      </c>
      <c r="X1357" s="748">
        <v>43277</v>
      </c>
      <c r="Y1357" s="744" t="s">
        <v>4444</v>
      </c>
      <c r="Z1357" s="749">
        <v>12905</v>
      </c>
      <c r="AA1357" s="748">
        <v>43320</v>
      </c>
      <c r="AB1357" s="250" t="s">
        <v>4445</v>
      </c>
      <c r="AC1357" s="744">
        <v>5230602226</v>
      </c>
      <c r="AD1357" s="744"/>
      <c r="AE1357" s="744"/>
      <c r="AF1357" s="744"/>
      <c r="AG1357" s="251" t="s">
        <v>283</v>
      </c>
    </row>
    <row r="1358" spans="1:33" ht="15.75" customHeight="1">
      <c r="A1358" s="743">
        <v>43244</v>
      </c>
      <c r="B1358" s="590" t="s">
        <v>405</v>
      </c>
      <c r="C1358" s="744">
        <v>7000138283</v>
      </c>
      <c r="D1358" s="250" t="s">
        <v>4442</v>
      </c>
      <c r="E1358" s="799" t="s">
        <v>4446</v>
      </c>
      <c r="F1358" s="251">
        <v>2</v>
      </c>
      <c r="G1358" s="323">
        <v>280</v>
      </c>
      <c r="H1358" s="253">
        <f t="shared" si="129"/>
        <v>560</v>
      </c>
      <c r="I1358" s="254" t="s">
        <v>42</v>
      </c>
      <c r="J1358" s="331" t="s">
        <v>3840</v>
      </c>
      <c r="K1358" s="256">
        <v>43265</v>
      </c>
      <c r="L1358" s="256"/>
      <c r="M1358" s="256">
        <v>43259</v>
      </c>
      <c r="N1358" s="331" t="s">
        <v>3432</v>
      </c>
      <c r="O1358" s="308" t="s">
        <v>4442</v>
      </c>
      <c r="Q1358" s="591"/>
      <c r="R1358" s="1406"/>
      <c r="S1358" s="1406"/>
      <c r="U1358" s="630">
        <v>15565</v>
      </c>
      <c r="V1358" s="308" t="s">
        <v>2045</v>
      </c>
      <c r="W1358" s="747">
        <v>43343</v>
      </c>
      <c r="X1358" s="748">
        <v>43257</v>
      </c>
      <c r="Y1358" s="744" t="s">
        <v>4447</v>
      </c>
      <c r="Z1358" s="749">
        <v>15565</v>
      </c>
      <c r="AA1358" s="748">
        <v>43320</v>
      </c>
      <c r="AB1358" s="250" t="s">
        <v>4420</v>
      </c>
      <c r="AC1358" s="250">
        <v>2886338571</v>
      </c>
      <c r="AD1358" s="744"/>
      <c r="AE1358" s="744"/>
      <c r="AF1358" s="744"/>
      <c r="AG1358" s="251" t="s">
        <v>283</v>
      </c>
    </row>
    <row r="1359" spans="1:33" ht="15.75" customHeight="1">
      <c r="A1359" s="743">
        <v>43244</v>
      </c>
      <c r="B1359" s="590" t="s">
        <v>405</v>
      </c>
      <c r="C1359" s="744">
        <v>7000138283</v>
      </c>
      <c r="D1359" s="250" t="s">
        <v>4442</v>
      </c>
      <c r="E1359" s="799" t="s">
        <v>4448</v>
      </c>
      <c r="F1359" s="251">
        <v>2</v>
      </c>
      <c r="G1359" s="323">
        <v>24</v>
      </c>
      <c r="H1359" s="253">
        <f t="shared" si="129"/>
        <v>48</v>
      </c>
      <c r="I1359" s="254" t="s">
        <v>42</v>
      </c>
      <c r="J1359" s="331" t="s">
        <v>3840</v>
      </c>
      <c r="K1359" s="256">
        <v>43251</v>
      </c>
      <c r="L1359" s="256"/>
      <c r="M1359" s="256">
        <v>43250</v>
      </c>
      <c r="N1359" s="331" t="s">
        <v>3432</v>
      </c>
      <c r="O1359" s="308" t="s">
        <v>4442</v>
      </c>
      <c r="Q1359" s="591"/>
      <c r="R1359" s="1406"/>
      <c r="S1359" s="1406"/>
      <c r="U1359" s="630">
        <v>1216</v>
      </c>
      <c r="V1359" s="308" t="s">
        <v>2045</v>
      </c>
      <c r="W1359" s="747">
        <v>43343</v>
      </c>
      <c r="X1359" s="748">
        <v>43249</v>
      </c>
      <c r="Y1359" s="744" t="s">
        <v>4449</v>
      </c>
      <c r="Z1359" s="749">
        <v>1216</v>
      </c>
      <c r="AA1359" s="748">
        <v>43320</v>
      </c>
      <c r="AB1359" s="250" t="s">
        <v>4432</v>
      </c>
      <c r="AC1359" s="744">
        <v>5137684296</v>
      </c>
      <c r="AD1359" s="744"/>
      <c r="AE1359" s="744"/>
      <c r="AF1359" s="744"/>
      <c r="AG1359" s="251" t="s">
        <v>283</v>
      </c>
    </row>
    <row r="1360" spans="1:33" ht="15.75" customHeight="1">
      <c r="A1360" s="743">
        <v>43244</v>
      </c>
      <c r="B1360" s="263" t="s">
        <v>228</v>
      </c>
      <c r="C1360" s="744"/>
      <c r="D1360" s="250" t="s">
        <v>4450</v>
      </c>
      <c r="E1360" s="595" t="s">
        <v>461</v>
      </c>
      <c r="F1360" s="251">
        <v>20</v>
      </c>
      <c r="G1360" s="323">
        <v>407.4</v>
      </c>
      <c r="H1360" s="253">
        <f t="shared" si="129"/>
        <v>8148</v>
      </c>
      <c r="I1360" s="254" t="s">
        <v>170</v>
      </c>
      <c r="J1360" s="267" t="s">
        <v>89</v>
      </c>
      <c r="K1360" s="811">
        <v>43258</v>
      </c>
      <c r="L1360" s="1477"/>
      <c r="M1360" s="256">
        <v>43258</v>
      </c>
      <c r="N1360" s="401" t="s">
        <v>89</v>
      </c>
      <c r="O1360" s="308" t="s">
        <v>4451</v>
      </c>
      <c r="Q1360" s="266">
        <v>7455</v>
      </c>
      <c r="R1360" s="1394"/>
      <c r="S1360" s="1394"/>
      <c r="U1360" s="328"/>
      <c r="V1360" s="338" t="s">
        <v>93</v>
      </c>
      <c r="W1360" s="747">
        <v>43312</v>
      </c>
      <c r="X1360" s="750">
        <v>43258</v>
      </c>
      <c r="Y1360" s="250" t="s">
        <v>4452</v>
      </c>
      <c r="Z1360" s="753">
        <v>285929</v>
      </c>
      <c r="AA1360" s="748">
        <v>43312</v>
      </c>
      <c r="AB1360" s="744" t="s">
        <v>4453</v>
      </c>
      <c r="AC1360" s="744"/>
      <c r="AD1360" s="744" t="s">
        <v>4454</v>
      </c>
      <c r="AE1360" s="749">
        <v>311955</v>
      </c>
      <c r="AF1360" s="744" t="s">
        <v>4455</v>
      </c>
      <c r="AG1360" s="251" t="s">
        <v>376</v>
      </c>
    </row>
    <row r="1361" spans="1:33" ht="15.75" customHeight="1">
      <c r="A1361" s="743">
        <v>43244</v>
      </c>
      <c r="B1361" s="263" t="s">
        <v>228</v>
      </c>
      <c r="C1361" s="744"/>
      <c r="D1361" s="250" t="s">
        <v>4450</v>
      </c>
      <c r="E1361" s="592" t="s">
        <v>3604</v>
      </c>
      <c r="F1361" s="251">
        <v>7</v>
      </c>
      <c r="G1361" s="772">
        <v>336</v>
      </c>
      <c r="H1361" s="253">
        <f t="shared" si="129"/>
        <v>2352</v>
      </c>
      <c r="I1361" s="254" t="s">
        <v>170</v>
      </c>
      <c r="J1361" s="267" t="s">
        <v>89</v>
      </c>
      <c r="K1361" s="811">
        <v>43258</v>
      </c>
      <c r="L1361" s="1477"/>
      <c r="M1361" s="256">
        <v>43258</v>
      </c>
      <c r="N1361" s="401" t="s">
        <v>89</v>
      </c>
      <c r="O1361" s="308" t="s">
        <v>4451</v>
      </c>
      <c r="Q1361" s="266">
        <v>2109.4499999999998</v>
      </c>
      <c r="R1361" s="1394"/>
      <c r="S1361" s="1394"/>
      <c r="U1361" s="328"/>
      <c r="V1361" s="338" t="s">
        <v>93</v>
      </c>
      <c r="W1361" s="747">
        <v>43312</v>
      </c>
      <c r="X1361" s="750">
        <v>43258</v>
      </c>
      <c r="Y1361" s="250" t="s">
        <v>4452</v>
      </c>
      <c r="Z1361" s="250" t="s">
        <v>4456</v>
      </c>
      <c r="AA1361" s="748">
        <v>43312</v>
      </c>
      <c r="AB1361" s="744" t="s">
        <v>4453</v>
      </c>
      <c r="AC1361" s="744"/>
      <c r="AD1361" s="744" t="s">
        <v>4454</v>
      </c>
      <c r="AE1361" s="744" t="s">
        <v>4457</v>
      </c>
      <c r="AF1361" s="744" t="s">
        <v>4455</v>
      </c>
      <c r="AG1361" s="251" t="s">
        <v>376</v>
      </c>
    </row>
    <row r="1362" spans="1:33" ht="15.75" customHeight="1">
      <c r="A1362" s="755">
        <v>43244</v>
      </c>
      <c r="B1362" s="263" t="s">
        <v>619</v>
      </c>
      <c r="C1362" s="744"/>
      <c r="D1362" s="250" t="s">
        <v>4458</v>
      </c>
      <c r="E1362" s="799" t="s">
        <v>4459</v>
      </c>
      <c r="F1362" s="251">
        <v>2</v>
      </c>
      <c r="G1362" s="323">
        <v>100.8</v>
      </c>
      <c r="H1362" s="253">
        <f t="shared" si="129"/>
        <v>201.6</v>
      </c>
      <c r="I1362" s="254" t="s">
        <v>42</v>
      </c>
      <c r="J1362" s="267" t="s">
        <v>89</v>
      </c>
      <c r="K1362" s="811">
        <v>43251</v>
      </c>
      <c r="L1362" s="1477"/>
      <c r="M1362" s="594">
        <v>43251</v>
      </c>
      <c r="N1362" s="331" t="s">
        <v>89</v>
      </c>
      <c r="O1362" s="308" t="s">
        <v>4458</v>
      </c>
      <c r="Q1362" s="266">
        <v>184.8</v>
      </c>
      <c r="R1362" s="1394"/>
      <c r="S1362" s="1394"/>
      <c r="U1362" s="328"/>
      <c r="V1362" s="338" t="s">
        <v>93</v>
      </c>
      <c r="W1362" s="747">
        <v>43312</v>
      </c>
      <c r="X1362" s="748">
        <v>43251</v>
      </c>
      <c r="Y1362" s="744" t="s">
        <v>4460</v>
      </c>
      <c r="Z1362" s="749">
        <v>48061</v>
      </c>
      <c r="AA1362" s="748">
        <v>43312</v>
      </c>
      <c r="AB1362" s="744" t="s">
        <v>4461</v>
      </c>
      <c r="AC1362" s="744"/>
      <c r="AD1362" s="744" t="s">
        <v>4462</v>
      </c>
      <c r="AE1362" s="751">
        <v>86969</v>
      </c>
      <c r="AF1362" s="744" t="s">
        <v>4277</v>
      </c>
      <c r="AG1362" s="264" t="s">
        <v>376</v>
      </c>
    </row>
    <row r="1363" spans="1:33" ht="15.75" customHeight="1">
      <c r="A1363" s="755">
        <v>43244</v>
      </c>
      <c r="B1363" s="263" t="s">
        <v>619</v>
      </c>
      <c r="C1363" s="744"/>
      <c r="D1363" s="250" t="s">
        <v>4458</v>
      </c>
      <c r="E1363" s="799" t="s">
        <v>3467</v>
      </c>
      <c r="F1363" s="251">
        <v>8</v>
      </c>
      <c r="G1363" s="323">
        <v>192.15</v>
      </c>
      <c r="H1363" s="253">
        <f t="shared" si="129"/>
        <v>1537.2</v>
      </c>
      <c r="I1363" s="254" t="s">
        <v>42</v>
      </c>
      <c r="J1363" s="267" t="s">
        <v>89</v>
      </c>
      <c r="K1363" s="811">
        <v>43251</v>
      </c>
      <c r="L1363" s="1477"/>
      <c r="M1363" s="594">
        <v>43251</v>
      </c>
      <c r="N1363" s="331" t="s">
        <v>89</v>
      </c>
      <c r="O1363" s="308" t="s">
        <v>4458</v>
      </c>
      <c r="Q1363" s="266">
        <v>1428</v>
      </c>
      <c r="R1363" s="1394"/>
      <c r="S1363" s="1394"/>
      <c r="U1363" s="328"/>
      <c r="V1363" s="338" t="s">
        <v>93</v>
      </c>
      <c r="W1363" s="747">
        <v>43312</v>
      </c>
      <c r="X1363" s="748">
        <v>43251</v>
      </c>
      <c r="Y1363" s="744" t="s">
        <v>4460</v>
      </c>
      <c r="Z1363" s="744" t="s">
        <v>4463</v>
      </c>
      <c r="AA1363" s="748">
        <v>43312</v>
      </c>
      <c r="AB1363" s="744" t="s">
        <v>4461</v>
      </c>
      <c r="AC1363" s="744"/>
      <c r="AD1363" s="744" t="s">
        <v>4462</v>
      </c>
      <c r="AE1363" s="751" t="s">
        <v>4464</v>
      </c>
      <c r="AF1363" s="744" t="s">
        <v>4277</v>
      </c>
      <c r="AG1363" s="264" t="s">
        <v>376</v>
      </c>
    </row>
    <row r="1364" spans="1:33" ht="15.75" customHeight="1">
      <c r="A1364" s="755">
        <v>43244</v>
      </c>
      <c r="B1364" s="263" t="s">
        <v>619</v>
      </c>
      <c r="C1364" s="744"/>
      <c r="D1364" s="250" t="s">
        <v>4458</v>
      </c>
      <c r="E1364" s="595" t="s">
        <v>4372</v>
      </c>
      <c r="F1364" s="251">
        <v>12</v>
      </c>
      <c r="G1364" s="806">
        <v>97.125</v>
      </c>
      <c r="H1364" s="253">
        <f t="shared" si="129"/>
        <v>1165.5</v>
      </c>
      <c r="I1364" s="254" t="s">
        <v>42</v>
      </c>
      <c r="J1364" s="267" t="s">
        <v>89</v>
      </c>
      <c r="K1364" s="811">
        <v>43251</v>
      </c>
      <c r="L1364" s="1477"/>
      <c r="M1364" s="594">
        <v>43251</v>
      </c>
      <c r="N1364" s="331" t="s">
        <v>89</v>
      </c>
      <c r="O1364" s="308" t="s">
        <v>4465</v>
      </c>
      <c r="Q1364" s="266">
        <v>1071</v>
      </c>
      <c r="R1364" s="1394"/>
      <c r="S1364" s="1394"/>
      <c r="U1364" s="328"/>
      <c r="V1364" s="338" t="s">
        <v>93</v>
      </c>
      <c r="W1364" s="747">
        <v>43312</v>
      </c>
      <c r="X1364" s="748">
        <v>43251</v>
      </c>
      <c r="Y1364" s="744" t="s">
        <v>4466</v>
      </c>
      <c r="Z1364" s="749">
        <v>31916</v>
      </c>
      <c r="AA1364" s="748">
        <v>43312</v>
      </c>
      <c r="AB1364" s="744" t="s">
        <v>4461</v>
      </c>
      <c r="AC1364" s="744"/>
      <c r="AD1364" s="744" t="s">
        <v>4462</v>
      </c>
      <c r="AE1364" s="751" t="s">
        <v>4464</v>
      </c>
      <c r="AF1364" s="744" t="s">
        <v>4277</v>
      </c>
      <c r="AG1364" s="264" t="s">
        <v>376</v>
      </c>
    </row>
    <row r="1365" spans="1:33" ht="15.75" customHeight="1">
      <c r="A1365" s="743">
        <v>43248</v>
      </c>
      <c r="B1365" s="263" t="s">
        <v>4278</v>
      </c>
      <c r="C1365" s="744" t="s">
        <v>4467</v>
      </c>
      <c r="D1365" s="250" t="s">
        <v>4468</v>
      </c>
      <c r="E1365" s="799" t="s">
        <v>4469</v>
      </c>
      <c r="F1365" s="251">
        <v>1</v>
      </c>
      <c r="G1365" s="323">
        <v>762</v>
      </c>
      <c r="H1365" s="253">
        <f t="shared" si="129"/>
        <v>762</v>
      </c>
      <c r="I1365" s="254" t="s">
        <v>170</v>
      </c>
      <c r="J1365" s="267" t="s">
        <v>4470</v>
      </c>
      <c r="K1365" s="811">
        <v>43262</v>
      </c>
      <c r="L1365" s="1477"/>
      <c r="M1365" s="256">
        <v>43262</v>
      </c>
      <c r="N1365" s="331" t="s">
        <v>1414</v>
      </c>
      <c r="O1365" s="308" t="s">
        <v>4471</v>
      </c>
      <c r="Q1365" s="591"/>
      <c r="R1365" s="1406"/>
      <c r="S1365" s="1406"/>
      <c r="U1365" s="630">
        <v>21024</v>
      </c>
      <c r="V1365" s="318" t="s">
        <v>1947</v>
      </c>
      <c r="W1365" s="747">
        <v>43312</v>
      </c>
      <c r="X1365" s="750">
        <v>43259</v>
      </c>
      <c r="Y1365" s="250" t="s">
        <v>4472</v>
      </c>
      <c r="Z1365" s="753">
        <v>21024</v>
      </c>
      <c r="AA1365" s="750">
        <v>43312</v>
      </c>
      <c r="AB1365" s="250" t="s">
        <v>4473</v>
      </c>
      <c r="AC1365" s="744" t="s">
        <v>4474</v>
      </c>
      <c r="AD1365" s="744"/>
      <c r="AE1365" s="744"/>
      <c r="AF1365" s="744"/>
      <c r="AG1365" s="251" t="s">
        <v>283</v>
      </c>
    </row>
    <row r="1366" spans="1:33" ht="15.75" customHeight="1">
      <c r="A1366" s="743">
        <v>43248</v>
      </c>
      <c r="B1366" s="263" t="s">
        <v>4278</v>
      </c>
      <c r="C1366" s="744" t="s">
        <v>4467</v>
      </c>
      <c r="D1366" s="250" t="s">
        <v>4475</v>
      </c>
      <c r="E1366" s="799" t="s">
        <v>4476</v>
      </c>
      <c r="F1366" s="251">
        <v>1</v>
      </c>
      <c r="G1366" s="323">
        <v>200</v>
      </c>
      <c r="H1366" s="253">
        <f t="shared" si="129"/>
        <v>200</v>
      </c>
      <c r="I1366" s="254" t="s">
        <v>170</v>
      </c>
      <c r="J1366" s="267" t="s">
        <v>4470</v>
      </c>
      <c r="K1366" s="811">
        <v>43262</v>
      </c>
      <c r="L1366" s="1477"/>
      <c r="M1366" s="256">
        <v>43252</v>
      </c>
      <c r="N1366" s="331" t="s">
        <v>4477</v>
      </c>
      <c r="O1366" s="308" t="s">
        <v>4478</v>
      </c>
      <c r="Q1366" s="266">
        <v>194.25</v>
      </c>
      <c r="R1366" s="1394"/>
      <c r="S1366" s="1394"/>
      <c r="U1366" s="328"/>
      <c r="V1366" s="338" t="s">
        <v>46</v>
      </c>
      <c r="W1366" s="747">
        <v>43282</v>
      </c>
      <c r="X1366" s="748">
        <v>43252</v>
      </c>
      <c r="Y1366" s="744" t="s">
        <v>4479</v>
      </c>
      <c r="Z1366" s="749">
        <v>5837</v>
      </c>
      <c r="AA1366" s="748">
        <v>43286</v>
      </c>
      <c r="AB1366" s="250" t="s">
        <v>4473</v>
      </c>
      <c r="AC1366" s="744" t="s">
        <v>4474</v>
      </c>
      <c r="AD1366" s="744"/>
      <c r="AE1366" s="744"/>
      <c r="AF1366" s="744"/>
      <c r="AG1366" s="251" t="s">
        <v>283</v>
      </c>
    </row>
    <row r="1367" spans="1:33" ht="15.75" customHeight="1">
      <c r="A1367" s="743">
        <v>43248</v>
      </c>
      <c r="B1367" s="263" t="s">
        <v>4278</v>
      </c>
      <c r="C1367" s="744" t="s">
        <v>4467</v>
      </c>
      <c r="D1367" s="250" t="s">
        <v>4475</v>
      </c>
      <c r="E1367" s="595" t="s">
        <v>4480</v>
      </c>
      <c r="F1367" s="251">
        <v>1</v>
      </c>
      <c r="G1367" s="323">
        <v>90</v>
      </c>
      <c r="H1367" s="253">
        <f t="shared" si="129"/>
        <v>90</v>
      </c>
      <c r="I1367" s="254" t="s">
        <v>170</v>
      </c>
      <c r="J1367" s="267" t="s">
        <v>4470</v>
      </c>
      <c r="K1367" s="811">
        <v>43262</v>
      </c>
      <c r="L1367" s="1477"/>
      <c r="M1367" s="256">
        <v>43252</v>
      </c>
      <c r="N1367" s="251" t="s">
        <v>4481</v>
      </c>
      <c r="O1367" s="308" t="s">
        <v>4482</v>
      </c>
      <c r="Q1367" s="591"/>
      <c r="R1367" s="1406"/>
      <c r="S1367" s="1406"/>
      <c r="U1367" s="630">
        <v>2669</v>
      </c>
      <c r="V1367" s="597" t="s">
        <v>3744</v>
      </c>
      <c r="W1367" s="747">
        <v>43286</v>
      </c>
      <c r="X1367" s="748">
        <v>43252</v>
      </c>
      <c r="Y1367" s="744" t="s">
        <v>4483</v>
      </c>
      <c r="Z1367" s="749">
        <v>2669</v>
      </c>
      <c r="AA1367" s="748">
        <v>43286</v>
      </c>
      <c r="AB1367" s="250" t="s">
        <v>4473</v>
      </c>
      <c r="AC1367" s="744" t="s">
        <v>4474</v>
      </c>
      <c r="AD1367" s="744"/>
      <c r="AE1367" s="744"/>
      <c r="AF1367" s="744"/>
      <c r="AG1367" s="251" t="s">
        <v>283</v>
      </c>
    </row>
    <row r="1368" spans="1:33" ht="15.75" customHeight="1">
      <c r="A1368" s="743">
        <v>43248</v>
      </c>
      <c r="B1368" s="590" t="s">
        <v>405</v>
      </c>
      <c r="C1368" s="744">
        <v>7000138340</v>
      </c>
      <c r="D1368" s="250" t="s">
        <v>4484</v>
      </c>
      <c r="E1368" s="799" t="s">
        <v>4485</v>
      </c>
      <c r="F1368" s="251">
        <v>2</v>
      </c>
      <c r="G1368" s="323">
        <v>249</v>
      </c>
      <c r="H1368" s="253">
        <f t="shared" si="129"/>
        <v>498</v>
      </c>
      <c r="I1368" s="254" t="s">
        <v>42</v>
      </c>
      <c r="J1368" s="331" t="s">
        <v>3840</v>
      </c>
      <c r="K1368" s="811">
        <v>43251</v>
      </c>
      <c r="L1368" s="1477"/>
      <c r="M1368" s="256">
        <v>43250</v>
      </c>
      <c r="N1368" s="331" t="s">
        <v>3432</v>
      </c>
      <c r="O1368" s="308" t="s">
        <v>4486</v>
      </c>
      <c r="Q1368" s="591"/>
      <c r="R1368" s="1406"/>
      <c r="S1368" s="1406"/>
      <c r="U1368" s="630">
        <v>14114</v>
      </c>
      <c r="V1368" s="308" t="s">
        <v>2045</v>
      </c>
      <c r="W1368" s="747">
        <v>43343</v>
      </c>
      <c r="X1368" s="750">
        <v>43250</v>
      </c>
      <c r="Y1368" s="250" t="s">
        <v>4487</v>
      </c>
      <c r="Z1368" s="753">
        <v>28410</v>
      </c>
      <c r="AA1368" s="748">
        <v>43320</v>
      </c>
      <c r="AB1368" s="250" t="s">
        <v>4432</v>
      </c>
      <c r="AC1368" s="744">
        <v>5137684296</v>
      </c>
      <c r="AD1368" s="744"/>
      <c r="AE1368" s="744"/>
      <c r="AF1368" s="744"/>
      <c r="AG1368" s="251" t="s">
        <v>283</v>
      </c>
    </row>
    <row r="1369" spans="1:33" ht="15.75" customHeight="1">
      <c r="A1369" s="743">
        <v>43248</v>
      </c>
      <c r="B1369" s="590" t="s">
        <v>405</v>
      </c>
      <c r="C1369" s="744">
        <v>7000138340</v>
      </c>
      <c r="D1369" s="250" t="s">
        <v>4484</v>
      </c>
      <c r="E1369" s="799" t="s">
        <v>4488</v>
      </c>
      <c r="F1369" s="251">
        <v>2</v>
      </c>
      <c r="G1369" s="323">
        <v>285</v>
      </c>
      <c r="H1369" s="253">
        <f t="shared" si="129"/>
        <v>570</v>
      </c>
      <c r="I1369" s="254" t="s">
        <v>42</v>
      </c>
      <c r="J1369" s="331" t="s">
        <v>3840</v>
      </c>
      <c r="K1369" s="811">
        <v>43286</v>
      </c>
      <c r="L1369" s="1477"/>
      <c r="M1369" s="256">
        <v>43285</v>
      </c>
      <c r="N1369" s="331" t="s">
        <v>3432</v>
      </c>
      <c r="O1369" s="308" t="s">
        <v>4486</v>
      </c>
      <c r="Q1369" s="591"/>
      <c r="R1369" s="1406"/>
      <c r="S1369" s="1406"/>
      <c r="U1369" s="630">
        <v>16130</v>
      </c>
      <c r="V1369" s="308" t="s">
        <v>2045</v>
      </c>
      <c r="W1369" s="747">
        <v>43373</v>
      </c>
      <c r="X1369" s="750">
        <v>43285</v>
      </c>
      <c r="Y1369" s="250" t="s">
        <v>4489</v>
      </c>
      <c r="Z1369" s="753">
        <v>16130</v>
      </c>
      <c r="AA1369" s="750">
        <v>43356</v>
      </c>
      <c r="AB1369" s="744" t="s">
        <v>4490</v>
      </c>
      <c r="AC1369" s="744">
        <v>5574873581</v>
      </c>
      <c r="AD1369" s="744"/>
      <c r="AE1369" s="744"/>
      <c r="AF1369" s="744"/>
      <c r="AG1369" s="251" t="s">
        <v>283</v>
      </c>
    </row>
    <row r="1370" spans="1:33" ht="15.75" customHeight="1">
      <c r="A1370" s="743">
        <v>43248</v>
      </c>
      <c r="B1370" s="590" t="s">
        <v>405</v>
      </c>
      <c r="C1370" s="744">
        <v>7000138340</v>
      </c>
      <c r="D1370" s="250" t="s">
        <v>4484</v>
      </c>
      <c r="E1370" s="799" t="s">
        <v>3567</v>
      </c>
      <c r="F1370" s="251">
        <v>2</v>
      </c>
      <c r="G1370" s="323">
        <v>39</v>
      </c>
      <c r="H1370" s="253">
        <f t="shared" si="129"/>
        <v>78</v>
      </c>
      <c r="I1370" s="254" t="s">
        <v>42</v>
      </c>
      <c r="J1370" s="331" t="s">
        <v>3840</v>
      </c>
      <c r="K1370" s="811">
        <v>43251</v>
      </c>
      <c r="L1370" s="1477"/>
      <c r="M1370" s="256">
        <v>43250</v>
      </c>
      <c r="N1370" s="331" t="s">
        <v>3432</v>
      </c>
      <c r="O1370" s="308" t="s">
        <v>4486</v>
      </c>
      <c r="Q1370" s="591"/>
      <c r="R1370" s="1406"/>
      <c r="S1370" s="1406"/>
      <c r="U1370" s="630">
        <v>2190</v>
      </c>
      <c r="V1370" s="308" t="s">
        <v>2045</v>
      </c>
      <c r="W1370" s="747">
        <v>43343</v>
      </c>
      <c r="X1370" s="750">
        <v>43250</v>
      </c>
      <c r="Y1370" s="250" t="s">
        <v>4487</v>
      </c>
      <c r="Z1370" s="744" t="s">
        <v>4491</v>
      </c>
      <c r="AA1370" s="748">
        <v>43320</v>
      </c>
      <c r="AB1370" s="250" t="s">
        <v>4432</v>
      </c>
      <c r="AC1370" s="744">
        <v>5137684296</v>
      </c>
      <c r="AD1370" s="744"/>
      <c r="AE1370" s="744"/>
      <c r="AF1370" s="744"/>
      <c r="AG1370" s="251" t="s">
        <v>283</v>
      </c>
    </row>
    <row r="1371" spans="1:33" ht="15.75" customHeight="1">
      <c r="A1371" s="775">
        <v>43248</v>
      </c>
      <c r="B1371" s="783" t="s">
        <v>405</v>
      </c>
      <c r="C1371" s="274">
        <v>7000138340</v>
      </c>
      <c r="D1371" s="274" t="s">
        <v>4484</v>
      </c>
      <c r="E1371" s="812" t="s">
        <v>4492</v>
      </c>
      <c r="F1371" s="776">
        <v>1</v>
      </c>
      <c r="G1371" s="813">
        <v>124</v>
      </c>
      <c r="H1371" s="287"/>
      <c r="I1371" s="280"/>
      <c r="J1371" s="281"/>
      <c r="K1371" s="814"/>
      <c r="L1371" s="1478"/>
      <c r="M1371" s="289">
        <v>43250</v>
      </c>
      <c r="N1371" s="281" t="s">
        <v>3432</v>
      </c>
      <c r="O1371" s="777" t="s">
        <v>4486</v>
      </c>
      <c r="Q1371" s="778"/>
      <c r="R1371" s="1412"/>
      <c r="S1371" s="1412"/>
      <c r="U1371" s="815"/>
      <c r="V1371" s="777" t="s">
        <v>2045</v>
      </c>
      <c r="W1371" s="816"/>
      <c r="X1371" s="781"/>
      <c r="Y1371" s="780"/>
      <c r="Z1371" s="780"/>
      <c r="AA1371" s="781"/>
      <c r="AB1371" s="780"/>
      <c r="AC1371" s="274"/>
      <c r="AD1371" s="274"/>
      <c r="AE1371" s="274"/>
      <c r="AF1371" s="274"/>
      <c r="AG1371" s="264" t="s">
        <v>3456</v>
      </c>
    </row>
    <row r="1372" spans="1:33" ht="15.75" customHeight="1">
      <c r="A1372" s="743">
        <v>43248</v>
      </c>
      <c r="B1372" s="590" t="s">
        <v>405</v>
      </c>
      <c r="C1372" s="744">
        <v>7000138340</v>
      </c>
      <c r="D1372" s="250" t="s">
        <v>4484</v>
      </c>
      <c r="E1372" s="799" t="s">
        <v>4493</v>
      </c>
      <c r="F1372" s="251">
        <v>1</v>
      </c>
      <c r="G1372" s="323">
        <v>117</v>
      </c>
      <c r="H1372" s="253">
        <f t="shared" ref="H1372:H1389" si="130">G1372*F1372</f>
        <v>117</v>
      </c>
      <c r="I1372" s="254" t="s">
        <v>42</v>
      </c>
      <c r="J1372" s="331" t="s">
        <v>3840</v>
      </c>
      <c r="K1372" s="811">
        <v>43251</v>
      </c>
      <c r="L1372" s="1477"/>
      <c r="M1372" s="256">
        <v>43250</v>
      </c>
      <c r="N1372" s="331" t="s">
        <v>3432</v>
      </c>
      <c r="O1372" s="308" t="s">
        <v>4486</v>
      </c>
      <c r="Q1372" s="591"/>
      <c r="R1372" s="1406"/>
      <c r="S1372" s="1406"/>
      <c r="U1372" s="630">
        <v>3248</v>
      </c>
      <c r="V1372" s="308" t="s">
        <v>2045</v>
      </c>
      <c r="W1372" s="747">
        <v>43343</v>
      </c>
      <c r="X1372" s="750">
        <v>43250</v>
      </c>
      <c r="Y1372" s="250" t="s">
        <v>4487</v>
      </c>
      <c r="Z1372" s="744" t="s">
        <v>4491</v>
      </c>
      <c r="AA1372" s="748">
        <v>43320</v>
      </c>
      <c r="AB1372" s="250" t="s">
        <v>4432</v>
      </c>
      <c r="AC1372" s="744">
        <v>5137684296</v>
      </c>
      <c r="AD1372" s="744"/>
      <c r="AE1372" s="744"/>
      <c r="AF1372" s="744"/>
      <c r="AG1372" s="251" t="s">
        <v>283</v>
      </c>
    </row>
    <row r="1373" spans="1:33" ht="15.75" customHeight="1">
      <c r="A1373" s="743">
        <v>43248</v>
      </c>
      <c r="B1373" s="590" t="s">
        <v>405</v>
      </c>
      <c r="C1373" s="744">
        <v>7000138340</v>
      </c>
      <c r="D1373" s="250" t="s">
        <v>4484</v>
      </c>
      <c r="E1373" s="799" t="s">
        <v>3515</v>
      </c>
      <c r="F1373" s="251">
        <v>4</v>
      </c>
      <c r="G1373" s="323">
        <v>48</v>
      </c>
      <c r="H1373" s="253">
        <f t="shared" si="130"/>
        <v>192</v>
      </c>
      <c r="I1373" s="254" t="s">
        <v>42</v>
      </c>
      <c r="J1373" s="331" t="s">
        <v>3840</v>
      </c>
      <c r="K1373" s="811">
        <v>43251</v>
      </c>
      <c r="L1373" s="1477"/>
      <c r="M1373" s="256">
        <v>43250</v>
      </c>
      <c r="N1373" s="331" t="s">
        <v>3432</v>
      </c>
      <c r="O1373" s="308" t="s">
        <v>4486</v>
      </c>
      <c r="Q1373" s="591"/>
      <c r="R1373" s="1406"/>
      <c r="S1373" s="1406"/>
      <c r="U1373" s="630">
        <v>5422</v>
      </c>
      <c r="V1373" s="308" t="s">
        <v>2045</v>
      </c>
      <c r="W1373" s="747">
        <v>43343</v>
      </c>
      <c r="X1373" s="750">
        <v>43250</v>
      </c>
      <c r="Y1373" s="250" t="s">
        <v>4487</v>
      </c>
      <c r="Z1373" s="744" t="s">
        <v>4491</v>
      </c>
      <c r="AA1373" s="748">
        <v>43320</v>
      </c>
      <c r="AB1373" s="250" t="s">
        <v>4432</v>
      </c>
      <c r="AC1373" s="744">
        <v>5137684296</v>
      </c>
      <c r="AD1373" s="744"/>
      <c r="AE1373" s="744"/>
      <c r="AF1373" s="744"/>
      <c r="AG1373" s="251" t="s">
        <v>283</v>
      </c>
    </row>
    <row r="1374" spans="1:33" ht="15.75" customHeight="1">
      <c r="A1374" s="755">
        <v>43249</v>
      </c>
      <c r="B1374" s="338" t="s">
        <v>53</v>
      </c>
      <c r="C1374" s="250" t="s">
        <v>4494</v>
      </c>
      <c r="D1374" s="308" t="s">
        <v>4495</v>
      </c>
      <c r="E1374" s="571" t="s">
        <v>3632</v>
      </c>
      <c r="F1374" s="264">
        <v>5</v>
      </c>
      <c r="G1374" s="252">
        <v>150.15</v>
      </c>
      <c r="H1374" s="265">
        <f t="shared" si="130"/>
        <v>750.75</v>
      </c>
      <c r="I1374" s="264" t="s">
        <v>42</v>
      </c>
      <c r="J1374" s="251" t="s">
        <v>89</v>
      </c>
      <c r="K1374" s="811">
        <v>43277</v>
      </c>
      <c r="L1374" s="1477"/>
      <c r="M1374" s="256">
        <v>43277</v>
      </c>
      <c r="N1374" s="331" t="s">
        <v>89</v>
      </c>
      <c r="O1374" s="308" t="s">
        <v>4496</v>
      </c>
      <c r="Q1374" s="266">
        <v>672</v>
      </c>
      <c r="R1374" s="1394"/>
      <c r="S1374" s="1394"/>
      <c r="U1374" s="328"/>
      <c r="V1374" s="338" t="s">
        <v>93</v>
      </c>
      <c r="W1374" s="747">
        <v>43343</v>
      </c>
      <c r="X1374" s="750">
        <v>43277</v>
      </c>
      <c r="Y1374" s="250" t="s">
        <v>4497</v>
      </c>
      <c r="Z1374" s="753">
        <v>20116</v>
      </c>
      <c r="AA1374" s="748">
        <v>43346</v>
      </c>
      <c r="AB1374" s="744" t="s">
        <v>4498</v>
      </c>
      <c r="AC1374" s="744"/>
      <c r="AD1374" s="744" t="s">
        <v>4499</v>
      </c>
      <c r="AE1374" s="749">
        <v>22825</v>
      </c>
      <c r="AF1374" s="744" t="s">
        <v>4500</v>
      </c>
      <c r="AG1374" s="251" t="s">
        <v>376</v>
      </c>
    </row>
    <row r="1375" spans="1:33" ht="15.75" customHeight="1">
      <c r="A1375" s="743">
        <v>43251</v>
      </c>
      <c r="B1375" s="263" t="s">
        <v>4501</v>
      </c>
      <c r="C1375" s="744"/>
      <c r="D1375" s="250" t="s">
        <v>4502</v>
      </c>
      <c r="E1375" s="799" t="s">
        <v>3542</v>
      </c>
      <c r="F1375" s="251">
        <v>2</v>
      </c>
      <c r="G1375" s="323">
        <v>167</v>
      </c>
      <c r="H1375" s="265">
        <f t="shared" si="130"/>
        <v>334</v>
      </c>
      <c r="I1375" s="254" t="s">
        <v>419</v>
      </c>
      <c r="J1375" s="267" t="s">
        <v>4246</v>
      </c>
      <c r="K1375" s="798">
        <v>43325</v>
      </c>
      <c r="L1375" s="1476"/>
      <c r="M1375" s="256">
        <v>43259</v>
      </c>
      <c r="N1375" s="331" t="s">
        <v>2008</v>
      </c>
      <c r="O1375" s="308" t="s">
        <v>4503</v>
      </c>
      <c r="Q1375" s="266">
        <v>325.5</v>
      </c>
      <c r="R1375" s="1394"/>
      <c r="S1375" s="1394"/>
      <c r="U1375" s="328"/>
      <c r="V1375" s="308" t="s">
        <v>2010</v>
      </c>
      <c r="W1375" s="328"/>
      <c r="X1375" s="748">
        <v>43257</v>
      </c>
      <c r="Y1375" s="744" t="s">
        <v>4504</v>
      </c>
      <c r="Z1375" s="749">
        <v>9703</v>
      </c>
      <c r="AA1375" s="748">
        <v>43276</v>
      </c>
      <c r="AB1375" s="250" t="s">
        <v>4249</v>
      </c>
      <c r="AC1375" s="744">
        <v>611782474</v>
      </c>
      <c r="AD1375" s="744"/>
      <c r="AE1375" s="744"/>
      <c r="AF1375" s="744"/>
      <c r="AG1375" s="251" t="s">
        <v>283</v>
      </c>
    </row>
    <row r="1376" spans="1:33" ht="15.75" customHeight="1">
      <c r="A1376" s="755">
        <v>43251</v>
      </c>
      <c r="B1376" s="263" t="s">
        <v>4505</v>
      </c>
      <c r="C1376" s="250"/>
      <c r="D1376" s="250" t="s">
        <v>4506</v>
      </c>
      <c r="E1376" s="817" t="s">
        <v>4507</v>
      </c>
      <c r="F1376" s="264">
        <v>1</v>
      </c>
      <c r="G1376" s="464">
        <v>0</v>
      </c>
      <c r="H1376" s="265">
        <f t="shared" si="130"/>
        <v>0</v>
      </c>
      <c r="I1376" s="254" t="s">
        <v>170</v>
      </c>
      <c r="J1376" s="331" t="s">
        <v>4508</v>
      </c>
      <c r="K1376" s="811">
        <v>43251</v>
      </c>
      <c r="L1376" s="1477"/>
      <c r="M1376" s="256"/>
      <c r="N1376" s="331"/>
      <c r="O1376" s="308"/>
      <c r="Q1376" s="266"/>
      <c r="R1376" s="1394"/>
      <c r="S1376" s="1394"/>
      <c r="U1376" s="308"/>
      <c r="V1376" s="308"/>
      <c r="W1376" s="308"/>
      <c r="X1376" s="818"/>
      <c r="Y1376" s="818"/>
      <c r="Z1376" s="818"/>
      <c r="AA1376" s="788"/>
      <c r="AB1376" s="818"/>
      <c r="AC1376" s="250"/>
      <c r="AD1376" s="250"/>
      <c r="AE1376" s="250"/>
      <c r="AF1376" s="250"/>
      <c r="AG1376" s="264" t="s">
        <v>4509</v>
      </c>
    </row>
    <row r="1377" spans="1:33" ht="15.75" customHeight="1">
      <c r="A1377" s="743">
        <v>43252</v>
      </c>
      <c r="B1377" s="263" t="s">
        <v>629</v>
      </c>
      <c r="C1377" s="744" t="s">
        <v>4510</v>
      </c>
      <c r="D1377" s="250" t="s">
        <v>4511</v>
      </c>
      <c r="E1377" s="595" t="s">
        <v>4107</v>
      </c>
      <c r="F1377" s="251">
        <v>11</v>
      </c>
      <c r="G1377" s="323">
        <v>173.25</v>
      </c>
      <c r="H1377" s="265">
        <f t="shared" si="130"/>
        <v>1905.75</v>
      </c>
      <c r="I1377" s="254" t="s">
        <v>170</v>
      </c>
      <c r="J1377" s="267" t="s">
        <v>626</v>
      </c>
      <c r="K1377" s="811">
        <v>43258</v>
      </c>
      <c r="L1377" s="1477"/>
      <c r="M1377" s="256">
        <v>43256</v>
      </c>
      <c r="N1377" s="331" t="s">
        <v>2212</v>
      </c>
      <c r="O1377" s="308" t="s">
        <v>4512</v>
      </c>
      <c r="Q1377" s="591"/>
      <c r="R1377" s="1406"/>
      <c r="S1377" s="1406"/>
      <c r="U1377" s="630">
        <v>56018</v>
      </c>
      <c r="V1377" s="308" t="s">
        <v>2214</v>
      </c>
      <c r="W1377" s="771"/>
      <c r="X1377" s="748">
        <v>43259</v>
      </c>
      <c r="Y1377" s="744" t="s">
        <v>4513</v>
      </c>
      <c r="Z1377" s="749">
        <v>81480</v>
      </c>
      <c r="AA1377" s="748">
        <v>43265</v>
      </c>
      <c r="AB1377" s="744" t="s">
        <v>4514</v>
      </c>
      <c r="AC1377" s="744" t="s">
        <v>4515</v>
      </c>
      <c r="AD1377" s="744" t="s">
        <v>4516</v>
      </c>
      <c r="AE1377" s="749">
        <v>56649</v>
      </c>
      <c r="AF1377" s="744" t="s">
        <v>4517</v>
      </c>
      <c r="AG1377" s="251" t="s">
        <v>376</v>
      </c>
    </row>
    <row r="1378" spans="1:33" ht="15.75" customHeight="1">
      <c r="A1378" s="743">
        <v>43252</v>
      </c>
      <c r="B1378" s="263" t="s">
        <v>629</v>
      </c>
      <c r="C1378" s="744" t="s">
        <v>4510</v>
      </c>
      <c r="D1378" s="250" t="s">
        <v>4518</v>
      </c>
      <c r="E1378" s="595" t="s">
        <v>4107</v>
      </c>
      <c r="F1378" s="251">
        <v>5</v>
      </c>
      <c r="G1378" s="323">
        <v>173.25</v>
      </c>
      <c r="H1378" s="253">
        <f t="shared" si="130"/>
        <v>866.25</v>
      </c>
      <c r="I1378" s="254" t="s">
        <v>170</v>
      </c>
      <c r="J1378" s="267" t="s">
        <v>626</v>
      </c>
      <c r="K1378" s="811">
        <v>43265</v>
      </c>
      <c r="L1378" s="1477"/>
      <c r="M1378" s="256">
        <v>43262</v>
      </c>
      <c r="N1378" s="331" t="s">
        <v>2212</v>
      </c>
      <c r="O1378" s="308" t="s">
        <v>4512</v>
      </c>
      <c r="Q1378" s="591"/>
      <c r="R1378" s="1406"/>
      <c r="S1378" s="1406"/>
      <c r="U1378" s="630">
        <v>25462</v>
      </c>
      <c r="V1378" s="308" t="s">
        <v>2214</v>
      </c>
      <c r="W1378" s="771"/>
      <c r="X1378" s="748">
        <v>43259</v>
      </c>
      <c r="Y1378" s="744" t="s">
        <v>4513</v>
      </c>
      <c r="Z1378" s="749" t="s">
        <v>4519</v>
      </c>
      <c r="AA1378" s="748">
        <v>43265</v>
      </c>
      <c r="AB1378" s="744" t="s">
        <v>4520</v>
      </c>
      <c r="AC1378" s="250" t="s">
        <v>4521</v>
      </c>
      <c r="AD1378" s="744" t="s">
        <v>4522</v>
      </c>
      <c r="AE1378" s="749">
        <v>25884</v>
      </c>
      <c r="AF1378" s="744" t="s">
        <v>4523</v>
      </c>
      <c r="AG1378" s="251" t="s">
        <v>376</v>
      </c>
    </row>
    <row r="1379" spans="1:33" ht="15.75" customHeight="1">
      <c r="A1379" s="743">
        <v>43254</v>
      </c>
      <c r="B1379" s="590" t="s">
        <v>4524</v>
      </c>
      <c r="C1379" s="744"/>
      <c r="D1379" s="250" t="s">
        <v>4525</v>
      </c>
      <c r="E1379" s="799" t="s">
        <v>4526</v>
      </c>
      <c r="F1379" s="251">
        <v>1</v>
      </c>
      <c r="G1379" s="323">
        <v>183.75</v>
      </c>
      <c r="H1379" s="253">
        <f t="shared" si="130"/>
        <v>183.75</v>
      </c>
      <c r="I1379" s="254" t="s">
        <v>170</v>
      </c>
      <c r="J1379" s="267" t="s">
        <v>626</v>
      </c>
      <c r="K1379" s="811">
        <v>43264</v>
      </c>
      <c r="L1379" s="1477"/>
      <c r="M1379" s="256">
        <v>43263</v>
      </c>
      <c r="N1379" s="331" t="s">
        <v>89</v>
      </c>
      <c r="O1379" s="308" t="s">
        <v>4527</v>
      </c>
      <c r="Q1379" s="266">
        <v>195.2</v>
      </c>
      <c r="R1379" s="1394"/>
      <c r="S1379" s="1394"/>
      <c r="U1379" s="328"/>
      <c r="V1379" s="338" t="s">
        <v>93</v>
      </c>
      <c r="W1379" s="747">
        <v>43312</v>
      </c>
      <c r="X1379" s="748">
        <v>43263</v>
      </c>
      <c r="Y1379" s="744" t="s">
        <v>4528</v>
      </c>
      <c r="Z1379" s="749">
        <v>14877</v>
      </c>
      <c r="AA1379" s="748">
        <v>43312</v>
      </c>
      <c r="AB1379" s="744" t="s">
        <v>4529</v>
      </c>
      <c r="AC1379" s="744" t="s">
        <v>4530</v>
      </c>
      <c r="AD1379" s="744" t="s">
        <v>4531</v>
      </c>
      <c r="AE1379" s="749">
        <v>15614</v>
      </c>
      <c r="AF1379" s="744" t="s">
        <v>4532</v>
      </c>
      <c r="AG1379" s="264" t="s">
        <v>376</v>
      </c>
    </row>
    <row r="1380" spans="1:33" ht="15.75" customHeight="1">
      <c r="A1380" s="743">
        <v>43254</v>
      </c>
      <c r="B1380" s="590" t="s">
        <v>4524</v>
      </c>
      <c r="C1380" s="744"/>
      <c r="D1380" s="250" t="s">
        <v>4525</v>
      </c>
      <c r="E1380" s="799" t="s">
        <v>4533</v>
      </c>
      <c r="F1380" s="251">
        <v>1</v>
      </c>
      <c r="G1380" s="323">
        <v>341.25</v>
      </c>
      <c r="H1380" s="253">
        <f t="shared" si="130"/>
        <v>341.25</v>
      </c>
      <c r="I1380" s="254" t="s">
        <v>170</v>
      </c>
      <c r="J1380" s="267" t="s">
        <v>626</v>
      </c>
      <c r="K1380" s="811">
        <v>43264</v>
      </c>
      <c r="L1380" s="1477"/>
      <c r="M1380" s="256">
        <v>43263</v>
      </c>
      <c r="N1380" s="331" t="s">
        <v>89</v>
      </c>
      <c r="O1380" s="308" t="s">
        <v>4527</v>
      </c>
      <c r="Q1380" s="266">
        <v>304.79000000000002</v>
      </c>
      <c r="R1380" s="1394"/>
      <c r="S1380" s="1394"/>
      <c r="U1380" s="328"/>
      <c r="V1380" s="338" t="s">
        <v>93</v>
      </c>
      <c r="W1380" s="747">
        <v>43312</v>
      </c>
      <c r="X1380" s="748">
        <v>43263</v>
      </c>
      <c r="Y1380" s="744" t="s">
        <v>4528</v>
      </c>
      <c r="Z1380" s="744" t="s">
        <v>4534</v>
      </c>
      <c r="AA1380" s="748">
        <v>43312</v>
      </c>
      <c r="AB1380" s="744" t="s">
        <v>4529</v>
      </c>
      <c r="AC1380" s="744" t="s">
        <v>4530</v>
      </c>
      <c r="AD1380" s="744" t="s">
        <v>4531</v>
      </c>
      <c r="AE1380" s="744" t="s">
        <v>4535</v>
      </c>
      <c r="AF1380" s="744" t="s">
        <v>4532</v>
      </c>
      <c r="AG1380" s="264" t="s">
        <v>376</v>
      </c>
    </row>
    <row r="1381" spans="1:33" ht="15.75" customHeight="1">
      <c r="A1381" s="743">
        <v>43255</v>
      </c>
      <c r="B1381" s="263" t="s">
        <v>4278</v>
      </c>
      <c r="C1381" s="744"/>
      <c r="D1381" s="250" t="s">
        <v>4536</v>
      </c>
      <c r="E1381" s="799" t="s">
        <v>4537</v>
      </c>
      <c r="F1381" s="251">
        <v>1</v>
      </c>
      <c r="G1381" s="323">
        <v>835</v>
      </c>
      <c r="H1381" s="253">
        <f t="shared" si="130"/>
        <v>835</v>
      </c>
      <c r="I1381" s="254" t="s">
        <v>170</v>
      </c>
      <c r="J1381" s="267" t="s">
        <v>4470</v>
      </c>
      <c r="K1381" s="811">
        <v>43270</v>
      </c>
      <c r="L1381" s="1477"/>
      <c r="M1381" s="256">
        <v>43265</v>
      </c>
      <c r="N1381" s="331" t="s">
        <v>1414</v>
      </c>
      <c r="O1381" s="308" t="s">
        <v>4538</v>
      </c>
      <c r="Q1381" s="591"/>
      <c r="R1381" s="1406"/>
      <c r="S1381" s="1406"/>
      <c r="U1381" s="572">
        <v>23010</v>
      </c>
      <c r="V1381" s="318" t="s">
        <v>1947</v>
      </c>
      <c r="W1381" s="747">
        <v>43312</v>
      </c>
      <c r="X1381" s="750">
        <v>43264</v>
      </c>
      <c r="Y1381" s="250" t="s">
        <v>4539</v>
      </c>
      <c r="Z1381" s="753">
        <v>23010</v>
      </c>
      <c r="AA1381" s="750">
        <v>43312</v>
      </c>
      <c r="AB1381" s="250" t="s">
        <v>4540</v>
      </c>
      <c r="AC1381" s="744" t="s">
        <v>4541</v>
      </c>
      <c r="AD1381" s="744"/>
      <c r="AE1381" s="744"/>
      <c r="AF1381" s="744"/>
      <c r="AG1381" s="251" t="s">
        <v>283</v>
      </c>
    </row>
    <row r="1382" spans="1:33" ht="15.75" customHeight="1">
      <c r="A1382" s="743">
        <v>43255</v>
      </c>
      <c r="B1382" s="774" t="s">
        <v>405</v>
      </c>
      <c r="C1382" s="744">
        <v>7000138494</v>
      </c>
      <c r="D1382" s="250" t="s">
        <v>4542</v>
      </c>
      <c r="E1382" s="799" t="s">
        <v>4543</v>
      </c>
      <c r="F1382" s="251">
        <v>1</v>
      </c>
      <c r="G1382" s="323">
        <v>10</v>
      </c>
      <c r="H1382" s="253">
        <f t="shared" si="130"/>
        <v>10</v>
      </c>
      <c r="I1382" s="254" t="s">
        <v>42</v>
      </c>
      <c r="J1382" s="331" t="s">
        <v>3840</v>
      </c>
      <c r="K1382" s="811">
        <v>43265</v>
      </c>
      <c r="L1382" s="1477"/>
      <c r="M1382" s="256">
        <v>43262</v>
      </c>
      <c r="N1382" s="331" t="s">
        <v>1512</v>
      </c>
      <c r="O1382" s="308" t="s">
        <v>4544</v>
      </c>
      <c r="Q1382" s="266">
        <v>5</v>
      </c>
      <c r="R1382" s="1394"/>
      <c r="S1382" s="1394"/>
      <c r="U1382" s="328"/>
      <c r="V1382" s="597" t="s">
        <v>4226</v>
      </c>
      <c r="W1382" s="747">
        <v>43286</v>
      </c>
      <c r="X1382" s="748">
        <v>43257</v>
      </c>
      <c r="Y1382" s="744" t="s">
        <v>4545</v>
      </c>
      <c r="Z1382" s="749">
        <v>156</v>
      </c>
      <c r="AA1382" s="748">
        <v>43286</v>
      </c>
      <c r="AB1382" s="250" t="s">
        <v>4420</v>
      </c>
      <c r="AC1382" s="250">
        <v>2886338571</v>
      </c>
      <c r="AD1382" s="744"/>
      <c r="AE1382" s="744"/>
      <c r="AF1382" s="744"/>
      <c r="AG1382" s="251" t="s">
        <v>283</v>
      </c>
    </row>
    <row r="1383" spans="1:33" ht="15.75" customHeight="1">
      <c r="A1383" s="743">
        <v>43256</v>
      </c>
      <c r="B1383" s="590" t="s">
        <v>405</v>
      </c>
      <c r="C1383" s="744">
        <v>7000138555</v>
      </c>
      <c r="D1383" s="250" t="s">
        <v>4546</v>
      </c>
      <c r="E1383" s="799" t="s">
        <v>4007</v>
      </c>
      <c r="F1383" s="251">
        <v>75</v>
      </c>
      <c r="G1383" s="323">
        <v>128</v>
      </c>
      <c r="H1383" s="253">
        <f t="shared" si="130"/>
        <v>9600</v>
      </c>
      <c r="I1383" s="254" t="s">
        <v>42</v>
      </c>
      <c r="J1383" s="331" t="s">
        <v>3840</v>
      </c>
      <c r="K1383" s="811">
        <v>43265</v>
      </c>
      <c r="L1383" s="1477"/>
      <c r="M1383" s="256">
        <v>43263</v>
      </c>
      <c r="N1383" s="331" t="s">
        <v>3432</v>
      </c>
      <c r="O1383" s="308" t="s">
        <v>4547</v>
      </c>
      <c r="Q1383" s="591"/>
      <c r="R1383" s="1406"/>
      <c r="S1383" s="1406"/>
      <c r="U1383" s="572">
        <v>280193</v>
      </c>
      <c r="V1383" s="308" t="s">
        <v>2045</v>
      </c>
      <c r="W1383" s="747">
        <v>43343</v>
      </c>
      <c r="X1383" s="748">
        <v>43262</v>
      </c>
      <c r="Y1383" s="744" t="s">
        <v>4548</v>
      </c>
      <c r="Z1383" s="749">
        <v>280193</v>
      </c>
      <c r="AA1383" s="750">
        <v>43343</v>
      </c>
      <c r="AB1383" s="250" t="s">
        <v>4420</v>
      </c>
      <c r="AC1383" s="250">
        <v>2886338571</v>
      </c>
      <c r="AD1383" s="744"/>
      <c r="AE1383" s="744"/>
      <c r="AF1383" s="744"/>
      <c r="AG1383" s="251" t="s">
        <v>283</v>
      </c>
    </row>
    <row r="1384" spans="1:33" ht="15.75" customHeight="1">
      <c r="A1384" s="743">
        <v>43256</v>
      </c>
      <c r="B1384" s="590" t="s">
        <v>405</v>
      </c>
      <c r="C1384" s="744">
        <v>7000138555</v>
      </c>
      <c r="D1384" s="250" t="s">
        <v>4549</v>
      </c>
      <c r="E1384" s="799" t="s">
        <v>4007</v>
      </c>
      <c r="F1384" s="251">
        <v>25</v>
      </c>
      <c r="G1384" s="323">
        <v>128</v>
      </c>
      <c r="H1384" s="253">
        <f t="shared" si="130"/>
        <v>3200</v>
      </c>
      <c r="I1384" s="254" t="s">
        <v>42</v>
      </c>
      <c r="J1384" s="331" t="s">
        <v>3840</v>
      </c>
      <c r="K1384" s="256">
        <v>43354</v>
      </c>
      <c r="L1384" s="256"/>
      <c r="M1384" s="256">
        <v>43346</v>
      </c>
      <c r="N1384" s="331" t="s">
        <v>3432</v>
      </c>
      <c r="O1384" s="308" t="s">
        <v>4550</v>
      </c>
      <c r="Q1384" s="591"/>
      <c r="R1384" s="1406"/>
      <c r="S1384" s="1406"/>
      <c r="U1384" s="572">
        <v>102743</v>
      </c>
      <c r="V1384" s="308" t="s">
        <v>2045</v>
      </c>
      <c r="W1384" s="747">
        <v>43434</v>
      </c>
      <c r="X1384" s="748">
        <v>43346</v>
      </c>
      <c r="Y1384" s="744" t="s">
        <v>4551</v>
      </c>
      <c r="Z1384" s="749">
        <v>102743</v>
      </c>
      <c r="AA1384" s="748">
        <v>43419</v>
      </c>
      <c r="AB1384" s="744" t="s">
        <v>4552</v>
      </c>
      <c r="AC1384" s="744">
        <v>5528488394</v>
      </c>
      <c r="AD1384" s="744"/>
      <c r="AE1384" s="744"/>
      <c r="AF1384" s="744"/>
      <c r="AG1384" s="251" t="s">
        <v>283</v>
      </c>
    </row>
    <row r="1385" spans="1:33" ht="15.75" customHeight="1">
      <c r="A1385" s="743">
        <v>43256</v>
      </c>
      <c r="B1385" s="263" t="s">
        <v>76</v>
      </c>
      <c r="C1385" s="744">
        <v>416</v>
      </c>
      <c r="D1385" s="250" t="s">
        <v>4553</v>
      </c>
      <c r="E1385" s="595" t="s">
        <v>3381</v>
      </c>
      <c r="F1385" s="305">
        <v>20</v>
      </c>
      <c r="G1385" s="252">
        <v>285</v>
      </c>
      <c r="H1385" s="253">
        <f t="shared" si="130"/>
        <v>5700</v>
      </c>
      <c r="I1385" s="254" t="s">
        <v>42</v>
      </c>
      <c r="J1385" s="367" t="s">
        <v>315</v>
      </c>
      <c r="K1385" s="811">
        <v>43353</v>
      </c>
      <c r="L1385" s="1477"/>
      <c r="M1385" s="256">
        <v>43347</v>
      </c>
      <c r="N1385" s="401" t="s">
        <v>1967</v>
      </c>
      <c r="O1385" s="308" t="s">
        <v>4554</v>
      </c>
      <c r="Q1385" s="266">
        <v>5250</v>
      </c>
      <c r="R1385" s="1394"/>
      <c r="S1385" s="1394"/>
      <c r="U1385" s="328"/>
      <c r="V1385" s="308" t="s">
        <v>1969</v>
      </c>
      <c r="W1385" s="747">
        <v>43409</v>
      </c>
      <c r="X1385" s="748">
        <v>43346</v>
      </c>
      <c r="Y1385" s="744" t="s">
        <v>4555</v>
      </c>
      <c r="Z1385" s="749">
        <v>480614</v>
      </c>
      <c r="AA1385" s="750">
        <v>43409</v>
      </c>
      <c r="AB1385" s="744" t="s">
        <v>4556</v>
      </c>
      <c r="AC1385" s="744">
        <v>629982102</v>
      </c>
      <c r="AD1385" s="744"/>
      <c r="AE1385" s="744"/>
      <c r="AF1385" s="744"/>
      <c r="AG1385" s="251" t="s">
        <v>283</v>
      </c>
    </row>
    <row r="1386" spans="1:33" ht="15.75" customHeight="1">
      <c r="A1386" s="743">
        <v>43256</v>
      </c>
      <c r="B1386" s="263" t="s">
        <v>76</v>
      </c>
      <c r="C1386" s="744">
        <v>416</v>
      </c>
      <c r="D1386" s="250" t="s">
        <v>4553</v>
      </c>
      <c r="E1386" s="595" t="s">
        <v>317</v>
      </c>
      <c r="F1386" s="251">
        <v>10</v>
      </c>
      <c r="G1386" s="252">
        <v>255</v>
      </c>
      <c r="H1386" s="253">
        <f t="shared" si="130"/>
        <v>2550</v>
      </c>
      <c r="I1386" s="254" t="s">
        <v>42</v>
      </c>
      <c r="J1386" s="367" t="s">
        <v>315</v>
      </c>
      <c r="K1386" s="811">
        <v>43353</v>
      </c>
      <c r="L1386" s="1477"/>
      <c r="M1386" s="256">
        <v>43347</v>
      </c>
      <c r="N1386" s="401" t="s">
        <v>1967</v>
      </c>
      <c r="O1386" s="308" t="s">
        <v>4554</v>
      </c>
      <c r="Q1386" s="266">
        <v>2310</v>
      </c>
      <c r="R1386" s="1394"/>
      <c r="S1386" s="1394"/>
      <c r="U1386" s="328"/>
      <c r="V1386" s="308" t="s">
        <v>1969</v>
      </c>
      <c r="W1386" s="747">
        <v>43409</v>
      </c>
      <c r="X1386" s="748">
        <v>43346</v>
      </c>
      <c r="Y1386" s="744" t="s">
        <v>4555</v>
      </c>
      <c r="Z1386" s="744" t="s">
        <v>4557</v>
      </c>
      <c r="AA1386" s="750">
        <v>43409</v>
      </c>
      <c r="AB1386" s="744" t="s">
        <v>4556</v>
      </c>
      <c r="AC1386" s="744">
        <v>629982102</v>
      </c>
      <c r="AD1386" s="744"/>
      <c r="AE1386" s="744"/>
      <c r="AF1386" s="744"/>
      <c r="AG1386" s="251" t="s">
        <v>283</v>
      </c>
    </row>
    <row r="1387" spans="1:33" ht="15.75" customHeight="1">
      <c r="A1387" s="755">
        <v>43258</v>
      </c>
      <c r="B1387" s="338" t="s">
        <v>76</v>
      </c>
      <c r="C1387" s="250"/>
      <c r="D1387" s="308" t="s">
        <v>4558</v>
      </c>
      <c r="E1387" s="597" t="s">
        <v>712</v>
      </c>
      <c r="F1387" s="264">
        <v>10</v>
      </c>
      <c r="G1387" s="265">
        <v>1.9</v>
      </c>
      <c r="H1387" s="253">
        <f t="shared" si="130"/>
        <v>19</v>
      </c>
      <c r="I1387" s="254" t="s">
        <v>42</v>
      </c>
      <c r="J1387" s="367" t="s">
        <v>315</v>
      </c>
      <c r="K1387" s="811">
        <v>43262</v>
      </c>
      <c r="L1387" s="1477"/>
      <c r="M1387" s="264" t="s">
        <v>178</v>
      </c>
      <c r="N1387" s="331" t="s">
        <v>3608</v>
      </c>
      <c r="O1387" s="308" t="s">
        <v>3937</v>
      </c>
      <c r="Q1387" s="591"/>
      <c r="R1387" s="1406"/>
      <c r="S1387" s="1406"/>
      <c r="U1387" s="328"/>
      <c r="V1387" s="386" t="s">
        <v>2093</v>
      </c>
      <c r="W1387" s="328"/>
      <c r="X1387" s="745"/>
      <c r="Y1387" s="745"/>
      <c r="Z1387" s="745"/>
      <c r="AA1387" s="746"/>
      <c r="AB1387" s="250" t="s">
        <v>3944</v>
      </c>
      <c r="AC1387" s="744">
        <v>123352051</v>
      </c>
      <c r="AD1387" s="744"/>
      <c r="AE1387" s="744"/>
      <c r="AF1387" s="744"/>
      <c r="AG1387" s="251" t="s">
        <v>283</v>
      </c>
    </row>
    <row r="1388" spans="1:33" ht="15.75" customHeight="1">
      <c r="A1388" s="743">
        <v>43258</v>
      </c>
      <c r="B1388" s="263" t="s">
        <v>76</v>
      </c>
      <c r="C1388" s="744"/>
      <c r="D1388" s="250" t="s">
        <v>4558</v>
      </c>
      <c r="E1388" s="308" t="s">
        <v>1730</v>
      </c>
      <c r="F1388" s="305">
        <v>10</v>
      </c>
      <c r="G1388" s="323">
        <v>3</v>
      </c>
      <c r="H1388" s="253">
        <f t="shared" si="130"/>
        <v>30</v>
      </c>
      <c r="I1388" s="254" t="s">
        <v>42</v>
      </c>
      <c r="J1388" s="367" t="s">
        <v>315</v>
      </c>
      <c r="K1388" s="811">
        <v>43262</v>
      </c>
      <c r="L1388" s="1477"/>
      <c r="M1388" s="264" t="s">
        <v>178</v>
      </c>
      <c r="N1388" s="331" t="s">
        <v>3608</v>
      </c>
      <c r="O1388" s="308" t="s">
        <v>4559</v>
      </c>
      <c r="Q1388" s="591"/>
      <c r="R1388" s="1406"/>
      <c r="S1388" s="1406"/>
      <c r="U1388" s="328"/>
      <c r="V1388" s="386" t="s">
        <v>2093</v>
      </c>
      <c r="W1388" s="328"/>
      <c r="X1388" s="745"/>
      <c r="Y1388" s="745"/>
      <c r="Z1388" s="745"/>
      <c r="AA1388" s="746"/>
      <c r="AB1388" s="250" t="s">
        <v>3944</v>
      </c>
      <c r="AC1388" s="744">
        <v>123352051</v>
      </c>
      <c r="AD1388" s="744"/>
      <c r="AE1388" s="744"/>
      <c r="AF1388" s="744"/>
      <c r="AG1388" s="251" t="s">
        <v>283</v>
      </c>
    </row>
    <row r="1389" spans="1:33" ht="15.75" customHeight="1">
      <c r="A1389" s="743">
        <v>43260</v>
      </c>
      <c r="B1389" s="144" t="s">
        <v>100</v>
      </c>
      <c r="C1389" s="744" t="s">
        <v>4560</v>
      </c>
      <c r="D1389" s="819" t="s">
        <v>4561</v>
      </c>
      <c r="E1389" s="799" t="s">
        <v>4562</v>
      </c>
      <c r="F1389" s="251">
        <v>1</v>
      </c>
      <c r="G1389" s="323">
        <v>613</v>
      </c>
      <c r="H1389" s="253">
        <f t="shared" si="130"/>
        <v>613</v>
      </c>
      <c r="I1389" s="254" t="s">
        <v>170</v>
      </c>
      <c r="J1389" s="331" t="s">
        <v>3578</v>
      </c>
      <c r="K1389" s="256">
        <v>43332</v>
      </c>
      <c r="L1389" s="256"/>
      <c r="M1389" s="264" t="s">
        <v>4563</v>
      </c>
      <c r="N1389" s="264" t="s">
        <v>4563</v>
      </c>
      <c r="O1389" s="250" t="s">
        <v>4564</v>
      </c>
      <c r="Q1389" s="591"/>
      <c r="R1389" s="1406"/>
      <c r="S1389" s="1406"/>
      <c r="U1389" s="328"/>
      <c r="V1389" s="308"/>
      <c r="W1389" s="328"/>
      <c r="X1389" s="745"/>
      <c r="Y1389" s="745"/>
      <c r="Z1389" s="745"/>
      <c r="AA1389" s="746"/>
      <c r="AB1389" s="250" t="s">
        <v>4565</v>
      </c>
      <c r="AC1389" s="744">
        <v>5012579751</v>
      </c>
      <c r="AD1389" s="744"/>
      <c r="AE1389" s="744"/>
      <c r="AF1389" s="744"/>
      <c r="AG1389" s="251" t="s">
        <v>4566</v>
      </c>
    </row>
    <row r="1390" spans="1:33" ht="15.75" customHeight="1">
      <c r="A1390" s="743">
        <v>43260</v>
      </c>
      <c r="B1390" s="144" t="s">
        <v>100</v>
      </c>
      <c r="C1390" s="744" t="s">
        <v>4560</v>
      </c>
      <c r="D1390" s="250" t="s">
        <v>4567</v>
      </c>
      <c r="E1390" s="799" t="s">
        <v>4568</v>
      </c>
      <c r="F1390" s="251">
        <v>1</v>
      </c>
      <c r="G1390" s="323">
        <v>80</v>
      </c>
      <c r="H1390" s="253">
        <v>80</v>
      </c>
      <c r="I1390" s="254" t="s">
        <v>170</v>
      </c>
      <c r="J1390" s="331" t="s">
        <v>3578</v>
      </c>
      <c r="K1390" s="256">
        <v>43332</v>
      </c>
      <c r="L1390" s="256"/>
      <c r="M1390" s="264" t="s">
        <v>4563</v>
      </c>
      <c r="N1390" s="264" t="s">
        <v>4563</v>
      </c>
      <c r="O1390" s="759" t="s">
        <v>4564</v>
      </c>
      <c r="Q1390" s="591"/>
      <c r="R1390" s="1406"/>
      <c r="S1390" s="1406"/>
      <c r="U1390" s="328"/>
      <c r="V1390" s="308"/>
      <c r="W1390" s="328"/>
      <c r="X1390" s="745"/>
      <c r="Y1390" s="745"/>
      <c r="Z1390" s="745"/>
      <c r="AA1390" s="746"/>
      <c r="AB1390" s="250" t="s">
        <v>4565</v>
      </c>
      <c r="AC1390" s="744">
        <v>5012579751</v>
      </c>
      <c r="AD1390" s="744"/>
      <c r="AE1390" s="744"/>
      <c r="AF1390" s="744"/>
      <c r="AG1390" s="251" t="s">
        <v>4566</v>
      </c>
    </row>
    <row r="1391" spans="1:33" ht="15.75" customHeight="1">
      <c r="A1391" s="743">
        <v>43260</v>
      </c>
      <c r="B1391" s="263" t="s">
        <v>100</v>
      </c>
      <c r="C1391" s="744" t="s">
        <v>4569</v>
      </c>
      <c r="D1391" s="250" t="s">
        <v>4570</v>
      </c>
      <c r="E1391" s="794" t="s">
        <v>4571</v>
      </c>
      <c r="F1391" s="251">
        <v>8</v>
      </c>
      <c r="G1391" s="252">
        <v>550</v>
      </c>
      <c r="H1391" s="330">
        <f t="shared" ref="H1391:H1400" si="131">G1391*F1391</f>
        <v>4400</v>
      </c>
      <c r="I1391" s="254" t="s">
        <v>170</v>
      </c>
      <c r="J1391" s="331" t="s">
        <v>3578</v>
      </c>
      <c r="K1391" s="811">
        <v>43293</v>
      </c>
      <c r="L1391" s="1477"/>
      <c r="M1391" s="256">
        <v>43291</v>
      </c>
      <c r="N1391" s="331" t="s">
        <v>1995</v>
      </c>
      <c r="O1391" s="250" t="s">
        <v>4572</v>
      </c>
      <c r="Q1391" s="591"/>
      <c r="R1391" s="1406"/>
      <c r="S1391" s="1406"/>
      <c r="U1391" s="572">
        <v>123967</v>
      </c>
      <c r="V1391" s="571" t="s">
        <v>1997</v>
      </c>
      <c r="W1391" s="747">
        <v>43348</v>
      </c>
      <c r="X1391" s="748">
        <v>43290</v>
      </c>
      <c r="Y1391" s="744" t="s">
        <v>4573</v>
      </c>
      <c r="Z1391" s="749">
        <v>123967</v>
      </c>
      <c r="AA1391" s="748">
        <v>43349</v>
      </c>
      <c r="AB1391" s="250" t="s">
        <v>4574</v>
      </c>
      <c r="AC1391" s="744">
        <v>8273020114</v>
      </c>
      <c r="AD1391" s="744"/>
      <c r="AE1391" s="744"/>
      <c r="AF1391" s="744"/>
      <c r="AG1391" s="251" t="s">
        <v>283</v>
      </c>
    </row>
    <row r="1392" spans="1:33" ht="15.75" customHeight="1">
      <c r="A1392" s="743">
        <v>43260</v>
      </c>
      <c r="B1392" s="263" t="s">
        <v>100</v>
      </c>
      <c r="C1392" s="744" t="s">
        <v>4569</v>
      </c>
      <c r="D1392" s="250" t="s">
        <v>4575</v>
      </c>
      <c r="E1392" s="794" t="s">
        <v>3746</v>
      </c>
      <c r="F1392" s="251">
        <v>8</v>
      </c>
      <c r="G1392" s="252">
        <v>352</v>
      </c>
      <c r="H1392" s="330">
        <f t="shared" si="131"/>
        <v>2816</v>
      </c>
      <c r="I1392" s="254" t="s">
        <v>170</v>
      </c>
      <c r="J1392" s="820" t="s">
        <v>3578</v>
      </c>
      <c r="K1392" s="811">
        <v>43293</v>
      </c>
      <c r="L1392" s="1477"/>
      <c r="M1392" s="256">
        <v>43278</v>
      </c>
      <c r="N1392" s="331" t="s">
        <v>1993</v>
      </c>
      <c r="O1392" s="250" t="s">
        <v>4576</v>
      </c>
      <c r="Q1392" s="266">
        <v>2360.4</v>
      </c>
      <c r="R1392" s="1394"/>
      <c r="S1392" s="1394"/>
      <c r="U1392" s="328"/>
      <c r="V1392" s="338" t="s">
        <v>46</v>
      </c>
      <c r="W1392" s="747">
        <v>43307</v>
      </c>
      <c r="X1392" s="821">
        <v>43277</v>
      </c>
      <c r="Y1392" s="744" t="s">
        <v>4577</v>
      </c>
      <c r="Z1392" s="749">
        <v>71763</v>
      </c>
      <c r="AA1392" s="748">
        <v>43305</v>
      </c>
      <c r="AB1392" s="250" t="s">
        <v>4574</v>
      </c>
      <c r="AC1392" s="744">
        <v>8273020114</v>
      </c>
      <c r="AD1392" s="744"/>
      <c r="AE1392" s="744"/>
      <c r="AF1392" s="744"/>
      <c r="AG1392" s="251" t="s">
        <v>283</v>
      </c>
    </row>
    <row r="1393" spans="1:33" ht="15.75" customHeight="1">
      <c r="A1393" s="743">
        <v>43260</v>
      </c>
      <c r="B1393" s="263" t="s">
        <v>100</v>
      </c>
      <c r="C1393" s="744" t="s">
        <v>4569</v>
      </c>
      <c r="D1393" s="250" t="s">
        <v>4575</v>
      </c>
      <c r="E1393" s="794" t="s">
        <v>4578</v>
      </c>
      <c r="F1393" s="251">
        <v>8</v>
      </c>
      <c r="G1393" s="252">
        <v>58</v>
      </c>
      <c r="H1393" s="330">
        <f t="shared" si="131"/>
        <v>464</v>
      </c>
      <c r="I1393" s="426" t="s">
        <v>170</v>
      </c>
      <c r="J1393" s="401" t="s">
        <v>3578</v>
      </c>
      <c r="K1393" s="811">
        <v>43293</v>
      </c>
      <c r="L1393" s="1477"/>
      <c r="M1393" s="256">
        <v>43278</v>
      </c>
      <c r="N1393" s="251" t="s">
        <v>1987</v>
      </c>
      <c r="O1393" s="308" t="s">
        <v>4579</v>
      </c>
      <c r="Q1393" s="591"/>
      <c r="R1393" s="1406"/>
      <c r="S1393" s="1406"/>
      <c r="U1393" s="572">
        <v>11634</v>
      </c>
      <c r="V1393" s="597" t="s">
        <v>3744</v>
      </c>
      <c r="W1393" s="805">
        <v>43307</v>
      </c>
      <c r="X1393" s="821">
        <v>43277</v>
      </c>
      <c r="Y1393" s="744" t="s">
        <v>4580</v>
      </c>
      <c r="Z1393" s="749">
        <v>11634</v>
      </c>
      <c r="AA1393" s="750">
        <v>43349</v>
      </c>
      <c r="AB1393" s="250" t="s">
        <v>4574</v>
      </c>
      <c r="AC1393" s="744">
        <v>8273020114</v>
      </c>
      <c r="AD1393" s="744"/>
      <c r="AE1393" s="744"/>
      <c r="AF1393" s="744"/>
      <c r="AG1393" s="251" t="s">
        <v>283</v>
      </c>
    </row>
    <row r="1394" spans="1:33" ht="15.75" customHeight="1">
      <c r="A1394" s="743">
        <v>43262</v>
      </c>
      <c r="B1394" s="263" t="s">
        <v>713</v>
      </c>
      <c r="C1394" s="744"/>
      <c r="D1394" s="250" t="s">
        <v>4581</v>
      </c>
      <c r="E1394" s="799" t="s">
        <v>4582</v>
      </c>
      <c r="F1394" s="251">
        <v>2</v>
      </c>
      <c r="G1394" s="323">
        <v>695</v>
      </c>
      <c r="H1394" s="253">
        <f t="shared" si="131"/>
        <v>1390</v>
      </c>
      <c r="I1394" s="426" t="s">
        <v>3712</v>
      </c>
      <c r="J1394" s="822" t="s">
        <v>716</v>
      </c>
      <c r="K1394" s="256">
        <v>43279</v>
      </c>
      <c r="L1394" s="256"/>
      <c r="M1394" s="256">
        <v>43276</v>
      </c>
      <c r="N1394" s="331" t="s">
        <v>89</v>
      </c>
      <c r="O1394" s="308" t="s">
        <v>4583</v>
      </c>
      <c r="Q1394" s="266">
        <v>1215.9000000000001</v>
      </c>
      <c r="R1394" s="1394"/>
      <c r="S1394" s="1394"/>
      <c r="U1394" s="328"/>
      <c r="V1394" s="338" t="s">
        <v>93</v>
      </c>
      <c r="W1394" s="747">
        <v>43312</v>
      </c>
      <c r="X1394" s="748">
        <v>43273</v>
      </c>
      <c r="Y1394" s="744" t="s">
        <v>4584</v>
      </c>
      <c r="Z1394" s="749">
        <v>436744</v>
      </c>
      <c r="AA1394" s="748">
        <v>43312</v>
      </c>
      <c r="AB1394" s="250" t="s">
        <v>4585</v>
      </c>
      <c r="AC1394" s="744"/>
      <c r="AD1394" s="744"/>
      <c r="AE1394" s="744"/>
      <c r="AF1394" s="744"/>
      <c r="AG1394" s="251" t="s">
        <v>283</v>
      </c>
    </row>
    <row r="1395" spans="1:33" ht="15.75" customHeight="1">
      <c r="A1395" s="743">
        <v>43262</v>
      </c>
      <c r="B1395" s="263" t="s">
        <v>713</v>
      </c>
      <c r="C1395" s="744"/>
      <c r="D1395" s="250" t="s">
        <v>4581</v>
      </c>
      <c r="E1395" s="799" t="s">
        <v>4586</v>
      </c>
      <c r="F1395" s="251">
        <v>30</v>
      </c>
      <c r="G1395" s="323">
        <v>95</v>
      </c>
      <c r="H1395" s="253">
        <f t="shared" si="131"/>
        <v>2850</v>
      </c>
      <c r="I1395" s="426" t="s">
        <v>3712</v>
      </c>
      <c r="J1395" s="822" t="s">
        <v>716</v>
      </c>
      <c r="K1395" s="256">
        <v>43279</v>
      </c>
      <c r="L1395" s="256"/>
      <c r="M1395" s="256">
        <v>43276</v>
      </c>
      <c r="N1395" s="331" t="s">
        <v>89</v>
      </c>
      <c r="O1395" s="308" t="s">
        <v>4583</v>
      </c>
      <c r="Q1395" s="266">
        <v>2646</v>
      </c>
      <c r="R1395" s="1394"/>
      <c r="S1395" s="1394"/>
      <c r="U1395" s="328"/>
      <c r="V1395" s="338" t="s">
        <v>93</v>
      </c>
      <c r="W1395" s="747">
        <v>43312</v>
      </c>
      <c r="X1395" s="748">
        <v>43273</v>
      </c>
      <c r="Y1395" s="744" t="s">
        <v>4584</v>
      </c>
      <c r="Z1395" s="744" t="s">
        <v>4587</v>
      </c>
      <c r="AA1395" s="748">
        <v>43312</v>
      </c>
      <c r="AB1395" s="250" t="s">
        <v>4585</v>
      </c>
      <c r="AC1395" s="744"/>
      <c r="AD1395" s="744"/>
      <c r="AE1395" s="744"/>
      <c r="AF1395" s="744"/>
      <c r="AG1395" s="251" t="s">
        <v>283</v>
      </c>
    </row>
    <row r="1396" spans="1:33" ht="15.75" customHeight="1">
      <c r="A1396" s="743">
        <v>43262</v>
      </c>
      <c r="B1396" s="263" t="s">
        <v>713</v>
      </c>
      <c r="C1396" s="744"/>
      <c r="D1396" s="250" t="s">
        <v>4581</v>
      </c>
      <c r="E1396" s="799" t="s">
        <v>3604</v>
      </c>
      <c r="F1396" s="251">
        <v>25</v>
      </c>
      <c r="G1396" s="323">
        <v>320</v>
      </c>
      <c r="H1396" s="253">
        <f t="shared" si="131"/>
        <v>8000</v>
      </c>
      <c r="I1396" s="426" t="s">
        <v>3712</v>
      </c>
      <c r="J1396" s="822" t="s">
        <v>716</v>
      </c>
      <c r="K1396" s="256">
        <v>43279</v>
      </c>
      <c r="L1396" s="256"/>
      <c r="M1396" s="256">
        <v>43276</v>
      </c>
      <c r="N1396" s="331" t="s">
        <v>89</v>
      </c>
      <c r="O1396" s="308" t="s">
        <v>4583</v>
      </c>
      <c r="Q1396" s="266">
        <v>6746.25</v>
      </c>
      <c r="R1396" s="1394"/>
      <c r="S1396" s="1394"/>
      <c r="U1396" s="328"/>
      <c r="V1396" s="338" t="s">
        <v>93</v>
      </c>
      <c r="W1396" s="747">
        <v>43312</v>
      </c>
      <c r="X1396" s="748">
        <v>43273</v>
      </c>
      <c r="Y1396" s="744" t="s">
        <v>4584</v>
      </c>
      <c r="Z1396" s="744" t="s">
        <v>4587</v>
      </c>
      <c r="AA1396" s="748">
        <v>43312</v>
      </c>
      <c r="AB1396" s="250" t="s">
        <v>4585</v>
      </c>
      <c r="AC1396" s="744"/>
      <c r="AD1396" s="744"/>
      <c r="AE1396" s="744"/>
      <c r="AF1396" s="744"/>
      <c r="AG1396" s="251" t="s">
        <v>283</v>
      </c>
    </row>
    <row r="1397" spans="1:33" ht="15.75" customHeight="1">
      <c r="A1397" s="743">
        <v>43262</v>
      </c>
      <c r="B1397" s="263" t="s">
        <v>713</v>
      </c>
      <c r="C1397" s="744"/>
      <c r="D1397" s="250" t="s">
        <v>4581</v>
      </c>
      <c r="E1397" s="799" t="s">
        <v>4588</v>
      </c>
      <c r="F1397" s="251">
        <v>12</v>
      </c>
      <c r="G1397" s="323">
        <v>345</v>
      </c>
      <c r="H1397" s="253">
        <f t="shared" si="131"/>
        <v>4140</v>
      </c>
      <c r="I1397" s="426" t="s">
        <v>3712</v>
      </c>
      <c r="J1397" s="822" t="s">
        <v>716</v>
      </c>
      <c r="K1397" s="256">
        <v>43279</v>
      </c>
      <c r="L1397" s="256"/>
      <c r="M1397" s="256">
        <v>43276</v>
      </c>
      <c r="N1397" s="331" t="s">
        <v>89</v>
      </c>
      <c r="O1397" s="308" t="s">
        <v>4583</v>
      </c>
      <c r="Q1397" s="266">
        <v>3490.2</v>
      </c>
      <c r="R1397" s="1394"/>
      <c r="S1397" s="1394"/>
      <c r="U1397" s="328"/>
      <c r="V1397" s="338" t="s">
        <v>93</v>
      </c>
      <c r="W1397" s="747">
        <v>43312</v>
      </c>
      <c r="X1397" s="748">
        <v>43273</v>
      </c>
      <c r="Y1397" s="744" t="s">
        <v>4584</v>
      </c>
      <c r="Z1397" s="744" t="s">
        <v>4587</v>
      </c>
      <c r="AA1397" s="748">
        <v>43312</v>
      </c>
      <c r="AB1397" s="250" t="s">
        <v>4585</v>
      </c>
      <c r="AC1397" s="744"/>
      <c r="AD1397" s="744"/>
      <c r="AE1397" s="744"/>
      <c r="AF1397" s="744"/>
      <c r="AG1397" s="251" t="s">
        <v>283</v>
      </c>
    </row>
    <row r="1398" spans="1:33" ht="15.75" customHeight="1">
      <c r="A1398" s="743">
        <v>43262</v>
      </c>
      <c r="B1398" s="263" t="s">
        <v>713</v>
      </c>
      <c r="C1398" s="744"/>
      <c r="D1398" s="250" t="s">
        <v>4581</v>
      </c>
      <c r="E1398" s="799" t="s">
        <v>4589</v>
      </c>
      <c r="F1398" s="251">
        <v>5</v>
      </c>
      <c r="G1398" s="323">
        <v>123</v>
      </c>
      <c r="H1398" s="253">
        <f t="shared" si="131"/>
        <v>615</v>
      </c>
      <c r="I1398" s="426" t="s">
        <v>3712</v>
      </c>
      <c r="J1398" s="822" t="s">
        <v>716</v>
      </c>
      <c r="K1398" s="256">
        <v>43279</v>
      </c>
      <c r="L1398" s="256"/>
      <c r="M1398" s="256">
        <v>43276</v>
      </c>
      <c r="N1398" s="331" t="s">
        <v>89</v>
      </c>
      <c r="O1398" s="308" t="s">
        <v>4583</v>
      </c>
      <c r="Q1398" s="266">
        <v>491.4</v>
      </c>
      <c r="R1398" s="1394"/>
      <c r="S1398" s="1394"/>
      <c r="U1398" s="328"/>
      <c r="V1398" s="338" t="s">
        <v>93</v>
      </c>
      <c r="W1398" s="747">
        <v>43312</v>
      </c>
      <c r="X1398" s="748">
        <v>43273</v>
      </c>
      <c r="Y1398" s="744" t="s">
        <v>4584</v>
      </c>
      <c r="Z1398" s="744" t="s">
        <v>4587</v>
      </c>
      <c r="AA1398" s="748">
        <v>43312</v>
      </c>
      <c r="AB1398" s="250" t="s">
        <v>4585</v>
      </c>
      <c r="AC1398" s="744"/>
      <c r="AD1398" s="744"/>
      <c r="AE1398" s="744"/>
      <c r="AF1398" s="744"/>
      <c r="AG1398" s="251" t="s">
        <v>283</v>
      </c>
    </row>
    <row r="1399" spans="1:33" ht="15.75" customHeight="1">
      <c r="A1399" s="743">
        <v>43264</v>
      </c>
      <c r="B1399" s="263" t="s">
        <v>4590</v>
      </c>
      <c r="C1399" s="744" t="s">
        <v>4591</v>
      </c>
      <c r="D1399" s="250" t="s">
        <v>4592</v>
      </c>
      <c r="E1399" s="799" t="s">
        <v>4593</v>
      </c>
      <c r="F1399" s="251">
        <v>1</v>
      </c>
      <c r="G1399" s="323">
        <v>1456</v>
      </c>
      <c r="H1399" s="253">
        <f t="shared" si="131"/>
        <v>1456</v>
      </c>
      <c r="I1399" s="254" t="s">
        <v>170</v>
      </c>
      <c r="J1399" s="267" t="s">
        <v>592</v>
      </c>
      <c r="K1399" s="256">
        <v>43283</v>
      </c>
      <c r="L1399" s="256"/>
      <c r="M1399" s="256">
        <v>43279</v>
      </c>
      <c r="N1399" s="331" t="s">
        <v>89</v>
      </c>
      <c r="O1399" s="308" t="s">
        <v>4594</v>
      </c>
      <c r="Q1399" s="266">
        <v>1299.9000000000001</v>
      </c>
      <c r="R1399" s="1394"/>
      <c r="S1399" s="1394"/>
      <c r="U1399" s="328"/>
      <c r="V1399" s="338" t="s">
        <v>93</v>
      </c>
      <c r="W1399" s="747">
        <v>43343</v>
      </c>
      <c r="X1399" s="748">
        <v>43279</v>
      </c>
      <c r="Y1399" s="744" t="s">
        <v>4595</v>
      </c>
      <c r="Z1399" s="749">
        <v>38913</v>
      </c>
      <c r="AA1399" s="748">
        <v>43346</v>
      </c>
      <c r="AB1399" s="250" t="s">
        <v>4596</v>
      </c>
      <c r="AC1399" s="744" t="s">
        <v>4597</v>
      </c>
      <c r="AD1399" s="744"/>
      <c r="AE1399" s="744"/>
      <c r="AF1399" s="744"/>
      <c r="AG1399" s="251" t="s">
        <v>283</v>
      </c>
    </row>
    <row r="1400" spans="1:33" ht="51" customHeight="1">
      <c r="A1400" s="743">
        <v>43264</v>
      </c>
      <c r="B1400" s="263" t="s">
        <v>4590</v>
      </c>
      <c r="C1400" s="744" t="s">
        <v>4598</v>
      </c>
      <c r="D1400" s="250" t="s">
        <v>4592</v>
      </c>
      <c r="E1400" s="799" t="s">
        <v>4599</v>
      </c>
      <c r="F1400" s="251">
        <v>5</v>
      </c>
      <c r="G1400" s="323">
        <v>100</v>
      </c>
      <c r="H1400" s="253">
        <f t="shared" si="131"/>
        <v>500</v>
      </c>
      <c r="I1400" s="254" t="s">
        <v>170</v>
      </c>
      <c r="J1400" s="267" t="s">
        <v>592</v>
      </c>
      <c r="K1400" s="256">
        <v>43283</v>
      </c>
      <c r="L1400" s="256"/>
      <c r="M1400" s="256">
        <v>43283</v>
      </c>
      <c r="N1400" s="331" t="s">
        <v>4600</v>
      </c>
      <c r="O1400" s="308" t="s">
        <v>4601</v>
      </c>
      <c r="Q1400" s="593"/>
      <c r="R1400" s="1418"/>
      <c r="S1400" s="1418"/>
      <c r="U1400" s="308">
        <v>3622.5</v>
      </c>
      <c r="V1400" s="386" t="s">
        <v>4602</v>
      </c>
      <c r="W1400" s="328"/>
      <c r="X1400" s="750">
        <v>43280</v>
      </c>
      <c r="Y1400" s="744" t="s">
        <v>4603</v>
      </c>
      <c r="Z1400" s="749">
        <v>3623</v>
      </c>
      <c r="AA1400" s="748">
        <v>43278</v>
      </c>
      <c r="AB1400" s="250" t="s">
        <v>4596</v>
      </c>
      <c r="AC1400" s="744" t="s">
        <v>4597</v>
      </c>
      <c r="AD1400" s="744"/>
      <c r="AE1400" s="744"/>
      <c r="AF1400" s="744"/>
      <c r="AG1400" s="251" t="s">
        <v>283</v>
      </c>
    </row>
    <row r="1401" spans="1:33" ht="15.75" customHeight="1">
      <c r="A1401" s="743">
        <v>43264</v>
      </c>
      <c r="B1401" s="263" t="s">
        <v>4590</v>
      </c>
      <c r="C1401" s="744" t="s">
        <v>4598</v>
      </c>
      <c r="D1401" s="250" t="s">
        <v>4592</v>
      </c>
      <c r="E1401" s="799" t="s">
        <v>4604</v>
      </c>
      <c r="F1401" s="251">
        <v>5</v>
      </c>
      <c r="G1401" s="323">
        <v>0</v>
      </c>
      <c r="H1401" s="253">
        <v>0</v>
      </c>
      <c r="I1401" s="254" t="s">
        <v>170</v>
      </c>
      <c r="J1401" s="267" t="s">
        <v>592</v>
      </c>
      <c r="K1401" s="256">
        <v>43283</v>
      </c>
      <c r="L1401" s="256"/>
      <c r="M1401" s="256">
        <v>43283</v>
      </c>
      <c r="N1401" s="585" t="s">
        <v>4605</v>
      </c>
      <c r="O1401" s="308" t="s">
        <v>4606</v>
      </c>
      <c r="Q1401" s="266"/>
      <c r="R1401" s="1394"/>
      <c r="S1401" s="1394"/>
      <c r="U1401" s="572">
        <v>1575</v>
      </c>
      <c r="V1401" s="318" t="s">
        <v>4607</v>
      </c>
      <c r="W1401" s="747">
        <v>43317</v>
      </c>
      <c r="X1401" s="750">
        <v>43283</v>
      </c>
      <c r="Y1401" s="250" t="s">
        <v>4608</v>
      </c>
      <c r="Z1401" s="753">
        <v>1575</v>
      </c>
      <c r="AA1401" s="748">
        <v>43318</v>
      </c>
      <c r="AB1401" s="250" t="s">
        <v>4596</v>
      </c>
      <c r="AC1401" s="744" t="s">
        <v>4597</v>
      </c>
      <c r="AD1401" s="744"/>
      <c r="AE1401" s="744"/>
      <c r="AF1401" s="744"/>
      <c r="AG1401" s="251" t="s">
        <v>283</v>
      </c>
    </row>
    <row r="1402" spans="1:33" ht="15.75" customHeight="1">
      <c r="A1402" s="743">
        <v>43264</v>
      </c>
      <c r="B1402" s="263" t="s">
        <v>4590</v>
      </c>
      <c r="C1402" s="744" t="s">
        <v>4609</v>
      </c>
      <c r="D1402" s="250" t="s">
        <v>4592</v>
      </c>
      <c r="E1402" s="799" t="s">
        <v>4610</v>
      </c>
      <c r="F1402" s="251">
        <v>2</v>
      </c>
      <c r="G1402" s="323">
        <v>309</v>
      </c>
      <c r="H1402" s="253">
        <f t="shared" ref="H1402:H1407" si="132">G1402*F1402</f>
        <v>618</v>
      </c>
      <c r="I1402" s="254" t="s">
        <v>170</v>
      </c>
      <c r="J1402" s="267" t="s">
        <v>592</v>
      </c>
      <c r="K1402" s="256">
        <v>43283</v>
      </c>
      <c r="L1402" s="256"/>
      <c r="M1402" s="256">
        <v>43276</v>
      </c>
      <c r="N1402" s="251" t="s">
        <v>3628</v>
      </c>
      <c r="O1402" s="308" t="s">
        <v>4611</v>
      </c>
      <c r="Q1402" s="266">
        <v>556.5</v>
      </c>
      <c r="R1402" s="1394"/>
      <c r="S1402" s="1394"/>
      <c r="U1402" s="572">
        <v>16799</v>
      </c>
      <c r="V1402" s="318" t="s">
        <v>3285</v>
      </c>
      <c r="W1402" s="771"/>
      <c r="X1402" s="748">
        <v>43273</v>
      </c>
      <c r="Y1402" s="744" t="s">
        <v>4612</v>
      </c>
      <c r="Z1402" s="749">
        <v>16799</v>
      </c>
      <c r="AA1402" s="748">
        <v>43276</v>
      </c>
      <c r="AB1402" s="250" t="s">
        <v>4596</v>
      </c>
      <c r="AC1402" s="744" t="s">
        <v>4597</v>
      </c>
      <c r="AD1402" s="744"/>
      <c r="AE1402" s="744"/>
      <c r="AF1402" s="744"/>
      <c r="AG1402" s="251" t="s">
        <v>283</v>
      </c>
    </row>
    <row r="1403" spans="1:33" ht="15.75" customHeight="1">
      <c r="A1403" s="743">
        <v>43264</v>
      </c>
      <c r="B1403" s="263" t="s">
        <v>4590</v>
      </c>
      <c r="C1403" s="744" t="s">
        <v>4609</v>
      </c>
      <c r="D1403" s="250" t="s">
        <v>4613</v>
      </c>
      <c r="E1403" s="799" t="s">
        <v>4404</v>
      </c>
      <c r="F1403" s="305">
        <v>5</v>
      </c>
      <c r="G1403" s="323">
        <v>68</v>
      </c>
      <c r="H1403" s="253">
        <f t="shared" si="132"/>
        <v>340</v>
      </c>
      <c r="I1403" s="254" t="s">
        <v>3712</v>
      </c>
      <c r="J1403" s="267" t="s">
        <v>592</v>
      </c>
      <c r="K1403" s="256">
        <v>43283</v>
      </c>
      <c r="L1403" s="256"/>
      <c r="M1403" s="256">
        <v>43279</v>
      </c>
      <c r="N1403" s="251" t="s">
        <v>89</v>
      </c>
      <c r="O1403" s="308" t="s">
        <v>4614</v>
      </c>
      <c r="Q1403" s="266">
        <v>304.5</v>
      </c>
      <c r="R1403" s="1394"/>
      <c r="S1403" s="1394"/>
      <c r="U1403" s="328"/>
      <c r="V1403" s="338" t="s">
        <v>93</v>
      </c>
      <c r="W1403" s="747">
        <v>43343</v>
      </c>
      <c r="X1403" s="748">
        <v>43279</v>
      </c>
      <c r="Y1403" s="744" t="s">
        <v>4615</v>
      </c>
      <c r="Z1403" s="749">
        <v>9115</v>
      </c>
      <c r="AA1403" s="748">
        <v>43346</v>
      </c>
      <c r="AB1403" s="250" t="s">
        <v>4596</v>
      </c>
      <c r="AC1403" s="744" t="s">
        <v>4597</v>
      </c>
      <c r="AD1403" s="744"/>
      <c r="AE1403" s="749"/>
      <c r="AF1403" s="744"/>
      <c r="AG1403" s="251" t="s">
        <v>283</v>
      </c>
    </row>
    <row r="1404" spans="1:33" ht="15.75" customHeight="1">
      <c r="A1404" s="743">
        <v>43264</v>
      </c>
      <c r="B1404" s="263" t="s">
        <v>4590</v>
      </c>
      <c r="C1404" s="744" t="s">
        <v>4609</v>
      </c>
      <c r="D1404" s="250" t="s">
        <v>4613</v>
      </c>
      <c r="E1404" s="799" t="s">
        <v>4616</v>
      </c>
      <c r="F1404" s="305">
        <v>2</v>
      </c>
      <c r="G1404" s="323">
        <v>93</v>
      </c>
      <c r="H1404" s="253">
        <f t="shared" si="132"/>
        <v>186</v>
      </c>
      <c r="I1404" s="254" t="s">
        <v>3712</v>
      </c>
      <c r="J1404" s="267" t="s">
        <v>592</v>
      </c>
      <c r="K1404" s="256">
        <v>43283</v>
      </c>
      <c r="L1404" s="256"/>
      <c r="M1404" s="256">
        <v>43279</v>
      </c>
      <c r="N1404" s="331" t="s">
        <v>89</v>
      </c>
      <c r="O1404" s="308" t="s">
        <v>4617</v>
      </c>
      <c r="Q1404" s="266">
        <v>165.9</v>
      </c>
      <c r="R1404" s="1394"/>
      <c r="S1404" s="1394"/>
      <c r="U1404" s="328"/>
      <c r="V1404" s="338" t="s">
        <v>93</v>
      </c>
      <c r="W1404" s="747">
        <v>43343</v>
      </c>
      <c r="X1404" s="748">
        <v>43279</v>
      </c>
      <c r="Y1404" s="744" t="s">
        <v>4618</v>
      </c>
      <c r="Z1404" s="749">
        <v>4966</v>
      </c>
      <c r="AA1404" s="748">
        <v>43346</v>
      </c>
      <c r="AB1404" s="250" t="s">
        <v>4596</v>
      </c>
      <c r="AC1404" s="744" t="s">
        <v>4597</v>
      </c>
      <c r="AD1404" s="744"/>
      <c r="AE1404" s="749"/>
      <c r="AF1404" s="744"/>
      <c r="AG1404" s="251" t="s">
        <v>283</v>
      </c>
    </row>
    <row r="1405" spans="1:33" ht="15.75" customHeight="1">
      <c r="A1405" s="743">
        <v>43264</v>
      </c>
      <c r="B1405" s="263" t="s">
        <v>372</v>
      </c>
      <c r="C1405" s="744">
        <v>201806110003</v>
      </c>
      <c r="D1405" s="250" t="s">
        <v>4619</v>
      </c>
      <c r="E1405" s="595" t="s">
        <v>4620</v>
      </c>
      <c r="F1405" s="305">
        <v>2</v>
      </c>
      <c r="G1405" s="252">
        <v>96.6</v>
      </c>
      <c r="H1405" s="253">
        <f t="shared" si="132"/>
        <v>193.2</v>
      </c>
      <c r="I1405" s="254" t="s">
        <v>42</v>
      </c>
      <c r="J1405" s="267" t="s">
        <v>89</v>
      </c>
      <c r="K1405" s="256">
        <v>43271</v>
      </c>
      <c r="L1405" s="256"/>
      <c r="M1405" s="256">
        <v>43270</v>
      </c>
      <c r="N1405" s="331" t="s">
        <v>89</v>
      </c>
      <c r="O1405" s="308" t="s">
        <v>4621</v>
      </c>
      <c r="Q1405" s="266">
        <v>182.7</v>
      </c>
      <c r="R1405" s="1394"/>
      <c r="S1405" s="1394"/>
      <c r="U1405" s="328"/>
      <c r="V1405" s="338" t="s">
        <v>93</v>
      </c>
      <c r="W1405" s="747">
        <v>43312</v>
      </c>
      <c r="X1405" s="748">
        <v>43270</v>
      </c>
      <c r="Y1405" s="744" t="s">
        <v>4622</v>
      </c>
      <c r="Z1405" s="749">
        <v>5436</v>
      </c>
      <c r="AA1405" s="748">
        <v>43312</v>
      </c>
      <c r="AB1405" s="744" t="s">
        <v>4623</v>
      </c>
      <c r="AC1405" s="744"/>
      <c r="AD1405" s="744" t="s">
        <v>4624</v>
      </c>
      <c r="AE1405" s="749">
        <v>5831</v>
      </c>
      <c r="AF1405" s="744" t="s">
        <v>4625</v>
      </c>
      <c r="AG1405" s="251" t="s">
        <v>376</v>
      </c>
    </row>
    <row r="1406" spans="1:33" ht="15.75" customHeight="1">
      <c r="A1406" s="743">
        <v>43265</v>
      </c>
      <c r="B1406" s="263" t="s">
        <v>415</v>
      </c>
      <c r="C1406" s="744" t="s">
        <v>4626</v>
      </c>
      <c r="D1406" s="250" t="s">
        <v>4627</v>
      </c>
      <c r="E1406" s="823" t="s">
        <v>4628</v>
      </c>
      <c r="F1406" s="824">
        <v>12</v>
      </c>
      <c r="G1406" s="825">
        <v>345</v>
      </c>
      <c r="H1406" s="253">
        <f t="shared" si="132"/>
        <v>4140</v>
      </c>
      <c r="I1406" s="254" t="s">
        <v>419</v>
      </c>
      <c r="J1406" s="826" t="s">
        <v>4629</v>
      </c>
      <c r="K1406" s="256">
        <v>43335</v>
      </c>
      <c r="L1406" s="256"/>
      <c r="M1406" s="401" t="s">
        <v>4630</v>
      </c>
      <c r="N1406" s="331" t="s">
        <v>3432</v>
      </c>
      <c r="O1406" s="590" t="s">
        <v>4631</v>
      </c>
      <c r="Q1406" s="591"/>
      <c r="R1406" s="1406"/>
      <c r="S1406" s="1406"/>
      <c r="U1406" s="572">
        <v>124816</v>
      </c>
      <c r="V1406" s="308" t="s">
        <v>2045</v>
      </c>
      <c r="W1406" s="747">
        <v>43404</v>
      </c>
      <c r="X1406" s="748">
        <v>43326</v>
      </c>
      <c r="Y1406" s="744" t="s">
        <v>4632</v>
      </c>
      <c r="Z1406" s="749">
        <v>124816</v>
      </c>
      <c r="AA1406" s="748">
        <v>43369</v>
      </c>
      <c r="AB1406" s="744" t="s">
        <v>4633</v>
      </c>
      <c r="AC1406" s="744" t="s">
        <v>4634</v>
      </c>
      <c r="AD1406" s="744"/>
      <c r="AE1406" s="749"/>
      <c r="AF1406" s="744"/>
      <c r="AG1406" s="251" t="s">
        <v>283</v>
      </c>
    </row>
    <row r="1407" spans="1:33" ht="15.75" customHeight="1">
      <c r="A1407" s="743">
        <v>43265</v>
      </c>
      <c r="B1407" s="263" t="s">
        <v>415</v>
      </c>
      <c r="C1407" s="744" t="s">
        <v>4626</v>
      </c>
      <c r="D1407" s="250" t="s">
        <v>4627</v>
      </c>
      <c r="E1407" s="823" t="s">
        <v>3437</v>
      </c>
      <c r="F1407" s="824">
        <v>14</v>
      </c>
      <c r="G1407" s="825">
        <v>55</v>
      </c>
      <c r="H1407" s="253">
        <f t="shared" si="132"/>
        <v>770</v>
      </c>
      <c r="I1407" s="254" t="s">
        <v>419</v>
      </c>
      <c r="J1407" s="827" t="s">
        <v>4629</v>
      </c>
      <c r="K1407" s="256">
        <v>43335</v>
      </c>
      <c r="L1407" s="256"/>
      <c r="M1407" s="256">
        <v>43333</v>
      </c>
      <c r="N1407" s="251" t="s">
        <v>2051</v>
      </c>
      <c r="O1407" s="590" t="s">
        <v>4635</v>
      </c>
      <c r="Q1407" s="591"/>
      <c r="R1407" s="1406"/>
      <c r="S1407" s="1406"/>
      <c r="U1407" s="572">
        <v>17640</v>
      </c>
      <c r="V1407" s="597" t="s">
        <v>2053</v>
      </c>
      <c r="W1407" s="574" t="s">
        <v>421</v>
      </c>
      <c r="X1407" s="748">
        <v>43333</v>
      </c>
      <c r="Y1407" s="744" t="s">
        <v>4636</v>
      </c>
      <c r="Z1407" s="749">
        <v>18900</v>
      </c>
      <c r="AA1407" s="748">
        <v>43327</v>
      </c>
      <c r="AB1407" s="744" t="s">
        <v>4633</v>
      </c>
      <c r="AC1407" s="744" t="s">
        <v>4634</v>
      </c>
      <c r="AD1407" s="744"/>
      <c r="AE1407" s="744"/>
      <c r="AF1407" s="744"/>
      <c r="AG1407" s="251" t="s">
        <v>283</v>
      </c>
    </row>
    <row r="1408" spans="1:33" ht="15.75" customHeight="1">
      <c r="A1408" s="743">
        <v>43266</v>
      </c>
      <c r="B1408" s="263" t="s">
        <v>129</v>
      </c>
      <c r="C1408" s="744" t="s">
        <v>4637</v>
      </c>
      <c r="D1408" s="250" t="s">
        <v>4638</v>
      </c>
      <c r="E1408" s="799" t="s">
        <v>3789</v>
      </c>
      <c r="F1408" s="251">
        <v>15</v>
      </c>
      <c r="G1408" s="323">
        <v>90</v>
      </c>
      <c r="H1408" s="253">
        <v>1350</v>
      </c>
      <c r="I1408" s="254" t="s">
        <v>419</v>
      </c>
      <c r="J1408" s="828" t="s">
        <v>453</v>
      </c>
      <c r="K1408" s="256">
        <v>43293</v>
      </c>
      <c r="L1408" s="256"/>
      <c r="M1408" s="256">
        <v>43280</v>
      </c>
      <c r="N1408" s="331" t="s">
        <v>89</v>
      </c>
      <c r="O1408" s="308" t="s">
        <v>4639</v>
      </c>
      <c r="Q1408" s="266">
        <v>1338.75</v>
      </c>
      <c r="R1408" s="1394"/>
      <c r="S1408" s="1394"/>
      <c r="U1408" s="328"/>
      <c r="V1408" s="338" t="s">
        <v>93</v>
      </c>
      <c r="W1408" s="747">
        <v>43343</v>
      </c>
      <c r="X1408" s="748">
        <v>43280</v>
      </c>
      <c r="Y1408" s="744" t="s">
        <v>4640</v>
      </c>
      <c r="Z1408" s="749">
        <v>68006</v>
      </c>
      <c r="AA1408" s="748">
        <v>43346</v>
      </c>
      <c r="AB1408" s="250" t="s">
        <v>4641</v>
      </c>
      <c r="AC1408" s="744">
        <v>2142854490</v>
      </c>
      <c r="AD1408" s="744"/>
      <c r="AE1408" s="744"/>
      <c r="AF1408" s="744"/>
      <c r="AG1408" s="251" t="s">
        <v>283</v>
      </c>
    </row>
    <row r="1409" spans="1:33" ht="15.75" customHeight="1">
      <c r="A1409" s="743">
        <v>43266</v>
      </c>
      <c r="B1409" s="263" t="s">
        <v>129</v>
      </c>
      <c r="C1409" s="744" t="s">
        <v>4637</v>
      </c>
      <c r="D1409" s="250" t="s">
        <v>4638</v>
      </c>
      <c r="E1409" s="799" t="s">
        <v>3593</v>
      </c>
      <c r="F1409" s="251">
        <v>5</v>
      </c>
      <c r="G1409" s="323">
        <v>50</v>
      </c>
      <c r="H1409" s="253">
        <v>250</v>
      </c>
      <c r="I1409" s="254" t="s">
        <v>419</v>
      </c>
      <c r="J1409" s="828" t="s">
        <v>453</v>
      </c>
      <c r="K1409" s="256">
        <v>43293</v>
      </c>
      <c r="L1409" s="256"/>
      <c r="M1409" s="256">
        <v>43280</v>
      </c>
      <c r="N1409" s="331" t="s">
        <v>89</v>
      </c>
      <c r="O1409" s="308" t="s">
        <v>4639</v>
      </c>
      <c r="Q1409" s="266">
        <v>241.5</v>
      </c>
      <c r="R1409" s="1394"/>
      <c r="S1409" s="1394"/>
      <c r="U1409" s="328"/>
      <c r="V1409" s="338" t="s">
        <v>93</v>
      </c>
      <c r="W1409" s="747">
        <v>43343</v>
      </c>
      <c r="X1409" s="748">
        <v>43280</v>
      </c>
      <c r="Y1409" s="744" t="s">
        <v>4640</v>
      </c>
      <c r="Z1409" s="744" t="s">
        <v>4642</v>
      </c>
      <c r="AA1409" s="748">
        <v>43346</v>
      </c>
      <c r="AB1409" s="250" t="s">
        <v>4641</v>
      </c>
      <c r="AC1409" s="744">
        <v>2142854490</v>
      </c>
      <c r="AD1409" s="744"/>
      <c r="AE1409" s="744"/>
      <c r="AF1409" s="744"/>
      <c r="AG1409" s="251" t="s">
        <v>283</v>
      </c>
    </row>
    <row r="1410" spans="1:33" ht="15.75" customHeight="1">
      <c r="A1410" s="743">
        <v>43266</v>
      </c>
      <c r="B1410" s="263" t="s">
        <v>129</v>
      </c>
      <c r="C1410" s="744" t="s">
        <v>4637</v>
      </c>
      <c r="D1410" s="250" t="s">
        <v>4638</v>
      </c>
      <c r="E1410" s="799" t="s">
        <v>4643</v>
      </c>
      <c r="F1410" s="251">
        <v>3</v>
      </c>
      <c r="G1410" s="323">
        <v>35</v>
      </c>
      <c r="H1410" s="253">
        <v>105</v>
      </c>
      <c r="I1410" s="254" t="s">
        <v>419</v>
      </c>
      <c r="J1410" s="828" t="s">
        <v>453</v>
      </c>
      <c r="K1410" s="256">
        <v>43293</v>
      </c>
      <c r="L1410" s="256"/>
      <c r="M1410" s="256">
        <v>43280</v>
      </c>
      <c r="N1410" s="331" t="s">
        <v>89</v>
      </c>
      <c r="O1410" s="308" t="s">
        <v>4639</v>
      </c>
      <c r="Q1410" s="266">
        <v>98.28</v>
      </c>
      <c r="R1410" s="1394"/>
      <c r="S1410" s="1394"/>
      <c r="U1410" s="328"/>
      <c r="V1410" s="338" t="s">
        <v>93</v>
      </c>
      <c r="W1410" s="747">
        <v>43343</v>
      </c>
      <c r="X1410" s="748">
        <v>43280</v>
      </c>
      <c r="Y1410" s="744" t="s">
        <v>4640</v>
      </c>
      <c r="Z1410" s="744" t="s">
        <v>4642</v>
      </c>
      <c r="AA1410" s="748">
        <v>43346</v>
      </c>
      <c r="AB1410" s="250" t="s">
        <v>4641</v>
      </c>
      <c r="AC1410" s="744">
        <v>2142854490</v>
      </c>
      <c r="AD1410" s="744"/>
      <c r="AE1410" s="744"/>
      <c r="AF1410" s="744"/>
      <c r="AG1410" s="251" t="s">
        <v>283</v>
      </c>
    </row>
    <row r="1411" spans="1:33" ht="15.75" customHeight="1">
      <c r="A1411" s="743">
        <v>43266</v>
      </c>
      <c r="B1411" s="263" t="s">
        <v>129</v>
      </c>
      <c r="C1411" s="744" t="s">
        <v>4637</v>
      </c>
      <c r="D1411" s="250" t="s">
        <v>4638</v>
      </c>
      <c r="E1411" s="799" t="s">
        <v>4644</v>
      </c>
      <c r="F1411" s="251">
        <v>15</v>
      </c>
      <c r="G1411" s="323">
        <v>4</v>
      </c>
      <c r="H1411" s="253">
        <v>60</v>
      </c>
      <c r="I1411" s="254" t="s">
        <v>419</v>
      </c>
      <c r="J1411" s="828" t="s">
        <v>453</v>
      </c>
      <c r="K1411" s="256">
        <v>43293</v>
      </c>
      <c r="L1411" s="256"/>
      <c r="M1411" s="256">
        <v>43280</v>
      </c>
      <c r="N1411" s="331" t="s">
        <v>89</v>
      </c>
      <c r="O1411" s="308" t="s">
        <v>4639</v>
      </c>
      <c r="Q1411" s="266">
        <v>47.25</v>
      </c>
      <c r="R1411" s="1394"/>
      <c r="S1411" s="1394"/>
      <c r="U1411" s="328"/>
      <c r="V1411" s="338" t="s">
        <v>93</v>
      </c>
      <c r="W1411" s="747">
        <v>43343</v>
      </c>
      <c r="X1411" s="748">
        <v>43280</v>
      </c>
      <c r="Y1411" s="744" t="s">
        <v>4640</v>
      </c>
      <c r="Z1411" s="744" t="s">
        <v>4642</v>
      </c>
      <c r="AA1411" s="748">
        <v>43346</v>
      </c>
      <c r="AB1411" s="250" t="s">
        <v>4641</v>
      </c>
      <c r="AC1411" s="744">
        <v>2142854490</v>
      </c>
      <c r="AD1411" s="744"/>
      <c r="AE1411" s="744"/>
      <c r="AF1411" s="744"/>
      <c r="AG1411" s="251" t="s">
        <v>283</v>
      </c>
    </row>
    <row r="1412" spans="1:33" ht="15.75" customHeight="1">
      <c r="A1412" s="743">
        <v>43266</v>
      </c>
      <c r="B1412" s="263" t="s">
        <v>129</v>
      </c>
      <c r="C1412" s="744" t="s">
        <v>4637</v>
      </c>
      <c r="D1412" s="250" t="s">
        <v>4638</v>
      </c>
      <c r="E1412" s="799" t="s">
        <v>3979</v>
      </c>
      <c r="F1412" s="251">
        <v>10</v>
      </c>
      <c r="G1412" s="323">
        <v>58</v>
      </c>
      <c r="H1412" s="253">
        <v>580</v>
      </c>
      <c r="I1412" s="254" t="s">
        <v>419</v>
      </c>
      <c r="J1412" s="828" t="s">
        <v>453</v>
      </c>
      <c r="K1412" s="256">
        <v>43293</v>
      </c>
      <c r="L1412" s="256"/>
      <c r="M1412" s="256">
        <v>43280</v>
      </c>
      <c r="N1412" s="331" t="s">
        <v>89</v>
      </c>
      <c r="O1412" s="308" t="s">
        <v>4639</v>
      </c>
      <c r="Q1412" s="266">
        <v>546</v>
      </c>
      <c r="R1412" s="1394"/>
      <c r="S1412" s="1394"/>
      <c r="U1412" s="328"/>
      <c r="V1412" s="338" t="s">
        <v>93</v>
      </c>
      <c r="W1412" s="747">
        <v>43343</v>
      </c>
      <c r="X1412" s="748">
        <v>43280</v>
      </c>
      <c r="Y1412" s="744" t="s">
        <v>4640</v>
      </c>
      <c r="Z1412" s="744" t="s">
        <v>4642</v>
      </c>
      <c r="AA1412" s="748">
        <v>43346</v>
      </c>
      <c r="AB1412" s="250" t="s">
        <v>4641</v>
      </c>
      <c r="AC1412" s="744">
        <v>2142854490</v>
      </c>
      <c r="AD1412" s="744"/>
      <c r="AE1412" s="744"/>
      <c r="AF1412" s="744"/>
      <c r="AG1412" s="251" t="s">
        <v>283</v>
      </c>
    </row>
    <row r="1413" spans="1:33" ht="15.75" customHeight="1">
      <c r="A1413" s="743">
        <v>43269</v>
      </c>
      <c r="B1413" s="144" t="s">
        <v>139</v>
      </c>
      <c r="C1413" s="744"/>
      <c r="D1413" s="250" t="s">
        <v>4645</v>
      </c>
      <c r="E1413" s="799" t="s">
        <v>4646</v>
      </c>
      <c r="F1413" s="264">
        <v>1</v>
      </c>
      <c r="G1413" s="323">
        <v>1411</v>
      </c>
      <c r="H1413" s="253">
        <f t="shared" ref="H1413:H1469" si="133">G1413*F1413</f>
        <v>1411</v>
      </c>
      <c r="I1413" s="254" t="s">
        <v>170</v>
      </c>
      <c r="J1413" s="331" t="s">
        <v>504</v>
      </c>
      <c r="K1413" s="829">
        <v>43342</v>
      </c>
      <c r="L1413" s="1479"/>
      <c r="M1413" s="256">
        <v>43340</v>
      </c>
      <c r="N1413" s="264" t="s">
        <v>2074</v>
      </c>
      <c r="O1413" s="308" t="s">
        <v>4647</v>
      </c>
      <c r="Q1413" s="591"/>
      <c r="R1413" s="1406"/>
      <c r="S1413" s="1406"/>
      <c r="U1413" s="328"/>
      <c r="V1413" s="308"/>
      <c r="W1413" s="328"/>
      <c r="X1413" s="745"/>
      <c r="Y1413" s="745"/>
      <c r="Z1413" s="745"/>
      <c r="AA1413" s="746"/>
      <c r="AB1413" s="744" t="s">
        <v>4648</v>
      </c>
      <c r="AC1413" s="744">
        <v>623143253</v>
      </c>
      <c r="AD1413" s="744"/>
      <c r="AE1413" s="744"/>
      <c r="AF1413" s="744"/>
      <c r="AG1413" s="251" t="s">
        <v>283</v>
      </c>
    </row>
    <row r="1414" spans="1:33" ht="15.75" customHeight="1">
      <c r="A1414" s="743">
        <v>43270</v>
      </c>
      <c r="B1414" s="263" t="s">
        <v>228</v>
      </c>
      <c r="C1414" s="744"/>
      <c r="D1414" s="250" t="s">
        <v>4649</v>
      </c>
      <c r="E1414" s="799" t="s">
        <v>4650</v>
      </c>
      <c r="F1414" s="251">
        <v>10</v>
      </c>
      <c r="G1414" s="323">
        <v>21</v>
      </c>
      <c r="H1414" s="253">
        <f t="shared" si="133"/>
        <v>210</v>
      </c>
      <c r="I1414" s="254" t="s">
        <v>170</v>
      </c>
      <c r="J1414" s="367" t="s">
        <v>89</v>
      </c>
      <c r="K1414" s="256">
        <v>43276</v>
      </c>
      <c r="L1414" s="256"/>
      <c r="M1414" s="256">
        <v>43276</v>
      </c>
      <c r="N1414" s="331" t="s">
        <v>89</v>
      </c>
      <c r="O1414" s="308" t="s">
        <v>4651</v>
      </c>
      <c r="Q1414" s="266">
        <v>177.45</v>
      </c>
      <c r="R1414" s="1394"/>
      <c r="S1414" s="1394"/>
      <c r="U1414" s="328"/>
      <c r="V1414" s="338" t="s">
        <v>93</v>
      </c>
      <c r="W1414" s="747">
        <v>43312</v>
      </c>
      <c r="X1414" s="750">
        <v>43276</v>
      </c>
      <c r="Y1414" s="250" t="s">
        <v>4652</v>
      </c>
      <c r="Z1414" s="753">
        <v>5312</v>
      </c>
      <c r="AA1414" s="748">
        <v>43312</v>
      </c>
      <c r="AB1414" s="744" t="s">
        <v>4653</v>
      </c>
      <c r="AC1414" s="744"/>
      <c r="AD1414" s="744" t="s">
        <v>4654</v>
      </c>
      <c r="AE1414" s="749">
        <v>6382</v>
      </c>
      <c r="AF1414" s="744" t="s">
        <v>4500</v>
      </c>
      <c r="AG1414" s="251" t="s">
        <v>376</v>
      </c>
    </row>
    <row r="1415" spans="1:33" ht="15.75" customHeight="1">
      <c r="A1415" s="755">
        <v>43270</v>
      </c>
      <c r="B1415" s="263" t="s">
        <v>619</v>
      </c>
      <c r="C1415" s="744"/>
      <c r="D1415" s="250" t="s">
        <v>4655</v>
      </c>
      <c r="E1415" s="799" t="s">
        <v>3467</v>
      </c>
      <c r="F1415" s="251">
        <v>1</v>
      </c>
      <c r="G1415" s="323">
        <v>192.15</v>
      </c>
      <c r="H1415" s="253">
        <f t="shared" si="133"/>
        <v>192.15</v>
      </c>
      <c r="I1415" s="254" t="s">
        <v>42</v>
      </c>
      <c r="J1415" s="367" t="s">
        <v>89</v>
      </c>
      <c r="K1415" s="256">
        <v>43276</v>
      </c>
      <c r="L1415" s="256"/>
      <c r="M1415" s="256">
        <v>43276</v>
      </c>
      <c r="N1415" s="331" t="s">
        <v>89</v>
      </c>
      <c r="O1415" s="308" t="s">
        <v>4656</v>
      </c>
      <c r="Q1415" s="266">
        <v>178.5</v>
      </c>
      <c r="R1415" s="1394"/>
      <c r="S1415" s="1394"/>
      <c r="U1415" s="328"/>
      <c r="V1415" s="338" t="s">
        <v>93</v>
      </c>
      <c r="W1415" s="747">
        <v>43312</v>
      </c>
      <c r="X1415" s="750">
        <v>43276</v>
      </c>
      <c r="Y1415" s="250" t="s">
        <v>4657</v>
      </c>
      <c r="Z1415" s="753">
        <v>5343</v>
      </c>
      <c r="AA1415" s="748">
        <v>43312</v>
      </c>
      <c r="AB1415" s="744" t="s">
        <v>4658</v>
      </c>
      <c r="AC1415" s="744"/>
      <c r="AD1415" s="744" t="s">
        <v>4659</v>
      </c>
      <c r="AE1415" s="749">
        <v>44891</v>
      </c>
      <c r="AF1415" s="744" t="s">
        <v>4500</v>
      </c>
      <c r="AG1415" s="251" t="s">
        <v>376</v>
      </c>
    </row>
    <row r="1416" spans="1:33" ht="15.75" customHeight="1">
      <c r="A1416" s="755">
        <v>43270</v>
      </c>
      <c r="B1416" s="263" t="s">
        <v>619</v>
      </c>
      <c r="C1416" s="744"/>
      <c r="D1416" s="250" t="s">
        <v>4655</v>
      </c>
      <c r="E1416" s="799" t="s">
        <v>4660</v>
      </c>
      <c r="F1416" s="251">
        <v>1</v>
      </c>
      <c r="G1416" s="323">
        <v>9.0299999999999994</v>
      </c>
      <c r="H1416" s="253">
        <f t="shared" si="133"/>
        <v>9.0299999999999994</v>
      </c>
      <c r="I1416" s="254" t="s">
        <v>42</v>
      </c>
      <c r="J1416" s="367" t="s">
        <v>89</v>
      </c>
      <c r="K1416" s="256">
        <v>43276</v>
      </c>
      <c r="L1416" s="256"/>
      <c r="M1416" s="256">
        <v>43276</v>
      </c>
      <c r="N1416" s="331" t="s">
        <v>89</v>
      </c>
      <c r="O1416" s="308" t="s">
        <v>4661</v>
      </c>
      <c r="Q1416" s="266">
        <v>8.19</v>
      </c>
      <c r="R1416" s="1394"/>
      <c r="S1416" s="1394"/>
      <c r="U1416" s="589"/>
      <c r="V1416" s="338" t="s">
        <v>93</v>
      </c>
      <c r="W1416" s="747">
        <v>43312</v>
      </c>
      <c r="X1416" s="750">
        <v>43276</v>
      </c>
      <c r="Y1416" s="250" t="s">
        <v>4662</v>
      </c>
      <c r="Z1416" s="753">
        <v>35449</v>
      </c>
      <c r="AA1416" s="748">
        <v>43312</v>
      </c>
      <c r="AB1416" s="744" t="s">
        <v>4658</v>
      </c>
      <c r="AC1416" s="744"/>
      <c r="AD1416" s="744" t="s">
        <v>4659</v>
      </c>
      <c r="AE1416" s="744" t="s">
        <v>4663</v>
      </c>
      <c r="AF1416" s="744" t="s">
        <v>4500</v>
      </c>
      <c r="AG1416" s="251" t="s">
        <v>376</v>
      </c>
    </row>
    <row r="1417" spans="1:33" ht="15.75" customHeight="1">
      <c r="A1417" s="755">
        <v>43270</v>
      </c>
      <c r="B1417" s="263" t="s">
        <v>619</v>
      </c>
      <c r="C1417" s="744"/>
      <c r="D1417" s="250" t="s">
        <v>4655</v>
      </c>
      <c r="E1417" s="799" t="s">
        <v>4644</v>
      </c>
      <c r="F1417" s="251">
        <v>1</v>
      </c>
      <c r="G1417" s="323">
        <v>3.57</v>
      </c>
      <c r="H1417" s="253">
        <f t="shared" si="133"/>
        <v>3.57</v>
      </c>
      <c r="I1417" s="254" t="s">
        <v>42</v>
      </c>
      <c r="J1417" s="367" t="s">
        <v>89</v>
      </c>
      <c r="K1417" s="256">
        <v>43276</v>
      </c>
      <c r="L1417" s="256"/>
      <c r="M1417" s="256">
        <v>43276</v>
      </c>
      <c r="N1417" s="331" t="s">
        <v>89</v>
      </c>
      <c r="O1417" s="308" t="s">
        <v>4661</v>
      </c>
      <c r="Q1417" s="266">
        <v>3.15</v>
      </c>
      <c r="R1417" s="1394"/>
      <c r="S1417" s="1394"/>
      <c r="U1417" s="589"/>
      <c r="V1417" s="338" t="s">
        <v>93</v>
      </c>
      <c r="W1417" s="747">
        <v>43312</v>
      </c>
      <c r="X1417" s="750">
        <v>43276</v>
      </c>
      <c r="Y1417" s="250" t="s">
        <v>4662</v>
      </c>
      <c r="Z1417" s="250" t="s">
        <v>4664</v>
      </c>
      <c r="AA1417" s="748">
        <v>43312</v>
      </c>
      <c r="AB1417" s="744" t="s">
        <v>4658</v>
      </c>
      <c r="AC1417" s="744"/>
      <c r="AD1417" s="744" t="s">
        <v>4659</v>
      </c>
      <c r="AE1417" s="744" t="s">
        <v>4663</v>
      </c>
      <c r="AF1417" s="744" t="s">
        <v>4500</v>
      </c>
      <c r="AG1417" s="251" t="s">
        <v>376</v>
      </c>
    </row>
    <row r="1418" spans="1:33" ht="15.75" customHeight="1">
      <c r="A1418" s="755">
        <v>43270</v>
      </c>
      <c r="B1418" s="263" t="s">
        <v>619</v>
      </c>
      <c r="C1418" s="744"/>
      <c r="D1418" s="250" t="s">
        <v>4655</v>
      </c>
      <c r="E1418" s="799" t="s">
        <v>4616</v>
      </c>
      <c r="F1418" s="251">
        <v>12</v>
      </c>
      <c r="G1418" s="323">
        <v>90.3</v>
      </c>
      <c r="H1418" s="253">
        <f t="shared" si="133"/>
        <v>1083.5999999999999</v>
      </c>
      <c r="I1418" s="254" t="s">
        <v>42</v>
      </c>
      <c r="J1418" s="367" t="s">
        <v>89</v>
      </c>
      <c r="K1418" s="256">
        <v>43276</v>
      </c>
      <c r="L1418" s="256"/>
      <c r="M1418" s="256">
        <v>43276</v>
      </c>
      <c r="N1418" s="331" t="s">
        <v>89</v>
      </c>
      <c r="O1418" s="308" t="s">
        <v>4661</v>
      </c>
      <c r="Q1418" s="266">
        <v>995.4</v>
      </c>
      <c r="R1418" s="1394"/>
      <c r="S1418" s="1394"/>
      <c r="U1418" s="589"/>
      <c r="V1418" s="338" t="s">
        <v>93</v>
      </c>
      <c r="W1418" s="747">
        <v>43312</v>
      </c>
      <c r="X1418" s="750">
        <v>43276</v>
      </c>
      <c r="Y1418" s="250" t="s">
        <v>4662</v>
      </c>
      <c r="Z1418" s="250" t="s">
        <v>4664</v>
      </c>
      <c r="AA1418" s="748">
        <v>43312</v>
      </c>
      <c r="AB1418" s="744" t="s">
        <v>4658</v>
      </c>
      <c r="AC1418" s="744"/>
      <c r="AD1418" s="744" t="s">
        <v>4659</v>
      </c>
      <c r="AE1418" s="744" t="s">
        <v>4663</v>
      </c>
      <c r="AF1418" s="744" t="s">
        <v>4500</v>
      </c>
      <c r="AG1418" s="251" t="s">
        <v>376</v>
      </c>
    </row>
    <row r="1419" spans="1:33" ht="15.75" customHeight="1">
      <c r="A1419" s="755">
        <v>43270</v>
      </c>
      <c r="B1419" s="263" t="s">
        <v>619</v>
      </c>
      <c r="C1419" s="744"/>
      <c r="D1419" s="250" t="s">
        <v>4655</v>
      </c>
      <c r="E1419" s="799" t="s">
        <v>4665</v>
      </c>
      <c r="F1419" s="251">
        <v>1</v>
      </c>
      <c r="G1419" s="323">
        <v>193.2</v>
      </c>
      <c r="H1419" s="253">
        <f t="shared" si="133"/>
        <v>193.2</v>
      </c>
      <c r="I1419" s="254" t="s">
        <v>42</v>
      </c>
      <c r="J1419" s="367" t="s">
        <v>89</v>
      </c>
      <c r="K1419" s="256">
        <v>43276</v>
      </c>
      <c r="L1419" s="256"/>
      <c r="M1419" s="256">
        <v>43276</v>
      </c>
      <c r="N1419" s="331" t="s">
        <v>89</v>
      </c>
      <c r="O1419" s="308" t="s">
        <v>4661</v>
      </c>
      <c r="Q1419" s="266">
        <v>177.45</v>
      </c>
      <c r="R1419" s="1394"/>
      <c r="S1419" s="1394"/>
      <c r="U1419" s="589"/>
      <c r="V1419" s="338" t="s">
        <v>93</v>
      </c>
      <c r="W1419" s="747">
        <v>43312</v>
      </c>
      <c r="X1419" s="750">
        <v>43276</v>
      </c>
      <c r="Y1419" s="250" t="s">
        <v>4662</v>
      </c>
      <c r="Z1419" s="250" t="s">
        <v>4664</v>
      </c>
      <c r="AA1419" s="748">
        <v>43312</v>
      </c>
      <c r="AB1419" s="744" t="s">
        <v>4658</v>
      </c>
      <c r="AC1419" s="744"/>
      <c r="AD1419" s="744" t="s">
        <v>4659</v>
      </c>
      <c r="AE1419" s="744" t="s">
        <v>4663</v>
      </c>
      <c r="AF1419" s="744" t="s">
        <v>4500</v>
      </c>
      <c r="AG1419" s="251" t="s">
        <v>376</v>
      </c>
    </row>
    <row r="1420" spans="1:33" ht="15.75" customHeight="1">
      <c r="A1420" s="743">
        <v>43271</v>
      </c>
      <c r="B1420" s="590" t="s">
        <v>405</v>
      </c>
      <c r="C1420" s="744"/>
      <c r="D1420" s="250" t="s">
        <v>4666</v>
      </c>
      <c r="E1420" s="799" t="s">
        <v>4667</v>
      </c>
      <c r="F1420" s="251">
        <v>4</v>
      </c>
      <c r="G1420" s="252">
        <v>325</v>
      </c>
      <c r="H1420" s="253">
        <f t="shared" si="133"/>
        <v>1300</v>
      </c>
      <c r="I1420" s="254" t="s">
        <v>42</v>
      </c>
      <c r="J1420" s="401" t="s">
        <v>3840</v>
      </c>
      <c r="K1420" s="256">
        <v>43279</v>
      </c>
      <c r="L1420" s="256"/>
      <c r="M1420" s="256">
        <v>43278</v>
      </c>
      <c r="N1420" s="331" t="s">
        <v>2518</v>
      </c>
      <c r="O1420" s="308" t="s">
        <v>4668</v>
      </c>
      <c r="Q1420" s="591"/>
      <c r="R1420" s="1406"/>
      <c r="S1420" s="1406"/>
      <c r="U1420" s="572">
        <v>37800</v>
      </c>
      <c r="V1420" s="597" t="s">
        <v>2520</v>
      </c>
      <c r="W1420" s="747">
        <v>43317</v>
      </c>
      <c r="X1420" s="748">
        <v>43277</v>
      </c>
      <c r="Y1420" s="744" t="s">
        <v>4669</v>
      </c>
      <c r="Z1420" s="749">
        <v>37800</v>
      </c>
      <c r="AA1420" s="748">
        <v>43318</v>
      </c>
      <c r="AB1420" s="250" t="s">
        <v>4445</v>
      </c>
      <c r="AC1420" s="744">
        <v>5230602226</v>
      </c>
      <c r="AD1420" s="744"/>
      <c r="AE1420" s="744"/>
      <c r="AF1420" s="744"/>
      <c r="AG1420" s="251" t="s">
        <v>283</v>
      </c>
    </row>
    <row r="1421" spans="1:33" ht="15.75" customHeight="1">
      <c r="A1421" s="743">
        <v>43272</v>
      </c>
      <c r="B1421" s="263" t="s">
        <v>228</v>
      </c>
      <c r="C1421" s="744">
        <v>180620</v>
      </c>
      <c r="D1421" s="250" t="s">
        <v>4670</v>
      </c>
      <c r="E1421" s="595" t="s">
        <v>461</v>
      </c>
      <c r="F1421" s="251">
        <v>53</v>
      </c>
      <c r="G1421" s="323">
        <v>407.4</v>
      </c>
      <c r="H1421" s="253">
        <f t="shared" si="133"/>
        <v>21592.199999999997</v>
      </c>
      <c r="I1421" s="254" t="s">
        <v>170</v>
      </c>
      <c r="J1421" s="367" t="s">
        <v>89</v>
      </c>
      <c r="K1421" s="256">
        <v>43293</v>
      </c>
      <c r="L1421" s="256"/>
      <c r="M1421" s="256">
        <v>43293</v>
      </c>
      <c r="N1421" s="331" t="s">
        <v>89</v>
      </c>
      <c r="O1421" s="308" t="s">
        <v>4671</v>
      </c>
      <c r="Q1421" s="266">
        <v>19755.75</v>
      </c>
      <c r="R1421" s="1394"/>
      <c r="S1421" s="1394"/>
      <c r="U1421" s="328"/>
      <c r="V1421" s="338" t="s">
        <v>93</v>
      </c>
      <c r="W1421" s="747">
        <v>43343</v>
      </c>
      <c r="X1421" s="750">
        <v>43293</v>
      </c>
      <c r="Y1421" s="250" t="s">
        <v>4672</v>
      </c>
      <c r="Z1421" s="749">
        <v>601985</v>
      </c>
      <c r="AA1421" s="748">
        <v>43346</v>
      </c>
      <c r="AB1421" s="744" t="s">
        <v>4673</v>
      </c>
      <c r="AC1421" s="744"/>
      <c r="AD1421" s="744" t="s">
        <v>4674</v>
      </c>
      <c r="AE1421" s="749">
        <v>659210</v>
      </c>
      <c r="AF1421" s="744" t="s">
        <v>4675</v>
      </c>
      <c r="AG1421" s="251" t="s">
        <v>376</v>
      </c>
    </row>
    <row r="1422" spans="1:33" ht="15.75" customHeight="1">
      <c r="A1422" s="743">
        <v>43276</v>
      </c>
      <c r="B1422" s="263" t="s">
        <v>100</v>
      </c>
      <c r="C1422" s="744" t="s">
        <v>4676</v>
      </c>
      <c r="D1422" s="250" t="s">
        <v>4677</v>
      </c>
      <c r="E1422" s="595" t="s">
        <v>4678</v>
      </c>
      <c r="F1422" s="251">
        <v>5</v>
      </c>
      <c r="G1422" s="772">
        <v>291</v>
      </c>
      <c r="H1422" s="330">
        <f t="shared" si="133"/>
        <v>1455</v>
      </c>
      <c r="I1422" s="254" t="s">
        <v>170</v>
      </c>
      <c r="J1422" s="401" t="s">
        <v>3578</v>
      </c>
      <c r="K1422" s="256">
        <v>43293</v>
      </c>
      <c r="L1422" s="256"/>
      <c r="M1422" s="256">
        <v>43293</v>
      </c>
      <c r="N1422" s="331" t="s">
        <v>1995</v>
      </c>
      <c r="O1422" s="250" t="s">
        <v>4679</v>
      </c>
      <c r="Q1422" s="587"/>
      <c r="R1422" s="1394"/>
      <c r="S1422" s="1394"/>
      <c r="U1422" s="572">
        <v>46284</v>
      </c>
      <c r="V1422" s="571" t="s">
        <v>1997</v>
      </c>
      <c r="W1422" s="747">
        <v>43348</v>
      </c>
      <c r="X1422" s="748">
        <v>43291</v>
      </c>
      <c r="Y1422" s="744" t="s">
        <v>4680</v>
      </c>
      <c r="Z1422" s="749">
        <v>47560</v>
      </c>
      <c r="AA1422" s="748">
        <v>43349</v>
      </c>
      <c r="AB1422" s="250" t="s">
        <v>4574</v>
      </c>
      <c r="AC1422" s="744">
        <v>8273020114</v>
      </c>
      <c r="AD1422" s="744"/>
      <c r="AE1422" s="744"/>
      <c r="AF1422" s="744"/>
      <c r="AG1422" s="251" t="s">
        <v>283</v>
      </c>
    </row>
    <row r="1423" spans="1:33" ht="15.75" customHeight="1">
      <c r="A1423" s="743">
        <v>43276</v>
      </c>
      <c r="B1423" s="263" t="s">
        <v>100</v>
      </c>
      <c r="C1423" s="744" t="s">
        <v>4676</v>
      </c>
      <c r="D1423" s="250" t="s">
        <v>4677</v>
      </c>
      <c r="E1423" s="420" t="s">
        <v>4681</v>
      </c>
      <c r="F1423" s="251">
        <v>5</v>
      </c>
      <c r="G1423" s="252">
        <v>41</v>
      </c>
      <c r="H1423" s="330">
        <f t="shared" si="133"/>
        <v>205</v>
      </c>
      <c r="I1423" s="254" t="s">
        <v>170</v>
      </c>
      <c r="J1423" s="401" t="s">
        <v>3578</v>
      </c>
      <c r="K1423" s="256">
        <v>43293</v>
      </c>
      <c r="L1423" s="256"/>
      <c r="M1423" s="256">
        <v>43283</v>
      </c>
      <c r="N1423" s="401" t="s">
        <v>4682</v>
      </c>
      <c r="O1423" s="250" t="s">
        <v>4683</v>
      </c>
      <c r="Q1423" s="830"/>
      <c r="R1423" s="1419"/>
      <c r="S1423" s="1419"/>
      <c r="U1423" s="630">
        <v>5922</v>
      </c>
      <c r="V1423" s="318" t="s">
        <v>2126</v>
      </c>
      <c r="W1423" s="328"/>
      <c r="X1423" s="748">
        <v>43283</v>
      </c>
      <c r="Y1423" s="744" t="s">
        <v>4684</v>
      </c>
      <c r="Z1423" s="749">
        <v>5922</v>
      </c>
      <c r="AA1423" s="748">
        <v>43278</v>
      </c>
      <c r="AB1423" s="250" t="s">
        <v>4574</v>
      </c>
      <c r="AC1423" s="744">
        <v>8273020114</v>
      </c>
      <c r="AD1423" s="744"/>
      <c r="AE1423" s="744"/>
      <c r="AF1423" s="744"/>
      <c r="AG1423" s="251" t="s">
        <v>283</v>
      </c>
    </row>
    <row r="1424" spans="1:33" ht="15.75" customHeight="1">
      <c r="A1424" s="743">
        <v>43276</v>
      </c>
      <c r="B1424" s="263" t="s">
        <v>100</v>
      </c>
      <c r="C1424" s="744" t="s">
        <v>4676</v>
      </c>
      <c r="D1424" s="250" t="s">
        <v>4677</v>
      </c>
      <c r="E1424" s="595" t="s">
        <v>3700</v>
      </c>
      <c r="F1424" s="251">
        <v>5</v>
      </c>
      <c r="G1424" s="252">
        <v>9</v>
      </c>
      <c r="H1424" s="330">
        <f t="shared" si="133"/>
        <v>45</v>
      </c>
      <c r="I1424" s="254" t="s">
        <v>170</v>
      </c>
      <c r="J1424" s="401" t="s">
        <v>3578</v>
      </c>
      <c r="K1424" s="256">
        <v>43293</v>
      </c>
      <c r="L1424" s="256"/>
      <c r="M1424" s="256">
        <v>43293</v>
      </c>
      <c r="N1424" s="331" t="s">
        <v>1995</v>
      </c>
      <c r="O1424" s="250" t="s">
        <v>4679</v>
      </c>
      <c r="Q1424" s="591"/>
      <c r="R1424" s="1406"/>
      <c r="S1424" s="1406"/>
      <c r="U1424" s="572">
        <v>1276</v>
      </c>
      <c r="V1424" s="571" t="s">
        <v>1997</v>
      </c>
      <c r="W1424" s="747">
        <v>43348</v>
      </c>
      <c r="X1424" s="748">
        <v>43291</v>
      </c>
      <c r="Y1424" s="744" t="s">
        <v>4680</v>
      </c>
      <c r="Z1424" s="749" t="s">
        <v>4685</v>
      </c>
      <c r="AA1424" s="748">
        <v>43349</v>
      </c>
      <c r="AB1424" s="250" t="s">
        <v>4574</v>
      </c>
      <c r="AC1424" s="744">
        <v>8273020114</v>
      </c>
      <c r="AD1424" s="744"/>
      <c r="AE1424" s="744"/>
      <c r="AF1424" s="744"/>
      <c r="AG1424" s="251" t="s">
        <v>283</v>
      </c>
    </row>
    <row r="1425" spans="1:33" ht="43.5" customHeight="1">
      <c r="A1425" s="743">
        <v>43276</v>
      </c>
      <c r="B1425" s="263" t="s">
        <v>100</v>
      </c>
      <c r="C1425" s="744" t="s">
        <v>4686</v>
      </c>
      <c r="D1425" s="250" t="s">
        <v>4687</v>
      </c>
      <c r="E1425" s="420" t="s">
        <v>4688</v>
      </c>
      <c r="F1425" s="251">
        <v>5</v>
      </c>
      <c r="G1425" s="252">
        <v>1118</v>
      </c>
      <c r="H1425" s="330">
        <f t="shared" si="133"/>
        <v>5590</v>
      </c>
      <c r="I1425" s="254" t="s">
        <v>170</v>
      </c>
      <c r="J1425" s="401" t="s">
        <v>3578</v>
      </c>
      <c r="K1425" s="256">
        <v>43297</v>
      </c>
      <c r="L1425" s="256"/>
      <c r="M1425" s="256">
        <v>43294</v>
      </c>
      <c r="N1425" s="331" t="s">
        <v>1414</v>
      </c>
      <c r="O1425" s="250" t="s">
        <v>4689</v>
      </c>
      <c r="Q1425" s="591"/>
      <c r="R1425" s="1406"/>
      <c r="S1425" s="1406"/>
      <c r="U1425" s="572">
        <v>158802</v>
      </c>
      <c r="V1425" s="318" t="s">
        <v>1947</v>
      </c>
      <c r="W1425" s="747">
        <v>43343</v>
      </c>
      <c r="X1425" s="748">
        <v>43293</v>
      </c>
      <c r="Y1425" s="744" t="s">
        <v>4690</v>
      </c>
      <c r="Z1425" s="749">
        <v>165186</v>
      </c>
      <c r="AA1425" s="748">
        <v>43349</v>
      </c>
      <c r="AB1425" s="250" t="s">
        <v>4691</v>
      </c>
      <c r="AC1425" s="744">
        <v>5251666125</v>
      </c>
      <c r="AD1425" s="744"/>
      <c r="AE1425" s="744"/>
      <c r="AF1425" s="744"/>
      <c r="AG1425" s="251" t="s">
        <v>283</v>
      </c>
    </row>
    <row r="1426" spans="1:33" ht="15.75" customHeight="1">
      <c r="A1426" s="743">
        <v>43276</v>
      </c>
      <c r="B1426" s="263" t="s">
        <v>100</v>
      </c>
      <c r="C1426" s="744" t="s">
        <v>4686</v>
      </c>
      <c r="D1426" s="250" t="s">
        <v>4687</v>
      </c>
      <c r="E1426" s="595" t="s">
        <v>4692</v>
      </c>
      <c r="F1426" s="251">
        <v>5</v>
      </c>
      <c r="G1426" s="252">
        <v>80</v>
      </c>
      <c r="H1426" s="330">
        <f t="shared" si="133"/>
        <v>400</v>
      </c>
      <c r="I1426" s="254" t="s">
        <v>170</v>
      </c>
      <c r="J1426" s="401" t="s">
        <v>3578</v>
      </c>
      <c r="K1426" s="256">
        <v>43297</v>
      </c>
      <c r="L1426" s="256"/>
      <c r="M1426" s="256">
        <v>43279</v>
      </c>
      <c r="N1426" s="251" t="s">
        <v>178</v>
      </c>
      <c r="O1426" s="250" t="s">
        <v>4042</v>
      </c>
      <c r="Q1426" s="591"/>
      <c r="R1426" s="1406"/>
      <c r="S1426" s="1406"/>
      <c r="U1426" s="328"/>
      <c r="V1426" s="308"/>
      <c r="W1426" s="328"/>
      <c r="X1426" s="744"/>
      <c r="Y1426" s="744"/>
      <c r="Z1426" s="744"/>
      <c r="AA1426" s="746"/>
      <c r="AB1426" s="250" t="s">
        <v>4691</v>
      </c>
      <c r="AC1426" s="744">
        <v>5251666125</v>
      </c>
      <c r="AD1426" s="744"/>
      <c r="AE1426" s="744"/>
      <c r="AF1426" s="744"/>
      <c r="AG1426" s="251" t="s">
        <v>283</v>
      </c>
    </row>
    <row r="1427" spans="1:33" ht="15.75" customHeight="1">
      <c r="A1427" s="743">
        <v>43276</v>
      </c>
      <c r="B1427" s="263" t="s">
        <v>100</v>
      </c>
      <c r="C1427" s="744" t="s">
        <v>4686</v>
      </c>
      <c r="D1427" s="250" t="s">
        <v>4687</v>
      </c>
      <c r="E1427" s="595" t="s">
        <v>4693</v>
      </c>
      <c r="F1427" s="251">
        <v>4</v>
      </c>
      <c r="G1427" s="252">
        <v>15</v>
      </c>
      <c r="H1427" s="330">
        <f t="shared" si="133"/>
        <v>60</v>
      </c>
      <c r="I1427" s="254" t="s">
        <v>170</v>
      </c>
      <c r="J1427" s="401" t="s">
        <v>3578</v>
      </c>
      <c r="K1427" s="256">
        <v>43297</v>
      </c>
      <c r="L1427" s="256"/>
      <c r="M1427" s="256">
        <v>43294</v>
      </c>
      <c r="N1427" s="331" t="s">
        <v>1414</v>
      </c>
      <c r="O1427" s="250" t="s">
        <v>4689</v>
      </c>
      <c r="Q1427" s="266">
        <v>42</v>
      </c>
      <c r="R1427" s="1394"/>
      <c r="S1427" s="1394"/>
      <c r="U1427" s="572">
        <v>1277</v>
      </c>
      <c r="V1427" s="318" t="s">
        <v>1947</v>
      </c>
      <c r="W1427" s="747">
        <v>43343</v>
      </c>
      <c r="X1427" s="748">
        <v>43293</v>
      </c>
      <c r="Y1427" s="744" t="s">
        <v>4690</v>
      </c>
      <c r="Z1427" s="744" t="s">
        <v>4694</v>
      </c>
      <c r="AA1427" s="748">
        <v>43349</v>
      </c>
      <c r="AB1427" s="250" t="s">
        <v>4691</v>
      </c>
      <c r="AC1427" s="744">
        <v>5251666125</v>
      </c>
      <c r="AD1427" s="744"/>
      <c r="AE1427" s="744"/>
      <c r="AF1427" s="744"/>
      <c r="AG1427" s="251" t="s">
        <v>283</v>
      </c>
    </row>
    <row r="1428" spans="1:33" ht="15.75" customHeight="1">
      <c r="A1428" s="743">
        <v>43277</v>
      </c>
      <c r="B1428" s="144" t="s">
        <v>377</v>
      </c>
      <c r="C1428" s="744">
        <v>8554</v>
      </c>
      <c r="D1428" s="250" t="s">
        <v>4695</v>
      </c>
      <c r="E1428" s="328" t="s">
        <v>379</v>
      </c>
      <c r="F1428" s="305">
        <v>400</v>
      </c>
      <c r="G1428" s="336">
        <v>62</v>
      </c>
      <c r="H1428" s="253">
        <f t="shared" si="133"/>
        <v>24800</v>
      </c>
      <c r="I1428" s="254" t="s">
        <v>170</v>
      </c>
      <c r="J1428" s="367" t="s">
        <v>4298</v>
      </c>
      <c r="K1428" s="256">
        <v>43332</v>
      </c>
      <c r="L1428" s="256"/>
      <c r="M1428" s="256">
        <v>43328</v>
      </c>
      <c r="N1428" s="254" t="s">
        <v>2021</v>
      </c>
      <c r="O1428" s="250" t="s">
        <v>4696</v>
      </c>
      <c r="Q1428" s="591"/>
      <c r="R1428" s="1406"/>
      <c r="S1428" s="1406"/>
      <c r="U1428" s="630">
        <v>570360</v>
      </c>
      <c r="V1428" s="263" t="s">
        <v>2023</v>
      </c>
      <c r="W1428" s="789">
        <v>43348</v>
      </c>
      <c r="X1428" s="748">
        <v>43328</v>
      </c>
      <c r="Y1428" s="744" t="s">
        <v>4697</v>
      </c>
      <c r="Z1428" s="749">
        <v>570360</v>
      </c>
      <c r="AA1428" s="748">
        <v>43349</v>
      </c>
      <c r="AB1428" s="250" t="s">
        <v>4698</v>
      </c>
      <c r="AC1428" s="744" t="s">
        <v>4699</v>
      </c>
      <c r="AD1428" s="744"/>
      <c r="AE1428" s="744"/>
      <c r="AF1428" s="744"/>
      <c r="AG1428" s="251" t="s">
        <v>283</v>
      </c>
    </row>
    <row r="1429" spans="1:33" ht="15.75" customHeight="1">
      <c r="A1429" s="743">
        <v>43277</v>
      </c>
      <c r="B1429" s="590" t="s">
        <v>405</v>
      </c>
      <c r="C1429" s="744">
        <v>7000139163</v>
      </c>
      <c r="D1429" s="250" t="s">
        <v>4700</v>
      </c>
      <c r="E1429" s="595" t="s">
        <v>4701</v>
      </c>
      <c r="F1429" s="251">
        <v>2</v>
      </c>
      <c r="G1429" s="252">
        <v>164</v>
      </c>
      <c r="H1429" s="253">
        <f t="shared" si="133"/>
        <v>328</v>
      </c>
      <c r="I1429" s="254" t="s">
        <v>42</v>
      </c>
      <c r="J1429" s="401" t="s">
        <v>3840</v>
      </c>
      <c r="K1429" s="256">
        <v>43286</v>
      </c>
      <c r="L1429" s="256"/>
      <c r="M1429" s="256">
        <v>43285</v>
      </c>
      <c r="N1429" s="331" t="s">
        <v>3432</v>
      </c>
      <c r="O1429" s="250" t="s">
        <v>4702</v>
      </c>
      <c r="Q1429" s="591"/>
      <c r="R1429" s="1406"/>
      <c r="S1429" s="1406"/>
      <c r="U1429" s="572">
        <v>9005</v>
      </c>
      <c r="V1429" s="308" t="s">
        <v>2045</v>
      </c>
      <c r="W1429" s="747">
        <v>43373</v>
      </c>
      <c r="X1429" s="748">
        <v>43284</v>
      </c>
      <c r="Y1429" s="744" t="s">
        <v>4703</v>
      </c>
      <c r="Z1429" s="749">
        <v>26853</v>
      </c>
      <c r="AA1429" s="748">
        <v>43320</v>
      </c>
      <c r="AB1429" s="744" t="s">
        <v>4490</v>
      </c>
      <c r="AC1429" s="744">
        <v>5574873581</v>
      </c>
      <c r="AD1429" s="744"/>
      <c r="AE1429" s="744"/>
      <c r="AF1429" s="744"/>
      <c r="AG1429" s="251" t="s">
        <v>283</v>
      </c>
    </row>
    <row r="1430" spans="1:33" ht="15.75" customHeight="1">
      <c r="A1430" s="743">
        <v>43277</v>
      </c>
      <c r="B1430" s="590" t="s">
        <v>405</v>
      </c>
      <c r="C1430" s="744">
        <v>7000139163</v>
      </c>
      <c r="D1430" s="250" t="s">
        <v>4700</v>
      </c>
      <c r="E1430" s="595" t="s">
        <v>4446</v>
      </c>
      <c r="F1430" s="251">
        <v>2</v>
      </c>
      <c r="G1430" s="252">
        <v>280</v>
      </c>
      <c r="H1430" s="253">
        <f t="shared" si="133"/>
        <v>560</v>
      </c>
      <c r="I1430" s="254" t="s">
        <v>42</v>
      </c>
      <c r="J1430" s="401" t="s">
        <v>3840</v>
      </c>
      <c r="K1430" s="256">
        <v>43286</v>
      </c>
      <c r="L1430" s="256"/>
      <c r="M1430" s="256">
        <v>43285</v>
      </c>
      <c r="N1430" s="331" t="s">
        <v>3432</v>
      </c>
      <c r="O1430" s="250" t="s">
        <v>4702</v>
      </c>
      <c r="Q1430" s="591"/>
      <c r="R1430" s="1406"/>
      <c r="S1430" s="1406"/>
      <c r="U1430" s="572">
        <v>15567</v>
      </c>
      <c r="V1430" s="308" t="s">
        <v>2045</v>
      </c>
      <c r="W1430" s="747">
        <v>43373</v>
      </c>
      <c r="X1430" s="748">
        <v>43284</v>
      </c>
      <c r="Y1430" s="744" t="s">
        <v>4703</v>
      </c>
      <c r="Z1430" s="744" t="s">
        <v>4704</v>
      </c>
      <c r="AA1430" s="748">
        <v>43320</v>
      </c>
      <c r="AB1430" s="744" t="s">
        <v>4490</v>
      </c>
      <c r="AC1430" s="744">
        <v>5574873581</v>
      </c>
      <c r="AD1430" s="744"/>
      <c r="AE1430" s="744"/>
      <c r="AF1430" s="744"/>
      <c r="AG1430" s="251" t="s">
        <v>283</v>
      </c>
    </row>
    <row r="1431" spans="1:33" ht="15.75" customHeight="1">
      <c r="A1431" s="743">
        <v>43277</v>
      </c>
      <c r="B1431" s="590" t="s">
        <v>405</v>
      </c>
      <c r="C1431" s="744">
        <v>7000139163</v>
      </c>
      <c r="D1431" s="250" t="s">
        <v>4700</v>
      </c>
      <c r="E1431" s="595" t="s">
        <v>4705</v>
      </c>
      <c r="F1431" s="251">
        <v>2</v>
      </c>
      <c r="G1431" s="252">
        <v>47</v>
      </c>
      <c r="H1431" s="253">
        <f t="shared" si="133"/>
        <v>94</v>
      </c>
      <c r="I1431" s="254" t="s">
        <v>42</v>
      </c>
      <c r="J1431" s="401" t="s">
        <v>3840</v>
      </c>
      <c r="K1431" s="256">
        <v>43286</v>
      </c>
      <c r="L1431" s="256"/>
      <c r="M1431" s="256">
        <v>43285</v>
      </c>
      <c r="N1431" s="331" t="s">
        <v>3432</v>
      </c>
      <c r="O1431" s="250" t="s">
        <v>4702</v>
      </c>
      <c r="Q1431" s="591"/>
      <c r="R1431" s="1406"/>
      <c r="S1431" s="1406"/>
      <c r="U1431" s="572">
        <v>2281</v>
      </c>
      <c r="V1431" s="308" t="s">
        <v>2045</v>
      </c>
      <c r="W1431" s="747">
        <v>43373</v>
      </c>
      <c r="X1431" s="748">
        <v>43284</v>
      </c>
      <c r="Y1431" s="744" t="s">
        <v>4703</v>
      </c>
      <c r="Z1431" s="744" t="s">
        <v>4704</v>
      </c>
      <c r="AA1431" s="748">
        <v>43320</v>
      </c>
      <c r="AB1431" s="744" t="s">
        <v>4490</v>
      </c>
      <c r="AC1431" s="744">
        <v>5574873581</v>
      </c>
      <c r="AD1431" s="744"/>
      <c r="AE1431" s="744"/>
      <c r="AF1431" s="744"/>
      <c r="AG1431" s="251" t="s">
        <v>283</v>
      </c>
    </row>
    <row r="1432" spans="1:33" ht="15.75" customHeight="1">
      <c r="A1432" s="743">
        <v>43277</v>
      </c>
      <c r="B1432" s="263" t="s">
        <v>577</v>
      </c>
      <c r="C1432" s="744">
        <v>20180625002</v>
      </c>
      <c r="D1432" s="250" t="s">
        <v>4706</v>
      </c>
      <c r="E1432" s="595" t="s">
        <v>4707</v>
      </c>
      <c r="F1432" s="251">
        <v>1</v>
      </c>
      <c r="G1432" s="252">
        <v>194.25</v>
      </c>
      <c r="H1432" s="253">
        <f t="shared" si="133"/>
        <v>194.25</v>
      </c>
      <c r="I1432" s="254" t="s">
        <v>170</v>
      </c>
      <c r="J1432" s="367" t="s">
        <v>580</v>
      </c>
      <c r="K1432" s="256">
        <v>43293</v>
      </c>
      <c r="L1432" s="256"/>
      <c r="M1432" s="256">
        <v>43293</v>
      </c>
      <c r="N1432" s="331" t="s">
        <v>1414</v>
      </c>
      <c r="O1432" s="250" t="s">
        <v>4708</v>
      </c>
      <c r="Q1432" s="591"/>
      <c r="R1432" s="1406"/>
      <c r="S1432" s="1406"/>
      <c r="U1432" s="572">
        <v>5107</v>
      </c>
      <c r="V1432" s="318" t="s">
        <v>1947</v>
      </c>
      <c r="W1432" s="747">
        <v>43343</v>
      </c>
      <c r="X1432" s="748">
        <v>43293</v>
      </c>
      <c r="Y1432" s="744" t="s">
        <v>4690</v>
      </c>
      <c r="Z1432" s="744" t="s">
        <v>4694</v>
      </c>
      <c r="AA1432" s="748">
        <v>43349</v>
      </c>
      <c r="AB1432" s="744" t="s">
        <v>4709</v>
      </c>
      <c r="AC1432" s="744"/>
      <c r="AD1432" s="744" t="s">
        <v>3498</v>
      </c>
      <c r="AE1432" s="749">
        <v>5828</v>
      </c>
      <c r="AF1432" s="744" t="s">
        <v>4675</v>
      </c>
      <c r="AG1432" s="251" t="s">
        <v>376</v>
      </c>
    </row>
    <row r="1433" spans="1:33" ht="15.75" customHeight="1">
      <c r="A1433" s="743">
        <v>43278</v>
      </c>
      <c r="B1433" s="590" t="s">
        <v>405</v>
      </c>
      <c r="C1433" s="744">
        <v>7000139238</v>
      </c>
      <c r="D1433" s="250" t="s">
        <v>4710</v>
      </c>
      <c r="E1433" s="595" t="s">
        <v>3566</v>
      </c>
      <c r="F1433" s="251">
        <v>5</v>
      </c>
      <c r="G1433" s="252">
        <v>60</v>
      </c>
      <c r="H1433" s="253">
        <f t="shared" si="133"/>
        <v>300</v>
      </c>
      <c r="I1433" s="254" t="s">
        <v>42</v>
      </c>
      <c r="J1433" s="401" t="s">
        <v>3840</v>
      </c>
      <c r="K1433" s="256">
        <v>43286</v>
      </c>
      <c r="L1433" s="256"/>
      <c r="M1433" s="256">
        <v>43285</v>
      </c>
      <c r="N1433" s="331" t="s">
        <v>3432</v>
      </c>
      <c r="O1433" s="250" t="s">
        <v>4711</v>
      </c>
      <c r="Q1433" s="591"/>
      <c r="R1433" s="1406"/>
      <c r="S1433" s="1406"/>
      <c r="U1433" s="572">
        <v>8957</v>
      </c>
      <c r="V1433" s="308" t="s">
        <v>2045</v>
      </c>
      <c r="W1433" s="747">
        <v>43373</v>
      </c>
      <c r="X1433" s="748">
        <v>43284</v>
      </c>
      <c r="Y1433" s="744" t="s">
        <v>4712</v>
      </c>
      <c r="Z1433" s="749">
        <v>15456</v>
      </c>
      <c r="AA1433" s="748">
        <v>43320</v>
      </c>
      <c r="AB1433" s="744" t="s">
        <v>4490</v>
      </c>
      <c r="AC1433" s="744">
        <v>5574873581</v>
      </c>
      <c r="AD1433" s="744"/>
      <c r="AE1433" s="744"/>
      <c r="AF1433" s="744"/>
      <c r="AG1433" s="251" t="s">
        <v>283</v>
      </c>
    </row>
    <row r="1434" spans="1:33" ht="15.75" customHeight="1">
      <c r="A1434" s="743">
        <v>43278</v>
      </c>
      <c r="B1434" s="590" t="s">
        <v>405</v>
      </c>
      <c r="C1434" s="744">
        <v>7000139238</v>
      </c>
      <c r="D1434" s="250" t="s">
        <v>4710</v>
      </c>
      <c r="E1434" s="595" t="s">
        <v>4488</v>
      </c>
      <c r="F1434" s="251">
        <v>5</v>
      </c>
      <c r="G1434" s="252">
        <v>285</v>
      </c>
      <c r="H1434" s="253">
        <f t="shared" si="133"/>
        <v>1425</v>
      </c>
      <c r="I1434" s="254" t="s">
        <v>42</v>
      </c>
      <c r="J1434" s="401" t="s">
        <v>519</v>
      </c>
      <c r="K1434" s="256">
        <v>43300</v>
      </c>
      <c r="L1434" s="256"/>
      <c r="M1434" s="256">
        <v>43299</v>
      </c>
      <c r="N1434" s="331" t="s">
        <v>3432</v>
      </c>
      <c r="O1434" s="250" t="s">
        <v>4711</v>
      </c>
      <c r="Q1434" s="591"/>
      <c r="R1434" s="1406"/>
      <c r="S1434" s="1406"/>
      <c r="U1434" s="572">
        <v>40325</v>
      </c>
      <c r="V1434" s="308" t="s">
        <v>2045</v>
      </c>
      <c r="W1434" s="747">
        <v>43373</v>
      </c>
      <c r="X1434" s="748">
        <v>43298</v>
      </c>
      <c r="Y1434" s="744" t="s">
        <v>4713</v>
      </c>
      <c r="Z1434" s="749">
        <v>40325</v>
      </c>
      <c r="AA1434" s="750">
        <v>43355</v>
      </c>
      <c r="AB1434" s="744" t="s">
        <v>4714</v>
      </c>
      <c r="AC1434" s="744" t="s">
        <v>4715</v>
      </c>
      <c r="AD1434" s="744"/>
      <c r="AE1434" s="744"/>
      <c r="AF1434" s="744"/>
      <c r="AG1434" s="251" t="s">
        <v>283</v>
      </c>
    </row>
    <row r="1435" spans="1:33" ht="15.75" customHeight="1">
      <c r="A1435" s="743">
        <v>43278</v>
      </c>
      <c r="B1435" s="590" t="s">
        <v>405</v>
      </c>
      <c r="C1435" s="744">
        <v>7000139238</v>
      </c>
      <c r="D1435" s="250" t="s">
        <v>4710</v>
      </c>
      <c r="E1435" s="595" t="s">
        <v>3567</v>
      </c>
      <c r="F1435" s="251">
        <v>5</v>
      </c>
      <c r="G1435" s="252">
        <v>39</v>
      </c>
      <c r="H1435" s="253">
        <f t="shared" si="133"/>
        <v>195</v>
      </c>
      <c r="I1435" s="254" t="s">
        <v>42</v>
      </c>
      <c r="J1435" s="401" t="s">
        <v>3840</v>
      </c>
      <c r="K1435" s="256">
        <v>43286</v>
      </c>
      <c r="L1435" s="256"/>
      <c r="M1435" s="256">
        <v>43285</v>
      </c>
      <c r="N1435" s="331" t="s">
        <v>3432</v>
      </c>
      <c r="O1435" s="250" t="s">
        <v>4711</v>
      </c>
      <c r="Q1435" s="591"/>
      <c r="R1435" s="1406"/>
      <c r="S1435" s="1406"/>
      <c r="U1435" s="572">
        <v>5477</v>
      </c>
      <c r="V1435" s="308" t="s">
        <v>2045</v>
      </c>
      <c r="W1435" s="747">
        <v>43373</v>
      </c>
      <c r="X1435" s="748">
        <v>43284</v>
      </c>
      <c r="Y1435" s="744" t="s">
        <v>4712</v>
      </c>
      <c r="Z1435" s="744" t="s">
        <v>4716</v>
      </c>
      <c r="AA1435" s="748">
        <v>43320</v>
      </c>
      <c r="AB1435" s="744" t="s">
        <v>4490</v>
      </c>
      <c r="AC1435" s="744">
        <v>5574873581</v>
      </c>
      <c r="AD1435" s="744"/>
      <c r="AE1435" s="744"/>
      <c r="AF1435" s="744"/>
      <c r="AG1435" s="251" t="s">
        <v>283</v>
      </c>
    </row>
    <row r="1436" spans="1:33" ht="15.75" customHeight="1">
      <c r="A1436" s="743">
        <v>43278</v>
      </c>
      <c r="B1436" s="590" t="s">
        <v>405</v>
      </c>
      <c r="C1436" s="744">
        <v>7000139238</v>
      </c>
      <c r="D1436" s="250" t="s">
        <v>4710</v>
      </c>
      <c r="E1436" s="595" t="s">
        <v>3563</v>
      </c>
      <c r="F1436" s="251">
        <v>5</v>
      </c>
      <c r="G1436" s="252">
        <v>8.5</v>
      </c>
      <c r="H1436" s="253">
        <f t="shared" si="133"/>
        <v>42.5</v>
      </c>
      <c r="I1436" s="254" t="s">
        <v>42</v>
      </c>
      <c r="J1436" s="401" t="s">
        <v>3840</v>
      </c>
      <c r="K1436" s="256">
        <v>43286</v>
      </c>
      <c r="L1436" s="256"/>
      <c r="M1436" s="256">
        <v>43285</v>
      </c>
      <c r="N1436" s="331" t="s">
        <v>3432</v>
      </c>
      <c r="O1436" s="250" t="s">
        <v>4711</v>
      </c>
      <c r="Q1436" s="591"/>
      <c r="R1436" s="1406"/>
      <c r="S1436" s="1406"/>
      <c r="U1436" s="572">
        <v>1024</v>
      </c>
      <c r="V1436" s="308" t="s">
        <v>2045</v>
      </c>
      <c r="W1436" s="747">
        <v>43373</v>
      </c>
      <c r="X1436" s="748">
        <v>43284</v>
      </c>
      <c r="Y1436" s="744" t="s">
        <v>4712</v>
      </c>
      <c r="Z1436" s="744" t="s">
        <v>4716</v>
      </c>
      <c r="AA1436" s="748">
        <v>43320</v>
      </c>
      <c r="AB1436" s="744" t="s">
        <v>4490</v>
      </c>
      <c r="AC1436" s="744">
        <v>5574873581</v>
      </c>
      <c r="AD1436" s="744"/>
      <c r="AE1436" s="744"/>
      <c r="AF1436" s="744"/>
      <c r="AG1436" s="251" t="s">
        <v>283</v>
      </c>
    </row>
    <row r="1437" spans="1:33" ht="15.75" customHeight="1">
      <c r="A1437" s="743">
        <v>43278</v>
      </c>
      <c r="B1437" s="144" t="s">
        <v>100</v>
      </c>
      <c r="C1437" s="744" t="s">
        <v>4717</v>
      </c>
      <c r="D1437" s="250" t="s">
        <v>4718</v>
      </c>
      <c r="E1437" s="328" t="s">
        <v>4719</v>
      </c>
      <c r="F1437" s="251">
        <v>5</v>
      </c>
      <c r="G1437" s="252">
        <v>570</v>
      </c>
      <c r="H1437" s="253">
        <f t="shared" si="133"/>
        <v>2850</v>
      </c>
      <c r="I1437" s="254" t="s">
        <v>170</v>
      </c>
      <c r="J1437" s="401" t="s">
        <v>3578</v>
      </c>
      <c r="K1437" s="256">
        <v>43332</v>
      </c>
      <c r="L1437" s="256"/>
      <c r="M1437" s="264" t="s">
        <v>4563</v>
      </c>
      <c r="N1437" s="264" t="s">
        <v>4563</v>
      </c>
      <c r="O1437" s="308" t="s">
        <v>4720</v>
      </c>
      <c r="Q1437" s="591"/>
      <c r="R1437" s="1406"/>
      <c r="S1437" s="1406"/>
      <c r="U1437" s="328"/>
      <c r="V1437" s="308"/>
      <c r="W1437" s="328"/>
      <c r="X1437" s="745"/>
      <c r="Y1437" s="745"/>
      <c r="Z1437" s="745"/>
      <c r="AA1437" s="746"/>
      <c r="AB1437" s="250" t="s">
        <v>4565</v>
      </c>
      <c r="AC1437" s="744">
        <v>5012579751</v>
      </c>
      <c r="AD1437" s="744"/>
      <c r="AE1437" s="744"/>
      <c r="AF1437" s="744"/>
      <c r="AG1437" s="251" t="s">
        <v>4566</v>
      </c>
    </row>
    <row r="1438" spans="1:33" ht="15.75" customHeight="1">
      <c r="A1438" s="743">
        <v>43278</v>
      </c>
      <c r="B1438" s="144" t="s">
        <v>100</v>
      </c>
      <c r="C1438" s="744" t="s">
        <v>4717</v>
      </c>
      <c r="D1438" s="250" t="s">
        <v>4718</v>
      </c>
      <c r="E1438" s="595" t="s">
        <v>4721</v>
      </c>
      <c r="F1438" s="251">
        <v>5</v>
      </c>
      <c r="G1438" s="252">
        <v>42</v>
      </c>
      <c r="H1438" s="253">
        <f t="shared" si="133"/>
        <v>210</v>
      </c>
      <c r="I1438" s="254" t="s">
        <v>170</v>
      </c>
      <c r="J1438" s="401" t="s">
        <v>3578</v>
      </c>
      <c r="K1438" s="256">
        <v>43332</v>
      </c>
      <c r="L1438" s="256"/>
      <c r="M1438" s="264" t="s">
        <v>4563</v>
      </c>
      <c r="N1438" s="264" t="s">
        <v>4563</v>
      </c>
      <c r="O1438" s="308" t="s">
        <v>4720</v>
      </c>
      <c r="Q1438" s="591"/>
      <c r="R1438" s="1406"/>
      <c r="S1438" s="1406"/>
      <c r="U1438" s="328"/>
      <c r="V1438" s="308"/>
      <c r="W1438" s="328"/>
      <c r="X1438" s="745"/>
      <c r="Y1438" s="745"/>
      <c r="Z1438" s="745"/>
      <c r="AA1438" s="746"/>
      <c r="AB1438" s="250" t="s">
        <v>4565</v>
      </c>
      <c r="AC1438" s="744">
        <v>5012579751</v>
      </c>
      <c r="AD1438" s="744"/>
      <c r="AE1438" s="744"/>
      <c r="AF1438" s="744"/>
      <c r="AG1438" s="251" t="s">
        <v>4566</v>
      </c>
    </row>
    <row r="1439" spans="1:33" ht="15.75" customHeight="1">
      <c r="A1439" s="743">
        <v>43278</v>
      </c>
      <c r="B1439" s="144" t="s">
        <v>100</v>
      </c>
      <c r="C1439" s="744" t="s">
        <v>4717</v>
      </c>
      <c r="D1439" s="250" t="s">
        <v>4718</v>
      </c>
      <c r="E1439" s="595" t="s">
        <v>4722</v>
      </c>
      <c r="F1439" s="251">
        <v>5</v>
      </c>
      <c r="G1439" s="252">
        <v>140</v>
      </c>
      <c r="H1439" s="253">
        <f t="shared" si="133"/>
        <v>700</v>
      </c>
      <c r="I1439" s="254" t="s">
        <v>170</v>
      </c>
      <c r="J1439" s="401" t="s">
        <v>3578</v>
      </c>
      <c r="K1439" s="256">
        <v>43332</v>
      </c>
      <c r="L1439" s="256"/>
      <c r="M1439" s="264" t="s">
        <v>4563</v>
      </c>
      <c r="N1439" s="264" t="s">
        <v>4563</v>
      </c>
      <c r="O1439" s="308" t="s">
        <v>4720</v>
      </c>
      <c r="Q1439" s="591"/>
      <c r="R1439" s="1406"/>
      <c r="S1439" s="1406"/>
      <c r="U1439" s="328"/>
      <c r="V1439" s="308"/>
      <c r="W1439" s="328"/>
      <c r="X1439" s="745"/>
      <c r="Y1439" s="745"/>
      <c r="Z1439" s="745"/>
      <c r="AA1439" s="746"/>
      <c r="AB1439" s="250" t="s">
        <v>4565</v>
      </c>
      <c r="AC1439" s="744">
        <v>5012579751</v>
      </c>
      <c r="AD1439" s="744"/>
      <c r="AE1439" s="744"/>
      <c r="AF1439" s="744"/>
      <c r="AG1439" s="251" t="s">
        <v>4566</v>
      </c>
    </row>
    <row r="1440" spans="1:33" ht="15.75" customHeight="1">
      <c r="A1440" s="743">
        <v>43278</v>
      </c>
      <c r="B1440" s="144" t="s">
        <v>100</v>
      </c>
      <c r="C1440" s="744" t="s">
        <v>4717</v>
      </c>
      <c r="D1440" s="250" t="s">
        <v>4718</v>
      </c>
      <c r="E1440" s="595" t="s">
        <v>441</v>
      </c>
      <c r="F1440" s="251">
        <v>5</v>
      </c>
      <c r="G1440" s="252">
        <v>38</v>
      </c>
      <c r="H1440" s="253">
        <f t="shared" si="133"/>
        <v>190</v>
      </c>
      <c r="I1440" s="254" t="s">
        <v>170</v>
      </c>
      <c r="J1440" s="401" t="s">
        <v>3578</v>
      </c>
      <c r="K1440" s="256">
        <v>43332</v>
      </c>
      <c r="L1440" s="256"/>
      <c r="M1440" s="264" t="s">
        <v>4563</v>
      </c>
      <c r="N1440" s="264" t="s">
        <v>4563</v>
      </c>
      <c r="O1440" s="308" t="s">
        <v>4720</v>
      </c>
      <c r="Q1440" s="591"/>
      <c r="R1440" s="1406"/>
      <c r="S1440" s="1406"/>
      <c r="U1440" s="328"/>
      <c r="V1440" s="308"/>
      <c r="W1440" s="328"/>
      <c r="X1440" s="745"/>
      <c r="Y1440" s="745"/>
      <c r="Z1440" s="745"/>
      <c r="AA1440" s="746"/>
      <c r="AB1440" s="250" t="s">
        <v>4565</v>
      </c>
      <c r="AC1440" s="744">
        <v>5012579751</v>
      </c>
      <c r="AD1440" s="744"/>
      <c r="AE1440" s="744"/>
      <c r="AF1440" s="744"/>
      <c r="AG1440" s="251" t="s">
        <v>4566</v>
      </c>
    </row>
    <row r="1441" spans="1:33" ht="15.75" customHeight="1">
      <c r="A1441" s="743">
        <v>43278</v>
      </c>
      <c r="B1441" s="144" t="s">
        <v>100</v>
      </c>
      <c r="C1441" s="744" t="s">
        <v>4717</v>
      </c>
      <c r="D1441" s="250" t="s">
        <v>4718</v>
      </c>
      <c r="E1441" s="595" t="s">
        <v>544</v>
      </c>
      <c r="F1441" s="251">
        <v>5</v>
      </c>
      <c r="G1441" s="252">
        <v>47</v>
      </c>
      <c r="H1441" s="253">
        <f t="shared" si="133"/>
        <v>235</v>
      </c>
      <c r="I1441" s="254" t="s">
        <v>170</v>
      </c>
      <c r="J1441" s="401" t="s">
        <v>3578</v>
      </c>
      <c r="K1441" s="256">
        <v>43332</v>
      </c>
      <c r="L1441" s="256"/>
      <c r="M1441" s="264" t="s">
        <v>4563</v>
      </c>
      <c r="N1441" s="264" t="s">
        <v>4563</v>
      </c>
      <c r="O1441" s="308" t="s">
        <v>4720</v>
      </c>
      <c r="Q1441" s="591"/>
      <c r="R1441" s="1406"/>
      <c r="S1441" s="1406"/>
      <c r="U1441" s="328"/>
      <c r="V1441" s="308"/>
      <c r="W1441" s="328"/>
      <c r="X1441" s="745"/>
      <c r="Y1441" s="745"/>
      <c r="Z1441" s="745"/>
      <c r="AA1441" s="746"/>
      <c r="AB1441" s="250" t="s">
        <v>4565</v>
      </c>
      <c r="AC1441" s="744">
        <v>5012579751</v>
      </c>
      <c r="AD1441" s="744"/>
      <c r="AE1441" s="744"/>
      <c r="AF1441" s="744"/>
      <c r="AG1441" s="251" t="s">
        <v>4566</v>
      </c>
    </row>
    <row r="1442" spans="1:33" ht="15.75" customHeight="1">
      <c r="A1442" s="743">
        <v>43280</v>
      </c>
      <c r="B1442" s="263" t="s">
        <v>129</v>
      </c>
      <c r="C1442" s="744" t="s">
        <v>4723</v>
      </c>
      <c r="D1442" s="250" t="s">
        <v>4724</v>
      </c>
      <c r="E1442" s="595" t="s">
        <v>3789</v>
      </c>
      <c r="F1442" s="251">
        <v>13</v>
      </c>
      <c r="G1442" s="252">
        <v>90</v>
      </c>
      <c r="H1442" s="253">
        <f t="shared" si="133"/>
        <v>1170</v>
      </c>
      <c r="I1442" s="254" t="s">
        <v>419</v>
      </c>
      <c r="J1442" s="828" t="s">
        <v>4725</v>
      </c>
      <c r="K1442" s="256">
        <v>43293</v>
      </c>
      <c r="L1442" s="256"/>
      <c r="M1442" s="256">
        <v>43290</v>
      </c>
      <c r="N1442" s="331" t="s">
        <v>89</v>
      </c>
      <c r="O1442" s="308" t="s">
        <v>4726</v>
      </c>
      <c r="Q1442" s="266">
        <v>1160.25</v>
      </c>
      <c r="R1442" s="1394"/>
      <c r="S1442" s="1394"/>
      <c r="U1442" s="328"/>
      <c r="V1442" s="338" t="s">
        <v>93</v>
      </c>
      <c r="W1442" s="747">
        <v>43343</v>
      </c>
      <c r="X1442" s="748">
        <v>43290</v>
      </c>
      <c r="Y1442" s="744" t="s">
        <v>4727</v>
      </c>
      <c r="Z1442" s="749">
        <v>35196</v>
      </c>
      <c r="AA1442" s="748">
        <v>43346</v>
      </c>
      <c r="AB1442" s="250" t="s">
        <v>4641</v>
      </c>
      <c r="AC1442" s="744">
        <v>2142854490</v>
      </c>
      <c r="AD1442" s="744"/>
      <c r="AE1442" s="744"/>
      <c r="AF1442" s="744"/>
      <c r="AG1442" s="251" t="s">
        <v>283</v>
      </c>
    </row>
    <row r="1443" spans="1:33" ht="15.75" customHeight="1">
      <c r="A1443" s="743">
        <v>43283</v>
      </c>
      <c r="B1443" s="263" t="s">
        <v>100</v>
      </c>
      <c r="C1443" s="744" t="s">
        <v>4728</v>
      </c>
      <c r="D1443" s="250" t="s">
        <v>4729</v>
      </c>
      <c r="E1443" s="643" t="s">
        <v>3407</v>
      </c>
      <c r="F1443" s="254">
        <v>10</v>
      </c>
      <c r="G1443" s="464">
        <v>93</v>
      </c>
      <c r="H1443" s="253">
        <f t="shared" si="133"/>
        <v>930</v>
      </c>
      <c r="I1443" s="254" t="s">
        <v>170</v>
      </c>
      <c r="J1443" s="367" t="s">
        <v>3408</v>
      </c>
      <c r="K1443" s="256">
        <v>43311</v>
      </c>
      <c r="L1443" s="256"/>
      <c r="M1443" s="256">
        <v>43307</v>
      </c>
      <c r="N1443" s="331" t="s">
        <v>2001</v>
      </c>
      <c r="O1443" s="250" t="s">
        <v>4730</v>
      </c>
      <c r="Q1443" s="266">
        <v>924</v>
      </c>
      <c r="R1443" s="1394"/>
      <c r="S1443" s="1394"/>
      <c r="U1443" s="328"/>
      <c r="V1443" s="318" t="s">
        <v>2003</v>
      </c>
      <c r="W1443" s="747">
        <v>43378</v>
      </c>
      <c r="X1443" s="748">
        <v>43306</v>
      </c>
      <c r="Y1443" s="744" t="s">
        <v>4731</v>
      </c>
      <c r="Z1443" s="749">
        <v>93833</v>
      </c>
      <c r="AA1443" s="748">
        <v>43378</v>
      </c>
      <c r="AB1443" s="744" t="s">
        <v>4732</v>
      </c>
      <c r="AC1443" s="744" t="s">
        <v>4733</v>
      </c>
      <c r="AD1443" s="744"/>
      <c r="AE1443" s="744"/>
      <c r="AF1443" s="744"/>
      <c r="AG1443" s="251" t="s">
        <v>283</v>
      </c>
    </row>
    <row r="1444" spans="1:33" ht="15.75" customHeight="1">
      <c r="A1444" s="743">
        <v>43283</v>
      </c>
      <c r="B1444" s="263" t="s">
        <v>100</v>
      </c>
      <c r="C1444" s="744" t="s">
        <v>4728</v>
      </c>
      <c r="D1444" s="250" t="s">
        <v>4729</v>
      </c>
      <c r="E1444" s="571" t="s">
        <v>4734</v>
      </c>
      <c r="F1444" s="254">
        <v>10</v>
      </c>
      <c r="G1444" s="265">
        <v>73</v>
      </c>
      <c r="H1444" s="253">
        <f t="shared" si="133"/>
        <v>730</v>
      </c>
      <c r="I1444" s="254" t="s">
        <v>170</v>
      </c>
      <c r="J1444" s="367" t="s">
        <v>3408</v>
      </c>
      <c r="K1444" s="256">
        <v>43311</v>
      </c>
      <c r="L1444" s="256"/>
      <c r="M1444" s="256">
        <v>43307</v>
      </c>
      <c r="N1444" s="331" t="s">
        <v>2001</v>
      </c>
      <c r="O1444" s="250" t="s">
        <v>4730</v>
      </c>
      <c r="Q1444" s="266">
        <v>724.5</v>
      </c>
      <c r="R1444" s="1394"/>
      <c r="S1444" s="1394"/>
      <c r="U1444" s="328"/>
      <c r="V1444" s="318" t="s">
        <v>2003</v>
      </c>
      <c r="W1444" s="747">
        <v>43378</v>
      </c>
      <c r="X1444" s="748">
        <v>43306</v>
      </c>
      <c r="Y1444" s="744" t="s">
        <v>4731</v>
      </c>
      <c r="Z1444" s="744" t="s">
        <v>4735</v>
      </c>
      <c r="AA1444" s="748">
        <v>43378</v>
      </c>
      <c r="AB1444" s="744" t="s">
        <v>4732</v>
      </c>
      <c r="AC1444" s="744" t="s">
        <v>4733</v>
      </c>
      <c r="AD1444" s="744"/>
      <c r="AE1444" s="744"/>
      <c r="AF1444" s="744"/>
      <c r="AG1444" s="251" t="s">
        <v>283</v>
      </c>
    </row>
    <row r="1445" spans="1:33" ht="15.75" customHeight="1">
      <c r="A1445" s="743">
        <v>43283</v>
      </c>
      <c r="B1445" s="263" t="s">
        <v>100</v>
      </c>
      <c r="C1445" s="744" t="s">
        <v>4728</v>
      </c>
      <c r="D1445" s="250" t="s">
        <v>4729</v>
      </c>
      <c r="E1445" s="571" t="s">
        <v>3415</v>
      </c>
      <c r="F1445" s="254">
        <v>10</v>
      </c>
      <c r="G1445" s="265">
        <v>140</v>
      </c>
      <c r="H1445" s="253">
        <f t="shared" si="133"/>
        <v>1400</v>
      </c>
      <c r="I1445" s="254" t="s">
        <v>170</v>
      </c>
      <c r="J1445" s="367" t="s">
        <v>3408</v>
      </c>
      <c r="K1445" s="256">
        <v>43311</v>
      </c>
      <c r="L1445" s="256"/>
      <c r="M1445" s="256">
        <v>43307</v>
      </c>
      <c r="N1445" s="331" t="s">
        <v>2001</v>
      </c>
      <c r="O1445" s="250" t="s">
        <v>4730</v>
      </c>
      <c r="Q1445" s="266">
        <v>1396.5</v>
      </c>
      <c r="R1445" s="1394"/>
      <c r="S1445" s="1394"/>
      <c r="U1445" s="328"/>
      <c r="V1445" s="318" t="s">
        <v>2003</v>
      </c>
      <c r="W1445" s="747">
        <v>43378</v>
      </c>
      <c r="X1445" s="748">
        <v>43306</v>
      </c>
      <c r="Y1445" s="744" t="s">
        <v>4731</v>
      </c>
      <c r="Z1445" s="744" t="s">
        <v>4735</v>
      </c>
      <c r="AA1445" s="748">
        <v>43378</v>
      </c>
      <c r="AB1445" s="744" t="s">
        <v>4732</v>
      </c>
      <c r="AC1445" s="744" t="s">
        <v>4733</v>
      </c>
      <c r="AD1445" s="744"/>
      <c r="AE1445" s="744"/>
      <c r="AF1445" s="744"/>
      <c r="AG1445" s="251" t="s">
        <v>283</v>
      </c>
    </row>
    <row r="1446" spans="1:33" ht="15.75" customHeight="1">
      <c r="A1446" s="743">
        <v>43283</v>
      </c>
      <c r="B1446" s="263" t="s">
        <v>100</v>
      </c>
      <c r="C1446" s="744" t="s">
        <v>4728</v>
      </c>
      <c r="D1446" s="250" t="s">
        <v>4729</v>
      </c>
      <c r="E1446" s="571" t="s">
        <v>3416</v>
      </c>
      <c r="F1446" s="254">
        <v>10</v>
      </c>
      <c r="G1446" s="265">
        <v>2</v>
      </c>
      <c r="H1446" s="253">
        <f t="shared" si="133"/>
        <v>20</v>
      </c>
      <c r="I1446" s="254" t="s">
        <v>170</v>
      </c>
      <c r="J1446" s="367" t="s">
        <v>3408</v>
      </c>
      <c r="K1446" s="256">
        <v>43311</v>
      </c>
      <c r="L1446" s="256"/>
      <c r="M1446" s="256">
        <v>43285</v>
      </c>
      <c r="N1446" s="264" t="s">
        <v>178</v>
      </c>
      <c r="O1446" s="308" t="s">
        <v>3417</v>
      </c>
      <c r="Q1446" s="591"/>
      <c r="R1446" s="1406"/>
      <c r="S1446" s="1406"/>
      <c r="U1446" s="328"/>
      <c r="V1446" s="308"/>
      <c r="W1446" s="328"/>
      <c r="X1446" s="744"/>
      <c r="Y1446" s="744"/>
      <c r="Z1446" s="744"/>
      <c r="AA1446" s="746"/>
      <c r="AB1446" s="744" t="s">
        <v>4732</v>
      </c>
      <c r="AC1446" s="744" t="s">
        <v>4733</v>
      </c>
      <c r="AD1446" s="744"/>
      <c r="AE1446" s="744"/>
      <c r="AF1446" s="744"/>
      <c r="AG1446" s="251" t="s">
        <v>283</v>
      </c>
    </row>
    <row r="1447" spans="1:33" ht="15.75" customHeight="1">
      <c r="A1447" s="743">
        <v>43283</v>
      </c>
      <c r="B1447" s="263" t="s">
        <v>100</v>
      </c>
      <c r="C1447" s="744" t="s">
        <v>4728</v>
      </c>
      <c r="D1447" s="250" t="s">
        <v>4729</v>
      </c>
      <c r="E1447" s="571" t="s">
        <v>4736</v>
      </c>
      <c r="F1447" s="254">
        <v>10</v>
      </c>
      <c r="G1447" s="265">
        <v>2.5</v>
      </c>
      <c r="H1447" s="253">
        <f t="shared" si="133"/>
        <v>25</v>
      </c>
      <c r="I1447" s="254" t="s">
        <v>170</v>
      </c>
      <c r="J1447" s="367" t="s">
        <v>3408</v>
      </c>
      <c r="K1447" s="256">
        <v>43311</v>
      </c>
      <c r="L1447" s="256"/>
      <c r="M1447" s="256">
        <v>43285</v>
      </c>
      <c r="N1447" s="264" t="s">
        <v>178</v>
      </c>
      <c r="O1447" s="643" t="s">
        <v>3419</v>
      </c>
      <c r="Q1447" s="591"/>
      <c r="R1447" s="1406"/>
      <c r="S1447" s="1406"/>
      <c r="U1447" s="328"/>
      <c r="V1447" s="308"/>
      <c r="W1447" s="328"/>
      <c r="X1447" s="744"/>
      <c r="Y1447" s="744"/>
      <c r="Z1447" s="744"/>
      <c r="AA1447" s="746"/>
      <c r="AB1447" s="744" t="s">
        <v>4732</v>
      </c>
      <c r="AC1447" s="744" t="s">
        <v>4733</v>
      </c>
      <c r="AD1447" s="744"/>
      <c r="AE1447" s="744"/>
      <c r="AF1447" s="744"/>
      <c r="AG1447" s="251" t="s">
        <v>283</v>
      </c>
    </row>
    <row r="1448" spans="1:33" ht="15.75" customHeight="1">
      <c r="A1448" s="743">
        <v>43283</v>
      </c>
      <c r="B1448" s="263" t="s">
        <v>100</v>
      </c>
      <c r="C1448" s="744" t="s">
        <v>4728</v>
      </c>
      <c r="D1448" s="250" t="s">
        <v>4729</v>
      </c>
      <c r="E1448" s="571" t="s">
        <v>3420</v>
      </c>
      <c r="F1448" s="254">
        <v>10</v>
      </c>
      <c r="G1448" s="265">
        <v>4</v>
      </c>
      <c r="H1448" s="253">
        <f t="shared" si="133"/>
        <v>40</v>
      </c>
      <c r="I1448" s="254" t="s">
        <v>170</v>
      </c>
      <c r="J1448" s="367" t="s">
        <v>3408</v>
      </c>
      <c r="K1448" s="256">
        <v>43311</v>
      </c>
      <c r="L1448" s="256"/>
      <c r="M1448" s="256">
        <v>43307</v>
      </c>
      <c r="N1448" s="331" t="s">
        <v>2001</v>
      </c>
      <c r="O1448" s="250" t="s">
        <v>4730</v>
      </c>
      <c r="Q1448" s="266">
        <v>31.5</v>
      </c>
      <c r="R1448" s="1394"/>
      <c r="S1448" s="1394"/>
      <c r="U1448" s="328"/>
      <c r="V1448" s="318" t="s">
        <v>2003</v>
      </c>
      <c r="W1448" s="747">
        <v>43378</v>
      </c>
      <c r="X1448" s="748">
        <v>43306</v>
      </c>
      <c r="Y1448" s="744" t="s">
        <v>4731</v>
      </c>
      <c r="Z1448" s="744" t="s">
        <v>4735</v>
      </c>
      <c r="AA1448" s="748">
        <v>43378</v>
      </c>
      <c r="AB1448" s="744" t="s">
        <v>4732</v>
      </c>
      <c r="AC1448" s="744" t="s">
        <v>4733</v>
      </c>
      <c r="AD1448" s="744"/>
      <c r="AE1448" s="744"/>
      <c r="AF1448" s="744"/>
      <c r="AG1448" s="251" t="s">
        <v>283</v>
      </c>
    </row>
    <row r="1449" spans="1:33" ht="15.75" customHeight="1">
      <c r="A1449" s="743">
        <v>43283</v>
      </c>
      <c r="B1449" s="263" t="s">
        <v>100</v>
      </c>
      <c r="C1449" s="744" t="s">
        <v>4728</v>
      </c>
      <c r="D1449" s="250" t="s">
        <v>4729</v>
      </c>
      <c r="E1449" s="571" t="s">
        <v>3421</v>
      </c>
      <c r="F1449" s="254">
        <v>10</v>
      </c>
      <c r="G1449" s="265">
        <v>8</v>
      </c>
      <c r="H1449" s="253">
        <f t="shared" si="133"/>
        <v>80</v>
      </c>
      <c r="I1449" s="254" t="s">
        <v>170</v>
      </c>
      <c r="J1449" s="367" t="s">
        <v>3408</v>
      </c>
      <c r="K1449" s="256">
        <v>43311</v>
      </c>
      <c r="L1449" s="256"/>
      <c r="M1449" s="256">
        <v>43307</v>
      </c>
      <c r="N1449" s="331" t="s">
        <v>2005</v>
      </c>
      <c r="O1449" s="308"/>
      <c r="Q1449" s="591"/>
      <c r="R1449" s="1406"/>
      <c r="S1449" s="1406"/>
      <c r="U1449" s="831" t="s">
        <v>2005</v>
      </c>
      <c r="V1449" s="308"/>
      <c r="W1449" s="328"/>
      <c r="X1449" s="745"/>
      <c r="Y1449" s="745"/>
      <c r="Z1449" s="745"/>
      <c r="AA1449" s="746"/>
      <c r="AB1449" s="744" t="s">
        <v>4732</v>
      </c>
      <c r="AC1449" s="744" t="s">
        <v>4733</v>
      </c>
      <c r="AD1449" s="744"/>
      <c r="AE1449" s="744"/>
      <c r="AF1449" s="744"/>
      <c r="AG1449" s="251" t="s">
        <v>283</v>
      </c>
    </row>
    <row r="1450" spans="1:33" ht="15.75" customHeight="1">
      <c r="A1450" s="755">
        <v>43284</v>
      </c>
      <c r="B1450" s="318" t="s">
        <v>325</v>
      </c>
      <c r="C1450" s="250">
        <v>2023818</v>
      </c>
      <c r="D1450" s="308" t="s">
        <v>4737</v>
      </c>
      <c r="E1450" s="799" t="s">
        <v>3612</v>
      </c>
      <c r="F1450" s="251">
        <v>10</v>
      </c>
      <c r="G1450" s="323">
        <v>567</v>
      </c>
      <c r="H1450" s="253">
        <f t="shared" si="133"/>
        <v>5670</v>
      </c>
      <c r="I1450" s="254" t="s">
        <v>42</v>
      </c>
      <c r="J1450" s="267" t="s">
        <v>328</v>
      </c>
      <c r="K1450" s="256">
        <v>43318</v>
      </c>
      <c r="L1450" s="256"/>
      <c r="M1450" s="256">
        <v>43304</v>
      </c>
      <c r="N1450" s="331" t="s">
        <v>3614</v>
      </c>
      <c r="O1450" s="308" t="s">
        <v>4738</v>
      </c>
      <c r="Q1450" s="266">
        <v>5355</v>
      </c>
      <c r="R1450" s="1394"/>
      <c r="S1450" s="1394"/>
      <c r="U1450" s="328"/>
      <c r="V1450" s="420" t="s">
        <v>2159</v>
      </c>
      <c r="W1450" s="747">
        <v>43343</v>
      </c>
      <c r="X1450" s="748">
        <v>43305</v>
      </c>
      <c r="Y1450" s="744" t="s">
        <v>4739</v>
      </c>
      <c r="Z1450" s="749">
        <v>266577</v>
      </c>
      <c r="AA1450" s="748">
        <v>43356</v>
      </c>
      <c r="AB1450" s="744" t="s">
        <v>4740</v>
      </c>
      <c r="AC1450" s="744" t="s">
        <v>4741</v>
      </c>
      <c r="AD1450" s="744"/>
      <c r="AE1450" s="744"/>
      <c r="AF1450" s="744"/>
      <c r="AG1450" s="251" t="s">
        <v>283</v>
      </c>
    </row>
    <row r="1451" spans="1:33" ht="15.75" customHeight="1">
      <c r="A1451" s="755">
        <v>43284</v>
      </c>
      <c r="B1451" s="318" t="s">
        <v>325</v>
      </c>
      <c r="C1451" s="250">
        <v>2023818</v>
      </c>
      <c r="D1451" s="308" t="s">
        <v>4737</v>
      </c>
      <c r="E1451" s="799" t="s">
        <v>3620</v>
      </c>
      <c r="F1451" s="251">
        <v>10</v>
      </c>
      <c r="G1451" s="323">
        <v>273</v>
      </c>
      <c r="H1451" s="253">
        <f t="shared" si="133"/>
        <v>2730</v>
      </c>
      <c r="I1451" s="254" t="s">
        <v>42</v>
      </c>
      <c r="J1451" s="267" t="s">
        <v>328</v>
      </c>
      <c r="K1451" s="256">
        <v>43318</v>
      </c>
      <c r="L1451" s="256"/>
      <c r="M1451" s="256">
        <v>43298</v>
      </c>
      <c r="N1451" s="331" t="s">
        <v>44</v>
      </c>
      <c r="O1451" s="308" t="s">
        <v>4742</v>
      </c>
      <c r="Q1451" s="266">
        <v>2184</v>
      </c>
      <c r="R1451" s="1394"/>
      <c r="S1451" s="1394"/>
      <c r="U1451" s="328"/>
      <c r="V1451" s="338" t="s">
        <v>46</v>
      </c>
      <c r="W1451" s="747">
        <v>43331</v>
      </c>
      <c r="X1451" s="748">
        <v>43300</v>
      </c>
      <c r="Y1451" s="744" t="s">
        <v>4743</v>
      </c>
      <c r="Z1451" s="749">
        <v>66792</v>
      </c>
      <c r="AA1451" s="748">
        <v>43332</v>
      </c>
      <c r="AB1451" s="744" t="s">
        <v>4740</v>
      </c>
      <c r="AC1451" s="744" t="s">
        <v>4741</v>
      </c>
      <c r="AD1451" s="744"/>
      <c r="AE1451" s="744"/>
      <c r="AF1451" s="744"/>
      <c r="AG1451" s="251" t="s">
        <v>283</v>
      </c>
    </row>
    <row r="1452" spans="1:33" ht="15.75" customHeight="1">
      <c r="A1452" s="755">
        <v>43284</v>
      </c>
      <c r="B1452" s="318" t="s">
        <v>325</v>
      </c>
      <c r="C1452" s="250">
        <v>2023818</v>
      </c>
      <c r="D1452" s="308" t="s">
        <v>4737</v>
      </c>
      <c r="E1452" s="799" t="s">
        <v>52</v>
      </c>
      <c r="F1452" s="251">
        <v>10</v>
      </c>
      <c r="G1452" s="323">
        <v>31</v>
      </c>
      <c r="H1452" s="253">
        <f t="shared" si="133"/>
        <v>310</v>
      </c>
      <c r="I1452" s="254" t="s">
        <v>42</v>
      </c>
      <c r="J1452" s="267" t="s">
        <v>328</v>
      </c>
      <c r="K1452" s="256">
        <v>43318</v>
      </c>
      <c r="L1452" s="256"/>
      <c r="M1452" s="256">
        <v>43304</v>
      </c>
      <c r="N1452" s="331" t="s">
        <v>3614</v>
      </c>
      <c r="O1452" s="308" t="s">
        <v>4738</v>
      </c>
      <c r="Q1452" s="266">
        <v>226.8</v>
      </c>
      <c r="R1452" s="1394"/>
      <c r="S1452" s="1394"/>
      <c r="U1452" s="328"/>
      <c r="V1452" s="420" t="s">
        <v>2159</v>
      </c>
      <c r="W1452" s="747">
        <v>43343</v>
      </c>
      <c r="X1452" s="748">
        <v>43305</v>
      </c>
      <c r="Y1452" s="744" t="s">
        <v>4739</v>
      </c>
      <c r="Z1452" s="744" t="s">
        <v>4744</v>
      </c>
      <c r="AA1452" s="748">
        <v>43356</v>
      </c>
      <c r="AB1452" s="744" t="s">
        <v>4740</v>
      </c>
      <c r="AC1452" s="744" t="s">
        <v>4741</v>
      </c>
      <c r="AD1452" s="744"/>
      <c r="AE1452" s="744"/>
      <c r="AF1452" s="744"/>
      <c r="AG1452" s="251" t="s">
        <v>283</v>
      </c>
    </row>
    <row r="1453" spans="1:33" ht="15.75" customHeight="1">
      <c r="A1453" s="755">
        <v>43284</v>
      </c>
      <c r="B1453" s="318" t="s">
        <v>325</v>
      </c>
      <c r="C1453" s="250">
        <v>2023818</v>
      </c>
      <c r="D1453" s="308" t="s">
        <v>4737</v>
      </c>
      <c r="E1453" s="799" t="s">
        <v>58</v>
      </c>
      <c r="F1453" s="251">
        <v>10</v>
      </c>
      <c r="G1453" s="323">
        <v>4</v>
      </c>
      <c r="H1453" s="253">
        <f t="shared" si="133"/>
        <v>40</v>
      </c>
      <c r="I1453" s="254" t="s">
        <v>42</v>
      </c>
      <c r="J1453" s="267" t="s">
        <v>328</v>
      </c>
      <c r="K1453" s="256">
        <v>43318</v>
      </c>
      <c r="L1453" s="256"/>
      <c r="M1453" s="256">
        <v>43304</v>
      </c>
      <c r="N1453" s="331" t="s">
        <v>3614</v>
      </c>
      <c r="O1453" s="308" t="s">
        <v>4738</v>
      </c>
      <c r="Q1453" s="266">
        <v>21</v>
      </c>
      <c r="R1453" s="1394"/>
      <c r="S1453" s="1394"/>
      <c r="U1453" s="328"/>
      <c r="V1453" s="420" t="s">
        <v>2159</v>
      </c>
      <c r="W1453" s="747">
        <v>43343</v>
      </c>
      <c r="X1453" s="748">
        <v>43305</v>
      </c>
      <c r="Y1453" s="744" t="s">
        <v>4739</v>
      </c>
      <c r="Z1453" s="744" t="s">
        <v>4744</v>
      </c>
      <c r="AA1453" s="748">
        <v>43356</v>
      </c>
      <c r="AB1453" s="744" t="s">
        <v>4740</v>
      </c>
      <c r="AC1453" s="744" t="s">
        <v>4741</v>
      </c>
      <c r="AD1453" s="744"/>
      <c r="AE1453" s="744"/>
      <c r="AF1453" s="744"/>
      <c r="AG1453" s="251" t="s">
        <v>283</v>
      </c>
    </row>
    <row r="1454" spans="1:33" ht="15.75" customHeight="1">
      <c r="A1454" s="755">
        <v>43284</v>
      </c>
      <c r="B1454" s="318" t="s">
        <v>325</v>
      </c>
      <c r="C1454" s="250">
        <v>2023818</v>
      </c>
      <c r="D1454" s="308" t="s">
        <v>4737</v>
      </c>
      <c r="E1454" s="595" t="s">
        <v>4745</v>
      </c>
      <c r="F1454" s="251">
        <v>5</v>
      </c>
      <c r="G1454" s="252">
        <v>607</v>
      </c>
      <c r="H1454" s="253">
        <f t="shared" si="133"/>
        <v>3035</v>
      </c>
      <c r="I1454" s="254" t="s">
        <v>42</v>
      </c>
      <c r="J1454" s="267" t="s">
        <v>328</v>
      </c>
      <c r="K1454" s="256">
        <v>43318</v>
      </c>
      <c r="L1454" s="256"/>
      <c r="M1454" s="256">
        <v>43304</v>
      </c>
      <c r="N1454" s="331" t="s">
        <v>3614</v>
      </c>
      <c r="O1454" s="308" t="s">
        <v>4738</v>
      </c>
      <c r="Q1454" s="266">
        <v>2966.25</v>
      </c>
      <c r="R1454" s="1394"/>
      <c r="S1454" s="1394"/>
      <c r="U1454" s="328"/>
      <c r="V1454" s="420" t="s">
        <v>2159</v>
      </c>
      <c r="W1454" s="747">
        <v>43343</v>
      </c>
      <c r="X1454" s="748">
        <v>43305</v>
      </c>
      <c r="Y1454" s="744" t="s">
        <v>4739</v>
      </c>
      <c r="Z1454" s="744" t="s">
        <v>4744</v>
      </c>
      <c r="AA1454" s="748">
        <v>43356</v>
      </c>
      <c r="AB1454" s="744" t="s">
        <v>4740</v>
      </c>
      <c r="AC1454" s="744" t="s">
        <v>4741</v>
      </c>
      <c r="AD1454" s="744"/>
      <c r="AE1454" s="744"/>
      <c r="AF1454" s="744"/>
      <c r="AG1454" s="251" t="s">
        <v>283</v>
      </c>
    </row>
    <row r="1455" spans="1:33" ht="15.75" customHeight="1">
      <c r="A1455" s="755">
        <v>43284</v>
      </c>
      <c r="B1455" s="318" t="s">
        <v>325</v>
      </c>
      <c r="C1455" s="250">
        <v>2023818</v>
      </c>
      <c r="D1455" s="308" t="s">
        <v>4737</v>
      </c>
      <c r="E1455" s="595" t="s">
        <v>4256</v>
      </c>
      <c r="F1455" s="251">
        <v>5</v>
      </c>
      <c r="G1455" s="252">
        <v>27</v>
      </c>
      <c r="H1455" s="253">
        <f t="shared" si="133"/>
        <v>135</v>
      </c>
      <c r="I1455" s="254" t="s">
        <v>42</v>
      </c>
      <c r="J1455" s="267" t="s">
        <v>328</v>
      </c>
      <c r="K1455" s="256">
        <v>43318</v>
      </c>
      <c r="L1455" s="256"/>
      <c r="M1455" s="256">
        <v>43304</v>
      </c>
      <c r="N1455" s="331" t="s">
        <v>3614</v>
      </c>
      <c r="O1455" s="308" t="s">
        <v>4738</v>
      </c>
      <c r="Q1455" s="266">
        <v>131.25</v>
      </c>
      <c r="R1455" s="1394"/>
      <c r="S1455" s="1394"/>
      <c r="U1455" s="328"/>
      <c r="V1455" s="420" t="s">
        <v>2159</v>
      </c>
      <c r="W1455" s="747">
        <v>43343</v>
      </c>
      <c r="X1455" s="748">
        <v>43305</v>
      </c>
      <c r="Y1455" s="744" t="s">
        <v>4739</v>
      </c>
      <c r="Z1455" s="744" t="s">
        <v>4744</v>
      </c>
      <c r="AA1455" s="748">
        <v>43356</v>
      </c>
      <c r="AB1455" s="744" t="s">
        <v>4740</v>
      </c>
      <c r="AC1455" s="744" t="s">
        <v>4741</v>
      </c>
      <c r="AD1455" s="744"/>
      <c r="AE1455" s="744"/>
      <c r="AF1455" s="744"/>
      <c r="AG1455" s="251" t="s">
        <v>283</v>
      </c>
    </row>
    <row r="1456" spans="1:33" ht="15.75" customHeight="1">
      <c r="A1456" s="755">
        <v>43284</v>
      </c>
      <c r="B1456" s="144" t="s">
        <v>166</v>
      </c>
      <c r="C1456" s="744"/>
      <c r="D1456" s="308" t="s">
        <v>4746</v>
      </c>
      <c r="E1456" s="595" t="s">
        <v>4747</v>
      </c>
      <c r="F1456" s="251">
        <v>1</v>
      </c>
      <c r="G1456" s="252">
        <v>1155</v>
      </c>
      <c r="H1456" s="253">
        <f t="shared" si="133"/>
        <v>1155</v>
      </c>
      <c r="I1456" s="254" t="s">
        <v>170</v>
      </c>
      <c r="J1456" s="331" t="s">
        <v>171</v>
      </c>
      <c r="K1456" s="256">
        <v>43336</v>
      </c>
      <c r="L1456" s="256"/>
      <c r="M1456" s="401" t="s">
        <v>2074</v>
      </c>
      <c r="N1456" s="331" t="s">
        <v>4748</v>
      </c>
      <c r="O1456" s="308" t="s">
        <v>4749</v>
      </c>
      <c r="Q1456" s="591"/>
      <c r="R1456" s="1406"/>
      <c r="S1456" s="1406"/>
      <c r="U1456" s="328"/>
      <c r="V1456" s="308"/>
      <c r="W1456" s="328"/>
      <c r="X1456" s="745"/>
      <c r="Y1456" s="745"/>
      <c r="Z1456" s="745"/>
      <c r="AA1456" s="746"/>
      <c r="AB1456" s="744" t="s">
        <v>4750</v>
      </c>
      <c r="AC1456" s="744">
        <v>2592918392</v>
      </c>
      <c r="AD1456" s="744"/>
      <c r="AE1456" s="744"/>
      <c r="AF1456" s="744"/>
      <c r="AG1456" s="251" t="s">
        <v>283</v>
      </c>
    </row>
    <row r="1457" spans="1:33" ht="15.75" customHeight="1">
      <c r="A1457" s="755">
        <v>43284</v>
      </c>
      <c r="B1457" s="144" t="s">
        <v>166</v>
      </c>
      <c r="C1457" s="744"/>
      <c r="D1457" s="308" t="s">
        <v>4746</v>
      </c>
      <c r="E1457" s="595" t="s">
        <v>4751</v>
      </c>
      <c r="F1457" s="251">
        <v>1</v>
      </c>
      <c r="G1457" s="252">
        <v>132</v>
      </c>
      <c r="H1457" s="253">
        <f t="shared" si="133"/>
        <v>132</v>
      </c>
      <c r="I1457" s="254" t="s">
        <v>170</v>
      </c>
      <c r="J1457" s="331" t="s">
        <v>171</v>
      </c>
      <c r="K1457" s="256">
        <v>43336</v>
      </c>
      <c r="L1457" s="256"/>
      <c r="M1457" s="256">
        <v>43329</v>
      </c>
      <c r="N1457" s="251" t="s">
        <v>1952</v>
      </c>
      <c r="O1457" s="308" t="s">
        <v>4752</v>
      </c>
      <c r="Q1457" s="591"/>
      <c r="R1457" s="1406"/>
      <c r="S1457" s="1406"/>
      <c r="U1457" s="572">
        <v>3271</v>
      </c>
      <c r="V1457" s="597" t="s">
        <v>3744</v>
      </c>
      <c r="W1457" s="747">
        <v>43360</v>
      </c>
      <c r="X1457" s="748">
        <v>43329</v>
      </c>
      <c r="Y1457" s="744" t="s">
        <v>4753</v>
      </c>
      <c r="Z1457" s="749">
        <v>42226</v>
      </c>
      <c r="AA1457" s="748">
        <v>43378</v>
      </c>
      <c r="AB1457" s="744" t="s">
        <v>4750</v>
      </c>
      <c r="AC1457" s="744">
        <v>2592918392</v>
      </c>
      <c r="AD1457" s="744"/>
      <c r="AE1457" s="744"/>
      <c r="AF1457" s="744"/>
      <c r="AG1457" s="251" t="s">
        <v>283</v>
      </c>
    </row>
    <row r="1458" spans="1:33" ht="15.75" customHeight="1">
      <c r="A1458" s="743">
        <v>43285</v>
      </c>
      <c r="B1458" s="590" t="s">
        <v>405</v>
      </c>
      <c r="C1458" s="744">
        <v>7000139401</v>
      </c>
      <c r="D1458" s="250" t="s">
        <v>4754</v>
      </c>
      <c r="E1458" s="595" t="s">
        <v>3513</v>
      </c>
      <c r="F1458" s="251">
        <v>5</v>
      </c>
      <c r="G1458" s="252">
        <v>73</v>
      </c>
      <c r="H1458" s="253">
        <f t="shared" si="133"/>
        <v>365</v>
      </c>
      <c r="I1458" s="254" t="s">
        <v>42</v>
      </c>
      <c r="J1458" s="401" t="s">
        <v>519</v>
      </c>
      <c r="K1458" s="256">
        <v>43300</v>
      </c>
      <c r="L1458" s="256"/>
      <c r="M1458" s="256">
        <v>43291</v>
      </c>
      <c r="N1458" s="331" t="s">
        <v>3432</v>
      </c>
      <c r="O1458" s="250" t="s">
        <v>4755</v>
      </c>
      <c r="Q1458" s="591"/>
      <c r="R1458" s="1406"/>
      <c r="S1458" s="1406"/>
      <c r="U1458" s="572">
        <v>10395</v>
      </c>
      <c r="V1458" s="308" t="s">
        <v>2045</v>
      </c>
      <c r="W1458" s="747">
        <v>43373</v>
      </c>
      <c r="X1458" s="748">
        <v>43291</v>
      </c>
      <c r="Y1458" s="744" t="s">
        <v>4756</v>
      </c>
      <c r="Z1458" s="749">
        <v>53076</v>
      </c>
      <c r="AA1458" s="750">
        <v>43355</v>
      </c>
      <c r="AB1458" s="744" t="s">
        <v>4714</v>
      </c>
      <c r="AC1458" s="744" t="s">
        <v>4715</v>
      </c>
      <c r="AD1458" s="744"/>
      <c r="AE1458" s="744"/>
      <c r="AF1458" s="744"/>
      <c r="AG1458" s="251" t="s">
        <v>283</v>
      </c>
    </row>
    <row r="1459" spans="1:33" ht="15.75" customHeight="1">
      <c r="A1459" s="743">
        <v>43285</v>
      </c>
      <c r="B1459" s="590" t="s">
        <v>405</v>
      </c>
      <c r="C1459" s="744">
        <v>7000139401</v>
      </c>
      <c r="D1459" s="250" t="s">
        <v>4754</v>
      </c>
      <c r="E1459" s="595" t="s">
        <v>3515</v>
      </c>
      <c r="F1459" s="251">
        <v>2</v>
      </c>
      <c r="G1459" s="252">
        <v>48</v>
      </c>
      <c r="H1459" s="253">
        <f t="shared" si="133"/>
        <v>96</v>
      </c>
      <c r="I1459" s="254" t="s">
        <v>42</v>
      </c>
      <c r="J1459" s="401" t="s">
        <v>519</v>
      </c>
      <c r="K1459" s="256">
        <v>43300</v>
      </c>
      <c r="L1459" s="256"/>
      <c r="M1459" s="256">
        <v>43291</v>
      </c>
      <c r="N1459" s="331" t="s">
        <v>3432</v>
      </c>
      <c r="O1459" s="250" t="s">
        <v>4755</v>
      </c>
      <c r="Q1459" s="591"/>
      <c r="R1459" s="1406"/>
      <c r="S1459" s="1406"/>
      <c r="U1459" s="572">
        <v>2711</v>
      </c>
      <c r="V1459" s="308" t="s">
        <v>2045</v>
      </c>
      <c r="W1459" s="747">
        <v>43373</v>
      </c>
      <c r="X1459" s="748">
        <v>43291</v>
      </c>
      <c r="Y1459" s="744" t="s">
        <v>4756</v>
      </c>
      <c r="Z1459" s="744" t="s">
        <v>3016</v>
      </c>
      <c r="AA1459" s="750">
        <v>43355</v>
      </c>
      <c r="AB1459" s="744" t="s">
        <v>4714</v>
      </c>
      <c r="AC1459" s="744" t="s">
        <v>4715</v>
      </c>
      <c r="AD1459" s="744"/>
      <c r="AE1459" s="744"/>
      <c r="AF1459" s="744"/>
      <c r="AG1459" s="251" t="s">
        <v>283</v>
      </c>
    </row>
    <row r="1460" spans="1:33" ht="15.75" customHeight="1">
      <c r="A1460" s="743">
        <v>43285</v>
      </c>
      <c r="B1460" s="590" t="s">
        <v>405</v>
      </c>
      <c r="C1460" s="744">
        <v>7000139401</v>
      </c>
      <c r="D1460" s="250" t="s">
        <v>4754</v>
      </c>
      <c r="E1460" s="595" t="s">
        <v>4493</v>
      </c>
      <c r="F1460" s="251">
        <v>5</v>
      </c>
      <c r="G1460" s="252">
        <v>117</v>
      </c>
      <c r="H1460" s="253">
        <f t="shared" si="133"/>
        <v>585</v>
      </c>
      <c r="I1460" s="254" t="s">
        <v>42</v>
      </c>
      <c r="J1460" s="401" t="s">
        <v>519</v>
      </c>
      <c r="K1460" s="256">
        <v>43300</v>
      </c>
      <c r="L1460" s="256"/>
      <c r="M1460" s="256">
        <v>43291</v>
      </c>
      <c r="N1460" s="331" t="s">
        <v>3432</v>
      </c>
      <c r="O1460" s="250" t="s">
        <v>4755</v>
      </c>
      <c r="Q1460" s="591"/>
      <c r="R1460" s="1406"/>
      <c r="S1460" s="1406"/>
      <c r="U1460" s="572">
        <v>16238</v>
      </c>
      <c r="V1460" s="308" t="s">
        <v>2045</v>
      </c>
      <c r="W1460" s="747">
        <v>43373</v>
      </c>
      <c r="X1460" s="748">
        <v>43291</v>
      </c>
      <c r="Y1460" s="744" t="s">
        <v>4756</v>
      </c>
      <c r="Z1460" s="744" t="s">
        <v>3016</v>
      </c>
      <c r="AA1460" s="750">
        <v>43355</v>
      </c>
      <c r="AB1460" s="744" t="s">
        <v>4714</v>
      </c>
      <c r="AC1460" s="744" t="s">
        <v>4715</v>
      </c>
      <c r="AD1460" s="744"/>
      <c r="AE1460" s="744"/>
      <c r="AF1460" s="744"/>
      <c r="AG1460" s="251" t="s">
        <v>283</v>
      </c>
    </row>
    <row r="1461" spans="1:33" ht="15.75" customHeight="1">
      <c r="A1461" s="743">
        <v>43285</v>
      </c>
      <c r="B1461" s="590" t="s">
        <v>405</v>
      </c>
      <c r="C1461" s="744">
        <v>7000139401</v>
      </c>
      <c r="D1461" s="250" t="s">
        <v>4754</v>
      </c>
      <c r="E1461" s="250" t="s">
        <v>3933</v>
      </c>
      <c r="F1461" s="251">
        <v>1</v>
      </c>
      <c r="G1461" s="252">
        <v>514</v>
      </c>
      <c r="H1461" s="253">
        <f t="shared" si="133"/>
        <v>514</v>
      </c>
      <c r="I1461" s="254" t="s">
        <v>42</v>
      </c>
      <c r="J1461" s="401" t="s">
        <v>3840</v>
      </c>
      <c r="K1461" s="256">
        <v>43328</v>
      </c>
      <c r="L1461" s="256"/>
      <c r="M1461" s="256">
        <v>43327</v>
      </c>
      <c r="N1461" s="331" t="s">
        <v>3432</v>
      </c>
      <c r="O1461" s="250" t="s">
        <v>4755</v>
      </c>
      <c r="Q1461" s="591"/>
      <c r="R1461" s="1406"/>
      <c r="S1461" s="1406"/>
      <c r="U1461" s="572">
        <v>14648</v>
      </c>
      <c r="V1461" s="308" t="s">
        <v>2045</v>
      </c>
      <c r="W1461" s="747">
        <v>43404</v>
      </c>
      <c r="X1461" s="748">
        <v>43326</v>
      </c>
      <c r="Y1461" s="744" t="s">
        <v>4757</v>
      </c>
      <c r="Z1461" s="749">
        <v>14648</v>
      </c>
      <c r="AA1461" s="748">
        <v>43382</v>
      </c>
      <c r="AB1461" s="744" t="s">
        <v>4758</v>
      </c>
      <c r="AC1461" s="744">
        <v>2488726623</v>
      </c>
      <c r="AD1461" s="744"/>
      <c r="AE1461" s="744"/>
      <c r="AF1461" s="744"/>
      <c r="AG1461" s="251" t="s">
        <v>283</v>
      </c>
    </row>
    <row r="1462" spans="1:33" ht="15.75" customHeight="1">
      <c r="A1462" s="743">
        <v>43285</v>
      </c>
      <c r="B1462" s="590" t="s">
        <v>405</v>
      </c>
      <c r="C1462" s="744">
        <v>7000139401</v>
      </c>
      <c r="D1462" s="250" t="s">
        <v>4754</v>
      </c>
      <c r="E1462" s="595" t="s">
        <v>4318</v>
      </c>
      <c r="F1462" s="251">
        <v>2</v>
      </c>
      <c r="G1462" s="252">
        <v>225</v>
      </c>
      <c r="H1462" s="253">
        <f t="shared" si="133"/>
        <v>450</v>
      </c>
      <c r="I1462" s="254" t="s">
        <v>42</v>
      </c>
      <c r="J1462" s="401" t="s">
        <v>519</v>
      </c>
      <c r="K1462" s="256">
        <v>43300</v>
      </c>
      <c r="L1462" s="256"/>
      <c r="M1462" s="256">
        <v>43291</v>
      </c>
      <c r="N1462" s="331" t="s">
        <v>3432</v>
      </c>
      <c r="O1462" s="250" t="s">
        <v>4755</v>
      </c>
      <c r="Q1462" s="591"/>
      <c r="R1462" s="1406"/>
      <c r="S1462" s="1406"/>
      <c r="U1462" s="572">
        <v>12367</v>
      </c>
      <c r="V1462" s="308" t="s">
        <v>2045</v>
      </c>
      <c r="W1462" s="747">
        <v>43373</v>
      </c>
      <c r="X1462" s="748">
        <v>43291</v>
      </c>
      <c r="Y1462" s="744" t="s">
        <v>4756</v>
      </c>
      <c r="Z1462" s="744" t="s">
        <v>3016</v>
      </c>
      <c r="AA1462" s="750">
        <v>43355</v>
      </c>
      <c r="AB1462" s="744" t="s">
        <v>4714</v>
      </c>
      <c r="AC1462" s="744" t="s">
        <v>4715</v>
      </c>
      <c r="AD1462" s="744"/>
      <c r="AE1462" s="744"/>
      <c r="AF1462" s="744"/>
      <c r="AG1462" s="251" t="s">
        <v>283</v>
      </c>
    </row>
    <row r="1463" spans="1:33" ht="15.75" customHeight="1">
      <c r="A1463" s="743">
        <v>43285</v>
      </c>
      <c r="B1463" s="590" t="s">
        <v>405</v>
      </c>
      <c r="C1463" s="744">
        <v>7000139401</v>
      </c>
      <c r="D1463" s="250" t="s">
        <v>4754</v>
      </c>
      <c r="E1463" s="595" t="s">
        <v>4759</v>
      </c>
      <c r="F1463" s="251">
        <v>2</v>
      </c>
      <c r="G1463" s="252">
        <v>170</v>
      </c>
      <c r="H1463" s="253">
        <f t="shared" si="133"/>
        <v>340</v>
      </c>
      <c r="I1463" s="254" t="s">
        <v>42</v>
      </c>
      <c r="J1463" s="401" t="s">
        <v>519</v>
      </c>
      <c r="K1463" s="256">
        <v>43300</v>
      </c>
      <c r="L1463" s="256"/>
      <c r="M1463" s="256">
        <v>43291</v>
      </c>
      <c r="N1463" s="331" t="s">
        <v>3432</v>
      </c>
      <c r="O1463" s="250" t="s">
        <v>4755</v>
      </c>
      <c r="Q1463" s="591"/>
      <c r="R1463" s="1406"/>
      <c r="S1463" s="1406"/>
      <c r="U1463" s="572">
        <v>9679</v>
      </c>
      <c r="V1463" s="308" t="s">
        <v>2045</v>
      </c>
      <c r="W1463" s="747">
        <v>43373</v>
      </c>
      <c r="X1463" s="748">
        <v>43291</v>
      </c>
      <c r="Y1463" s="744" t="s">
        <v>4756</v>
      </c>
      <c r="Z1463" s="744" t="s">
        <v>3016</v>
      </c>
      <c r="AA1463" s="750">
        <v>43355</v>
      </c>
      <c r="AB1463" s="744" t="s">
        <v>4714</v>
      </c>
      <c r="AC1463" s="744" t="s">
        <v>4715</v>
      </c>
      <c r="AD1463" s="744"/>
      <c r="AE1463" s="744"/>
      <c r="AF1463" s="744"/>
      <c r="AG1463" s="251" t="s">
        <v>283</v>
      </c>
    </row>
    <row r="1464" spans="1:33" ht="15.75" customHeight="1">
      <c r="A1464" s="743">
        <v>43285</v>
      </c>
      <c r="B1464" s="590" t="s">
        <v>405</v>
      </c>
      <c r="C1464" s="744">
        <v>7000139401</v>
      </c>
      <c r="D1464" s="250" t="s">
        <v>4754</v>
      </c>
      <c r="E1464" s="595" t="s">
        <v>3566</v>
      </c>
      <c r="F1464" s="251">
        <v>1</v>
      </c>
      <c r="G1464" s="252">
        <v>60</v>
      </c>
      <c r="H1464" s="253">
        <f t="shared" si="133"/>
        <v>60</v>
      </c>
      <c r="I1464" s="254" t="s">
        <v>42</v>
      </c>
      <c r="J1464" s="401" t="s">
        <v>519</v>
      </c>
      <c r="K1464" s="256">
        <v>43300</v>
      </c>
      <c r="L1464" s="256"/>
      <c r="M1464" s="256">
        <v>43291</v>
      </c>
      <c r="N1464" s="331" t="s">
        <v>3432</v>
      </c>
      <c r="O1464" s="250" t="s">
        <v>4755</v>
      </c>
      <c r="Q1464" s="591"/>
      <c r="R1464" s="1406"/>
      <c r="S1464" s="1406"/>
      <c r="U1464" s="572">
        <v>1686</v>
      </c>
      <c r="V1464" s="308" t="s">
        <v>2045</v>
      </c>
      <c r="W1464" s="747">
        <v>43373</v>
      </c>
      <c r="X1464" s="748">
        <v>43291</v>
      </c>
      <c r="Y1464" s="744" t="s">
        <v>4756</v>
      </c>
      <c r="Z1464" s="744" t="s">
        <v>3016</v>
      </c>
      <c r="AA1464" s="750">
        <v>43355</v>
      </c>
      <c r="AB1464" s="744" t="s">
        <v>4714</v>
      </c>
      <c r="AC1464" s="744" t="s">
        <v>4715</v>
      </c>
      <c r="AD1464" s="744"/>
      <c r="AE1464" s="744"/>
      <c r="AF1464" s="744"/>
      <c r="AG1464" s="251" t="s">
        <v>283</v>
      </c>
    </row>
    <row r="1465" spans="1:33" ht="15.75" customHeight="1">
      <c r="A1465" s="743">
        <v>43286</v>
      </c>
      <c r="B1465" s="263" t="s">
        <v>4760</v>
      </c>
      <c r="C1465" s="744"/>
      <c r="D1465" s="250" t="s">
        <v>4761</v>
      </c>
      <c r="E1465" s="595" t="s">
        <v>4762</v>
      </c>
      <c r="F1465" s="251">
        <v>3</v>
      </c>
      <c r="G1465" s="252">
        <v>155.4</v>
      </c>
      <c r="H1465" s="253">
        <f t="shared" si="133"/>
        <v>466.20000000000005</v>
      </c>
      <c r="I1465" s="254" t="s">
        <v>170</v>
      </c>
      <c r="J1465" s="267" t="s">
        <v>626</v>
      </c>
      <c r="K1465" s="256">
        <v>43290</v>
      </c>
      <c r="L1465" s="256"/>
      <c r="M1465" s="256">
        <v>43290</v>
      </c>
      <c r="N1465" s="331" t="s">
        <v>178</v>
      </c>
      <c r="O1465" s="250" t="s">
        <v>4763</v>
      </c>
      <c r="Q1465" s="591"/>
      <c r="R1465" s="1406"/>
      <c r="S1465" s="1406"/>
      <c r="U1465" s="770">
        <v>12505.5</v>
      </c>
      <c r="V1465" s="308"/>
      <c r="W1465" s="328"/>
      <c r="X1465" s="250" t="s">
        <v>4763</v>
      </c>
      <c r="Y1465" s="250" t="s">
        <v>4763</v>
      </c>
      <c r="Z1465" s="250" t="s">
        <v>4763</v>
      </c>
      <c r="AA1465" s="746"/>
      <c r="AB1465" s="744" t="s">
        <v>4764</v>
      </c>
      <c r="AC1465" s="744">
        <v>15280068</v>
      </c>
      <c r="AD1465" s="744">
        <v>30</v>
      </c>
      <c r="AE1465" s="749">
        <v>13986</v>
      </c>
      <c r="AF1465" s="744" t="s">
        <v>4765</v>
      </c>
      <c r="AG1465" s="251" t="s">
        <v>376</v>
      </c>
    </row>
    <row r="1466" spans="1:33" ht="15.75" customHeight="1">
      <c r="A1466" s="743">
        <v>43291</v>
      </c>
      <c r="B1466" s="263" t="s">
        <v>76</v>
      </c>
      <c r="C1466" s="744">
        <v>516</v>
      </c>
      <c r="D1466" s="250" t="s">
        <v>4766</v>
      </c>
      <c r="E1466" s="250" t="s">
        <v>4767</v>
      </c>
      <c r="F1466" s="251">
        <v>30</v>
      </c>
      <c r="G1466" s="252">
        <v>255</v>
      </c>
      <c r="H1466" s="253">
        <f t="shared" si="133"/>
        <v>7650</v>
      </c>
      <c r="I1466" s="254" t="s">
        <v>42</v>
      </c>
      <c r="J1466" s="367" t="s">
        <v>315</v>
      </c>
      <c r="K1466" s="256">
        <v>43353</v>
      </c>
      <c r="L1466" s="256"/>
      <c r="M1466" s="256">
        <v>43347</v>
      </c>
      <c r="N1466" s="401" t="s">
        <v>1967</v>
      </c>
      <c r="O1466" s="308" t="s">
        <v>4768</v>
      </c>
      <c r="Q1466" s="266">
        <v>6930</v>
      </c>
      <c r="R1466" s="1394"/>
      <c r="S1466" s="1394"/>
      <c r="U1466" s="328"/>
      <c r="V1466" s="308" t="s">
        <v>1969</v>
      </c>
      <c r="W1466" s="747">
        <v>43409</v>
      </c>
      <c r="X1466" s="748">
        <v>43346</v>
      </c>
      <c r="Y1466" s="744" t="s">
        <v>4555</v>
      </c>
      <c r="Z1466" s="744" t="s">
        <v>4557</v>
      </c>
      <c r="AA1466" s="750">
        <v>43409</v>
      </c>
      <c r="AB1466" s="744" t="s">
        <v>4556</v>
      </c>
      <c r="AC1466" s="744">
        <v>629982102</v>
      </c>
      <c r="AD1466" s="744"/>
      <c r="AE1466" s="744"/>
      <c r="AF1466" s="744"/>
      <c r="AG1466" s="251" t="s">
        <v>283</v>
      </c>
    </row>
    <row r="1467" spans="1:33" ht="15.75" customHeight="1">
      <c r="A1467" s="755">
        <v>43291</v>
      </c>
      <c r="B1467" s="263" t="s">
        <v>619</v>
      </c>
      <c r="C1467" s="744"/>
      <c r="D1467" s="250" t="s">
        <v>4769</v>
      </c>
      <c r="E1467" s="595" t="s">
        <v>839</v>
      </c>
      <c r="F1467" s="251">
        <v>1</v>
      </c>
      <c r="G1467" s="252">
        <v>304.5</v>
      </c>
      <c r="H1467" s="253">
        <f t="shared" si="133"/>
        <v>304.5</v>
      </c>
      <c r="I1467" s="254" t="s">
        <v>42</v>
      </c>
      <c r="J1467" s="367" t="s">
        <v>89</v>
      </c>
      <c r="K1467" s="256">
        <v>43300</v>
      </c>
      <c r="L1467" s="256"/>
      <c r="M1467" s="256">
        <v>43300</v>
      </c>
      <c r="N1467" s="331" t="s">
        <v>89</v>
      </c>
      <c r="O1467" s="308" t="s">
        <v>4770</v>
      </c>
      <c r="Q1467" s="266">
        <v>279.3</v>
      </c>
      <c r="R1467" s="1394"/>
      <c r="S1467" s="1394"/>
      <c r="U1467" s="328"/>
      <c r="V1467" s="338" t="s">
        <v>93</v>
      </c>
      <c r="W1467" s="747">
        <v>43343</v>
      </c>
      <c r="X1467" s="748">
        <v>43300</v>
      </c>
      <c r="Y1467" s="744" t="s">
        <v>4771</v>
      </c>
      <c r="Z1467" s="749">
        <v>13501</v>
      </c>
      <c r="AA1467" s="748">
        <v>43346</v>
      </c>
      <c r="AB1467" s="744" t="s">
        <v>4772</v>
      </c>
      <c r="AC1467" s="744"/>
      <c r="AD1467" s="250" t="s">
        <v>4773</v>
      </c>
      <c r="AE1467" s="753">
        <v>14802</v>
      </c>
      <c r="AF1467" s="250" t="s">
        <v>4774</v>
      </c>
      <c r="AG1467" s="251"/>
    </row>
    <row r="1468" spans="1:33" ht="15.75" customHeight="1">
      <c r="A1468" s="755">
        <v>43291</v>
      </c>
      <c r="B1468" s="263" t="s">
        <v>619</v>
      </c>
      <c r="C1468" s="744"/>
      <c r="D1468" s="250" t="s">
        <v>4769</v>
      </c>
      <c r="E1468" s="595" t="s">
        <v>4775</v>
      </c>
      <c r="F1468" s="251">
        <v>3</v>
      </c>
      <c r="G1468" s="252">
        <v>59.85</v>
      </c>
      <c r="H1468" s="253">
        <f t="shared" si="133"/>
        <v>179.55</v>
      </c>
      <c r="I1468" s="254" t="s">
        <v>42</v>
      </c>
      <c r="J1468" s="367" t="s">
        <v>89</v>
      </c>
      <c r="K1468" s="256">
        <v>43300</v>
      </c>
      <c r="L1468" s="256"/>
      <c r="M1468" s="256">
        <v>43300</v>
      </c>
      <c r="N1468" s="331" t="s">
        <v>89</v>
      </c>
      <c r="O1468" s="308" t="s">
        <v>4770</v>
      </c>
      <c r="Q1468" s="266">
        <v>163.80000000000001</v>
      </c>
      <c r="R1468" s="1394"/>
      <c r="S1468" s="1394"/>
      <c r="U1468" s="328"/>
      <c r="V1468" s="338" t="s">
        <v>93</v>
      </c>
      <c r="W1468" s="747">
        <v>43343</v>
      </c>
      <c r="X1468" s="748">
        <v>43300</v>
      </c>
      <c r="Y1468" s="744" t="s">
        <v>4771</v>
      </c>
      <c r="Z1468" s="744" t="s">
        <v>4776</v>
      </c>
      <c r="AA1468" s="748">
        <v>43346</v>
      </c>
      <c r="AB1468" s="744" t="s">
        <v>4772</v>
      </c>
      <c r="AC1468" s="744"/>
      <c r="AD1468" s="250" t="s">
        <v>4773</v>
      </c>
      <c r="AE1468" s="250" t="s">
        <v>4777</v>
      </c>
      <c r="AF1468" s="250" t="s">
        <v>4774</v>
      </c>
      <c r="AG1468" s="251"/>
    </row>
    <row r="1469" spans="1:33" ht="15.75" customHeight="1">
      <c r="A1469" s="743">
        <v>43291</v>
      </c>
      <c r="B1469" s="263" t="s">
        <v>76</v>
      </c>
      <c r="C1469" s="744">
        <v>528</v>
      </c>
      <c r="D1469" s="250" t="s">
        <v>4778</v>
      </c>
      <c r="E1469" s="250" t="s">
        <v>4779</v>
      </c>
      <c r="F1469" s="251">
        <v>1</v>
      </c>
      <c r="G1469" s="252">
        <v>40</v>
      </c>
      <c r="H1469" s="253">
        <f t="shared" si="133"/>
        <v>40</v>
      </c>
      <c r="I1469" s="254" t="s">
        <v>42</v>
      </c>
      <c r="J1469" s="331" t="s">
        <v>4780</v>
      </c>
      <c r="K1469" s="256">
        <v>43307</v>
      </c>
      <c r="L1469" s="256"/>
      <c r="M1469" s="256">
        <v>43301</v>
      </c>
      <c r="N1469" s="401" t="s">
        <v>1967</v>
      </c>
      <c r="O1469" s="308"/>
      <c r="Q1469" s="591"/>
      <c r="R1469" s="1406"/>
      <c r="S1469" s="1406"/>
      <c r="U1469" s="572">
        <v>1281</v>
      </c>
      <c r="V1469" s="308" t="s">
        <v>1969</v>
      </c>
      <c r="W1469" s="747">
        <v>43348</v>
      </c>
      <c r="X1469" s="748">
        <v>43298</v>
      </c>
      <c r="Y1469" s="744" t="s">
        <v>4781</v>
      </c>
      <c r="Z1469" s="749">
        <v>1281</v>
      </c>
      <c r="AA1469" s="748">
        <v>43349</v>
      </c>
      <c r="AB1469" s="744" t="s">
        <v>4782</v>
      </c>
      <c r="AC1469" s="832" t="s">
        <v>4783</v>
      </c>
      <c r="AD1469" s="744"/>
      <c r="AE1469" s="744"/>
      <c r="AF1469" s="744"/>
      <c r="AG1469" s="251" t="s">
        <v>283</v>
      </c>
    </row>
    <row r="1470" spans="1:33" ht="23.25" customHeight="1">
      <c r="A1470" s="743">
        <v>43291</v>
      </c>
      <c r="B1470" s="263" t="s">
        <v>76</v>
      </c>
      <c r="C1470" s="744"/>
      <c r="D1470" s="250" t="s">
        <v>4778</v>
      </c>
      <c r="E1470" s="595" t="s">
        <v>4784</v>
      </c>
      <c r="F1470" s="251">
        <v>2</v>
      </c>
      <c r="G1470" s="252">
        <v>0</v>
      </c>
      <c r="H1470" s="253">
        <v>0</v>
      </c>
      <c r="I1470" s="254" t="s">
        <v>42</v>
      </c>
      <c r="J1470" s="331" t="s">
        <v>4780</v>
      </c>
      <c r="K1470" s="256">
        <v>43307</v>
      </c>
      <c r="L1470" s="256"/>
      <c r="M1470" s="623"/>
      <c r="N1470" s="401" t="s">
        <v>1967</v>
      </c>
      <c r="O1470" s="593"/>
      <c r="Q1470" s="591"/>
      <c r="R1470" s="1406"/>
      <c r="S1470" s="1406"/>
      <c r="U1470" s="329" t="s">
        <v>4785</v>
      </c>
      <c r="V1470" s="318"/>
      <c r="W1470" s="328"/>
      <c r="X1470" s="745"/>
      <c r="Y1470" s="745"/>
      <c r="Z1470" s="745"/>
      <c r="AA1470" s="746"/>
      <c r="AB1470" s="744" t="s">
        <v>4782</v>
      </c>
      <c r="AC1470" s="832" t="s">
        <v>4783</v>
      </c>
      <c r="AD1470" s="744"/>
      <c r="AE1470" s="744"/>
      <c r="AF1470" s="744"/>
      <c r="AG1470" s="251" t="s">
        <v>283</v>
      </c>
    </row>
    <row r="1471" spans="1:33" ht="15.75" customHeight="1">
      <c r="A1471" s="743">
        <v>43292</v>
      </c>
      <c r="B1471" s="263" t="s">
        <v>100</v>
      </c>
      <c r="C1471" s="744" t="s">
        <v>4786</v>
      </c>
      <c r="D1471" s="250" t="s">
        <v>4787</v>
      </c>
      <c r="E1471" s="595" t="s">
        <v>4788</v>
      </c>
      <c r="F1471" s="251">
        <v>2</v>
      </c>
      <c r="G1471" s="252">
        <v>847</v>
      </c>
      <c r="H1471" s="253">
        <f t="shared" ref="H1471:H1497" si="134">G1471*F1471</f>
        <v>1694</v>
      </c>
      <c r="I1471" s="254" t="s">
        <v>170</v>
      </c>
      <c r="J1471" s="367" t="s">
        <v>3408</v>
      </c>
      <c r="K1471" s="256">
        <v>43311</v>
      </c>
      <c r="L1471" s="256"/>
      <c r="M1471" s="256">
        <v>43311</v>
      </c>
      <c r="N1471" s="331" t="s">
        <v>1414</v>
      </c>
      <c r="O1471" s="308" t="s">
        <v>4789</v>
      </c>
      <c r="Q1471" s="266">
        <v>1722</v>
      </c>
      <c r="R1471" s="1394"/>
      <c r="S1471" s="1394"/>
      <c r="U1471" s="308"/>
      <c r="V1471" s="318" t="s">
        <v>1947</v>
      </c>
      <c r="W1471" s="747">
        <v>43373</v>
      </c>
      <c r="X1471" s="748">
        <v>43307</v>
      </c>
      <c r="Y1471" s="744" t="s">
        <v>4790</v>
      </c>
      <c r="Z1471" s="753">
        <v>55164</v>
      </c>
      <c r="AA1471" s="748">
        <v>43378</v>
      </c>
      <c r="AB1471" s="744" t="s">
        <v>4732</v>
      </c>
      <c r="AC1471" s="744" t="s">
        <v>4733</v>
      </c>
      <c r="AD1471" s="744"/>
      <c r="AE1471" s="744"/>
      <c r="AF1471" s="744"/>
      <c r="AG1471" s="251" t="s">
        <v>283</v>
      </c>
    </row>
    <row r="1472" spans="1:33" ht="15.75" customHeight="1">
      <c r="A1472" s="743">
        <v>43292</v>
      </c>
      <c r="B1472" s="263" t="s">
        <v>100</v>
      </c>
      <c r="C1472" s="744" t="s">
        <v>4786</v>
      </c>
      <c r="D1472" s="250" t="s">
        <v>4787</v>
      </c>
      <c r="E1472" s="595" t="s">
        <v>4791</v>
      </c>
      <c r="F1472" s="251">
        <v>2</v>
      </c>
      <c r="G1472" s="252">
        <v>41</v>
      </c>
      <c r="H1472" s="253">
        <f t="shared" si="134"/>
        <v>82</v>
      </c>
      <c r="I1472" s="254" t="s">
        <v>170</v>
      </c>
      <c r="J1472" s="367" t="s">
        <v>3408</v>
      </c>
      <c r="K1472" s="256">
        <v>43311</v>
      </c>
      <c r="L1472" s="256"/>
      <c r="M1472" s="256">
        <v>43311</v>
      </c>
      <c r="N1472" s="331" t="s">
        <v>1414</v>
      </c>
      <c r="O1472" s="308" t="s">
        <v>4789</v>
      </c>
      <c r="Q1472" s="266">
        <v>73.5</v>
      </c>
      <c r="R1472" s="1394"/>
      <c r="S1472" s="1394"/>
      <c r="U1472" s="308"/>
      <c r="V1472" s="318" t="s">
        <v>1947</v>
      </c>
      <c r="W1472" s="747">
        <v>43373</v>
      </c>
      <c r="X1472" s="748">
        <v>43307</v>
      </c>
      <c r="Y1472" s="744" t="s">
        <v>4790</v>
      </c>
      <c r="Z1472" s="744" t="s">
        <v>4792</v>
      </c>
      <c r="AA1472" s="748">
        <v>43378</v>
      </c>
      <c r="AB1472" s="744" t="s">
        <v>4732</v>
      </c>
      <c r="AC1472" s="744" t="s">
        <v>4733</v>
      </c>
      <c r="AD1472" s="744"/>
      <c r="AE1472" s="744"/>
      <c r="AF1472" s="744"/>
      <c r="AG1472" s="251" t="s">
        <v>283</v>
      </c>
    </row>
    <row r="1473" spans="1:33" ht="15.75" customHeight="1">
      <c r="A1473" s="743">
        <v>43292</v>
      </c>
      <c r="B1473" s="263" t="s">
        <v>100</v>
      </c>
      <c r="C1473" s="744" t="s">
        <v>4786</v>
      </c>
      <c r="D1473" s="250" t="s">
        <v>4787</v>
      </c>
      <c r="E1473" s="595" t="s">
        <v>4480</v>
      </c>
      <c r="F1473" s="251">
        <v>2</v>
      </c>
      <c r="G1473" s="252">
        <v>95</v>
      </c>
      <c r="H1473" s="253">
        <f t="shared" si="134"/>
        <v>190</v>
      </c>
      <c r="I1473" s="254" t="s">
        <v>170</v>
      </c>
      <c r="J1473" s="367" t="s">
        <v>3408</v>
      </c>
      <c r="K1473" s="256">
        <v>43311</v>
      </c>
      <c r="L1473" s="256"/>
      <c r="M1473" s="256">
        <v>43294</v>
      </c>
      <c r="N1473" s="331" t="s">
        <v>178</v>
      </c>
      <c r="O1473" s="308" t="s">
        <v>4793</v>
      </c>
      <c r="Q1473" s="591"/>
      <c r="R1473" s="1406"/>
      <c r="S1473" s="1406"/>
      <c r="U1473" s="328"/>
      <c r="V1473" s="308"/>
      <c r="W1473" s="328"/>
      <c r="X1473" s="745"/>
      <c r="Y1473" s="745"/>
      <c r="Z1473" s="745"/>
      <c r="AA1473" s="746"/>
      <c r="AB1473" s="744" t="s">
        <v>4732</v>
      </c>
      <c r="AC1473" s="744" t="s">
        <v>4733</v>
      </c>
      <c r="AD1473" s="744"/>
      <c r="AE1473" s="744"/>
      <c r="AF1473" s="744"/>
      <c r="AG1473" s="251" t="s">
        <v>283</v>
      </c>
    </row>
    <row r="1474" spans="1:33" ht="15.75" customHeight="1">
      <c r="A1474" s="743">
        <v>43292</v>
      </c>
      <c r="B1474" s="263" t="s">
        <v>100</v>
      </c>
      <c r="C1474" s="744" t="s">
        <v>4786</v>
      </c>
      <c r="D1474" s="250" t="s">
        <v>4787</v>
      </c>
      <c r="E1474" s="308" t="s">
        <v>291</v>
      </c>
      <c r="F1474" s="251">
        <v>2</v>
      </c>
      <c r="G1474" s="252">
        <v>2</v>
      </c>
      <c r="H1474" s="253">
        <f t="shared" si="134"/>
        <v>4</v>
      </c>
      <c r="I1474" s="254" t="s">
        <v>170</v>
      </c>
      <c r="J1474" s="367" t="s">
        <v>3408</v>
      </c>
      <c r="K1474" s="256">
        <v>43311</v>
      </c>
      <c r="L1474" s="256"/>
      <c r="M1474" s="256">
        <v>43311</v>
      </c>
      <c r="N1474" s="331" t="s">
        <v>1414</v>
      </c>
      <c r="O1474" s="308" t="s">
        <v>4789</v>
      </c>
      <c r="Q1474" s="266">
        <v>10.5</v>
      </c>
      <c r="R1474" s="1394"/>
      <c r="S1474" s="1394"/>
      <c r="U1474" s="572"/>
      <c r="V1474" s="318" t="s">
        <v>1947</v>
      </c>
      <c r="W1474" s="747">
        <v>43373</v>
      </c>
      <c r="X1474" s="748">
        <v>43307</v>
      </c>
      <c r="Y1474" s="744" t="s">
        <v>4790</v>
      </c>
      <c r="Z1474" s="744" t="s">
        <v>4792</v>
      </c>
      <c r="AA1474" s="748">
        <v>43378</v>
      </c>
      <c r="AB1474" s="744" t="s">
        <v>4732</v>
      </c>
      <c r="AC1474" s="744" t="s">
        <v>4733</v>
      </c>
      <c r="AD1474" s="744"/>
      <c r="AE1474" s="744"/>
      <c r="AF1474" s="744"/>
      <c r="AG1474" s="251" t="s">
        <v>283</v>
      </c>
    </row>
    <row r="1475" spans="1:33" ht="15.75" customHeight="1">
      <c r="A1475" s="743">
        <v>43292</v>
      </c>
      <c r="B1475" s="263" t="s">
        <v>100</v>
      </c>
      <c r="C1475" s="744" t="s">
        <v>4786</v>
      </c>
      <c r="D1475" s="250" t="s">
        <v>4787</v>
      </c>
      <c r="E1475" s="250" t="s">
        <v>292</v>
      </c>
      <c r="F1475" s="251">
        <v>2</v>
      </c>
      <c r="G1475" s="252">
        <v>84.7</v>
      </c>
      <c r="H1475" s="253">
        <f t="shared" si="134"/>
        <v>169.4</v>
      </c>
      <c r="I1475" s="254" t="s">
        <v>170</v>
      </c>
      <c r="J1475" s="367" t="s">
        <v>3408</v>
      </c>
      <c r="K1475" s="256">
        <v>43311</v>
      </c>
      <c r="L1475" s="256"/>
      <c r="M1475" s="256">
        <v>43311</v>
      </c>
      <c r="N1475" s="331" t="s">
        <v>1414</v>
      </c>
      <c r="O1475" s="308" t="s">
        <v>4789</v>
      </c>
      <c r="Q1475" s="265" t="s">
        <v>4794</v>
      </c>
      <c r="R1475" s="1411"/>
      <c r="S1475" s="1411"/>
      <c r="U1475" s="572"/>
      <c r="V1475" s="318" t="s">
        <v>1947</v>
      </c>
      <c r="W1475" s="747">
        <v>43373</v>
      </c>
      <c r="X1475" s="748">
        <v>43307</v>
      </c>
      <c r="Y1475" s="744" t="s">
        <v>4790</v>
      </c>
      <c r="Z1475" s="744" t="s">
        <v>4792</v>
      </c>
      <c r="AA1475" s="748">
        <v>43378</v>
      </c>
      <c r="AB1475" s="744" t="s">
        <v>4732</v>
      </c>
      <c r="AC1475" s="744" t="s">
        <v>4733</v>
      </c>
      <c r="AD1475" s="744"/>
      <c r="AE1475" s="744"/>
      <c r="AF1475" s="744"/>
      <c r="AG1475" s="251" t="s">
        <v>283</v>
      </c>
    </row>
    <row r="1476" spans="1:33" ht="15.75" customHeight="1">
      <c r="A1476" s="743">
        <v>43293</v>
      </c>
      <c r="B1476" s="590" t="s">
        <v>405</v>
      </c>
      <c r="C1476" s="744">
        <v>7000139655</v>
      </c>
      <c r="D1476" s="250" t="s">
        <v>4795</v>
      </c>
      <c r="E1476" s="595" t="s">
        <v>4796</v>
      </c>
      <c r="F1476" s="251">
        <v>3</v>
      </c>
      <c r="G1476" s="252">
        <v>548</v>
      </c>
      <c r="H1476" s="253">
        <f t="shared" si="134"/>
        <v>1644</v>
      </c>
      <c r="I1476" s="254" t="s">
        <v>42</v>
      </c>
      <c r="J1476" s="401" t="s">
        <v>519</v>
      </c>
      <c r="K1476" s="256">
        <v>43300</v>
      </c>
      <c r="L1476" s="256"/>
      <c r="M1476" s="256">
        <v>43299</v>
      </c>
      <c r="N1476" s="331" t="s">
        <v>3678</v>
      </c>
      <c r="O1476" s="250" t="s">
        <v>4797</v>
      </c>
      <c r="Q1476" s="591"/>
      <c r="R1476" s="1406"/>
      <c r="S1476" s="1406"/>
      <c r="U1476" s="572">
        <v>48825</v>
      </c>
      <c r="V1476" s="386" t="s">
        <v>3680</v>
      </c>
      <c r="W1476" s="747">
        <v>43343</v>
      </c>
      <c r="X1476" s="748">
        <v>43298</v>
      </c>
      <c r="Y1476" s="744" t="s">
        <v>4798</v>
      </c>
      <c r="Z1476" s="749">
        <v>52227</v>
      </c>
      <c r="AA1476" s="748">
        <v>43346</v>
      </c>
      <c r="AB1476" s="744" t="s">
        <v>4714</v>
      </c>
      <c r="AC1476" s="744" t="s">
        <v>4715</v>
      </c>
      <c r="AD1476" s="744"/>
      <c r="AE1476" s="744"/>
      <c r="AF1476" s="744"/>
      <c r="AG1476" s="251" t="s">
        <v>283</v>
      </c>
    </row>
    <row r="1477" spans="1:33" ht="15.75" customHeight="1">
      <c r="A1477" s="743">
        <v>43293</v>
      </c>
      <c r="B1477" s="590" t="s">
        <v>405</v>
      </c>
      <c r="C1477" s="744">
        <v>7000139655</v>
      </c>
      <c r="D1477" s="250" t="s">
        <v>4795</v>
      </c>
      <c r="E1477" s="595" t="s">
        <v>4799</v>
      </c>
      <c r="F1477" s="251">
        <v>3</v>
      </c>
      <c r="G1477" s="252">
        <v>40</v>
      </c>
      <c r="H1477" s="253">
        <f t="shared" si="134"/>
        <v>120</v>
      </c>
      <c r="I1477" s="254" t="s">
        <v>42</v>
      </c>
      <c r="J1477" s="401" t="s">
        <v>519</v>
      </c>
      <c r="K1477" s="256">
        <v>43300</v>
      </c>
      <c r="L1477" s="256"/>
      <c r="M1477" s="256">
        <v>43299</v>
      </c>
      <c r="N1477" s="331" t="s">
        <v>3678</v>
      </c>
      <c r="O1477" s="250" t="s">
        <v>4797</v>
      </c>
      <c r="Q1477" s="591"/>
      <c r="R1477" s="1406"/>
      <c r="S1477" s="1406"/>
      <c r="U1477" s="572">
        <v>3402</v>
      </c>
      <c r="V1477" s="386" t="s">
        <v>3680</v>
      </c>
      <c r="W1477" s="747">
        <v>43343</v>
      </c>
      <c r="X1477" s="748">
        <v>43298</v>
      </c>
      <c r="Y1477" s="744" t="s">
        <v>4798</v>
      </c>
      <c r="Z1477" s="744" t="s">
        <v>4800</v>
      </c>
      <c r="AA1477" s="748">
        <v>43346</v>
      </c>
      <c r="AB1477" s="744" t="s">
        <v>4714</v>
      </c>
      <c r="AC1477" s="744" t="s">
        <v>4715</v>
      </c>
      <c r="AD1477" s="744"/>
      <c r="AE1477" s="744"/>
      <c r="AF1477" s="744"/>
      <c r="AG1477" s="251" t="s">
        <v>283</v>
      </c>
    </row>
    <row r="1478" spans="1:33" ht="15.75" customHeight="1">
      <c r="A1478" s="743">
        <v>43295</v>
      </c>
      <c r="B1478" s="263" t="s">
        <v>629</v>
      </c>
      <c r="C1478" s="744" t="s">
        <v>4801</v>
      </c>
      <c r="D1478" s="250" t="s">
        <v>4802</v>
      </c>
      <c r="E1478" s="595" t="s">
        <v>632</v>
      </c>
      <c r="F1478" s="251">
        <v>40</v>
      </c>
      <c r="G1478" s="323">
        <v>173.25</v>
      </c>
      <c r="H1478" s="253">
        <f t="shared" si="134"/>
        <v>6930</v>
      </c>
      <c r="I1478" s="254" t="s">
        <v>170</v>
      </c>
      <c r="J1478" s="267" t="s">
        <v>626</v>
      </c>
      <c r="K1478" s="256">
        <v>43305</v>
      </c>
      <c r="L1478" s="256"/>
      <c r="M1478" s="256">
        <v>43298</v>
      </c>
      <c r="N1478" s="331" t="s">
        <v>2212</v>
      </c>
      <c r="O1478" s="308" t="s">
        <v>4803</v>
      </c>
      <c r="Q1478" s="591"/>
      <c r="R1478" s="1406"/>
      <c r="S1478" s="1406"/>
      <c r="U1478" s="770">
        <v>203700</v>
      </c>
      <c r="V1478" s="308" t="s">
        <v>2214</v>
      </c>
      <c r="W1478" s="574" t="s">
        <v>421</v>
      </c>
      <c r="X1478" s="748">
        <v>43297</v>
      </c>
      <c r="Y1478" s="744" t="s">
        <v>4804</v>
      </c>
      <c r="Z1478" s="749">
        <v>254625</v>
      </c>
      <c r="AA1478" s="748">
        <v>43335</v>
      </c>
      <c r="AB1478" s="744" t="s">
        <v>4805</v>
      </c>
      <c r="AC1478" s="744"/>
      <c r="AD1478" s="744" t="s">
        <v>4806</v>
      </c>
      <c r="AE1478" s="749">
        <v>212335</v>
      </c>
      <c r="AF1478" s="744" t="s">
        <v>4807</v>
      </c>
      <c r="AG1478" s="251" t="s">
        <v>376</v>
      </c>
    </row>
    <row r="1479" spans="1:33" ht="15.75" customHeight="1">
      <c r="A1479" s="743">
        <v>43295</v>
      </c>
      <c r="B1479" s="263" t="s">
        <v>629</v>
      </c>
      <c r="C1479" s="744" t="s">
        <v>4801</v>
      </c>
      <c r="D1479" s="250" t="s">
        <v>4808</v>
      </c>
      <c r="E1479" s="595" t="s">
        <v>632</v>
      </c>
      <c r="F1479" s="251">
        <v>69</v>
      </c>
      <c r="G1479" s="323">
        <v>173.25</v>
      </c>
      <c r="H1479" s="253">
        <f t="shared" si="134"/>
        <v>11954.25</v>
      </c>
      <c r="I1479" s="254" t="s">
        <v>170</v>
      </c>
      <c r="J1479" s="267" t="s">
        <v>626</v>
      </c>
      <c r="K1479" s="256">
        <v>43335</v>
      </c>
      <c r="L1479" s="256"/>
      <c r="M1479" s="256">
        <v>43333</v>
      </c>
      <c r="N1479" s="331" t="s">
        <v>2212</v>
      </c>
      <c r="O1479" s="308" t="s">
        <v>4803</v>
      </c>
      <c r="Q1479" s="591"/>
      <c r="R1479" s="1406"/>
      <c r="S1479" s="1406"/>
      <c r="U1479" s="770">
        <v>351383</v>
      </c>
      <c r="V1479" s="308" t="s">
        <v>2214</v>
      </c>
      <c r="W1479" s="574" t="s">
        <v>421</v>
      </c>
      <c r="X1479" s="748">
        <v>43333</v>
      </c>
      <c r="Y1479" s="744" t="s">
        <v>4809</v>
      </c>
      <c r="Z1479" s="749">
        <v>300458</v>
      </c>
      <c r="AA1479" s="748">
        <v>43335</v>
      </c>
      <c r="AB1479" s="744" t="s">
        <v>4810</v>
      </c>
      <c r="AC1479" s="744"/>
      <c r="AD1479" s="744" t="s">
        <v>4811</v>
      </c>
      <c r="AE1479" s="749">
        <v>367115</v>
      </c>
      <c r="AF1479" s="744" t="s">
        <v>4812</v>
      </c>
      <c r="AG1479" s="251" t="s">
        <v>376</v>
      </c>
    </row>
    <row r="1480" spans="1:33" ht="15.75" customHeight="1">
      <c r="A1480" s="743">
        <v>43295</v>
      </c>
      <c r="B1480" s="263" t="s">
        <v>629</v>
      </c>
      <c r="C1480" s="744" t="s">
        <v>4801</v>
      </c>
      <c r="D1480" s="250" t="s">
        <v>4813</v>
      </c>
      <c r="E1480" s="595" t="s">
        <v>632</v>
      </c>
      <c r="F1480" s="251">
        <v>11</v>
      </c>
      <c r="G1480" s="323">
        <v>173.25</v>
      </c>
      <c r="H1480" s="253">
        <f t="shared" si="134"/>
        <v>1905.75</v>
      </c>
      <c r="I1480" s="254" t="s">
        <v>170</v>
      </c>
      <c r="J1480" s="267" t="s">
        <v>626</v>
      </c>
      <c r="K1480" s="256">
        <v>43349</v>
      </c>
      <c r="L1480" s="256"/>
      <c r="M1480" s="256">
        <v>43348</v>
      </c>
      <c r="N1480" s="331" t="s">
        <v>2212</v>
      </c>
      <c r="O1480" s="308" t="s">
        <v>4803</v>
      </c>
      <c r="Q1480" s="591"/>
      <c r="R1480" s="1406"/>
      <c r="S1480" s="1406"/>
      <c r="U1480" s="572">
        <v>56018</v>
      </c>
      <c r="V1480" s="308" t="s">
        <v>2214</v>
      </c>
      <c r="W1480" s="789">
        <v>43378</v>
      </c>
      <c r="X1480" s="748">
        <v>43348</v>
      </c>
      <c r="Y1480" s="744" t="s">
        <v>4814</v>
      </c>
      <c r="Z1480" s="749">
        <v>56018</v>
      </c>
      <c r="AA1480" s="748">
        <v>43378</v>
      </c>
      <c r="AB1480" s="744" t="s">
        <v>4815</v>
      </c>
      <c r="AC1480" s="744"/>
      <c r="AD1480" s="744" t="s">
        <v>4816</v>
      </c>
      <c r="AE1480" s="749">
        <v>58688</v>
      </c>
      <c r="AF1480" s="744" t="s">
        <v>4817</v>
      </c>
      <c r="AG1480" s="796" t="s">
        <v>376</v>
      </c>
    </row>
    <row r="1481" spans="1:33" ht="15.75" customHeight="1">
      <c r="A1481" s="743">
        <v>43295</v>
      </c>
      <c r="B1481" s="263" t="s">
        <v>3347</v>
      </c>
      <c r="C1481" s="744"/>
      <c r="D1481" s="250" t="s">
        <v>4818</v>
      </c>
      <c r="E1481" s="595" t="s">
        <v>4819</v>
      </c>
      <c r="F1481" s="251">
        <v>200</v>
      </c>
      <c r="G1481" s="252">
        <v>166</v>
      </c>
      <c r="H1481" s="253">
        <f t="shared" si="134"/>
        <v>33200</v>
      </c>
      <c r="I1481" s="254" t="s">
        <v>170</v>
      </c>
      <c r="J1481" s="267" t="s">
        <v>626</v>
      </c>
      <c r="K1481" s="256">
        <v>43318</v>
      </c>
      <c r="L1481" s="256"/>
      <c r="M1481" s="256">
        <v>43315</v>
      </c>
      <c r="N1481" s="331" t="s">
        <v>3351</v>
      </c>
      <c r="O1481" s="308" t="s">
        <v>4820</v>
      </c>
      <c r="Q1481" s="266">
        <v>33180</v>
      </c>
      <c r="R1481" s="1394"/>
      <c r="S1481" s="1394"/>
      <c r="U1481" s="328"/>
      <c r="V1481" s="308" t="s">
        <v>3353</v>
      </c>
      <c r="W1481" s="328"/>
      <c r="X1481" s="750">
        <v>43320</v>
      </c>
      <c r="Y1481" s="250" t="s">
        <v>4821</v>
      </c>
      <c r="Z1481" s="753">
        <v>1049814</v>
      </c>
      <c r="AA1481" s="748">
        <v>43314</v>
      </c>
      <c r="AB1481" s="744" t="s">
        <v>4822</v>
      </c>
      <c r="AC1481" s="744" t="s">
        <v>4823</v>
      </c>
      <c r="AD1481" s="744"/>
      <c r="AE1481" s="744"/>
      <c r="AF1481" s="744"/>
      <c r="AG1481" s="251" t="s">
        <v>283</v>
      </c>
    </row>
    <row r="1482" spans="1:33" ht="15.75" customHeight="1">
      <c r="A1482" s="743">
        <v>43300</v>
      </c>
      <c r="B1482" s="263" t="s">
        <v>3347</v>
      </c>
      <c r="C1482" s="744"/>
      <c r="D1482" s="250" t="s">
        <v>4818</v>
      </c>
      <c r="E1482" s="595" t="s">
        <v>3366</v>
      </c>
      <c r="F1482" s="251">
        <v>7</v>
      </c>
      <c r="G1482" s="252">
        <v>166</v>
      </c>
      <c r="H1482" s="253">
        <f t="shared" si="134"/>
        <v>1162</v>
      </c>
      <c r="I1482" s="254" t="s">
        <v>170</v>
      </c>
      <c r="J1482" s="267" t="s">
        <v>626</v>
      </c>
      <c r="K1482" s="256">
        <v>43318</v>
      </c>
      <c r="L1482" s="256"/>
      <c r="M1482" s="256">
        <v>43315</v>
      </c>
      <c r="N1482" s="331" t="s">
        <v>3351</v>
      </c>
      <c r="O1482" s="308" t="s">
        <v>4824</v>
      </c>
      <c r="Q1482" s="266">
        <v>1161.3</v>
      </c>
      <c r="R1482" s="1394"/>
      <c r="S1482" s="1394"/>
      <c r="U1482" s="328"/>
      <c r="V1482" s="308" t="s">
        <v>3353</v>
      </c>
      <c r="W1482" s="328"/>
      <c r="X1482" s="750">
        <v>43320</v>
      </c>
      <c r="Y1482" s="250" t="s">
        <v>4821</v>
      </c>
      <c r="Z1482" s="250" t="s">
        <v>4825</v>
      </c>
      <c r="AA1482" s="748">
        <v>43314</v>
      </c>
      <c r="AB1482" s="744" t="s">
        <v>4822</v>
      </c>
      <c r="AC1482" s="744" t="s">
        <v>4823</v>
      </c>
      <c r="AD1482" s="744"/>
      <c r="AE1482" s="744"/>
      <c r="AF1482" s="744"/>
      <c r="AG1482" s="251" t="s">
        <v>283</v>
      </c>
    </row>
    <row r="1483" spans="1:33" ht="15.75" customHeight="1">
      <c r="A1483" s="743">
        <v>43295</v>
      </c>
      <c r="B1483" s="263" t="s">
        <v>118</v>
      </c>
      <c r="C1483" s="744" t="s">
        <v>4826</v>
      </c>
      <c r="D1483" s="250" t="s">
        <v>4827</v>
      </c>
      <c r="E1483" s="794" t="s">
        <v>157</v>
      </c>
      <c r="F1483" s="251">
        <v>5</v>
      </c>
      <c r="G1483" s="265">
        <v>979</v>
      </c>
      <c r="H1483" s="253">
        <f t="shared" si="134"/>
        <v>4895</v>
      </c>
      <c r="I1483" s="254" t="s">
        <v>170</v>
      </c>
      <c r="J1483" s="426" t="s">
        <v>3906</v>
      </c>
      <c r="K1483" s="256">
        <v>43349</v>
      </c>
      <c r="L1483" s="256"/>
      <c r="M1483" s="256">
        <v>43347</v>
      </c>
      <c r="N1483" s="331" t="s">
        <v>89</v>
      </c>
      <c r="O1483" s="308" t="s">
        <v>4828</v>
      </c>
      <c r="Q1483" s="266">
        <v>4179</v>
      </c>
      <c r="R1483" s="1394"/>
      <c r="S1483" s="1394"/>
      <c r="U1483" s="328"/>
      <c r="V1483" s="338" t="s">
        <v>93</v>
      </c>
      <c r="W1483" s="747">
        <v>43404</v>
      </c>
      <c r="X1483" s="748">
        <v>43346</v>
      </c>
      <c r="Y1483" s="744" t="s">
        <v>4829</v>
      </c>
      <c r="Z1483" s="749">
        <v>848471</v>
      </c>
      <c r="AA1483" s="748">
        <v>43405</v>
      </c>
      <c r="AB1483" s="744" t="s">
        <v>4830</v>
      </c>
      <c r="AC1483" s="744" t="s">
        <v>4831</v>
      </c>
      <c r="AD1483" s="744"/>
      <c r="AE1483" s="744"/>
      <c r="AF1483" s="744"/>
      <c r="AG1483" s="251" t="s">
        <v>283</v>
      </c>
    </row>
    <row r="1484" spans="1:33" ht="15.75" customHeight="1">
      <c r="A1484" s="743">
        <v>43295</v>
      </c>
      <c r="B1484" s="263" t="s">
        <v>118</v>
      </c>
      <c r="C1484" s="744" t="s">
        <v>4826</v>
      </c>
      <c r="D1484" s="250" t="s">
        <v>4827</v>
      </c>
      <c r="E1484" s="595" t="s">
        <v>120</v>
      </c>
      <c r="F1484" s="251">
        <v>40</v>
      </c>
      <c r="G1484" s="265">
        <v>359</v>
      </c>
      <c r="H1484" s="253">
        <f t="shared" si="134"/>
        <v>14360</v>
      </c>
      <c r="I1484" s="254" t="s">
        <v>170</v>
      </c>
      <c r="J1484" s="426" t="s">
        <v>3906</v>
      </c>
      <c r="K1484" s="256">
        <v>43349</v>
      </c>
      <c r="L1484" s="256"/>
      <c r="M1484" s="256">
        <v>43347</v>
      </c>
      <c r="N1484" s="331" t="s">
        <v>89</v>
      </c>
      <c r="O1484" s="308" t="s">
        <v>4828</v>
      </c>
      <c r="Q1484" s="266">
        <v>13944</v>
      </c>
      <c r="R1484" s="1394"/>
      <c r="S1484" s="1394"/>
      <c r="U1484" s="328"/>
      <c r="V1484" s="338" t="s">
        <v>93</v>
      </c>
      <c r="W1484" s="747">
        <v>43404</v>
      </c>
      <c r="X1484" s="748">
        <v>43346</v>
      </c>
      <c r="Y1484" s="744" t="s">
        <v>4829</v>
      </c>
      <c r="Z1484" s="744" t="s">
        <v>4832</v>
      </c>
      <c r="AA1484" s="748">
        <v>43405</v>
      </c>
      <c r="AB1484" s="744" t="s">
        <v>4830</v>
      </c>
      <c r="AC1484" s="744" t="s">
        <v>4831</v>
      </c>
      <c r="AD1484" s="744"/>
      <c r="AE1484" s="744"/>
      <c r="AF1484" s="744"/>
      <c r="AG1484" s="251" t="s">
        <v>283</v>
      </c>
    </row>
    <row r="1485" spans="1:33" ht="15.75" customHeight="1">
      <c r="A1485" s="743">
        <v>43295</v>
      </c>
      <c r="B1485" s="263" t="s">
        <v>118</v>
      </c>
      <c r="C1485" s="744" t="s">
        <v>4826</v>
      </c>
      <c r="D1485" s="250" t="s">
        <v>4827</v>
      </c>
      <c r="E1485" s="794" t="s">
        <v>160</v>
      </c>
      <c r="F1485" s="251">
        <v>7</v>
      </c>
      <c r="G1485" s="265">
        <v>485</v>
      </c>
      <c r="H1485" s="253">
        <f t="shared" si="134"/>
        <v>3395</v>
      </c>
      <c r="I1485" s="254" t="s">
        <v>170</v>
      </c>
      <c r="J1485" s="426" t="s">
        <v>3906</v>
      </c>
      <c r="K1485" s="256">
        <v>43349</v>
      </c>
      <c r="L1485" s="256"/>
      <c r="M1485" s="256">
        <v>43347</v>
      </c>
      <c r="N1485" s="331" t="s">
        <v>89</v>
      </c>
      <c r="O1485" s="308" t="s">
        <v>4828</v>
      </c>
      <c r="Q1485" s="266">
        <v>2940</v>
      </c>
      <c r="R1485" s="1394"/>
      <c r="S1485" s="1394"/>
      <c r="U1485" s="328"/>
      <c r="V1485" s="338" t="s">
        <v>93</v>
      </c>
      <c r="W1485" s="747">
        <v>43404</v>
      </c>
      <c r="X1485" s="748">
        <v>43346</v>
      </c>
      <c r="Y1485" s="744" t="s">
        <v>4829</v>
      </c>
      <c r="Z1485" s="744" t="s">
        <v>4832</v>
      </c>
      <c r="AA1485" s="748">
        <v>43405</v>
      </c>
      <c r="AB1485" s="744" t="s">
        <v>4830</v>
      </c>
      <c r="AC1485" s="744" t="s">
        <v>4831</v>
      </c>
      <c r="AD1485" s="744"/>
      <c r="AE1485" s="744"/>
      <c r="AF1485" s="744"/>
      <c r="AG1485" s="251" t="s">
        <v>283</v>
      </c>
    </row>
    <row r="1486" spans="1:33" ht="15.75" customHeight="1">
      <c r="A1486" s="743">
        <v>43295</v>
      </c>
      <c r="B1486" s="263" t="s">
        <v>118</v>
      </c>
      <c r="C1486" s="744" t="s">
        <v>4826</v>
      </c>
      <c r="D1486" s="250" t="s">
        <v>4827</v>
      </c>
      <c r="E1486" s="595" t="s">
        <v>536</v>
      </c>
      <c r="F1486" s="251">
        <v>2</v>
      </c>
      <c r="G1486" s="265">
        <v>44</v>
      </c>
      <c r="H1486" s="253">
        <f t="shared" si="134"/>
        <v>88</v>
      </c>
      <c r="I1486" s="254" t="s">
        <v>170</v>
      </c>
      <c r="J1486" s="426" t="s">
        <v>3906</v>
      </c>
      <c r="K1486" s="256">
        <v>43349</v>
      </c>
      <c r="L1486" s="256"/>
      <c r="M1486" s="256">
        <v>43347</v>
      </c>
      <c r="N1486" s="331" t="s">
        <v>89</v>
      </c>
      <c r="O1486" s="308" t="s">
        <v>4828</v>
      </c>
      <c r="Q1486" s="266">
        <v>75.599999999999994</v>
      </c>
      <c r="R1486" s="1394"/>
      <c r="S1486" s="1394"/>
      <c r="U1486" s="328"/>
      <c r="V1486" s="338" t="s">
        <v>93</v>
      </c>
      <c r="W1486" s="747">
        <v>43404</v>
      </c>
      <c r="X1486" s="748">
        <v>43346</v>
      </c>
      <c r="Y1486" s="744" t="s">
        <v>4829</v>
      </c>
      <c r="Z1486" s="744" t="s">
        <v>4832</v>
      </c>
      <c r="AA1486" s="748">
        <v>43405</v>
      </c>
      <c r="AB1486" s="744" t="s">
        <v>4830</v>
      </c>
      <c r="AC1486" s="744" t="s">
        <v>4831</v>
      </c>
      <c r="AD1486" s="744"/>
      <c r="AE1486" s="744"/>
      <c r="AF1486" s="744"/>
      <c r="AG1486" s="251" t="s">
        <v>283</v>
      </c>
    </row>
    <row r="1487" spans="1:33" ht="15.75" customHeight="1">
      <c r="A1487" s="743">
        <v>43295</v>
      </c>
      <c r="B1487" s="263" t="s">
        <v>118</v>
      </c>
      <c r="C1487" s="744" t="s">
        <v>4826</v>
      </c>
      <c r="D1487" s="250" t="s">
        <v>4827</v>
      </c>
      <c r="E1487" s="595" t="s">
        <v>4833</v>
      </c>
      <c r="F1487" s="251">
        <v>3</v>
      </c>
      <c r="G1487" s="265">
        <v>173</v>
      </c>
      <c r="H1487" s="253">
        <f t="shared" si="134"/>
        <v>519</v>
      </c>
      <c r="I1487" s="254" t="s">
        <v>170</v>
      </c>
      <c r="J1487" s="426" t="s">
        <v>3906</v>
      </c>
      <c r="K1487" s="256">
        <v>43349</v>
      </c>
      <c r="L1487" s="256"/>
      <c r="M1487" s="256">
        <v>43347</v>
      </c>
      <c r="N1487" s="331" t="s">
        <v>89</v>
      </c>
      <c r="O1487" s="308" t="s">
        <v>4828</v>
      </c>
      <c r="Q1487" s="266">
        <v>466.2</v>
      </c>
      <c r="R1487" s="1394"/>
      <c r="S1487" s="1394"/>
      <c r="U1487" s="328"/>
      <c r="V1487" s="338" t="s">
        <v>93</v>
      </c>
      <c r="W1487" s="747">
        <v>43404</v>
      </c>
      <c r="X1487" s="748">
        <v>43346</v>
      </c>
      <c r="Y1487" s="744" t="s">
        <v>4829</v>
      </c>
      <c r="Z1487" s="744" t="s">
        <v>4832</v>
      </c>
      <c r="AA1487" s="748">
        <v>43405</v>
      </c>
      <c r="AB1487" s="744" t="s">
        <v>4830</v>
      </c>
      <c r="AC1487" s="744" t="s">
        <v>4831</v>
      </c>
      <c r="AD1487" s="744"/>
      <c r="AE1487" s="744"/>
      <c r="AF1487" s="744"/>
      <c r="AG1487" s="251" t="s">
        <v>283</v>
      </c>
    </row>
    <row r="1488" spans="1:33" ht="15.75" customHeight="1">
      <c r="A1488" s="743">
        <v>43295</v>
      </c>
      <c r="B1488" s="263" t="s">
        <v>118</v>
      </c>
      <c r="C1488" s="744" t="s">
        <v>4826</v>
      </c>
      <c r="D1488" s="250" t="s">
        <v>4827</v>
      </c>
      <c r="E1488" s="328" t="s">
        <v>161</v>
      </c>
      <c r="F1488" s="251">
        <v>6</v>
      </c>
      <c r="G1488" s="265">
        <v>893</v>
      </c>
      <c r="H1488" s="253">
        <f t="shared" si="134"/>
        <v>5358</v>
      </c>
      <c r="I1488" s="254" t="s">
        <v>170</v>
      </c>
      <c r="J1488" s="426" t="s">
        <v>3906</v>
      </c>
      <c r="K1488" s="256">
        <v>43349</v>
      </c>
      <c r="L1488" s="256"/>
      <c r="M1488" s="256">
        <v>43347</v>
      </c>
      <c r="N1488" s="331" t="s">
        <v>89</v>
      </c>
      <c r="O1488" s="308" t="s">
        <v>4828</v>
      </c>
      <c r="Q1488" s="266">
        <v>4019.4</v>
      </c>
      <c r="R1488" s="1394"/>
      <c r="S1488" s="1394"/>
      <c r="U1488" s="328"/>
      <c r="V1488" s="338" t="s">
        <v>93</v>
      </c>
      <c r="W1488" s="747">
        <v>43404</v>
      </c>
      <c r="X1488" s="748">
        <v>43346</v>
      </c>
      <c r="Y1488" s="744" t="s">
        <v>4829</v>
      </c>
      <c r="Z1488" s="744" t="s">
        <v>4832</v>
      </c>
      <c r="AA1488" s="748">
        <v>43405</v>
      </c>
      <c r="AB1488" s="744" t="s">
        <v>4830</v>
      </c>
      <c r="AC1488" s="744" t="s">
        <v>4831</v>
      </c>
      <c r="AD1488" s="744"/>
      <c r="AE1488" s="744"/>
      <c r="AF1488" s="744"/>
      <c r="AG1488" s="251" t="s">
        <v>283</v>
      </c>
    </row>
    <row r="1489" spans="1:33" ht="15.75" customHeight="1">
      <c r="A1489" s="743">
        <v>43295</v>
      </c>
      <c r="B1489" s="263" t="s">
        <v>118</v>
      </c>
      <c r="C1489" s="744" t="s">
        <v>4826</v>
      </c>
      <c r="D1489" s="250" t="s">
        <v>4827</v>
      </c>
      <c r="E1489" s="328" t="s">
        <v>457</v>
      </c>
      <c r="F1489" s="251">
        <v>2</v>
      </c>
      <c r="G1489" s="265">
        <v>1209</v>
      </c>
      <c r="H1489" s="253">
        <f t="shared" si="134"/>
        <v>2418</v>
      </c>
      <c r="I1489" s="254" t="s">
        <v>170</v>
      </c>
      <c r="J1489" s="426" t="s">
        <v>3906</v>
      </c>
      <c r="K1489" s="256">
        <v>43349</v>
      </c>
      <c r="L1489" s="256"/>
      <c r="M1489" s="256">
        <v>43347</v>
      </c>
      <c r="N1489" s="331" t="s">
        <v>89</v>
      </c>
      <c r="O1489" s="308" t="s">
        <v>4828</v>
      </c>
      <c r="Q1489" s="266">
        <v>1990.8</v>
      </c>
      <c r="R1489" s="1394"/>
      <c r="S1489" s="1394"/>
      <c r="U1489" s="328"/>
      <c r="V1489" s="338" t="s">
        <v>93</v>
      </c>
      <c r="W1489" s="747">
        <v>43404</v>
      </c>
      <c r="X1489" s="748">
        <v>43346</v>
      </c>
      <c r="Y1489" s="744" t="s">
        <v>4829</v>
      </c>
      <c r="Z1489" s="744" t="s">
        <v>4832</v>
      </c>
      <c r="AA1489" s="748">
        <v>43405</v>
      </c>
      <c r="AB1489" s="744" t="s">
        <v>4830</v>
      </c>
      <c r="AC1489" s="744" t="s">
        <v>4831</v>
      </c>
      <c r="AD1489" s="744"/>
      <c r="AE1489" s="744"/>
      <c r="AF1489" s="744"/>
      <c r="AG1489" s="251" t="s">
        <v>283</v>
      </c>
    </row>
    <row r="1490" spans="1:33" ht="15.75" customHeight="1">
      <c r="A1490" s="743">
        <v>43295</v>
      </c>
      <c r="B1490" s="263" t="s">
        <v>100</v>
      </c>
      <c r="C1490" s="744" t="s">
        <v>4834</v>
      </c>
      <c r="D1490" s="250" t="s">
        <v>4835</v>
      </c>
      <c r="E1490" s="595" t="s">
        <v>4836</v>
      </c>
      <c r="F1490" s="251">
        <v>2</v>
      </c>
      <c r="G1490" s="252">
        <v>399</v>
      </c>
      <c r="H1490" s="253">
        <f t="shared" si="134"/>
        <v>798</v>
      </c>
      <c r="I1490" s="254" t="s">
        <v>170</v>
      </c>
      <c r="J1490" s="401" t="s">
        <v>3578</v>
      </c>
      <c r="K1490" s="256">
        <v>43314</v>
      </c>
      <c r="L1490" s="256"/>
      <c r="M1490" s="256">
        <v>43313</v>
      </c>
      <c r="N1490" s="331" t="s">
        <v>2266</v>
      </c>
      <c r="O1490" s="308" t="s">
        <v>4837</v>
      </c>
      <c r="Q1490" s="591"/>
      <c r="R1490" s="1406"/>
      <c r="S1490" s="1406"/>
      <c r="U1490" s="572">
        <v>22680</v>
      </c>
      <c r="V1490" s="318" t="s">
        <v>2268</v>
      </c>
      <c r="W1490" s="574" t="s">
        <v>421</v>
      </c>
      <c r="X1490" s="748">
        <v>43313</v>
      </c>
      <c r="Y1490" s="744" t="s">
        <v>4838</v>
      </c>
      <c r="Z1490" s="749">
        <v>22680</v>
      </c>
      <c r="AA1490" s="748">
        <v>43318</v>
      </c>
      <c r="AB1490" s="744" t="s">
        <v>4839</v>
      </c>
      <c r="AC1490" s="744">
        <v>4418382006</v>
      </c>
      <c r="AD1490" s="744"/>
      <c r="AE1490" s="744"/>
      <c r="AF1490" s="744"/>
      <c r="AG1490" s="251" t="s">
        <v>283</v>
      </c>
    </row>
    <row r="1491" spans="1:33" ht="15.75" customHeight="1">
      <c r="A1491" s="743">
        <v>43298</v>
      </c>
      <c r="B1491" s="590" t="s">
        <v>405</v>
      </c>
      <c r="C1491" s="744">
        <v>7000139687</v>
      </c>
      <c r="D1491" s="250" t="s">
        <v>4840</v>
      </c>
      <c r="E1491" s="595" t="s">
        <v>4841</v>
      </c>
      <c r="F1491" s="251">
        <v>3</v>
      </c>
      <c r="G1491" s="252">
        <v>55</v>
      </c>
      <c r="H1491" s="253">
        <f t="shared" si="134"/>
        <v>165</v>
      </c>
      <c r="I1491" s="254" t="s">
        <v>42</v>
      </c>
      <c r="J1491" s="401" t="s">
        <v>3840</v>
      </c>
      <c r="K1491" s="256">
        <v>43311</v>
      </c>
      <c r="L1491" s="256"/>
      <c r="M1491" s="256">
        <v>43307</v>
      </c>
      <c r="N1491" s="331" t="s">
        <v>3432</v>
      </c>
      <c r="O1491" s="308" t="s">
        <v>4842</v>
      </c>
      <c r="Q1491" s="591"/>
      <c r="R1491" s="1406"/>
      <c r="S1491" s="1406"/>
      <c r="U1491" s="572">
        <v>4586</v>
      </c>
      <c r="V1491" s="308" t="s">
        <v>2045</v>
      </c>
      <c r="W1491" s="747">
        <v>43404</v>
      </c>
      <c r="X1491" s="748">
        <v>43307</v>
      </c>
      <c r="Y1491" s="744" t="s">
        <v>4843</v>
      </c>
      <c r="Z1491" s="749">
        <v>66886</v>
      </c>
      <c r="AA1491" s="750">
        <v>43355</v>
      </c>
      <c r="AB1491" s="744" t="s">
        <v>4844</v>
      </c>
      <c r="AC1491" s="744">
        <v>3188184016</v>
      </c>
      <c r="AD1491" s="744"/>
      <c r="AE1491" s="744"/>
      <c r="AF1491" s="744"/>
      <c r="AG1491" s="251" t="s">
        <v>283</v>
      </c>
    </row>
    <row r="1492" spans="1:33" ht="15.75" customHeight="1">
      <c r="A1492" s="743">
        <v>43298</v>
      </c>
      <c r="B1492" s="590" t="s">
        <v>405</v>
      </c>
      <c r="C1492" s="744">
        <v>7000139687</v>
      </c>
      <c r="D1492" s="250" t="s">
        <v>4840</v>
      </c>
      <c r="E1492" s="595" t="s">
        <v>4845</v>
      </c>
      <c r="F1492" s="251">
        <v>3</v>
      </c>
      <c r="G1492" s="252">
        <v>225</v>
      </c>
      <c r="H1492" s="253">
        <f t="shared" si="134"/>
        <v>675</v>
      </c>
      <c r="I1492" s="254" t="s">
        <v>42</v>
      </c>
      <c r="J1492" s="401" t="s">
        <v>3840</v>
      </c>
      <c r="K1492" s="256">
        <v>43311</v>
      </c>
      <c r="L1492" s="256"/>
      <c r="M1492" s="256">
        <v>43307</v>
      </c>
      <c r="N1492" s="331" t="s">
        <v>3432</v>
      </c>
      <c r="O1492" s="308" t="s">
        <v>4842</v>
      </c>
      <c r="Q1492" s="591"/>
      <c r="R1492" s="1406"/>
      <c r="S1492" s="1406"/>
      <c r="U1492" s="572">
        <v>18550</v>
      </c>
      <c r="V1492" s="308" t="s">
        <v>2045</v>
      </c>
      <c r="W1492" s="747">
        <v>43404</v>
      </c>
      <c r="X1492" s="748">
        <v>43307</v>
      </c>
      <c r="Y1492" s="744" t="s">
        <v>4843</v>
      </c>
      <c r="Z1492" s="744" t="s">
        <v>4846</v>
      </c>
      <c r="AA1492" s="750">
        <v>43355</v>
      </c>
      <c r="AB1492" s="744" t="s">
        <v>4844</v>
      </c>
      <c r="AC1492" s="744">
        <v>3188184016</v>
      </c>
      <c r="AD1492" s="744"/>
      <c r="AE1492" s="744"/>
      <c r="AF1492" s="744"/>
      <c r="AG1492" s="251" t="s">
        <v>283</v>
      </c>
    </row>
    <row r="1493" spans="1:33" ht="15.75" customHeight="1">
      <c r="A1493" s="743">
        <v>43298</v>
      </c>
      <c r="B1493" s="590" t="s">
        <v>405</v>
      </c>
      <c r="C1493" s="744">
        <v>7000139687</v>
      </c>
      <c r="D1493" s="250" t="s">
        <v>4840</v>
      </c>
      <c r="E1493" s="595" t="s">
        <v>4847</v>
      </c>
      <c r="F1493" s="251">
        <v>3</v>
      </c>
      <c r="G1493" s="252">
        <v>286</v>
      </c>
      <c r="H1493" s="253">
        <f t="shared" si="134"/>
        <v>858</v>
      </c>
      <c r="I1493" s="254" t="s">
        <v>42</v>
      </c>
      <c r="J1493" s="401" t="s">
        <v>3840</v>
      </c>
      <c r="K1493" s="256">
        <v>43311</v>
      </c>
      <c r="L1493" s="256"/>
      <c r="M1493" s="256">
        <v>43307</v>
      </c>
      <c r="N1493" s="331" t="s">
        <v>3432</v>
      </c>
      <c r="O1493" s="308" t="s">
        <v>4842</v>
      </c>
      <c r="Q1493" s="591"/>
      <c r="R1493" s="1406"/>
      <c r="S1493" s="1406"/>
      <c r="U1493" s="572">
        <v>23590</v>
      </c>
      <c r="V1493" s="308" t="s">
        <v>2045</v>
      </c>
      <c r="W1493" s="747">
        <v>43404</v>
      </c>
      <c r="X1493" s="748">
        <v>43307</v>
      </c>
      <c r="Y1493" s="744" t="s">
        <v>4843</v>
      </c>
      <c r="Z1493" s="744" t="s">
        <v>4846</v>
      </c>
      <c r="AA1493" s="750">
        <v>43355</v>
      </c>
      <c r="AB1493" s="744" t="s">
        <v>4844</v>
      </c>
      <c r="AC1493" s="744">
        <v>3188184016</v>
      </c>
      <c r="AD1493" s="744"/>
      <c r="AE1493" s="744"/>
      <c r="AF1493" s="744"/>
      <c r="AG1493" s="251" t="s">
        <v>283</v>
      </c>
    </row>
    <row r="1494" spans="1:33" ht="15.75" customHeight="1">
      <c r="A1494" s="743">
        <v>43298</v>
      </c>
      <c r="B1494" s="590" t="s">
        <v>405</v>
      </c>
      <c r="C1494" s="744">
        <v>7000139687</v>
      </c>
      <c r="D1494" s="250" t="s">
        <v>4840</v>
      </c>
      <c r="E1494" s="595" t="s">
        <v>4848</v>
      </c>
      <c r="F1494" s="251">
        <v>3</v>
      </c>
      <c r="G1494" s="252">
        <v>100</v>
      </c>
      <c r="H1494" s="253">
        <f t="shared" si="134"/>
        <v>300</v>
      </c>
      <c r="I1494" s="254" t="s">
        <v>42</v>
      </c>
      <c r="J1494" s="401" t="s">
        <v>3840</v>
      </c>
      <c r="K1494" s="256">
        <v>43311</v>
      </c>
      <c r="L1494" s="256"/>
      <c r="M1494" s="256">
        <v>43307</v>
      </c>
      <c r="N1494" s="331" t="s">
        <v>3432</v>
      </c>
      <c r="O1494" s="308" t="s">
        <v>4842</v>
      </c>
      <c r="Q1494" s="591"/>
      <c r="R1494" s="1406"/>
      <c r="S1494" s="1406"/>
      <c r="U1494" s="572">
        <v>8407</v>
      </c>
      <c r="V1494" s="308" t="s">
        <v>2045</v>
      </c>
      <c r="W1494" s="747">
        <v>43404</v>
      </c>
      <c r="X1494" s="748">
        <v>43307</v>
      </c>
      <c r="Y1494" s="744" t="s">
        <v>4843</v>
      </c>
      <c r="Z1494" s="744" t="s">
        <v>4846</v>
      </c>
      <c r="AA1494" s="750">
        <v>43355</v>
      </c>
      <c r="AB1494" s="744" t="s">
        <v>4844</v>
      </c>
      <c r="AC1494" s="744">
        <v>3188184016</v>
      </c>
      <c r="AD1494" s="744"/>
      <c r="AE1494" s="744"/>
      <c r="AF1494" s="744"/>
      <c r="AG1494" s="251" t="s">
        <v>283</v>
      </c>
    </row>
    <row r="1495" spans="1:33" ht="15.75" customHeight="1">
      <c r="A1495" s="743">
        <v>43298</v>
      </c>
      <c r="B1495" s="590" t="s">
        <v>405</v>
      </c>
      <c r="C1495" s="744">
        <v>7000139687</v>
      </c>
      <c r="D1495" s="250" t="s">
        <v>4840</v>
      </c>
      <c r="E1495" s="595" t="s">
        <v>1940</v>
      </c>
      <c r="F1495" s="251">
        <v>1</v>
      </c>
      <c r="G1495" s="252">
        <v>120</v>
      </c>
      <c r="H1495" s="253">
        <f t="shared" si="134"/>
        <v>120</v>
      </c>
      <c r="I1495" s="254" t="s">
        <v>42</v>
      </c>
      <c r="J1495" s="401" t="s">
        <v>3840</v>
      </c>
      <c r="K1495" s="256">
        <v>43311</v>
      </c>
      <c r="L1495" s="256"/>
      <c r="M1495" s="256">
        <v>43307</v>
      </c>
      <c r="N1495" s="331" t="s">
        <v>3432</v>
      </c>
      <c r="O1495" s="308" t="s">
        <v>4842</v>
      </c>
      <c r="Q1495" s="591"/>
      <c r="R1495" s="1406"/>
      <c r="S1495" s="1406"/>
      <c r="U1495" s="572">
        <v>3436</v>
      </c>
      <c r="V1495" s="308" t="s">
        <v>2045</v>
      </c>
      <c r="W1495" s="747">
        <v>43404</v>
      </c>
      <c r="X1495" s="748">
        <v>43307</v>
      </c>
      <c r="Y1495" s="744" t="s">
        <v>4843</v>
      </c>
      <c r="Z1495" s="744" t="s">
        <v>4846</v>
      </c>
      <c r="AA1495" s="750">
        <v>43355</v>
      </c>
      <c r="AB1495" s="744" t="s">
        <v>4844</v>
      </c>
      <c r="AC1495" s="744">
        <v>3188184016</v>
      </c>
      <c r="AD1495" s="744"/>
      <c r="AE1495" s="744"/>
      <c r="AF1495" s="744"/>
      <c r="AG1495" s="251" t="s">
        <v>283</v>
      </c>
    </row>
    <row r="1496" spans="1:33" ht="15.75" customHeight="1">
      <c r="A1496" s="743">
        <v>43298</v>
      </c>
      <c r="B1496" s="590" t="s">
        <v>405</v>
      </c>
      <c r="C1496" s="744">
        <v>7000139687</v>
      </c>
      <c r="D1496" s="250" t="s">
        <v>4840</v>
      </c>
      <c r="E1496" s="595" t="s">
        <v>4849</v>
      </c>
      <c r="F1496" s="251">
        <v>2</v>
      </c>
      <c r="G1496" s="252">
        <v>145</v>
      </c>
      <c r="H1496" s="253">
        <f t="shared" si="134"/>
        <v>290</v>
      </c>
      <c r="I1496" s="254" t="s">
        <v>42</v>
      </c>
      <c r="J1496" s="401" t="s">
        <v>3840</v>
      </c>
      <c r="K1496" s="256">
        <v>43311</v>
      </c>
      <c r="L1496" s="256"/>
      <c r="M1496" s="256">
        <v>43307</v>
      </c>
      <c r="N1496" s="331" t="s">
        <v>3432</v>
      </c>
      <c r="O1496" s="308" t="s">
        <v>4842</v>
      </c>
      <c r="Q1496" s="591"/>
      <c r="R1496" s="1406"/>
      <c r="S1496" s="1406"/>
      <c r="U1496" s="572">
        <v>8316</v>
      </c>
      <c r="V1496" s="308" t="s">
        <v>2045</v>
      </c>
      <c r="W1496" s="747">
        <v>43404</v>
      </c>
      <c r="X1496" s="748">
        <v>43307</v>
      </c>
      <c r="Y1496" s="744" t="s">
        <v>4843</v>
      </c>
      <c r="Z1496" s="744" t="s">
        <v>4846</v>
      </c>
      <c r="AA1496" s="750">
        <v>43355</v>
      </c>
      <c r="AB1496" s="744" t="s">
        <v>4844</v>
      </c>
      <c r="AC1496" s="744">
        <v>3188184016</v>
      </c>
      <c r="AD1496" s="744"/>
      <c r="AE1496" s="744"/>
      <c r="AF1496" s="744"/>
      <c r="AG1496" s="251" t="s">
        <v>283</v>
      </c>
    </row>
    <row r="1497" spans="1:33" ht="15.75" customHeight="1">
      <c r="A1497" s="743">
        <v>43298</v>
      </c>
      <c r="B1497" s="263" t="s">
        <v>76</v>
      </c>
      <c r="C1497" s="744">
        <v>808</v>
      </c>
      <c r="D1497" s="250" t="s">
        <v>4850</v>
      </c>
      <c r="E1497" s="250" t="s">
        <v>4767</v>
      </c>
      <c r="F1497" s="251">
        <v>5</v>
      </c>
      <c r="G1497" s="252">
        <v>255</v>
      </c>
      <c r="H1497" s="253">
        <f t="shared" si="134"/>
        <v>1275</v>
      </c>
      <c r="I1497" s="254" t="s">
        <v>42</v>
      </c>
      <c r="J1497" s="367" t="s">
        <v>315</v>
      </c>
      <c r="K1497" s="256">
        <v>43353</v>
      </c>
      <c r="L1497" s="256"/>
      <c r="M1497" s="256">
        <v>43347</v>
      </c>
      <c r="N1497" s="401" t="s">
        <v>1967</v>
      </c>
      <c r="O1497" s="308" t="s">
        <v>4851</v>
      </c>
      <c r="Q1497" s="266">
        <v>1155</v>
      </c>
      <c r="R1497" s="1394"/>
      <c r="S1497" s="1394"/>
      <c r="U1497" s="328"/>
      <c r="V1497" s="308" t="s">
        <v>1969</v>
      </c>
      <c r="W1497" s="747">
        <v>43409</v>
      </c>
      <c r="X1497" s="748">
        <v>43346</v>
      </c>
      <c r="Y1497" s="744" t="s">
        <v>4555</v>
      </c>
      <c r="Z1497" s="744" t="s">
        <v>4557</v>
      </c>
      <c r="AA1497" s="750">
        <v>43409</v>
      </c>
      <c r="AB1497" s="744" t="s">
        <v>4556</v>
      </c>
      <c r="AC1497" s="744">
        <v>629982102</v>
      </c>
      <c r="AD1497" s="744"/>
      <c r="AE1497" s="744"/>
      <c r="AF1497" s="744"/>
      <c r="AG1497" s="251" t="s">
        <v>283</v>
      </c>
    </row>
    <row r="1498" spans="1:33" ht="15.75" customHeight="1">
      <c r="A1498" s="743">
        <v>43304</v>
      </c>
      <c r="B1498" s="263" t="s">
        <v>129</v>
      </c>
      <c r="C1498" s="744" t="s">
        <v>4852</v>
      </c>
      <c r="D1498" s="250" t="s">
        <v>4853</v>
      </c>
      <c r="E1498" s="595" t="s">
        <v>3789</v>
      </c>
      <c r="F1498" s="251">
        <v>20</v>
      </c>
      <c r="G1498" s="252">
        <v>90</v>
      </c>
      <c r="H1498" s="253">
        <v>1800</v>
      </c>
      <c r="I1498" s="254" t="s">
        <v>419</v>
      </c>
      <c r="J1498" s="828" t="s">
        <v>4725</v>
      </c>
      <c r="K1498" s="256">
        <v>43326</v>
      </c>
      <c r="L1498" s="256"/>
      <c r="M1498" s="256">
        <v>43321</v>
      </c>
      <c r="N1498" s="331" t="s">
        <v>89</v>
      </c>
      <c r="O1498" s="308" t="s">
        <v>4854</v>
      </c>
      <c r="Q1498" s="266">
        <v>1785</v>
      </c>
      <c r="R1498" s="1394"/>
      <c r="S1498" s="1394"/>
      <c r="U1498" s="328"/>
      <c r="V1498" s="338" t="s">
        <v>93</v>
      </c>
      <c r="W1498" s="747">
        <v>43373</v>
      </c>
      <c r="X1498" s="748">
        <v>43320</v>
      </c>
      <c r="Y1498" s="744" t="s">
        <v>4855</v>
      </c>
      <c r="Z1498" s="749">
        <v>54567</v>
      </c>
      <c r="AA1498" s="748">
        <v>43378</v>
      </c>
      <c r="AB1498" s="744" t="s">
        <v>4856</v>
      </c>
      <c r="AC1498" s="744">
        <v>2293785163</v>
      </c>
      <c r="AD1498" s="744"/>
      <c r="AE1498" s="744"/>
      <c r="AF1498" s="744"/>
      <c r="AG1498" s="251" t="s">
        <v>283</v>
      </c>
    </row>
    <row r="1499" spans="1:33" ht="15.75" customHeight="1">
      <c r="A1499" s="743">
        <v>43305</v>
      </c>
      <c r="B1499" s="590" t="s">
        <v>405</v>
      </c>
      <c r="C1499" s="744">
        <v>7000139881</v>
      </c>
      <c r="D1499" s="250" t="s">
        <v>4857</v>
      </c>
      <c r="E1499" s="595" t="s">
        <v>4858</v>
      </c>
      <c r="F1499" s="251">
        <v>1</v>
      </c>
      <c r="G1499" s="252">
        <v>674</v>
      </c>
      <c r="H1499" s="253">
        <f>G1499*F1499</f>
        <v>674</v>
      </c>
      <c r="I1499" s="254" t="s">
        <v>42</v>
      </c>
      <c r="J1499" s="401" t="s">
        <v>3840</v>
      </c>
      <c r="K1499" s="256">
        <v>43311</v>
      </c>
      <c r="L1499" s="256"/>
      <c r="M1499" s="256">
        <v>43307</v>
      </c>
      <c r="N1499" s="331" t="s">
        <v>3432</v>
      </c>
      <c r="O1499" s="308" t="s">
        <v>4859</v>
      </c>
      <c r="Q1499" s="591"/>
      <c r="R1499" s="1406"/>
      <c r="S1499" s="1406"/>
      <c r="U1499" s="572">
        <v>18766</v>
      </c>
      <c r="V1499" s="308" t="s">
        <v>2045</v>
      </c>
      <c r="W1499" s="747">
        <v>43404</v>
      </c>
      <c r="X1499" s="748">
        <v>43307</v>
      </c>
      <c r="Y1499" s="744" t="s">
        <v>4860</v>
      </c>
      <c r="Z1499" s="749">
        <v>18766</v>
      </c>
      <c r="AA1499" s="748">
        <v>43355</v>
      </c>
      <c r="AB1499" s="744" t="s">
        <v>4844</v>
      </c>
      <c r="AC1499" s="744">
        <v>3188184016</v>
      </c>
      <c r="AD1499" s="744"/>
      <c r="AE1499" s="744"/>
      <c r="AF1499" s="744"/>
      <c r="AG1499" s="251" t="s">
        <v>283</v>
      </c>
    </row>
    <row r="1500" spans="1:33" ht="15.75" customHeight="1">
      <c r="A1500" s="272">
        <v>43305</v>
      </c>
      <c r="B1500" s="783" t="s">
        <v>405</v>
      </c>
      <c r="C1500" s="768">
        <v>7000139881</v>
      </c>
      <c r="D1500" s="274" t="s">
        <v>4857</v>
      </c>
      <c r="E1500" s="800" t="s">
        <v>844</v>
      </c>
      <c r="F1500" s="277">
        <v>2</v>
      </c>
      <c r="G1500" s="278">
        <v>170</v>
      </c>
      <c r="H1500" s="801"/>
      <c r="I1500" s="802"/>
      <c r="J1500" s="803"/>
      <c r="K1500" s="256"/>
      <c r="L1500" s="256"/>
      <c r="M1500" s="833"/>
      <c r="N1500" s="281" t="s">
        <v>3432</v>
      </c>
      <c r="O1500" s="777" t="s">
        <v>4859</v>
      </c>
      <c r="Q1500" s="591"/>
      <c r="R1500" s="1406"/>
      <c r="S1500" s="1406"/>
      <c r="U1500" s="579"/>
      <c r="V1500" s="777" t="s">
        <v>2045</v>
      </c>
      <c r="W1500" s="328"/>
      <c r="X1500" s="745"/>
      <c r="Y1500" s="745"/>
      <c r="Z1500" s="745"/>
      <c r="AA1500" s="746"/>
      <c r="AB1500" s="745"/>
      <c r="AC1500" s="744"/>
      <c r="AD1500" s="744"/>
      <c r="AE1500" s="744"/>
      <c r="AF1500" s="744"/>
      <c r="AG1500" s="251" t="s">
        <v>3456</v>
      </c>
    </row>
    <row r="1501" spans="1:33" ht="15.75" customHeight="1">
      <c r="A1501" s="743">
        <v>43305</v>
      </c>
      <c r="B1501" s="590" t="s">
        <v>405</v>
      </c>
      <c r="C1501" s="744">
        <v>7000139881</v>
      </c>
      <c r="D1501" s="250" t="s">
        <v>4857</v>
      </c>
      <c r="E1501" s="595" t="s">
        <v>480</v>
      </c>
      <c r="F1501" s="251">
        <v>1</v>
      </c>
      <c r="G1501" s="252">
        <v>124</v>
      </c>
      <c r="H1501" s="253">
        <f>G1501*F1501</f>
        <v>124</v>
      </c>
      <c r="I1501" s="254" t="s">
        <v>42</v>
      </c>
      <c r="J1501" s="401" t="s">
        <v>3840</v>
      </c>
      <c r="K1501" s="256">
        <v>43311</v>
      </c>
      <c r="L1501" s="1477"/>
      <c r="M1501" s="331" t="s">
        <v>178</v>
      </c>
      <c r="N1501" s="331" t="s">
        <v>3432</v>
      </c>
      <c r="O1501" s="308" t="s">
        <v>4859</v>
      </c>
      <c r="Q1501" s="591"/>
      <c r="R1501" s="1406"/>
      <c r="S1501" s="1406"/>
      <c r="U1501" s="572">
        <v>3436</v>
      </c>
      <c r="V1501" s="308" t="s">
        <v>2045</v>
      </c>
      <c r="W1501" s="747">
        <v>43343</v>
      </c>
      <c r="X1501" s="750">
        <v>43250</v>
      </c>
      <c r="Y1501" s="250" t="s">
        <v>4487</v>
      </c>
      <c r="Z1501" s="744" t="s">
        <v>4491</v>
      </c>
      <c r="AA1501" s="748">
        <v>43320</v>
      </c>
      <c r="AB1501" s="744" t="s">
        <v>4844</v>
      </c>
      <c r="AC1501" s="744">
        <v>3188184016</v>
      </c>
      <c r="AD1501" s="744"/>
      <c r="AE1501" s="744"/>
      <c r="AF1501" s="744"/>
      <c r="AG1501" s="251" t="s">
        <v>283</v>
      </c>
    </row>
    <row r="1502" spans="1:33" ht="15.75" customHeight="1">
      <c r="A1502" s="272">
        <v>43307</v>
      </c>
      <c r="B1502" s="783" t="s">
        <v>405</v>
      </c>
      <c r="C1502" s="768">
        <v>7000139752</v>
      </c>
      <c r="D1502" s="274" t="s">
        <v>4861</v>
      </c>
      <c r="E1502" s="800" t="s">
        <v>4862</v>
      </c>
      <c r="F1502" s="277">
        <v>10</v>
      </c>
      <c r="G1502" s="278">
        <v>435</v>
      </c>
      <c r="H1502" s="784"/>
      <c r="I1502" s="834"/>
      <c r="J1502" s="835"/>
      <c r="K1502" s="833"/>
      <c r="L1502" s="833"/>
      <c r="M1502" s="776" t="s">
        <v>70</v>
      </c>
      <c r="N1502" s="281" t="s">
        <v>4863</v>
      </c>
      <c r="O1502" s="777" t="s">
        <v>4864</v>
      </c>
      <c r="Q1502" s="576"/>
      <c r="R1502" s="1408"/>
      <c r="S1502" s="1408"/>
      <c r="U1502" s="837" t="s">
        <v>4865</v>
      </c>
      <c r="V1502" s="777" t="s">
        <v>4866</v>
      </c>
      <c r="W1502" s="575"/>
      <c r="X1502" s="766"/>
      <c r="Y1502" s="766"/>
      <c r="Z1502" s="766"/>
      <c r="AA1502" s="767"/>
      <c r="AB1502" s="766"/>
      <c r="AC1502" s="768"/>
      <c r="AD1502" s="768"/>
      <c r="AE1502" s="768"/>
      <c r="AF1502" s="768"/>
      <c r="AG1502" s="251" t="s">
        <v>3456</v>
      </c>
    </row>
    <row r="1503" spans="1:33" ht="15.75" customHeight="1">
      <c r="A1503" s="272">
        <v>43307</v>
      </c>
      <c r="B1503" s="783" t="s">
        <v>405</v>
      </c>
      <c r="C1503" s="768">
        <v>7000139752</v>
      </c>
      <c r="D1503" s="274" t="s">
        <v>4861</v>
      </c>
      <c r="E1503" s="800" t="s">
        <v>4867</v>
      </c>
      <c r="F1503" s="277">
        <v>10</v>
      </c>
      <c r="G1503" s="278">
        <v>10</v>
      </c>
      <c r="H1503" s="784"/>
      <c r="I1503" s="834"/>
      <c r="J1503" s="835"/>
      <c r="K1503" s="833"/>
      <c r="L1503" s="833"/>
      <c r="M1503" s="776" t="s">
        <v>70</v>
      </c>
      <c r="N1503" s="281" t="s">
        <v>2979</v>
      </c>
      <c r="O1503" s="777"/>
      <c r="Q1503" s="576"/>
      <c r="R1503" s="1408"/>
      <c r="S1503" s="1408"/>
      <c r="U1503" s="838" t="s">
        <v>4868</v>
      </c>
      <c r="V1503" s="777"/>
      <c r="W1503" s="575"/>
      <c r="X1503" s="766"/>
      <c r="Y1503" s="766"/>
      <c r="Z1503" s="766"/>
      <c r="AA1503" s="767"/>
      <c r="AB1503" s="766"/>
      <c r="AC1503" s="768"/>
      <c r="AD1503" s="768"/>
      <c r="AE1503" s="768"/>
      <c r="AF1503" s="768"/>
      <c r="AG1503" s="251" t="s">
        <v>3456</v>
      </c>
    </row>
    <row r="1504" spans="1:33" ht="15.75" customHeight="1">
      <c r="A1504" s="272">
        <v>43307</v>
      </c>
      <c r="B1504" s="783" t="s">
        <v>405</v>
      </c>
      <c r="C1504" s="768">
        <v>7000139752</v>
      </c>
      <c r="D1504" s="274" t="s">
        <v>4869</v>
      </c>
      <c r="E1504" s="800" t="s">
        <v>4862</v>
      </c>
      <c r="F1504" s="277">
        <v>90</v>
      </c>
      <c r="G1504" s="278">
        <v>435</v>
      </c>
      <c r="H1504" s="784"/>
      <c r="I1504" s="834"/>
      <c r="J1504" s="835"/>
      <c r="K1504" s="839"/>
      <c r="L1504" s="839"/>
      <c r="M1504" s="776" t="s">
        <v>70</v>
      </c>
      <c r="N1504" s="281"/>
      <c r="O1504" s="777"/>
      <c r="Q1504" s="576"/>
      <c r="R1504" s="1408"/>
      <c r="S1504" s="1408"/>
      <c r="U1504" s="777"/>
      <c r="V1504" s="777"/>
      <c r="W1504" s="575"/>
      <c r="X1504" s="766"/>
      <c r="Y1504" s="766"/>
      <c r="Z1504" s="766"/>
      <c r="AA1504" s="767"/>
      <c r="AB1504" s="766"/>
      <c r="AC1504" s="768"/>
      <c r="AD1504" s="768"/>
      <c r="AE1504" s="768"/>
      <c r="AF1504" s="768"/>
      <c r="AG1504" s="251" t="s">
        <v>3456</v>
      </c>
    </row>
    <row r="1505" spans="1:33" ht="15.75" customHeight="1">
      <c r="A1505" s="272">
        <v>43307</v>
      </c>
      <c r="B1505" s="783" t="s">
        <v>405</v>
      </c>
      <c r="C1505" s="768">
        <v>7000139752</v>
      </c>
      <c r="D1505" s="274" t="s">
        <v>4869</v>
      </c>
      <c r="E1505" s="800" t="s">
        <v>4867</v>
      </c>
      <c r="F1505" s="277">
        <v>90</v>
      </c>
      <c r="G1505" s="278">
        <v>10</v>
      </c>
      <c r="H1505" s="784"/>
      <c r="I1505" s="834"/>
      <c r="J1505" s="835"/>
      <c r="K1505" s="839"/>
      <c r="L1505" s="839"/>
      <c r="M1505" s="776" t="s">
        <v>70</v>
      </c>
      <c r="N1505" s="281" t="s">
        <v>2979</v>
      </c>
      <c r="O1505" s="777"/>
      <c r="Q1505" s="778"/>
      <c r="R1505" s="1412"/>
      <c r="S1505" s="1412"/>
      <c r="U1505" s="838" t="s">
        <v>4868</v>
      </c>
      <c r="V1505" s="777"/>
      <c r="W1505" s="575"/>
      <c r="X1505" s="766"/>
      <c r="Y1505" s="766"/>
      <c r="Z1505" s="766"/>
      <c r="AA1505" s="767"/>
      <c r="AB1505" s="766"/>
      <c r="AC1505" s="768"/>
      <c r="AD1505" s="768"/>
      <c r="AE1505" s="768"/>
      <c r="AF1505" s="768"/>
      <c r="AG1505" s="251" t="s">
        <v>3456</v>
      </c>
    </row>
    <row r="1506" spans="1:33" ht="53.25" customHeight="1">
      <c r="A1506" s="743">
        <v>43308</v>
      </c>
      <c r="B1506" s="263" t="s">
        <v>100</v>
      </c>
      <c r="C1506" s="744" t="s">
        <v>4870</v>
      </c>
      <c r="D1506" s="250" t="s">
        <v>4871</v>
      </c>
      <c r="E1506" s="420" t="s">
        <v>4872</v>
      </c>
      <c r="F1506" s="251">
        <v>2</v>
      </c>
      <c r="G1506" s="252">
        <v>1118</v>
      </c>
      <c r="H1506" s="253">
        <f t="shared" ref="H1506:H1522" si="135">G1506*F1506</f>
        <v>2236</v>
      </c>
      <c r="I1506" s="254" t="s">
        <v>170</v>
      </c>
      <c r="J1506" s="401" t="s">
        <v>3578</v>
      </c>
      <c r="K1506" s="256">
        <v>43314</v>
      </c>
      <c r="L1506" s="256"/>
      <c r="M1506" s="256">
        <v>43314</v>
      </c>
      <c r="N1506" s="331" t="s">
        <v>1414</v>
      </c>
      <c r="O1506" s="308" t="s">
        <v>4873</v>
      </c>
      <c r="Q1506" s="266"/>
      <c r="R1506" s="1394"/>
      <c r="S1506" s="1394"/>
      <c r="U1506" s="572">
        <v>63907</v>
      </c>
      <c r="V1506" s="318" t="s">
        <v>1947</v>
      </c>
      <c r="W1506" s="747">
        <v>43373</v>
      </c>
      <c r="X1506" s="748">
        <v>43313</v>
      </c>
      <c r="Y1506" s="744" t="s">
        <v>4874</v>
      </c>
      <c r="Z1506" s="749">
        <v>63907</v>
      </c>
      <c r="AA1506" s="748">
        <v>43378</v>
      </c>
      <c r="AB1506" s="744" t="s">
        <v>4839</v>
      </c>
      <c r="AC1506" s="744">
        <v>4418382006</v>
      </c>
      <c r="AD1506" s="744"/>
      <c r="AE1506" s="744"/>
      <c r="AF1506" s="744"/>
      <c r="AG1506" s="251" t="s">
        <v>283</v>
      </c>
    </row>
    <row r="1507" spans="1:33" ht="15.75" customHeight="1">
      <c r="A1507" s="743">
        <v>43308</v>
      </c>
      <c r="B1507" s="263" t="s">
        <v>100</v>
      </c>
      <c r="C1507" s="744" t="s">
        <v>4870</v>
      </c>
      <c r="D1507" s="250" t="s">
        <v>4871</v>
      </c>
      <c r="E1507" s="595" t="s">
        <v>4875</v>
      </c>
      <c r="F1507" s="251">
        <v>2</v>
      </c>
      <c r="G1507" s="252">
        <v>80</v>
      </c>
      <c r="H1507" s="253">
        <f t="shared" si="135"/>
        <v>160</v>
      </c>
      <c r="I1507" s="254" t="s">
        <v>170</v>
      </c>
      <c r="J1507" s="401" t="s">
        <v>3578</v>
      </c>
      <c r="K1507" s="256">
        <v>43314</v>
      </c>
      <c r="L1507" s="256"/>
      <c r="M1507" s="256">
        <v>43311</v>
      </c>
      <c r="N1507" s="251" t="s">
        <v>4876</v>
      </c>
      <c r="O1507" s="308" t="s">
        <v>4873</v>
      </c>
      <c r="Q1507" s="591"/>
      <c r="R1507" s="1406"/>
      <c r="S1507" s="1406"/>
      <c r="U1507" s="630">
        <v>4452</v>
      </c>
      <c r="V1507" s="597" t="s">
        <v>3744</v>
      </c>
      <c r="W1507" s="747">
        <v>43342</v>
      </c>
      <c r="X1507" s="748">
        <v>43311</v>
      </c>
      <c r="Y1507" s="744" t="s">
        <v>4877</v>
      </c>
      <c r="Z1507" s="749">
        <v>22260</v>
      </c>
      <c r="AA1507" s="750">
        <v>43348</v>
      </c>
      <c r="AB1507" s="744" t="s">
        <v>4839</v>
      </c>
      <c r="AC1507" s="744">
        <v>4418382006</v>
      </c>
      <c r="AD1507" s="744"/>
      <c r="AE1507" s="744"/>
      <c r="AF1507" s="744"/>
      <c r="AG1507" s="251" t="s">
        <v>283</v>
      </c>
    </row>
    <row r="1508" spans="1:33" ht="49.5" customHeight="1">
      <c r="A1508" s="743">
        <v>43308</v>
      </c>
      <c r="B1508" s="263" t="s">
        <v>100</v>
      </c>
      <c r="C1508" s="744" t="s">
        <v>4870</v>
      </c>
      <c r="D1508" s="250" t="s">
        <v>4878</v>
      </c>
      <c r="E1508" s="420" t="s">
        <v>4879</v>
      </c>
      <c r="F1508" s="251">
        <v>8</v>
      </c>
      <c r="G1508" s="252">
        <v>1118</v>
      </c>
      <c r="H1508" s="253">
        <f t="shared" si="135"/>
        <v>8944</v>
      </c>
      <c r="I1508" s="254" t="s">
        <v>170</v>
      </c>
      <c r="J1508" s="401" t="s">
        <v>3578</v>
      </c>
      <c r="K1508" s="256">
        <v>43325</v>
      </c>
      <c r="L1508" s="256"/>
      <c r="M1508" s="256">
        <v>43321</v>
      </c>
      <c r="N1508" s="331" t="s">
        <v>1414</v>
      </c>
      <c r="O1508" s="308" t="s">
        <v>4873</v>
      </c>
      <c r="Q1508" s="266"/>
      <c r="R1508" s="1394"/>
      <c r="S1508" s="1394"/>
      <c r="U1508" s="630">
        <v>255630</v>
      </c>
      <c r="V1508" s="318" t="s">
        <v>1947</v>
      </c>
      <c r="W1508" s="747">
        <v>43373</v>
      </c>
      <c r="X1508" s="748">
        <v>43320</v>
      </c>
      <c r="Y1508" s="744" t="s">
        <v>4880</v>
      </c>
      <c r="Z1508" s="749">
        <v>255630</v>
      </c>
      <c r="AA1508" s="748">
        <v>43378</v>
      </c>
      <c r="AB1508" s="744" t="s">
        <v>4881</v>
      </c>
      <c r="AC1508" s="744">
        <v>4909907962</v>
      </c>
      <c r="AD1508" s="744"/>
      <c r="AE1508" s="744"/>
      <c r="AF1508" s="744"/>
      <c r="AG1508" s="251" t="s">
        <v>283</v>
      </c>
    </row>
    <row r="1509" spans="1:33" ht="45.75" customHeight="1">
      <c r="A1509" s="743">
        <v>43308</v>
      </c>
      <c r="B1509" s="263" t="s">
        <v>100</v>
      </c>
      <c r="C1509" s="744" t="s">
        <v>4870</v>
      </c>
      <c r="D1509" s="250" t="s">
        <v>4878</v>
      </c>
      <c r="E1509" s="595" t="s">
        <v>4875</v>
      </c>
      <c r="F1509" s="251">
        <v>8</v>
      </c>
      <c r="G1509" s="252">
        <v>80</v>
      </c>
      <c r="H1509" s="253">
        <f t="shared" si="135"/>
        <v>640</v>
      </c>
      <c r="I1509" s="254" t="s">
        <v>170</v>
      </c>
      <c r="J1509" s="401" t="s">
        <v>3578</v>
      </c>
      <c r="K1509" s="256">
        <v>43325</v>
      </c>
      <c r="L1509" s="256"/>
      <c r="M1509" s="256">
        <v>43311</v>
      </c>
      <c r="N1509" s="251" t="s">
        <v>4876</v>
      </c>
      <c r="O1509" s="308" t="s">
        <v>4873</v>
      </c>
      <c r="Q1509" s="591"/>
      <c r="R1509" s="1406"/>
      <c r="S1509" s="1406"/>
      <c r="U1509" s="630">
        <v>17808</v>
      </c>
      <c r="V1509" s="597" t="s">
        <v>3744</v>
      </c>
      <c r="W1509" s="747">
        <v>43342</v>
      </c>
      <c r="X1509" s="748">
        <v>43311</v>
      </c>
      <c r="Y1509" s="744" t="s">
        <v>4877</v>
      </c>
      <c r="Z1509" s="250" t="s">
        <v>4882</v>
      </c>
      <c r="AA1509" s="750">
        <v>43348</v>
      </c>
      <c r="AB1509" s="744" t="s">
        <v>4881</v>
      </c>
      <c r="AC1509" s="744">
        <v>4909907962</v>
      </c>
      <c r="AD1509" s="744"/>
      <c r="AE1509" s="744"/>
      <c r="AF1509" s="744"/>
      <c r="AG1509" s="251" t="s">
        <v>283</v>
      </c>
    </row>
    <row r="1510" spans="1:33" ht="52.5" customHeight="1">
      <c r="A1510" s="743">
        <v>43308</v>
      </c>
      <c r="B1510" s="263" t="s">
        <v>100</v>
      </c>
      <c r="C1510" s="744" t="s">
        <v>4883</v>
      </c>
      <c r="D1510" s="250" t="s">
        <v>4884</v>
      </c>
      <c r="E1510" s="840" t="s">
        <v>4885</v>
      </c>
      <c r="F1510" s="251">
        <v>15</v>
      </c>
      <c r="G1510" s="252">
        <v>533.5</v>
      </c>
      <c r="H1510" s="253">
        <f t="shared" si="135"/>
        <v>8002.5</v>
      </c>
      <c r="I1510" s="254" t="s">
        <v>170</v>
      </c>
      <c r="J1510" s="367" t="s">
        <v>3408</v>
      </c>
      <c r="K1510" s="256">
        <v>43339</v>
      </c>
      <c r="L1510" s="256"/>
      <c r="M1510" s="256">
        <v>43327</v>
      </c>
      <c r="N1510" s="331" t="s">
        <v>1995</v>
      </c>
      <c r="O1510" s="250" t="s">
        <v>4886</v>
      </c>
      <c r="Q1510" s="591"/>
      <c r="R1510" s="1406"/>
      <c r="S1510" s="1406"/>
      <c r="U1510" s="572">
        <v>231226</v>
      </c>
      <c r="V1510" s="571" t="s">
        <v>1997</v>
      </c>
      <c r="W1510" s="747">
        <v>43378</v>
      </c>
      <c r="X1510" s="748">
        <v>43326</v>
      </c>
      <c r="Y1510" s="744" t="s">
        <v>4887</v>
      </c>
      <c r="Z1510" s="749">
        <v>431621</v>
      </c>
      <c r="AA1510" s="748">
        <v>43384</v>
      </c>
      <c r="AB1510" s="744" t="s">
        <v>4888</v>
      </c>
      <c r="AC1510" s="744" t="s">
        <v>4889</v>
      </c>
      <c r="AD1510" s="744"/>
      <c r="AE1510" s="744"/>
      <c r="AF1510" s="744"/>
      <c r="AG1510" s="251" t="s">
        <v>538</v>
      </c>
    </row>
    <row r="1511" spans="1:33" ht="15.75" customHeight="1">
      <c r="A1511" s="743">
        <v>43308</v>
      </c>
      <c r="B1511" s="263" t="s">
        <v>100</v>
      </c>
      <c r="C1511" s="744" t="s">
        <v>4883</v>
      </c>
      <c r="D1511" s="250" t="s">
        <v>4884</v>
      </c>
      <c r="E1511" s="794" t="s">
        <v>4890</v>
      </c>
      <c r="F1511" s="251">
        <v>15</v>
      </c>
      <c r="G1511" s="252">
        <v>352</v>
      </c>
      <c r="H1511" s="253">
        <f t="shared" si="135"/>
        <v>5280</v>
      </c>
      <c r="I1511" s="254" t="s">
        <v>170</v>
      </c>
      <c r="J1511" s="367" t="s">
        <v>3408</v>
      </c>
      <c r="K1511" s="256">
        <v>43339</v>
      </c>
      <c r="L1511" s="256"/>
      <c r="M1511" s="256">
        <v>43320</v>
      </c>
      <c r="N1511" s="331" t="s">
        <v>1993</v>
      </c>
      <c r="O1511" s="250" t="s">
        <v>4891</v>
      </c>
      <c r="Q1511" s="266">
        <v>4425.75</v>
      </c>
      <c r="R1511" s="1394"/>
      <c r="S1511" s="1394"/>
      <c r="U1511" s="593"/>
      <c r="V1511" s="338" t="s">
        <v>46</v>
      </c>
      <c r="W1511" s="747">
        <v>43348</v>
      </c>
      <c r="X1511" s="748">
        <v>43318</v>
      </c>
      <c r="Y1511" s="744" t="s">
        <v>4892</v>
      </c>
      <c r="Z1511" s="749">
        <v>213438</v>
      </c>
      <c r="AA1511" s="748">
        <v>43349</v>
      </c>
      <c r="AB1511" s="744" t="s">
        <v>4888</v>
      </c>
      <c r="AC1511" s="744" t="s">
        <v>4889</v>
      </c>
      <c r="AD1511" s="744"/>
      <c r="AE1511" s="744"/>
      <c r="AF1511" s="744"/>
      <c r="AG1511" s="251" t="s">
        <v>538</v>
      </c>
    </row>
    <row r="1512" spans="1:33" ht="15.75" customHeight="1">
      <c r="A1512" s="743">
        <v>43308</v>
      </c>
      <c r="B1512" s="263" t="s">
        <v>100</v>
      </c>
      <c r="C1512" s="744" t="s">
        <v>4883</v>
      </c>
      <c r="D1512" s="250" t="s">
        <v>4884</v>
      </c>
      <c r="E1512" s="595" t="s">
        <v>4893</v>
      </c>
      <c r="F1512" s="251">
        <v>15</v>
      </c>
      <c r="G1512" s="252">
        <v>178</v>
      </c>
      <c r="H1512" s="253">
        <f t="shared" si="135"/>
        <v>2670</v>
      </c>
      <c r="I1512" s="254" t="s">
        <v>170</v>
      </c>
      <c r="J1512" s="367" t="s">
        <v>3408</v>
      </c>
      <c r="K1512" s="256">
        <v>43339</v>
      </c>
      <c r="L1512" s="256"/>
      <c r="M1512" s="256">
        <v>43321</v>
      </c>
      <c r="N1512" s="251" t="s">
        <v>1987</v>
      </c>
      <c r="O1512" s="250" t="s">
        <v>4894</v>
      </c>
      <c r="Q1512" s="591"/>
      <c r="R1512" s="1406"/>
      <c r="S1512" s="1406"/>
      <c r="U1512" s="572">
        <v>141149</v>
      </c>
      <c r="V1512" s="597" t="s">
        <v>3744</v>
      </c>
      <c r="W1512" s="747">
        <v>43350</v>
      </c>
      <c r="X1512" s="748">
        <v>43319</v>
      </c>
      <c r="Y1512" s="744" t="s">
        <v>4895</v>
      </c>
      <c r="Z1512" s="749">
        <v>141149</v>
      </c>
      <c r="AA1512" s="748">
        <v>43378</v>
      </c>
      <c r="AB1512" s="744" t="s">
        <v>4888</v>
      </c>
      <c r="AC1512" s="744" t="s">
        <v>4889</v>
      </c>
      <c r="AD1512" s="744"/>
      <c r="AE1512" s="744"/>
      <c r="AF1512" s="744"/>
      <c r="AG1512" s="251" t="s">
        <v>538</v>
      </c>
    </row>
    <row r="1513" spans="1:33" ht="45" customHeight="1">
      <c r="A1513" s="743">
        <v>43308</v>
      </c>
      <c r="B1513" s="263" t="s">
        <v>100</v>
      </c>
      <c r="C1513" s="744" t="s">
        <v>4883</v>
      </c>
      <c r="D1513" s="250" t="s">
        <v>4896</v>
      </c>
      <c r="E1513" s="840" t="s">
        <v>4897</v>
      </c>
      <c r="F1513" s="251">
        <v>13</v>
      </c>
      <c r="G1513" s="252">
        <v>533.5</v>
      </c>
      <c r="H1513" s="253">
        <f t="shared" si="135"/>
        <v>6935.5</v>
      </c>
      <c r="I1513" s="254" t="s">
        <v>170</v>
      </c>
      <c r="J1513" s="367" t="s">
        <v>3408</v>
      </c>
      <c r="K1513" s="256">
        <v>43339</v>
      </c>
      <c r="L1513" s="256"/>
      <c r="M1513" s="256">
        <v>43327</v>
      </c>
      <c r="N1513" s="331" t="s">
        <v>1995</v>
      </c>
      <c r="O1513" s="250" t="s">
        <v>4886</v>
      </c>
      <c r="Q1513" s="591"/>
      <c r="R1513" s="1406"/>
      <c r="S1513" s="1406"/>
      <c r="U1513" s="572">
        <v>200396</v>
      </c>
      <c r="V1513" s="571" t="s">
        <v>1997</v>
      </c>
      <c r="W1513" s="747">
        <v>43378</v>
      </c>
      <c r="X1513" s="748">
        <v>43326</v>
      </c>
      <c r="Y1513" s="744" t="s">
        <v>4887</v>
      </c>
      <c r="Z1513" s="744" t="s">
        <v>4898</v>
      </c>
      <c r="AA1513" s="748">
        <v>43384</v>
      </c>
      <c r="AB1513" s="744" t="s">
        <v>4888</v>
      </c>
      <c r="AC1513" s="744" t="s">
        <v>4889</v>
      </c>
      <c r="AD1513" s="744"/>
      <c r="AE1513" s="744"/>
      <c r="AF1513" s="744"/>
      <c r="AG1513" s="251" t="s">
        <v>538</v>
      </c>
    </row>
    <row r="1514" spans="1:33" ht="15.75" customHeight="1">
      <c r="A1514" s="743">
        <v>43308</v>
      </c>
      <c r="B1514" s="263" t="s">
        <v>100</v>
      </c>
      <c r="C1514" s="744" t="s">
        <v>4883</v>
      </c>
      <c r="D1514" s="250" t="s">
        <v>4896</v>
      </c>
      <c r="E1514" s="794" t="s">
        <v>4899</v>
      </c>
      <c r="F1514" s="251">
        <v>13</v>
      </c>
      <c r="G1514" s="252">
        <v>229</v>
      </c>
      <c r="H1514" s="253">
        <f t="shared" si="135"/>
        <v>2977</v>
      </c>
      <c r="I1514" s="254" t="s">
        <v>170</v>
      </c>
      <c r="J1514" s="367" t="s">
        <v>3408</v>
      </c>
      <c r="K1514" s="256">
        <v>43339</v>
      </c>
      <c r="L1514" s="256"/>
      <c r="M1514" s="256">
        <v>43319</v>
      </c>
      <c r="N1514" s="331" t="s">
        <v>1993</v>
      </c>
      <c r="O1514" s="250" t="s">
        <v>4891</v>
      </c>
      <c r="Q1514" s="266">
        <v>2525.25</v>
      </c>
      <c r="R1514" s="1394"/>
      <c r="S1514" s="1394"/>
      <c r="U1514" s="593"/>
      <c r="V1514" s="338" t="s">
        <v>46</v>
      </c>
      <c r="W1514" s="747">
        <v>43348</v>
      </c>
      <c r="X1514" s="748">
        <v>43318</v>
      </c>
      <c r="Y1514" s="744" t="s">
        <v>4892</v>
      </c>
      <c r="Z1514" s="749" t="s">
        <v>4900</v>
      </c>
      <c r="AA1514" s="748">
        <v>43349</v>
      </c>
      <c r="AB1514" s="744" t="s">
        <v>4888</v>
      </c>
      <c r="AC1514" s="744" t="s">
        <v>4889</v>
      </c>
      <c r="AD1514" s="744"/>
      <c r="AE1514" s="744"/>
      <c r="AF1514" s="744"/>
      <c r="AG1514" s="251" t="s">
        <v>538</v>
      </c>
    </row>
    <row r="1515" spans="1:33" ht="15.75" customHeight="1">
      <c r="A1515" s="743">
        <v>43308</v>
      </c>
      <c r="B1515" s="263" t="s">
        <v>100</v>
      </c>
      <c r="C1515" s="744" t="s">
        <v>4883</v>
      </c>
      <c r="D1515" s="250" t="s">
        <v>4896</v>
      </c>
      <c r="E1515" s="595" t="s">
        <v>4893</v>
      </c>
      <c r="F1515" s="251">
        <v>13</v>
      </c>
      <c r="G1515" s="252">
        <v>178</v>
      </c>
      <c r="H1515" s="253">
        <f t="shared" si="135"/>
        <v>2314</v>
      </c>
      <c r="I1515" s="254" t="s">
        <v>170</v>
      </c>
      <c r="J1515" s="367" t="s">
        <v>3408</v>
      </c>
      <c r="K1515" s="256">
        <v>43339</v>
      </c>
      <c r="L1515" s="256"/>
      <c r="M1515" s="256">
        <v>43321</v>
      </c>
      <c r="N1515" s="251" t="s">
        <v>1987</v>
      </c>
      <c r="O1515" s="250" t="s">
        <v>4894</v>
      </c>
      <c r="Q1515" s="591"/>
      <c r="R1515" s="1406"/>
      <c r="S1515" s="1406"/>
      <c r="U1515" s="574" t="s">
        <v>4901</v>
      </c>
      <c r="V1515" s="597" t="s">
        <v>3744</v>
      </c>
      <c r="W1515" s="747">
        <v>43350</v>
      </c>
      <c r="X1515" s="748">
        <v>43319</v>
      </c>
      <c r="Y1515" s="744" t="s">
        <v>4895</v>
      </c>
      <c r="Z1515" s="749" t="s">
        <v>4902</v>
      </c>
      <c r="AA1515" s="748">
        <v>43378</v>
      </c>
      <c r="AB1515" s="744" t="s">
        <v>4888</v>
      </c>
      <c r="AC1515" s="744" t="s">
        <v>4889</v>
      </c>
      <c r="AD1515" s="744"/>
      <c r="AE1515" s="744"/>
      <c r="AF1515" s="744"/>
      <c r="AG1515" s="251" t="s">
        <v>538</v>
      </c>
    </row>
    <row r="1516" spans="1:33" ht="15.75" customHeight="1">
      <c r="A1516" s="743">
        <v>43309</v>
      </c>
      <c r="B1516" s="263" t="s">
        <v>4903</v>
      </c>
      <c r="C1516" s="744" t="s">
        <v>4904</v>
      </c>
      <c r="D1516" s="250" t="s">
        <v>4905</v>
      </c>
      <c r="E1516" s="595" t="s">
        <v>4906</v>
      </c>
      <c r="F1516" s="251">
        <v>1</v>
      </c>
      <c r="G1516" s="252">
        <v>2294</v>
      </c>
      <c r="H1516" s="253">
        <f t="shared" si="135"/>
        <v>2294</v>
      </c>
      <c r="I1516" s="254" t="s">
        <v>3712</v>
      </c>
      <c r="J1516" s="267" t="s">
        <v>4907</v>
      </c>
      <c r="K1516" s="256">
        <v>43321</v>
      </c>
      <c r="L1516" s="256"/>
      <c r="M1516" s="256">
        <v>43315</v>
      </c>
      <c r="N1516" s="331" t="s">
        <v>3432</v>
      </c>
      <c r="O1516" s="308" t="s">
        <v>4908</v>
      </c>
      <c r="Q1516" s="591"/>
      <c r="R1516" s="1406"/>
      <c r="S1516" s="1406"/>
      <c r="U1516" s="572">
        <v>64995</v>
      </c>
      <c r="V1516" s="308" t="s">
        <v>2045</v>
      </c>
      <c r="W1516" s="747">
        <v>43404</v>
      </c>
      <c r="X1516" s="748">
        <v>43314</v>
      </c>
      <c r="Y1516" s="744" t="s">
        <v>4909</v>
      </c>
      <c r="Z1516" s="749">
        <v>64995</v>
      </c>
      <c r="AA1516" s="748">
        <v>43355</v>
      </c>
      <c r="AB1516" s="744" t="s">
        <v>4910</v>
      </c>
      <c r="AC1516" s="744">
        <v>9681419860</v>
      </c>
      <c r="AD1516" s="744"/>
      <c r="AE1516" s="744"/>
      <c r="AF1516" s="744"/>
      <c r="AG1516" s="251" t="s">
        <v>283</v>
      </c>
    </row>
    <row r="1517" spans="1:33" ht="29.25" customHeight="1">
      <c r="A1517" s="743">
        <v>43309</v>
      </c>
      <c r="B1517" s="263" t="s">
        <v>4903</v>
      </c>
      <c r="C1517" s="744" t="s">
        <v>4911</v>
      </c>
      <c r="D1517" s="250" t="s">
        <v>4912</v>
      </c>
      <c r="E1517" s="595" t="s">
        <v>961</v>
      </c>
      <c r="F1517" s="251">
        <v>1</v>
      </c>
      <c r="G1517" s="252">
        <v>86</v>
      </c>
      <c r="H1517" s="253">
        <f t="shared" si="135"/>
        <v>86</v>
      </c>
      <c r="I1517" s="254" t="s">
        <v>3712</v>
      </c>
      <c r="J1517" s="267" t="s">
        <v>3588</v>
      </c>
      <c r="K1517" s="256">
        <v>43321</v>
      </c>
      <c r="L1517" s="256"/>
      <c r="M1517" s="256">
        <v>43321</v>
      </c>
      <c r="N1517" s="331" t="s">
        <v>89</v>
      </c>
      <c r="O1517" s="308" t="s">
        <v>4913</v>
      </c>
      <c r="Q1517" s="266">
        <v>80.167500000000004</v>
      </c>
      <c r="R1517" s="1394"/>
      <c r="S1517" s="1394"/>
      <c r="U1517" s="328"/>
      <c r="V1517" s="338" t="s">
        <v>93</v>
      </c>
      <c r="W1517" s="841">
        <v>43373</v>
      </c>
      <c r="X1517" s="748">
        <v>43320</v>
      </c>
      <c r="Y1517" s="744" t="s">
        <v>4914</v>
      </c>
      <c r="Z1517" s="749">
        <v>3927</v>
      </c>
      <c r="AA1517" s="748">
        <v>43378</v>
      </c>
      <c r="AB1517" s="744" t="s">
        <v>4910</v>
      </c>
      <c r="AC1517" s="744">
        <v>9681419860</v>
      </c>
      <c r="AD1517" s="744"/>
      <c r="AE1517" s="744"/>
      <c r="AF1517" s="744"/>
      <c r="AG1517" s="251" t="s">
        <v>283</v>
      </c>
    </row>
    <row r="1518" spans="1:33" ht="15.75" customHeight="1">
      <c r="A1518" s="743">
        <v>43309</v>
      </c>
      <c r="B1518" s="263" t="s">
        <v>4903</v>
      </c>
      <c r="C1518" s="744" t="s">
        <v>4911</v>
      </c>
      <c r="D1518" s="250" t="s">
        <v>4912</v>
      </c>
      <c r="E1518" s="595" t="s">
        <v>4915</v>
      </c>
      <c r="F1518" s="251">
        <v>1</v>
      </c>
      <c r="G1518" s="252">
        <v>53</v>
      </c>
      <c r="H1518" s="253">
        <f t="shared" si="135"/>
        <v>53</v>
      </c>
      <c r="I1518" s="254" t="s">
        <v>3712</v>
      </c>
      <c r="J1518" s="267" t="s">
        <v>3588</v>
      </c>
      <c r="K1518" s="256">
        <v>43321</v>
      </c>
      <c r="L1518" s="256"/>
      <c r="M1518" s="256">
        <v>43321</v>
      </c>
      <c r="N1518" s="331" t="s">
        <v>89</v>
      </c>
      <c r="O1518" s="308" t="s">
        <v>4913</v>
      </c>
      <c r="Q1518" s="266">
        <v>48.3</v>
      </c>
      <c r="R1518" s="1394"/>
      <c r="S1518" s="1394"/>
      <c r="U1518" s="328"/>
      <c r="V1518" s="338" t="s">
        <v>93</v>
      </c>
      <c r="W1518" s="789">
        <v>43373</v>
      </c>
      <c r="X1518" s="748">
        <v>43320</v>
      </c>
      <c r="Y1518" s="744" t="s">
        <v>4914</v>
      </c>
      <c r="Z1518" s="744" t="s">
        <v>4916</v>
      </c>
      <c r="AA1518" s="748">
        <v>43378</v>
      </c>
      <c r="AB1518" s="744" t="s">
        <v>4910</v>
      </c>
      <c r="AC1518" s="744">
        <v>9681419860</v>
      </c>
      <c r="AD1518" s="744"/>
      <c r="AE1518" s="744"/>
      <c r="AF1518" s="744"/>
      <c r="AG1518" s="251" t="s">
        <v>283</v>
      </c>
    </row>
    <row r="1519" spans="1:33" ht="15.75" customHeight="1">
      <c r="A1519" s="743">
        <v>43311</v>
      </c>
      <c r="B1519" s="263" t="s">
        <v>228</v>
      </c>
      <c r="C1519" s="744"/>
      <c r="D1519" s="250" t="s">
        <v>4917</v>
      </c>
      <c r="E1519" s="595" t="s">
        <v>231</v>
      </c>
      <c r="F1519" s="251">
        <v>10</v>
      </c>
      <c r="G1519" s="323">
        <v>407.4</v>
      </c>
      <c r="H1519" s="253">
        <f t="shared" si="135"/>
        <v>4074</v>
      </c>
      <c r="I1519" s="254" t="s">
        <v>170</v>
      </c>
      <c r="J1519" s="367" t="s">
        <v>89</v>
      </c>
      <c r="K1519" s="256">
        <v>43333</v>
      </c>
      <c r="L1519" s="256"/>
      <c r="M1519" s="256">
        <v>43333</v>
      </c>
      <c r="N1519" s="331" t="s">
        <v>89</v>
      </c>
      <c r="O1519" s="308" t="s">
        <v>4918</v>
      </c>
      <c r="Q1519" s="266">
        <v>3727.5</v>
      </c>
      <c r="R1519" s="1394"/>
      <c r="S1519" s="1394"/>
      <c r="U1519" s="328"/>
      <c r="V1519" s="338" t="s">
        <v>93</v>
      </c>
      <c r="W1519" s="789">
        <v>43373</v>
      </c>
      <c r="X1519" s="750">
        <v>43333</v>
      </c>
      <c r="Y1519" s="250" t="s">
        <v>4919</v>
      </c>
      <c r="Z1519" s="753">
        <v>134463</v>
      </c>
      <c r="AA1519" s="748">
        <v>43378</v>
      </c>
      <c r="AB1519" s="744" t="s">
        <v>4920</v>
      </c>
      <c r="AC1519" s="744"/>
      <c r="AD1519" s="744" t="s">
        <v>4921</v>
      </c>
      <c r="AE1519" s="749">
        <v>147279</v>
      </c>
      <c r="AF1519" s="744"/>
      <c r="AG1519" s="251" t="s">
        <v>376</v>
      </c>
    </row>
    <row r="1520" spans="1:33" ht="15.75" customHeight="1">
      <c r="A1520" s="743">
        <v>43311</v>
      </c>
      <c r="B1520" s="263" t="s">
        <v>228</v>
      </c>
      <c r="C1520" s="744"/>
      <c r="D1520" s="250" t="s">
        <v>4917</v>
      </c>
      <c r="E1520" s="592" t="s">
        <v>728</v>
      </c>
      <c r="F1520" s="251">
        <v>2</v>
      </c>
      <c r="G1520" s="772">
        <v>336</v>
      </c>
      <c r="H1520" s="253">
        <f t="shared" si="135"/>
        <v>672</v>
      </c>
      <c r="I1520" s="254" t="s">
        <v>170</v>
      </c>
      <c r="J1520" s="367" t="s">
        <v>89</v>
      </c>
      <c r="K1520" s="256">
        <v>43333</v>
      </c>
      <c r="L1520" s="256"/>
      <c r="M1520" s="256">
        <v>43333</v>
      </c>
      <c r="N1520" s="331" t="s">
        <v>89</v>
      </c>
      <c r="O1520" s="308" t="s">
        <v>4918</v>
      </c>
      <c r="Q1520" s="266">
        <v>602.70000000000005</v>
      </c>
      <c r="R1520" s="1394"/>
      <c r="S1520" s="1394"/>
      <c r="U1520" s="328"/>
      <c r="V1520" s="338" t="s">
        <v>93</v>
      </c>
      <c r="W1520" s="789">
        <v>43373</v>
      </c>
      <c r="X1520" s="750">
        <v>43333</v>
      </c>
      <c r="Y1520" s="250" t="s">
        <v>4919</v>
      </c>
      <c r="Z1520" s="749" t="s">
        <v>4922</v>
      </c>
      <c r="AA1520" s="748">
        <v>43378</v>
      </c>
      <c r="AB1520" s="744" t="s">
        <v>4920</v>
      </c>
      <c r="AC1520" s="744"/>
      <c r="AD1520" s="744" t="s">
        <v>4921</v>
      </c>
      <c r="AE1520" s="744" t="s">
        <v>4923</v>
      </c>
      <c r="AF1520" s="744"/>
      <c r="AG1520" s="251" t="s">
        <v>376</v>
      </c>
    </row>
    <row r="1521" spans="1:33" ht="15.75" customHeight="1">
      <c r="A1521" s="743">
        <v>43311</v>
      </c>
      <c r="B1521" s="263" t="s">
        <v>228</v>
      </c>
      <c r="C1521" s="744"/>
      <c r="D1521" s="250" t="s">
        <v>4917</v>
      </c>
      <c r="E1521" s="799" t="s">
        <v>729</v>
      </c>
      <c r="F1521" s="251">
        <v>2</v>
      </c>
      <c r="G1521" s="323">
        <v>21</v>
      </c>
      <c r="H1521" s="253">
        <f t="shared" si="135"/>
        <v>42</v>
      </c>
      <c r="I1521" s="254" t="s">
        <v>170</v>
      </c>
      <c r="J1521" s="367" t="s">
        <v>89</v>
      </c>
      <c r="K1521" s="256">
        <v>43333</v>
      </c>
      <c r="L1521" s="256"/>
      <c r="M1521" s="256">
        <v>43333</v>
      </c>
      <c r="N1521" s="331" t="s">
        <v>89</v>
      </c>
      <c r="O1521" s="308" t="s">
        <v>4918</v>
      </c>
      <c r="Q1521" s="266">
        <v>35.49</v>
      </c>
      <c r="R1521" s="1394"/>
      <c r="S1521" s="1394"/>
      <c r="U1521" s="328"/>
      <c r="V1521" s="338" t="s">
        <v>93</v>
      </c>
      <c r="W1521" s="789">
        <v>43373</v>
      </c>
      <c r="X1521" s="750">
        <v>43333</v>
      </c>
      <c r="Y1521" s="250" t="s">
        <v>4919</v>
      </c>
      <c r="Z1521" s="749" t="s">
        <v>4922</v>
      </c>
      <c r="AA1521" s="748">
        <v>43378</v>
      </c>
      <c r="AB1521" s="744" t="s">
        <v>4920</v>
      </c>
      <c r="AC1521" s="744"/>
      <c r="AD1521" s="744" t="s">
        <v>4921</v>
      </c>
      <c r="AE1521" s="744" t="s">
        <v>4923</v>
      </c>
      <c r="AF1521" s="744"/>
      <c r="AG1521" s="251" t="s">
        <v>376</v>
      </c>
    </row>
    <row r="1522" spans="1:33" ht="15.75" customHeight="1">
      <c r="A1522" s="755">
        <v>43312</v>
      </c>
      <c r="B1522" s="338" t="s">
        <v>53</v>
      </c>
      <c r="C1522" s="250" t="s">
        <v>4924</v>
      </c>
      <c r="D1522" s="308" t="s">
        <v>4925</v>
      </c>
      <c r="E1522" s="571" t="s">
        <v>385</v>
      </c>
      <c r="F1522" s="264">
        <v>10</v>
      </c>
      <c r="G1522" s="252">
        <v>150.15</v>
      </c>
      <c r="H1522" s="265">
        <f t="shared" si="135"/>
        <v>1501.5</v>
      </c>
      <c r="I1522" s="264" t="s">
        <v>42</v>
      </c>
      <c r="J1522" s="251" t="s">
        <v>89</v>
      </c>
      <c r="K1522" s="256">
        <v>43325</v>
      </c>
      <c r="L1522" s="256"/>
      <c r="M1522" s="256">
        <v>43325</v>
      </c>
      <c r="N1522" s="331" t="s">
        <v>89</v>
      </c>
      <c r="O1522" s="308" t="s">
        <v>4926</v>
      </c>
      <c r="Q1522" s="266">
        <v>1344</v>
      </c>
      <c r="R1522" s="1394"/>
      <c r="S1522" s="1394"/>
      <c r="U1522" s="328"/>
      <c r="V1522" s="338" t="s">
        <v>93</v>
      </c>
      <c r="W1522" s="841">
        <v>43373</v>
      </c>
      <c r="X1522" s="748">
        <v>43325</v>
      </c>
      <c r="Y1522" s="744" t="s">
        <v>4927</v>
      </c>
      <c r="Z1522" s="749">
        <v>41194</v>
      </c>
      <c r="AA1522" s="748">
        <v>43378</v>
      </c>
      <c r="AB1522" s="744" t="s">
        <v>4928</v>
      </c>
      <c r="AC1522" s="744"/>
      <c r="AD1522" s="842" t="s">
        <v>4929</v>
      </c>
      <c r="AE1522" s="749">
        <v>46096</v>
      </c>
      <c r="AF1522" s="744" t="s">
        <v>4930</v>
      </c>
      <c r="AG1522" s="251" t="s">
        <v>376</v>
      </c>
    </row>
    <row r="1523" spans="1:33" ht="15.75" customHeight="1">
      <c r="A1523" s="743">
        <v>43312</v>
      </c>
      <c r="B1523" s="263" t="s">
        <v>129</v>
      </c>
      <c r="C1523" s="744" t="s">
        <v>4931</v>
      </c>
      <c r="D1523" s="250" t="s">
        <v>4932</v>
      </c>
      <c r="E1523" s="595" t="s">
        <v>4933</v>
      </c>
      <c r="F1523" s="251">
        <v>1</v>
      </c>
      <c r="G1523" s="252">
        <v>243</v>
      </c>
      <c r="H1523" s="253">
        <v>243</v>
      </c>
      <c r="I1523" s="254" t="s">
        <v>419</v>
      </c>
      <c r="J1523" s="828" t="s">
        <v>4725</v>
      </c>
      <c r="K1523" s="256">
        <v>43326</v>
      </c>
      <c r="L1523" s="256"/>
      <c r="M1523" s="256">
        <v>43325</v>
      </c>
      <c r="N1523" s="331" t="s">
        <v>89</v>
      </c>
      <c r="O1523" s="308" t="s">
        <v>4934</v>
      </c>
      <c r="Q1523" s="266">
        <v>221.55</v>
      </c>
      <c r="R1523" s="1394"/>
      <c r="S1523" s="1394"/>
      <c r="U1523" s="328"/>
      <c r="V1523" s="338" t="s">
        <v>93</v>
      </c>
      <c r="W1523" s="747">
        <v>43373</v>
      </c>
      <c r="X1523" s="748">
        <v>43320</v>
      </c>
      <c r="Y1523" s="744" t="s">
        <v>4935</v>
      </c>
      <c r="Z1523" s="749">
        <v>6773</v>
      </c>
      <c r="AA1523" s="748">
        <v>43378</v>
      </c>
      <c r="AB1523" s="744" t="s">
        <v>4856</v>
      </c>
      <c r="AC1523" s="744">
        <v>2293785163</v>
      </c>
      <c r="AD1523" s="744"/>
      <c r="AE1523" s="744"/>
      <c r="AF1523" s="744"/>
      <c r="AG1523" s="251" t="s">
        <v>283</v>
      </c>
    </row>
    <row r="1524" spans="1:33" ht="15.75" customHeight="1">
      <c r="A1524" s="743">
        <v>43312</v>
      </c>
      <c r="B1524" s="144" t="s">
        <v>76</v>
      </c>
      <c r="C1524" s="744">
        <v>861</v>
      </c>
      <c r="D1524" s="250" t="s">
        <v>4936</v>
      </c>
      <c r="E1524" s="595" t="s">
        <v>4937</v>
      </c>
      <c r="F1524" s="251">
        <v>35</v>
      </c>
      <c r="G1524" s="252">
        <v>155</v>
      </c>
      <c r="H1524" s="253">
        <f t="shared" ref="H1524:H1533" si="136">G1524*F1524</f>
        <v>5425</v>
      </c>
      <c r="I1524" s="254" t="s">
        <v>42</v>
      </c>
      <c r="J1524" s="843" t="s">
        <v>4938</v>
      </c>
      <c r="K1524" s="256">
        <v>43343</v>
      </c>
      <c r="L1524" s="256"/>
      <c r="M1524" s="256">
        <v>43320</v>
      </c>
      <c r="N1524" s="331" t="s">
        <v>4939</v>
      </c>
      <c r="O1524" s="308" t="s">
        <v>4940</v>
      </c>
      <c r="Q1524" s="591"/>
      <c r="R1524" s="1406"/>
      <c r="S1524" s="1406"/>
      <c r="U1524" s="572">
        <v>63144</v>
      </c>
      <c r="V1524" s="597" t="s">
        <v>4941</v>
      </c>
      <c r="W1524" s="574" t="s">
        <v>421</v>
      </c>
      <c r="X1524" s="748">
        <v>43320</v>
      </c>
      <c r="Y1524" s="250" t="s">
        <v>4942</v>
      </c>
      <c r="Z1524" s="753">
        <v>63144</v>
      </c>
      <c r="AA1524" s="748">
        <v>43319</v>
      </c>
      <c r="AB1524" s="744" t="s">
        <v>4943</v>
      </c>
      <c r="AC1524" s="598" t="s">
        <v>4944</v>
      </c>
      <c r="AD1524" s="744"/>
      <c r="AE1524" s="744"/>
      <c r="AF1524" s="744"/>
      <c r="AG1524" s="251" t="s">
        <v>283</v>
      </c>
    </row>
    <row r="1525" spans="1:33" ht="15.75" customHeight="1">
      <c r="A1525" s="743">
        <v>43312</v>
      </c>
      <c r="B1525" s="144" t="s">
        <v>76</v>
      </c>
      <c r="C1525" s="744">
        <v>861</v>
      </c>
      <c r="D1525" s="250" t="s">
        <v>4936</v>
      </c>
      <c r="E1525" s="420" t="s">
        <v>4234</v>
      </c>
      <c r="F1525" s="251">
        <v>35</v>
      </c>
      <c r="G1525" s="252">
        <v>0</v>
      </c>
      <c r="H1525" s="253">
        <f t="shared" si="136"/>
        <v>0</v>
      </c>
      <c r="I1525" s="254" t="s">
        <v>42</v>
      </c>
      <c r="J1525" s="844" t="s">
        <v>4938</v>
      </c>
      <c r="K1525" s="256">
        <v>43343</v>
      </c>
      <c r="L1525" s="256"/>
      <c r="M1525" s="256">
        <v>43327</v>
      </c>
      <c r="N1525" s="331" t="s">
        <v>1512</v>
      </c>
      <c r="O1525" s="308" t="s">
        <v>4945</v>
      </c>
      <c r="Q1525" s="591"/>
      <c r="R1525" s="1406"/>
      <c r="S1525" s="1406"/>
      <c r="U1525" s="308">
        <v>0</v>
      </c>
      <c r="V1525" s="597" t="s">
        <v>4226</v>
      </c>
      <c r="W1525" s="328"/>
      <c r="X1525" s="748">
        <v>43326</v>
      </c>
      <c r="Y1525" s="744" t="s">
        <v>4946</v>
      </c>
      <c r="Z1525" s="744" t="s">
        <v>4947</v>
      </c>
      <c r="AA1525" s="746"/>
      <c r="AB1525" s="744" t="s">
        <v>4943</v>
      </c>
      <c r="AC1525" s="845" t="s">
        <v>4944</v>
      </c>
      <c r="AD1525" s="744"/>
      <c r="AE1525" s="744"/>
      <c r="AF1525" s="744"/>
      <c r="AG1525" s="251" t="s">
        <v>283</v>
      </c>
    </row>
    <row r="1526" spans="1:33" ht="15.75" customHeight="1">
      <c r="A1526" s="743">
        <v>43312</v>
      </c>
      <c r="B1526" s="144" t="s">
        <v>76</v>
      </c>
      <c r="C1526" s="744">
        <v>861</v>
      </c>
      <c r="D1526" s="250" t="s">
        <v>4936</v>
      </c>
      <c r="E1526" s="250" t="s">
        <v>645</v>
      </c>
      <c r="F1526" s="251">
        <v>35</v>
      </c>
      <c r="G1526" s="252">
        <v>0</v>
      </c>
      <c r="H1526" s="253">
        <f t="shared" si="136"/>
        <v>0</v>
      </c>
      <c r="I1526" s="254" t="s">
        <v>42</v>
      </c>
      <c r="J1526" s="844" t="s">
        <v>4938</v>
      </c>
      <c r="K1526" s="256">
        <v>43343</v>
      </c>
      <c r="L1526" s="256"/>
      <c r="M1526" s="256">
        <v>43327</v>
      </c>
      <c r="N1526" s="331" t="s">
        <v>1512</v>
      </c>
      <c r="O1526" s="308" t="s">
        <v>4945</v>
      </c>
      <c r="Q1526" s="591"/>
      <c r="R1526" s="1406"/>
      <c r="S1526" s="1406"/>
      <c r="U1526" s="308">
        <v>0</v>
      </c>
      <c r="V1526" s="597" t="s">
        <v>4226</v>
      </c>
      <c r="W1526" s="328"/>
      <c r="X1526" s="748">
        <v>43326</v>
      </c>
      <c r="Y1526" s="744" t="s">
        <v>4946</v>
      </c>
      <c r="Z1526" s="744" t="s">
        <v>4947</v>
      </c>
      <c r="AA1526" s="746"/>
      <c r="AB1526" s="744" t="s">
        <v>4943</v>
      </c>
      <c r="AC1526" s="845" t="s">
        <v>4944</v>
      </c>
      <c r="AD1526" s="744"/>
      <c r="AE1526" s="744"/>
      <c r="AF1526" s="744"/>
      <c r="AG1526" s="251" t="s">
        <v>283</v>
      </c>
    </row>
    <row r="1527" spans="1:33" ht="15.75" customHeight="1">
      <c r="A1527" s="743">
        <v>43312</v>
      </c>
      <c r="B1527" s="144" t="s">
        <v>76</v>
      </c>
      <c r="C1527" s="744">
        <v>861</v>
      </c>
      <c r="D1527" s="250" t="s">
        <v>4936</v>
      </c>
      <c r="E1527" s="250" t="s">
        <v>646</v>
      </c>
      <c r="F1527" s="251">
        <v>35</v>
      </c>
      <c r="G1527" s="252">
        <v>0</v>
      </c>
      <c r="H1527" s="253">
        <f t="shared" si="136"/>
        <v>0</v>
      </c>
      <c r="I1527" s="254" t="s">
        <v>42</v>
      </c>
      <c r="J1527" s="844" t="s">
        <v>4938</v>
      </c>
      <c r="K1527" s="256">
        <v>43343</v>
      </c>
      <c r="L1527" s="256"/>
      <c r="M1527" s="256">
        <v>43327</v>
      </c>
      <c r="N1527" s="331" t="s">
        <v>1512</v>
      </c>
      <c r="O1527" s="308" t="s">
        <v>4945</v>
      </c>
      <c r="Q1527" s="591"/>
      <c r="R1527" s="1406"/>
      <c r="S1527" s="1406"/>
      <c r="U1527" s="308">
        <v>0</v>
      </c>
      <c r="V1527" s="597" t="s">
        <v>4226</v>
      </c>
      <c r="W1527" s="328"/>
      <c r="X1527" s="748">
        <v>43326</v>
      </c>
      <c r="Y1527" s="744" t="s">
        <v>4946</v>
      </c>
      <c r="Z1527" s="744" t="s">
        <v>4947</v>
      </c>
      <c r="AA1527" s="746"/>
      <c r="AB1527" s="744" t="s">
        <v>4943</v>
      </c>
      <c r="AC1527" s="845" t="s">
        <v>4944</v>
      </c>
      <c r="AD1527" s="744"/>
      <c r="AE1527" s="744"/>
      <c r="AF1527" s="744"/>
      <c r="AG1527" s="251" t="s">
        <v>283</v>
      </c>
    </row>
    <row r="1528" spans="1:33" ht="15.75" customHeight="1">
      <c r="A1528" s="743">
        <v>43312</v>
      </c>
      <c r="B1528" s="144" t="s">
        <v>76</v>
      </c>
      <c r="C1528" s="744">
        <v>861</v>
      </c>
      <c r="D1528" s="250" t="s">
        <v>4936</v>
      </c>
      <c r="E1528" s="250" t="s">
        <v>647</v>
      </c>
      <c r="F1528" s="251">
        <v>35</v>
      </c>
      <c r="G1528" s="252">
        <v>0</v>
      </c>
      <c r="H1528" s="253">
        <f t="shared" si="136"/>
        <v>0</v>
      </c>
      <c r="I1528" s="254" t="s">
        <v>42</v>
      </c>
      <c r="J1528" s="844" t="s">
        <v>4938</v>
      </c>
      <c r="K1528" s="256">
        <v>43343</v>
      </c>
      <c r="L1528" s="256"/>
      <c r="M1528" s="256">
        <v>43327</v>
      </c>
      <c r="N1528" s="331" t="s">
        <v>1512</v>
      </c>
      <c r="O1528" s="308" t="s">
        <v>4945</v>
      </c>
      <c r="Q1528" s="591"/>
      <c r="R1528" s="1406"/>
      <c r="S1528" s="1406"/>
      <c r="U1528" s="572">
        <v>77285</v>
      </c>
      <c r="V1528" s="597" t="s">
        <v>4226</v>
      </c>
      <c r="W1528" s="747">
        <v>43348</v>
      </c>
      <c r="X1528" s="748">
        <v>43326</v>
      </c>
      <c r="Y1528" s="744" t="s">
        <v>4946</v>
      </c>
      <c r="Z1528" s="749">
        <v>84005</v>
      </c>
      <c r="AA1528" s="748">
        <v>43349</v>
      </c>
      <c r="AB1528" s="744" t="s">
        <v>4943</v>
      </c>
      <c r="AC1528" s="845" t="s">
        <v>4944</v>
      </c>
      <c r="AD1528" s="744"/>
      <c r="AE1528" s="744"/>
      <c r="AF1528" s="744"/>
      <c r="AG1528" s="251" t="s">
        <v>283</v>
      </c>
    </row>
    <row r="1529" spans="1:33" ht="15.75" customHeight="1">
      <c r="A1529" s="743">
        <v>43312</v>
      </c>
      <c r="B1529" s="144" t="s">
        <v>76</v>
      </c>
      <c r="C1529" s="744">
        <v>861</v>
      </c>
      <c r="D1529" s="250" t="s">
        <v>4936</v>
      </c>
      <c r="E1529" s="250" t="s">
        <v>4948</v>
      </c>
      <c r="F1529" s="251">
        <v>35</v>
      </c>
      <c r="G1529" s="252">
        <v>0</v>
      </c>
      <c r="H1529" s="253">
        <f t="shared" si="136"/>
        <v>0</v>
      </c>
      <c r="I1529" s="254" t="s">
        <v>42</v>
      </c>
      <c r="J1529" s="844" t="s">
        <v>4938</v>
      </c>
      <c r="K1529" s="256">
        <v>43343</v>
      </c>
      <c r="L1529" s="256"/>
      <c r="M1529" s="256">
        <v>43333</v>
      </c>
      <c r="N1529" s="331" t="s">
        <v>2006</v>
      </c>
      <c r="O1529" s="308" t="s">
        <v>4949</v>
      </c>
      <c r="Q1529" s="591"/>
      <c r="R1529" s="1406"/>
      <c r="S1529" s="1406"/>
      <c r="U1529" s="574">
        <v>882</v>
      </c>
      <c r="V1529" s="328" t="s">
        <v>2146</v>
      </c>
      <c r="W1529" s="747">
        <v>43348</v>
      </c>
      <c r="X1529" s="748">
        <v>43332</v>
      </c>
      <c r="Y1529" s="744" t="s">
        <v>4950</v>
      </c>
      <c r="Z1529" s="749">
        <v>4961</v>
      </c>
      <c r="AA1529" s="748">
        <v>43349</v>
      </c>
      <c r="AB1529" s="744" t="s">
        <v>4943</v>
      </c>
      <c r="AC1529" s="845" t="s">
        <v>4944</v>
      </c>
      <c r="AD1529" s="744"/>
      <c r="AE1529" s="744"/>
      <c r="AF1529" s="744"/>
      <c r="AG1529" s="251" t="s">
        <v>283</v>
      </c>
    </row>
    <row r="1530" spans="1:33" ht="15.75" customHeight="1">
      <c r="A1530" s="743">
        <v>43312</v>
      </c>
      <c r="B1530" s="144" t="s">
        <v>76</v>
      </c>
      <c r="C1530" s="744">
        <v>861</v>
      </c>
      <c r="D1530" s="250" t="s">
        <v>4936</v>
      </c>
      <c r="E1530" s="595" t="s">
        <v>4216</v>
      </c>
      <c r="F1530" s="251">
        <v>35</v>
      </c>
      <c r="G1530" s="252">
        <v>6</v>
      </c>
      <c r="H1530" s="253">
        <f t="shared" si="136"/>
        <v>210</v>
      </c>
      <c r="I1530" s="254" t="s">
        <v>42</v>
      </c>
      <c r="J1530" s="844" t="s">
        <v>4938</v>
      </c>
      <c r="K1530" s="256">
        <v>43343</v>
      </c>
      <c r="L1530" s="256"/>
      <c r="M1530" s="256">
        <v>43333</v>
      </c>
      <c r="N1530" s="331" t="s">
        <v>2006</v>
      </c>
      <c r="O1530" s="308" t="s">
        <v>4949</v>
      </c>
      <c r="Q1530" s="591"/>
      <c r="R1530" s="1406"/>
      <c r="S1530" s="1406"/>
      <c r="U1530" s="572">
        <v>3234</v>
      </c>
      <c r="V1530" s="328" t="s">
        <v>2146</v>
      </c>
      <c r="W1530" s="747">
        <v>43348</v>
      </c>
      <c r="X1530" s="748">
        <v>43332</v>
      </c>
      <c r="Y1530" s="744" t="s">
        <v>4950</v>
      </c>
      <c r="Z1530" s="744" t="s">
        <v>2639</v>
      </c>
      <c r="AA1530" s="748">
        <v>43349</v>
      </c>
      <c r="AB1530" s="744" t="s">
        <v>4943</v>
      </c>
      <c r="AC1530" s="845" t="s">
        <v>4944</v>
      </c>
      <c r="AD1530" s="744"/>
      <c r="AE1530" s="744"/>
      <c r="AF1530" s="744"/>
      <c r="AG1530" s="251" t="s">
        <v>283</v>
      </c>
    </row>
    <row r="1531" spans="1:33" ht="15.75" customHeight="1">
      <c r="A1531" s="743">
        <v>43312</v>
      </c>
      <c r="B1531" s="144" t="s">
        <v>76</v>
      </c>
      <c r="C1531" s="744">
        <v>861</v>
      </c>
      <c r="D1531" s="250" t="s">
        <v>4936</v>
      </c>
      <c r="E1531" s="595" t="s">
        <v>4218</v>
      </c>
      <c r="F1531" s="251">
        <v>35</v>
      </c>
      <c r="G1531" s="252">
        <v>2</v>
      </c>
      <c r="H1531" s="253">
        <f t="shared" si="136"/>
        <v>70</v>
      </c>
      <c r="I1531" s="254" t="s">
        <v>42</v>
      </c>
      <c r="J1531" s="844" t="s">
        <v>4938</v>
      </c>
      <c r="K1531" s="256">
        <v>43343</v>
      </c>
      <c r="L1531" s="256"/>
      <c r="M1531" s="256">
        <v>43333</v>
      </c>
      <c r="N1531" s="331" t="s">
        <v>2006</v>
      </c>
      <c r="O1531" s="308" t="s">
        <v>4949</v>
      </c>
      <c r="Q1531" s="591"/>
      <c r="R1531" s="1406"/>
      <c r="S1531" s="1406"/>
      <c r="U1531" s="572">
        <v>845</v>
      </c>
      <c r="V1531" s="328" t="s">
        <v>2146</v>
      </c>
      <c r="W1531" s="747">
        <v>43348</v>
      </c>
      <c r="X1531" s="748">
        <v>43332</v>
      </c>
      <c r="Y1531" s="744" t="s">
        <v>4950</v>
      </c>
      <c r="Z1531" s="744" t="s">
        <v>2639</v>
      </c>
      <c r="AA1531" s="748">
        <v>43349</v>
      </c>
      <c r="AB1531" s="744" t="s">
        <v>4943</v>
      </c>
      <c r="AC1531" s="845" t="s">
        <v>4944</v>
      </c>
      <c r="AD1531" s="744"/>
      <c r="AE1531" s="744"/>
      <c r="AF1531" s="744"/>
      <c r="AG1531" s="251" t="s">
        <v>283</v>
      </c>
    </row>
    <row r="1532" spans="1:33" ht="15.75" customHeight="1">
      <c r="A1532" s="743">
        <v>43314</v>
      </c>
      <c r="B1532" s="263" t="s">
        <v>76</v>
      </c>
      <c r="C1532" s="744">
        <v>873</v>
      </c>
      <c r="D1532" s="250" t="s">
        <v>4951</v>
      </c>
      <c r="E1532" s="571" t="s">
        <v>477</v>
      </c>
      <c r="F1532" s="264">
        <v>50</v>
      </c>
      <c r="G1532" s="252">
        <v>2.25</v>
      </c>
      <c r="H1532" s="253">
        <f t="shared" si="136"/>
        <v>112.5</v>
      </c>
      <c r="I1532" s="254" t="s">
        <v>42</v>
      </c>
      <c r="J1532" s="844" t="s">
        <v>4938</v>
      </c>
      <c r="K1532" s="256">
        <v>43343</v>
      </c>
      <c r="L1532" s="256"/>
      <c r="M1532" s="256">
        <v>43315</v>
      </c>
      <c r="N1532" s="264" t="s">
        <v>178</v>
      </c>
      <c r="O1532" s="308" t="s">
        <v>4952</v>
      </c>
      <c r="Q1532" s="591"/>
      <c r="R1532" s="1406"/>
      <c r="S1532" s="1406"/>
      <c r="U1532" s="328"/>
      <c r="V1532" s="308"/>
      <c r="W1532" s="328"/>
      <c r="X1532" s="745"/>
      <c r="Y1532" s="745"/>
      <c r="Z1532" s="745"/>
      <c r="AA1532" s="746"/>
      <c r="AB1532" s="744" t="s">
        <v>4943</v>
      </c>
      <c r="AC1532" s="845" t="s">
        <v>4944</v>
      </c>
      <c r="AD1532" s="744"/>
      <c r="AE1532" s="744"/>
      <c r="AF1532" s="744"/>
      <c r="AG1532" s="251" t="s">
        <v>283</v>
      </c>
    </row>
    <row r="1533" spans="1:33" ht="15.75" customHeight="1">
      <c r="A1533" s="755">
        <v>43314</v>
      </c>
      <c r="B1533" s="338" t="s">
        <v>76</v>
      </c>
      <c r="C1533" s="250">
        <v>873</v>
      </c>
      <c r="D1533" s="308" t="s">
        <v>4951</v>
      </c>
      <c r="E1533" s="597" t="s">
        <v>712</v>
      </c>
      <c r="F1533" s="264">
        <v>50</v>
      </c>
      <c r="G1533" s="265">
        <v>1.9</v>
      </c>
      <c r="H1533" s="253">
        <f t="shared" si="136"/>
        <v>95</v>
      </c>
      <c r="I1533" s="254" t="s">
        <v>42</v>
      </c>
      <c r="J1533" s="844" t="s">
        <v>4938</v>
      </c>
      <c r="K1533" s="256">
        <v>43343</v>
      </c>
      <c r="L1533" s="256"/>
      <c r="M1533" s="256">
        <v>43315</v>
      </c>
      <c r="N1533" s="264" t="s">
        <v>178</v>
      </c>
      <c r="O1533" s="308" t="s">
        <v>4953</v>
      </c>
      <c r="Q1533" s="591"/>
      <c r="R1533" s="1406"/>
      <c r="S1533" s="1406"/>
      <c r="U1533" s="328"/>
      <c r="V1533" s="308"/>
      <c r="W1533" s="328"/>
      <c r="X1533" s="745"/>
      <c r="Y1533" s="745"/>
      <c r="Z1533" s="745"/>
      <c r="AA1533" s="746"/>
      <c r="AB1533" s="744" t="s">
        <v>4943</v>
      </c>
      <c r="AC1533" s="598" t="s">
        <v>4944</v>
      </c>
      <c r="AD1533" s="744"/>
      <c r="AE1533" s="744"/>
      <c r="AF1533" s="744"/>
      <c r="AG1533" s="251" t="s">
        <v>283</v>
      </c>
    </row>
    <row r="1534" spans="1:33" ht="40.5" customHeight="1">
      <c r="A1534" s="846">
        <v>40396</v>
      </c>
      <c r="B1534" s="263" t="s">
        <v>415</v>
      </c>
      <c r="C1534" s="744" t="s">
        <v>4954</v>
      </c>
      <c r="D1534" s="250" t="s">
        <v>4955</v>
      </c>
      <c r="E1534" s="847" t="s">
        <v>3430</v>
      </c>
      <c r="F1534" s="251">
        <v>1</v>
      </c>
      <c r="G1534" s="252">
        <v>345</v>
      </c>
      <c r="H1534" s="253">
        <v>345</v>
      </c>
      <c r="I1534" s="254" t="s">
        <v>419</v>
      </c>
      <c r="J1534" s="847" t="s">
        <v>4629</v>
      </c>
      <c r="K1534" s="256">
        <v>43335</v>
      </c>
      <c r="L1534" s="256"/>
      <c r="M1534" s="401" t="s">
        <v>4630</v>
      </c>
      <c r="N1534" s="331" t="s">
        <v>3432</v>
      </c>
      <c r="O1534" s="590" t="s">
        <v>4956</v>
      </c>
      <c r="Q1534" s="591"/>
      <c r="R1534" s="1406"/>
      <c r="S1534" s="1406"/>
      <c r="U1534" s="572">
        <v>10401</v>
      </c>
      <c r="V1534" s="308" t="s">
        <v>2045</v>
      </c>
      <c r="W1534" s="747">
        <v>43404</v>
      </c>
      <c r="X1534" s="748">
        <v>43326</v>
      </c>
      <c r="Y1534" s="744" t="s">
        <v>4957</v>
      </c>
      <c r="Z1534" s="749">
        <v>10401</v>
      </c>
      <c r="AA1534" s="748">
        <v>43382</v>
      </c>
      <c r="AB1534" s="744" t="s">
        <v>4633</v>
      </c>
      <c r="AC1534" s="744" t="s">
        <v>4634</v>
      </c>
      <c r="AD1534" s="744"/>
      <c r="AE1534" s="744"/>
      <c r="AF1534" s="744"/>
      <c r="AG1534" s="251" t="s">
        <v>283</v>
      </c>
    </row>
    <row r="1535" spans="1:33" ht="15.75" customHeight="1">
      <c r="A1535" s="846">
        <v>40396</v>
      </c>
      <c r="B1535" s="263" t="s">
        <v>415</v>
      </c>
      <c r="C1535" s="744" t="s">
        <v>4954</v>
      </c>
      <c r="D1535" s="250" t="s">
        <v>4955</v>
      </c>
      <c r="E1535" s="595" t="s">
        <v>3437</v>
      </c>
      <c r="F1535" s="251">
        <v>1</v>
      </c>
      <c r="G1535" s="252">
        <v>55</v>
      </c>
      <c r="H1535" s="253">
        <v>55</v>
      </c>
      <c r="I1535" s="254" t="s">
        <v>419</v>
      </c>
      <c r="J1535" s="847" t="s">
        <v>4629</v>
      </c>
      <c r="K1535" s="256">
        <v>43335</v>
      </c>
      <c r="L1535" s="256"/>
      <c r="M1535" s="256">
        <v>43333</v>
      </c>
      <c r="N1535" s="251" t="s">
        <v>2051</v>
      </c>
      <c r="O1535" s="590" t="s">
        <v>4958</v>
      </c>
      <c r="Q1535" s="591"/>
      <c r="R1535" s="1406"/>
      <c r="S1535" s="1406"/>
      <c r="U1535" s="572">
        <v>1260</v>
      </c>
      <c r="V1535" s="597" t="s">
        <v>2053</v>
      </c>
      <c r="W1535" s="574" t="s">
        <v>421</v>
      </c>
      <c r="X1535" s="748">
        <v>43333</v>
      </c>
      <c r="Y1535" s="744" t="s">
        <v>4636</v>
      </c>
      <c r="Z1535" s="744" t="s">
        <v>4959</v>
      </c>
      <c r="AA1535" s="748">
        <v>43327</v>
      </c>
      <c r="AB1535" s="744" t="s">
        <v>4633</v>
      </c>
      <c r="AC1535" s="744" t="s">
        <v>4634</v>
      </c>
      <c r="AD1535" s="744"/>
      <c r="AE1535" s="744"/>
      <c r="AF1535" s="744"/>
      <c r="AG1535" s="251" t="s">
        <v>283</v>
      </c>
    </row>
    <row r="1536" spans="1:33" ht="15.75" customHeight="1">
      <c r="A1536" s="743">
        <v>43318</v>
      </c>
      <c r="B1536" s="590" t="s">
        <v>405</v>
      </c>
      <c r="C1536" s="744">
        <v>7000140226</v>
      </c>
      <c r="D1536" s="250" t="s">
        <v>4960</v>
      </c>
      <c r="E1536" s="595" t="s">
        <v>1650</v>
      </c>
      <c r="F1536" s="251">
        <v>5</v>
      </c>
      <c r="G1536" s="252">
        <v>188</v>
      </c>
      <c r="H1536" s="253">
        <f t="shared" ref="H1536:H1563" si="137">G1536*F1536</f>
        <v>940</v>
      </c>
      <c r="I1536" s="254" t="s">
        <v>42</v>
      </c>
      <c r="J1536" s="401" t="s">
        <v>3840</v>
      </c>
      <c r="K1536" s="256">
        <v>43328</v>
      </c>
      <c r="L1536" s="256"/>
      <c r="M1536" s="256">
        <v>43326</v>
      </c>
      <c r="N1536" s="331" t="s">
        <v>3432</v>
      </c>
      <c r="O1536" s="308" t="s">
        <v>4961</v>
      </c>
      <c r="Q1536" s="591"/>
      <c r="R1536" s="1406"/>
      <c r="S1536" s="1406"/>
      <c r="U1536" s="572">
        <v>26108</v>
      </c>
      <c r="V1536" s="308" t="s">
        <v>2045</v>
      </c>
      <c r="W1536" s="747">
        <v>43404</v>
      </c>
      <c r="X1536" s="748">
        <v>43326</v>
      </c>
      <c r="Y1536" s="744" t="s">
        <v>4962</v>
      </c>
      <c r="Z1536" s="749">
        <v>33474</v>
      </c>
      <c r="AA1536" s="748">
        <v>43355</v>
      </c>
      <c r="AB1536" s="744" t="s">
        <v>4758</v>
      </c>
      <c r="AC1536" s="744">
        <v>2488726623</v>
      </c>
      <c r="AD1536" s="744"/>
      <c r="AE1536" s="744"/>
      <c r="AF1536" s="744"/>
      <c r="AG1536" s="251" t="s">
        <v>283</v>
      </c>
    </row>
    <row r="1537" spans="1:33" ht="15.75" customHeight="1">
      <c r="A1537" s="743">
        <v>43318</v>
      </c>
      <c r="B1537" s="590" t="s">
        <v>405</v>
      </c>
      <c r="C1537" s="744">
        <v>7000140226</v>
      </c>
      <c r="D1537" s="250" t="s">
        <v>4960</v>
      </c>
      <c r="E1537" s="595" t="s">
        <v>1652</v>
      </c>
      <c r="F1537" s="251">
        <v>5</v>
      </c>
      <c r="G1537" s="252">
        <v>56</v>
      </c>
      <c r="H1537" s="253">
        <f t="shared" si="137"/>
        <v>280</v>
      </c>
      <c r="I1537" s="254" t="s">
        <v>42</v>
      </c>
      <c r="J1537" s="401" t="s">
        <v>3840</v>
      </c>
      <c r="K1537" s="256">
        <v>43328</v>
      </c>
      <c r="L1537" s="256"/>
      <c r="M1537" s="256">
        <v>43326</v>
      </c>
      <c r="N1537" s="331" t="s">
        <v>3432</v>
      </c>
      <c r="O1537" s="308" t="s">
        <v>4961</v>
      </c>
      <c r="Q1537" s="591"/>
      <c r="R1537" s="1406"/>
      <c r="S1537" s="1406"/>
      <c r="U1537" s="572">
        <v>7366</v>
      </c>
      <c r="V1537" s="308" t="s">
        <v>2045</v>
      </c>
      <c r="W1537" s="747">
        <v>43404</v>
      </c>
      <c r="X1537" s="748">
        <v>43326</v>
      </c>
      <c r="Y1537" s="744" t="s">
        <v>4962</v>
      </c>
      <c r="Z1537" s="744" t="s">
        <v>4963</v>
      </c>
      <c r="AA1537" s="748">
        <v>43355</v>
      </c>
      <c r="AB1537" s="744" t="s">
        <v>4758</v>
      </c>
      <c r="AC1537" s="744">
        <v>2488726623</v>
      </c>
      <c r="AD1537" s="744"/>
      <c r="AE1537" s="744"/>
      <c r="AF1537" s="744"/>
      <c r="AG1537" s="251" t="s">
        <v>283</v>
      </c>
    </row>
    <row r="1538" spans="1:33" ht="15.75" customHeight="1">
      <c r="A1538" s="743">
        <v>43318</v>
      </c>
      <c r="B1538" s="590" t="s">
        <v>405</v>
      </c>
      <c r="C1538" s="744">
        <v>7000140226</v>
      </c>
      <c r="D1538" s="250" t="s">
        <v>4960</v>
      </c>
      <c r="E1538" s="595" t="s">
        <v>1654</v>
      </c>
      <c r="F1538" s="251">
        <v>1</v>
      </c>
      <c r="G1538" s="252">
        <v>78</v>
      </c>
      <c r="H1538" s="253">
        <f t="shared" si="137"/>
        <v>78</v>
      </c>
      <c r="I1538" s="254" t="s">
        <v>42</v>
      </c>
      <c r="J1538" s="331" t="s">
        <v>3840</v>
      </c>
      <c r="K1538" s="256">
        <v>43354</v>
      </c>
      <c r="L1538" s="256"/>
      <c r="M1538" s="256">
        <v>43332</v>
      </c>
      <c r="N1538" s="331" t="s">
        <v>3432</v>
      </c>
      <c r="O1538" s="308" t="s">
        <v>4961</v>
      </c>
      <c r="Q1538" s="591"/>
      <c r="R1538" s="1406"/>
      <c r="S1538" s="1406"/>
      <c r="U1538" s="572">
        <v>2147</v>
      </c>
      <c r="V1538" s="308" t="s">
        <v>2045</v>
      </c>
      <c r="W1538" s="747">
        <v>43404</v>
      </c>
      <c r="X1538" s="748">
        <v>43329</v>
      </c>
      <c r="Y1538" s="744" t="s">
        <v>4964</v>
      </c>
      <c r="Z1538" s="749">
        <v>2147</v>
      </c>
      <c r="AA1538" s="748">
        <v>43382</v>
      </c>
      <c r="AB1538" s="744" t="s">
        <v>4552</v>
      </c>
      <c r="AC1538" s="744">
        <v>5528488394</v>
      </c>
      <c r="AD1538" s="744"/>
      <c r="AE1538" s="744"/>
      <c r="AF1538" s="744"/>
      <c r="AG1538" s="251" t="s">
        <v>283</v>
      </c>
    </row>
    <row r="1539" spans="1:33" ht="15.75" customHeight="1">
      <c r="A1539" s="743">
        <v>43318</v>
      </c>
      <c r="B1539" s="263" t="s">
        <v>100</v>
      </c>
      <c r="C1539" s="744" t="s">
        <v>4965</v>
      </c>
      <c r="D1539" s="250" t="s">
        <v>4966</v>
      </c>
      <c r="E1539" s="744" t="s">
        <v>4967</v>
      </c>
      <c r="F1539" s="251">
        <v>20</v>
      </c>
      <c r="G1539" s="323">
        <v>291</v>
      </c>
      <c r="H1539" s="253">
        <f t="shared" si="137"/>
        <v>5820</v>
      </c>
      <c r="I1539" s="254" t="s">
        <v>170</v>
      </c>
      <c r="J1539" s="401" t="s">
        <v>3578</v>
      </c>
      <c r="K1539" s="256">
        <v>43342</v>
      </c>
      <c r="L1539" s="256"/>
      <c r="M1539" s="256">
        <v>43334</v>
      </c>
      <c r="N1539" s="331" t="s">
        <v>1995</v>
      </c>
      <c r="O1539" s="308" t="s">
        <v>4968</v>
      </c>
      <c r="Q1539" s="591"/>
      <c r="R1539" s="1406"/>
      <c r="S1539" s="1406"/>
      <c r="U1539" s="572">
        <v>186480</v>
      </c>
      <c r="V1539" s="571" t="s">
        <v>1997</v>
      </c>
      <c r="W1539" s="747">
        <v>43378</v>
      </c>
      <c r="X1539" s="748">
        <v>43333</v>
      </c>
      <c r="Y1539" s="744" t="s">
        <v>4969</v>
      </c>
      <c r="Z1539" s="749">
        <v>214452</v>
      </c>
      <c r="AA1539" s="748">
        <v>43384</v>
      </c>
      <c r="AB1539" s="744" t="s">
        <v>4970</v>
      </c>
      <c r="AC1539" s="744">
        <v>6930104252</v>
      </c>
      <c r="AD1539" s="744"/>
      <c r="AE1539" s="744"/>
      <c r="AF1539" s="744"/>
      <c r="AG1539" s="251" t="s">
        <v>538</v>
      </c>
    </row>
    <row r="1540" spans="1:33" ht="15.75" customHeight="1">
      <c r="A1540" s="743">
        <v>43318</v>
      </c>
      <c r="B1540" s="263" t="s">
        <v>100</v>
      </c>
      <c r="C1540" s="744" t="s">
        <v>4965</v>
      </c>
      <c r="D1540" s="250" t="s">
        <v>4971</v>
      </c>
      <c r="E1540" s="744" t="s">
        <v>4972</v>
      </c>
      <c r="F1540" s="251">
        <v>20</v>
      </c>
      <c r="G1540" s="323">
        <v>56</v>
      </c>
      <c r="H1540" s="253">
        <f t="shared" si="137"/>
        <v>1120</v>
      </c>
      <c r="I1540" s="254" t="s">
        <v>170</v>
      </c>
      <c r="J1540" s="401" t="s">
        <v>3578</v>
      </c>
      <c r="K1540" s="256">
        <v>43342</v>
      </c>
      <c r="L1540" s="256"/>
      <c r="M1540" s="256">
        <v>43334</v>
      </c>
      <c r="N1540" s="401" t="s">
        <v>4682</v>
      </c>
      <c r="O1540" s="308" t="s">
        <v>4973</v>
      </c>
      <c r="Q1540" s="591"/>
      <c r="R1540" s="1406"/>
      <c r="S1540" s="1406"/>
      <c r="U1540" s="572">
        <v>25158</v>
      </c>
      <c r="V1540" s="328" t="s">
        <v>2126</v>
      </c>
      <c r="W1540" s="328"/>
      <c r="X1540" s="748">
        <v>43328</v>
      </c>
      <c r="Y1540" s="744" t="s">
        <v>4974</v>
      </c>
      <c r="Z1540" s="749">
        <v>73458</v>
      </c>
      <c r="AA1540" s="748">
        <v>43326</v>
      </c>
      <c r="AB1540" s="744" t="s">
        <v>4970</v>
      </c>
      <c r="AC1540" s="744">
        <v>6930104252</v>
      </c>
      <c r="AD1540" s="744"/>
      <c r="AE1540" s="744"/>
      <c r="AF1540" s="744"/>
      <c r="AG1540" s="251" t="s">
        <v>538</v>
      </c>
    </row>
    <row r="1541" spans="1:33" ht="15.75" customHeight="1">
      <c r="A1541" s="743">
        <v>43318</v>
      </c>
      <c r="B1541" s="263" t="s">
        <v>100</v>
      </c>
      <c r="C1541" s="744" t="s">
        <v>4965</v>
      </c>
      <c r="D1541" s="250" t="s">
        <v>4971</v>
      </c>
      <c r="E1541" s="595" t="s">
        <v>4975</v>
      </c>
      <c r="F1541" s="251">
        <v>20</v>
      </c>
      <c r="G1541" s="252">
        <v>85</v>
      </c>
      <c r="H1541" s="253">
        <f t="shared" si="137"/>
        <v>1700</v>
      </c>
      <c r="I1541" s="254" t="s">
        <v>170</v>
      </c>
      <c r="J1541" s="401" t="s">
        <v>3578</v>
      </c>
      <c r="K1541" s="256">
        <v>43342</v>
      </c>
      <c r="L1541" s="256"/>
      <c r="M1541" s="256">
        <v>43334</v>
      </c>
      <c r="N1541" s="401" t="s">
        <v>4682</v>
      </c>
      <c r="O1541" s="308" t="s">
        <v>4973</v>
      </c>
      <c r="Q1541" s="591"/>
      <c r="R1541" s="1406"/>
      <c r="S1541" s="1406"/>
      <c r="U1541" s="572">
        <v>48300</v>
      </c>
      <c r="V1541" s="328" t="s">
        <v>2126</v>
      </c>
      <c r="W1541" s="328"/>
      <c r="X1541" s="748">
        <v>43328</v>
      </c>
      <c r="Y1541" s="744" t="s">
        <v>4974</v>
      </c>
      <c r="Z1541" s="744" t="s">
        <v>4976</v>
      </c>
      <c r="AA1541" s="748">
        <v>43326</v>
      </c>
      <c r="AB1541" s="744" t="s">
        <v>4970</v>
      </c>
      <c r="AC1541" s="744">
        <v>6930104252</v>
      </c>
      <c r="AD1541" s="744"/>
      <c r="AE1541" s="744"/>
      <c r="AF1541" s="744"/>
      <c r="AG1541" s="251" t="s">
        <v>538</v>
      </c>
    </row>
    <row r="1542" spans="1:33" ht="15.75" customHeight="1">
      <c r="A1542" s="743">
        <v>43318</v>
      </c>
      <c r="B1542" s="263" t="s">
        <v>100</v>
      </c>
      <c r="C1542" s="744" t="s">
        <v>4965</v>
      </c>
      <c r="D1542" s="250" t="s">
        <v>4966</v>
      </c>
      <c r="E1542" s="595" t="s">
        <v>523</v>
      </c>
      <c r="F1542" s="251">
        <v>20</v>
      </c>
      <c r="G1542" s="252">
        <v>44</v>
      </c>
      <c r="H1542" s="253">
        <f t="shared" si="137"/>
        <v>880</v>
      </c>
      <c r="I1542" s="254" t="s">
        <v>170</v>
      </c>
      <c r="J1542" s="401" t="s">
        <v>3578</v>
      </c>
      <c r="K1542" s="256">
        <v>43342</v>
      </c>
      <c r="L1542" s="256"/>
      <c r="M1542" s="256">
        <v>43334</v>
      </c>
      <c r="N1542" s="331" t="s">
        <v>1995</v>
      </c>
      <c r="O1542" s="308" t="s">
        <v>4968</v>
      </c>
      <c r="Q1542" s="591"/>
      <c r="R1542" s="1406"/>
      <c r="S1542" s="1406"/>
      <c r="U1542" s="790">
        <v>27972</v>
      </c>
      <c r="V1542" s="571" t="s">
        <v>1997</v>
      </c>
      <c r="W1542" s="747">
        <v>43378</v>
      </c>
      <c r="X1542" s="748">
        <v>43333</v>
      </c>
      <c r="Y1542" s="744" t="s">
        <v>4969</v>
      </c>
      <c r="Z1542" s="744" t="s">
        <v>4977</v>
      </c>
      <c r="AA1542" s="748">
        <v>43384</v>
      </c>
      <c r="AB1542" s="744" t="s">
        <v>4970</v>
      </c>
      <c r="AC1542" s="744">
        <v>6930104252</v>
      </c>
      <c r="AD1542" s="744"/>
      <c r="AE1542" s="744"/>
      <c r="AF1542" s="744"/>
      <c r="AG1542" s="251" t="s">
        <v>538</v>
      </c>
    </row>
    <row r="1543" spans="1:33" ht="15.75" customHeight="1">
      <c r="A1543" s="743">
        <v>43318</v>
      </c>
      <c r="B1543" s="144" t="s">
        <v>100</v>
      </c>
      <c r="C1543" s="744" t="s">
        <v>4978</v>
      </c>
      <c r="D1543" s="250" t="s">
        <v>4979</v>
      </c>
      <c r="E1543" s="595" t="s">
        <v>4980</v>
      </c>
      <c r="F1543" s="251">
        <v>5</v>
      </c>
      <c r="G1543" s="252">
        <v>570</v>
      </c>
      <c r="H1543" s="253">
        <f t="shared" si="137"/>
        <v>2850</v>
      </c>
      <c r="I1543" s="254" t="s">
        <v>170</v>
      </c>
      <c r="J1543" s="401" t="s">
        <v>3578</v>
      </c>
      <c r="K1543" s="256">
        <v>43364</v>
      </c>
      <c r="L1543" s="256"/>
      <c r="M1543" s="264" t="s">
        <v>4563</v>
      </c>
      <c r="N1543" s="264" t="s">
        <v>4563</v>
      </c>
      <c r="O1543" s="308" t="s">
        <v>4981</v>
      </c>
      <c r="Q1543" s="591"/>
      <c r="R1543" s="1406"/>
      <c r="S1543" s="1406"/>
      <c r="U1543" s="328"/>
      <c r="V1543" s="308"/>
      <c r="W1543" s="328"/>
      <c r="X1543" s="745"/>
      <c r="Y1543" s="745"/>
      <c r="Z1543" s="745"/>
      <c r="AA1543" s="746"/>
      <c r="AB1543" s="744" t="s">
        <v>4982</v>
      </c>
      <c r="AC1543" s="744">
        <v>1602337096</v>
      </c>
      <c r="AD1543" s="744"/>
      <c r="AE1543" s="744"/>
      <c r="AF1543" s="744"/>
      <c r="AG1543" s="251" t="s">
        <v>283</v>
      </c>
    </row>
    <row r="1544" spans="1:33" ht="15.75" customHeight="1">
      <c r="A1544" s="743">
        <v>43318</v>
      </c>
      <c r="B1544" s="144" t="s">
        <v>100</v>
      </c>
      <c r="C1544" s="744" t="s">
        <v>4978</v>
      </c>
      <c r="D1544" s="250" t="s">
        <v>4979</v>
      </c>
      <c r="E1544" s="595" t="s">
        <v>4721</v>
      </c>
      <c r="F1544" s="251">
        <v>5</v>
      </c>
      <c r="G1544" s="252">
        <v>42</v>
      </c>
      <c r="H1544" s="253">
        <f t="shared" si="137"/>
        <v>210</v>
      </c>
      <c r="I1544" s="254" t="s">
        <v>170</v>
      </c>
      <c r="J1544" s="401" t="s">
        <v>3578</v>
      </c>
      <c r="K1544" s="256">
        <v>43364</v>
      </c>
      <c r="L1544" s="256"/>
      <c r="M1544" s="264" t="s">
        <v>4563</v>
      </c>
      <c r="N1544" s="264" t="s">
        <v>4563</v>
      </c>
      <c r="O1544" s="308" t="s">
        <v>4981</v>
      </c>
      <c r="Q1544" s="591"/>
      <c r="R1544" s="1406"/>
      <c r="S1544" s="1406"/>
      <c r="U1544" s="328"/>
      <c r="V1544" s="308"/>
      <c r="W1544" s="328"/>
      <c r="X1544" s="745"/>
      <c r="Y1544" s="745"/>
      <c r="Z1544" s="745"/>
      <c r="AA1544" s="746"/>
      <c r="AB1544" s="744" t="s">
        <v>4982</v>
      </c>
      <c r="AC1544" s="744">
        <v>1602337096</v>
      </c>
      <c r="AD1544" s="744"/>
      <c r="AE1544" s="744"/>
      <c r="AF1544" s="744"/>
      <c r="AG1544" s="251" t="s">
        <v>283</v>
      </c>
    </row>
    <row r="1545" spans="1:33" ht="15.75" customHeight="1">
      <c r="A1545" s="743">
        <v>43318</v>
      </c>
      <c r="B1545" s="144" t="s">
        <v>100</v>
      </c>
      <c r="C1545" s="744" t="s">
        <v>4978</v>
      </c>
      <c r="D1545" s="250" t="s">
        <v>4979</v>
      </c>
      <c r="E1545" s="595" t="s">
        <v>4722</v>
      </c>
      <c r="F1545" s="251">
        <v>5</v>
      </c>
      <c r="G1545" s="252">
        <v>140</v>
      </c>
      <c r="H1545" s="253">
        <f t="shared" si="137"/>
        <v>700</v>
      </c>
      <c r="I1545" s="254" t="s">
        <v>170</v>
      </c>
      <c r="J1545" s="401" t="s">
        <v>3578</v>
      </c>
      <c r="K1545" s="256">
        <v>43364</v>
      </c>
      <c r="L1545" s="256"/>
      <c r="M1545" s="264" t="s">
        <v>4563</v>
      </c>
      <c r="N1545" s="264" t="s">
        <v>4563</v>
      </c>
      <c r="O1545" s="308" t="s">
        <v>4981</v>
      </c>
      <c r="Q1545" s="591"/>
      <c r="R1545" s="1406"/>
      <c r="S1545" s="1406"/>
      <c r="U1545" s="328"/>
      <c r="V1545" s="308"/>
      <c r="W1545" s="328"/>
      <c r="X1545" s="745"/>
      <c r="Y1545" s="745"/>
      <c r="Z1545" s="745"/>
      <c r="AA1545" s="746"/>
      <c r="AB1545" s="744" t="s">
        <v>4982</v>
      </c>
      <c r="AC1545" s="744">
        <v>1602337096</v>
      </c>
      <c r="AD1545" s="744"/>
      <c r="AE1545" s="744"/>
      <c r="AF1545" s="744"/>
      <c r="AG1545" s="251" t="s">
        <v>283</v>
      </c>
    </row>
    <row r="1546" spans="1:33" ht="15.75" customHeight="1">
      <c r="A1546" s="743">
        <v>43318</v>
      </c>
      <c r="B1546" s="144" t="s">
        <v>100</v>
      </c>
      <c r="C1546" s="744" t="s">
        <v>4978</v>
      </c>
      <c r="D1546" s="250" t="s">
        <v>4979</v>
      </c>
      <c r="E1546" s="595" t="s">
        <v>441</v>
      </c>
      <c r="F1546" s="251">
        <v>5</v>
      </c>
      <c r="G1546" s="252">
        <v>38</v>
      </c>
      <c r="H1546" s="253">
        <f t="shared" si="137"/>
        <v>190</v>
      </c>
      <c r="I1546" s="254" t="s">
        <v>170</v>
      </c>
      <c r="J1546" s="401" t="s">
        <v>3578</v>
      </c>
      <c r="K1546" s="256">
        <v>43364</v>
      </c>
      <c r="L1546" s="256"/>
      <c r="M1546" s="264" t="s">
        <v>4563</v>
      </c>
      <c r="N1546" s="264" t="s">
        <v>4563</v>
      </c>
      <c r="O1546" s="308" t="s">
        <v>4981</v>
      </c>
      <c r="Q1546" s="591"/>
      <c r="R1546" s="1406"/>
      <c r="S1546" s="1406"/>
      <c r="U1546" s="328"/>
      <c r="V1546" s="308"/>
      <c r="W1546" s="328"/>
      <c r="X1546" s="745"/>
      <c r="Y1546" s="745"/>
      <c r="Z1546" s="745"/>
      <c r="AA1546" s="746"/>
      <c r="AB1546" s="744" t="s">
        <v>4982</v>
      </c>
      <c r="AC1546" s="744">
        <v>1602337096</v>
      </c>
      <c r="AD1546" s="744"/>
      <c r="AE1546" s="744"/>
      <c r="AF1546" s="744"/>
      <c r="AG1546" s="251" t="s">
        <v>283</v>
      </c>
    </row>
    <row r="1547" spans="1:33" ht="15.75" customHeight="1">
      <c r="A1547" s="743">
        <v>43318</v>
      </c>
      <c r="B1547" s="144" t="s">
        <v>100</v>
      </c>
      <c r="C1547" s="744" t="s">
        <v>4978</v>
      </c>
      <c r="D1547" s="250" t="s">
        <v>4979</v>
      </c>
      <c r="E1547" s="595" t="s">
        <v>544</v>
      </c>
      <c r="F1547" s="251">
        <v>5</v>
      </c>
      <c r="G1547" s="252">
        <v>47</v>
      </c>
      <c r="H1547" s="253">
        <f t="shared" si="137"/>
        <v>235</v>
      </c>
      <c r="I1547" s="254" t="s">
        <v>170</v>
      </c>
      <c r="J1547" s="401" t="s">
        <v>3578</v>
      </c>
      <c r="K1547" s="256">
        <v>43364</v>
      </c>
      <c r="L1547" s="256"/>
      <c r="M1547" s="264" t="s">
        <v>4563</v>
      </c>
      <c r="N1547" s="264" t="s">
        <v>4563</v>
      </c>
      <c r="O1547" s="308" t="s">
        <v>4981</v>
      </c>
      <c r="Q1547" s="591"/>
      <c r="R1547" s="1406"/>
      <c r="S1547" s="1406"/>
      <c r="U1547" s="328"/>
      <c r="V1547" s="308"/>
      <c r="W1547" s="328"/>
      <c r="X1547" s="745"/>
      <c r="Y1547" s="745"/>
      <c r="Z1547" s="745"/>
      <c r="AA1547" s="746"/>
      <c r="AB1547" s="744" t="s">
        <v>4982</v>
      </c>
      <c r="AC1547" s="744">
        <v>1602337096</v>
      </c>
      <c r="AD1547" s="744"/>
      <c r="AE1547" s="744"/>
      <c r="AF1547" s="744"/>
      <c r="AG1547" s="251" t="s">
        <v>283</v>
      </c>
    </row>
    <row r="1548" spans="1:33" ht="15.75" customHeight="1">
      <c r="A1548" s="743">
        <v>43318</v>
      </c>
      <c r="B1548" s="144" t="s">
        <v>100</v>
      </c>
      <c r="C1548" s="744"/>
      <c r="D1548" s="250" t="s">
        <v>4979</v>
      </c>
      <c r="E1548" s="595" t="s">
        <v>4983</v>
      </c>
      <c r="F1548" s="251">
        <v>5</v>
      </c>
      <c r="G1548" s="252">
        <v>10</v>
      </c>
      <c r="H1548" s="253">
        <f t="shared" si="137"/>
        <v>50</v>
      </c>
      <c r="I1548" s="254" t="s">
        <v>695</v>
      </c>
      <c r="J1548" s="401" t="s">
        <v>3578</v>
      </c>
      <c r="K1548" s="256">
        <v>43364</v>
      </c>
      <c r="L1548" s="256"/>
      <c r="M1548" s="256"/>
      <c r="N1548" s="331"/>
      <c r="O1548" s="308"/>
      <c r="Q1548" s="266"/>
      <c r="R1548" s="1394"/>
      <c r="S1548" s="1394"/>
      <c r="U1548" s="328"/>
      <c r="V1548" s="338"/>
      <c r="W1548" s="841"/>
      <c r="X1548" s="748"/>
      <c r="Y1548" s="744"/>
      <c r="Z1548" s="749"/>
      <c r="AA1548" s="748"/>
      <c r="AB1548" s="744"/>
      <c r="AC1548" s="744">
        <v>1602337096</v>
      </c>
      <c r="AD1548" s="744"/>
      <c r="AE1548" s="744"/>
      <c r="AF1548" s="744"/>
      <c r="AG1548" s="251" t="s">
        <v>283</v>
      </c>
    </row>
    <row r="1549" spans="1:33" ht="15.75" customHeight="1">
      <c r="A1549" s="743">
        <v>43318</v>
      </c>
      <c r="B1549" s="263" t="s">
        <v>713</v>
      </c>
      <c r="C1549" s="744" t="s">
        <v>4984</v>
      </c>
      <c r="D1549" s="250" t="s">
        <v>4985</v>
      </c>
      <c r="E1549" s="250" t="s">
        <v>1433</v>
      </c>
      <c r="F1549" s="251">
        <v>100</v>
      </c>
      <c r="G1549" s="252">
        <v>6.5</v>
      </c>
      <c r="H1549" s="253">
        <f t="shared" si="137"/>
        <v>650</v>
      </c>
      <c r="I1549" s="254" t="s">
        <v>3712</v>
      </c>
      <c r="J1549" s="401" t="s">
        <v>4986</v>
      </c>
      <c r="K1549" s="256">
        <v>43339</v>
      </c>
      <c r="L1549" s="256"/>
      <c r="M1549" s="256">
        <v>43335</v>
      </c>
      <c r="N1549" s="331" t="s">
        <v>89</v>
      </c>
      <c r="O1549" s="308" t="s">
        <v>4987</v>
      </c>
      <c r="Q1549" s="266">
        <v>546</v>
      </c>
      <c r="R1549" s="1394"/>
      <c r="S1549" s="1394"/>
      <c r="U1549" s="328"/>
      <c r="V1549" s="338" t="s">
        <v>93</v>
      </c>
      <c r="W1549" s="841">
        <v>43373</v>
      </c>
      <c r="X1549" s="748">
        <v>43334</v>
      </c>
      <c r="Y1549" s="744" t="s">
        <v>4988</v>
      </c>
      <c r="Z1549" s="749">
        <v>274470</v>
      </c>
      <c r="AA1549" s="748">
        <v>43378</v>
      </c>
      <c r="AB1549" s="744" t="s">
        <v>4989</v>
      </c>
      <c r="AC1549" s="744">
        <v>9290837183</v>
      </c>
      <c r="AD1549" s="744"/>
      <c r="AE1549" s="744"/>
      <c r="AF1549" s="744"/>
      <c r="AG1549" s="251" t="s">
        <v>283</v>
      </c>
    </row>
    <row r="1550" spans="1:33" ht="15.75" customHeight="1">
      <c r="A1550" s="743">
        <v>43322</v>
      </c>
      <c r="B1550" s="263" t="s">
        <v>713</v>
      </c>
      <c r="C1550" s="744" t="s">
        <v>4990</v>
      </c>
      <c r="D1550" s="250" t="s">
        <v>4985</v>
      </c>
      <c r="E1550" s="250" t="s">
        <v>728</v>
      </c>
      <c r="F1550" s="251">
        <v>31</v>
      </c>
      <c r="G1550" s="323">
        <v>320</v>
      </c>
      <c r="H1550" s="253">
        <f t="shared" si="137"/>
        <v>9920</v>
      </c>
      <c r="I1550" s="254" t="s">
        <v>3712</v>
      </c>
      <c r="J1550" s="267" t="s">
        <v>4986</v>
      </c>
      <c r="K1550" s="256">
        <v>43339</v>
      </c>
      <c r="L1550" s="256"/>
      <c r="M1550" s="256">
        <v>43335</v>
      </c>
      <c r="N1550" s="331" t="s">
        <v>89</v>
      </c>
      <c r="O1550" s="308" t="s">
        <v>4987</v>
      </c>
      <c r="Q1550" s="266">
        <v>8365.35</v>
      </c>
      <c r="R1550" s="1394"/>
      <c r="S1550" s="1394"/>
      <c r="U1550" s="328"/>
      <c r="V1550" s="338" t="s">
        <v>93</v>
      </c>
      <c r="W1550" s="789">
        <v>43373</v>
      </c>
      <c r="X1550" s="748">
        <v>43334</v>
      </c>
      <c r="Y1550" s="744" t="s">
        <v>4988</v>
      </c>
      <c r="Z1550" s="744" t="s">
        <v>2668</v>
      </c>
      <c r="AA1550" s="748">
        <v>43378</v>
      </c>
      <c r="AB1550" s="744" t="s">
        <v>4989</v>
      </c>
      <c r="AC1550" s="744">
        <v>9290837183</v>
      </c>
      <c r="AD1550" s="744"/>
      <c r="AE1550" s="744"/>
      <c r="AF1550" s="744"/>
      <c r="AG1550" s="251" t="s">
        <v>283</v>
      </c>
    </row>
    <row r="1551" spans="1:33" ht="15.75" customHeight="1">
      <c r="A1551" s="743">
        <v>43319</v>
      </c>
      <c r="B1551" s="263" t="s">
        <v>3516</v>
      </c>
      <c r="C1551" s="744">
        <v>300382</v>
      </c>
      <c r="D1551" s="250" t="s">
        <v>4991</v>
      </c>
      <c r="E1551" s="250" t="s">
        <v>4992</v>
      </c>
      <c r="F1551" s="251">
        <v>4</v>
      </c>
      <c r="G1551" s="252">
        <v>64</v>
      </c>
      <c r="H1551" s="253">
        <f t="shared" si="137"/>
        <v>256</v>
      </c>
      <c r="I1551" s="254" t="s">
        <v>3712</v>
      </c>
      <c r="J1551" s="267" t="s">
        <v>3519</v>
      </c>
      <c r="K1551" s="256">
        <v>43342</v>
      </c>
      <c r="L1551" s="256"/>
      <c r="M1551" s="256">
        <v>43341</v>
      </c>
      <c r="N1551" s="331" t="s">
        <v>89</v>
      </c>
      <c r="O1551" s="308" t="s">
        <v>4993</v>
      </c>
      <c r="Q1551" s="266">
        <v>226.8</v>
      </c>
      <c r="R1551" s="1394"/>
      <c r="S1551" s="1394"/>
      <c r="U1551" s="328"/>
      <c r="V1551" s="338" t="s">
        <v>93</v>
      </c>
      <c r="W1551" s="747">
        <v>43404</v>
      </c>
      <c r="X1551" s="748">
        <v>43340</v>
      </c>
      <c r="Y1551" s="744" t="s">
        <v>4994</v>
      </c>
      <c r="Z1551" s="749">
        <v>6985</v>
      </c>
      <c r="AA1551" s="748">
        <v>43405</v>
      </c>
      <c r="AB1551" s="744" t="s">
        <v>4995</v>
      </c>
      <c r="AC1551" s="744">
        <v>773098967785</v>
      </c>
      <c r="AD1551" s="744"/>
      <c r="AE1551" s="744"/>
      <c r="AF1551" s="744"/>
      <c r="AG1551" s="251" t="s">
        <v>283</v>
      </c>
    </row>
    <row r="1552" spans="1:33" ht="15.75" customHeight="1">
      <c r="A1552" s="743">
        <v>43319</v>
      </c>
      <c r="B1552" s="263" t="s">
        <v>3516</v>
      </c>
      <c r="C1552" s="744">
        <v>300382</v>
      </c>
      <c r="D1552" s="250" t="s">
        <v>4991</v>
      </c>
      <c r="E1552" s="250" t="s">
        <v>4996</v>
      </c>
      <c r="F1552" s="251">
        <v>5</v>
      </c>
      <c r="G1552" s="252">
        <v>163</v>
      </c>
      <c r="H1552" s="253">
        <f t="shared" si="137"/>
        <v>815</v>
      </c>
      <c r="I1552" s="254" t="s">
        <v>3712</v>
      </c>
      <c r="J1552" s="267" t="s">
        <v>3519</v>
      </c>
      <c r="K1552" s="256">
        <v>43342</v>
      </c>
      <c r="L1552" s="256"/>
      <c r="M1552" s="256">
        <v>43339</v>
      </c>
      <c r="N1552" s="331" t="s">
        <v>3432</v>
      </c>
      <c r="O1552" s="308" t="s">
        <v>4997</v>
      </c>
      <c r="Q1552" s="591"/>
      <c r="R1552" s="1406"/>
      <c r="S1552" s="1406"/>
      <c r="U1552" s="572">
        <v>22376</v>
      </c>
      <c r="V1552" s="308" t="s">
        <v>2045</v>
      </c>
      <c r="W1552" s="747">
        <v>43434</v>
      </c>
      <c r="X1552" s="748">
        <v>43339</v>
      </c>
      <c r="Y1552" s="744" t="s">
        <v>4998</v>
      </c>
      <c r="Z1552" s="749">
        <v>22376</v>
      </c>
      <c r="AA1552" s="748">
        <v>43382</v>
      </c>
      <c r="AB1552" s="744" t="s">
        <v>4995</v>
      </c>
      <c r="AC1552" s="744">
        <v>773098967785</v>
      </c>
      <c r="AD1552" s="744"/>
      <c r="AE1552" s="744"/>
      <c r="AF1552" s="744"/>
      <c r="AG1552" s="251" t="s">
        <v>283</v>
      </c>
    </row>
    <row r="1553" spans="1:33" ht="15.75" customHeight="1">
      <c r="A1553" s="755">
        <v>43319</v>
      </c>
      <c r="B1553" s="263" t="s">
        <v>619</v>
      </c>
      <c r="C1553" s="744"/>
      <c r="D1553" s="250" t="s">
        <v>4999</v>
      </c>
      <c r="E1553" s="250" t="s">
        <v>5000</v>
      </c>
      <c r="F1553" s="251">
        <v>1</v>
      </c>
      <c r="G1553" s="252">
        <v>257.25</v>
      </c>
      <c r="H1553" s="253">
        <f t="shared" si="137"/>
        <v>257.25</v>
      </c>
      <c r="I1553" s="254" t="s">
        <v>42</v>
      </c>
      <c r="J1553" s="367" t="s">
        <v>89</v>
      </c>
      <c r="K1553" s="256">
        <v>43325</v>
      </c>
      <c r="L1553" s="256"/>
      <c r="M1553" s="256">
        <v>43325</v>
      </c>
      <c r="N1553" s="331" t="s">
        <v>89</v>
      </c>
      <c r="O1553" s="308" t="s">
        <v>5001</v>
      </c>
      <c r="Q1553" s="266">
        <v>236.25</v>
      </c>
      <c r="R1553" s="1394"/>
      <c r="S1553" s="1394"/>
      <c r="U1553" s="328"/>
      <c r="V1553" s="338" t="s">
        <v>93</v>
      </c>
      <c r="W1553" s="841">
        <v>43373</v>
      </c>
      <c r="X1553" s="748">
        <v>43325</v>
      </c>
      <c r="Y1553" s="744" t="s">
        <v>5002</v>
      </c>
      <c r="Z1553" s="749">
        <v>7241</v>
      </c>
      <c r="AA1553" s="748">
        <v>43378</v>
      </c>
      <c r="AB1553" s="744" t="s">
        <v>5003</v>
      </c>
      <c r="AC1553" s="744"/>
      <c r="AD1553" s="744" t="s">
        <v>5004</v>
      </c>
      <c r="AE1553" s="749">
        <v>7898</v>
      </c>
      <c r="AF1553" s="744" t="s">
        <v>5005</v>
      </c>
      <c r="AG1553" s="251" t="s">
        <v>376</v>
      </c>
    </row>
    <row r="1554" spans="1:33" ht="15.75" customHeight="1">
      <c r="A1554" s="755">
        <v>43319</v>
      </c>
      <c r="B1554" s="318" t="s">
        <v>325</v>
      </c>
      <c r="C1554" s="250">
        <v>2024213</v>
      </c>
      <c r="D1554" s="308" t="s">
        <v>5006</v>
      </c>
      <c r="E1554" s="308" t="s">
        <v>3612</v>
      </c>
      <c r="F1554" s="251">
        <v>20</v>
      </c>
      <c r="G1554" s="323">
        <v>567</v>
      </c>
      <c r="H1554" s="253">
        <f t="shared" si="137"/>
        <v>11340</v>
      </c>
      <c r="I1554" s="254" t="s">
        <v>42</v>
      </c>
      <c r="J1554" s="267" t="s">
        <v>328</v>
      </c>
      <c r="K1554" s="256">
        <v>43356</v>
      </c>
      <c r="L1554" s="256"/>
      <c r="M1554" s="256">
        <v>43354</v>
      </c>
      <c r="N1554" s="331" t="s">
        <v>3614</v>
      </c>
      <c r="O1554" s="308" t="s">
        <v>5007</v>
      </c>
      <c r="Q1554" s="336">
        <v>10710</v>
      </c>
      <c r="R1554" s="1420"/>
      <c r="S1554" s="1420"/>
      <c r="U1554" s="328"/>
      <c r="V1554" s="420" t="s">
        <v>2159</v>
      </c>
      <c r="W1554" s="789">
        <v>43404</v>
      </c>
      <c r="X1554" s="750">
        <v>43354</v>
      </c>
      <c r="Y1554" s="250" t="s">
        <v>5008</v>
      </c>
      <c r="Z1554" s="753">
        <v>345244</v>
      </c>
      <c r="AA1554" s="750">
        <v>43405</v>
      </c>
      <c r="AB1554" s="744" t="s">
        <v>4413</v>
      </c>
      <c r="AC1554" s="744">
        <v>609229</v>
      </c>
      <c r="AD1554" s="744"/>
      <c r="AE1554" s="744"/>
      <c r="AF1554" s="744"/>
      <c r="AG1554" s="251" t="s">
        <v>283</v>
      </c>
    </row>
    <row r="1555" spans="1:33" ht="15.75" customHeight="1">
      <c r="A1555" s="755">
        <v>43319</v>
      </c>
      <c r="B1555" s="318" t="s">
        <v>325</v>
      </c>
      <c r="C1555" s="250">
        <v>2024213</v>
      </c>
      <c r="D1555" s="308" t="s">
        <v>5006</v>
      </c>
      <c r="E1555" s="308" t="s">
        <v>3620</v>
      </c>
      <c r="F1555" s="251">
        <v>20</v>
      </c>
      <c r="G1555" s="323">
        <v>273</v>
      </c>
      <c r="H1555" s="253">
        <f t="shared" si="137"/>
        <v>5460</v>
      </c>
      <c r="I1555" s="254" t="s">
        <v>42</v>
      </c>
      <c r="J1555" s="267" t="s">
        <v>328</v>
      </c>
      <c r="K1555" s="256">
        <v>43356</v>
      </c>
      <c r="L1555" s="256"/>
      <c r="M1555" s="256">
        <v>43346</v>
      </c>
      <c r="N1555" s="331" t="s">
        <v>44</v>
      </c>
      <c r="O1555" s="308" t="s">
        <v>5009</v>
      </c>
      <c r="Q1555" s="266">
        <v>4368</v>
      </c>
      <c r="R1555" s="1394"/>
      <c r="S1555" s="1394"/>
      <c r="U1555" s="328"/>
      <c r="V1555" s="338" t="s">
        <v>46</v>
      </c>
      <c r="W1555" s="747">
        <v>43376</v>
      </c>
      <c r="X1555" s="748">
        <v>43346</v>
      </c>
      <c r="Y1555" s="744" t="s">
        <v>5010</v>
      </c>
      <c r="Z1555" s="749">
        <v>134233</v>
      </c>
      <c r="AA1555" s="748">
        <v>43382</v>
      </c>
      <c r="AB1555" s="744" t="s">
        <v>4413</v>
      </c>
      <c r="AC1555" s="744">
        <v>609229</v>
      </c>
      <c r="AD1555" s="744"/>
      <c r="AE1555" s="744"/>
      <c r="AF1555" s="744"/>
      <c r="AG1555" s="251" t="s">
        <v>283</v>
      </c>
    </row>
    <row r="1556" spans="1:33" ht="15.75" customHeight="1">
      <c r="A1556" s="755">
        <v>43319</v>
      </c>
      <c r="B1556" s="318" t="s">
        <v>325</v>
      </c>
      <c r="C1556" s="250">
        <v>2024213</v>
      </c>
      <c r="D1556" s="308" t="s">
        <v>5006</v>
      </c>
      <c r="E1556" s="308" t="s">
        <v>52</v>
      </c>
      <c r="F1556" s="251">
        <v>20</v>
      </c>
      <c r="G1556" s="323">
        <v>31</v>
      </c>
      <c r="H1556" s="253">
        <f t="shared" si="137"/>
        <v>620</v>
      </c>
      <c r="I1556" s="254" t="s">
        <v>42</v>
      </c>
      <c r="J1556" s="267" t="s">
        <v>328</v>
      </c>
      <c r="K1556" s="256">
        <v>43356</v>
      </c>
      <c r="L1556" s="256"/>
      <c r="M1556" s="256">
        <v>43354</v>
      </c>
      <c r="N1556" s="331" t="s">
        <v>3614</v>
      </c>
      <c r="O1556" s="308" t="s">
        <v>5007</v>
      </c>
      <c r="Q1556" s="336">
        <v>453.6</v>
      </c>
      <c r="R1556" s="1420"/>
      <c r="S1556" s="1420"/>
      <c r="U1556" s="328"/>
      <c r="V1556" s="420" t="s">
        <v>2159</v>
      </c>
      <c r="W1556" s="789">
        <v>43404</v>
      </c>
      <c r="X1556" s="750">
        <v>43354</v>
      </c>
      <c r="Y1556" s="250" t="s">
        <v>5008</v>
      </c>
      <c r="Z1556" s="250" t="s">
        <v>5011</v>
      </c>
      <c r="AA1556" s="750">
        <v>43405</v>
      </c>
      <c r="AB1556" s="744" t="s">
        <v>4413</v>
      </c>
      <c r="AC1556" s="744">
        <v>609229</v>
      </c>
      <c r="AD1556" s="744"/>
      <c r="AE1556" s="744"/>
      <c r="AF1556" s="744"/>
      <c r="AG1556" s="251" t="s">
        <v>283</v>
      </c>
    </row>
    <row r="1557" spans="1:33" ht="15.75" customHeight="1">
      <c r="A1557" s="755">
        <v>43319</v>
      </c>
      <c r="B1557" s="318" t="s">
        <v>325</v>
      </c>
      <c r="C1557" s="250">
        <v>2024213</v>
      </c>
      <c r="D1557" s="308" t="s">
        <v>5006</v>
      </c>
      <c r="E1557" s="308" t="s">
        <v>58</v>
      </c>
      <c r="F1557" s="251">
        <v>20</v>
      </c>
      <c r="G1557" s="323">
        <v>4</v>
      </c>
      <c r="H1557" s="253">
        <f t="shared" si="137"/>
        <v>80</v>
      </c>
      <c r="I1557" s="254" t="s">
        <v>42</v>
      </c>
      <c r="J1557" s="267" t="s">
        <v>328</v>
      </c>
      <c r="K1557" s="256">
        <v>43356</v>
      </c>
      <c r="L1557" s="256"/>
      <c r="M1557" s="256">
        <v>43354</v>
      </c>
      <c r="N1557" s="331" t="s">
        <v>3614</v>
      </c>
      <c r="O1557" s="308" t="s">
        <v>5007</v>
      </c>
      <c r="Q1557" s="336">
        <v>42</v>
      </c>
      <c r="R1557" s="1420"/>
      <c r="S1557" s="1420"/>
      <c r="U1557" s="328"/>
      <c r="V1557" s="420" t="s">
        <v>2159</v>
      </c>
      <c r="W1557" s="789">
        <v>43404</v>
      </c>
      <c r="X1557" s="750">
        <v>43354</v>
      </c>
      <c r="Y1557" s="250" t="s">
        <v>5008</v>
      </c>
      <c r="Z1557" s="250" t="s">
        <v>5011</v>
      </c>
      <c r="AA1557" s="750">
        <v>43405</v>
      </c>
      <c r="AB1557" s="744" t="s">
        <v>4413</v>
      </c>
      <c r="AC1557" s="744">
        <v>609229</v>
      </c>
      <c r="AD1557" s="744"/>
      <c r="AE1557" s="744"/>
      <c r="AF1557" s="744"/>
      <c r="AG1557" s="251" t="s">
        <v>283</v>
      </c>
    </row>
    <row r="1558" spans="1:33" ht="15.75" customHeight="1">
      <c r="A1558" s="755">
        <v>43324</v>
      </c>
      <c r="B1558" s="144" t="s">
        <v>100</v>
      </c>
      <c r="C1558" s="250" t="s">
        <v>5012</v>
      </c>
      <c r="D1558" s="250" t="s">
        <v>5013</v>
      </c>
      <c r="E1558" s="595" t="s">
        <v>4721</v>
      </c>
      <c r="F1558" s="251">
        <v>2</v>
      </c>
      <c r="G1558" s="252">
        <v>42</v>
      </c>
      <c r="H1558" s="253">
        <f t="shared" si="137"/>
        <v>84</v>
      </c>
      <c r="I1558" s="254" t="s">
        <v>170</v>
      </c>
      <c r="J1558" s="401" t="s">
        <v>3578</v>
      </c>
      <c r="K1558" s="848">
        <v>43364</v>
      </c>
      <c r="L1558" s="1480"/>
      <c r="M1558" s="264" t="s">
        <v>4563</v>
      </c>
      <c r="N1558" s="264" t="s">
        <v>4563</v>
      </c>
      <c r="O1558" s="308" t="s">
        <v>5014</v>
      </c>
      <c r="Q1558" s="591"/>
      <c r="R1558" s="1406"/>
      <c r="S1558" s="1406"/>
      <c r="U1558" s="328"/>
      <c r="V1558" s="308"/>
      <c r="W1558" s="328"/>
      <c r="X1558" s="745"/>
      <c r="Y1558" s="745"/>
      <c r="Z1558" s="745"/>
      <c r="AA1558" s="746"/>
      <c r="AB1558" s="744" t="s">
        <v>4982</v>
      </c>
      <c r="AC1558" s="744">
        <v>1602337096</v>
      </c>
      <c r="AD1558" s="744"/>
      <c r="AE1558" s="744"/>
      <c r="AF1558" s="744"/>
      <c r="AG1558" s="251" t="s">
        <v>283</v>
      </c>
    </row>
    <row r="1559" spans="1:33" ht="15.75" customHeight="1">
      <c r="A1559" s="755">
        <v>43324</v>
      </c>
      <c r="B1559" s="144" t="s">
        <v>100</v>
      </c>
      <c r="C1559" s="250" t="s">
        <v>5012</v>
      </c>
      <c r="D1559" s="250" t="s">
        <v>5013</v>
      </c>
      <c r="E1559" s="595" t="s">
        <v>4722</v>
      </c>
      <c r="F1559" s="251">
        <v>2</v>
      </c>
      <c r="G1559" s="252">
        <v>140</v>
      </c>
      <c r="H1559" s="253">
        <f t="shared" si="137"/>
        <v>280</v>
      </c>
      <c r="I1559" s="254" t="s">
        <v>170</v>
      </c>
      <c r="J1559" s="401" t="s">
        <v>3578</v>
      </c>
      <c r="K1559" s="848">
        <v>43364</v>
      </c>
      <c r="L1559" s="1480"/>
      <c r="M1559" s="264" t="s">
        <v>4563</v>
      </c>
      <c r="N1559" s="264" t="s">
        <v>4563</v>
      </c>
      <c r="O1559" s="308" t="s">
        <v>5014</v>
      </c>
      <c r="Q1559" s="591"/>
      <c r="R1559" s="1406"/>
      <c r="S1559" s="1406"/>
      <c r="U1559" s="328"/>
      <c r="V1559" s="308"/>
      <c r="W1559" s="328"/>
      <c r="X1559" s="745"/>
      <c r="Y1559" s="745"/>
      <c r="Z1559" s="745"/>
      <c r="AA1559" s="746"/>
      <c r="AB1559" s="744" t="s">
        <v>4982</v>
      </c>
      <c r="AC1559" s="744">
        <v>1602337096</v>
      </c>
      <c r="AD1559" s="744"/>
      <c r="AE1559" s="744"/>
      <c r="AF1559" s="744"/>
      <c r="AG1559" s="251" t="s">
        <v>283</v>
      </c>
    </row>
    <row r="1560" spans="1:33" ht="15.75" customHeight="1">
      <c r="A1560" s="755">
        <v>43324</v>
      </c>
      <c r="B1560" s="144" t="s">
        <v>100</v>
      </c>
      <c r="C1560" s="250" t="s">
        <v>5012</v>
      </c>
      <c r="D1560" s="250" t="s">
        <v>5013</v>
      </c>
      <c r="E1560" s="595" t="s">
        <v>5015</v>
      </c>
      <c r="F1560" s="251">
        <v>2</v>
      </c>
      <c r="G1560" s="252">
        <v>570</v>
      </c>
      <c r="H1560" s="253">
        <f t="shared" si="137"/>
        <v>1140</v>
      </c>
      <c r="I1560" s="254" t="s">
        <v>170</v>
      </c>
      <c r="J1560" s="401" t="s">
        <v>3578</v>
      </c>
      <c r="K1560" s="848">
        <v>43364</v>
      </c>
      <c r="L1560" s="1480"/>
      <c r="M1560" s="264" t="s">
        <v>4563</v>
      </c>
      <c r="N1560" s="264" t="s">
        <v>4563</v>
      </c>
      <c r="O1560" s="308" t="s">
        <v>5014</v>
      </c>
      <c r="Q1560" s="591"/>
      <c r="R1560" s="1406"/>
      <c r="S1560" s="1406"/>
      <c r="U1560" s="328"/>
      <c r="V1560" s="308"/>
      <c r="W1560" s="328"/>
      <c r="X1560" s="745"/>
      <c r="Y1560" s="745"/>
      <c r="Z1560" s="745"/>
      <c r="AA1560" s="746"/>
      <c r="AB1560" s="744" t="s">
        <v>4982</v>
      </c>
      <c r="AC1560" s="744">
        <v>1602337096</v>
      </c>
      <c r="AD1560" s="744"/>
      <c r="AE1560" s="744"/>
      <c r="AF1560" s="744"/>
      <c r="AG1560" s="251" t="s">
        <v>283</v>
      </c>
    </row>
    <row r="1561" spans="1:33" ht="15.75" customHeight="1">
      <c r="A1561" s="755">
        <v>43324</v>
      </c>
      <c r="B1561" s="144" t="s">
        <v>100</v>
      </c>
      <c r="C1561" s="250" t="s">
        <v>5012</v>
      </c>
      <c r="D1561" s="250" t="s">
        <v>5013</v>
      </c>
      <c r="E1561" s="595" t="s">
        <v>441</v>
      </c>
      <c r="F1561" s="251">
        <v>2</v>
      </c>
      <c r="G1561" s="252">
        <v>38</v>
      </c>
      <c r="H1561" s="253">
        <f t="shared" si="137"/>
        <v>76</v>
      </c>
      <c r="I1561" s="254" t="s">
        <v>170</v>
      </c>
      <c r="J1561" s="401" t="s">
        <v>3578</v>
      </c>
      <c r="K1561" s="848">
        <v>43364</v>
      </c>
      <c r="L1561" s="1480"/>
      <c r="M1561" s="264" t="s">
        <v>4563</v>
      </c>
      <c r="N1561" s="264" t="s">
        <v>4563</v>
      </c>
      <c r="O1561" s="308" t="s">
        <v>5014</v>
      </c>
      <c r="Q1561" s="591"/>
      <c r="R1561" s="1406"/>
      <c r="S1561" s="1406"/>
      <c r="U1561" s="328"/>
      <c r="V1561" s="308"/>
      <c r="W1561" s="328"/>
      <c r="X1561" s="745"/>
      <c r="Y1561" s="745"/>
      <c r="Z1561" s="745"/>
      <c r="AA1561" s="746"/>
      <c r="AB1561" s="744" t="s">
        <v>4982</v>
      </c>
      <c r="AC1561" s="744">
        <v>1602337096</v>
      </c>
      <c r="AD1561" s="744"/>
      <c r="AE1561" s="744"/>
      <c r="AF1561" s="744"/>
      <c r="AG1561" s="251" t="s">
        <v>283</v>
      </c>
    </row>
    <row r="1562" spans="1:33" ht="15.75" customHeight="1">
      <c r="A1562" s="755">
        <v>43324</v>
      </c>
      <c r="B1562" s="144" t="s">
        <v>100</v>
      </c>
      <c r="C1562" s="250" t="s">
        <v>5012</v>
      </c>
      <c r="D1562" s="250" t="s">
        <v>5013</v>
      </c>
      <c r="E1562" s="595" t="s">
        <v>544</v>
      </c>
      <c r="F1562" s="251">
        <v>2</v>
      </c>
      <c r="G1562" s="252">
        <v>47</v>
      </c>
      <c r="H1562" s="253">
        <f t="shared" si="137"/>
        <v>94</v>
      </c>
      <c r="I1562" s="254" t="s">
        <v>170</v>
      </c>
      <c r="J1562" s="401" t="s">
        <v>3578</v>
      </c>
      <c r="K1562" s="848">
        <v>43364</v>
      </c>
      <c r="L1562" s="1480"/>
      <c r="M1562" s="264" t="s">
        <v>4563</v>
      </c>
      <c r="N1562" s="264" t="s">
        <v>4563</v>
      </c>
      <c r="O1562" s="308" t="s">
        <v>5014</v>
      </c>
      <c r="Q1562" s="591"/>
      <c r="R1562" s="1406"/>
      <c r="S1562" s="1406"/>
      <c r="U1562" s="328"/>
      <c r="V1562" s="308"/>
      <c r="W1562" s="328"/>
      <c r="X1562" s="745"/>
      <c r="Y1562" s="745"/>
      <c r="Z1562" s="745"/>
      <c r="AA1562" s="746"/>
      <c r="AB1562" s="744" t="s">
        <v>4982</v>
      </c>
      <c r="AC1562" s="744">
        <v>1602337096</v>
      </c>
      <c r="AD1562" s="744"/>
      <c r="AE1562" s="744"/>
      <c r="AF1562" s="744"/>
      <c r="AG1562" s="251" t="s">
        <v>283</v>
      </c>
    </row>
    <row r="1563" spans="1:33" ht="15.75" customHeight="1">
      <c r="A1563" s="743">
        <v>43324</v>
      </c>
      <c r="B1563" s="144" t="s">
        <v>100</v>
      </c>
      <c r="C1563" s="250"/>
      <c r="D1563" s="250" t="s">
        <v>5013</v>
      </c>
      <c r="E1563" s="595" t="s">
        <v>4983</v>
      </c>
      <c r="F1563" s="251">
        <v>2</v>
      </c>
      <c r="G1563" s="252">
        <v>10</v>
      </c>
      <c r="H1563" s="253">
        <f t="shared" si="137"/>
        <v>20</v>
      </c>
      <c r="I1563" s="254" t="s">
        <v>302</v>
      </c>
      <c r="J1563" s="401" t="s">
        <v>3578</v>
      </c>
      <c r="K1563" s="848">
        <v>43364</v>
      </c>
      <c r="L1563" s="1480"/>
      <c r="M1563" s="256"/>
      <c r="N1563" s="264"/>
      <c r="O1563" s="744"/>
      <c r="Q1563" s="591"/>
      <c r="R1563" s="1406"/>
      <c r="S1563" s="1406"/>
      <c r="U1563" s="329"/>
      <c r="V1563" s="308"/>
      <c r="W1563" s="328"/>
      <c r="X1563" s="745"/>
      <c r="Y1563" s="745"/>
      <c r="Z1563" s="745"/>
      <c r="AA1563" s="746"/>
      <c r="AB1563" s="744" t="s">
        <v>4982</v>
      </c>
      <c r="AC1563" s="744">
        <v>1602337096</v>
      </c>
      <c r="AD1563" s="744"/>
      <c r="AE1563" s="744"/>
      <c r="AF1563" s="744"/>
      <c r="AG1563" s="251" t="s">
        <v>283</v>
      </c>
    </row>
    <row r="1564" spans="1:33" ht="15.75" customHeight="1">
      <c r="A1564" s="743">
        <v>43326</v>
      </c>
      <c r="B1564" s="590" t="s">
        <v>405</v>
      </c>
      <c r="C1564" s="744"/>
      <c r="D1564" s="332"/>
      <c r="E1564" s="595" t="s">
        <v>5016</v>
      </c>
      <c r="F1564" s="251">
        <v>5</v>
      </c>
      <c r="G1564" s="252">
        <v>0</v>
      </c>
      <c r="H1564" s="253">
        <v>0</v>
      </c>
      <c r="I1564" s="254" t="s">
        <v>42</v>
      </c>
      <c r="J1564" s="401" t="s">
        <v>3840</v>
      </c>
      <c r="K1564" s="256">
        <v>43328</v>
      </c>
      <c r="L1564" s="256"/>
      <c r="M1564" s="256">
        <v>43328</v>
      </c>
      <c r="N1564" s="264" t="s">
        <v>1512</v>
      </c>
      <c r="O1564" s="744" t="s">
        <v>576</v>
      </c>
      <c r="Q1564" s="591"/>
      <c r="R1564" s="1406"/>
      <c r="S1564" s="1406"/>
      <c r="U1564" s="329" t="s">
        <v>576</v>
      </c>
      <c r="V1564" s="308"/>
      <c r="W1564" s="328"/>
      <c r="X1564" s="745"/>
      <c r="Y1564" s="745"/>
      <c r="Z1564" s="745"/>
      <c r="AA1564" s="746"/>
      <c r="AB1564" s="745"/>
      <c r="AC1564" s="744"/>
      <c r="AD1564" s="744"/>
      <c r="AE1564" s="744"/>
      <c r="AF1564" s="744"/>
      <c r="AG1564" s="251" t="s">
        <v>576</v>
      </c>
    </row>
    <row r="1565" spans="1:33" ht="15.75" customHeight="1">
      <c r="A1565" s="743">
        <v>43327</v>
      </c>
      <c r="B1565" s="263" t="s">
        <v>5017</v>
      </c>
      <c r="C1565" s="744" t="s">
        <v>5018</v>
      </c>
      <c r="D1565" s="250" t="s">
        <v>5019</v>
      </c>
      <c r="E1565" s="595" t="s">
        <v>5020</v>
      </c>
      <c r="F1565" s="251">
        <v>8</v>
      </c>
      <c r="G1565" s="252">
        <v>9.8699999999999992</v>
      </c>
      <c r="H1565" s="253">
        <f t="shared" ref="H1565:H1584" si="138">G1565*F1565</f>
        <v>78.959999999999994</v>
      </c>
      <c r="I1565" s="254" t="s">
        <v>3712</v>
      </c>
      <c r="J1565" s="756" t="s">
        <v>1309</v>
      </c>
      <c r="K1565" s="256">
        <v>43334</v>
      </c>
      <c r="L1565" s="256"/>
      <c r="M1565" s="256">
        <v>43332</v>
      </c>
      <c r="N1565" s="331" t="s">
        <v>2411</v>
      </c>
      <c r="O1565" s="250" t="s">
        <v>5021</v>
      </c>
      <c r="Q1565" s="591"/>
      <c r="R1565" s="1406"/>
      <c r="S1565" s="1406"/>
      <c r="U1565" s="572">
        <v>1932</v>
      </c>
      <c r="V1565" s="308" t="s">
        <v>4328</v>
      </c>
      <c r="W1565" s="747">
        <v>43348</v>
      </c>
      <c r="X1565" s="748">
        <v>43329</v>
      </c>
      <c r="Y1565" s="744" t="s">
        <v>5022</v>
      </c>
      <c r="Z1565" s="749">
        <v>1932</v>
      </c>
      <c r="AA1565" s="748">
        <v>43349</v>
      </c>
      <c r="AB1565" s="744" t="s">
        <v>5023</v>
      </c>
      <c r="AC1565" s="595" t="s">
        <v>5024</v>
      </c>
      <c r="AD1565" s="595" t="s">
        <v>5025</v>
      </c>
      <c r="AE1565" s="749">
        <v>4601</v>
      </c>
      <c r="AF1565" s="595" t="s">
        <v>5026</v>
      </c>
      <c r="AG1565" s="251" t="s">
        <v>376</v>
      </c>
    </row>
    <row r="1566" spans="1:33" ht="15.75" customHeight="1">
      <c r="A1566" s="743">
        <v>43327</v>
      </c>
      <c r="B1566" s="263" t="s">
        <v>5017</v>
      </c>
      <c r="C1566" s="744" t="s">
        <v>5018</v>
      </c>
      <c r="D1566" s="744" t="s">
        <v>5019</v>
      </c>
      <c r="E1566" s="308" t="s">
        <v>5027</v>
      </c>
      <c r="F1566" s="251">
        <v>5</v>
      </c>
      <c r="G1566" s="252">
        <v>14.17</v>
      </c>
      <c r="H1566" s="253">
        <f t="shared" si="138"/>
        <v>70.849999999999994</v>
      </c>
      <c r="I1566" s="254" t="s">
        <v>3712</v>
      </c>
      <c r="J1566" s="756" t="s">
        <v>1309</v>
      </c>
      <c r="K1566" s="256">
        <v>43334</v>
      </c>
      <c r="L1566" s="256"/>
      <c r="M1566" s="256">
        <v>43334</v>
      </c>
      <c r="N1566" s="331" t="s">
        <v>2411</v>
      </c>
      <c r="O1566" s="250" t="s">
        <v>5021</v>
      </c>
      <c r="Q1566" s="591"/>
      <c r="R1566" s="1406"/>
      <c r="S1566" s="1406"/>
      <c r="U1566" s="572">
        <v>1890</v>
      </c>
      <c r="V1566" s="308" t="s">
        <v>4328</v>
      </c>
      <c r="W1566" s="747">
        <v>43348</v>
      </c>
      <c r="X1566" s="748">
        <v>43333</v>
      </c>
      <c r="Y1566" s="744" t="s">
        <v>5028</v>
      </c>
      <c r="Z1566" s="749">
        <v>1890</v>
      </c>
      <c r="AA1566" s="748">
        <v>43349</v>
      </c>
      <c r="AB1566" s="744" t="s">
        <v>5023</v>
      </c>
      <c r="AC1566" s="595" t="s">
        <v>5024</v>
      </c>
      <c r="AD1566" s="595" t="s">
        <v>5025</v>
      </c>
      <c r="AE1566" s="749" t="s">
        <v>5029</v>
      </c>
      <c r="AF1566" s="595" t="s">
        <v>5026</v>
      </c>
      <c r="AG1566" s="251" t="s">
        <v>376</v>
      </c>
    </row>
    <row r="1567" spans="1:33" ht="15.75" customHeight="1">
      <c r="A1567" s="743">
        <v>43330</v>
      </c>
      <c r="B1567" s="263" t="s">
        <v>713</v>
      </c>
      <c r="C1567" s="744"/>
      <c r="D1567" s="744" t="s">
        <v>5030</v>
      </c>
      <c r="E1567" s="595" t="s">
        <v>4586</v>
      </c>
      <c r="F1567" s="251">
        <v>18</v>
      </c>
      <c r="G1567" s="252">
        <v>95</v>
      </c>
      <c r="H1567" s="253">
        <f t="shared" si="138"/>
        <v>1710</v>
      </c>
      <c r="I1567" s="254" t="s">
        <v>3712</v>
      </c>
      <c r="J1567" s="267" t="s">
        <v>4986</v>
      </c>
      <c r="K1567" s="256">
        <v>43339</v>
      </c>
      <c r="L1567" s="256"/>
      <c r="M1567" s="256">
        <v>43335</v>
      </c>
      <c r="N1567" s="331" t="s">
        <v>89</v>
      </c>
      <c r="O1567" s="308" t="s">
        <v>5031</v>
      </c>
      <c r="Q1567" s="266">
        <v>1587.6</v>
      </c>
      <c r="R1567" s="1394"/>
      <c r="S1567" s="1394"/>
      <c r="U1567" s="328"/>
      <c r="V1567" s="338" t="s">
        <v>93</v>
      </c>
      <c r="W1567" s="789">
        <v>43373</v>
      </c>
      <c r="X1567" s="748">
        <v>43334</v>
      </c>
      <c r="Y1567" s="744" t="s">
        <v>5032</v>
      </c>
      <c r="Z1567" s="749">
        <v>48898</v>
      </c>
      <c r="AA1567" s="748">
        <v>43378</v>
      </c>
      <c r="AB1567" s="744" t="s">
        <v>4989</v>
      </c>
      <c r="AC1567" s="744">
        <v>9290837183</v>
      </c>
      <c r="AD1567" s="744"/>
      <c r="AE1567" s="744"/>
      <c r="AF1567" s="744"/>
      <c r="AG1567" s="251" t="s">
        <v>283</v>
      </c>
    </row>
    <row r="1568" spans="1:33" ht="15.75" customHeight="1">
      <c r="A1568" s="743">
        <v>43334</v>
      </c>
      <c r="B1568" s="590" t="s">
        <v>405</v>
      </c>
      <c r="C1568" s="744">
        <v>7000140533</v>
      </c>
      <c r="D1568" s="250" t="s">
        <v>5033</v>
      </c>
      <c r="E1568" s="595" t="s">
        <v>1940</v>
      </c>
      <c r="F1568" s="251">
        <v>2</v>
      </c>
      <c r="G1568" s="252">
        <v>120</v>
      </c>
      <c r="H1568" s="253">
        <f t="shared" si="138"/>
        <v>240</v>
      </c>
      <c r="I1568" s="254" t="s">
        <v>42</v>
      </c>
      <c r="J1568" s="331" t="s">
        <v>3840</v>
      </c>
      <c r="K1568" s="256">
        <v>43354</v>
      </c>
      <c r="L1568" s="256"/>
      <c r="M1568" s="256">
        <v>43347</v>
      </c>
      <c r="N1568" s="331" t="s">
        <v>3432</v>
      </c>
      <c r="O1568" s="308" t="s">
        <v>5034</v>
      </c>
      <c r="Q1568" s="591"/>
      <c r="R1568" s="1406"/>
      <c r="S1568" s="1406"/>
      <c r="U1568" s="572">
        <v>7556</v>
      </c>
      <c r="V1568" s="308" t="s">
        <v>2045</v>
      </c>
      <c r="W1568" s="747">
        <v>43434</v>
      </c>
      <c r="X1568" s="748">
        <v>43346</v>
      </c>
      <c r="Y1568" s="744" t="s">
        <v>5035</v>
      </c>
      <c r="Z1568" s="749">
        <v>7556</v>
      </c>
      <c r="AA1568" s="748">
        <v>43382</v>
      </c>
      <c r="AB1568" s="744" t="s">
        <v>4552</v>
      </c>
      <c r="AC1568" s="744">
        <v>5528488394</v>
      </c>
      <c r="AD1568" s="744"/>
      <c r="AE1568" s="744"/>
      <c r="AF1568" s="744"/>
      <c r="AG1568" s="251" t="s">
        <v>283</v>
      </c>
    </row>
    <row r="1569" spans="1:33" ht="15.75" customHeight="1">
      <c r="A1569" s="743">
        <v>43334</v>
      </c>
      <c r="B1569" s="590" t="s">
        <v>405</v>
      </c>
      <c r="C1569" s="744">
        <v>7000140533</v>
      </c>
      <c r="D1569" s="250" t="s">
        <v>5033</v>
      </c>
      <c r="E1569" s="308" t="s">
        <v>556</v>
      </c>
      <c r="F1569" s="254">
        <v>6</v>
      </c>
      <c r="G1569" s="464">
        <v>145</v>
      </c>
      <c r="H1569" s="253">
        <f t="shared" si="138"/>
        <v>870</v>
      </c>
      <c r="I1569" s="254" t="s">
        <v>42</v>
      </c>
      <c r="J1569" s="331" t="s">
        <v>3840</v>
      </c>
      <c r="K1569" s="256">
        <v>43354</v>
      </c>
      <c r="L1569" s="256"/>
      <c r="M1569" s="256">
        <v>43347</v>
      </c>
      <c r="N1569" s="331" t="s">
        <v>3432</v>
      </c>
      <c r="O1569" s="308" t="s">
        <v>5036</v>
      </c>
      <c r="Q1569" s="591"/>
      <c r="R1569" s="1406"/>
      <c r="S1569" s="1406"/>
      <c r="U1569" s="572">
        <v>24583</v>
      </c>
      <c r="V1569" s="308" t="s">
        <v>2045</v>
      </c>
      <c r="W1569" s="747">
        <v>43434</v>
      </c>
      <c r="X1569" s="748">
        <v>43346</v>
      </c>
      <c r="Y1569" s="744" t="s">
        <v>5037</v>
      </c>
      <c r="Z1569" s="749">
        <v>24583</v>
      </c>
      <c r="AA1569" s="748">
        <v>43382</v>
      </c>
      <c r="AB1569" s="744" t="s">
        <v>4552</v>
      </c>
      <c r="AC1569" s="744">
        <v>5528488394</v>
      </c>
      <c r="AD1569" s="744"/>
      <c r="AE1569" s="744"/>
      <c r="AF1569" s="744"/>
      <c r="AG1569" s="251" t="s">
        <v>283</v>
      </c>
    </row>
    <row r="1570" spans="1:33" ht="15.75" customHeight="1">
      <c r="A1570" s="743">
        <v>43334</v>
      </c>
      <c r="B1570" s="263" t="s">
        <v>100</v>
      </c>
      <c r="C1570" s="744" t="s">
        <v>5038</v>
      </c>
      <c r="D1570" s="250" t="s">
        <v>5039</v>
      </c>
      <c r="E1570" s="308" t="s">
        <v>5040</v>
      </c>
      <c r="F1570" s="254">
        <v>10</v>
      </c>
      <c r="G1570" s="464">
        <v>93</v>
      </c>
      <c r="H1570" s="253">
        <f t="shared" si="138"/>
        <v>930</v>
      </c>
      <c r="I1570" s="254" t="s">
        <v>170</v>
      </c>
      <c r="J1570" s="367" t="s">
        <v>3408</v>
      </c>
      <c r="K1570" s="256">
        <v>43371</v>
      </c>
      <c r="L1570" s="256"/>
      <c r="M1570" s="256">
        <v>43360</v>
      </c>
      <c r="N1570" s="331" t="s">
        <v>2001</v>
      </c>
      <c r="O1570" s="308" t="s">
        <v>5041</v>
      </c>
      <c r="Q1570" s="266">
        <v>924</v>
      </c>
      <c r="R1570" s="1394"/>
      <c r="S1570" s="1394"/>
      <c r="U1570" s="328"/>
      <c r="V1570" s="318" t="s">
        <v>2003</v>
      </c>
      <c r="W1570" s="747">
        <v>43398</v>
      </c>
      <c r="X1570" s="748">
        <v>43357</v>
      </c>
      <c r="Y1570" s="744" t="s">
        <v>5042</v>
      </c>
      <c r="Z1570" s="749">
        <v>94587</v>
      </c>
      <c r="AA1570" s="748">
        <v>43406</v>
      </c>
      <c r="AB1570" s="744" t="s">
        <v>5043</v>
      </c>
      <c r="AC1570" s="744" t="s">
        <v>5044</v>
      </c>
      <c r="AD1570" s="744"/>
      <c r="AE1570" s="744"/>
      <c r="AF1570" s="744"/>
      <c r="AG1570" s="251" t="s">
        <v>283</v>
      </c>
    </row>
    <row r="1571" spans="1:33" ht="15.75" customHeight="1">
      <c r="A1571" s="743">
        <v>43334</v>
      </c>
      <c r="B1571" s="263" t="s">
        <v>100</v>
      </c>
      <c r="C1571" s="744" t="s">
        <v>5038</v>
      </c>
      <c r="D1571" s="250" t="s">
        <v>5039</v>
      </c>
      <c r="E1571" s="308" t="s">
        <v>5045</v>
      </c>
      <c r="F1571" s="254">
        <v>10</v>
      </c>
      <c r="G1571" s="265">
        <v>73</v>
      </c>
      <c r="H1571" s="253">
        <f t="shared" si="138"/>
        <v>730</v>
      </c>
      <c r="I1571" s="254" t="s">
        <v>170</v>
      </c>
      <c r="J1571" s="367" t="s">
        <v>3408</v>
      </c>
      <c r="K1571" s="256">
        <v>43371</v>
      </c>
      <c r="L1571" s="256"/>
      <c r="M1571" s="256">
        <v>43360</v>
      </c>
      <c r="N1571" s="331" t="s">
        <v>2001</v>
      </c>
      <c r="O1571" s="308" t="s">
        <v>5041</v>
      </c>
      <c r="Q1571" s="266">
        <v>724.5</v>
      </c>
      <c r="R1571" s="1394"/>
      <c r="S1571" s="1394"/>
      <c r="U1571" s="328"/>
      <c r="V1571" s="318" t="s">
        <v>2003</v>
      </c>
      <c r="W1571" s="747">
        <v>43398</v>
      </c>
      <c r="X1571" s="748">
        <v>43357</v>
      </c>
      <c r="Y1571" s="744" t="s">
        <v>5042</v>
      </c>
      <c r="Z1571" s="744" t="s">
        <v>5046</v>
      </c>
      <c r="AA1571" s="748">
        <v>43406</v>
      </c>
      <c r="AB1571" s="744" t="s">
        <v>5043</v>
      </c>
      <c r="AC1571" s="744" t="s">
        <v>5044</v>
      </c>
      <c r="AD1571" s="744"/>
      <c r="AE1571" s="744"/>
      <c r="AF1571" s="744"/>
      <c r="AG1571" s="251" t="s">
        <v>283</v>
      </c>
    </row>
    <row r="1572" spans="1:33" ht="15.75" customHeight="1">
      <c r="A1572" s="743">
        <v>43334</v>
      </c>
      <c r="B1572" s="263" t="s">
        <v>100</v>
      </c>
      <c r="C1572" s="744" t="s">
        <v>5038</v>
      </c>
      <c r="D1572" s="250" t="s">
        <v>5039</v>
      </c>
      <c r="E1572" s="308" t="s">
        <v>353</v>
      </c>
      <c r="F1572" s="254">
        <v>10</v>
      </c>
      <c r="G1572" s="265">
        <v>140</v>
      </c>
      <c r="H1572" s="253">
        <f t="shared" si="138"/>
        <v>1400</v>
      </c>
      <c r="I1572" s="254" t="s">
        <v>170</v>
      </c>
      <c r="J1572" s="367" t="s">
        <v>3408</v>
      </c>
      <c r="K1572" s="256">
        <v>43371</v>
      </c>
      <c r="L1572" s="256"/>
      <c r="M1572" s="256">
        <v>43360</v>
      </c>
      <c r="N1572" s="331" t="s">
        <v>2001</v>
      </c>
      <c r="O1572" s="308" t="s">
        <v>5041</v>
      </c>
      <c r="Q1572" s="266">
        <v>1396.5</v>
      </c>
      <c r="R1572" s="1394"/>
      <c r="S1572" s="1394"/>
      <c r="U1572" s="328"/>
      <c r="V1572" s="318" t="s">
        <v>2003</v>
      </c>
      <c r="W1572" s="747">
        <v>43398</v>
      </c>
      <c r="X1572" s="748">
        <v>43357</v>
      </c>
      <c r="Y1572" s="744" t="s">
        <v>5042</v>
      </c>
      <c r="Z1572" s="744" t="s">
        <v>5046</v>
      </c>
      <c r="AA1572" s="748">
        <v>43406</v>
      </c>
      <c r="AB1572" s="744" t="s">
        <v>5043</v>
      </c>
      <c r="AC1572" s="744" t="s">
        <v>5044</v>
      </c>
      <c r="AD1572" s="744"/>
      <c r="AE1572" s="744"/>
      <c r="AF1572" s="744"/>
      <c r="AG1572" s="251" t="s">
        <v>283</v>
      </c>
    </row>
    <row r="1573" spans="1:33" ht="15.75" customHeight="1">
      <c r="A1573" s="743">
        <v>43334</v>
      </c>
      <c r="B1573" s="263" t="s">
        <v>100</v>
      </c>
      <c r="C1573" s="744" t="s">
        <v>5038</v>
      </c>
      <c r="D1573" s="250" t="s">
        <v>5039</v>
      </c>
      <c r="E1573" s="308" t="s">
        <v>355</v>
      </c>
      <c r="F1573" s="254">
        <v>10</v>
      </c>
      <c r="G1573" s="265">
        <v>2</v>
      </c>
      <c r="H1573" s="253">
        <f t="shared" si="138"/>
        <v>20</v>
      </c>
      <c r="I1573" s="254" t="s">
        <v>170</v>
      </c>
      <c r="J1573" s="367" t="s">
        <v>3408</v>
      </c>
      <c r="K1573" s="256">
        <v>43371</v>
      </c>
      <c r="L1573" s="256"/>
      <c r="M1573" s="264" t="s">
        <v>178</v>
      </c>
      <c r="N1573" s="264" t="s">
        <v>178</v>
      </c>
      <c r="O1573" s="308" t="s">
        <v>3417</v>
      </c>
      <c r="Q1573" s="591"/>
      <c r="R1573" s="1406"/>
      <c r="S1573" s="1406"/>
      <c r="U1573" s="328"/>
      <c r="V1573" s="308"/>
      <c r="W1573" s="328"/>
      <c r="X1573" s="744"/>
      <c r="Y1573" s="744"/>
      <c r="Z1573" s="744"/>
      <c r="AA1573" s="748"/>
      <c r="AB1573" s="744" t="s">
        <v>5043</v>
      </c>
      <c r="AC1573" s="744" t="s">
        <v>5044</v>
      </c>
      <c r="AD1573" s="744"/>
      <c r="AE1573" s="744"/>
      <c r="AF1573" s="744"/>
      <c r="AG1573" s="251" t="s">
        <v>283</v>
      </c>
    </row>
    <row r="1574" spans="1:33" ht="15.75" customHeight="1">
      <c r="A1574" s="743">
        <v>43334</v>
      </c>
      <c r="B1574" s="263" t="s">
        <v>100</v>
      </c>
      <c r="C1574" s="744" t="s">
        <v>5038</v>
      </c>
      <c r="D1574" s="250" t="s">
        <v>5039</v>
      </c>
      <c r="E1574" s="308" t="s">
        <v>5047</v>
      </c>
      <c r="F1574" s="254">
        <v>10</v>
      </c>
      <c r="G1574" s="265">
        <v>2.5</v>
      </c>
      <c r="H1574" s="253">
        <f t="shared" si="138"/>
        <v>25</v>
      </c>
      <c r="I1574" s="254" t="s">
        <v>170</v>
      </c>
      <c r="J1574" s="367" t="s">
        <v>3408</v>
      </c>
      <c r="K1574" s="256">
        <v>43371</v>
      </c>
      <c r="L1574" s="256"/>
      <c r="M1574" s="264" t="s">
        <v>178</v>
      </c>
      <c r="N1574" s="264" t="s">
        <v>178</v>
      </c>
      <c r="O1574" s="643" t="s">
        <v>3419</v>
      </c>
      <c r="Q1574" s="591"/>
      <c r="R1574" s="1406"/>
      <c r="S1574" s="1406"/>
      <c r="U1574" s="328"/>
      <c r="V1574" s="308"/>
      <c r="W1574" s="328"/>
      <c r="X1574" s="744"/>
      <c r="Y1574" s="744"/>
      <c r="Z1574" s="744"/>
      <c r="AA1574" s="748"/>
      <c r="AB1574" s="744" t="s">
        <v>5043</v>
      </c>
      <c r="AC1574" s="744" t="s">
        <v>5044</v>
      </c>
      <c r="AD1574" s="744"/>
      <c r="AE1574" s="744"/>
      <c r="AF1574" s="744"/>
      <c r="AG1574" s="251" t="s">
        <v>283</v>
      </c>
    </row>
    <row r="1575" spans="1:33" ht="15.75" customHeight="1">
      <c r="A1575" s="743">
        <v>43334</v>
      </c>
      <c r="B1575" s="263" t="s">
        <v>100</v>
      </c>
      <c r="C1575" s="744" t="s">
        <v>5038</v>
      </c>
      <c r="D1575" s="250" t="s">
        <v>5039</v>
      </c>
      <c r="E1575" s="308" t="s">
        <v>354</v>
      </c>
      <c r="F1575" s="254">
        <v>10</v>
      </c>
      <c r="G1575" s="265">
        <v>4</v>
      </c>
      <c r="H1575" s="253">
        <f t="shared" si="138"/>
        <v>40</v>
      </c>
      <c r="I1575" s="254" t="s">
        <v>170</v>
      </c>
      <c r="J1575" s="367" t="s">
        <v>3408</v>
      </c>
      <c r="K1575" s="256">
        <v>43371</v>
      </c>
      <c r="L1575" s="256"/>
      <c r="M1575" s="256">
        <v>43360</v>
      </c>
      <c r="N1575" s="331" t="s">
        <v>2001</v>
      </c>
      <c r="O1575" s="308" t="s">
        <v>5041</v>
      </c>
      <c r="Q1575" s="266">
        <v>31.5</v>
      </c>
      <c r="R1575" s="1394"/>
      <c r="S1575" s="1394"/>
      <c r="U1575" s="328"/>
      <c r="V1575" s="318" t="s">
        <v>2003</v>
      </c>
      <c r="W1575" s="747">
        <v>43398</v>
      </c>
      <c r="X1575" s="748">
        <v>43357</v>
      </c>
      <c r="Y1575" s="744" t="s">
        <v>5042</v>
      </c>
      <c r="Z1575" s="744" t="s">
        <v>5046</v>
      </c>
      <c r="AA1575" s="748">
        <v>43406</v>
      </c>
      <c r="AB1575" s="744" t="s">
        <v>5043</v>
      </c>
      <c r="AC1575" s="744" t="s">
        <v>5044</v>
      </c>
      <c r="AD1575" s="744"/>
      <c r="AE1575" s="744"/>
      <c r="AF1575" s="744"/>
      <c r="AG1575" s="251" t="s">
        <v>283</v>
      </c>
    </row>
    <row r="1576" spans="1:33" ht="15.75" customHeight="1">
      <c r="A1576" s="743">
        <v>43334</v>
      </c>
      <c r="B1576" s="263" t="s">
        <v>100</v>
      </c>
      <c r="C1576" s="744" t="s">
        <v>5038</v>
      </c>
      <c r="D1576" s="250" t="s">
        <v>5039</v>
      </c>
      <c r="E1576" s="308" t="s">
        <v>5048</v>
      </c>
      <c r="F1576" s="254">
        <v>10</v>
      </c>
      <c r="G1576" s="265">
        <v>8</v>
      </c>
      <c r="H1576" s="253">
        <f t="shared" si="138"/>
        <v>80</v>
      </c>
      <c r="I1576" s="254" t="s">
        <v>170</v>
      </c>
      <c r="J1576" s="367" t="s">
        <v>3408</v>
      </c>
      <c r="K1576" s="256">
        <v>43371</v>
      </c>
      <c r="L1576" s="256"/>
      <c r="M1576" s="256">
        <v>43360</v>
      </c>
      <c r="N1576" s="331" t="s">
        <v>2005</v>
      </c>
      <c r="O1576" s="308"/>
      <c r="Q1576" s="591"/>
      <c r="R1576" s="1406"/>
      <c r="S1576" s="1406"/>
      <c r="U1576" s="328"/>
      <c r="V1576" s="308"/>
      <c r="W1576" s="328"/>
      <c r="X1576" s="744"/>
      <c r="Y1576" s="744"/>
      <c r="Z1576" s="744"/>
      <c r="AA1576" s="748"/>
      <c r="AB1576" s="744" t="s">
        <v>5043</v>
      </c>
      <c r="AC1576" s="744" t="s">
        <v>5044</v>
      </c>
      <c r="AD1576" s="744"/>
      <c r="AE1576" s="744"/>
      <c r="AF1576" s="744"/>
      <c r="AG1576" s="251" t="s">
        <v>283</v>
      </c>
    </row>
    <row r="1577" spans="1:33" ht="15.75" customHeight="1">
      <c r="A1577" s="743">
        <v>43334</v>
      </c>
      <c r="B1577" s="263" t="s">
        <v>100</v>
      </c>
      <c r="C1577" s="744"/>
      <c r="D1577" s="250" t="s">
        <v>5049</v>
      </c>
      <c r="E1577" s="595" t="s">
        <v>280</v>
      </c>
      <c r="F1577" s="251">
        <v>10</v>
      </c>
      <c r="G1577" s="252">
        <v>2.6</v>
      </c>
      <c r="H1577" s="253">
        <f t="shared" si="138"/>
        <v>26</v>
      </c>
      <c r="I1577" s="254" t="s">
        <v>170</v>
      </c>
      <c r="J1577" s="367" t="s">
        <v>3408</v>
      </c>
      <c r="K1577" s="256">
        <v>43371</v>
      </c>
      <c r="L1577" s="256"/>
      <c r="M1577" s="256">
        <v>43354</v>
      </c>
      <c r="N1577" s="331" t="s">
        <v>1942</v>
      </c>
      <c r="O1577" s="308" t="s">
        <v>5041</v>
      </c>
      <c r="Q1577" s="591"/>
      <c r="R1577" s="1406"/>
      <c r="S1577" s="1406"/>
      <c r="U1577" s="308">
        <v>420</v>
      </c>
      <c r="V1577" s="308" t="s">
        <v>1944</v>
      </c>
      <c r="W1577" s="328"/>
      <c r="X1577" s="748">
        <v>43350</v>
      </c>
      <c r="Y1577" s="744" t="s">
        <v>282</v>
      </c>
      <c r="Z1577" s="749">
        <v>5460</v>
      </c>
      <c r="AA1577" s="748">
        <v>43348</v>
      </c>
      <c r="AB1577" s="744" t="s">
        <v>5043</v>
      </c>
      <c r="AC1577" s="744" t="s">
        <v>5044</v>
      </c>
      <c r="AD1577" s="744"/>
      <c r="AE1577" s="744"/>
      <c r="AF1577" s="744"/>
      <c r="AG1577" s="251" t="s">
        <v>283</v>
      </c>
    </row>
    <row r="1578" spans="1:33" ht="15.75" customHeight="1">
      <c r="A1578" s="755">
        <v>43324</v>
      </c>
      <c r="B1578" s="144" t="s">
        <v>100</v>
      </c>
      <c r="C1578" s="250" t="s">
        <v>5012</v>
      </c>
      <c r="D1578" s="250" t="s">
        <v>5050</v>
      </c>
      <c r="E1578" s="595" t="s">
        <v>5015</v>
      </c>
      <c r="F1578" s="251">
        <v>3</v>
      </c>
      <c r="G1578" s="252">
        <v>570</v>
      </c>
      <c r="H1578" s="253">
        <f t="shared" si="138"/>
        <v>1710</v>
      </c>
      <c r="I1578" s="254" t="s">
        <v>170</v>
      </c>
      <c r="J1578" s="401" t="s">
        <v>3578</v>
      </c>
      <c r="K1578" s="256">
        <v>43377</v>
      </c>
      <c r="L1578" s="256"/>
      <c r="M1578" s="264" t="s">
        <v>4563</v>
      </c>
      <c r="N1578" s="264" t="s">
        <v>4563</v>
      </c>
      <c r="O1578" s="308" t="s">
        <v>5014</v>
      </c>
      <c r="Q1578" s="591"/>
      <c r="R1578" s="1406"/>
      <c r="S1578" s="1406"/>
      <c r="U1578" s="328"/>
      <c r="V1578" s="308"/>
      <c r="W1578" s="328"/>
      <c r="X1578" s="745"/>
      <c r="Y1578" s="745"/>
      <c r="Z1578" s="745"/>
      <c r="AA1578" s="746"/>
      <c r="AB1578" s="744" t="s">
        <v>5051</v>
      </c>
      <c r="AC1578" s="744">
        <v>2236052814</v>
      </c>
      <c r="AD1578" s="744"/>
      <c r="AE1578" s="744"/>
      <c r="AF1578" s="744"/>
      <c r="AG1578" s="251" t="s">
        <v>283</v>
      </c>
    </row>
    <row r="1579" spans="1:33" ht="15.75" customHeight="1">
      <c r="A1579" s="755">
        <v>43324</v>
      </c>
      <c r="B1579" s="144" t="s">
        <v>100</v>
      </c>
      <c r="C1579" s="250" t="s">
        <v>5012</v>
      </c>
      <c r="D1579" s="250" t="s">
        <v>5050</v>
      </c>
      <c r="E1579" s="595" t="s">
        <v>4721</v>
      </c>
      <c r="F1579" s="251">
        <v>3</v>
      </c>
      <c r="G1579" s="252">
        <v>42</v>
      </c>
      <c r="H1579" s="253">
        <f t="shared" si="138"/>
        <v>126</v>
      </c>
      <c r="I1579" s="254" t="s">
        <v>170</v>
      </c>
      <c r="J1579" s="401" t="s">
        <v>3578</v>
      </c>
      <c r="K1579" s="256">
        <v>43377</v>
      </c>
      <c r="L1579" s="256"/>
      <c r="M1579" s="264" t="s">
        <v>4563</v>
      </c>
      <c r="N1579" s="264" t="s">
        <v>4563</v>
      </c>
      <c r="O1579" s="308" t="s">
        <v>5014</v>
      </c>
      <c r="Q1579" s="591"/>
      <c r="R1579" s="1406"/>
      <c r="S1579" s="1406"/>
      <c r="U1579" s="328"/>
      <c r="V1579" s="308"/>
      <c r="W1579" s="328"/>
      <c r="X1579" s="745"/>
      <c r="Y1579" s="745"/>
      <c r="Z1579" s="745"/>
      <c r="AA1579" s="746"/>
      <c r="AB1579" s="744" t="s">
        <v>5051</v>
      </c>
      <c r="AC1579" s="744">
        <v>2236052814</v>
      </c>
      <c r="AD1579" s="744"/>
      <c r="AE1579" s="744"/>
      <c r="AF1579" s="744"/>
      <c r="AG1579" s="251" t="s">
        <v>283</v>
      </c>
    </row>
    <row r="1580" spans="1:33" ht="15.75" customHeight="1">
      <c r="A1580" s="755">
        <v>43324</v>
      </c>
      <c r="B1580" s="144" t="s">
        <v>100</v>
      </c>
      <c r="C1580" s="250" t="s">
        <v>5012</v>
      </c>
      <c r="D1580" s="250" t="s">
        <v>5050</v>
      </c>
      <c r="E1580" s="595" t="s">
        <v>4722</v>
      </c>
      <c r="F1580" s="251">
        <v>3</v>
      </c>
      <c r="G1580" s="252">
        <v>140</v>
      </c>
      <c r="H1580" s="253">
        <f t="shared" si="138"/>
        <v>420</v>
      </c>
      <c r="I1580" s="254" t="s">
        <v>170</v>
      </c>
      <c r="J1580" s="401" t="s">
        <v>3578</v>
      </c>
      <c r="K1580" s="256">
        <v>43377</v>
      </c>
      <c r="L1580" s="256"/>
      <c r="M1580" s="264" t="s">
        <v>4563</v>
      </c>
      <c r="N1580" s="264" t="s">
        <v>4563</v>
      </c>
      <c r="O1580" s="308" t="s">
        <v>5014</v>
      </c>
      <c r="Q1580" s="591"/>
      <c r="R1580" s="1406"/>
      <c r="S1580" s="1406"/>
      <c r="U1580" s="328"/>
      <c r="V1580" s="308"/>
      <c r="W1580" s="328"/>
      <c r="X1580" s="745"/>
      <c r="Y1580" s="745"/>
      <c r="Z1580" s="745"/>
      <c r="AA1580" s="746"/>
      <c r="AB1580" s="744" t="s">
        <v>5051</v>
      </c>
      <c r="AC1580" s="744">
        <v>2236052814</v>
      </c>
      <c r="AD1580" s="744"/>
      <c r="AE1580" s="744"/>
      <c r="AF1580" s="744"/>
      <c r="AG1580" s="251" t="s">
        <v>283</v>
      </c>
    </row>
    <row r="1581" spans="1:33" ht="15.75" customHeight="1">
      <c r="A1581" s="755">
        <v>43324</v>
      </c>
      <c r="B1581" s="144" t="s">
        <v>100</v>
      </c>
      <c r="C1581" s="250" t="s">
        <v>5012</v>
      </c>
      <c r="D1581" s="250" t="s">
        <v>5050</v>
      </c>
      <c r="E1581" s="595" t="s">
        <v>441</v>
      </c>
      <c r="F1581" s="251">
        <v>3</v>
      </c>
      <c r="G1581" s="252">
        <v>38</v>
      </c>
      <c r="H1581" s="253">
        <f t="shared" si="138"/>
        <v>114</v>
      </c>
      <c r="I1581" s="254" t="s">
        <v>170</v>
      </c>
      <c r="J1581" s="401" t="s">
        <v>3578</v>
      </c>
      <c r="K1581" s="256">
        <v>43377</v>
      </c>
      <c r="L1581" s="256"/>
      <c r="M1581" s="264" t="s">
        <v>4563</v>
      </c>
      <c r="N1581" s="264" t="s">
        <v>4563</v>
      </c>
      <c r="O1581" s="308" t="s">
        <v>5014</v>
      </c>
      <c r="Q1581" s="591"/>
      <c r="R1581" s="1406"/>
      <c r="S1581" s="1406"/>
      <c r="U1581" s="328"/>
      <c r="V1581" s="308"/>
      <c r="W1581" s="328"/>
      <c r="X1581" s="745"/>
      <c r="Y1581" s="745"/>
      <c r="Z1581" s="745"/>
      <c r="AA1581" s="746"/>
      <c r="AB1581" s="744" t="s">
        <v>5051</v>
      </c>
      <c r="AC1581" s="744">
        <v>2236052814</v>
      </c>
      <c r="AD1581" s="744"/>
      <c r="AE1581" s="744"/>
      <c r="AF1581" s="744"/>
      <c r="AG1581" s="251" t="s">
        <v>283</v>
      </c>
    </row>
    <row r="1582" spans="1:33" ht="15.75" customHeight="1">
      <c r="A1582" s="755">
        <v>43324</v>
      </c>
      <c r="B1582" s="144" t="s">
        <v>100</v>
      </c>
      <c r="C1582" s="250" t="s">
        <v>5012</v>
      </c>
      <c r="D1582" s="250" t="s">
        <v>5050</v>
      </c>
      <c r="E1582" s="595" t="s">
        <v>544</v>
      </c>
      <c r="F1582" s="251">
        <v>3</v>
      </c>
      <c r="G1582" s="252">
        <v>47</v>
      </c>
      <c r="H1582" s="253">
        <f t="shared" si="138"/>
        <v>141</v>
      </c>
      <c r="I1582" s="254" t="s">
        <v>170</v>
      </c>
      <c r="J1582" s="401" t="s">
        <v>3578</v>
      </c>
      <c r="K1582" s="256">
        <v>43377</v>
      </c>
      <c r="L1582" s="256"/>
      <c r="M1582" s="264" t="s">
        <v>4563</v>
      </c>
      <c r="N1582" s="264" t="s">
        <v>4563</v>
      </c>
      <c r="O1582" s="308" t="s">
        <v>5014</v>
      </c>
      <c r="Q1582" s="591"/>
      <c r="R1582" s="1406"/>
      <c r="S1582" s="1406"/>
      <c r="U1582" s="328"/>
      <c r="V1582" s="308"/>
      <c r="W1582" s="328"/>
      <c r="X1582" s="745"/>
      <c r="Y1582" s="745"/>
      <c r="Z1582" s="745"/>
      <c r="AA1582" s="746"/>
      <c r="AB1582" s="744" t="s">
        <v>5051</v>
      </c>
      <c r="AC1582" s="744">
        <v>2236052814</v>
      </c>
      <c r="AD1582" s="744"/>
      <c r="AE1582" s="744"/>
      <c r="AF1582" s="744"/>
      <c r="AG1582" s="251" t="s">
        <v>283</v>
      </c>
    </row>
    <row r="1583" spans="1:33" ht="27.75" customHeight="1">
      <c r="A1583" s="743">
        <v>43335</v>
      </c>
      <c r="B1583" s="263" t="s">
        <v>4590</v>
      </c>
      <c r="C1583" s="744" t="s">
        <v>5052</v>
      </c>
      <c r="D1583" s="250" t="s">
        <v>5053</v>
      </c>
      <c r="E1583" s="250" t="s">
        <v>5054</v>
      </c>
      <c r="F1583" s="251">
        <v>2</v>
      </c>
      <c r="G1583" s="252">
        <v>515</v>
      </c>
      <c r="H1583" s="253">
        <f t="shared" si="138"/>
        <v>1030</v>
      </c>
      <c r="I1583" s="254" t="s">
        <v>3712</v>
      </c>
      <c r="J1583" s="267" t="s">
        <v>592</v>
      </c>
      <c r="K1583" s="256">
        <v>43363</v>
      </c>
      <c r="L1583" s="256"/>
      <c r="M1583" s="256">
        <v>43357</v>
      </c>
      <c r="N1583" s="331" t="s">
        <v>2008</v>
      </c>
      <c r="O1583" s="308" t="s">
        <v>5055</v>
      </c>
      <c r="Q1583" s="266">
        <v>970.2</v>
      </c>
      <c r="R1583" s="1394"/>
      <c r="S1583" s="1394"/>
      <c r="U1583" s="328"/>
      <c r="V1583" s="571" t="s">
        <v>5056</v>
      </c>
      <c r="W1583" s="328"/>
      <c r="X1583" s="748">
        <v>43356</v>
      </c>
      <c r="Y1583" s="744" t="s">
        <v>5057</v>
      </c>
      <c r="Z1583" s="749">
        <v>31067</v>
      </c>
      <c r="AA1583" s="748">
        <v>43377</v>
      </c>
      <c r="AB1583" s="744" t="s">
        <v>5058</v>
      </c>
      <c r="AC1583" s="744" t="s">
        <v>5059</v>
      </c>
      <c r="AD1583" s="744"/>
      <c r="AE1583" s="744"/>
      <c r="AF1583" s="744"/>
      <c r="AG1583" s="251" t="s">
        <v>283</v>
      </c>
    </row>
    <row r="1584" spans="1:33" ht="26.25" customHeight="1">
      <c r="A1584" s="743">
        <v>43335</v>
      </c>
      <c r="B1584" s="263"/>
      <c r="C1584" s="744" t="s">
        <v>5052</v>
      </c>
      <c r="D1584" s="250" t="s">
        <v>5053</v>
      </c>
      <c r="E1584" s="250" t="s">
        <v>5060</v>
      </c>
      <c r="F1584" s="251">
        <v>2</v>
      </c>
      <c r="G1584" s="252">
        <v>19</v>
      </c>
      <c r="H1584" s="253">
        <f t="shared" si="138"/>
        <v>38</v>
      </c>
      <c r="I1584" s="254" t="s">
        <v>3712</v>
      </c>
      <c r="J1584" s="267" t="s">
        <v>592</v>
      </c>
      <c r="K1584" s="256">
        <v>43363</v>
      </c>
      <c r="L1584" s="256"/>
      <c r="M1584" s="256">
        <v>43357</v>
      </c>
      <c r="N1584" s="331" t="s">
        <v>2008</v>
      </c>
      <c r="O1584" s="308" t="s">
        <v>5055</v>
      </c>
      <c r="Q1584" s="266">
        <v>37.799999999999997</v>
      </c>
      <c r="R1584" s="1394"/>
      <c r="S1584" s="1394"/>
      <c r="U1584" s="328"/>
      <c r="V1584" s="571" t="s">
        <v>5056</v>
      </c>
      <c r="W1584" s="328"/>
      <c r="X1584" s="748">
        <v>43356</v>
      </c>
      <c r="Y1584" s="744" t="s">
        <v>5057</v>
      </c>
      <c r="Z1584" s="744" t="s">
        <v>5061</v>
      </c>
      <c r="AA1584" s="748">
        <v>43377</v>
      </c>
      <c r="AB1584" s="744" t="s">
        <v>5058</v>
      </c>
      <c r="AC1584" s="744" t="s">
        <v>5059</v>
      </c>
      <c r="AD1584" s="744"/>
      <c r="AE1584" s="744"/>
      <c r="AF1584" s="744"/>
      <c r="AG1584" s="251" t="s">
        <v>283</v>
      </c>
    </row>
    <row r="1585" spans="1:33" ht="15.75" customHeight="1">
      <c r="A1585" s="743">
        <v>43339</v>
      </c>
      <c r="B1585" s="263" t="s">
        <v>415</v>
      </c>
      <c r="C1585" s="744" t="s">
        <v>5062</v>
      </c>
      <c r="D1585" s="250" t="s">
        <v>5063</v>
      </c>
      <c r="E1585" s="250" t="s">
        <v>5064</v>
      </c>
      <c r="F1585" s="251">
        <v>33</v>
      </c>
      <c r="G1585" s="252">
        <v>144</v>
      </c>
      <c r="H1585" s="253">
        <v>4752</v>
      </c>
      <c r="I1585" s="254" t="s">
        <v>5065</v>
      </c>
      <c r="J1585" s="849" t="s">
        <v>5066</v>
      </c>
      <c r="K1585" s="256">
        <v>43347</v>
      </c>
      <c r="L1585" s="256"/>
      <c r="M1585" s="256">
        <v>43346</v>
      </c>
      <c r="N1585" s="331" t="s">
        <v>4939</v>
      </c>
      <c r="O1585" s="308" t="s">
        <v>5067</v>
      </c>
      <c r="Q1585" s="591"/>
      <c r="R1585" s="1406"/>
      <c r="S1585" s="1406"/>
      <c r="U1585" s="572">
        <v>137595</v>
      </c>
      <c r="V1585" s="850" t="s">
        <v>5068</v>
      </c>
      <c r="W1585" s="747">
        <v>43343</v>
      </c>
      <c r="X1585" s="748">
        <v>43346</v>
      </c>
      <c r="Y1585" s="744" t="s">
        <v>5069</v>
      </c>
      <c r="Z1585" s="749">
        <v>137595</v>
      </c>
      <c r="AA1585" s="748">
        <v>43346</v>
      </c>
      <c r="AB1585" s="744" t="s">
        <v>5070</v>
      </c>
      <c r="AC1585" s="744" t="s">
        <v>5071</v>
      </c>
      <c r="AD1585" s="744"/>
      <c r="AE1585" s="744"/>
      <c r="AF1585" s="744"/>
      <c r="AG1585" s="251" t="s">
        <v>283</v>
      </c>
    </row>
    <row r="1586" spans="1:33" ht="36" customHeight="1">
      <c r="A1586" s="743">
        <v>43339</v>
      </c>
      <c r="B1586" s="263" t="s">
        <v>1469</v>
      </c>
      <c r="C1586" s="744"/>
      <c r="D1586" s="250" t="s">
        <v>5072</v>
      </c>
      <c r="E1586" s="250" t="s">
        <v>5073</v>
      </c>
      <c r="F1586" s="251">
        <v>6</v>
      </c>
      <c r="G1586" s="252">
        <v>119</v>
      </c>
      <c r="H1586" s="253">
        <v>714</v>
      </c>
      <c r="I1586" s="254" t="s">
        <v>5065</v>
      </c>
      <c r="J1586" s="401" t="s">
        <v>1472</v>
      </c>
      <c r="K1586" s="256">
        <v>43347</v>
      </c>
      <c r="L1586" s="256"/>
      <c r="M1586" s="256">
        <v>43343</v>
      </c>
      <c r="N1586" s="331" t="s">
        <v>3678</v>
      </c>
      <c r="O1586" s="308" t="s">
        <v>5074</v>
      </c>
      <c r="Q1586" s="591"/>
      <c r="R1586" s="1406"/>
      <c r="S1586" s="1406"/>
      <c r="U1586" s="572">
        <v>20160</v>
      </c>
      <c r="V1586" s="386" t="s">
        <v>3680</v>
      </c>
      <c r="W1586" s="747">
        <v>43404</v>
      </c>
      <c r="X1586" s="748">
        <v>43342</v>
      </c>
      <c r="Y1586" s="744" t="s">
        <v>5075</v>
      </c>
      <c r="Z1586" s="749">
        <v>76020</v>
      </c>
      <c r="AA1586" s="748">
        <v>43406</v>
      </c>
      <c r="AB1586" s="744" t="s">
        <v>5076</v>
      </c>
      <c r="AC1586" s="744">
        <v>626038431</v>
      </c>
      <c r="AD1586" s="744"/>
      <c r="AE1586" s="744"/>
      <c r="AF1586" s="744"/>
      <c r="AG1586" s="251" t="s">
        <v>283</v>
      </c>
    </row>
    <row r="1587" spans="1:33" ht="15.75" customHeight="1">
      <c r="A1587" s="743">
        <v>43339</v>
      </c>
      <c r="B1587" s="590" t="s">
        <v>1469</v>
      </c>
      <c r="C1587" s="744"/>
      <c r="D1587" s="250" t="s">
        <v>5072</v>
      </c>
      <c r="E1587" s="250" t="s">
        <v>5077</v>
      </c>
      <c r="F1587" s="251">
        <v>6</v>
      </c>
      <c r="G1587" s="252">
        <v>284</v>
      </c>
      <c r="H1587" s="253">
        <v>1704</v>
      </c>
      <c r="I1587" s="254" t="s">
        <v>5065</v>
      </c>
      <c r="J1587" s="401" t="s">
        <v>1472</v>
      </c>
      <c r="K1587" s="256">
        <v>43347</v>
      </c>
      <c r="L1587" s="256"/>
      <c r="M1587" s="256">
        <v>43343</v>
      </c>
      <c r="N1587" s="331" t="s">
        <v>3678</v>
      </c>
      <c r="O1587" s="308" t="s">
        <v>5074</v>
      </c>
      <c r="Q1587" s="591"/>
      <c r="R1587" s="1406"/>
      <c r="S1587" s="1406"/>
      <c r="U1587" s="572">
        <v>45360</v>
      </c>
      <c r="V1587" s="386" t="s">
        <v>3680</v>
      </c>
      <c r="W1587" s="747">
        <v>43404</v>
      </c>
      <c r="X1587" s="748">
        <v>43342</v>
      </c>
      <c r="Y1587" s="744" t="s">
        <v>5075</v>
      </c>
      <c r="Z1587" s="744" t="s">
        <v>5078</v>
      </c>
      <c r="AA1587" s="748">
        <v>43406</v>
      </c>
      <c r="AB1587" s="744" t="s">
        <v>5076</v>
      </c>
      <c r="AC1587" s="744">
        <v>626038431</v>
      </c>
      <c r="AD1587" s="744"/>
      <c r="AE1587" s="744"/>
      <c r="AF1587" s="744"/>
      <c r="AG1587" s="251" t="s">
        <v>283</v>
      </c>
    </row>
    <row r="1588" spans="1:33" ht="15.75" customHeight="1">
      <c r="A1588" s="743">
        <v>43339</v>
      </c>
      <c r="B1588" s="263" t="s">
        <v>1469</v>
      </c>
      <c r="C1588" s="744"/>
      <c r="D1588" s="250" t="s">
        <v>5072</v>
      </c>
      <c r="E1588" s="250" t="s">
        <v>5079</v>
      </c>
      <c r="F1588" s="251">
        <v>4</v>
      </c>
      <c r="G1588" s="252">
        <v>90</v>
      </c>
      <c r="H1588" s="253">
        <v>360</v>
      </c>
      <c r="I1588" s="254" t="s">
        <v>5065</v>
      </c>
      <c r="J1588" s="401" t="s">
        <v>1472</v>
      </c>
      <c r="K1588" s="256">
        <v>43347</v>
      </c>
      <c r="L1588" s="256"/>
      <c r="M1588" s="256">
        <v>43343</v>
      </c>
      <c r="N1588" s="331" t="s">
        <v>3678</v>
      </c>
      <c r="O1588" s="308" t="s">
        <v>5074</v>
      </c>
      <c r="Q1588" s="591"/>
      <c r="R1588" s="1406"/>
      <c r="S1588" s="1406"/>
      <c r="U1588" s="572">
        <v>10500</v>
      </c>
      <c r="V1588" s="386" t="s">
        <v>3680</v>
      </c>
      <c r="W1588" s="747">
        <v>43404</v>
      </c>
      <c r="X1588" s="748">
        <v>43342</v>
      </c>
      <c r="Y1588" s="744" t="s">
        <v>5075</v>
      </c>
      <c r="Z1588" s="744" t="s">
        <v>5078</v>
      </c>
      <c r="AA1588" s="748">
        <v>43406</v>
      </c>
      <c r="AB1588" s="744" t="s">
        <v>5076</v>
      </c>
      <c r="AC1588" s="744">
        <v>626038431</v>
      </c>
      <c r="AD1588" s="744"/>
      <c r="AE1588" s="744"/>
      <c r="AF1588" s="744"/>
      <c r="AG1588" s="251" t="s">
        <v>283</v>
      </c>
    </row>
    <row r="1589" spans="1:33" ht="15.75" customHeight="1">
      <c r="A1589" s="755">
        <v>43339</v>
      </c>
      <c r="B1589" s="263" t="s">
        <v>129</v>
      </c>
      <c r="C1589" s="250" t="s">
        <v>5080</v>
      </c>
      <c r="D1589" s="250" t="s">
        <v>5081</v>
      </c>
      <c r="E1589" s="250" t="s">
        <v>3792</v>
      </c>
      <c r="F1589" s="264">
        <v>20</v>
      </c>
      <c r="G1589" s="265">
        <v>66</v>
      </c>
      <c r="H1589" s="253">
        <v>1320</v>
      </c>
      <c r="I1589" s="254" t="s">
        <v>419</v>
      </c>
      <c r="J1589" s="840" t="s">
        <v>5082</v>
      </c>
      <c r="K1589" s="256">
        <v>43370</v>
      </c>
      <c r="L1589" s="256"/>
      <c r="M1589" s="256">
        <v>43353</v>
      </c>
      <c r="N1589" s="331" t="s">
        <v>89</v>
      </c>
      <c r="O1589" s="308" t="s">
        <v>5083</v>
      </c>
      <c r="Q1589" s="266">
        <v>1260</v>
      </c>
      <c r="R1589" s="1394"/>
      <c r="S1589" s="1394"/>
      <c r="U1589" s="308"/>
      <c r="V1589" s="338" t="s">
        <v>93</v>
      </c>
      <c r="W1589" s="747">
        <v>43404</v>
      </c>
      <c r="X1589" s="750">
        <v>43350</v>
      </c>
      <c r="Y1589" s="250" t="s">
        <v>5084</v>
      </c>
      <c r="Z1589" s="753">
        <v>38714</v>
      </c>
      <c r="AA1589" s="750">
        <v>43405</v>
      </c>
      <c r="AB1589" s="250" t="s">
        <v>5085</v>
      </c>
      <c r="AC1589" s="250">
        <v>812337368690</v>
      </c>
      <c r="AD1589" s="250"/>
      <c r="AE1589" s="250"/>
      <c r="AF1589" s="250"/>
      <c r="AG1589" s="251" t="s">
        <v>283</v>
      </c>
    </row>
    <row r="1590" spans="1:33" ht="15.75" customHeight="1">
      <c r="A1590" s="272">
        <v>43339</v>
      </c>
      <c r="B1590" s="762" t="s">
        <v>129</v>
      </c>
      <c r="C1590" s="768" t="s">
        <v>5080</v>
      </c>
      <c r="D1590" s="275" t="s">
        <v>5081</v>
      </c>
      <c r="E1590" s="275" t="s">
        <v>3789</v>
      </c>
      <c r="F1590" s="277">
        <v>0</v>
      </c>
      <c r="G1590" s="278">
        <v>90</v>
      </c>
      <c r="H1590" s="784">
        <v>900</v>
      </c>
      <c r="I1590" s="834" t="s">
        <v>5065</v>
      </c>
      <c r="J1590" s="763" t="s">
        <v>79</v>
      </c>
      <c r="K1590" s="833"/>
      <c r="L1590" s="833"/>
      <c r="M1590" s="833">
        <v>43350</v>
      </c>
      <c r="N1590" s="281" t="s">
        <v>89</v>
      </c>
      <c r="O1590" s="777" t="s">
        <v>5083</v>
      </c>
      <c r="Q1590" s="576"/>
      <c r="R1590" s="1408"/>
      <c r="S1590" s="1408"/>
      <c r="U1590" s="575"/>
      <c r="V1590" s="765" t="s">
        <v>93</v>
      </c>
      <c r="W1590" s="575"/>
      <c r="X1590" s="768"/>
      <c r="Y1590" s="768"/>
      <c r="Z1590" s="768"/>
      <c r="AA1590" s="851"/>
      <c r="AB1590" s="768"/>
      <c r="AC1590" s="768"/>
      <c r="AD1590" s="768"/>
      <c r="AE1590" s="768"/>
      <c r="AF1590" s="768"/>
      <c r="AG1590" s="277" t="s">
        <v>3456</v>
      </c>
    </row>
    <row r="1591" spans="1:33" ht="15.75" customHeight="1">
      <c r="A1591" s="755">
        <v>43340</v>
      </c>
      <c r="B1591" s="263" t="s">
        <v>619</v>
      </c>
      <c r="C1591" s="744"/>
      <c r="D1591" s="250" t="s">
        <v>5086</v>
      </c>
      <c r="E1591" s="250" t="s">
        <v>5000</v>
      </c>
      <c r="F1591" s="251">
        <v>1</v>
      </c>
      <c r="G1591" s="252">
        <v>257.25</v>
      </c>
      <c r="H1591" s="253">
        <f t="shared" ref="H1591:H1593" si="139">G1591*F1591</f>
        <v>257.25</v>
      </c>
      <c r="I1591" s="254" t="s">
        <v>42</v>
      </c>
      <c r="J1591" s="367" t="s">
        <v>89</v>
      </c>
      <c r="K1591" s="256">
        <v>43349</v>
      </c>
      <c r="L1591" s="256"/>
      <c r="M1591" s="256">
        <v>43348</v>
      </c>
      <c r="N1591" s="331" t="s">
        <v>89</v>
      </c>
      <c r="O1591" s="308" t="s">
        <v>5087</v>
      </c>
      <c r="Q1591" s="266">
        <v>236.25</v>
      </c>
      <c r="R1591" s="1394"/>
      <c r="S1591" s="1394"/>
      <c r="U1591" s="328"/>
      <c r="V1591" s="338" t="s">
        <v>93</v>
      </c>
      <c r="W1591" s="747">
        <v>43404</v>
      </c>
      <c r="X1591" s="750">
        <v>43348</v>
      </c>
      <c r="Y1591" s="250" t="s">
        <v>5088</v>
      </c>
      <c r="Z1591" s="753">
        <v>7259</v>
      </c>
      <c r="AA1591" s="748">
        <v>43405</v>
      </c>
      <c r="AB1591" s="744" t="s">
        <v>5089</v>
      </c>
      <c r="AC1591" s="744"/>
      <c r="AD1591" s="744" t="s">
        <v>4816</v>
      </c>
      <c r="AE1591" s="749">
        <v>7922</v>
      </c>
      <c r="AF1591" s="744" t="s">
        <v>5090</v>
      </c>
      <c r="AG1591" s="251" t="s">
        <v>376</v>
      </c>
    </row>
    <row r="1592" spans="1:33" ht="15.75" customHeight="1">
      <c r="A1592" s="743">
        <v>43342</v>
      </c>
      <c r="B1592" s="263" t="s">
        <v>577</v>
      </c>
      <c r="C1592" s="744">
        <v>20180829003</v>
      </c>
      <c r="D1592" s="250" t="s">
        <v>5091</v>
      </c>
      <c r="E1592" s="250" t="s">
        <v>5092</v>
      </c>
      <c r="F1592" s="251">
        <v>1</v>
      </c>
      <c r="G1592" s="252">
        <v>194.25</v>
      </c>
      <c r="H1592" s="253">
        <f t="shared" si="139"/>
        <v>194.25</v>
      </c>
      <c r="I1592" s="254" t="s">
        <v>170</v>
      </c>
      <c r="J1592" s="367" t="s">
        <v>580</v>
      </c>
      <c r="K1592" s="256">
        <v>43349</v>
      </c>
      <c r="L1592" s="256"/>
      <c r="M1592" s="256">
        <v>43349</v>
      </c>
      <c r="N1592" s="331" t="s">
        <v>1414</v>
      </c>
      <c r="O1592" s="308" t="s">
        <v>5093</v>
      </c>
      <c r="Q1592" s="591"/>
      <c r="R1592" s="1406"/>
      <c r="S1592" s="1406"/>
      <c r="U1592" s="572">
        <v>5153</v>
      </c>
      <c r="V1592" s="318" t="s">
        <v>1947</v>
      </c>
      <c r="W1592" s="747">
        <v>43404</v>
      </c>
      <c r="X1592" s="748">
        <v>43348</v>
      </c>
      <c r="Y1592" s="744" t="s">
        <v>5094</v>
      </c>
      <c r="Z1592" s="749">
        <v>5153</v>
      </c>
      <c r="AA1592" s="748">
        <v>43405</v>
      </c>
      <c r="AB1592" s="744" t="s">
        <v>5095</v>
      </c>
      <c r="AC1592" s="744"/>
      <c r="AD1592" s="744" t="s">
        <v>5096</v>
      </c>
      <c r="AE1592" s="749">
        <v>5828</v>
      </c>
      <c r="AF1592" s="744" t="s">
        <v>5090</v>
      </c>
      <c r="AG1592" s="251" t="s">
        <v>376</v>
      </c>
    </row>
    <row r="1593" spans="1:33" ht="15.75" customHeight="1">
      <c r="A1593" s="743">
        <v>43343</v>
      </c>
      <c r="B1593" s="590" t="s">
        <v>405</v>
      </c>
      <c r="C1593" s="744">
        <v>7000140739</v>
      </c>
      <c r="D1593" s="250" t="s">
        <v>5097</v>
      </c>
      <c r="E1593" s="250" t="s">
        <v>518</v>
      </c>
      <c r="F1593" s="251">
        <v>100</v>
      </c>
      <c r="G1593" s="252">
        <v>132.5</v>
      </c>
      <c r="H1593" s="253">
        <f t="shared" si="139"/>
        <v>13250</v>
      </c>
      <c r="I1593" s="254" t="s">
        <v>42</v>
      </c>
      <c r="J1593" s="331" t="s">
        <v>3840</v>
      </c>
      <c r="K1593" s="256">
        <v>43370</v>
      </c>
      <c r="L1593" s="256"/>
      <c r="M1593" s="256">
        <v>43370</v>
      </c>
      <c r="N1593" s="331" t="s">
        <v>3432</v>
      </c>
      <c r="O1593" s="250" t="s">
        <v>5098</v>
      </c>
      <c r="Q1593" s="591"/>
      <c r="R1593" s="1406"/>
      <c r="S1593" s="1406"/>
      <c r="U1593" s="572">
        <v>410970</v>
      </c>
      <c r="V1593" s="308" t="s">
        <v>2045</v>
      </c>
      <c r="W1593" s="747">
        <v>43465</v>
      </c>
      <c r="X1593" s="748">
        <v>43370</v>
      </c>
      <c r="Y1593" s="744" t="s">
        <v>5099</v>
      </c>
      <c r="Z1593" s="749">
        <v>410970</v>
      </c>
      <c r="AA1593" s="748">
        <v>43419</v>
      </c>
      <c r="AB1593" s="250" t="s">
        <v>5100</v>
      </c>
      <c r="AC1593" s="250">
        <v>6763354570</v>
      </c>
      <c r="AD1593" s="744"/>
      <c r="AE1593" s="744"/>
      <c r="AF1593" s="744"/>
      <c r="AG1593" s="251" t="s">
        <v>283</v>
      </c>
    </row>
    <row r="1594" spans="1:33" ht="15.75" customHeight="1">
      <c r="A1594" s="272">
        <v>43343</v>
      </c>
      <c r="B1594" s="783" t="s">
        <v>405</v>
      </c>
      <c r="C1594" s="768">
        <v>7000140739</v>
      </c>
      <c r="D1594" s="274" t="s">
        <v>5097</v>
      </c>
      <c r="E1594" s="274" t="s">
        <v>5101</v>
      </c>
      <c r="F1594" s="277">
        <v>100</v>
      </c>
      <c r="G1594" s="278">
        <v>33</v>
      </c>
      <c r="H1594" s="784"/>
      <c r="I1594" s="834"/>
      <c r="J1594" s="835"/>
      <c r="K1594" s="839"/>
      <c r="L1594" s="839"/>
      <c r="M1594" s="833"/>
      <c r="N1594" s="281"/>
      <c r="O1594" s="777"/>
      <c r="Q1594" s="576"/>
      <c r="R1594" s="1408"/>
      <c r="S1594" s="1408"/>
      <c r="U1594" s="575"/>
      <c r="V1594" s="777"/>
      <c r="W1594" s="575"/>
      <c r="X1594" s="766"/>
      <c r="Y1594" s="766"/>
      <c r="Z1594" s="766"/>
      <c r="AA1594" s="767"/>
      <c r="AB1594" s="766"/>
      <c r="AC1594" s="768"/>
      <c r="AD1594" s="768"/>
      <c r="AE1594" s="768"/>
      <c r="AF1594" s="768"/>
      <c r="AG1594" s="251" t="s">
        <v>3456</v>
      </c>
    </row>
    <row r="1595" spans="1:33" ht="15.75" customHeight="1">
      <c r="A1595" s="272">
        <v>43343</v>
      </c>
      <c r="B1595" s="783" t="s">
        <v>405</v>
      </c>
      <c r="C1595" s="768">
        <v>7000140739</v>
      </c>
      <c r="D1595" s="274" t="s">
        <v>5097</v>
      </c>
      <c r="E1595" s="274" t="s">
        <v>5102</v>
      </c>
      <c r="F1595" s="277">
        <v>50</v>
      </c>
      <c r="G1595" s="278">
        <v>58</v>
      </c>
      <c r="H1595" s="784"/>
      <c r="I1595" s="834"/>
      <c r="J1595" s="835"/>
      <c r="K1595" s="839"/>
      <c r="L1595" s="839"/>
      <c r="M1595" s="833"/>
      <c r="N1595" s="281"/>
      <c r="O1595" s="777"/>
      <c r="Q1595" s="576"/>
      <c r="R1595" s="1408"/>
      <c r="S1595" s="1408"/>
      <c r="U1595" s="575"/>
      <c r="V1595" s="777"/>
      <c r="W1595" s="575"/>
      <c r="X1595" s="766"/>
      <c r="Y1595" s="766"/>
      <c r="Z1595" s="766"/>
      <c r="AA1595" s="767"/>
      <c r="AB1595" s="766"/>
      <c r="AC1595" s="768"/>
      <c r="AD1595" s="768"/>
      <c r="AE1595" s="768"/>
      <c r="AF1595" s="768"/>
      <c r="AG1595" s="251" t="s">
        <v>3456</v>
      </c>
    </row>
    <row r="1596" spans="1:33" ht="15.75" customHeight="1">
      <c r="A1596" s="272">
        <v>43343</v>
      </c>
      <c r="B1596" s="783" t="s">
        <v>405</v>
      </c>
      <c r="C1596" s="768">
        <v>7000140739</v>
      </c>
      <c r="D1596" s="274" t="s">
        <v>5097</v>
      </c>
      <c r="E1596" s="274" t="s">
        <v>5103</v>
      </c>
      <c r="F1596" s="277">
        <v>50</v>
      </c>
      <c r="G1596" s="278">
        <v>10</v>
      </c>
      <c r="H1596" s="784"/>
      <c r="I1596" s="834"/>
      <c r="J1596" s="835"/>
      <c r="K1596" s="833"/>
      <c r="L1596" s="833"/>
      <c r="M1596" s="833"/>
      <c r="N1596" s="281"/>
      <c r="O1596" s="777"/>
      <c r="Q1596" s="576"/>
      <c r="R1596" s="1408"/>
      <c r="S1596" s="1408"/>
      <c r="U1596" s="575"/>
      <c r="V1596" s="777"/>
      <c r="W1596" s="575"/>
      <c r="X1596" s="766"/>
      <c r="Y1596" s="766"/>
      <c r="Z1596" s="766"/>
      <c r="AA1596" s="767"/>
      <c r="AB1596" s="766"/>
      <c r="AC1596" s="768"/>
      <c r="AD1596" s="768"/>
      <c r="AE1596" s="768"/>
      <c r="AF1596" s="768"/>
      <c r="AG1596" s="251" t="s">
        <v>3456</v>
      </c>
    </row>
    <row r="1597" spans="1:33" ht="15.75" customHeight="1">
      <c r="A1597" s="743">
        <v>43343</v>
      </c>
      <c r="B1597" s="144" t="s">
        <v>76</v>
      </c>
      <c r="C1597" s="744">
        <v>905</v>
      </c>
      <c r="D1597" s="250" t="s">
        <v>5104</v>
      </c>
      <c r="E1597" s="595" t="s">
        <v>5105</v>
      </c>
      <c r="F1597" s="251">
        <v>2</v>
      </c>
      <c r="G1597" s="252">
        <v>200</v>
      </c>
      <c r="H1597" s="253">
        <f t="shared" ref="H1597:H1675" si="140">G1597*F1597</f>
        <v>400</v>
      </c>
      <c r="I1597" s="254" t="s">
        <v>42</v>
      </c>
      <c r="J1597" s="331" t="s">
        <v>315</v>
      </c>
      <c r="K1597" s="256">
        <v>43363</v>
      </c>
      <c r="L1597" s="256"/>
      <c r="M1597" s="256">
        <v>43360</v>
      </c>
      <c r="N1597" s="796" t="s">
        <v>1512</v>
      </c>
      <c r="O1597" s="308" t="s">
        <v>5106</v>
      </c>
      <c r="Q1597" s="591"/>
      <c r="R1597" s="1406"/>
      <c r="S1597" s="1406"/>
      <c r="U1597" s="572">
        <v>10441</v>
      </c>
      <c r="V1597" s="744" t="s">
        <v>2109</v>
      </c>
      <c r="W1597" s="747">
        <v>43378</v>
      </c>
      <c r="X1597" s="748">
        <v>43360</v>
      </c>
      <c r="Y1597" s="744" t="s">
        <v>5107</v>
      </c>
      <c r="Z1597" s="749">
        <v>10441</v>
      </c>
      <c r="AA1597" s="748">
        <v>43382</v>
      </c>
      <c r="AB1597" s="744" t="s">
        <v>5108</v>
      </c>
      <c r="AC1597" s="744">
        <v>638180351</v>
      </c>
      <c r="AD1597" s="744"/>
      <c r="AE1597" s="744"/>
      <c r="AF1597" s="744"/>
      <c r="AG1597" s="251" t="s">
        <v>283</v>
      </c>
    </row>
    <row r="1598" spans="1:33" ht="15.75" customHeight="1">
      <c r="A1598" s="743">
        <v>43343</v>
      </c>
      <c r="B1598" s="144" t="s">
        <v>76</v>
      </c>
      <c r="C1598" s="744">
        <v>905</v>
      </c>
      <c r="D1598" s="250" t="s">
        <v>5104</v>
      </c>
      <c r="E1598" s="420" t="s">
        <v>644</v>
      </c>
      <c r="F1598" s="251">
        <v>2</v>
      </c>
      <c r="G1598" s="252">
        <v>0</v>
      </c>
      <c r="H1598" s="253">
        <f t="shared" si="140"/>
        <v>0</v>
      </c>
      <c r="I1598" s="254" t="s">
        <v>42</v>
      </c>
      <c r="J1598" s="331" t="s">
        <v>315</v>
      </c>
      <c r="K1598" s="256">
        <v>43363</v>
      </c>
      <c r="L1598" s="256"/>
      <c r="M1598" s="256">
        <v>43360</v>
      </c>
      <c r="N1598" s="264" t="s">
        <v>1512</v>
      </c>
      <c r="O1598" s="308" t="s">
        <v>5106</v>
      </c>
      <c r="Q1598" s="591"/>
      <c r="R1598" s="1406"/>
      <c r="S1598" s="1406"/>
      <c r="U1598" s="308">
        <v>0</v>
      </c>
      <c r="V1598" s="744" t="s">
        <v>2109</v>
      </c>
      <c r="W1598" s="747">
        <v>43378</v>
      </c>
      <c r="X1598" s="748">
        <v>43360</v>
      </c>
      <c r="Y1598" s="744" t="s">
        <v>5107</v>
      </c>
      <c r="Z1598" s="744" t="s">
        <v>5109</v>
      </c>
      <c r="AA1598" s="748">
        <v>43382</v>
      </c>
      <c r="AB1598" s="744" t="s">
        <v>5108</v>
      </c>
      <c r="AC1598" s="744">
        <v>638180351</v>
      </c>
      <c r="AD1598" s="744"/>
      <c r="AE1598" s="744"/>
      <c r="AF1598" s="744"/>
      <c r="AG1598" s="251" t="s">
        <v>283</v>
      </c>
    </row>
    <row r="1599" spans="1:33" ht="15.75" customHeight="1">
      <c r="A1599" s="743">
        <v>43343</v>
      </c>
      <c r="B1599" s="144" t="s">
        <v>76</v>
      </c>
      <c r="C1599" s="744">
        <v>905</v>
      </c>
      <c r="D1599" s="250" t="s">
        <v>5104</v>
      </c>
      <c r="E1599" s="250" t="s">
        <v>645</v>
      </c>
      <c r="F1599" s="251">
        <v>2</v>
      </c>
      <c r="G1599" s="252">
        <v>0</v>
      </c>
      <c r="H1599" s="253">
        <f t="shared" si="140"/>
        <v>0</v>
      </c>
      <c r="I1599" s="254" t="s">
        <v>42</v>
      </c>
      <c r="J1599" s="331" t="s">
        <v>315</v>
      </c>
      <c r="K1599" s="256">
        <v>43363</v>
      </c>
      <c r="L1599" s="256"/>
      <c r="M1599" s="256">
        <v>43360</v>
      </c>
      <c r="N1599" s="264" t="s">
        <v>1512</v>
      </c>
      <c r="O1599" s="308" t="s">
        <v>5106</v>
      </c>
      <c r="Q1599" s="591"/>
      <c r="R1599" s="1406"/>
      <c r="S1599" s="1406"/>
      <c r="U1599" s="308">
        <v>0</v>
      </c>
      <c r="V1599" s="744" t="s">
        <v>2109</v>
      </c>
      <c r="W1599" s="747">
        <v>43378</v>
      </c>
      <c r="X1599" s="748">
        <v>43360</v>
      </c>
      <c r="Y1599" s="744" t="s">
        <v>5107</v>
      </c>
      <c r="Z1599" s="744" t="s">
        <v>5109</v>
      </c>
      <c r="AA1599" s="748">
        <v>43382</v>
      </c>
      <c r="AB1599" s="744" t="s">
        <v>5108</v>
      </c>
      <c r="AC1599" s="744">
        <v>638180351</v>
      </c>
      <c r="AD1599" s="744"/>
      <c r="AE1599" s="744"/>
      <c r="AF1599" s="744"/>
      <c r="AG1599" s="251" t="s">
        <v>283</v>
      </c>
    </row>
    <row r="1600" spans="1:33" ht="15.75" customHeight="1">
      <c r="A1600" s="743">
        <v>43343</v>
      </c>
      <c r="B1600" s="144" t="s">
        <v>76</v>
      </c>
      <c r="C1600" s="744">
        <v>905</v>
      </c>
      <c r="D1600" s="250" t="s">
        <v>5104</v>
      </c>
      <c r="E1600" s="250" t="s">
        <v>646</v>
      </c>
      <c r="F1600" s="251">
        <v>2</v>
      </c>
      <c r="G1600" s="252">
        <v>0</v>
      </c>
      <c r="H1600" s="253">
        <f t="shared" si="140"/>
        <v>0</v>
      </c>
      <c r="I1600" s="254" t="s">
        <v>42</v>
      </c>
      <c r="J1600" s="331" t="s">
        <v>315</v>
      </c>
      <c r="K1600" s="256">
        <v>43363</v>
      </c>
      <c r="L1600" s="256"/>
      <c r="M1600" s="256">
        <v>43360</v>
      </c>
      <c r="N1600" s="264" t="s">
        <v>1512</v>
      </c>
      <c r="O1600" s="308" t="s">
        <v>5106</v>
      </c>
      <c r="Q1600" s="591"/>
      <c r="R1600" s="1406"/>
      <c r="S1600" s="1406"/>
      <c r="U1600" s="308">
        <v>0</v>
      </c>
      <c r="V1600" s="744" t="s">
        <v>2109</v>
      </c>
      <c r="W1600" s="747">
        <v>43378</v>
      </c>
      <c r="X1600" s="748">
        <v>43360</v>
      </c>
      <c r="Y1600" s="744" t="s">
        <v>5107</v>
      </c>
      <c r="Z1600" s="744" t="s">
        <v>5109</v>
      </c>
      <c r="AA1600" s="748">
        <v>43382</v>
      </c>
      <c r="AB1600" s="744" t="s">
        <v>5108</v>
      </c>
      <c r="AC1600" s="744">
        <v>638180351</v>
      </c>
      <c r="AD1600" s="744"/>
      <c r="AE1600" s="744"/>
      <c r="AF1600" s="744"/>
      <c r="AG1600" s="251" t="s">
        <v>283</v>
      </c>
    </row>
    <row r="1601" spans="1:33" ht="15.75" customHeight="1">
      <c r="A1601" s="743">
        <v>43343</v>
      </c>
      <c r="B1601" s="144" t="s">
        <v>76</v>
      </c>
      <c r="C1601" s="744">
        <v>905</v>
      </c>
      <c r="D1601" s="250" t="s">
        <v>5104</v>
      </c>
      <c r="E1601" s="250" t="s">
        <v>647</v>
      </c>
      <c r="F1601" s="251">
        <v>2</v>
      </c>
      <c r="G1601" s="252">
        <v>0</v>
      </c>
      <c r="H1601" s="253">
        <f t="shared" si="140"/>
        <v>0</v>
      </c>
      <c r="I1601" s="254" t="s">
        <v>42</v>
      </c>
      <c r="J1601" s="331" t="s">
        <v>315</v>
      </c>
      <c r="K1601" s="256">
        <v>43363</v>
      </c>
      <c r="L1601" s="256"/>
      <c r="M1601" s="256">
        <v>43360</v>
      </c>
      <c r="N1601" s="264" t="s">
        <v>1512</v>
      </c>
      <c r="O1601" s="308" t="s">
        <v>5106</v>
      </c>
      <c r="Q1601" s="591"/>
      <c r="R1601" s="1406"/>
      <c r="S1601" s="1406"/>
      <c r="U1601" s="308">
        <v>0</v>
      </c>
      <c r="V1601" s="744" t="s">
        <v>2109</v>
      </c>
      <c r="W1601" s="747">
        <v>43378</v>
      </c>
      <c r="X1601" s="748">
        <v>43360</v>
      </c>
      <c r="Y1601" s="744" t="s">
        <v>5107</v>
      </c>
      <c r="Z1601" s="744" t="s">
        <v>5109</v>
      </c>
      <c r="AA1601" s="748">
        <v>43382</v>
      </c>
      <c r="AB1601" s="744" t="s">
        <v>5108</v>
      </c>
      <c r="AC1601" s="744">
        <v>638180351</v>
      </c>
      <c r="AD1601" s="744"/>
      <c r="AE1601" s="744"/>
      <c r="AF1601" s="744"/>
      <c r="AG1601" s="251" t="s">
        <v>283</v>
      </c>
    </row>
    <row r="1602" spans="1:33" ht="15.75" customHeight="1">
      <c r="A1602" s="743">
        <v>43343</v>
      </c>
      <c r="B1602" s="144" t="s">
        <v>76</v>
      </c>
      <c r="C1602" s="744">
        <v>905</v>
      </c>
      <c r="D1602" s="250" t="s">
        <v>5104</v>
      </c>
      <c r="E1602" s="250" t="s">
        <v>4948</v>
      </c>
      <c r="F1602" s="251">
        <v>2</v>
      </c>
      <c r="G1602" s="252">
        <v>0</v>
      </c>
      <c r="H1602" s="253">
        <f t="shared" si="140"/>
        <v>0</v>
      </c>
      <c r="I1602" s="254" t="s">
        <v>42</v>
      </c>
      <c r="J1602" s="331" t="s">
        <v>315</v>
      </c>
      <c r="K1602" s="256">
        <v>43363</v>
      </c>
      <c r="L1602" s="256"/>
      <c r="M1602" s="256">
        <v>43362</v>
      </c>
      <c r="N1602" s="331" t="s">
        <v>2006</v>
      </c>
      <c r="O1602" s="250" t="s">
        <v>5110</v>
      </c>
      <c r="Q1602" s="591"/>
      <c r="R1602" s="1406"/>
      <c r="S1602" s="1406"/>
      <c r="U1602" s="337"/>
      <c r="V1602" s="328" t="s">
        <v>2146</v>
      </c>
      <c r="W1602" s="328"/>
      <c r="X1602" s="745"/>
      <c r="Y1602" s="745"/>
      <c r="Z1602" s="745"/>
      <c r="AA1602" s="746"/>
      <c r="AB1602" s="744" t="s">
        <v>5108</v>
      </c>
      <c r="AC1602" s="744">
        <v>638180351</v>
      </c>
      <c r="AD1602" s="744"/>
      <c r="AE1602" s="744"/>
      <c r="AF1602" s="744"/>
      <c r="AG1602" s="251" t="s">
        <v>283</v>
      </c>
    </row>
    <row r="1603" spans="1:33" ht="15.75" customHeight="1">
      <c r="A1603" s="743">
        <v>43343</v>
      </c>
      <c r="B1603" s="144" t="s">
        <v>76</v>
      </c>
      <c r="C1603" s="744">
        <v>905</v>
      </c>
      <c r="D1603" s="250" t="s">
        <v>5104</v>
      </c>
      <c r="E1603" s="595" t="s">
        <v>3402</v>
      </c>
      <c r="F1603" s="251">
        <v>2</v>
      </c>
      <c r="G1603" s="252">
        <v>6</v>
      </c>
      <c r="H1603" s="253">
        <f t="shared" si="140"/>
        <v>12</v>
      </c>
      <c r="I1603" s="254" t="s">
        <v>42</v>
      </c>
      <c r="J1603" s="331" t="s">
        <v>315</v>
      </c>
      <c r="K1603" s="256">
        <v>43363</v>
      </c>
      <c r="L1603" s="256"/>
      <c r="M1603" s="256">
        <v>43362</v>
      </c>
      <c r="N1603" s="331" t="s">
        <v>2006</v>
      </c>
      <c r="O1603" s="250" t="s">
        <v>5110</v>
      </c>
      <c r="Q1603" s="591"/>
      <c r="R1603" s="1406"/>
      <c r="S1603" s="1406"/>
      <c r="U1603" s="337"/>
      <c r="V1603" s="328" t="s">
        <v>2146</v>
      </c>
      <c r="W1603" s="328"/>
      <c r="X1603" s="745"/>
      <c r="Y1603" s="745"/>
      <c r="Z1603" s="745"/>
      <c r="AA1603" s="746"/>
      <c r="AB1603" s="744" t="s">
        <v>5108</v>
      </c>
      <c r="AC1603" s="744">
        <v>638180351</v>
      </c>
      <c r="AD1603" s="744"/>
      <c r="AE1603" s="744"/>
      <c r="AF1603" s="744"/>
      <c r="AG1603" s="251" t="s">
        <v>283</v>
      </c>
    </row>
    <row r="1604" spans="1:33" ht="15.75" customHeight="1">
      <c r="A1604" s="743">
        <v>43343</v>
      </c>
      <c r="B1604" s="144" t="s">
        <v>76</v>
      </c>
      <c r="C1604" s="744">
        <v>905</v>
      </c>
      <c r="D1604" s="250" t="s">
        <v>5104</v>
      </c>
      <c r="E1604" s="595" t="s">
        <v>5111</v>
      </c>
      <c r="F1604" s="251">
        <v>2</v>
      </c>
      <c r="G1604" s="252">
        <v>2</v>
      </c>
      <c r="H1604" s="253">
        <f t="shared" si="140"/>
        <v>4</v>
      </c>
      <c r="I1604" s="254" t="s">
        <v>42</v>
      </c>
      <c r="J1604" s="331" t="s">
        <v>315</v>
      </c>
      <c r="K1604" s="256">
        <v>43363</v>
      </c>
      <c r="L1604" s="256"/>
      <c r="M1604" s="256">
        <v>43362</v>
      </c>
      <c r="N1604" s="331" t="s">
        <v>2006</v>
      </c>
      <c r="O1604" s="250" t="s">
        <v>5110</v>
      </c>
      <c r="Q1604" s="591"/>
      <c r="R1604" s="1406"/>
      <c r="S1604" s="1406"/>
      <c r="U1604" s="337"/>
      <c r="V1604" s="328" t="s">
        <v>2146</v>
      </c>
      <c r="W1604" s="328"/>
      <c r="X1604" s="745"/>
      <c r="Y1604" s="745"/>
      <c r="Z1604" s="745"/>
      <c r="AA1604" s="746"/>
      <c r="AB1604" s="744" t="s">
        <v>5108</v>
      </c>
      <c r="AC1604" s="744">
        <v>638180351</v>
      </c>
      <c r="AD1604" s="744"/>
      <c r="AE1604" s="744"/>
      <c r="AF1604" s="744"/>
      <c r="AG1604" s="251" t="s">
        <v>283</v>
      </c>
    </row>
    <row r="1605" spans="1:33" ht="15.75" customHeight="1">
      <c r="A1605" s="743">
        <v>43343</v>
      </c>
      <c r="B1605" s="263" t="s">
        <v>372</v>
      </c>
      <c r="C1605" s="744">
        <v>201808310006</v>
      </c>
      <c r="D1605" s="250" t="s">
        <v>5112</v>
      </c>
      <c r="E1605" s="595" t="s">
        <v>1052</v>
      </c>
      <c r="F1605" s="305">
        <v>60</v>
      </c>
      <c r="G1605" s="252">
        <v>63</v>
      </c>
      <c r="H1605" s="266">
        <f t="shared" si="140"/>
        <v>3780</v>
      </c>
      <c r="I1605" s="264" t="s">
        <v>42</v>
      </c>
      <c r="J1605" s="254" t="s">
        <v>89</v>
      </c>
      <c r="K1605" s="256">
        <v>43354</v>
      </c>
      <c r="L1605" s="256"/>
      <c r="M1605" s="256">
        <v>43354</v>
      </c>
      <c r="N1605" s="331" t="s">
        <v>89</v>
      </c>
      <c r="O1605" s="308" t="s">
        <v>5113</v>
      </c>
      <c r="Q1605" s="266">
        <v>3528</v>
      </c>
      <c r="R1605" s="1394"/>
      <c r="S1605" s="1394"/>
      <c r="U1605" s="328"/>
      <c r="V1605" s="338" t="s">
        <v>93</v>
      </c>
      <c r="W1605" s="747">
        <v>43404</v>
      </c>
      <c r="X1605" s="748">
        <v>43354</v>
      </c>
      <c r="Y1605" s="744" t="s">
        <v>5114</v>
      </c>
      <c r="Z1605" s="749">
        <v>108468</v>
      </c>
      <c r="AA1605" s="748">
        <v>43405</v>
      </c>
      <c r="AB1605" s="744" t="s">
        <v>5115</v>
      </c>
      <c r="AC1605" s="744"/>
      <c r="AD1605" s="744" t="s">
        <v>5116</v>
      </c>
      <c r="AE1605" s="749">
        <v>116462</v>
      </c>
      <c r="AF1605" s="744" t="s">
        <v>5090</v>
      </c>
      <c r="AG1605" s="251" t="s">
        <v>376</v>
      </c>
    </row>
    <row r="1606" spans="1:33" ht="15.75" customHeight="1">
      <c r="A1606" s="743">
        <v>43346</v>
      </c>
      <c r="B1606" s="263" t="s">
        <v>4760</v>
      </c>
      <c r="C1606" s="744" t="s">
        <v>5117</v>
      </c>
      <c r="D1606" s="250" t="s">
        <v>5118</v>
      </c>
      <c r="E1606" s="595" t="s">
        <v>5119</v>
      </c>
      <c r="F1606" s="251">
        <v>8</v>
      </c>
      <c r="G1606" s="252">
        <v>27.3</v>
      </c>
      <c r="H1606" s="266">
        <f t="shared" si="140"/>
        <v>218.4</v>
      </c>
      <c r="I1606" s="254" t="s">
        <v>170</v>
      </c>
      <c r="J1606" s="331" t="s">
        <v>5120</v>
      </c>
      <c r="K1606" s="256">
        <v>43353</v>
      </c>
      <c r="L1606" s="1477"/>
      <c r="M1606" s="331" t="s">
        <v>178</v>
      </c>
      <c r="N1606" s="331" t="s">
        <v>178</v>
      </c>
      <c r="O1606" s="308" t="s">
        <v>5121</v>
      </c>
      <c r="Q1606" s="591"/>
      <c r="R1606" s="1406"/>
      <c r="S1606" s="1406"/>
      <c r="U1606" s="328"/>
      <c r="V1606" s="308"/>
      <c r="W1606" s="328"/>
      <c r="X1606" s="745"/>
      <c r="Y1606" s="745"/>
      <c r="Z1606" s="745"/>
      <c r="AA1606" s="746"/>
      <c r="AB1606" s="744" t="s">
        <v>5122</v>
      </c>
      <c r="AC1606" s="744"/>
      <c r="AD1606" s="744" t="s">
        <v>5123</v>
      </c>
      <c r="AE1606" s="749">
        <v>6719</v>
      </c>
      <c r="AF1606" s="744" t="s">
        <v>5124</v>
      </c>
      <c r="AG1606" s="251" t="s">
        <v>376</v>
      </c>
    </row>
    <row r="1607" spans="1:33" ht="15.75" customHeight="1">
      <c r="A1607" s="743">
        <v>43346</v>
      </c>
      <c r="B1607" s="144" t="s">
        <v>100</v>
      </c>
      <c r="C1607" s="744"/>
      <c r="D1607" s="250" t="s">
        <v>5125</v>
      </c>
      <c r="E1607" s="817" t="s">
        <v>5126</v>
      </c>
      <c r="F1607" s="251">
        <v>1</v>
      </c>
      <c r="G1607" s="252">
        <v>761</v>
      </c>
      <c r="H1607" s="266">
        <f t="shared" si="140"/>
        <v>761</v>
      </c>
      <c r="I1607" s="254" t="s">
        <v>170</v>
      </c>
      <c r="J1607" s="267" t="s">
        <v>5127</v>
      </c>
      <c r="K1607" s="256" t="s">
        <v>5128</v>
      </c>
      <c r="L1607" s="256"/>
      <c r="M1607" s="623"/>
      <c r="N1607" s="331"/>
      <c r="O1607" s="308"/>
      <c r="Q1607" s="591"/>
      <c r="R1607" s="1406"/>
      <c r="S1607" s="1406"/>
      <c r="U1607" s="328"/>
      <c r="V1607" s="308"/>
      <c r="W1607" s="328"/>
      <c r="X1607" s="745"/>
      <c r="Y1607" s="745"/>
      <c r="Z1607" s="745"/>
      <c r="AA1607" s="746"/>
      <c r="AB1607" s="745"/>
      <c r="AC1607" s="744"/>
      <c r="AD1607" s="744"/>
      <c r="AE1607" s="744"/>
      <c r="AF1607" s="744"/>
      <c r="AG1607" s="251" t="s">
        <v>283</v>
      </c>
    </row>
    <row r="1608" spans="1:33" ht="15.75" customHeight="1">
      <c r="A1608" s="743">
        <v>43346</v>
      </c>
      <c r="B1608" s="144" t="s">
        <v>100</v>
      </c>
      <c r="C1608" s="744"/>
      <c r="D1608" s="250" t="s">
        <v>5125</v>
      </c>
      <c r="E1608" s="817" t="s">
        <v>5129</v>
      </c>
      <c r="F1608" s="251">
        <v>1</v>
      </c>
      <c r="G1608" s="252">
        <v>40</v>
      </c>
      <c r="H1608" s="266">
        <f t="shared" si="140"/>
        <v>40</v>
      </c>
      <c r="I1608" s="254" t="s">
        <v>170</v>
      </c>
      <c r="J1608" s="267" t="s">
        <v>5127</v>
      </c>
      <c r="K1608" s="256" t="s">
        <v>5128</v>
      </c>
      <c r="L1608" s="256"/>
      <c r="M1608" s="623"/>
      <c r="N1608" s="331"/>
      <c r="O1608" s="308"/>
      <c r="Q1608" s="591"/>
      <c r="R1608" s="1406"/>
      <c r="S1608" s="1406"/>
      <c r="U1608" s="328"/>
      <c r="V1608" s="308"/>
      <c r="W1608" s="328"/>
      <c r="X1608" s="745"/>
      <c r="Y1608" s="745"/>
      <c r="Z1608" s="745"/>
      <c r="AA1608" s="746"/>
      <c r="AB1608" s="745"/>
      <c r="AC1608" s="744"/>
      <c r="AD1608" s="744"/>
      <c r="AE1608" s="744"/>
      <c r="AF1608" s="744"/>
      <c r="AG1608" s="251" t="s">
        <v>283</v>
      </c>
    </row>
    <row r="1609" spans="1:33" ht="15.75" customHeight="1">
      <c r="A1609" s="743">
        <v>43346</v>
      </c>
      <c r="B1609" s="144" t="s">
        <v>100</v>
      </c>
      <c r="C1609" s="744"/>
      <c r="D1609" s="250" t="s">
        <v>5125</v>
      </c>
      <c r="E1609" s="817" t="s">
        <v>5130</v>
      </c>
      <c r="F1609" s="251">
        <v>1</v>
      </c>
      <c r="G1609" s="252">
        <v>53</v>
      </c>
      <c r="H1609" s="266">
        <f t="shared" si="140"/>
        <v>53</v>
      </c>
      <c r="I1609" s="254" t="s">
        <v>170</v>
      </c>
      <c r="J1609" s="267" t="s">
        <v>5127</v>
      </c>
      <c r="K1609" s="256" t="s">
        <v>5128</v>
      </c>
      <c r="L1609" s="256"/>
      <c r="M1609" s="623"/>
      <c r="N1609" s="331"/>
      <c r="O1609" s="308"/>
      <c r="Q1609" s="591"/>
      <c r="R1609" s="1406"/>
      <c r="S1609" s="1406"/>
      <c r="U1609" s="328"/>
      <c r="V1609" s="308"/>
      <c r="W1609" s="328"/>
      <c r="X1609" s="745"/>
      <c r="Y1609" s="745"/>
      <c r="Z1609" s="745"/>
      <c r="AA1609" s="746"/>
      <c r="AB1609" s="745"/>
      <c r="AC1609" s="744"/>
      <c r="AD1609" s="744"/>
      <c r="AE1609" s="744"/>
      <c r="AF1609" s="744"/>
      <c r="AG1609" s="251" t="s">
        <v>283</v>
      </c>
    </row>
    <row r="1610" spans="1:33" ht="15.75" customHeight="1">
      <c r="A1610" s="743">
        <v>43346</v>
      </c>
      <c r="B1610" s="144" t="s">
        <v>100</v>
      </c>
      <c r="C1610" s="744"/>
      <c r="D1610" s="250" t="s">
        <v>5125</v>
      </c>
      <c r="E1610" s="817" t="s">
        <v>4983</v>
      </c>
      <c r="F1610" s="251">
        <v>12</v>
      </c>
      <c r="G1610" s="252">
        <v>10</v>
      </c>
      <c r="H1610" s="266">
        <f t="shared" si="140"/>
        <v>120</v>
      </c>
      <c r="I1610" s="254" t="s">
        <v>170</v>
      </c>
      <c r="J1610" s="331" t="s">
        <v>3840</v>
      </c>
      <c r="K1610" s="256">
        <v>43368</v>
      </c>
      <c r="L1610" s="256"/>
      <c r="M1610" s="256">
        <v>43355</v>
      </c>
      <c r="N1610" s="331" t="s">
        <v>5131</v>
      </c>
      <c r="O1610" s="308" t="s">
        <v>5132</v>
      </c>
      <c r="Q1610" s="591"/>
      <c r="R1610" s="1406"/>
      <c r="S1610" s="1406"/>
      <c r="U1610" s="770">
        <v>2600</v>
      </c>
      <c r="V1610" s="308" t="s">
        <v>5133</v>
      </c>
      <c r="W1610" s="328"/>
      <c r="X1610" s="750">
        <v>43355</v>
      </c>
      <c r="Y1610" s="744" t="s">
        <v>5134</v>
      </c>
      <c r="Z1610" s="749">
        <v>2600</v>
      </c>
      <c r="AA1610" s="748">
        <v>43355</v>
      </c>
      <c r="AB1610" s="744" t="s">
        <v>5135</v>
      </c>
      <c r="AC1610" s="744" t="s">
        <v>5136</v>
      </c>
      <c r="AD1610" s="744"/>
      <c r="AE1610" s="744"/>
      <c r="AF1610" s="744"/>
      <c r="AG1610" s="251" t="s">
        <v>283</v>
      </c>
    </row>
    <row r="1611" spans="1:33" ht="15.75" customHeight="1">
      <c r="A1611" s="743">
        <v>43348</v>
      </c>
      <c r="B1611" s="590" t="s">
        <v>405</v>
      </c>
      <c r="C1611" s="744">
        <v>7000140940</v>
      </c>
      <c r="D1611" s="250" t="s">
        <v>5137</v>
      </c>
      <c r="E1611" s="595" t="s">
        <v>799</v>
      </c>
      <c r="F1611" s="251">
        <v>1</v>
      </c>
      <c r="G1611" s="252">
        <v>565</v>
      </c>
      <c r="H1611" s="253">
        <f t="shared" si="140"/>
        <v>565</v>
      </c>
      <c r="I1611" s="254" t="s">
        <v>42</v>
      </c>
      <c r="J1611" s="331" t="s">
        <v>3840</v>
      </c>
      <c r="K1611" s="256">
        <v>43354</v>
      </c>
      <c r="L1611" s="256"/>
      <c r="M1611" s="256">
        <v>43353</v>
      </c>
      <c r="N1611" s="331" t="s">
        <v>3432</v>
      </c>
      <c r="O1611" s="250" t="s">
        <v>5138</v>
      </c>
      <c r="Q1611" s="591"/>
      <c r="R1611" s="1406"/>
      <c r="S1611" s="1406"/>
      <c r="U1611" s="572">
        <v>15825</v>
      </c>
      <c r="V1611" s="308" t="s">
        <v>2045</v>
      </c>
      <c r="W1611" s="747">
        <v>43434</v>
      </c>
      <c r="X1611" s="748">
        <v>43353</v>
      </c>
      <c r="Y1611" s="744" t="s">
        <v>5139</v>
      </c>
      <c r="Z1611" s="749">
        <v>15825</v>
      </c>
      <c r="AA1611" s="748">
        <v>43419</v>
      </c>
      <c r="AB1611" s="744" t="s">
        <v>4552</v>
      </c>
      <c r="AC1611" s="744">
        <v>5528488394</v>
      </c>
      <c r="AD1611" s="744"/>
      <c r="AE1611" s="744"/>
      <c r="AF1611" s="744"/>
      <c r="AG1611" s="251" t="s">
        <v>283</v>
      </c>
    </row>
    <row r="1612" spans="1:33" ht="15.75" customHeight="1">
      <c r="A1612" s="743">
        <v>43349</v>
      </c>
      <c r="B1612" s="263" t="s">
        <v>100</v>
      </c>
      <c r="C1612" s="744">
        <v>0</v>
      </c>
      <c r="D1612" s="250" t="s">
        <v>5140</v>
      </c>
      <c r="E1612" s="420" t="s">
        <v>5141</v>
      </c>
      <c r="F1612" s="251">
        <v>1</v>
      </c>
      <c r="G1612" s="252">
        <v>550</v>
      </c>
      <c r="H1612" s="266">
        <f t="shared" si="140"/>
        <v>550</v>
      </c>
      <c r="I1612" s="254" t="s">
        <v>170</v>
      </c>
      <c r="J1612" s="401" t="s">
        <v>3578</v>
      </c>
      <c r="K1612" s="256">
        <v>43356</v>
      </c>
      <c r="L1612" s="256"/>
      <c r="M1612" s="256">
        <v>43356</v>
      </c>
      <c r="N1612" s="331" t="s">
        <v>1995</v>
      </c>
      <c r="O1612" s="308" t="s">
        <v>5142</v>
      </c>
      <c r="Q1612" s="591"/>
      <c r="R1612" s="1406"/>
      <c r="S1612" s="1406"/>
      <c r="U1612" s="572">
        <v>16006</v>
      </c>
      <c r="V1612" s="571" t="s">
        <v>1997</v>
      </c>
      <c r="W1612" s="747">
        <v>43409</v>
      </c>
      <c r="X1612" s="750">
        <v>43355</v>
      </c>
      <c r="Y1612" s="250" t="s">
        <v>5143</v>
      </c>
      <c r="Z1612" s="753">
        <v>16006</v>
      </c>
      <c r="AA1612" s="750">
        <v>43410</v>
      </c>
      <c r="AB1612" s="744" t="s">
        <v>5144</v>
      </c>
      <c r="AC1612" s="744">
        <v>2445414333</v>
      </c>
      <c r="AD1612" s="744"/>
      <c r="AE1612" s="744"/>
      <c r="AF1612" s="744"/>
      <c r="AG1612" s="251" t="s">
        <v>283</v>
      </c>
    </row>
    <row r="1613" spans="1:33" ht="15.75" customHeight="1">
      <c r="A1613" s="743">
        <v>43349</v>
      </c>
      <c r="B1613" s="263" t="s">
        <v>100</v>
      </c>
      <c r="C1613" s="744" t="s">
        <v>5145</v>
      </c>
      <c r="D1613" s="250" t="s">
        <v>5140</v>
      </c>
      <c r="E1613" s="595" t="s">
        <v>5146</v>
      </c>
      <c r="F1613" s="251">
        <v>1</v>
      </c>
      <c r="G1613" s="252">
        <v>130</v>
      </c>
      <c r="H1613" s="266">
        <f t="shared" si="140"/>
        <v>130</v>
      </c>
      <c r="I1613" s="254" t="s">
        <v>170</v>
      </c>
      <c r="J1613" s="401" t="s">
        <v>3578</v>
      </c>
      <c r="K1613" s="256">
        <v>43356</v>
      </c>
      <c r="L1613" s="256"/>
      <c r="M1613" s="256">
        <v>43353</v>
      </c>
      <c r="N1613" s="331" t="s">
        <v>1993</v>
      </c>
      <c r="O1613" s="308" t="s">
        <v>5147</v>
      </c>
      <c r="Q1613" s="266">
        <v>118.65</v>
      </c>
      <c r="R1613" s="1394"/>
      <c r="S1613" s="1394"/>
      <c r="U1613" s="328"/>
      <c r="V1613" s="338" t="s">
        <v>46</v>
      </c>
      <c r="W1613" s="747">
        <v>43380</v>
      </c>
      <c r="X1613" s="748">
        <v>43350</v>
      </c>
      <c r="Y1613" s="744" t="s">
        <v>5148</v>
      </c>
      <c r="Z1613" s="749">
        <v>3655</v>
      </c>
      <c r="AA1613" s="748">
        <v>43382</v>
      </c>
      <c r="AB1613" s="744" t="s">
        <v>5144</v>
      </c>
      <c r="AC1613" s="744">
        <v>2445414333</v>
      </c>
      <c r="AD1613" s="744"/>
      <c r="AE1613" s="744"/>
      <c r="AF1613" s="744"/>
      <c r="AG1613" s="251" t="s">
        <v>283</v>
      </c>
    </row>
    <row r="1614" spans="1:33" ht="15.75" customHeight="1">
      <c r="A1614" s="743">
        <v>43349</v>
      </c>
      <c r="B1614" s="263" t="s">
        <v>100</v>
      </c>
      <c r="C1614" s="744" t="s">
        <v>5145</v>
      </c>
      <c r="D1614" s="250" t="s">
        <v>5140</v>
      </c>
      <c r="E1614" s="759" t="s">
        <v>4480</v>
      </c>
      <c r="F1614" s="251">
        <v>1</v>
      </c>
      <c r="G1614" s="252">
        <v>97</v>
      </c>
      <c r="H1614" s="266">
        <f t="shared" si="140"/>
        <v>97</v>
      </c>
      <c r="I1614" s="254" t="s">
        <v>170</v>
      </c>
      <c r="J1614" s="401" t="s">
        <v>3578</v>
      </c>
      <c r="K1614" s="256">
        <v>43356</v>
      </c>
      <c r="L1614" s="1477"/>
      <c r="M1614" s="829">
        <v>43349</v>
      </c>
      <c r="N1614" s="331" t="s">
        <v>5149</v>
      </c>
      <c r="O1614" s="308" t="s">
        <v>5150</v>
      </c>
      <c r="Q1614" s="591"/>
      <c r="R1614" s="1406"/>
      <c r="S1614" s="1406"/>
      <c r="U1614" s="328"/>
      <c r="V1614" s="308"/>
      <c r="W1614" s="328"/>
      <c r="X1614" s="750">
        <v>43355</v>
      </c>
      <c r="Y1614" s="250" t="s">
        <v>5143</v>
      </c>
      <c r="Z1614" s="250" t="s">
        <v>5151</v>
      </c>
      <c r="AA1614" s="746"/>
      <c r="AB1614" s="744" t="s">
        <v>5144</v>
      </c>
      <c r="AC1614" s="744">
        <v>2445414333</v>
      </c>
      <c r="AD1614" s="744"/>
      <c r="AE1614" s="744"/>
      <c r="AF1614" s="744"/>
      <c r="AG1614" s="251" t="s">
        <v>283</v>
      </c>
    </row>
    <row r="1615" spans="1:33" ht="15.75" customHeight="1">
      <c r="A1615" s="743">
        <v>43349</v>
      </c>
      <c r="B1615" s="263" t="s">
        <v>3347</v>
      </c>
      <c r="C1615" s="744"/>
      <c r="D1615" s="250" t="s">
        <v>5152</v>
      </c>
      <c r="E1615" s="595" t="s">
        <v>4819</v>
      </c>
      <c r="F1615" s="251">
        <v>100</v>
      </c>
      <c r="G1615" s="252">
        <v>163</v>
      </c>
      <c r="H1615" s="266">
        <f t="shared" si="140"/>
        <v>16300</v>
      </c>
      <c r="I1615" s="254" t="s">
        <v>170</v>
      </c>
      <c r="J1615" s="267" t="s">
        <v>3350</v>
      </c>
      <c r="K1615" s="256">
        <v>43370</v>
      </c>
      <c r="L1615" s="256"/>
      <c r="M1615" s="256">
        <v>43363</v>
      </c>
      <c r="N1615" s="331" t="s">
        <v>3351</v>
      </c>
      <c r="O1615" s="308" t="s">
        <v>5153</v>
      </c>
      <c r="Q1615" s="266">
        <v>16590</v>
      </c>
      <c r="R1615" s="1394"/>
      <c r="S1615" s="1394"/>
      <c r="U1615" s="328"/>
      <c r="V1615" s="308" t="s">
        <v>3353</v>
      </c>
      <c r="W1615" s="328"/>
      <c r="X1615" s="750">
        <v>43369</v>
      </c>
      <c r="Y1615" s="250" t="s">
        <v>5154</v>
      </c>
      <c r="Z1615" s="753">
        <v>510060</v>
      </c>
      <c r="AA1615" s="748">
        <v>43355</v>
      </c>
      <c r="AB1615" s="744" t="s">
        <v>5155</v>
      </c>
      <c r="AC1615" s="744" t="s">
        <v>5156</v>
      </c>
      <c r="AD1615" s="744"/>
      <c r="AE1615" s="744"/>
      <c r="AF1615" s="744"/>
      <c r="AG1615" s="251" t="s">
        <v>283</v>
      </c>
    </row>
    <row r="1616" spans="1:33" ht="15.75" customHeight="1">
      <c r="A1616" s="743">
        <v>43349</v>
      </c>
      <c r="B1616" s="263" t="s">
        <v>100</v>
      </c>
      <c r="C1616" s="744" t="s">
        <v>5157</v>
      </c>
      <c r="D1616" s="250" t="s">
        <v>5158</v>
      </c>
      <c r="E1616" s="595" t="s">
        <v>5159</v>
      </c>
      <c r="F1616" s="251">
        <v>10</v>
      </c>
      <c r="G1616" s="252">
        <v>40</v>
      </c>
      <c r="H1616" s="266">
        <f t="shared" si="140"/>
        <v>400</v>
      </c>
      <c r="I1616" s="254" t="s">
        <v>170</v>
      </c>
      <c r="J1616" s="401" t="s">
        <v>3578</v>
      </c>
      <c r="K1616" s="256">
        <v>43356</v>
      </c>
      <c r="L1616" s="256"/>
      <c r="M1616" s="256">
        <v>43356</v>
      </c>
      <c r="N1616" s="331" t="s">
        <v>1414</v>
      </c>
      <c r="O1616" s="250" t="s">
        <v>5160</v>
      </c>
      <c r="Q1616" s="266">
        <v>367.5</v>
      </c>
      <c r="R1616" s="1394"/>
      <c r="S1616" s="1394"/>
      <c r="U1616" s="328"/>
      <c r="V1616" s="318" t="s">
        <v>1947</v>
      </c>
      <c r="W1616" s="747">
        <v>43404</v>
      </c>
      <c r="X1616" s="748">
        <v>43355</v>
      </c>
      <c r="Y1616" s="744" t="s">
        <v>5161</v>
      </c>
      <c r="Z1616" s="749">
        <v>11309</v>
      </c>
      <c r="AA1616" s="748">
        <v>43405</v>
      </c>
      <c r="AB1616" s="744" t="s">
        <v>5144</v>
      </c>
      <c r="AC1616" s="744">
        <v>2445414333</v>
      </c>
      <c r="AD1616" s="744"/>
      <c r="AE1616" s="744"/>
      <c r="AF1616" s="744"/>
      <c r="AG1616" s="251" t="s">
        <v>283</v>
      </c>
    </row>
    <row r="1617" spans="1:33" ht="15.75" customHeight="1">
      <c r="A1617" s="743">
        <v>43349</v>
      </c>
      <c r="B1617" s="144" t="s">
        <v>100</v>
      </c>
      <c r="C1617" s="744" t="s">
        <v>5162</v>
      </c>
      <c r="D1617" s="250" t="s">
        <v>5163</v>
      </c>
      <c r="E1617" s="595" t="s">
        <v>5164</v>
      </c>
      <c r="F1617" s="251">
        <v>8</v>
      </c>
      <c r="G1617" s="252">
        <v>237</v>
      </c>
      <c r="H1617" s="266">
        <f t="shared" si="140"/>
        <v>1896</v>
      </c>
      <c r="I1617" s="254" t="s">
        <v>170</v>
      </c>
      <c r="J1617" s="367" t="s">
        <v>3408</v>
      </c>
      <c r="K1617" s="256">
        <v>43371</v>
      </c>
      <c r="L1617" s="256"/>
      <c r="M1617" s="256">
        <v>43369</v>
      </c>
      <c r="N1617" s="264" t="s">
        <v>1512</v>
      </c>
      <c r="O1617" s="308" t="s">
        <v>5165</v>
      </c>
      <c r="Q1617" s="591"/>
      <c r="R1617" s="1406"/>
      <c r="S1617" s="1406"/>
      <c r="U1617" s="572">
        <v>46586</v>
      </c>
      <c r="V1617" s="744" t="s">
        <v>2109</v>
      </c>
      <c r="W1617" s="747">
        <v>43378</v>
      </c>
      <c r="X1617" s="748">
        <v>43368</v>
      </c>
      <c r="Y1617" s="744" t="s">
        <v>5166</v>
      </c>
      <c r="Z1617" s="749">
        <v>93836</v>
      </c>
      <c r="AA1617" s="748">
        <v>43382</v>
      </c>
      <c r="AB1617" s="744" t="s">
        <v>5043</v>
      </c>
      <c r="AC1617" s="744" t="s">
        <v>5044</v>
      </c>
      <c r="AD1617" s="744"/>
      <c r="AE1617" s="744"/>
      <c r="AF1617" s="744"/>
      <c r="AG1617" s="251" t="s">
        <v>283</v>
      </c>
    </row>
    <row r="1618" spans="1:33" ht="15.75" customHeight="1">
      <c r="A1618" s="743">
        <v>43349</v>
      </c>
      <c r="B1618" s="590" t="s">
        <v>405</v>
      </c>
      <c r="C1618" s="744">
        <v>7000140992</v>
      </c>
      <c r="D1618" s="250" t="s">
        <v>5167</v>
      </c>
      <c r="E1618" s="595" t="s">
        <v>5168</v>
      </c>
      <c r="F1618" s="251">
        <v>1</v>
      </c>
      <c r="G1618" s="252">
        <v>875</v>
      </c>
      <c r="H1618" s="266">
        <f t="shared" si="140"/>
        <v>875</v>
      </c>
      <c r="I1618" s="254" t="s">
        <v>42</v>
      </c>
      <c r="J1618" s="331" t="s">
        <v>3840</v>
      </c>
      <c r="K1618" s="256">
        <v>43363</v>
      </c>
      <c r="L1618" s="256"/>
      <c r="M1618" s="256">
        <v>43362</v>
      </c>
      <c r="N1618" s="331" t="s">
        <v>3432</v>
      </c>
      <c r="O1618" s="308" t="s">
        <v>5169</v>
      </c>
      <c r="Q1618" s="591"/>
      <c r="R1618" s="1406"/>
      <c r="S1618" s="1406"/>
      <c r="U1618" s="572">
        <v>24436</v>
      </c>
      <c r="V1618" s="308" t="s">
        <v>2045</v>
      </c>
      <c r="W1618" s="747">
        <v>43434</v>
      </c>
      <c r="X1618" s="748">
        <v>43360</v>
      </c>
      <c r="Y1618" s="744" t="s">
        <v>5170</v>
      </c>
      <c r="Z1618" s="749">
        <v>24436</v>
      </c>
      <c r="AA1618" s="748">
        <v>43419</v>
      </c>
      <c r="AB1618" s="744" t="s">
        <v>5171</v>
      </c>
      <c r="AC1618" s="744">
        <v>6184509833</v>
      </c>
      <c r="AD1618" s="744"/>
      <c r="AE1618" s="744"/>
      <c r="AF1618" s="744"/>
      <c r="AG1618" s="251" t="s">
        <v>283</v>
      </c>
    </row>
    <row r="1619" spans="1:33" ht="15.75" customHeight="1">
      <c r="A1619" s="743">
        <v>43349</v>
      </c>
      <c r="B1619" s="590" t="s">
        <v>405</v>
      </c>
      <c r="C1619" s="744">
        <v>7000140992</v>
      </c>
      <c r="D1619" s="250" t="s">
        <v>5167</v>
      </c>
      <c r="E1619" s="595" t="s">
        <v>5172</v>
      </c>
      <c r="F1619" s="251">
        <v>1</v>
      </c>
      <c r="G1619" s="252">
        <v>85</v>
      </c>
      <c r="H1619" s="266">
        <f t="shared" si="140"/>
        <v>85</v>
      </c>
      <c r="I1619" s="254" t="s">
        <v>42</v>
      </c>
      <c r="J1619" s="331" t="s">
        <v>3840</v>
      </c>
      <c r="K1619" s="256">
        <v>43363</v>
      </c>
      <c r="L1619" s="256"/>
      <c r="M1619" s="256">
        <v>43355</v>
      </c>
      <c r="N1619" s="331" t="s">
        <v>2124</v>
      </c>
      <c r="O1619" s="308" t="s">
        <v>5173</v>
      </c>
      <c r="Q1619" s="591"/>
      <c r="R1619" s="1406"/>
      <c r="S1619" s="1406"/>
      <c r="U1619" s="572">
        <v>2447</v>
      </c>
      <c r="V1619" s="308" t="s">
        <v>2126</v>
      </c>
      <c r="W1619" s="328"/>
      <c r="X1619" s="748">
        <v>43354</v>
      </c>
      <c r="Y1619" s="744" t="s">
        <v>5174</v>
      </c>
      <c r="Z1619" s="749">
        <v>2447</v>
      </c>
      <c r="AA1619" s="748">
        <v>43350</v>
      </c>
      <c r="AB1619" s="744" t="s">
        <v>5171</v>
      </c>
      <c r="AC1619" s="744">
        <v>6184509833</v>
      </c>
      <c r="AD1619" s="744"/>
      <c r="AE1619" s="744"/>
      <c r="AF1619" s="744"/>
      <c r="AG1619" s="251" t="s">
        <v>283</v>
      </c>
    </row>
    <row r="1620" spans="1:33" ht="15.75" customHeight="1">
      <c r="A1620" s="755">
        <v>43350</v>
      </c>
      <c r="B1620" s="318" t="s">
        <v>325</v>
      </c>
      <c r="C1620" s="250">
        <v>2024672</v>
      </c>
      <c r="D1620" s="308" t="s">
        <v>5175</v>
      </c>
      <c r="E1620" s="308" t="s">
        <v>3612</v>
      </c>
      <c r="F1620" s="251">
        <v>10</v>
      </c>
      <c r="G1620" s="323">
        <v>567</v>
      </c>
      <c r="H1620" s="253">
        <f t="shared" si="140"/>
        <v>5670</v>
      </c>
      <c r="I1620" s="254" t="s">
        <v>42</v>
      </c>
      <c r="J1620" s="267" t="s">
        <v>328</v>
      </c>
      <c r="K1620" s="256">
        <v>43377</v>
      </c>
      <c r="L1620" s="256"/>
      <c r="M1620" s="256">
        <v>43362</v>
      </c>
      <c r="N1620" s="331" t="s">
        <v>3614</v>
      </c>
      <c r="O1620" s="308" t="s">
        <v>5176</v>
      </c>
      <c r="Q1620" s="336">
        <v>5355</v>
      </c>
      <c r="R1620" s="1420"/>
      <c r="S1620" s="1420"/>
      <c r="U1620" s="328"/>
      <c r="V1620" s="420" t="s">
        <v>2159</v>
      </c>
      <c r="W1620" s="789">
        <v>43404</v>
      </c>
      <c r="X1620" s="750">
        <v>43363</v>
      </c>
      <c r="Y1620" s="250" t="s">
        <v>5177</v>
      </c>
      <c r="Z1620" s="753">
        <v>172454</v>
      </c>
      <c r="AA1620" s="750">
        <v>43405</v>
      </c>
      <c r="AB1620" s="744" t="s">
        <v>5178</v>
      </c>
      <c r="AC1620" s="744" t="s">
        <v>5179</v>
      </c>
      <c r="AD1620" s="744"/>
      <c r="AE1620" s="744"/>
      <c r="AF1620" s="744"/>
      <c r="AG1620" s="251" t="s">
        <v>283</v>
      </c>
    </row>
    <row r="1621" spans="1:33" ht="15.75" customHeight="1">
      <c r="A1621" s="755">
        <v>43350</v>
      </c>
      <c r="B1621" s="318" t="s">
        <v>325</v>
      </c>
      <c r="C1621" s="250">
        <v>2024672</v>
      </c>
      <c r="D1621" s="308" t="s">
        <v>5175</v>
      </c>
      <c r="E1621" s="308" t="s">
        <v>3620</v>
      </c>
      <c r="F1621" s="251">
        <v>10</v>
      </c>
      <c r="G1621" s="323">
        <v>273</v>
      </c>
      <c r="H1621" s="253">
        <f t="shared" si="140"/>
        <v>2730</v>
      </c>
      <c r="I1621" s="254" t="s">
        <v>42</v>
      </c>
      <c r="J1621" s="267" t="s">
        <v>328</v>
      </c>
      <c r="K1621" s="256">
        <v>43377</v>
      </c>
      <c r="L1621" s="256"/>
      <c r="M1621" s="256">
        <v>43357</v>
      </c>
      <c r="N1621" s="331" t="s">
        <v>44</v>
      </c>
      <c r="O1621" s="308" t="s">
        <v>5180</v>
      </c>
      <c r="Q1621" s="266">
        <v>2184</v>
      </c>
      <c r="R1621" s="1394"/>
      <c r="S1621" s="1394"/>
      <c r="U1621" s="328"/>
      <c r="V1621" s="338" t="s">
        <v>46</v>
      </c>
      <c r="W1621" s="747">
        <v>43385</v>
      </c>
      <c r="X1621" s="748">
        <v>43355</v>
      </c>
      <c r="Y1621" s="744" t="s">
        <v>5181</v>
      </c>
      <c r="Z1621" s="749">
        <v>67298</v>
      </c>
      <c r="AA1621" s="748">
        <v>43382</v>
      </c>
      <c r="AB1621" s="744" t="s">
        <v>5178</v>
      </c>
      <c r="AC1621" s="744" t="s">
        <v>5179</v>
      </c>
      <c r="AD1621" s="744"/>
      <c r="AE1621" s="744"/>
      <c r="AF1621" s="744"/>
      <c r="AG1621" s="251" t="s">
        <v>283</v>
      </c>
    </row>
    <row r="1622" spans="1:33" ht="15.75" customHeight="1">
      <c r="A1622" s="755">
        <v>43350</v>
      </c>
      <c r="B1622" s="318" t="s">
        <v>325</v>
      </c>
      <c r="C1622" s="250">
        <v>2024672</v>
      </c>
      <c r="D1622" s="308" t="s">
        <v>5175</v>
      </c>
      <c r="E1622" s="308" t="s">
        <v>52</v>
      </c>
      <c r="F1622" s="251">
        <v>10</v>
      </c>
      <c r="G1622" s="323">
        <v>31</v>
      </c>
      <c r="H1622" s="253">
        <f t="shared" si="140"/>
        <v>310</v>
      </c>
      <c r="I1622" s="254" t="s">
        <v>42</v>
      </c>
      <c r="J1622" s="267" t="s">
        <v>328</v>
      </c>
      <c r="K1622" s="256">
        <v>43377</v>
      </c>
      <c r="L1622" s="256"/>
      <c r="M1622" s="256">
        <v>43362</v>
      </c>
      <c r="N1622" s="331" t="s">
        <v>3614</v>
      </c>
      <c r="O1622" s="308" t="s">
        <v>5176</v>
      </c>
      <c r="Q1622" s="336">
        <v>226.8</v>
      </c>
      <c r="R1622" s="1420"/>
      <c r="S1622" s="1420"/>
      <c r="U1622" s="328"/>
      <c r="V1622" s="420" t="s">
        <v>2159</v>
      </c>
      <c r="W1622" s="789">
        <v>43404</v>
      </c>
      <c r="X1622" s="750">
        <v>43363</v>
      </c>
      <c r="Y1622" s="250" t="s">
        <v>5177</v>
      </c>
      <c r="Z1622" s="250" t="s">
        <v>5182</v>
      </c>
      <c r="AA1622" s="750">
        <v>43405</v>
      </c>
      <c r="AB1622" s="744" t="s">
        <v>5178</v>
      </c>
      <c r="AC1622" s="744" t="s">
        <v>5179</v>
      </c>
      <c r="AD1622" s="744"/>
      <c r="AE1622" s="744"/>
      <c r="AF1622" s="744"/>
      <c r="AG1622" s="251" t="s">
        <v>283</v>
      </c>
    </row>
    <row r="1623" spans="1:33" ht="15.75" customHeight="1">
      <c r="A1623" s="755">
        <v>43350</v>
      </c>
      <c r="B1623" s="318" t="s">
        <v>325</v>
      </c>
      <c r="C1623" s="250">
        <v>2024672</v>
      </c>
      <c r="D1623" s="308" t="s">
        <v>5175</v>
      </c>
      <c r="E1623" s="308" t="s">
        <v>58</v>
      </c>
      <c r="F1623" s="251">
        <v>10</v>
      </c>
      <c r="G1623" s="323">
        <v>4</v>
      </c>
      <c r="H1623" s="253">
        <f t="shared" si="140"/>
        <v>40</v>
      </c>
      <c r="I1623" s="254" t="s">
        <v>42</v>
      </c>
      <c r="J1623" s="267" t="s">
        <v>328</v>
      </c>
      <c r="K1623" s="256">
        <v>43377</v>
      </c>
      <c r="L1623" s="256"/>
      <c r="M1623" s="256">
        <v>43362</v>
      </c>
      <c r="N1623" s="331" t="s">
        <v>3614</v>
      </c>
      <c r="O1623" s="308" t="s">
        <v>5176</v>
      </c>
      <c r="Q1623" s="336">
        <v>21</v>
      </c>
      <c r="R1623" s="1420"/>
      <c r="S1623" s="1420"/>
      <c r="U1623" s="328"/>
      <c r="V1623" s="420" t="s">
        <v>2159</v>
      </c>
      <c r="W1623" s="789">
        <v>43404</v>
      </c>
      <c r="X1623" s="750">
        <v>43363</v>
      </c>
      <c r="Y1623" s="250" t="s">
        <v>5177</v>
      </c>
      <c r="Z1623" s="250" t="s">
        <v>5182</v>
      </c>
      <c r="AA1623" s="750">
        <v>43405</v>
      </c>
      <c r="AB1623" s="744" t="s">
        <v>5178</v>
      </c>
      <c r="AC1623" s="744" t="s">
        <v>5179</v>
      </c>
      <c r="AD1623" s="744"/>
      <c r="AE1623" s="744"/>
      <c r="AF1623" s="744"/>
      <c r="AG1623" s="251" t="s">
        <v>283</v>
      </c>
    </row>
    <row r="1624" spans="1:33" ht="15.75" customHeight="1">
      <c r="A1624" s="743">
        <v>43353</v>
      </c>
      <c r="B1624" s="263" t="s">
        <v>129</v>
      </c>
      <c r="C1624" s="744" t="s">
        <v>5183</v>
      </c>
      <c r="D1624" s="250" t="s">
        <v>5184</v>
      </c>
      <c r="E1624" s="250" t="s">
        <v>3979</v>
      </c>
      <c r="F1624" s="251">
        <v>4</v>
      </c>
      <c r="G1624" s="252">
        <v>58</v>
      </c>
      <c r="H1624" s="253">
        <f t="shared" si="140"/>
        <v>232</v>
      </c>
      <c r="I1624" s="254" t="s">
        <v>419</v>
      </c>
      <c r="J1624" s="852" t="s">
        <v>5082</v>
      </c>
      <c r="K1624" s="256">
        <v>43370</v>
      </c>
      <c r="L1624" s="256"/>
      <c r="M1624" s="256">
        <v>43363</v>
      </c>
      <c r="N1624" s="331" t="s">
        <v>89</v>
      </c>
      <c r="O1624" s="250" t="s">
        <v>5185</v>
      </c>
      <c r="Q1624" s="266">
        <v>218.4</v>
      </c>
      <c r="R1624" s="1394"/>
      <c r="S1624" s="1394"/>
      <c r="U1624" s="328"/>
      <c r="V1624" s="338" t="s">
        <v>93</v>
      </c>
      <c r="W1624" s="747">
        <v>43404</v>
      </c>
      <c r="X1624" s="748">
        <v>43362</v>
      </c>
      <c r="Y1624" s="744" t="s">
        <v>5186</v>
      </c>
      <c r="Z1624" s="749">
        <v>6715</v>
      </c>
      <c r="AA1624" s="748">
        <v>43405</v>
      </c>
      <c r="AB1624" s="744" t="s">
        <v>5085</v>
      </c>
      <c r="AC1624" s="744">
        <v>812337368690</v>
      </c>
      <c r="AD1624" s="744"/>
      <c r="AE1624" s="744"/>
      <c r="AF1624" s="744"/>
      <c r="AG1624" s="251" t="s">
        <v>283</v>
      </c>
    </row>
    <row r="1625" spans="1:33" ht="15.75" customHeight="1">
      <c r="A1625" s="743">
        <v>43354</v>
      </c>
      <c r="B1625" s="263" t="s">
        <v>118</v>
      </c>
      <c r="C1625" s="744" t="s">
        <v>5187</v>
      </c>
      <c r="D1625" s="250" t="s">
        <v>5188</v>
      </c>
      <c r="E1625" s="250" t="s">
        <v>165</v>
      </c>
      <c r="F1625" s="251">
        <v>1</v>
      </c>
      <c r="G1625" s="252">
        <v>880</v>
      </c>
      <c r="H1625" s="253">
        <f t="shared" si="140"/>
        <v>880</v>
      </c>
      <c r="I1625" s="254" t="s">
        <v>170</v>
      </c>
      <c r="J1625" s="267" t="s">
        <v>5189</v>
      </c>
      <c r="K1625" s="256">
        <v>43382</v>
      </c>
      <c r="L1625" s="256"/>
      <c r="M1625" s="256">
        <v>43378</v>
      </c>
      <c r="N1625" s="331" t="s">
        <v>89</v>
      </c>
      <c r="O1625" s="308" t="s">
        <v>5190</v>
      </c>
      <c r="Q1625" s="266">
        <v>784.88</v>
      </c>
      <c r="R1625" s="1394"/>
      <c r="S1625" s="1394"/>
      <c r="U1625" s="328"/>
      <c r="V1625" s="338" t="s">
        <v>93</v>
      </c>
      <c r="W1625" s="747">
        <v>43434</v>
      </c>
      <c r="X1625" s="748">
        <v>43378</v>
      </c>
      <c r="Y1625" s="744" t="s">
        <v>5191</v>
      </c>
      <c r="Z1625" s="749">
        <v>115561</v>
      </c>
      <c r="AA1625" s="748">
        <v>43440</v>
      </c>
      <c r="AB1625" s="744" t="s">
        <v>5192</v>
      </c>
      <c r="AC1625" s="744">
        <v>812337415038</v>
      </c>
      <c r="AD1625" s="744"/>
      <c r="AE1625" s="744"/>
      <c r="AF1625" s="744"/>
      <c r="AG1625" s="264" t="s">
        <v>283</v>
      </c>
    </row>
    <row r="1626" spans="1:33" ht="15.75" customHeight="1">
      <c r="A1626" s="743">
        <v>43354</v>
      </c>
      <c r="B1626" s="263" t="s">
        <v>118</v>
      </c>
      <c r="C1626" s="744" t="s">
        <v>5187</v>
      </c>
      <c r="D1626" s="250" t="s">
        <v>5188</v>
      </c>
      <c r="E1626" s="250" t="s">
        <v>161</v>
      </c>
      <c r="F1626" s="251">
        <v>4</v>
      </c>
      <c r="G1626" s="265">
        <v>893</v>
      </c>
      <c r="H1626" s="253">
        <f t="shared" si="140"/>
        <v>3572</v>
      </c>
      <c r="I1626" s="254" t="s">
        <v>170</v>
      </c>
      <c r="J1626" s="267" t="s">
        <v>5189</v>
      </c>
      <c r="K1626" s="256">
        <v>43382</v>
      </c>
      <c r="L1626" s="256"/>
      <c r="M1626" s="256">
        <v>43378</v>
      </c>
      <c r="N1626" s="331" t="s">
        <v>89</v>
      </c>
      <c r="O1626" s="308" t="s">
        <v>5190</v>
      </c>
      <c r="Q1626" s="266">
        <v>2679.6</v>
      </c>
      <c r="R1626" s="1394"/>
      <c r="S1626" s="1394"/>
      <c r="U1626" s="328"/>
      <c r="V1626" s="338" t="s">
        <v>93</v>
      </c>
      <c r="W1626" s="747">
        <v>43434</v>
      </c>
      <c r="X1626" s="748">
        <v>43378</v>
      </c>
      <c r="Y1626" s="744" t="s">
        <v>5191</v>
      </c>
      <c r="Z1626" s="250" t="s">
        <v>5193</v>
      </c>
      <c r="AA1626" s="748">
        <v>43440</v>
      </c>
      <c r="AB1626" s="744" t="s">
        <v>5192</v>
      </c>
      <c r="AC1626" s="744">
        <v>812337415038</v>
      </c>
      <c r="AD1626" s="744"/>
      <c r="AE1626" s="744"/>
      <c r="AF1626" s="744"/>
      <c r="AG1626" s="264" t="s">
        <v>283</v>
      </c>
    </row>
    <row r="1627" spans="1:33" ht="15.75" customHeight="1">
      <c r="A1627" s="743">
        <v>43354</v>
      </c>
      <c r="B1627" s="263" t="s">
        <v>118</v>
      </c>
      <c r="C1627" s="744" t="s">
        <v>5187</v>
      </c>
      <c r="D1627" s="250" t="s">
        <v>5188</v>
      </c>
      <c r="E1627" s="250" t="s">
        <v>4833</v>
      </c>
      <c r="F1627" s="251">
        <v>2</v>
      </c>
      <c r="G1627" s="265">
        <v>173</v>
      </c>
      <c r="H1627" s="253">
        <f t="shared" si="140"/>
        <v>346</v>
      </c>
      <c r="I1627" s="254" t="s">
        <v>170</v>
      </c>
      <c r="J1627" s="267" t="s">
        <v>5189</v>
      </c>
      <c r="K1627" s="256">
        <v>43382</v>
      </c>
      <c r="L1627" s="256"/>
      <c r="M1627" s="256">
        <v>43378</v>
      </c>
      <c r="N1627" s="331" t="s">
        <v>89</v>
      </c>
      <c r="O1627" s="308" t="s">
        <v>5190</v>
      </c>
      <c r="Q1627" s="266">
        <v>310.8</v>
      </c>
      <c r="R1627" s="1394"/>
      <c r="S1627" s="1394"/>
      <c r="U1627" s="328"/>
      <c r="V1627" s="338" t="s">
        <v>93</v>
      </c>
      <c r="W1627" s="747">
        <v>43434</v>
      </c>
      <c r="X1627" s="748">
        <v>43378</v>
      </c>
      <c r="Y1627" s="744" t="s">
        <v>5191</v>
      </c>
      <c r="Z1627" s="250" t="s">
        <v>5193</v>
      </c>
      <c r="AA1627" s="748">
        <v>43440</v>
      </c>
      <c r="AB1627" s="744" t="s">
        <v>5192</v>
      </c>
      <c r="AC1627" s="744">
        <v>812337415038</v>
      </c>
      <c r="AD1627" s="744"/>
      <c r="AE1627" s="744"/>
      <c r="AF1627" s="744"/>
      <c r="AG1627" s="264" t="s">
        <v>283</v>
      </c>
    </row>
    <row r="1628" spans="1:33" ht="15.75" customHeight="1">
      <c r="A1628" s="743">
        <v>43354</v>
      </c>
      <c r="B1628" s="144" t="s">
        <v>377</v>
      </c>
      <c r="C1628" s="744">
        <v>8633</v>
      </c>
      <c r="D1628" s="250" t="s">
        <v>5194</v>
      </c>
      <c r="E1628" s="595" t="s">
        <v>5195</v>
      </c>
      <c r="F1628" s="251">
        <v>1</v>
      </c>
      <c r="G1628" s="252">
        <v>1500</v>
      </c>
      <c r="H1628" s="253">
        <f t="shared" si="140"/>
        <v>1500</v>
      </c>
      <c r="I1628" s="254" t="s">
        <v>170</v>
      </c>
      <c r="J1628" s="367" t="s">
        <v>1107</v>
      </c>
      <c r="K1628" s="256">
        <v>43445</v>
      </c>
      <c r="L1628" s="256"/>
      <c r="M1628" s="256">
        <v>43364</v>
      </c>
      <c r="N1628" s="331" t="s">
        <v>2979</v>
      </c>
      <c r="O1628" s="308"/>
      <c r="Q1628" s="266">
        <v>0</v>
      </c>
      <c r="R1628" s="1394"/>
      <c r="S1628" s="1394"/>
      <c r="U1628" s="328">
        <v>0</v>
      </c>
      <c r="V1628" s="308"/>
      <c r="W1628" s="328"/>
      <c r="X1628" s="745"/>
      <c r="Y1628" s="745"/>
      <c r="Z1628" s="745"/>
      <c r="AA1628" s="746"/>
      <c r="AB1628" s="744" t="s">
        <v>5196</v>
      </c>
      <c r="AC1628" s="744" t="s">
        <v>5197</v>
      </c>
      <c r="AD1628" s="744"/>
      <c r="AE1628" s="744"/>
      <c r="AF1628" s="744"/>
      <c r="AG1628" s="251" t="s">
        <v>283</v>
      </c>
    </row>
    <row r="1629" spans="1:33" ht="15.75" customHeight="1">
      <c r="A1629" s="743">
        <v>43354</v>
      </c>
      <c r="B1629" s="144" t="s">
        <v>377</v>
      </c>
      <c r="C1629" s="744">
        <v>8633</v>
      </c>
      <c r="D1629" s="250" t="s">
        <v>5194</v>
      </c>
      <c r="E1629" s="595" t="s">
        <v>5198</v>
      </c>
      <c r="F1629" s="251">
        <v>1</v>
      </c>
      <c r="G1629" s="252">
        <v>1500</v>
      </c>
      <c r="H1629" s="253">
        <f t="shared" si="140"/>
        <v>1500</v>
      </c>
      <c r="I1629" s="254" t="s">
        <v>170</v>
      </c>
      <c r="J1629" s="367" t="s">
        <v>1107</v>
      </c>
      <c r="K1629" s="256">
        <v>43445</v>
      </c>
      <c r="L1629" s="256"/>
      <c r="M1629" s="256">
        <v>43364</v>
      </c>
      <c r="N1629" s="331" t="s">
        <v>5199</v>
      </c>
      <c r="O1629" s="308" t="s">
        <v>5200</v>
      </c>
      <c r="Q1629" s="266">
        <v>525</v>
      </c>
      <c r="R1629" s="1394"/>
      <c r="S1629" s="1394"/>
      <c r="U1629" s="853">
        <f>Q1629*30.845</f>
        <v>16193.625</v>
      </c>
      <c r="V1629" s="308" t="s">
        <v>5201</v>
      </c>
      <c r="W1629" s="329" t="s">
        <v>421</v>
      </c>
      <c r="X1629" s="748">
        <v>43369</v>
      </c>
      <c r="Y1629" s="744" t="s">
        <v>5202</v>
      </c>
      <c r="Z1629" s="749">
        <v>20394</v>
      </c>
      <c r="AA1629" s="748">
        <v>43362</v>
      </c>
      <c r="AB1629" s="744" t="s">
        <v>5196</v>
      </c>
      <c r="AC1629" s="744" t="s">
        <v>5197</v>
      </c>
      <c r="AD1629" s="744"/>
      <c r="AE1629" s="744"/>
      <c r="AF1629" s="744"/>
      <c r="AG1629" s="251" t="s">
        <v>283</v>
      </c>
    </row>
    <row r="1630" spans="1:33" ht="15.75" customHeight="1">
      <c r="A1630" s="743">
        <v>43354</v>
      </c>
      <c r="B1630" s="144" t="s">
        <v>377</v>
      </c>
      <c r="C1630" s="744">
        <v>8633</v>
      </c>
      <c r="D1630" s="250" t="s">
        <v>5194</v>
      </c>
      <c r="E1630" s="595" t="s">
        <v>5203</v>
      </c>
      <c r="F1630" s="251">
        <v>10</v>
      </c>
      <c r="G1630" s="252">
        <v>138</v>
      </c>
      <c r="H1630" s="253">
        <f t="shared" si="140"/>
        <v>1380</v>
      </c>
      <c r="I1630" s="254" t="s">
        <v>170</v>
      </c>
      <c r="J1630" s="367" t="s">
        <v>1107</v>
      </c>
      <c r="K1630" s="256">
        <v>43445</v>
      </c>
      <c r="L1630" s="256"/>
      <c r="M1630" s="256">
        <v>43417</v>
      </c>
      <c r="N1630" s="331" t="s">
        <v>5199</v>
      </c>
      <c r="O1630" s="308" t="s">
        <v>5200</v>
      </c>
      <c r="Q1630" s="336">
        <v>682.5</v>
      </c>
      <c r="R1630" s="1420"/>
      <c r="S1630" s="1420"/>
      <c r="U1630" s="853">
        <f>Q1630*30.845</f>
        <v>21051.712499999998</v>
      </c>
      <c r="V1630" s="308" t="s">
        <v>5201</v>
      </c>
      <c r="W1630" s="789">
        <v>43409</v>
      </c>
      <c r="X1630" s="748">
        <v>43416</v>
      </c>
      <c r="Y1630" s="744" t="s">
        <v>5204</v>
      </c>
      <c r="Z1630" s="749">
        <v>74958</v>
      </c>
      <c r="AA1630" s="748">
        <v>43405</v>
      </c>
      <c r="AB1630" s="744" t="s">
        <v>5196</v>
      </c>
      <c r="AC1630" s="744" t="s">
        <v>5197</v>
      </c>
      <c r="AD1630" s="744"/>
      <c r="AE1630" s="744"/>
      <c r="AF1630" s="744"/>
      <c r="AG1630" s="251" t="s">
        <v>283</v>
      </c>
    </row>
    <row r="1631" spans="1:33" ht="15.75" customHeight="1">
      <c r="A1631" s="743">
        <v>43354</v>
      </c>
      <c r="B1631" s="144" t="s">
        <v>377</v>
      </c>
      <c r="C1631" s="744">
        <v>8633</v>
      </c>
      <c r="D1631" s="250" t="s">
        <v>5194</v>
      </c>
      <c r="E1631" s="595" t="s">
        <v>1113</v>
      </c>
      <c r="F1631" s="251">
        <v>10</v>
      </c>
      <c r="G1631" s="252">
        <v>0</v>
      </c>
      <c r="H1631" s="253">
        <f t="shared" si="140"/>
        <v>0</v>
      </c>
      <c r="I1631" s="254" t="s">
        <v>170</v>
      </c>
      <c r="J1631" s="367" t="s">
        <v>1107</v>
      </c>
      <c r="K1631" s="256">
        <v>43445</v>
      </c>
      <c r="L1631" s="256"/>
      <c r="M1631" s="256">
        <v>43437</v>
      </c>
      <c r="N1631" s="254" t="s">
        <v>2021</v>
      </c>
      <c r="O1631" s="308" t="s">
        <v>5205</v>
      </c>
      <c r="Q1631" s="591"/>
      <c r="R1631" s="1406"/>
      <c r="S1631" s="1406"/>
      <c r="U1631" s="572">
        <v>14175</v>
      </c>
      <c r="V1631" s="263" t="s">
        <v>2023</v>
      </c>
      <c r="W1631" s="789">
        <v>43431</v>
      </c>
      <c r="X1631" s="748">
        <v>43434</v>
      </c>
      <c r="Y1631" s="744" t="s">
        <v>5206</v>
      </c>
      <c r="Z1631" s="749">
        <v>22365</v>
      </c>
      <c r="AA1631" s="748">
        <v>43440</v>
      </c>
      <c r="AB1631" s="744" t="s">
        <v>5196</v>
      </c>
      <c r="AC1631" s="744" t="s">
        <v>5197</v>
      </c>
      <c r="AD1631" s="744"/>
      <c r="AE1631" s="744"/>
      <c r="AF1631" s="744"/>
      <c r="AG1631" s="251" t="s">
        <v>283</v>
      </c>
    </row>
    <row r="1632" spans="1:33" ht="15.75" customHeight="1">
      <c r="A1632" s="743">
        <v>43354</v>
      </c>
      <c r="B1632" s="144" t="s">
        <v>377</v>
      </c>
      <c r="C1632" s="744">
        <v>8633</v>
      </c>
      <c r="D1632" s="250" t="s">
        <v>5194</v>
      </c>
      <c r="E1632" s="595" t="s">
        <v>5207</v>
      </c>
      <c r="F1632" s="251">
        <v>10</v>
      </c>
      <c r="G1632" s="252">
        <v>0</v>
      </c>
      <c r="H1632" s="253">
        <f t="shared" si="140"/>
        <v>0</v>
      </c>
      <c r="I1632" s="254" t="s">
        <v>170</v>
      </c>
      <c r="J1632" s="367" t="s">
        <v>1107</v>
      </c>
      <c r="K1632" s="256">
        <v>43445</v>
      </c>
      <c r="L1632" s="256"/>
      <c r="M1632" s="256">
        <v>43368</v>
      </c>
      <c r="N1632" s="331" t="s">
        <v>1941</v>
      </c>
      <c r="O1632" s="593"/>
      <c r="Q1632" s="591"/>
      <c r="R1632" s="1406"/>
      <c r="S1632" s="1406"/>
      <c r="U1632" s="328"/>
      <c r="V1632" s="308"/>
      <c r="W1632" s="328"/>
      <c r="X1632" s="744"/>
      <c r="Y1632" s="744"/>
      <c r="Z1632" s="744"/>
      <c r="AA1632" s="748"/>
      <c r="AB1632" s="744" t="s">
        <v>5196</v>
      </c>
      <c r="AC1632" s="744" t="s">
        <v>5197</v>
      </c>
      <c r="AD1632" s="744"/>
      <c r="AE1632" s="744"/>
      <c r="AF1632" s="744"/>
      <c r="AG1632" s="251" t="s">
        <v>283</v>
      </c>
    </row>
    <row r="1633" spans="1:33" ht="15.75" customHeight="1">
      <c r="A1633" s="743">
        <v>43354</v>
      </c>
      <c r="B1633" s="144" t="s">
        <v>377</v>
      </c>
      <c r="C1633" s="744">
        <v>8633</v>
      </c>
      <c r="D1633" s="250" t="s">
        <v>5194</v>
      </c>
      <c r="E1633" s="595" t="s">
        <v>5208</v>
      </c>
      <c r="F1633" s="251">
        <v>3</v>
      </c>
      <c r="G1633" s="252">
        <v>301</v>
      </c>
      <c r="H1633" s="253">
        <f t="shared" si="140"/>
        <v>903</v>
      </c>
      <c r="I1633" s="254" t="s">
        <v>170</v>
      </c>
      <c r="J1633" s="367" t="s">
        <v>1107</v>
      </c>
      <c r="K1633" s="256">
        <v>43445</v>
      </c>
      <c r="L1633" s="256"/>
      <c r="M1633" s="256">
        <v>43417</v>
      </c>
      <c r="N1633" s="331" t="s">
        <v>5199</v>
      </c>
      <c r="O1633" s="308" t="s">
        <v>5200</v>
      </c>
      <c r="Q1633" s="336">
        <v>519.75</v>
      </c>
      <c r="R1633" s="1420"/>
      <c r="S1633" s="1420"/>
      <c r="U1633" s="853">
        <f>Q1633*30.845</f>
        <v>16031.688749999999</v>
      </c>
      <c r="V1633" s="308" t="s">
        <v>5201</v>
      </c>
      <c r="W1633" s="789">
        <v>43409</v>
      </c>
      <c r="X1633" s="748">
        <v>43416</v>
      </c>
      <c r="Y1633" s="744" t="s">
        <v>5204</v>
      </c>
      <c r="Z1633" s="744" t="s">
        <v>5209</v>
      </c>
      <c r="AA1633" s="748">
        <v>43405</v>
      </c>
      <c r="AB1633" s="744" t="s">
        <v>5196</v>
      </c>
      <c r="AC1633" s="744" t="s">
        <v>5197</v>
      </c>
      <c r="AD1633" s="744"/>
      <c r="AE1633" s="744"/>
      <c r="AF1633" s="744"/>
      <c r="AG1633" s="251" t="s">
        <v>283</v>
      </c>
    </row>
    <row r="1634" spans="1:33" ht="15.75" customHeight="1">
      <c r="A1634" s="743">
        <v>43354</v>
      </c>
      <c r="B1634" s="144" t="s">
        <v>377</v>
      </c>
      <c r="C1634" s="744">
        <v>8633</v>
      </c>
      <c r="D1634" s="250" t="s">
        <v>5194</v>
      </c>
      <c r="E1634" s="595" t="s">
        <v>1113</v>
      </c>
      <c r="F1634" s="251">
        <v>3</v>
      </c>
      <c r="G1634" s="252">
        <v>0</v>
      </c>
      <c r="H1634" s="253">
        <f t="shared" si="140"/>
        <v>0</v>
      </c>
      <c r="I1634" s="254" t="s">
        <v>170</v>
      </c>
      <c r="J1634" s="367" t="s">
        <v>1107</v>
      </c>
      <c r="K1634" s="256">
        <v>43445</v>
      </c>
      <c r="L1634" s="256"/>
      <c r="M1634" s="256">
        <v>43437</v>
      </c>
      <c r="N1634" s="254" t="s">
        <v>2021</v>
      </c>
      <c r="O1634" s="308" t="s">
        <v>5205</v>
      </c>
      <c r="Q1634" s="591"/>
      <c r="R1634" s="1406"/>
      <c r="S1634" s="1406"/>
      <c r="U1634" s="572">
        <v>8190</v>
      </c>
      <c r="V1634" s="263" t="s">
        <v>2023</v>
      </c>
      <c r="W1634" s="789">
        <v>43431</v>
      </c>
      <c r="X1634" s="748">
        <v>43434</v>
      </c>
      <c r="Y1634" s="744" t="s">
        <v>5206</v>
      </c>
      <c r="Z1634" s="744" t="s">
        <v>5210</v>
      </c>
      <c r="AA1634" s="748">
        <v>43440</v>
      </c>
      <c r="AB1634" s="744" t="s">
        <v>5196</v>
      </c>
      <c r="AC1634" s="744" t="s">
        <v>5197</v>
      </c>
      <c r="AD1634" s="744"/>
      <c r="AE1634" s="744"/>
      <c r="AF1634" s="744"/>
      <c r="AG1634" s="251" t="s">
        <v>283</v>
      </c>
    </row>
    <row r="1635" spans="1:33" ht="15.75" customHeight="1">
      <c r="A1635" s="743">
        <v>43354</v>
      </c>
      <c r="B1635" s="144" t="s">
        <v>377</v>
      </c>
      <c r="C1635" s="744">
        <v>8633</v>
      </c>
      <c r="D1635" s="250" t="s">
        <v>5194</v>
      </c>
      <c r="E1635" s="595" t="s">
        <v>1115</v>
      </c>
      <c r="F1635" s="251">
        <v>3</v>
      </c>
      <c r="G1635" s="252">
        <v>0</v>
      </c>
      <c r="H1635" s="253">
        <f t="shared" si="140"/>
        <v>0</v>
      </c>
      <c r="I1635" s="254" t="s">
        <v>170</v>
      </c>
      <c r="J1635" s="367" t="s">
        <v>1107</v>
      </c>
      <c r="K1635" s="256">
        <v>43445</v>
      </c>
      <c r="L1635" s="256"/>
      <c r="M1635" s="256">
        <v>43368</v>
      </c>
      <c r="N1635" s="331" t="s">
        <v>1941</v>
      </c>
      <c r="O1635" s="593"/>
      <c r="Q1635" s="591"/>
      <c r="R1635" s="1406"/>
      <c r="S1635" s="1406"/>
      <c r="U1635" s="328"/>
      <c r="V1635" s="308"/>
      <c r="W1635" s="328"/>
      <c r="X1635" s="744"/>
      <c r="Y1635" s="744"/>
      <c r="Z1635" s="744"/>
      <c r="AA1635" s="748"/>
      <c r="AB1635" s="744" t="s">
        <v>5196</v>
      </c>
      <c r="AC1635" s="744" t="s">
        <v>5197</v>
      </c>
      <c r="AD1635" s="744"/>
      <c r="AE1635" s="744"/>
      <c r="AF1635" s="744"/>
      <c r="AG1635" s="251" t="s">
        <v>283</v>
      </c>
    </row>
    <row r="1636" spans="1:33" ht="15.75" customHeight="1">
      <c r="A1636" s="743">
        <v>43354</v>
      </c>
      <c r="B1636" s="144" t="s">
        <v>377</v>
      </c>
      <c r="C1636" s="744">
        <v>8633</v>
      </c>
      <c r="D1636" s="250" t="s">
        <v>5194</v>
      </c>
      <c r="E1636" s="595" t="s">
        <v>5211</v>
      </c>
      <c r="F1636" s="251">
        <v>7</v>
      </c>
      <c r="G1636" s="252">
        <v>253</v>
      </c>
      <c r="H1636" s="253">
        <f t="shared" si="140"/>
        <v>1771</v>
      </c>
      <c r="I1636" s="254" t="s">
        <v>170</v>
      </c>
      <c r="J1636" s="367" t="s">
        <v>1107</v>
      </c>
      <c r="K1636" s="256">
        <v>43445</v>
      </c>
      <c r="L1636" s="256"/>
      <c r="M1636" s="256">
        <v>43417</v>
      </c>
      <c r="N1636" s="331" t="s">
        <v>5199</v>
      </c>
      <c r="O1636" s="308" t="s">
        <v>5200</v>
      </c>
      <c r="Q1636" s="336">
        <v>1212.75</v>
      </c>
      <c r="R1636" s="1420"/>
      <c r="S1636" s="1420"/>
      <c r="U1636" s="853">
        <f t="shared" ref="U1636:U1641" si="141">Q1636*30.845</f>
        <v>37407.27375</v>
      </c>
      <c r="V1636" s="308" t="s">
        <v>5201</v>
      </c>
      <c r="W1636" s="789">
        <v>43409</v>
      </c>
      <c r="X1636" s="748">
        <v>43416</v>
      </c>
      <c r="Y1636" s="744" t="s">
        <v>5204</v>
      </c>
      <c r="Z1636" s="744" t="s">
        <v>5209</v>
      </c>
      <c r="AA1636" s="748">
        <v>43405</v>
      </c>
      <c r="AB1636" s="744" t="s">
        <v>5196</v>
      </c>
      <c r="AC1636" s="744" t="s">
        <v>5197</v>
      </c>
      <c r="AD1636" s="744"/>
      <c r="AE1636" s="744"/>
      <c r="AF1636" s="744"/>
      <c r="AG1636" s="251" t="s">
        <v>283</v>
      </c>
    </row>
    <row r="1637" spans="1:33" ht="15.75" customHeight="1">
      <c r="A1637" s="743">
        <v>43354</v>
      </c>
      <c r="B1637" s="144" t="s">
        <v>377</v>
      </c>
      <c r="C1637" s="744">
        <v>8633</v>
      </c>
      <c r="D1637" s="250" t="s">
        <v>5194</v>
      </c>
      <c r="E1637" s="595" t="s">
        <v>5212</v>
      </c>
      <c r="F1637" s="251">
        <v>5</v>
      </c>
      <c r="G1637" s="252">
        <v>5</v>
      </c>
      <c r="H1637" s="253">
        <f t="shared" si="140"/>
        <v>25</v>
      </c>
      <c r="I1637" s="254" t="s">
        <v>170</v>
      </c>
      <c r="J1637" s="367" t="s">
        <v>1107</v>
      </c>
      <c r="K1637" s="256">
        <v>43445</v>
      </c>
      <c r="L1637" s="256"/>
      <c r="M1637" s="256">
        <v>43417</v>
      </c>
      <c r="N1637" s="331" t="s">
        <v>5199</v>
      </c>
      <c r="O1637" s="308" t="s">
        <v>5200</v>
      </c>
      <c r="Q1637" s="336">
        <v>15.75</v>
      </c>
      <c r="R1637" s="1420"/>
      <c r="S1637" s="1420"/>
      <c r="U1637" s="853">
        <f t="shared" si="141"/>
        <v>485.80874999999997</v>
      </c>
      <c r="V1637" s="308" t="s">
        <v>5201</v>
      </c>
      <c r="W1637" s="789">
        <v>43409</v>
      </c>
      <c r="X1637" s="748">
        <v>43416</v>
      </c>
      <c r="Y1637" s="744" t="s">
        <v>5204</v>
      </c>
      <c r="Z1637" s="744" t="s">
        <v>5209</v>
      </c>
      <c r="AA1637" s="748">
        <v>43405</v>
      </c>
      <c r="AB1637" s="744" t="s">
        <v>5196</v>
      </c>
      <c r="AC1637" s="744" t="s">
        <v>5197</v>
      </c>
      <c r="AD1637" s="744"/>
      <c r="AE1637" s="744"/>
      <c r="AF1637" s="744"/>
      <c r="AG1637" s="251" t="s">
        <v>283</v>
      </c>
    </row>
    <row r="1638" spans="1:33" ht="15.75" customHeight="1">
      <c r="A1638" s="743">
        <v>43354</v>
      </c>
      <c r="B1638" s="144" t="s">
        <v>377</v>
      </c>
      <c r="C1638" s="744">
        <v>8633</v>
      </c>
      <c r="D1638" s="250" t="s">
        <v>5194</v>
      </c>
      <c r="E1638" s="595" t="s">
        <v>5213</v>
      </c>
      <c r="F1638" s="251">
        <v>5</v>
      </c>
      <c r="G1638" s="252">
        <v>4</v>
      </c>
      <c r="H1638" s="253">
        <f t="shared" si="140"/>
        <v>20</v>
      </c>
      <c r="I1638" s="254" t="s">
        <v>170</v>
      </c>
      <c r="J1638" s="367" t="s">
        <v>1107</v>
      </c>
      <c r="K1638" s="256">
        <v>43445</v>
      </c>
      <c r="L1638" s="256"/>
      <c r="M1638" s="256">
        <v>43417</v>
      </c>
      <c r="N1638" s="331" t="s">
        <v>5199</v>
      </c>
      <c r="O1638" s="308" t="s">
        <v>5200</v>
      </c>
      <c r="Q1638" s="336">
        <v>10.5</v>
      </c>
      <c r="R1638" s="1420"/>
      <c r="S1638" s="1420"/>
      <c r="U1638" s="853">
        <f t="shared" si="141"/>
        <v>323.8725</v>
      </c>
      <c r="V1638" s="308" t="s">
        <v>5201</v>
      </c>
      <c r="W1638" s="789">
        <v>43409</v>
      </c>
      <c r="X1638" s="748">
        <v>43416</v>
      </c>
      <c r="Y1638" s="744" t="s">
        <v>5204</v>
      </c>
      <c r="Z1638" s="744" t="s">
        <v>5209</v>
      </c>
      <c r="AA1638" s="748">
        <v>43405</v>
      </c>
      <c r="AB1638" s="744" t="s">
        <v>5196</v>
      </c>
      <c r="AC1638" s="744" t="s">
        <v>5197</v>
      </c>
      <c r="AD1638" s="744"/>
      <c r="AE1638" s="744"/>
      <c r="AF1638" s="744"/>
      <c r="AG1638" s="251" t="s">
        <v>283</v>
      </c>
    </row>
    <row r="1639" spans="1:33" ht="15.75" customHeight="1">
      <c r="A1639" s="743">
        <v>43354</v>
      </c>
      <c r="B1639" s="144" t="s">
        <v>377</v>
      </c>
      <c r="C1639" s="744">
        <v>8633</v>
      </c>
      <c r="D1639" s="250" t="s">
        <v>5214</v>
      </c>
      <c r="E1639" s="595" t="s">
        <v>5215</v>
      </c>
      <c r="F1639" s="251">
        <v>1</v>
      </c>
      <c r="G1639" s="252">
        <v>156</v>
      </c>
      <c r="H1639" s="253">
        <f t="shared" si="140"/>
        <v>156</v>
      </c>
      <c r="I1639" s="254" t="s">
        <v>170</v>
      </c>
      <c r="J1639" s="367" t="s">
        <v>5216</v>
      </c>
      <c r="K1639" s="256">
        <v>43368</v>
      </c>
      <c r="L1639" s="256"/>
      <c r="M1639" s="256">
        <v>43364</v>
      </c>
      <c r="N1639" s="331" t="s">
        <v>5199</v>
      </c>
      <c r="O1639" s="308" t="s">
        <v>5200</v>
      </c>
      <c r="Q1639" s="854">
        <v>130.935</v>
      </c>
      <c r="R1639" s="1421"/>
      <c r="S1639" s="1421"/>
      <c r="U1639" s="853">
        <f t="shared" si="141"/>
        <v>4038.690075</v>
      </c>
      <c r="V1639" s="308" t="s">
        <v>5201</v>
      </c>
      <c r="W1639" s="329" t="s">
        <v>421</v>
      </c>
      <c r="X1639" s="748">
        <v>43369</v>
      </c>
      <c r="Y1639" s="744" t="s">
        <v>5202</v>
      </c>
      <c r="Z1639" s="744" t="s">
        <v>5217</v>
      </c>
      <c r="AA1639" s="748">
        <v>43362</v>
      </c>
      <c r="AB1639" s="745"/>
      <c r="AC1639" s="744" t="s">
        <v>5218</v>
      </c>
      <c r="AD1639" s="744"/>
      <c r="AE1639" s="744"/>
      <c r="AF1639" s="744"/>
      <c r="AG1639" s="251" t="s">
        <v>283</v>
      </c>
    </row>
    <row r="1640" spans="1:33" ht="15.75" customHeight="1">
      <c r="A1640" s="743">
        <v>43354</v>
      </c>
      <c r="B1640" s="144" t="s">
        <v>377</v>
      </c>
      <c r="C1640" s="744">
        <v>8633</v>
      </c>
      <c r="D1640" s="250" t="s">
        <v>5214</v>
      </c>
      <c r="E1640" s="595" t="s">
        <v>5212</v>
      </c>
      <c r="F1640" s="251">
        <v>1</v>
      </c>
      <c r="G1640" s="252">
        <v>5</v>
      </c>
      <c r="H1640" s="253">
        <f t="shared" si="140"/>
        <v>5</v>
      </c>
      <c r="I1640" s="254" t="s">
        <v>170</v>
      </c>
      <c r="J1640" s="367" t="s">
        <v>5216</v>
      </c>
      <c r="K1640" s="256">
        <v>43368</v>
      </c>
      <c r="L1640" s="256"/>
      <c r="M1640" s="256">
        <v>43364</v>
      </c>
      <c r="N1640" s="331" t="s">
        <v>5199</v>
      </c>
      <c r="O1640" s="308" t="s">
        <v>5200</v>
      </c>
      <c r="Q1640" s="266">
        <v>3.15</v>
      </c>
      <c r="R1640" s="1394"/>
      <c r="S1640" s="1394"/>
      <c r="U1640" s="853">
        <f t="shared" si="141"/>
        <v>97.161749999999998</v>
      </c>
      <c r="V1640" s="308" t="s">
        <v>5201</v>
      </c>
      <c r="W1640" s="329" t="s">
        <v>421</v>
      </c>
      <c r="X1640" s="748">
        <v>43369</v>
      </c>
      <c r="Y1640" s="744" t="s">
        <v>5202</v>
      </c>
      <c r="Z1640" s="744" t="s">
        <v>5217</v>
      </c>
      <c r="AA1640" s="748">
        <v>43362</v>
      </c>
      <c r="AB1640" s="745"/>
      <c r="AC1640" s="744" t="s">
        <v>5218</v>
      </c>
      <c r="AD1640" s="744"/>
      <c r="AE1640" s="744"/>
      <c r="AF1640" s="744"/>
      <c r="AG1640" s="251" t="s">
        <v>283</v>
      </c>
    </row>
    <row r="1641" spans="1:33" ht="15.75" customHeight="1">
      <c r="A1641" s="743">
        <v>43354</v>
      </c>
      <c r="B1641" s="144" t="s">
        <v>377</v>
      </c>
      <c r="C1641" s="744">
        <v>8633</v>
      </c>
      <c r="D1641" s="250" t="s">
        <v>5214</v>
      </c>
      <c r="E1641" s="595" t="s">
        <v>5213</v>
      </c>
      <c r="F1641" s="251">
        <v>1</v>
      </c>
      <c r="G1641" s="252">
        <v>4</v>
      </c>
      <c r="H1641" s="253">
        <f t="shared" si="140"/>
        <v>4</v>
      </c>
      <c r="I1641" s="254" t="s">
        <v>170</v>
      </c>
      <c r="J1641" s="367" t="s">
        <v>5216</v>
      </c>
      <c r="K1641" s="256">
        <v>43368</v>
      </c>
      <c r="L1641" s="256"/>
      <c r="M1641" s="256">
        <v>43364</v>
      </c>
      <c r="N1641" s="331" t="s">
        <v>5199</v>
      </c>
      <c r="O1641" s="308" t="s">
        <v>5200</v>
      </c>
      <c r="Q1641" s="266">
        <v>2.1</v>
      </c>
      <c r="R1641" s="1394"/>
      <c r="S1641" s="1394"/>
      <c r="U1641" s="853">
        <f t="shared" si="141"/>
        <v>64.774500000000003</v>
      </c>
      <c r="V1641" s="308" t="s">
        <v>5201</v>
      </c>
      <c r="W1641" s="329" t="s">
        <v>421</v>
      </c>
      <c r="X1641" s="748">
        <v>43369</v>
      </c>
      <c r="Y1641" s="744" t="s">
        <v>5202</v>
      </c>
      <c r="Z1641" s="744" t="s">
        <v>5217</v>
      </c>
      <c r="AA1641" s="748">
        <v>43362</v>
      </c>
      <c r="AB1641" s="745"/>
      <c r="AC1641" s="744" t="s">
        <v>5218</v>
      </c>
      <c r="AD1641" s="744"/>
      <c r="AE1641" s="744"/>
      <c r="AF1641" s="744"/>
      <c r="AG1641" s="251" t="s">
        <v>283</v>
      </c>
    </row>
    <row r="1642" spans="1:33" ht="15.75" customHeight="1">
      <c r="A1642" s="755">
        <v>43355</v>
      </c>
      <c r="B1642" s="318" t="s">
        <v>325</v>
      </c>
      <c r="C1642" s="250">
        <v>2024820</v>
      </c>
      <c r="D1642" s="308" t="s">
        <v>5219</v>
      </c>
      <c r="E1642" s="595" t="s">
        <v>4745</v>
      </c>
      <c r="F1642" s="251">
        <v>5</v>
      </c>
      <c r="G1642" s="252">
        <v>607</v>
      </c>
      <c r="H1642" s="253">
        <f t="shared" si="140"/>
        <v>3035</v>
      </c>
      <c r="I1642" s="254" t="s">
        <v>42</v>
      </c>
      <c r="J1642" s="267" t="s">
        <v>328</v>
      </c>
      <c r="K1642" s="256">
        <v>43377</v>
      </c>
      <c r="L1642" s="256"/>
      <c r="M1642" s="256">
        <v>43376</v>
      </c>
      <c r="N1642" s="331" t="s">
        <v>3614</v>
      </c>
      <c r="O1642" s="308" t="s">
        <v>5220</v>
      </c>
      <c r="Q1642" s="266">
        <v>2966.25</v>
      </c>
      <c r="R1642" s="1394"/>
      <c r="S1642" s="1394"/>
      <c r="U1642" s="328"/>
      <c r="V1642" s="420" t="s">
        <v>5221</v>
      </c>
      <c r="W1642" s="789">
        <v>43434</v>
      </c>
      <c r="X1642" s="750">
        <v>43377</v>
      </c>
      <c r="Y1642" s="250" t="s">
        <v>5222</v>
      </c>
      <c r="Z1642" s="753">
        <v>94969</v>
      </c>
      <c r="AA1642" s="750">
        <v>43434</v>
      </c>
      <c r="AB1642" s="744" t="s">
        <v>5178</v>
      </c>
      <c r="AC1642" s="744" t="s">
        <v>5179</v>
      </c>
      <c r="AD1642" s="744"/>
      <c r="AE1642" s="744"/>
      <c r="AF1642" s="744"/>
      <c r="AG1642" s="251" t="s">
        <v>283</v>
      </c>
    </row>
    <row r="1643" spans="1:33" ht="15.75" customHeight="1">
      <c r="A1643" s="755">
        <v>43355</v>
      </c>
      <c r="B1643" s="318" t="s">
        <v>325</v>
      </c>
      <c r="C1643" s="250">
        <v>2024820</v>
      </c>
      <c r="D1643" s="308" t="s">
        <v>5219</v>
      </c>
      <c r="E1643" s="595" t="s">
        <v>4256</v>
      </c>
      <c r="F1643" s="251">
        <v>5</v>
      </c>
      <c r="G1643" s="252">
        <v>27</v>
      </c>
      <c r="H1643" s="253">
        <f t="shared" si="140"/>
        <v>135</v>
      </c>
      <c r="I1643" s="254" t="s">
        <v>42</v>
      </c>
      <c r="J1643" s="267" t="s">
        <v>328</v>
      </c>
      <c r="K1643" s="256">
        <v>43377</v>
      </c>
      <c r="L1643" s="256"/>
      <c r="M1643" s="256">
        <v>43376</v>
      </c>
      <c r="N1643" s="331" t="s">
        <v>3614</v>
      </c>
      <c r="O1643" s="308" t="s">
        <v>5220</v>
      </c>
      <c r="Q1643" s="266">
        <v>131.25</v>
      </c>
      <c r="R1643" s="1394"/>
      <c r="S1643" s="1394"/>
      <c r="U1643" s="328"/>
      <c r="V1643" s="420" t="s">
        <v>55</v>
      </c>
      <c r="W1643" s="789">
        <v>43434</v>
      </c>
      <c r="X1643" s="750">
        <v>43377</v>
      </c>
      <c r="Y1643" s="250" t="s">
        <v>5222</v>
      </c>
      <c r="Z1643" s="250" t="s">
        <v>5223</v>
      </c>
      <c r="AA1643" s="750">
        <v>43434</v>
      </c>
      <c r="AB1643" s="744" t="s">
        <v>5178</v>
      </c>
      <c r="AC1643" s="744" t="s">
        <v>5179</v>
      </c>
      <c r="AD1643" s="744"/>
      <c r="AE1643" s="744"/>
      <c r="AF1643" s="744"/>
      <c r="AG1643" s="251" t="s">
        <v>283</v>
      </c>
    </row>
    <row r="1644" spans="1:33" ht="15.75" customHeight="1">
      <c r="A1644" s="743">
        <v>43355</v>
      </c>
      <c r="B1644" s="144" t="s">
        <v>76</v>
      </c>
      <c r="C1644" s="744">
        <v>945</v>
      </c>
      <c r="D1644" s="250" t="s">
        <v>5224</v>
      </c>
      <c r="E1644" s="595" t="s">
        <v>5225</v>
      </c>
      <c r="F1644" s="251">
        <v>1</v>
      </c>
      <c r="G1644" s="252">
        <v>2</v>
      </c>
      <c r="H1644" s="253">
        <f t="shared" si="140"/>
        <v>2</v>
      </c>
      <c r="I1644" s="254" t="s">
        <v>42</v>
      </c>
      <c r="J1644" s="331" t="s">
        <v>315</v>
      </c>
      <c r="K1644" s="256">
        <v>43382</v>
      </c>
      <c r="L1644" s="256"/>
      <c r="M1644" s="256">
        <v>43375</v>
      </c>
      <c r="N1644" s="331" t="s">
        <v>2006</v>
      </c>
      <c r="O1644" s="250" t="s">
        <v>4157</v>
      </c>
      <c r="Q1644" s="591"/>
      <c r="R1644" s="1406"/>
      <c r="S1644" s="1406"/>
      <c r="U1644" s="329" t="s">
        <v>576</v>
      </c>
      <c r="V1644" s="328" t="s">
        <v>2146</v>
      </c>
      <c r="W1644" s="328"/>
      <c r="X1644" s="745"/>
      <c r="Y1644" s="745"/>
      <c r="Z1644" s="744" t="s">
        <v>576</v>
      </c>
      <c r="AA1644" s="746"/>
      <c r="AB1644" s="744" t="s">
        <v>5226</v>
      </c>
      <c r="AC1644" s="744">
        <v>250972971</v>
      </c>
      <c r="AD1644" s="744"/>
      <c r="AE1644" s="744"/>
      <c r="AF1644" s="744"/>
      <c r="AG1644" s="251" t="s">
        <v>283</v>
      </c>
    </row>
    <row r="1645" spans="1:33" ht="15.75" customHeight="1">
      <c r="A1645" s="743">
        <v>43355</v>
      </c>
      <c r="B1645" s="144" t="s">
        <v>76</v>
      </c>
      <c r="C1645" s="744">
        <v>945</v>
      </c>
      <c r="D1645" s="250" t="s">
        <v>5224</v>
      </c>
      <c r="E1645" s="595" t="s">
        <v>5227</v>
      </c>
      <c r="F1645" s="251">
        <v>1</v>
      </c>
      <c r="G1645" s="252">
        <v>6</v>
      </c>
      <c r="H1645" s="253">
        <f t="shared" si="140"/>
        <v>6</v>
      </c>
      <c r="I1645" s="254" t="s">
        <v>42</v>
      </c>
      <c r="J1645" s="331" t="s">
        <v>315</v>
      </c>
      <c r="K1645" s="256">
        <v>43382</v>
      </c>
      <c r="L1645" s="256"/>
      <c r="M1645" s="256">
        <v>43375</v>
      </c>
      <c r="N1645" s="331" t="s">
        <v>2006</v>
      </c>
      <c r="O1645" s="250" t="s">
        <v>4157</v>
      </c>
      <c r="Q1645" s="591"/>
      <c r="R1645" s="1406"/>
      <c r="S1645" s="1406"/>
      <c r="U1645" s="329" t="s">
        <v>576</v>
      </c>
      <c r="V1645" s="328" t="s">
        <v>2146</v>
      </c>
      <c r="W1645" s="328"/>
      <c r="X1645" s="745"/>
      <c r="Y1645" s="745"/>
      <c r="Z1645" s="744" t="s">
        <v>576</v>
      </c>
      <c r="AA1645" s="746"/>
      <c r="AB1645" s="744" t="s">
        <v>5226</v>
      </c>
      <c r="AC1645" s="744">
        <v>250972971</v>
      </c>
      <c r="AD1645" s="744"/>
      <c r="AE1645" s="744"/>
      <c r="AF1645" s="744"/>
      <c r="AG1645" s="251" t="s">
        <v>283</v>
      </c>
    </row>
    <row r="1646" spans="1:33" ht="15.75" customHeight="1">
      <c r="A1646" s="743">
        <v>43355</v>
      </c>
      <c r="B1646" s="144" t="s">
        <v>76</v>
      </c>
      <c r="C1646" s="744">
        <v>945</v>
      </c>
      <c r="D1646" s="250" t="s">
        <v>5224</v>
      </c>
      <c r="E1646" s="855" t="s">
        <v>5228</v>
      </c>
      <c r="F1646" s="251">
        <v>1</v>
      </c>
      <c r="G1646" s="252">
        <v>263</v>
      </c>
      <c r="H1646" s="253">
        <f t="shared" si="140"/>
        <v>263</v>
      </c>
      <c r="I1646" s="254" t="s">
        <v>42</v>
      </c>
      <c r="J1646" s="331" t="s">
        <v>315</v>
      </c>
      <c r="K1646" s="256">
        <v>43382</v>
      </c>
      <c r="L1646" s="256"/>
      <c r="M1646" s="256">
        <v>43374</v>
      </c>
      <c r="N1646" s="331" t="s">
        <v>1512</v>
      </c>
      <c r="O1646" s="308" t="s">
        <v>5229</v>
      </c>
      <c r="Q1646" s="266">
        <v>215.25</v>
      </c>
      <c r="R1646" s="1394"/>
      <c r="S1646" s="1394"/>
      <c r="U1646" s="572">
        <v>6631</v>
      </c>
      <c r="V1646" s="744" t="s">
        <v>2109</v>
      </c>
      <c r="W1646" s="747">
        <v>43409</v>
      </c>
      <c r="X1646" s="748">
        <v>43374</v>
      </c>
      <c r="Y1646" s="744" t="s">
        <v>5230</v>
      </c>
      <c r="Z1646" s="749">
        <v>6631</v>
      </c>
      <c r="AA1646" s="748">
        <v>43409</v>
      </c>
      <c r="AB1646" s="744" t="s">
        <v>5226</v>
      </c>
      <c r="AC1646" s="744">
        <v>250972971</v>
      </c>
      <c r="AD1646" s="744"/>
      <c r="AE1646" s="744"/>
      <c r="AF1646" s="744"/>
      <c r="AG1646" s="251" t="s">
        <v>283</v>
      </c>
    </row>
    <row r="1647" spans="1:33" ht="15.75" customHeight="1">
      <c r="A1647" s="743">
        <v>43355</v>
      </c>
      <c r="B1647" s="144" t="s">
        <v>76</v>
      </c>
      <c r="C1647" s="744">
        <v>945</v>
      </c>
      <c r="D1647" s="250" t="s">
        <v>5224</v>
      </c>
      <c r="E1647" s="856" t="s">
        <v>644</v>
      </c>
      <c r="F1647" s="251">
        <v>1</v>
      </c>
      <c r="G1647" s="252">
        <v>0</v>
      </c>
      <c r="H1647" s="253">
        <f t="shared" si="140"/>
        <v>0</v>
      </c>
      <c r="I1647" s="254" t="s">
        <v>42</v>
      </c>
      <c r="J1647" s="331" t="s">
        <v>315</v>
      </c>
      <c r="K1647" s="256">
        <v>43382</v>
      </c>
      <c r="L1647" s="256"/>
      <c r="M1647" s="256">
        <v>43374</v>
      </c>
      <c r="N1647" s="331" t="s">
        <v>1512</v>
      </c>
      <c r="O1647" s="308" t="s">
        <v>5229</v>
      </c>
      <c r="Q1647" s="266">
        <v>0</v>
      </c>
      <c r="R1647" s="1394"/>
      <c r="S1647" s="1394"/>
      <c r="U1647" s="266">
        <v>0</v>
      </c>
      <c r="V1647" s="744" t="s">
        <v>2109</v>
      </c>
      <c r="W1647" s="747">
        <v>43409</v>
      </c>
      <c r="X1647" s="748">
        <v>43374</v>
      </c>
      <c r="Y1647" s="744" t="s">
        <v>5230</v>
      </c>
      <c r="Z1647" s="744" t="s">
        <v>2848</v>
      </c>
      <c r="AA1647" s="748">
        <v>43409</v>
      </c>
      <c r="AB1647" s="744" t="s">
        <v>5226</v>
      </c>
      <c r="AC1647" s="744">
        <v>250972971</v>
      </c>
      <c r="AD1647" s="744"/>
      <c r="AE1647" s="744"/>
      <c r="AF1647" s="744"/>
      <c r="AG1647" s="251" t="s">
        <v>283</v>
      </c>
    </row>
    <row r="1648" spans="1:33" ht="15.75" customHeight="1">
      <c r="A1648" s="743">
        <v>43355</v>
      </c>
      <c r="B1648" s="144" t="s">
        <v>76</v>
      </c>
      <c r="C1648" s="744">
        <v>945</v>
      </c>
      <c r="D1648" s="250" t="s">
        <v>5224</v>
      </c>
      <c r="E1648" s="857" t="s">
        <v>645</v>
      </c>
      <c r="F1648" s="251">
        <v>1</v>
      </c>
      <c r="G1648" s="252">
        <v>0</v>
      </c>
      <c r="H1648" s="253">
        <f t="shared" si="140"/>
        <v>0</v>
      </c>
      <c r="I1648" s="254" t="s">
        <v>42</v>
      </c>
      <c r="J1648" s="331" t="s">
        <v>315</v>
      </c>
      <c r="K1648" s="256">
        <v>43382</v>
      </c>
      <c r="L1648" s="256"/>
      <c r="M1648" s="256">
        <v>43374</v>
      </c>
      <c r="N1648" s="331" t="s">
        <v>1512</v>
      </c>
      <c r="O1648" s="308" t="s">
        <v>5229</v>
      </c>
      <c r="Q1648" s="266">
        <v>0</v>
      </c>
      <c r="R1648" s="1394"/>
      <c r="S1648" s="1394"/>
      <c r="U1648" s="266">
        <v>0</v>
      </c>
      <c r="V1648" s="744" t="s">
        <v>2109</v>
      </c>
      <c r="W1648" s="747">
        <v>43409</v>
      </c>
      <c r="X1648" s="748">
        <v>43374</v>
      </c>
      <c r="Y1648" s="744" t="s">
        <v>5230</v>
      </c>
      <c r="Z1648" s="744" t="s">
        <v>2848</v>
      </c>
      <c r="AA1648" s="748">
        <v>43409</v>
      </c>
      <c r="AB1648" s="744" t="s">
        <v>5226</v>
      </c>
      <c r="AC1648" s="744">
        <v>250972971</v>
      </c>
      <c r="AD1648" s="744"/>
      <c r="AE1648" s="744"/>
      <c r="AF1648" s="744"/>
      <c r="AG1648" s="251" t="s">
        <v>283</v>
      </c>
    </row>
    <row r="1649" spans="1:33" ht="15.75" customHeight="1">
      <c r="A1649" s="743">
        <v>43355</v>
      </c>
      <c r="B1649" s="144" t="s">
        <v>76</v>
      </c>
      <c r="C1649" s="744">
        <v>945</v>
      </c>
      <c r="D1649" s="250" t="s">
        <v>5224</v>
      </c>
      <c r="E1649" s="857" t="s">
        <v>646</v>
      </c>
      <c r="F1649" s="251">
        <v>1</v>
      </c>
      <c r="G1649" s="252">
        <v>0</v>
      </c>
      <c r="H1649" s="253">
        <f t="shared" si="140"/>
        <v>0</v>
      </c>
      <c r="I1649" s="254" t="s">
        <v>42</v>
      </c>
      <c r="J1649" s="331" t="s">
        <v>315</v>
      </c>
      <c r="K1649" s="256">
        <v>43382</v>
      </c>
      <c r="L1649" s="256"/>
      <c r="M1649" s="256">
        <v>43374</v>
      </c>
      <c r="N1649" s="331" t="s">
        <v>1512</v>
      </c>
      <c r="O1649" s="308" t="s">
        <v>5229</v>
      </c>
      <c r="Q1649" s="266">
        <v>0</v>
      </c>
      <c r="R1649" s="1394"/>
      <c r="S1649" s="1394"/>
      <c r="U1649" s="266">
        <v>0</v>
      </c>
      <c r="V1649" s="744" t="s">
        <v>2109</v>
      </c>
      <c r="W1649" s="747">
        <v>43409</v>
      </c>
      <c r="X1649" s="748">
        <v>43374</v>
      </c>
      <c r="Y1649" s="744" t="s">
        <v>5230</v>
      </c>
      <c r="Z1649" s="744" t="s">
        <v>2848</v>
      </c>
      <c r="AA1649" s="748">
        <v>43409</v>
      </c>
      <c r="AB1649" s="744" t="s">
        <v>5226</v>
      </c>
      <c r="AC1649" s="744">
        <v>250972971</v>
      </c>
      <c r="AD1649" s="744"/>
      <c r="AE1649" s="744"/>
      <c r="AF1649" s="744"/>
      <c r="AG1649" s="251" t="s">
        <v>283</v>
      </c>
    </row>
    <row r="1650" spans="1:33" ht="15.75" customHeight="1">
      <c r="A1650" s="743">
        <v>43355</v>
      </c>
      <c r="B1650" s="144" t="s">
        <v>76</v>
      </c>
      <c r="C1650" s="744">
        <v>945</v>
      </c>
      <c r="D1650" s="250" t="s">
        <v>5224</v>
      </c>
      <c r="E1650" s="857" t="s">
        <v>647</v>
      </c>
      <c r="F1650" s="251">
        <v>1</v>
      </c>
      <c r="G1650" s="252">
        <v>0</v>
      </c>
      <c r="H1650" s="253">
        <f t="shared" si="140"/>
        <v>0</v>
      </c>
      <c r="I1650" s="254" t="s">
        <v>42</v>
      </c>
      <c r="J1650" s="331" t="s">
        <v>315</v>
      </c>
      <c r="K1650" s="256">
        <v>43382</v>
      </c>
      <c r="L1650" s="256"/>
      <c r="M1650" s="256">
        <v>43374</v>
      </c>
      <c r="N1650" s="331" t="s">
        <v>1512</v>
      </c>
      <c r="O1650" s="308" t="s">
        <v>5229</v>
      </c>
      <c r="Q1650" s="266">
        <v>0</v>
      </c>
      <c r="R1650" s="1394"/>
      <c r="S1650" s="1394"/>
      <c r="U1650" s="266">
        <v>0</v>
      </c>
      <c r="V1650" s="744" t="s">
        <v>2109</v>
      </c>
      <c r="W1650" s="747">
        <v>43409</v>
      </c>
      <c r="X1650" s="748">
        <v>43374</v>
      </c>
      <c r="Y1650" s="744" t="s">
        <v>5230</v>
      </c>
      <c r="Z1650" s="744" t="s">
        <v>2848</v>
      </c>
      <c r="AA1650" s="748">
        <v>43409</v>
      </c>
      <c r="AB1650" s="744" t="s">
        <v>5226</v>
      </c>
      <c r="AC1650" s="744">
        <v>250972971</v>
      </c>
      <c r="AD1650" s="744"/>
      <c r="AE1650" s="744"/>
      <c r="AF1650" s="744"/>
      <c r="AG1650" s="251" t="s">
        <v>283</v>
      </c>
    </row>
    <row r="1651" spans="1:33" ht="15.75" customHeight="1">
      <c r="A1651" s="743">
        <v>43355</v>
      </c>
      <c r="B1651" s="144" t="s">
        <v>76</v>
      </c>
      <c r="C1651" s="744">
        <v>945</v>
      </c>
      <c r="D1651" s="250" t="s">
        <v>5224</v>
      </c>
      <c r="E1651" s="856" t="s">
        <v>5231</v>
      </c>
      <c r="F1651" s="251">
        <v>1</v>
      </c>
      <c r="G1651" s="252">
        <v>0</v>
      </c>
      <c r="H1651" s="253">
        <f t="shared" si="140"/>
        <v>0</v>
      </c>
      <c r="I1651" s="254" t="s">
        <v>42</v>
      </c>
      <c r="J1651" s="331" t="s">
        <v>315</v>
      </c>
      <c r="K1651" s="256">
        <v>43382</v>
      </c>
      <c r="L1651" s="256"/>
      <c r="M1651" s="256">
        <v>43375</v>
      </c>
      <c r="N1651" s="331" t="s">
        <v>2006</v>
      </c>
      <c r="O1651" s="250" t="s">
        <v>4157</v>
      </c>
      <c r="Q1651" s="591"/>
      <c r="R1651" s="1406"/>
      <c r="S1651" s="1406"/>
      <c r="U1651" s="329" t="s">
        <v>576</v>
      </c>
      <c r="V1651" s="328" t="s">
        <v>2146</v>
      </c>
      <c r="W1651" s="328"/>
      <c r="X1651" s="745"/>
      <c r="Y1651" s="745"/>
      <c r="Z1651" s="744" t="s">
        <v>576</v>
      </c>
      <c r="AA1651" s="746"/>
      <c r="AB1651" s="744" t="s">
        <v>5226</v>
      </c>
      <c r="AC1651" s="744">
        <v>250972971</v>
      </c>
      <c r="AD1651" s="744"/>
      <c r="AE1651" s="744"/>
      <c r="AF1651" s="744"/>
      <c r="AG1651" s="251" t="s">
        <v>283</v>
      </c>
    </row>
    <row r="1652" spans="1:33" ht="15.75" customHeight="1">
      <c r="A1652" s="743">
        <v>43356</v>
      </c>
      <c r="B1652" s="263" t="s">
        <v>100</v>
      </c>
      <c r="C1652" s="858" t="s">
        <v>5232</v>
      </c>
      <c r="D1652" s="250" t="s">
        <v>5233</v>
      </c>
      <c r="E1652" s="420" t="s">
        <v>5234</v>
      </c>
      <c r="F1652" s="438">
        <v>6</v>
      </c>
      <c r="G1652" s="252">
        <v>339</v>
      </c>
      <c r="H1652" s="266">
        <f t="shared" si="140"/>
        <v>2034</v>
      </c>
      <c r="I1652" s="254" t="s">
        <v>302</v>
      </c>
      <c r="J1652" s="367" t="s">
        <v>3408</v>
      </c>
      <c r="K1652" s="256">
        <v>43371</v>
      </c>
      <c r="L1652" s="256"/>
      <c r="M1652" s="256">
        <v>43369</v>
      </c>
      <c r="N1652" s="401" t="s">
        <v>1995</v>
      </c>
      <c r="O1652" s="250" t="s">
        <v>5235</v>
      </c>
      <c r="Q1652" s="591"/>
      <c r="R1652" s="1406"/>
      <c r="S1652" s="1406"/>
      <c r="U1652" s="572">
        <v>78910</v>
      </c>
      <c r="V1652" s="571" t="s">
        <v>1997</v>
      </c>
      <c r="W1652" s="747">
        <v>43409</v>
      </c>
      <c r="X1652" s="748">
        <v>43368</v>
      </c>
      <c r="Y1652" s="744" t="s">
        <v>5236</v>
      </c>
      <c r="Z1652" s="749">
        <v>80979</v>
      </c>
      <c r="AA1652" s="750">
        <v>43410</v>
      </c>
      <c r="AB1652" s="744" t="s">
        <v>5043</v>
      </c>
      <c r="AC1652" s="744" t="s">
        <v>5044</v>
      </c>
      <c r="AD1652" s="744"/>
      <c r="AE1652" s="744"/>
      <c r="AF1652" s="744"/>
      <c r="AG1652" s="251" t="s">
        <v>283</v>
      </c>
    </row>
    <row r="1653" spans="1:33" ht="15.75" customHeight="1">
      <c r="A1653" s="743">
        <v>43356</v>
      </c>
      <c r="B1653" s="263" t="s">
        <v>100</v>
      </c>
      <c r="C1653" s="858" t="s">
        <v>5232</v>
      </c>
      <c r="D1653" s="250" t="s">
        <v>5233</v>
      </c>
      <c r="E1653" s="420" t="s">
        <v>4972</v>
      </c>
      <c r="F1653" s="438">
        <v>6</v>
      </c>
      <c r="G1653" s="252">
        <v>56</v>
      </c>
      <c r="H1653" s="266">
        <f t="shared" si="140"/>
        <v>336</v>
      </c>
      <c r="I1653" s="254" t="s">
        <v>302</v>
      </c>
      <c r="J1653" s="367" t="s">
        <v>3408</v>
      </c>
      <c r="K1653" s="256">
        <v>43371</v>
      </c>
      <c r="L1653" s="256"/>
      <c r="M1653" s="256">
        <v>43362</v>
      </c>
      <c r="N1653" s="401" t="s">
        <v>4682</v>
      </c>
      <c r="O1653" s="250" t="s">
        <v>5237</v>
      </c>
      <c r="Q1653" s="266">
        <v>326.76</v>
      </c>
      <c r="R1653" s="1394"/>
      <c r="S1653" s="1394"/>
      <c r="U1653" s="572">
        <v>10046</v>
      </c>
      <c r="V1653" s="308" t="s">
        <v>2126</v>
      </c>
      <c r="W1653" s="328"/>
      <c r="X1653" s="748">
        <v>43363</v>
      </c>
      <c r="Y1653" s="744" t="s">
        <v>5238</v>
      </c>
      <c r="Z1653" s="749">
        <v>10046</v>
      </c>
      <c r="AA1653" s="748">
        <v>43361</v>
      </c>
      <c r="AB1653" s="744" t="s">
        <v>5043</v>
      </c>
      <c r="AC1653" s="744" t="s">
        <v>5044</v>
      </c>
      <c r="AD1653" s="744"/>
      <c r="AE1653" s="744"/>
      <c r="AF1653" s="744"/>
      <c r="AG1653" s="251" t="s">
        <v>283</v>
      </c>
    </row>
    <row r="1654" spans="1:33" ht="15.75" customHeight="1">
      <c r="A1654" s="743">
        <v>43356</v>
      </c>
      <c r="B1654" s="263" t="s">
        <v>100</v>
      </c>
      <c r="C1654" s="859" t="s">
        <v>5232</v>
      </c>
      <c r="D1654" s="366" t="s">
        <v>5233</v>
      </c>
      <c r="E1654" s="860" t="s">
        <v>291</v>
      </c>
      <c r="F1654" s="438">
        <v>6</v>
      </c>
      <c r="G1654" s="365">
        <v>9</v>
      </c>
      <c r="H1654" s="253">
        <f t="shared" si="140"/>
        <v>54</v>
      </c>
      <c r="I1654" s="254" t="s">
        <v>302</v>
      </c>
      <c r="J1654" s="319" t="s">
        <v>3408</v>
      </c>
      <c r="K1654" s="256">
        <v>43371</v>
      </c>
      <c r="L1654" s="256"/>
      <c r="M1654" s="256">
        <v>43369</v>
      </c>
      <c r="N1654" s="331" t="s">
        <v>1995</v>
      </c>
      <c r="O1654" s="308" t="s">
        <v>5235</v>
      </c>
      <c r="Q1654" s="591"/>
      <c r="R1654" s="1406"/>
      <c r="S1654" s="1406"/>
      <c r="U1654" s="572">
        <v>2070</v>
      </c>
      <c r="V1654" s="571" t="s">
        <v>1997</v>
      </c>
      <c r="W1654" s="747">
        <v>43409</v>
      </c>
      <c r="X1654" s="748">
        <v>43368</v>
      </c>
      <c r="Y1654" s="744" t="s">
        <v>5236</v>
      </c>
      <c r="Z1654" s="744" t="s">
        <v>5239</v>
      </c>
      <c r="AA1654" s="750">
        <v>43410</v>
      </c>
      <c r="AB1654" s="744" t="s">
        <v>5043</v>
      </c>
      <c r="AC1654" s="744" t="s">
        <v>5044</v>
      </c>
      <c r="AD1654" s="744"/>
      <c r="AE1654" s="744"/>
      <c r="AF1654" s="744"/>
      <c r="AG1654" s="251" t="s">
        <v>283</v>
      </c>
    </row>
    <row r="1655" spans="1:33" ht="15.75" customHeight="1">
      <c r="A1655" s="743">
        <v>43357</v>
      </c>
      <c r="B1655" s="590" t="s">
        <v>405</v>
      </c>
      <c r="C1655" s="744">
        <v>7000140867</v>
      </c>
      <c r="D1655" s="250" t="s">
        <v>5240</v>
      </c>
      <c r="E1655" s="250" t="s">
        <v>5241</v>
      </c>
      <c r="F1655" s="251">
        <v>100</v>
      </c>
      <c r="G1655" s="252">
        <v>140</v>
      </c>
      <c r="H1655" s="253">
        <f t="shared" si="140"/>
        <v>14000</v>
      </c>
      <c r="I1655" s="254" t="s">
        <v>42</v>
      </c>
      <c r="J1655" s="331" t="s">
        <v>3840</v>
      </c>
      <c r="K1655" s="256">
        <v>43384</v>
      </c>
      <c r="L1655" s="256"/>
      <c r="M1655" s="256">
        <v>43381</v>
      </c>
      <c r="N1655" s="331" t="s">
        <v>2091</v>
      </c>
      <c r="O1655" s="308" t="s">
        <v>5242</v>
      </c>
      <c r="Q1655" s="572">
        <v>13965</v>
      </c>
      <c r="R1655" s="1413"/>
      <c r="S1655" s="1413"/>
      <c r="U1655" s="328"/>
      <c r="V1655" s="338" t="s">
        <v>46</v>
      </c>
      <c r="W1655" s="747">
        <v>43408</v>
      </c>
      <c r="X1655" s="748">
        <v>43378</v>
      </c>
      <c r="Y1655" s="744" t="s">
        <v>5243</v>
      </c>
      <c r="Z1655" s="749">
        <v>430011</v>
      </c>
      <c r="AA1655" s="750">
        <v>43419</v>
      </c>
      <c r="AB1655" s="744" t="s">
        <v>5244</v>
      </c>
      <c r="AC1655" s="744">
        <v>6748221863</v>
      </c>
      <c r="AD1655" s="744"/>
      <c r="AE1655" s="744"/>
      <c r="AF1655" s="744"/>
      <c r="AG1655" s="251" t="s">
        <v>283</v>
      </c>
    </row>
    <row r="1656" spans="1:33" ht="15.75" customHeight="1">
      <c r="A1656" s="743">
        <v>43357</v>
      </c>
      <c r="B1656" s="590" t="s">
        <v>405</v>
      </c>
      <c r="C1656" s="744">
        <v>7000140867</v>
      </c>
      <c r="D1656" s="250" t="s">
        <v>5240</v>
      </c>
      <c r="E1656" s="250" t="s">
        <v>5245</v>
      </c>
      <c r="F1656" s="251">
        <v>1</v>
      </c>
      <c r="G1656" s="252">
        <v>50</v>
      </c>
      <c r="H1656" s="253">
        <f t="shared" si="140"/>
        <v>50</v>
      </c>
      <c r="I1656" s="254" t="s">
        <v>42</v>
      </c>
      <c r="J1656" s="331" t="s">
        <v>3840</v>
      </c>
      <c r="K1656" s="256">
        <v>43375</v>
      </c>
      <c r="L1656" s="256"/>
      <c r="M1656" s="256">
        <v>43375</v>
      </c>
      <c r="N1656" s="331" t="s">
        <v>3432</v>
      </c>
      <c r="O1656" s="308" t="s">
        <v>5246</v>
      </c>
      <c r="Q1656" s="589"/>
      <c r="R1656" s="1404"/>
      <c r="S1656" s="1404"/>
      <c r="U1656" s="572">
        <v>1450</v>
      </c>
      <c r="V1656" s="308" t="s">
        <v>2045</v>
      </c>
      <c r="W1656" s="747">
        <v>43465</v>
      </c>
      <c r="X1656" s="750">
        <v>43374</v>
      </c>
      <c r="Y1656" s="744" t="s">
        <v>5247</v>
      </c>
      <c r="Z1656" s="749">
        <v>1450</v>
      </c>
      <c r="AA1656" s="748">
        <v>43467</v>
      </c>
      <c r="AB1656" s="744" t="s">
        <v>5248</v>
      </c>
      <c r="AC1656" s="744">
        <v>3218406472</v>
      </c>
      <c r="AD1656" s="744"/>
      <c r="AE1656" s="744"/>
      <c r="AF1656" s="744"/>
      <c r="AG1656" s="251" t="s">
        <v>283</v>
      </c>
    </row>
    <row r="1657" spans="1:33" ht="15.75" customHeight="1">
      <c r="A1657" s="743">
        <v>43357</v>
      </c>
      <c r="B1657" s="590" t="s">
        <v>405</v>
      </c>
      <c r="C1657" s="744">
        <v>7000140867</v>
      </c>
      <c r="D1657" s="250" t="s">
        <v>5240</v>
      </c>
      <c r="E1657" s="250" t="s">
        <v>5249</v>
      </c>
      <c r="F1657" s="251">
        <v>1</v>
      </c>
      <c r="G1657" s="252">
        <v>1776</v>
      </c>
      <c r="H1657" s="253">
        <f t="shared" si="140"/>
        <v>1776</v>
      </c>
      <c r="I1657" s="254" t="s">
        <v>42</v>
      </c>
      <c r="J1657" s="331" t="s">
        <v>3840</v>
      </c>
      <c r="K1657" s="256">
        <v>43363</v>
      </c>
      <c r="L1657" s="256"/>
      <c r="M1657" s="256">
        <v>43362</v>
      </c>
      <c r="N1657" s="331" t="s">
        <v>3432</v>
      </c>
      <c r="O1657" s="308" t="s">
        <v>5246</v>
      </c>
      <c r="Q1657" s="589"/>
      <c r="R1657" s="1404"/>
      <c r="S1657" s="1404"/>
      <c r="U1657" s="572">
        <v>50338</v>
      </c>
      <c r="V1657" s="308" t="s">
        <v>2045</v>
      </c>
      <c r="W1657" s="747">
        <v>43434</v>
      </c>
      <c r="X1657" s="748">
        <v>43360</v>
      </c>
      <c r="Y1657" s="744" t="s">
        <v>5250</v>
      </c>
      <c r="Z1657" s="749">
        <v>50338</v>
      </c>
      <c r="AA1657" s="748">
        <v>43419</v>
      </c>
      <c r="AB1657" s="744" t="s">
        <v>5171</v>
      </c>
      <c r="AC1657" s="744">
        <v>6184509833</v>
      </c>
      <c r="AD1657" s="744"/>
      <c r="AE1657" s="744"/>
      <c r="AF1657" s="744"/>
      <c r="AG1657" s="251" t="s">
        <v>283</v>
      </c>
    </row>
    <row r="1658" spans="1:33" ht="15.75" customHeight="1">
      <c r="A1658" s="743">
        <v>43357</v>
      </c>
      <c r="B1658" s="861" t="s">
        <v>1717</v>
      </c>
      <c r="C1658" s="744" t="s">
        <v>5251</v>
      </c>
      <c r="D1658" s="250" t="s">
        <v>5252</v>
      </c>
      <c r="E1658" s="595" t="s">
        <v>1720</v>
      </c>
      <c r="F1658" s="251">
        <v>20</v>
      </c>
      <c r="G1658" s="252">
        <f>75+29+5</f>
        <v>109</v>
      </c>
      <c r="H1658" s="253">
        <f t="shared" si="140"/>
        <v>2180</v>
      </c>
      <c r="I1658" s="254" t="s">
        <v>170</v>
      </c>
      <c r="J1658" s="367" t="s">
        <v>1721</v>
      </c>
      <c r="K1658" s="256">
        <v>43389</v>
      </c>
      <c r="L1658" s="256"/>
      <c r="M1658" s="256">
        <v>43378</v>
      </c>
      <c r="N1658" s="331" t="s">
        <v>3130</v>
      </c>
      <c r="O1658" s="250" t="s">
        <v>5253</v>
      </c>
      <c r="Q1658" s="572">
        <v>1512</v>
      </c>
      <c r="R1658" s="1413"/>
      <c r="S1658" s="1413"/>
      <c r="U1658" s="328"/>
      <c r="V1658" s="338" t="s">
        <v>46</v>
      </c>
      <c r="W1658" s="747">
        <v>43407</v>
      </c>
      <c r="X1658" s="750">
        <v>43377</v>
      </c>
      <c r="Y1658" s="250" t="s">
        <v>5254</v>
      </c>
      <c r="Z1658" s="753">
        <v>46373</v>
      </c>
      <c r="AA1658" s="750">
        <v>43419</v>
      </c>
      <c r="AB1658" s="744" t="s">
        <v>5255</v>
      </c>
      <c r="AC1658" s="744">
        <v>946623215</v>
      </c>
      <c r="AD1658" s="744"/>
      <c r="AE1658" s="744"/>
      <c r="AF1658" s="744"/>
      <c r="AG1658" s="251" t="s">
        <v>283</v>
      </c>
    </row>
    <row r="1659" spans="1:33" ht="15.75" customHeight="1">
      <c r="A1659" s="743">
        <v>43357</v>
      </c>
      <c r="B1659" s="861" t="s">
        <v>1717</v>
      </c>
      <c r="C1659" s="744" t="s">
        <v>5251</v>
      </c>
      <c r="D1659" s="250" t="s">
        <v>5252</v>
      </c>
      <c r="E1659" s="571" t="s">
        <v>1722</v>
      </c>
      <c r="F1659" s="251">
        <v>20</v>
      </c>
      <c r="G1659" s="252">
        <v>0</v>
      </c>
      <c r="H1659" s="253">
        <f t="shared" si="140"/>
        <v>0</v>
      </c>
      <c r="I1659" s="254" t="s">
        <v>170</v>
      </c>
      <c r="J1659" s="367" t="s">
        <v>1721</v>
      </c>
      <c r="K1659" s="256">
        <v>43389</v>
      </c>
      <c r="L1659" s="256"/>
      <c r="M1659" s="256">
        <v>43377</v>
      </c>
      <c r="N1659" s="331" t="s">
        <v>2170</v>
      </c>
      <c r="O1659" s="250" t="s">
        <v>5256</v>
      </c>
      <c r="Q1659" s="591"/>
      <c r="R1659" s="1406"/>
      <c r="S1659" s="1406"/>
      <c r="U1659" s="572">
        <v>14700</v>
      </c>
      <c r="V1659" s="597" t="s">
        <v>2172</v>
      </c>
      <c r="W1659" s="747">
        <v>43409</v>
      </c>
      <c r="X1659" s="748">
        <v>43375</v>
      </c>
      <c r="Y1659" s="744" t="s">
        <v>5257</v>
      </c>
      <c r="Z1659" s="749">
        <v>21630</v>
      </c>
      <c r="AA1659" s="748">
        <v>43410</v>
      </c>
      <c r="AB1659" s="744" t="s">
        <v>5255</v>
      </c>
      <c r="AC1659" s="744">
        <v>946623215</v>
      </c>
      <c r="AD1659" s="744"/>
      <c r="AE1659" s="744"/>
      <c r="AF1659" s="744"/>
      <c r="AG1659" s="251" t="s">
        <v>283</v>
      </c>
    </row>
    <row r="1660" spans="1:33" ht="15.75" customHeight="1">
      <c r="A1660" s="743">
        <v>43357</v>
      </c>
      <c r="B1660" s="861" t="s">
        <v>1717</v>
      </c>
      <c r="C1660" s="744" t="s">
        <v>5251</v>
      </c>
      <c r="D1660" s="250" t="s">
        <v>5252</v>
      </c>
      <c r="E1660" s="862" t="s">
        <v>1723</v>
      </c>
      <c r="F1660" s="251">
        <v>20</v>
      </c>
      <c r="G1660" s="252">
        <v>0</v>
      </c>
      <c r="H1660" s="253">
        <f t="shared" si="140"/>
        <v>0</v>
      </c>
      <c r="I1660" s="254" t="s">
        <v>170</v>
      </c>
      <c r="J1660" s="367" t="s">
        <v>1721</v>
      </c>
      <c r="K1660" s="256">
        <v>43389</v>
      </c>
      <c r="L1660" s="256"/>
      <c r="M1660" s="256">
        <v>43389</v>
      </c>
      <c r="N1660" s="331" t="s">
        <v>1512</v>
      </c>
      <c r="O1660" s="250" t="s">
        <v>5258</v>
      </c>
      <c r="Q1660" s="591"/>
      <c r="R1660" s="1406"/>
      <c r="S1660" s="1406"/>
      <c r="U1660" s="572">
        <v>2562</v>
      </c>
      <c r="V1660" s="328" t="s">
        <v>2109</v>
      </c>
      <c r="W1660" s="747">
        <v>43409</v>
      </c>
      <c r="X1660" s="750">
        <v>43389</v>
      </c>
      <c r="Y1660" s="250" t="s">
        <v>5259</v>
      </c>
      <c r="Z1660" s="753">
        <v>15032</v>
      </c>
      <c r="AA1660" s="748">
        <v>43410</v>
      </c>
      <c r="AB1660" s="744" t="s">
        <v>5255</v>
      </c>
      <c r="AC1660" s="744">
        <v>946623215</v>
      </c>
      <c r="AD1660" s="744"/>
      <c r="AE1660" s="744"/>
      <c r="AF1660" s="744"/>
      <c r="AG1660" s="251" t="s">
        <v>283</v>
      </c>
    </row>
    <row r="1661" spans="1:33" ht="15.75" customHeight="1">
      <c r="A1661" s="743">
        <v>43357</v>
      </c>
      <c r="B1661" s="861" t="s">
        <v>1717</v>
      </c>
      <c r="C1661" s="744" t="s">
        <v>5251</v>
      </c>
      <c r="D1661" s="250" t="s">
        <v>5252</v>
      </c>
      <c r="E1661" s="595" t="s">
        <v>5260</v>
      </c>
      <c r="F1661" s="251">
        <v>20</v>
      </c>
      <c r="G1661" s="252">
        <v>13</v>
      </c>
      <c r="H1661" s="253">
        <f t="shared" si="140"/>
        <v>260</v>
      </c>
      <c r="I1661" s="254" t="s">
        <v>170</v>
      </c>
      <c r="J1661" s="367" t="s">
        <v>1721</v>
      </c>
      <c r="K1661" s="256">
        <v>43389</v>
      </c>
      <c r="L1661" s="256"/>
      <c r="M1661" s="256">
        <v>43377</v>
      </c>
      <c r="N1661" s="331" t="s">
        <v>2170</v>
      </c>
      <c r="O1661" s="250" t="s">
        <v>5256</v>
      </c>
      <c r="Q1661" s="591"/>
      <c r="R1661" s="1406"/>
      <c r="S1661" s="1406"/>
      <c r="U1661" s="572">
        <v>6930</v>
      </c>
      <c r="V1661" s="597" t="s">
        <v>2172</v>
      </c>
      <c r="W1661" s="747">
        <v>43409</v>
      </c>
      <c r="X1661" s="748">
        <v>43375</v>
      </c>
      <c r="Y1661" s="744" t="s">
        <v>5257</v>
      </c>
      <c r="Z1661" s="744" t="s">
        <v>5261</v>
      </c>
      <c r="AA1661" s="748">
        <v>43410</v>
      </c>
      <c r="AB1661" s="744" t="s">
        <v>5255</v>
      </c>
      <c r="AC1661" s="744">
        <v>946623215</v>
      </c>
      <c r="AD1661" s="744"/>
      <c r="AE1661" s="744"/>
      <c r="AF1661" s="744"/>
      <c r="AG1661" s="251" t="s">
        <v>283</v>
      </c>
    </row>
    <row r="1662" spans="1:33" ht="15.75" customHeight="1">
      <c r="A1662" s="755">
        <v>43360</v>
      </c>
      <c r="B1662" s="144" t="s">
        <v>100</v>
      </c>
      <c r="C1662" s="250" t="s">
        <v>5262</v>
      </c>
      <c r="D1662" s="263" t="s">
        <v>5263</v>
      </c>
      <c r="E1662" s="595" t="s">
        <v>5264</v>
      </c>
      <c r="F1662" s="251">
        <v>4</v>
      </c>
      <c r="G1662" s="252">
        <v>570</v>
      </c>
      <c r="H1662" s="253">
        <f t="shared" si="140"/>
        <v>2280</v>
      </c>
      <c r="I1662" s="254" t="s">
        <v>302</v>
      </c>
      <c r="J1662" s="863" t="s">
        <v>5265</v>
      </c>
      <c r="K1662" s="256">
        <v>43413</v>
      </c>
      <c r="L1662" s="256"/>
      <c r="M1662" s="586"/>
      <c r="N1662" s="264" t="s">
        <v>4563</v>
      </c>
      <c r="O1662" s="308" t="s">
        <v>5266</v>
      </c>
      <c r="Q1662" s="591"/>
      <c r="R1662" s="1406"/>
      <c r="S1662" s="1406"/>
      <c r="U1662" s="328"/>
      <c r="V1662" s="308"/>
      <c r="W1662" s="328"/>
      <c r="X1662" s="745"/>
      <c r="Y1662" s="745"/>
      <c r="Z1662" s="745"/>
      <c r="AA1662" s="746"/>
      <c r="AB1662" s="250" t="s">
        <v>5267</v>
      </c>
      <c r="AC1662" s="744">
        <v>8279290143</v>
      </c>
      <c r="AD1662" s="744"/>
      <c r="AE1662" s="744"/>
      <c r="AF1662" s="744"/>
      <c r="AG1662" s="251" t="s">
        <v>283</v>
      </c>
    </row>
    <row r="1663" spans="1:33" ht="15.75" customHeight="1">
      <c r="A1663" s="755">
        <v>43360</v>
      </c>
      <c r="B1663" s="144" t="s">
        <v>100</v>
      </c>
      <c r="C1663" s="250" t="s">
        <v>5262</v>
      </c>
      <c r="D1663" s="263" t="s">
        <v>5263</v>
      </c>
      <c r="E1663" s="595" t="s">
        <v>4721</v>
      </c>
      <c r="F1663" s="251">
        <v>4</v>
      </c>
      <c r="G1663" s="252">
        <v>42</v>
      </c>
      <c r="H1663" s="253">
        <f t="shared" si="140"/>
        <v>168</v>
      </c>
      <c r="I1663" s="254" t="s">
        <v>302</v>
      </c>
      <c r="J1663" s="863" t="s">
        <v>5265</v>
      </c>
      <c r="K1663" s="256">
        <v>43413</v>
      </c>
      <c r="L1663" s="256"/>
      <c r="M1663" s="586"/>
      <c r="N1663" s="264" t="s">
        <v>4563</v>
      </c>
      <c r="O1663" s="308" t="s">
        <v>5266</v>
      </c>
      <c r="Q1663" s="591"/>
      <c r="R1663" s="1406"/>
      <c r="S1663" s="1406"/>
      <c r="U1663" s="328"/>
      <c r="V1663" s="308"/>
      <c r="W1663" s="328"/>
      <c r="X1663" s="745"/>
      <c r="Y1663" s="745"/>
      <c r="Z1663" s="745"/>
      <c r="AA1663" s="746"/>
      <c r="AB1663" s="250" t="s">
        <v>5267</v>
      </c>
      <c r="AC1663" s="744">
        <v>8279290143</v>
      </c>
      <c r="AD1663" s="744"/>
      <c r="AE1663" s="744"/>
      <c r="AF1663" s="744"/>
      <c r="AG1663" s="251" t="s">
        <v>283</v>
      </c>
    </row>
    <row r="1664" spans="1:33" ht="15.75" customHeight="1">
      <c r="A1664" s="755">
        <v>43360</v>
      </c>
      <c r="B1664" s="144" t="s">
        <v>100</v>
      </c>
      <c r="C1664" s="250" t="s">
        <v>5262</v>
      </c>
      <c r="D1664" s="263" t="s">
        <v>5263</v>
      </c>
      <c r="E1664" s="595" t="s">
        <v>4722</v>
      </c>
      <c r="F1664" s="251">
        <v>4</v>
      </c>
      <c r="G1664" s="252">
        <v>140</v>
      </c>
      <c r="H1664" s="253">
        <f t="shared" si="140"/>
        <v>560</v>
      </c>
      <c r="I1664" s="254" t="s">
        <v>302</v>
      </c>
      <c r="J1664" s="863" t="s">
        <v>5265</v>
      </c>
      <c r="K1664" s="256">
        <v>43413</v>
      </c>
      <c r="L1664" s="256"/>
      <c r="M1664" s="586"/>
      <c r="N1664" s="264" t="s">
        <v>4563</v>
      </c>
      <c r="O1664" s="308" t="s">
        <v>5266</v>
      </c>
      <c r="Q1664" s="591"/>
      <c r="R1664" s="1406"/>
      <c r="S1664" s="1406"/>
      <c r="U1664" s="328"/>
      <c r="V1664" s="308"/>
      <c r="W1664" s="328"/>
      <c r="X1664" s="745"/>
      <c r="Y1664" s="745"/>
      <c r="Z1664" s="745"/>
      <c r="AA1664" s="746"/>
      <c r="AB1664" s="250" t="s">
        <v>5267</v>
      </c>
      <c r="AC1664" s="744">
        <v>8279290143</v>
      </c>
      <c r="AD1664" s="744"/>
      <c r="AE1664" s="744"/>
      <c r="AF1664" s="744"/>
      <c r="AG1664" s="251" t="s">
        <v>283</v>
      </c>
    </row>
    <row r="1665" spans="1:33" ht="15.75" customHeight="1">
      <c r="A1665" s="755">
        <v>43360</v>
      </c>
      <c r="B1665" s="144" t="s">
        <v>100</v>
      </c>
      <c r="C1665" s="250" t="s">
        <v>5262</v>
      </c>
      <c r="D1665" s="263" t="s">
        <v>5263</v>
      </c>
      <c r="E1665" s="595" t="s">
        <v>441</v>
      </c>
      <c r="F1665" s="251">
        <v>4</v>
      </c>
      <c r="G1665" s="252">
        <v>38</v>
      </c>
      <c r="H1665" s="253">
        <f t="shared" si="140"/>
        <v>152</v>
      </c>
      <c r="I1665" s="254" t="s">
        <v>302</v>
      </c>
      <c r="J1665" s="863" t="s">
        <v>5265</v>
      </c>
      <c r="K1665" s="256">
        <v>43413</v>
      </c>
      <c r="L1665" s="256"/>
      <c r="M1665" s="586"/>
      <c r="N1665" s="264" t="s">
        <v>4563</v>
      </c>
      <c r="O1665" s="308" t="s">
        <v>5266</v>
      </c>
      <c r="Q1665" s="591"/>
      <c r="R1665" s="1406"/>
      <c r="S1665" s="1406"/>
      <c r="U1665" s="328"/>
      <c r="V1665" s="308"/>
      <c r="W1665" s="328"/>
      <c r="X1665" s="745"/>
      <c r="Y1665" s="745"/>
      <c r="Z1665" s="745"/>
      <c r="AA1665" s="746"/>
      <c r="AB1665" s="250" t="s">
        <v>5267</v>
      </c>
      <c r="AC1665" s="744">
        <v>8279290143</v>
      </c>
      <c r="AD1665" s="744"/>
      <c r="AE1665" s="744"/>
      <c r="AF1665" s="744"/>
      <c r="AG1665" s="251" t="s">
        <v>283</v>
      </c>
    </row>
    <row r="1666" spans="1:33" ht="15.75" customHeight="1">
      <c r="A1666" s="755">
        <v>43360</v>
      </c>
      <c r="B1666" s="144" t="s">
        <v>100</v>
      </c>
      <c r="C1666" s="250" t="s">
        <v>5262</v>
      </c>
      <c r="D1666" s="263" t="s">
        <v>5263</v>
      </c>
      <c r="E1666" s="595" t="s">
        <v>544</v>
      </c>
      <c r="F1666" s="251">
        <v>4</v>
      </c>
      <c r="G1666" s="252">
        <v>47</v>
      </c>
      <c r="H1666" s="253">
        <f t="shared" si="140"/>
        <v>188</v>
      </c>
      <c r="I1666" s="254" t="s">
        <v>302</v>
      </c>
      <c r="J1666" s="863" t="s">
        <v>5265</v>
      </c>
      <c r="K1666" s="256">
        <v>43413</v>
      </c>
      <c r="L1666" s="256"/>
      <c r="M1666" s="586"/>
      <c r="N1666" s="264" t="s">
        <v>4563</v>
      </c>
      <c r="O1666" s="308" t="s">
        <v>5266</v>
      </c>
      <c r="Q1666" s="591"/>
      <c r="R1666" s="1406"/>
      <c r="S1666" s="1406"/>
      <c r="U1666" s="328"/>
      <c r="V1666" s="308"/>
      <c r="W1666" s="328"/>
      <c r="X1666" s="745"/>
      <c r="Y1666" s="745"/>
      <c r="Z1666" s="745"/>
      <c r="AA1666" s="746"/>
      <c r="AB1666" s="250" t="s">
        <v>5267</v>
      </c>
      <c r="AC1666" s="744">
        <v>8279290143</v>
      </c>
      <c r="AD1666" s="744"/>
      <c r="AE1666" s="744"/>
      <c r="AF1666" s="744"/>
      <c r="AG1666" s="251" t="s">
        <v>283</v>
      </c>
    </row>
    <row r="1667" spans="1:33" ht="15.75" customHeight="1">
      <c r="A1667" s="755">
        <v>43360</v>
      </c>
      <c r="B1667" s="144" t="s">
        <v>100</v>
      </c>
      <c r="C1667" s="250" t="s">
        <v>5262</v>
      </c>
      <c r="D1667" s="263" t="s">
        <v>5263</v>
      </c>
      <c r="E1667" s="817" t="s">
        <v>4983</v>
      </c>
      <c r="F1667" s="251">
        <v>4</v>
      </c>
      <c r="G1667" s="252">
        <v>10</v>
      </c>
      <c r="H1667" s="266">
        <f t="shared" si="140"/>
        <v>40</v>
      </c>
      <c r="I1667" s="254" t="s">
        <v>170</v>
      </c>
      <c r="J1667" s="863" t="s">
        <v>5265</v>
      </c>
      <c r="K1667" s="256">
        <v>43413</v>
      </c>
      <c r="L1667" s="256"/>
      <c r="M1667" s="264" t="s">
        <v>178</v>
      </c>
      <c r="N1667" s="331" t="s">
        <v>5268</v>
      </c>
      <c r="O1667" s="308" t="s">
        <v>5269</v>
      </c>
      <c r="Q1667" s="591"/>
      <c r="R1667" s="1406"/>
      <c r="S1667" s="1406"/>
      <c r="U1667" s="328"/>
      <c r="V1667" s="308"/>
      <c r="W1667" s="328"/>
      <c r="X1667" s="745"/>
      <c r="Y1667" s="745"/>
      <c r="Z1667" s="745"/>
      <c r="AA1667" s="746"/>
      <c r="AB1667" s="250" t="s">
        <v>5267</v>
      </c>
      <c r="AC1667" s="744">
        <v>8279290143</v>
      </c>
      <c r="AD1667" s="744"/>
      <c r="AE1667" s="744"/>
      <c r="AF1667" s="744"/>
      <c r="AG1667" s="251" t="s">
        <v>283</v>
      </c>
    </row>
    <row r="1668" spans="1:33" ht="15.75" customHeight="1">
      <c r="A1668" s="755">
        <v>43360</v>
      </c>
      <c r="B1668" s="144" t="s">
        <v>100</v>
      </c>
      <c r="C1668" s="250" t="s">
        <v>5262</v>
      </c>
      <c r="D1668" s="263" t="s">
        <v>5270</v>
      </c>
      <c r="E1668" s="799" t="s">
        <v>346</v>
      </c>
      <c r="F1668" s="251">
        <v>1</v>
      </c>
      <c r="G1668" s="252">
        <v>174</v>
      </c>
      <c r="H1668" s="266">
        <f t="shared" si="140"/>
        <v>174</v>
      </c>
      <c r="I1668" s="254" t="s">
        <v>302</v>
      </c>
      <c r="J1668" s="863" t="s">
        <v>5265</v>
      </c>
      <c r="K1668" s="256">
        <v>43413</v>
      </c>
      <c r="L1668" s="256"/>
      <c r="M1668" s="586"/>
      <c r="N1668" s="331" t="s">
        <v>1999</v>
      </c>
      <c r="O1668" s="356"/>
      <c r="Q1668" s="591"/>
      <c r="R1668" s="1406"/>
      <c r="S1668" s="1406"/>
      <c r="U1668" s="572">
        <v>6692</v>
      </c>
      <c r="V1668" s="318" t="s">
        <v>2000</v>
      </c>
      <c r="W1668" s="747">
        <v>43450</v>
      </c>
      <c r="X1668" s="748">
        <v>43420</v>
      </c>
      <c r="Y1668" s="744" t="s">
        <v>5271</v>
      </c>
      <c r="Z1668" s="749">
        <v>6692</v>
      </c>
      <c r="AA1668" s="748">
        <v>43445</v>
      </c>
      <c r="AB1668" s="250"/>
      <c r="AC1668" s="744"/>
      <c r="AD1668" s="744"/>
      <c r="AE1668" s="744"/>
      <c r="AF1668" s="744"/>
      <c r="AG1668" s="251" t="s">
        <v>283</v>
      </c>
    </row>
    <row r="1669" spans="1:33" ht="15.75" customHeight="1">
      <c r="A1669" s="755">
        <v>43360</v>
      </c>
      <c r="B1669" s="144" t="s">
        <v>100</v>
      </c>
      <c r="C1669" s="250" t="s">
        <v>5262</v>
      </c>
      <c r="D1669" s="263" t="s">
        <v>5272</v>
      </c>
      <c r="E1669" s="595" t="s">
        <v>5273</v>
      </c>
      <c r="F1669" s="251">
        <v>1</v>
      </c>
      <c r="G1669" s="252">
        <v>570</v>
      </c>
      <c r="H1669" s="253">
        <f t="shared" si="140"/>
        <v>570</v>
      </c>
      <c r="I1669" s="254" t="s">
        <v>302</v>
      </c>
      <c r="J1669" s="863" t="s">
        <v>5265</v>
      </c>
      <c r="K1669" s="256">
        <v>43420</v>
      </c>
      <c r="L1669" s="256"/>
      <c r="M1669" s="586"/>
      <c r="N1669" s="264" t="s">
        <v>4563</v>
      </c>
      <c r="O1669" s="308" t="s">
        <v>5266</v>
      </c>
      <c r="Q1669" s="591"/>
      <c r="R1669" s="1406"/>
      <c r="S1669" s="1406"/>
      <c r="U1669" s="328"/>
      <c r="V1669" s="308"/>
      <c r="W1669" s="328"/>
      <c r="X1669" s="745"/>
      <c r="Y1669" s="745"/>
      <c r="Z1669" s="745"/>
      <c r="AA1669" s="746"/>
      <c r="AB1669" s="250" t="s">
        <v>5274</v>
      </c>
      <c r="AC1669" s="744">
        <v>7282183672</v>
      </c>
      <c r="AD1669" s="744"/>
      <c r="AE1669" s="744"/>
      <c r="AF1669" s="744"/>
      <c r="AG1669" s="251" t="s">
        <v>283</v>
      </c>
    </row>
    <row r="1670" spans="1:33" ht="15.75" customHeight="1">
      <c r="A1670" s="755">
        <v>43360</v>
      </c>
      <c r="B1670" s="144" t="s">
        <v>100</v>
      </c>
      <c r="C1670" s="250" t="s">
        <v>5262</v>
      </c>
      <c r="D1670" s="263" t="s">
        <v>5272</v>
      </c>
      <c r="E1670" s="595" t="s">
        <v>4721</v>
      </c>
      <c r="F1670" s="251">
        <v>1</v>
      </c>
      <c r="G1670" s="252">
        <v>42</v>
      </c>
      <c r="H1670" s="253">
        <f t="shared" si="140"/>
        <v>42</v>
      </c>
      <c r="I1670" s="254" t="s">
        <v>302</v>
      </c>
      <c r="J1670" s="863" t="s">
        <v>5265</v>
      </c>
      <c r="K1670" s="256">
        <v>43420</v>
      </c>
      <c r="L1670" s="256"/>
      <c r="M1670" s="586"/>
      <c r="N1670" s="264" t="s">
        <v>4563</v>
      </c>
      <c r="O1670" s="308" t="s">
        <v>5266</v>
      </c>
      <c r="Q1670" s="591"/>
      <c r="R1670" s="1406"/>
      <c r="S1670" s="1406"/>
      <c r="U1670" s="328"/>
      <c r="V1670" s="308"/>
      <c r="W1670" s="328"/>
      <c r="X1670" s="745"/>
      <c r="Y1670" s="745"/>
      <c r="Z1670" s="745"/>
      <c r="AA1670" s="746"/>
      <c r="AB1670" s="250" t="s">
        <v>5274</v>
      </c>
      <c r="AC1670" s="744">
        <v>7282183672</v>
      </c>
      <c r="AD1670" s="744"/>
      <c r="AE1670" s="744"/>
      <c r="AF1670" s="744"/>
      <c r="AG1670" s="251" t="s">
        <v>283</v>
      </c>
    </row>
    <row r="1671" spans="1:33" ht="15.75" customHeight="1">
      <c r="A1671" s="755">
        <v>43360</v>
      </c>
      <c r="B1671" s="144" t="s">
        <v>100</v>
      </c>
      <c r="C1671" s="250" t="s">
        <v>5262</v>
      </c>
      <c r="D1671" s="263" t="s">
        <v>5272</v>
      </c>
      <c r="E1671" s="595" t="s">
        <v>4722</v>
      </c>
      <c r="F1671" s="251">
        <v>1</v>
      </c>
      <c r="G1671" s="252">
        <v>140</v>
      </c>
      <c r="H1671" s="253">
        <f t="shared" si="140"/>
        <v>140</v>
      </c>
      <c r="I1671" s="254" t="s">
        <v>302</v>
      </c>
      <c r="J1671" s="863" t="s">
        <v>5265</v>
      </c>
      <c r="K1671" s="256">
        <v>43420</v>
      </c>
      <c r="L1671" s="256"/>
      <c r="M1671" s="586"/>
      <c r="N1671" s="264" t="s">
        <v>4563</v>
      </c>
      <c r="O1671" s="308" t="s">
        <v>5266</v>
      </c>
      <c r="Q1671" s="591"/>
      <c r="R1671" s="1406"/>
      <c r="S1671" s="1406"/>
      <c r="U1671" s="328"/>
      <c r="V1671" s="308"/>
      <c r="W1671" s="328"/>
      <c r="X1671" s="745"/>
      <c r="Y1671" s="745"/>
      <c r="Z1671" s="745"/>
      <c r="AA1671" s="746"/>
      <c r="AB1671" s="250" t="s">
        <v>5274</v>
      </c>
      <c r="AC1671" s="744">
        <v>7282183672</v>
      </c>
      <c r="AD1671" s="744"/>
      <c r="AE1671" s="744"/>
      <c r="AF1671" s="744"/>
      <c r="AG1671" s="251" t="s">
        <v>283</v>
      </c>
    </row>
    <row r="1672" spans="1:33" ht="15.75" customHeight="1">
      <c r="A1672" s="755">
        <v>43360</v>
      </c>
      <c r="B1672" s="144" t="s">
        <v>100</v>
      </c>
      <c r="C1672" s="250" t="s">
        <v>5262</v>
      </c>
      <c r="D1672" s="263" t="s">
        <v>5272</v>
      </c>
      <c r="E1672" s="595" t="s">
        <v>441</v>
      </c>
      <c r="F1672" s="251">
        <v>1</v>
      </c>
      <c r="G1672" s="252">
        <v>38</v>
      </c>
      <c r="H1672" s="253">
        <f t="shared" si="140"/>
        <v>38</v>
      </c>
      <c r="I1672" s="254" t="s">
        <v>302</v>
      </c>
      <c r="J1672" s="863" t="s">
        <v>5265</v>
      </c>
      <c r="K1672" s="256">
        <v>43420</v>
      </c>
      <c r="L1672" s="256"/>
      <c r="M1672" s="586"/>
      <c r="N1672" s="264" t="s">
        <v>4563</v>
      </c>
      <c r="O1672" s="308" t="s">
        <v>5266</v>
      </c>
      <c r="Q1672" s="591"/>
      <c r="R1672" s="1406"/>
      <c r="S1672" s="1406"/>
      <c r="U1672" s="328"/>
      <c r="V1672" s="308"/>
      <c r="W1672" s="328"/>
      <c r="X1672" s="745"/>
      <c r="Y1672" s="745"/>
      <c r="Z1672" s="745"/>
      <c r="AA1672" s="746"/>
      <c r="AB1672" s="250" t="s">
        <v>5274</v>
      </c>
      <c r="AC1672" s="744">
        <v>7282183672</v>
      </c>
      <c r="AD1672" s="744"/>
      <c r="AE1672" s="744"/>
      <c r="AF1672" s="744"/>
      <c r="AG1672" s="251" t="s">
        <v>283</v>
      </c>
    </row>
    <row r="1673" spans="1:33" ht="15.75" customHeight="1">
      <c r="A1673" s="755">
        <v>43360</v>
      </c>
      <c r="B1673" s="144" t="s">
        <v>100</v>
      </c>
      <c r="C1673" s="250" t="s">
        <v>5262</v>
      </c>
      <c r="D1673" s="263" t="s">
        <v>5272</v>
      </c>
      <c r="E1673" s="595" t="s">
        <v>544</v>
      </c>
      <c r="F1673" s="251">
        <v>1</v>
      </c>
      <c r="G1673" s="252">
        <v>47</v>
      </c>
      <c r="H1673" s="253">
        <f t="shared" si="140"/>
        <v>47</v>
      </c>
      <c r="I1673" s="254" t="s">
        <v>302</v>
      </c>
      <c r="J1673" s="863" t="s">
        <v>5265</v>
      </c>
      <c r="K1673" s="256">
        <v>43420</v>
      </c>
      <c r="L1673" s="256"/>
      <c r="M1673" s="586"/>
      <c r="N1673" s="264" t="s">
        <v>4563</v>
      </c>
      <c r="O1673" s="308" t="s">
        <v>5266</v>
      </c>
      <c r="Q1673" s="591"/>
      <c r="R1673" s="1406"/>
      <c r="S1673" s="1406"/>
      <c r="U1673" s="328"/>
      <c r="V1673" s="308"/>
      <c r="W1673" s="328"/>
      <c r="X1673" s="745"/>
      <c r="Y1673" s="745"/>
      <c r="Z1673" s="745"/>
      <c r="AA1673" s="746"/>
      <c r="AB1673" s="250" t="s">
        <v>5274</v>
      </c>
      <c r="AC1673" s="744">
        <v>7282183672</v>
      </c>
      <c r="AD1673" s="744"/>
      <c r="AE1673" s="744"/>
      <c r="AF1673" s="744"/>
      <c r="AG1673" s="251" t="s">
        <v>283</v>
      </c>
    </row>
    <row r="1674" spans="1:33" ht="15.75" customHeight="1">
      <c r="A1674" s="755">
        <v>43360</v>
      </c>
      <c r="B1674" s="144" t="s">
        <v>100</v>
      </c>
      <c r="C1674" s="250" t="s">
        <v>5262</v>
      </c>
      <c r="D1674" s="263" t="s">
        <v>5272</v>
      </c>
      <c r="E1674" s="817" t="s">
        <v>4983</v>
      </c>
      <c r="F1674" s="251">
        <v>1</v>
      </c>
      <c r="G1674" s="252">
        <v>10</v>
      </c>
      <c r="H1674" s="266">
        <f t="shared" si="140"/>
        <v>10</v>
      </c>
      <c r="I1674" s="254" t="s">
        <v>170</v>
      </c>
      <c r="J1674" s="863" t="s">
        <v>5265</v>
      </c>
      <c r="K1674" s="256">
        <v>43420</v>
      </c>
      <c r="L1674" s="256"/>
      <c r="M1674" s="264" t="s">
        <v>178</v>
      </c>
      <c r="N1674" s="331" t="s">
        <v>5268</v>
      </c>
      <c r="O1674" s="308" t="s">
        <v>5269</v>
      </c>
      <c r="Q1674" s="591"/>
      <c r="R1674" s="1406"/>
      <c r="S1674" s="1406"/>
      <c r="U1674" s="328"/>
      <c r="V1674" s="308"/>
      <c r="W1674" s="771"/>
      <c r="X1674" s="746"/>
      <c r="Y1674" s="745"/>
      <c r="Z1674" s="864"/>
      <c r="AA1674" s="746"/>
      <c r="AB1674" s="250" t="s">
        <v>5274</v>
      </c>
      <c r="AC1674" s="744">
        <v>7282183672</v>
      </c>
      <c r="AD1674" s="744"/>
      <c r="AE1674" s="744"/>
      <c r="AF1674" s="744"/>
      <c r="AG1674" s="251" t="s">
        <v>283</v>
      </c>
    </row>
    <row r="1675" spans="1:33" ht="16.5" customHeight="1">
      <c r="A1675" s="755">
        <v>43420</v>
      </c>
      <c r="B1675" s="144" t="s">
        <v>100</v>
      </c>
      <c r="C1675" s="250" t="s">
        <v>5262</v>
      </c>
      <c r="D1675" s="263" t="s">
        <v>5275</v>
      </c>
      <c r="E1675" s="832" t="s">
        <v>346</v>
      </c>
      <c r="F1675" s="251">
        <v>1</v>
      </c>
      <c r="G1675" s="252">
        <v>477</v>
      </c>
      <c r="H1675" s="266">
        <f t="shared" si="140"/>
        <v>477</v>
      </c>
      <c r="I1675" s="254" t="s">
        <v>302</v>
      </c>
      <c r="J1675" s="863" t="s">
        <v>5265</v>
      </c>
      <c r="K1675" s="256">
        <v>43420</v>
      </c>
      <c r="L1675" s="256"/>
      <c r="M1675" s="623"/>
      <c r="N1675" s="331" t="s">
        <v>1999</v>
      </c>
      <c r="O1675" s="308"/>
      <c r="Q1675" s="591"/>
      <c r="R1675" s="1406"/>
      <c r="S1675" s="1406"/>
      <c r="U1675" s="266">
        <v>13592</v>
      </c>
      <c r="V1675" s="318" t="s">
        <v>2000</v>
      </c>
      <c r="W1675" s="747">
        <v>43457</v>
      </c>
      <c r="X1675" s="748">
        <v>43427</v>
      </c>
      <c r="Y1675" s="744" t="s">
        <v>5276</v>
      </c>
      <c r="Z1675" s="749">
        <v>13592</v>
      </c>
      <c r="AA1675" s="748">
        <v>43458</v>
      </c>
      <c r="AB1675" s="250"/>
      <c r="AC1675" s="744">
        <v>7282183672</v>
      </c>
      <c r="AD1675" s="744"/>
      <c r="AE1675" s="744"/>
      <c r="AF1675" s="744"/>
      <c r="AG1675" s="251" t="s">
        <v>283</v>
      </c>
    </row>
    <row r="1676" spans="1:33" ht="16.5" customHeight="1">
      <c r="A1676" s="755">
        <v>43361</v>
      </c>
      <c r="B1676" s="590" t="s">
        <v>3568</v>
      </c>
      <c r="C1676" s="744" t="s">
        <v>5277</v>
      </c>
      <c r="D1676" s="263" t="s">
        <v>5278</v>
      </c>
      <c r="E1676" s="744" t="s">
        <v>4310</v>
      </c>
      <c r="F1676" s="251">
        <v>8</v>
      </c>
      <c r="G1676" s="252">
        <v>1790</v>
      </c>
      <c r="H1676" s="265">
        <v>14320</v>
      </c>
      <c r="I1676" s="254" t="s">
        <v>302</v>
      </c>
      <c r="J1676" s="401" t="s">
        <v>5279</v>
      </c>
      <c r="K1676" s="256">
        <v>43437</v>
      </c>
      <c r="L1676" s="256"/>
      <c r="M1676" s="256">
        <v>43425</v>
      </c>
      <c r="N1676" s="331" t="s">
        <v>2001</v>
      </c>
      <c r="O1676" s="308" t="s">
        <v>5280</v>
      </c>
      <c r="Q1676" s="266">
        <v>13381.2</v>
      </c>
      <c r="R1676" s="1394"/>
      <c r="S1676" s="1394"/>
      <c r="U1676" s="266"/>
      <c r="V1676" s="318" t="s">
        <v>2003</v>
      </c>
      <c r="W1676" s="747">
        <v>43470</v>
      </c>
      <c r="X1676" s="748">
        <v>43424</v>
      </c>
      <c r="Y1676" s="744" t="s">
        <v>5281</v>
      </c>
      <c r="Z1676" s="749">
        <v>410870</v>
      </c>
      <c r="AA1676" s="748">
        <v>43469</v>
      </c>
      <c r="AB1676" s="744" t="s">
        <v>5282</v>
      </c>
      <c r="AC1676" s="744" t="s">
        <v>5283</v>
      </c>
      <c r="AD1676" s="744"/>
      <c r="AE1676" s="744"/>
      <c r="AF1676" s="744"/>
      <c r="AG1676" s="251" t="s">
        <v>283</v>
      </c>
    </row>
    <row r="1677" spans="1:33" ht="15.75" customHeight="1">
      <c r="A1677" s="755">
        <v>43361</v>
      </c>
      <c r="B1677" s="590" t="s">
        <v>3568</v>
      </c>
      <c r="C1677" s="744" t="s">
        <v>5277</v>
      </c>
      <c r="D1677" s="263" t="s">
        <v>5284</v>
      </c>
      <c r="E1677" s="744" t="s">
        <v>4315</v>
      </c>
      <c r="F1677" s="251">
        <v>16</v>
      </c>
      <c r="G1677" s="252">
        <v>172</v>
      </c>
      <c r="H1677" s="265">
        <v>2752</v>
      </c>
      <c r="I1677" s="254" t="s">
        <v>302</v>
      </c>
      <c r="J1677" s="401" t="s">
        <v>5279</v>
      </c>
      <c r="K1677" s="256">
        <v>43423</v>
      </c>
      <c r="L1677" s="256"/>
      <c r="M1677" s="256">
        <v>43402</v>
      </c>
      <c r="N1677" s="331" t="s">
        <v>2001</v>
      </c>
      <c r="O1677" s="308" t="s">
        <v>5280</v>
      </c>
      <c r="Q1677" s="266">
        <v>2486.4</v>
      </c>
      <c r="R1677" s="1394"/>
      <c r="S1677" s="1394"/>
      <c r="U1677" s="266"/>
      <c r="V1677" s="318" t="s">
        <v>2003</v>
      </c>
      <c r="W1677" s="747">
        <v>43470</v>
      </c>
      <c r="X1677" s="748">
        <v>43399</v>
      </c>
      <c r="Y1677" s="744" t="s">
        <v>5285</v>
      </c>
      <c r="Z1677" s="749">
        <v>76755</v>
      </c>
      <c r="AA1677" s="748">
        <v>43469</v>
      </c>
      <c r="AB1677" s="744" t="s">
        <v>5286</v>
      </c>
      <c r="AC1677" s="744">
        <v>7563203734</v>
      </c>
      <c r="AD1677" s="744"/>
      <c r="AE1677" s="744"/>
      <c r="AF1677" s="744"/>
      <c r="AG1677" s="251" t="s">
        <v>283</v>
      </c>
    </row>
    <row r="1678" spans="1:33" ht="27.75" customHeight="1">
      <c r="A1678" s="755">
        <v>43361</v>
      </c>
      <c r="B1678" s="590" t="s">
        <v>405</v>
      </c>
      <c r="C1678" s="744">
        <v>7000141228</v>
      </c>
      <c r="D1678" s="250" t="s">
        <v>5287</v>
      </c>
      <c r="E1678" s="595" t="s">
        <v>5288</v>
      </c>
      <c r="F1678" s="251">
        <v>1</v>
      </c>
      <c r="G1678" s="252">
        <v>18</v>
      </c>
      <c r="H1678" s="253">
        <f t="shared" ref="H1678:H1680" si="142">G1678*F1678</f>
        <v>18</v>
      </c>
      <c r="I1678" s="254" t="s">
        <v>42</v>
      </c>
      <c r="J1678" s="331" t="s">
        <v>3840</v>
      </c>
      <c r="K1678" s="256">
        <v>43368</v>
      </c>
      <c r="L1678" s="256"/>
      <c r="M1678" s="256">
        <v>43364</v>
      </c>
      <c r="N1678" s="331" t="s">
        <v>3678</v>
      </c>
      <c r="O1678" s="250" t="s">
        <v>5289</v>
      </c>
      <c r="Q1678" s="591"/>
      <c r="R1678" s="1406"/>
      <c r="S1678" s="1406"/>
      <c r="U1678" s="308">
        <v>441</v>
      </c>
      <c r="V1678" s="386" t="s">
        <v>3680</v>
      </c>
      <c r="W1678" s="747">
        <v>43404</v>
      </c>
      <c r="X1678" s="748">
        <v>43363</v>
      </c>
      <c r="Y1678" s="744" t="s">
        <v>5290</v>
      </c>
      <c r="Z1678" s="749">
        <v>17850</v>
      </c>
      <c r="AA1678" s="748">
        <v>43406</v>
      </c>
      <c r="AB1678" s="744" t="s">
        <v>5291</v>
      </c>
      <c r="AC1678" s="744">
        <v>6538323492</v>
      </c>
      <c r="AD1678" s="744"/>
      <c r="AE1678" s="744"/>
      <c r="AF1678" s="744"/>
      <c r="AG1678" s="251" t="s">
        <v>283</v>
      </c>
    </row>
    <row r="1679" spans="1:33" ht="15.75" customHeight="1">
      <c r="A1679" s="755">
        <v>43361</v>
      </c>
      <c r="B1679" s="590" t="s">
        <v>405</v>
      </c>
      <c r="C1679" s="744">
        <v>7000141228</v>
      </c>
      <c r="D1679" s="250" t="s">
        <v>5287</v>
      </c>
      <c r="E1679" s="595" t="s">
        <v>4796</v>
      </c>
      <c r="F1679" s="251">
        <v>1</v>
      </c>
      <c r="G1679" s="252">
        <v>548</v>
      </c>
      <c r="H1679" s="253">
        <f t="shared" si="142"/>
        <v>548</v>
      </c>
      <c r="I1679" s="254" t="s">
        <v>42</v>
      </c>
      <c r="J1679" s="331" t="s">
        <v>3840</v>
      </c>
      <c r="K1679" s="256">
        <v>43368</v>
      </c>
      <c r="L1679" s="256"/>
      <c r="M1679" s="256">
        <v>43364</v>
      </c>
      <c r="N1679" s="331" t="s">
        <v>3678</v>
      </c>
      <c r="O1679" s="250" t="s">
        <v>5289</v>
      </c>
      <c r="Q1679" s="591"/>
      <c r="R1679" s="1406"/>
      <c r="S1679" s="1406"/>
      <c r="U1679" s="572">
        <v>16275</v>
      </c>
      <c r="V1679" s="386" t="s">
        <v>3680</v>
      </c>
      <c r="W1679" s="747">
        <v>43404</v>
      </c>
      <c r="X1679" s="748">
        <v>43363</v>
      </c>
      <c r="Y1679" s="744" t="s">
        <v>5290</v>
      </c>
      <c r="Z1679" s="744" t="s">
        <v>5292</v>
      </c>
      <c r="AA1679" s="748">
        <v>43406</v>
      </c>
      <c r="AB1679" s="744" t="s">
        <v>5291</v>
      </c>
      <c r="AC1679" s="744">
        <v>6538323492</v>
      </c>
      <c r="AD1679" s="744"/>
      <c r="AE1679" s="744"/>
      <c r="AF1679" s="744"/>
      <c r="AG1679" s="251" t="s">
        <v>283</v>
      </c>
    </row>
    <row r="1680" spans="1:33" ht="15.75" customHeight="1">
      <c r="A1680" s="755">
        <v>43361</v>
      </c>
      <c r="B1680" s="590" t="s">
        <v>405</v>
      </c>
      <c r="C1680" s="744">
        <v>7000141228</v>
      </c>
      <c r="D1680" s="250" t="s">
        <v>5287</v>
      </c>
      <c r="E1680" s="595" t="s">
        <v>4799</v>
      </c>
      <c r="F1680" s="251">
        <v>1</v>
      </c>
      <c r="G1680" s="252">
        <v>40</v>
      </c>
      <c r="H1680" s="253">
        <f t="shared" si="142"/>
        <v>40</v>
      </c>
      <c r="I1680" s="254" t="s">
        <v>42</v>
      </c>
      <c r="J1680" s="331" t="s">
        <v>3840</v>
      </c>
      <c r="K1680" s="256">
        <v>43368</v>
      </c>
      <c r="L1680" s="256"/>
      <c r="M1680" s="256">
        <v>43364</v>
      </c>
      <c r="N1680" s="331" t="s">
        <v>3678</v>
      </c>
      <c r="O1680" s="250" t="s">
        <v>5289</v>
      </c>
      <c r="Q1680" s="591"/>
      <c r="R1680" s="1406"/>
      <c r="S1680" s="1406"/>
      <c r="U1680" s="572">
        <v>1134</v>
      </c>
      <c r="V1680" s="386" t="s">
        <v>3680</v>
      </c>
      <c r="W1680" s="747">
        <v>43404</v>
      </c>
      <c r="X1680" s="748">
        <v>43363</v>
      </c>
      <c r="Y1680" s="744" t="s">
        <v>5290</v>
      </c>
      <c r="Z1680" s="744" t="s">
        <v>5292</v>
      </c>
      <c r="AA1680" s="748">
        <v>43406</v>
      </c>
      <c r="AB1680" s="744" t="s">
        <v>5291</v>
      </c>
      <c r="AC1680" s="744">
        <v>6538323492</v>
      </c>
      <c r="AD1680" s="744"/>
      <c r="AE1680" s="744"/>
      <c r="AF1680" s="744"/>
      <c r="AG1680" s="251" t="s">
        <v>283</v>
      </c>
    </row>
    <row r="1681" spans="1:33" ht="15.75" customHeight="1">
      <c r="A1681" s="755">
        <v>43361</v>
      </c>
      <c r="B1681" s="590" t="s">
        <v>577</v>
      </c>
      <c r="C1681" s="744">
        <v>20181005002</v>
      </c>
      <c r="D1681" s="250" t="s">
        <v>5293</v>
      </c>
      <c r="E1681" s="420" t="s">
        <v>5294</v>
      </c>
      <c r="F1681" s="367">
        <v>1</v>
      </c>
      <c r="G1681" s="252">
        <v>895.08</v>
      </c>
      <c r="H1681" s="253">
        <f t="shared" ref="H1681:H1687" si="143">F1681*G1681</f>
        <v>895.08</v>
      </c>
      <c r="I1681" s="254" t="s">
        <v>170</v>
      </c>
      <c r="J1681" s="401" t="s">
        <v>1309</v>
      </c>
      <c r="K1681" s="865">
        <v>43430</v>
      </c>
      <c r="L1681" s="865"/>
      <c r="M1681" s="256">
        <v>43405</v>
      </c>
      <c r="N1681" s="331" t="s">
        <v>1414</v>
      </c>
      <c r="O1681" s="308" t="s">
        <v>5295</v>
      </c>
      <c r="Q1681" s="591"/>
      <c r="R1681" s="1406"/>
      <c r="S1681" s="1406"/>
      <c r="U1681" s="572">
        <v>23568</v>
      </c>
      <c r="V1681" s="318" t="s">
        <v>1947</v>
      </c>
      <c r="W1681" s="747">
        <v>43465</v>
      </c>
      <c r="X1681" s="821">
        <v>43404</v>
      </c>
      <c r="Y1681" s="744" t="s">
        <v>5296</v>
      </c>
      <c r="Z1681" s="749">
        <v>26332</v>
      </c>
      <c r="AA1681" s="748">
        <v>43469</v>
      </c>
      <c r="AB1681" s="744" t="s">
        <v>5297</v>
      </c>
      <c r="AC1681" s="744"/>
      <c r="AD1681" s="744"/>
      <c r="AE1681" s="749">
        <v>49297</v>
      </c>
      <c r="AF1681" s="744" t="s">
        <v>5298</v>
      </c>
      <c r="AG1681" s="251" t="s">
        <v>376</v>
      </c>
    </row>
    <row r="1682" spans="1:33" ht="15.75" customHeight="1">
      <c r="A1682" s="755">
        <v>43361</v>
      </c>
      <c r="B1682" s="590" t="s">
        <v>577</v>
      </c>
      <c r="C1682" s="744">
        <v>20181005002</v>
      </c>
      <c r="D1682" s="250" t="s">
        <v>5299</v>
      </c>
      <c r="E1682" s="420" t="s">
        <v>5300</v>
      </c>
      <c r="F1682" s="367">
        <v>1</v>
      </c>
      <c r="G1682" s="252">
        <v>245.11</v>
      </c>
      <c r="H1682" s="253">
        <f t="shared" si="143"/>
        <v>245.11</v>
      </c>
      <c r="I1682" s="254" t="s">
        <v>170</v>
      </c>
      <c r="J1682" s="401" t="s">
        <v>1309</v>
      </c>
      <c r="K1682" s="865">
        <v>43430</v>
      </c>
      <c r="L1682" s="865"/>
      <c r="M1682" s="256">
        <v>43398</v>
      </c>
      <c r="N1682" s="331" t="s">
        <v>4477</v>
      </c>
      <c r="O1682" s="308" t="s">
        <v>5301</v>
      </c>
      <c r="Q1682" s="266">
        <v>199.5</v>
      </c>
      <c r="R1682" s="1394"/>
      <c r="S1682" s="1394"/>
      <c r="U1682" s="328"/>
      <c r="V1682" s="338" t="s">
        <v>46</v>
      </c>
      <c r="W1682" s="747">
        <v>43426</v>
      </c>
      <c r="X1682" s="748">
        <v>43396</v>
      </c>
      <c r="Y1682" s="744" t="s">
        <v>5302</v>
      </c>
      <c r="Z1682" s="749">
        <v>6169</v>
      </c>
      <c r="AA1682" s="750">
        <v>43419</v>
      </c>
      <c r="AB1682" s="744" t="s">
        <v>5297</v>
      </c>
      <c r="AC1682" s="744"/>
      <c r="AD1682" s="744"/>
      <c r="AE1682" s="744" t="s">
        <v>5303</v>
      </c>
      <c r="AF1682" s="744" t="s">
        <v>5298</v>
      </c>
      <c r="AG1682" s="251" t="s">
        <v>376</v>
      </c>
    </row>
    <row r="1683" spans="1:33" ht="50.25" customHeight="1">
      <c r="A1683" s="755">
        <v>43361</v>
      </c>
      <c r="B1683" s="590" t="s">
        <v>577</v>
      </c>
      <c r="C1683" s="744">
        <v>20181005002</v>
      </c>
      <c r="D1683" s="250" t="s">
        <v>5299</v>
      </c>
      <c r="E1683" s="420" t="s">
        <v>5304</v>
      </c>
      <c r="F1683" s="367">
        <v>2</v>
      </c>
      <c r="G1683" s="252">
        <v>58.52</v>
      </c>
      <c r="H1683" s="253">
        <f t="shared" si="143"/>
        <v>117.04</v>
      </c>
      <c r="I1683" s="254" t="s">
        <v>170</v>
      </c>
      <c r="J1683" s="401" t="s">
        <v>1309</v>
      </c>
      <c r="K1683" s="865">
        <v>43430</v>
      </c>
      <c r="L1683" s="865"/>
      <c r="M1683" s="256">
        <v>43398</v>
      </c>
      <c r="N1683" s="367" t="s">
        <v>4876</v>
      </c>
      <c r="O1683" s="308" t="s">
        <v>5305</v>
      </c>
      <c r="Q1683" s="266">
        <v>88.2</v>
      </c>
      <c r="R1683" s="1394"/>
      <c r="S1683" s="1394"/>
      <c r="U1683" s="328"/>
      <c r="V1683" s="571" t="s">
        <v>5306</v>
      </c>
      <c r="W1683" s="747">
        <v>43427</v>
      </c>
      <c r="X1683" s="748">
        <v>43396</v>
      </c>
      <c r="Y1683" s="744" t="s">
        <v>5307</v>
      </c>
      <c r="Z1683" s="749">
        <v>2727</v>
      </c>
      <c r="AA1683" s="750">
        <v>43410</v>
      </c>
      <c r="AB1683" s="744" t="s">
        <v>5297</v>
      </c>
      <c r="AC1683" s="744"/>
      <c r="AD1683" s="744"/>
      <c r="AE1683" s="744" t="s">
        <v>5303</v>
      </c>
      <c r="AF1683" s="744" t="s">
        <v>5298</v>
      </c>
      <c r="AG1683" s="251" t="s">
        <v>376</v>
      </c>
    </row>
    <row r="1684" spans="1:33" ht="15.75" customHeight="1">
      <c r="A1684" s="755">
        <v>43361</v>
      </c>
      <c r="B1684" s="590" t="s">
        <v>577</v>
      </c>
      <c r="C1684" s="744">
        <v>20181005002</v>
      </c>
      <c r="D1684" s="250" t="s">
        <v>5299</v>
      </c>
      <c r="E1684" s="420" t="s">
        <v>5308</v>
      </c>
      <c r="F1684" s="367">
        <v>1</v>
      </c>
      <c r="G1684" s="252">
        <v>61.28</v>
      </c>
      <c r="H1684" s="253">
        <f t="shared" si="143"/>
        <v>61.28</v>
      </c>
      <c r="I1684" s="254" t="s">
        <v>170</v>
      </c>
      <c r="J1684" s="401" t="s">
        <v>1309</v>
      </c>
      <c r="K1684" s="865">
        <v>43430</v>
      </c>
      <c r="L1684" s="865"/>
      <c r="M1684" s="256">
        <v>43402</v>
      </c>
      <c r="N1684" s="331" t="s">
        <v>5309</v>
      </c>
      <c r="O1684" s="308" t="s">
        <v>5310</v>
      </c>
      <c r="Q1684" s="591"/>
      <c r="R1684" s="1406"/>
      <c r="S1684" s="1406"/>
      <c r="U1684" s="572">
        <v>1365</v>
      </c>
      <c r="V1684" s="597" t="s">
        <v>5311</v>
      </c>
      <c r="W1684" s="771"/>
      <c r="X1684" s="748">
        <v>43398</v>
      </c>
      <c r="Y1684" s="744" t="s">
        <v>5312</v>
      </c>
      <c r="Z1684" s="749">
        <v>1365</v>
      </c>
      <c r="AA1684" s="748">
        <v>43397</v>
      </c>
      <c r="AB1684" s="744" t="s">
        <v>5297</v>
      </c>
      <c r="AC1684" s="744"/>
      <c r="AD1684" s="744"/>
      <c r="AE1684" s="744" t="s">
        <v>5303</v>
      </c>
      <c r="AF1684" s="744" t="s">
        <v>5298</v>
      </c>
      <c r="AG1684" s="251" t="s">
        <v>376</v>
      </c>
    </row>
    <row r="1685" spans="1:33" ht="15.75" customHeight="1">
      <c r="A1685" s="755">
        <v>43361</v>
      </c>
      <c r="B1685" s="590" t="s">
        <v>577</v>
      </c>
      <c r="C1685" s="744">
        <v>20181005002</v>
      </c>
      <c r="D1685" s="250" t="s">
        <v>5293</v>
      </c>
      <c r="E1685" s="420" t="s">
        <v>5313</v>
      </c>
      <c r="F1685" s="367">
        <v>1</v>
      </c>
      <c r="G1685" s="252">
        <v>34.43</v>
      </c>
      <c r="H1685" s="253">
        <f t="shared" si="143"/>
        <v>34.43</v>
      </c>
      <c r="I1685" s="254" t="s">
        <v>170</v>
      </c>
      <c r="J1685" s="401" t="s">
        <v>1309</v>
      </c>
      <c r="K1685" s="865">
        <v>43430</v>
      </c>
      <c r="L1685" s="865"/>
      <c r="M1685" s="256">
        <v>43398</v>
      </c>
      <c r="N1685" s="331" t="s">
        <v>2124</v>
      </c>
      <c r="O1685" s="308" t="s">
        <v>2985</v>
      </c>
      <c r="Q1685" s="591"/>
      <c r="R1685" s="1406"/>
      <c r="S1685" s="1406"/>
      <c r="U1685" s="308">
        <v>788</v>
      </c>
      <c r="V1685" s="338" t="s">
        <v>5314</v>
      </c>
      <c r="W1685" s="771"/>
      <c r="X1685" s="748">
        <v>43396</v>
      </c>
      <c r="Y1685" s="744" t="s">
        <v>5315</v>
      </c>
      <c r="Z1685" s="744">
        <v>788</v>
      </c>
      <c r="AA1685" s="748">
        <v>43411</v>
      </c>
      <c r="AB1685" s="744" t="s">
        <v>5297</v>
      </c>
      <c r="AC1685" s="744"/>
      <c r="AD1685" s="744"/>
      <c r="AE1685" s="744" t="s">
        <v>5303</v>
      </c>
      <c r="AF1685" s="744" t="s">
        <v>5298</v>
      </c>
      <c r="AG1685" s="251" t="s">
        <v>376</v>
      </c>
    </row>
    <row r="1686" spans="1:33" ht="15.75" customHeight="1">
      <c r="A1686" s="755">
        <v>43361</v>
      </c>
      <c r="B1686" s="590" t="s">
        <v>577</v>
      </c>
      <c r="C1686" s="744">
        <v>20181005002</v>
      </c>
      <c r="D1686" s="250" t="s">
        <v>5299</v>
      </c>
      <c r="E1686" s="420" t="s">
        <v>5316</v>
      </c>
      <c r="F1686" s="367">
        <v>1</v>
      </c>
      <c r="G1686" s="252">
        <v>106.72</v>
      </c>
      <c r="H1686" s="253">
        <f t="shared" si="143"/>
        <v>106.72</v>
      </c>
      <c r="I1686" s="254" t="s">
        <v>170</v>
      </c>
      <c r="J1686" s="401" t="s">
        <v>1309</v>
      </c>
      <c r="K1686" s="865">
        <v>43430</v>
      </c>
      <c r="L1686" s="865"/>
      <c r="M1686" s="256">
        <v>43405</v>
      </c>
      <c r="N1686" s="331" t="s">
        <v>1414</v>
      </c>
      <c r="O1686" s="308" t="s">
        <v>5295</v>
      </c>
      <c r="Q1686" s="591"/>
      <c r="R1686" s="1406"/>
      <c r="S1686" s="1406"/>
      <c r="U1686" s="572">
        <v>2764</v>
      </c>
      <c r="V1686" s="318" t="s">
        <v>1947</v>
      </c>
      <c r="W1686" s="747">
        <v>43465</v>
      </c>
      <c r="X1686" s="821">
        <v>43404</v>
      </c>
      <c r="Y1686" s="744" t="s">
        <v>5296</v>
      </c>
      <c r="Z1686" s="744" t="s">
        <v>5317</v>
      </c>
      <c r="AA1686" s="748">
        <v>43469</v>
      </c>
      <c r="AB1686" s="744" t="s">
        <v>5297</v>
      </c>
      <c r="AC1686" s="744"/>
      <c r="AD1686" s="744"/>
      <c r="AE1686" s="744" t="s">
        <v>5303</v>
      </c>
      <c r="AF1686" s="744" t="s">
        <v>5298</v>
      </c>
      <c r="AG1686" s="251" t="s">
        <v>376</v>
      </c>
    </row>
    <row r="1687" spans="1:33" ht="15.75" customHeight="1">
      <c r="A1687" s="755">
        <v>43361</v>
      </c>
      <c r="B1687" s="590" t="s">
        <v>577</v>
      </c>
      <c r="C1687" s="744">
        <v>20181005002</v>
      </c>
      <c r="D1687" s="250" t="s">
        <v>5318</v>
      </c>
      <c r="E1687" s="595" t="s">
        <v>5319</v>
      </c>
      <c r="F1687" s="367">
        <v>1</v>
      </c>
      <c r="G1687" s="252">
        <v>156.63999999999999</v>
      </c>
      <c r="H1687" s="253">
        <f t="shared" si="143"/>
        <v>156.63999999999999</v>
      </c>
      <c r="I1687" s="254" t="s">
        <v>170</v>
      </c>
      <c r="J1687" s="401" t="s">
        <v>1309</v>
      </c>
      <c r="K1687" s="865">
        <v>43430</v>
      </c>
      <c r="L1687" s="865"/>
      <c r="M1687" s="256">
        <v>43412</v>
      </c>
      <c r="N1687" s="331" t="s">
        <v>3614</v>
      </c>
      <c r="O1687" s="308" t="s">
        <v>5320</v>
      </c>
      <c r="Q1687" s="265">
        <v>136.5</v>
      </c>
      <c r="R1687" s="1411"/>
      <c r="S1687" s="1411"/>
      <c r="U1687" s="866"/>
      <c r="V1687" s="597" t="s">
        <v>2159</v>
      </c>
      <c r="W1687" s="747">
        <v>43465</v>
      </c>
      <c r="X1687" s="748">
        <v>43402</v>
      </c>
      <c r="Y1687" s="744" t="s">
        <v>5321</v>
      </c>
      <c r="Z1687" s="749">
        <v>8462</v>
      </c>
      <c r="AA1687" s="748">
        <v>43467</v>
      </c>
      <c r="AB1687" s="744" t="s">
        <v>5297</v>
      </c>
      <c r="AC1687" s="744"/>
      <c r="AD1687" s="744"/>
      <c r="AE1687" s="744" t="s">
        <v>5303</v>
      </c>
      <c r="AF1687" s="744" t="s">
        <v>5298</v>
      </c>
      <c r="AG1687" s="251" t="s">
        <v>376</v>
      </c>
    </row>
    <row r="1688" spans="1:33" ht="15.75" customHeight="1">
      <c r="A1688" s="743">
        <v>43362</v>
      </c>
      <c r="B1688" s="263" t="s">
        <v>118</v>
      </c>
      <c r="C1688" s="744" t="s">
        <v>5322</v>
      </c>
      <c r="D1688" s="250" t="s">
        <v>5323</v>
      </c>
      <c r="E1688" s="250" t="s">
        <v>160</v>
      </c>
      <c r="F1688" s="367">
        <v>10</v>
      </c>
      <c r="G1688" s="252">
        <v>485</v>
      </c>
      <c r="H1688" s="253">
        <f t="shared" ref="H1688:H1694" si="144">G1688*F1688</f>
        <v>4850</v>
      </c>
      <c r="I1688" s="254" t="s">
        <v>170</v>
      </c>
      <c r="J1688" s="426" t="s">
        <v>121</v>
      </c>
      <c r="K1688" s="256">
        <v>43396</v>
      </c>
      <c r="L1688" s="256"/>
      <c r="M1688" s="256">
        <v>43389</v>
      </c>
      <c r="N1688" s="331" t="s">
        <v>89</v>
      </c>
      <c r="O1688" s="308" t="s">
        <v>5324</v>
      </c>
      <c r="Q1688" s="266">
        <v>4200</v>
      </c>
      <c r="R1688" s="1394"/>
      <c r="S1688" s="1394"/>
      <c r="U1688" s="328"/>
      <c r="V1688" s="338" t="s">
        <v>93</v>
      </c>
      <c r="W1688" s="747">
        <v>43434</v>
      </c>
      <c r="X1688" s="750">
        <v>43388</v>
      </c>
      <c r="Y1688" s="250" t="s">
        <v>5325</v>
      </c>
      <c r="Z1688" s="753">
        <v>486322</v>
      </c>
      <c r="AA1688" s="748">
        <v>43440</v>
      </c>
      <c r="AB1688" s="250" t="s">
        <v>5326</v>
      </c>
      <c r="AC1688" s="744" t="s">
        <v>5327</v>
      </c>
      <c r="AD1688" s="744"/>
      <c r="AE1688" s="744"/>
      <c r="AF1688" s="744"/>
      <c r="AG1688" s="264" t="s">
        <v>283</v>
      </c>
    </row>
    <row r="1689" spans="1:33" ht="15.75" customHeight="1">
      <c r="A1689" s="743">
        <v>43362</v>
      </c>
      <c r="B1689" s="263" t="s">
        <v>118</v>
      </c>
      <c r="C1689" s="744" t="s">
        <v>5322</v>
      </c>
      <c r="D1689" s="250" t="s">
        <v>5323</v>
      </c>
      <c r="E1689" s="250" t="s">
        <v>4833</v>
      </c>
      <c r="F1689" s="367">
        <v>10</v>
      </c>
      <c r="G1689" s="265">
        <v>173</v>
      </c>
      <c r="H1689" s="253">
        <f t="shared" si="144"/>
        <v>1730</v>
      </c>
      <c r="I1689" s="254" t="s">
        <v>170</v>
      </c>
      <c r="J1689" s="426" t="s">
        <v>121</v>
      </c>
      <c r="K1689" s="256">
        <v>43396</v>
      </c>
      <c r="L1689" s="256"/>
      <c r="M1689" s="256">
        <v>43389</v>
      </c>
      <c r="N1689" s="331" t="s">
        <v>89</v>
      </c>
      <c r="O1689" s="308" t="s">
        <v>5324</v>
      </c>
      <c r="Q1689" s="266">
        <v>1554</v>
      </c>
      <c r="R1689" s="1394"/>
      <c r="S1689" s="1394"/>
      <c r="U1689" s="328"/>
      <c r="V1689" s="338" t="s">
        <v>93</v>
      </c>
      <c r="W1689" s="747">
        <v>43434</v>
      </c>
      <c r="X1689" s="750">
        <v>43388</v>
      </c>
      <c r="Y1689" s="250" t="s">
        <v>5325</v>
      </c>
      <c r="Z1689" s="250" t="s">
        <v>5328</v>
      </c>
      <c r="AA1689" s="748">
        <v>43440</v>
      </c>
      <c r="AB1689" s="250" t="s">
        <v>5326</v>
      </c>
      <c r="AC1689" s="744" t="s">
        <v>5327</v>
      </c>
      <c r="AD1689" s="744"/>
      <c r="AE1689" s="744"/>
      <c r="AF1689" s="744"/>
      <c r="AG1689" s="264" t="s">
        <v>283</v>
      </c>
    </row>
    <row r="1690" spans="1:33" ht="15.75" customHeight="1">
      <c r="A1690" s="743">
        <v>43362</v>
      </c>
      <c r="B1690" s="263" t="s">
        <v>118</v>
      </c>
      <c r="C1690" s="744" t="s">
        <v>5322</v>
      </c>
      <c r="D1690" s="250" t="s">
        <v>5323</v>
      </c>
      <c r="E1690" s="250" t="s">
        <v>161</v>
      </c>
      <c r="F1690" s="367">
        <v>15</v>
      </c>
      <c r="G1690" s="265">
        <v>893</v>
      </c>
      <c r="H1690" s="253">
        <f t="shared" si="144"/>
        <v>13395</v>
      </c>
      <c r="I1690" s="254" t="s">
        <v>170</v>
      </c>
      <c r="J1690" s="426" t="s">
        <v>121</v>
      </c>
      <c r="K1690" s="256">
        <v>43396</v>
      </c>
      <c r="L1690" s="256"/>
      <c r="M1690" s="256">
        <v>43389</v>
      </c>
      <c r="N1690" s="331" t="s">
        <v>89</v>
      </c>
      <c r="O1690" s="308" t="s">
        <v>5324</v>
      </c>
      <c r="Q1690" s="266">
        <v>10048.5</v>
      </c>
      <c r="R1690" s="1394"/>
      <c r="S1690" s="1394"/>
      <c r="U1690" s="328"/>
      <c r="V1690" s="338" t="s">
        <v>93</v>
      </c>
      <c r="W1690" s="747">
        <v>43434</v>
      </c>
      <c r="X1690" s="750">
        <v>43388</v>
      </c>
      <c r="Y1690" s="250" t="s">
        <v>5325</v>
      </c>
      <c r="Z1690" s="250" t="s">
        <v>5328</v>
      </c>
      <c r="AA1690" s="748">
        <v>43440</v>
      </c>
      <c r="AB1690" s="250" t="s">
        <v>5326</v>
      </c>
      <c r="AC1690" s="744" t="s">
        <v>5327</v>
      </c>
      <c r="AD1690" s="744"/>
      <c r="AE1690" s="744"/>
      <c r="AF1690" s="744"/>
      <c r="AG1690" s="264" t="s">
        <v>283</v>
      </c>
    </row>
    <row r="1691" spans="1:33" ht="15.75" customHeight="1">
      <c r="A1691" s="775">
        <v>43363</v>
      </c>
      <c r="B1691" s="783" t="s">
        <v>4278</v>
      </c>
      <c r="C1691" s="768" t="s">
        <v>0</v>
      </c>
      <c r="D1691" s="275" t="s">
        <v>5329</v>
      </c>
      <c r="E1691" s="800" t="s">
        <v>4469</v>
      </c>
      <c r="F1691" s="867">
        <v>0</v>
      </c>
      <c r="G1691" s="278">
        <v>762</v>
      </c>
      <c r="H1691" s="784">
        <f t="shared" si="144"/>
        <v>0</v>
      </c>
      <c r="I1691" s="834" t="s">
        <v>302</v>
      </c>
      <c r="J1691" s="281" t="s">
        <v>4470</v>
      </c>
      <c r="K1691" s="839" t="s">
        <v>70</v>
      </c>
      <c r="L1691" s="839"/>
      <c r="M1691" s="586"/>
      <c r="N1691" s="331" t="s">
        <v>0</v>
      </c>
      <c r="O1691" s="308"/>
      <c r="Q1691" s="591"/>
      <c r="R1691" s="1406"/>
      <c r="S1691" s="1406"/>
      <c r="U1691" s="328"/>
      <c r="V1691" s="308"/>
      <c r="W1691" s="328"/>
      <c r="X1691" s="745"/>
      <c r="Y1691" s="745"/>
      <c r="Z1691" s="745"/>
      <c r="AA1691" s="746"/>
      <c r="AB1691" s="745"/>
      <c r="AC1691" s="744"/>
      <c r="AD1691" s="744"/>
      <c r="AE1691" s="744"/>
      <c r="AF1691" s="744"/>
      <c r="AG1691" s="251" t="s">
        <v>3456</v>
      </c>
    </row>
    <row r="1692" spans="1:33" ht="15.75" customHeight="1">
      <c r="A1692" s="775">
        <v>43363</v>
      </c>
      <c r="B1692" s="783" t="s">
        <v>4278</v>
      </c>
      <c r="C1692" s="768" t="s">
        <v>0</v>
      </c>
      <c r="D1692" s="275" t="s">
        <v>5329</v>
      </c>
      <c r="E1692" s="800" t="s">
        <v>4476</v>
      </c>
      <c r="F1692" s="867">
        <v>0</v>
      </c>
      <c r="G1692" s="278">
        <v>200</v>
      </c>
      <c r="H1692" s="784">
        <f t="shared" si="144"/>
        <v>0</v>
      </c>
      <c r="I1692" s="834" t="s">
        <v>302</v>
      </c>
      <c r="J1692" s="281" t="s">
        <v>4470</v>
      </c>
      <c r="K1692" s="839" t="s">
        <v>70</v>
      </c>
      <c r="L1692" s="839"/>
      <c r="M1692" s="623"/>
      <c r="N1692" s="331" t="s">
        <v>0</v>
      </c>
      <c r="O1692" s="308"/>
      <c r="Q1692" s="591"/>
      <c r="R1692" s="1406"/>
      <c r="S1692" s="1406"/>
      <c r="U1692" s="328"/>
      <c r="V1692" s="308"/>
      <c r="W1692" s="328"/>
      <c r="X1692" s="745"/>
      <c r="Y1692" s="745"/>
      <c r="Z1692" s="745"/>
      <c r="AA1692" s="746"/>
      <c r="AB1692" s="745"/>
      <c r="AC1692" s="744"/>
      <c r="AD1692" s="744"/>
      <c r="AE1692" s="744"/>
      <c r="AF1692" s="744"/>
      <c r="AG1692" s="251" t="s">
        <v>3456</v>
      </c>
    </row>
    <row r="1693" spans="1:33" ht="15.75" customHeight="1">
      <c r="A1693" s="775">
        <v>43363</v>
      </c>
      <c r="B1693" s="783" t="s">
        <v>4278</v>
      </c>
      <c r="C1693" s="768" t="s">
        <v>0</v>
      </c>
      <c r="D1693" s="275" t="s">
        <v>5329</v>
      </c>
      <c r="E1693" s="800" t="s">
        <v>4343</v>
      </c>
      <c r="F1693" s="277">
        <v>0</v>
      </c>
      <c r="G1693" s="278">
        <v>90</v>
      </c>
      <c r="H1693" s="784">
        <f t="shared" si="144"/>
        <v>0</v>
      </c>
      <c r="I1693" s="834" t="s">
        <v>302</v>
      </c>
      <c r="J1693" s="281" t="s">
        <v>4470</v>
      </c>
      <c r="K1693" s="839" t="s">
        <v>70</v>
      </c>
      <c r="L1693" s="839"/>
      <c r="M1693" s="586"/>
      <c r="N1693" s="331" t="s">
        <v>0</v>
      </c>
      <c r="O1693" s="308"/>
      <c r="Q1693" s="591"/>
      <c r="R1693" s="1406"/>
      <c r="S1693" s="1406"/>
      <c r="U1693" s="328"/>
      <c r="V1693" s="308"/>
      <c r="W1693" s="328"/>
      <c r="X1693" s="745"/>
      <c r="Y1693" s="745"/>
      <c r="Z1693" s="745"/>
      <c r="AA1693" s="746"/>
      <c r="AB1693" s="745"/>
      <c r="AC1693" s="744"/>
      <c r="AD1693" s="744"/>
      <c r="AE1693" s="744"/>
      <c r="AF1693" s="744"/>
      <c r="AG1693" s="251" t="s">
        <v>3456</v>
      </c>
    </row>
    <row r="1694" spans="1:33" ht="15.75" customHeight="1">
      <c r="A1694" s="755">
        <v>43364</v>
      </c>
      <c r="B1694" s="590" t="s">
        <v>405</v>
      </c>
      <c r="C1694" s="744">
        <v>7000141288</v>
      </c>
      <c r="D1694" s="250" t="s">
        <v>5330</v>
      </c>
      <c r="E1694" s="595" t="s">
        <v>944</v>
      </c>
      <c r="F1694" s="251">
        <v>6</v>
      </c>
      <c r="G1694" s="252">
        <v>74</v>
      </c>
      <c r="H1694" s="253">
        <f t="shared" si="144"/>
        <v>444</v>
      </c>
      <c r="I1694" s="254" t="s">
        <v>42</v>
      </c>
      <c r="J1694" s="331" t="s">
        <v>3840</v>
      </c>
      <c r="K1694" s="256">
        <v>43375</v>
      </c>
      <c r="L1694" s="256"/>
      <c r="M1694" s="256">
        <v>43370</v>
      </c>
      <c r="N1694" s="331" t="s">
        <v>3432</v>
      </c>
      <c r="O1694" s="250" t="s">
        <v>5331</v>
      </c>
      <c r="Q1694" s="591"/>
      <c r="R1694" s="1406"/>
      <c r="S1694" s="1406"/>
      <c r="U1694" s="572">
        <v>12304</v>
      </c>
      <c r="V1694" s="308" t="s">
        <v>2045</v>
      </c>
      <c r="W1694" s="747">
        <v>43465</v>
      </c>
      <c r="X1694" s="748">
        <v>43370</v>
      </c>
      <c r="Y1694" s="744" t="s">
        <v>5332</v>
      </c>
      <c r="Z1694" s="749">
        <v>12304</v>
      </c>
      <c r="AA1694" s="748">
        <v>43467</v>
      </c>
      <c r="AB1694" s="744" t="s">
        <v>5248</v>
      </c>
      <c r="AC1694" s="744">
        <v>3218406472</v>
      </c>
      <c r="AD1694" s="744"/>
      <c r="AE1694" s="744"/>
      <c r="AF1694" s="744"/>
      <c r="AG1694" s="251" t="s">
        <v>283</v>
      </c>
    </row>
    <row r="1695" spans="1:33" ht="15.75" customHeight="1">
      <c r="A1695" s="743">
        <v>43364</v>
      </c>
      <c r="B1695" s="590" t="s">
        <v>577</v>
      </c>
      <c r="C1695" s="744">
        <v>20181005002</v>
      </c>
      <c r="D1695" s="250" t="s">
        <v>5333</v>
      </c>
      <c r="E1695" s="420" t="s">
        <v>5334</v>
      </c>
      <c r="F1695" s="251">
        <v>1</v>
      </c>
      <c r="G1695" s="252">
        <v>361.48</v>
      </c>
      <c r="H1695" s="253">
        <f t="shared" ref="H1695:H1705" si="145">F1695*G1695</f>
        <v>361.48</v>
      </c>
      <c r="I1695" s="254" t="s">
        <v>170</v>
      </c>
      <c r="J1695" s="401" t="s">
        <v>1309</v>
      </c>
      <c r="K1695" s="865">
        <v>43430</v>
      </c>
      <c r="L1695" s="865"/>
      <c r="M1695" s="256">
        <v>43404</v>
      </c>
      <c r="N1695" s="401" t="s">
        <v>1967</v>
      </c>
      <c r="O1695" s="308" t="s">
        <v>5335</v>
      </c>
      <c r="Q1695" s="266">
        <v>262.5</v>
      </c>
      <c r="R1695" s="1394"/>
      <c r="S1695" s="1394"/>
      <c r="U1695" s="328"/>
      <c r="V1695" s="308" t="s">
        <v>1969</v>
      </c>
      <c r="W1695" s="747">
        <v>43105</v>
      </c>
      <c r="X1695" s="750">
        <v>43403</v>
      </c>
      <c r="Y1695" s="250" t="s">
        <v>5336</v>
      </c>
      <c r="Z1695" s="753">
        <v>8135</v>
      </c>
      <c r="AA1695" s="748">
        <v>43469</v>
      </c>
      <c r="AB1695" s="744" t="s">
        <v>5337</v>
      </c>
      <c r="AC1695" s="744"/>
      <c r="AD1695" s="744"/>
      <c r="AE1695" s="749">
        <v>56668</v>
      </c>
      <c r="AF1695" s="744" t="s">
        <v>5298</v>
      </c>
      <c r="AG1695" s="251" t="s">
        <v>376</v>
      </c>
    </row>
    <row r="1696" spans="1:33" ht="15.75" customHeight="1">
      <c r="A1696" s="743">
        <v>43364</v>
      </c>
      <c r="B1696" s="590" t="s">
        <v>577</v>
      </c>
      <c r="C1696" s="744">
        <v>20181005002</v>
      </c>
      <c r="D1696" s="250" t="s">
        <v>5333</v>
      </c>
      <c r="E1696" s="420" t="s">
        <v>5338</v>
      </c>
      <c r="F1696" s="251">
        <v>1</v>
      </c>
      <c r="G1696" s="252">
        <v>380.41</v>
      </c>
      <c r="H1696" s="253">
        <f t="shared" si="145"/>
        <v>380.41</v>
      </c>
      <c r="I1696" s="254" t="s">
        <v>170</v>
      </c>
      <c r="J1696" s="401" t="s">
        <v>1309</v>
      </c>
      <c r="K1696" s="865">
        <v>43430</v>
      </c>
      <c r="L1696" s="865"/>
      <c r="M1696" s="256">
        <v>43399</v>
      </c>
      <c r="N1696" s="331" t="s">
        <v>2091</v>
      </c>
      <c r="O1696" s="308" t="s">
        <v>5339</v>
      </c>
      <c r="Q1696" s="266">
        <v>304.5</v>
      </c>
      <c r="R1696" s="1394"/>
      <c r="S1696" s="1394"/>
      <c r="U1696" s="589"/>
      <c r="V1696" s="338" t="s">
        <v>46</v>
      </c>
      <c r="W1696" s="747">
        <v>43430</v>
      </c>
      <c r="X1696" s="748">
        <v>43399</v>
      </c>
      <c r="Y1696" s="744" t="s">
        <v>5340</v>
      </c>
      <c r="Z1696" s="749">
        <v>9424</v>
      </c>
      <c r="AA1696" s="748">
        <v>43445</v>
      </c>
      <c r="AB1696" s="744" t="s">
        <v>5337</v>
      </c>
      <c r="AC1696" s="868"/>
      <c r="AD1696" s="744"/>
      <c r="AE1696" s="744" t="s">
        <v>5341</v>
      </c>
      <c r="AF1696" s="744" t="s">
        <v>5298</v>
      </c>
      <c r="AG1696" s="251" t="s">
        <v>376</v>
      </c>
    </row>
    <row r="1697" spans="1:33" ht="52.5" customHeight="1">
      <c r="A1697" s="743">
        <v>43364</v>
      </c>
      <c r="B1697" s="590" t="s">
        <v>577</v>
      </c>
      <c r="C1697" s="744">
        <v>20181005002</v>
      </c>
      <c r="D1697" s="250" t="s">
        <v>5333</v>
      </c>
      <c r="E1697" s="420" t="s">
        <v>5342</v>
      </c>
      <c r="F1697" s="251">
        <v>2</v>
      </c>
      <c r="G1697" s="252">
        <v>105.69</v>
      </c>
      <c r="H1697" s="253">
        <f t="shared" si="145"/>
        <v>211.38</v>
      </c>
      <c r="I1697" s="254" t="s">
        <v>170</v>
      </c>
      <c r="J1697" s="401"/>
      <c r="K1697" s="865">
        <v>43430</v>
      </c>
      <c r="L1697" s="865"/>
      <c r="M1697" s="256">
        <v>43404</v>
      </c>
      <c r="N1697" s="367" t="s">
        <v>1952</v>
      </c>
      <c r="O1697" s="308" t="s">
        <v>5343</v>
      </c>
      <c r="Q1697" s="591"/>
      <c r="R1697" s="1406"/>
      <c r="S1697" s="1406"/>
      <c r="U1697" s="572">
        <v>4929</v>
      </c>
      <c r="V1697" s="571" t="s">
        <v>5306</v>
      </c>
      <c r="W1697" s="747">
        <v>43439</v>
      </c>
      <c r="X1697" s="748">
        <v>43399</v>
      </c>
      <c r="Y1697" s="744" t="s">
        <v>5344</v>
      </c>
      <c r="Z1697" s="749">
        <v>4929</v>
      </c>
      <c r="AA1697" s="748">
        <v>43445</v>
      </c>
      <c r="AB1697" s="744" t="s">
        <v>5337</v>
      </c>
      <c r="AC1697" s="868"/>
      <c r="AD1697" s="744"/>
      <c r="AE1697" s="744" t="s">
        <v>5341</v>
      </c>
      <c r="AF1697" s="744" t="s">
        <v>5298</v>
      </c>
      <c r="AG1697" s="251" t="s">
        <v>376</v>
      </c>
    </row>
    <row r="1698" spans="1:33" ht="15.75" customHeight="1">
      <c r="A1698" s="743">
        <v>43364</v>
      </c>
      <c r="B1698" s="590" t="s">
        <v>577</v>
      </c>
      <c r="C1698" s="744">
        <v>20181005002</v>
      </c>
      <c r="D1698" s="250" t="s">
        <v>5333</v>
      </c>
      <c r="E1698" s="420" t="s">
        <v>5345</v>
      </c>
      <c r="F1698" s="251">
        <v>1</v>
      </c>
      <c r="G1698" s="252">
        <v>72.64</v>
      </c>
      <c r="H1698" s="253">
        <f t="shared" si="145"/>
        <v>72.64</v>
      </c>
      <c r="I1698" s="254" t="s">
        <v>170</v>
      </c>
      <c r="J1698" s="401" t="s">
        <v>1309</v>
      </c>
      <c r="K1698" s="865">
        <v>43430</v>
      </c>
      <c r="L1698" s="865"/>
      <c r="M1698" s="256">
        <v>43402</v>
      </c>
      <c r="N1698" s="331" t="s">
        <v>5346</v>
      </c>
      <c r="O1698" s="794" t="s">
        <v>5347</v>
      </c>
      <c r="Q1698" s="591"/>
      <c r="R1698" s="1406"/>
      <c r="S1698" s="1406"/>
      <c r="U1698" s="572">
        <v>1890</v>
      </c>
      <c r="V1698" s="597" t="s">
        <v>5311</v>
      </c>
      <c r="W1698" s="771"/>
      <c r="X1698" s="748">
        <v>43398</v>
      </c>
      <c r="Y1698" s="744" t="s">
        <v>5348</v>
      </c>
      <c r="Z1698" s="749">
        <v>5565</v>
      </c>
      <c r="AA1698" s="748">
        <v>43397</v>
      </c>
      <c r="AB1698" s="744" t="s">
        <v>5337</v>
      </c>
      <c r="AC1698" s="868"/>
      <c r="AD1698" s="744"/>
      <c r="AE1698" s="744" t="s">
        <v>5341</v>
      </c>
      <c r="AF1698" s="744" t="s">
        <v>5298</v>
      </c>
      <c r="AG1698" s="251" t="s">
        <v>376</v>
      </c>
    </row>
    <row r="1699" spans="1:33" ht="15.75" customHeight="1">
      <c r="A1699" s="743">
        <v>43364</v>
      </c>
      <c r="B1699" s="590" t="s">
        <v>577</v>
      </c>
      <c r="C1699" s="744">
        <v>20181005002</v>
      </c>
      <c r="D1699" s="250" t="s">
        <v>5333</v>
      </c>
      <c r="E1699" s="420" t="s">
        <v>5349</v>
      </c>
      <c r="F1699" s="251">
        <v>1</v>
      </c>
      <c r="G1699" s="252">
        <v>141.84</v>
      </c>
      <c r="H1699" s="253">
        <f t="shared" si="145"/>
        <v>141.84</v>
      </c>
      <c r="I1699" s="254" t="s">
        <v>170</v>
      </c>
      <c r="J1699" s="401" t="s">
        <v>1309</v>
      </c>
      <c r="K1699" s="865">
        <v>43430</v>
      </c>
      <c r="L1699" s="865"/>
      <c r="M1699" s="256">
        <v>43402</v>
      </c>
      <c r="N1699" s="331" t="s">
        <v>5346</v>
      </c>
      <c r="O1699" s="794" t="s">
        <v>5347</v>
      </c>
      <c r="Q1699" s="591"/>
      <c r="R1699" s="1406"/>
      <c r="S1699" s="1406"/>
      <c r="U1699" s="572">
        <v>3675</v>
      </c>
      <c r="V1699" s="597" t="s">
        <v>5311</v>
      </c>
      <c r="W1699" s="771"/>
      <c r="X1699" s="748">
        <v>43398</v>
      </c>
      <c r="Y1699" s="744" t="s">
        <v>5348</v>
      </c>
      <c r="Z1699" s="749" t="s">
        <v>5350</v>
      </c>
      <c r="AA1699" s="748">
        <v>43397</v>
      </c>
      <c r="AB1699" s="744" t="s">
        <v>5337</v>
      </c>
      <c r="AC1699" s="868"/>
      <c r="AD1699" s="744"/>
      <c r="AE1699" s="744" t="s">
        <v>5341</v>
      </c>
      <c r="AF1699" s="744" t="s">
        <v>5298</v>
      </c>
      <c r="AG1699" s="251" t="s">
        <v>376</v>
      </c>
    </row>
    <row r="1700" spans="1:33" ht="15.75" customHeight="1">
      <c r="A1700" s="743">
        <v>43364</v>
      </c>
      <c r="B1700" s="590" t="s">
        <v>577</v>
      </c>
      <c r="C1700" s="744">
        <v>20181005002</v>
      </c>
      <c r="D1700" s="250" t="s">
        <v>5333</v>
      </c>
      <c r="E1700" s="420" t="s">
        <v>5351</v>
      </c>
      <c r="F1700" s="251">
        <v>1</v>
      </c>
      <c r="G1700" s="252">
        <v>105</v>
      </c>
      <c r="H1700" s="253">
        <f t="shared" si="145"/>
        <v>105</v>
      </c>
      <c r="I1700" s="254" t="s">
        <v>170</v>
      </c>
      <c r="J1700" s="401" t="s">
        <v>1309</v>
      </c>
      <c r="K1700" s="865">
        <v>43430</v>
      </c>
      <c r="L1700" s="865"/>
      <c r="M1700" s="256">
        <v>43419</v>
      </c>
      <c r="N1700" s="331" t="s">
        <v>5352</v>
      </c>
      <c r="O1700" s="250"/>
      <c r="Q1700" s="591"/>
      <c r="R1700" s="1406"/>
      <c r="S1700" s="1406"/>
      <c r="U1700" s="572">
        <v>2650</v>
      </c>
      <c r="V1700" s="308" t="s">
        <v>5353</v>
      </c>
      <c r="W1700" s="747">
        <v>43417</v>
      </c>
      <c r="X1700" s="748">
        <v>43418</v>
      </c>
      <c r="Y1700" s="744" t="s">
        <v>5354</v>
      </c>
      <c r="Z1700" s="749">
        <v>2650</v>
      </c>
      <c r="AA1700" s="750">
        <v>43417</v>
      </c>
      <c r="AB1700" s="744" t="s">
        <v>5337</v>
      </c>
      <c r="AC1700" s="868"/>
      <c r="AD1700" s="744"/>
      <c r="AE1700" s="744" t="s">
        <v>5341</v>
      </c>
      <c r="AF1700" s="744" t="s">
        <v>5298</v>
      </c>
      <c r="AG1700" s="251" t="s">
        <v>376</v>
      </c>
    </row>
    <row r="1701" spans="1:33" ht="15.75" customHeight="1">
      <c r="A1701" s="743">
        <v>43364</v>
      </c>
      <c r="B1701" s="590" t="s">
        <v>577</v>
      </c>
      <c r="C1701" s="744">
        <v>20181005002</v>
      </c>
      <c r="D1701" s="250" t="s">
        <v>5333</v>
      </c>
      <c r="E1701" s="420" t="s">
        <v>5355</v>
      </c>
      <c r="F1701" s="251">
        <v>1</v>
      </c>
      <c r="G1701" s="252">
        <v>110.16</v>
      </c>
      <c r="H1701" s="253">
        <f t="shared" si="145"/>
        <v>110.16</v>
      </c>
      <c r="I1701" s="254" t="s">
        <v>170</v>
      </c>
      <c r="J1701" s="401" t="s">
        <v>1309</v>
      </c>
      <c r="K1701" s="865">
        <v>43430</v>
      </c>
      <c r="L1701" s="865"/>
      <c r="M1701" s="256">
        <v>43399</v>
      </c>
      <c r="N1701" s="331" t="s">
        <v>5356</v>
      </c>
      <c r="O1701" s="794" t="s">
        <v>5357</v>
      </c>
      <c r="Q1701" s="591"/>
      <c r="R1701" s="1406"/>
      <c r="S1701" s="1406"/>
      <c r="U1701" s="572">
        <v>2835</v>
      </c>
      <c r="V1701" s="308" t="s">
        <v>5358</v>
      </c>
      <c r="W1701" s="747">
        <v>43439</v>
      </c>
      <c r="X1701" s="748">
        <v>43399</v>
      </c>
      <c r="Y1701" s="744" t="s">
        <v>5359</v>
      </c>
      <c r="Z1701" s="749">
        <v>2835</v>
      </c>
      <c r="AA1701" s="748">
        <v>43445</v>
      </c>
      <c r="AB1701" s="744" t="s">
        <v>5337</v>
      </c>
      <c r="AC1701" s="868"/>
      <c r="AD1701" s="744"/>
      <c r="AE1701" s="744" t="s">
        <v>5341</v>
      </c>
      <c r="AF1701" s="744" t="s">
        <v>5298</v>
      </c>
      <c r="AG1701" s="251" t="s">
        <v>376</v>
      </c>
    </row>
    <row r="1702" spans="1:33" ht="15.75" customHeight="1">
      <c r="A1702" s="743">
        <v>43364</v>
      </c>
      <c r="B1702" s="590" t="s">
        <v>577</v>
      </c>
      <c r="C1702" s="744">
        <v>20181005002</v>
      </c>
      <c r="D1702" s="250" t="s">
        <v>5333</v>
      </c>
      <c r="E1702" s="420" t="s">
        <v>5360</v>
      </c>
      <c r="F1702" s="251">
        <v>1</v>
      </c>
      <c r="G1702" s="252">
        <v>3.44</v>
      </c>
      <c r="H1702" s="253">
        <f t="shared" si="145"/>
        <v>3.44</v>
      </c>
      <c r="I1702" s="254" t="s">
        <v>170</v>
      </c>
      <c r="J1702" s="401" t="s">
        <v>1309</v>
      </c>
      <c r="K1702" s="865">
        <v>43430</v>
      </c>
      <c r="L1702" s="865"/>
      <c r="M1702" s="264" t="s">
        <v>5361</v>
      </c>
      <c r="N1702" s="331"/>
      <c r="O1702" s="250"/>
      <c r="Q1702" s="591"/>
      <c r="R1702" s="1406"/>
      <c r="S1702" s="1406"/>
      <c r="U1702" s="589"/>
      <c r="V1702" s="308"/>
      <c r="W1702" s="771"/>
      <c r="X1702" s="746"/>
      <c r="Y1702" s="745"/>
      <c r="Z1702" s="864"/>
      <c r="AA1702" s="746"/>
      <c r="AB1702" s="744" t="s">
        <v>5337</v>
      </c>
      <c r="AC1702" s="868"/>
      <c r="AD1702" s="744"/>
      <c r="AE1702" s="744" t="s">
        <v>5341</v>
      </c>
      <c r="AF1702" s="744" t="s">
        <v>5298</v>
      </c>
      <c r="AG1702" s="251" t="s">
        <v>376</v>
      </c>
    </row>
    <row r="1703" spans="1:33" ht="15.75" customHeight="1">
      <c r="A1703" s="743">
        <v>43364</v>
      </c>
      <c r="B1703" s="590" t="s">
        <v>577</v>
      </c>
      <c r="C1703" s="744">
        <v>20181005002</v>
      </c>
      <c r="D1703" s="250" t="s">
        <v>5362</v>
      </c>
      <c r="E1703" s="420" t="s">
        <v>5319</v>
      </c>
      <c r="F1703" s="251">
        <v>1</v>
      </c>
      <c r="G1703" s="252">
        <v>156.63999999999999</v>
      </c>
      <c r="H1703" s="253">
        <f t="shared" si="145"/>
        <v>156.63999999999999</v>
      </c>
      <c r="I1703" s="254" t="s">
        <v>170</v>
      </c>
      <c r="J1703" s="401" t="s">
        <v>1309</v>
      </c>
      <c r="K1703" s="865">
        <v>43430</v>
      </c>
      <c r="L1703" s="865"/>
      <c r="M1703" s="865">
        <v>43412</v>
      </c>
      <c r="N1703" s="331" t="s">
        <v>3614</v>
      </c>
      <c r="O1703" s="308" t="s">
        <v>5363</v>
      </c>
      <c r="Q1703" s="266">
        <v>136.5</v>
      </c>
      <c r="R1703" s="1394"/>
      <c r="S1703" s="1394"/>
      <c r="U1703" s="589"/>
      <c r="V1703" s="597" t="s">
        <v>2159</v>
      </c>
      <c r="W1703" s="747">
        <v>43465</v>
      </c>
      <c r="X1703" s="748">
        <v>43402</v>
      </c>
      <c r="Y1703" s="744" t="s">
        <v>5321</v>
      </c>
      <c r="Z1703" s="749" t="s">
        <v>5364</v>
      </c>
      <c r="AA1703" s="748">
        <v>43467</v>
      </c>
      <c r="AB1703" s="744" t="s">
        <v>5337</v>
      </c>
      <c r="AC1703" s="868"/>
      <c r="AD1703" s="744"/>
      <c r="AE1703" s="744" t="s">
        <v>5341</v>
      </c>
      <c r="AF1703" s="744" t="s">
        <v>5298</v>
      </c>
      <c r="AG1703" s="251" t="s">
        <v>376</v>
      </c>
    </row>
    <row r="1704" spans="1:33" ht="15.75" customHeight="1">
      <c r="A1704" s="743">
        <v>43364</v>
      </c>
      <c r="B1704" s="590" t="s">
        <v>577</v>
      </c>
      <c r="C1704" s="744">
        <v>20181005002</v>
      </c>
      <c r="D1704" s="250" t="s">
        <v>5333</v>
      </c>
      <c r="E1704" s="420" t="s">
        <v>5365</v>
      </c>
      <c r="F1704" s="251">
        <v>1</v>
      </c>
      <c r="G1704" s="252">
        <v>263.36</v>
      </c>
      <c r="H1704" s="253">
        <f t="shared" si="145"/>
        <v>263.36</v>
      </c>
      <c r="I1704" s="254" t="s">
        <v>170</v>
      </c>
      <c r="J1704" s="401" t="s">
        <v>1309</v>
      </c>
      <c r="K1704" s="865">
        <v>43430</v>
      </c>
      <c r="L1704" s="865"/>
      <c r="M1704" s="865">
        <v>43423</v>
      </c>
      <c r="N1704" s="331" t="s">
        <v>5366</v>
      </c>
      <c r="O1704" s="794" t="s">
        <v>5367</v>
      </c>
      <c r="Q1704" s="591"/>
      <c r="R1704" s="1406"/>
      <c r="S1704" s="1406"/>
      <c r="U1704" s="572">
        <v>6300</v>
      </c>
      <c r="V1704" s="597" t="s">
        <v>5368</v>
      </c>
      <c r="W1704" s="574" t="s">
        <v>421</v>
      </c>
      <c r="X1704" s="748">
        <v>43423</v>
      </c>
      <c r="Y1704" s="744" t="s">
        <v>5369</v>
      </c>
      <c r="Z1704" s="749">
        <v>6300</v>
      </c>
      <c r="AA1704" s="748">
        <v>43396</v>
      </c>
      <c r="AB1704" s="744" t="s">
        <v>5337</v>
      </c>
      <c r="AC1704" s="868"/>
      <c r="AD1704" s="744"/>
      <c r="AE1704" s="744" t="s">
        <v>5341</v>
      </c>
      <c r="AF1704" s="744" t="s">
        <v>5298</v>
      </c>
      <c r="AG1704" s="251" t="s">
        <v>376</v>
      </c>
    </row>
    <row r="1705" spans="1:33" ht="15.75" customHeight="1">
      <c r="A1705" s="743">
        <v>43364</v>
      </c>
      <c r="B1705" s="590" t="s">
        <v>577</v>
      </c>
      <c r="C1705" s="744">
        <v>20181005002</v>
      </c>
      <c r="D1705" s="250" t="s">
        <v>5333</v>
      </c>
      <c r="E1705" s="595" t="s">
        <v>5370</v>
      </c>
      <c r="F1705" s="251">
        <v>1</v>
      </c>
      <c r="G1705" s="252">
        <v>51.64</v>
      </c>
      <c r="H1705" s="253">
        <f t="shared" si="145"/>
        <v>51.64</v>
      </c>
      <c r="I1705" s="254" t="s">
        <v>170</v>
      </c>
      <c r="J1705" s="401" t="s">
        <v>1309</v>
      </c>
      <c r="K1705" s="865">
        <v>43430</v>
      </c>
      <c r="L1705" s="865"/>
      <c r="M1705" s="865">
        <v>43430</v>
      </c>
      <c r="N1705" s="331" t="s">
        <v>2005</v>
      </c>
      <c r="O1705" s="598"/>
      <c r="Q1705" s="591"/>
      <c r="R1705" s="1406"/>
      <c r="S1705" s="1406"/>
      <c r="U1705" s="589"/>
      <c r="V1705" s="308"/>
      <c r="W1705" s="771"/>
      <c r="X1705" s="746"/>
      <c r="Y1705" s="745"/>
      <c r="Z1705" s="864"/>
      <c r="AA1705" s="746"/>
      <c r="AB1705" s="744" t="s">
        <v>5337</v>
      </c>
      <c r="AC1705" s="868"/>
      <c r="AD1705" s="744"/>
      <c r="AE1705" s="744" t="s">
        <v>5341</v>
      </c>
      <c r="AF1705" s="744" t="s">
        <v>5298</v>
      </c>
      <c r="AG1705" s="251" t="s">
        <v>376</v>
      </c>
    </row>
    <row r="1706" spans="1:33" ht="15.75" customHeight="1">
      <c r="A1706" s="755">
        <v>43367</v>
      </c>
      <c r="B1706" s="590" t="s">
        <v>405</v>
      </c>
      <c r="C1706" s="744">
        <v>7000141320</v>
      </c>
      <c r="D1706" s="250" t="s">
        <v>5371</v>
      </c>
      <c r="E1706" s="595" t="s">
        <v>5372</v>
      </c>
      <c r="F1706" s="251">
        <v>2</v>
      </c>
      <c r="G1706" s="252">
        <v>145</v>
      </c>
      <c r="H1706" s="253">
        <f t="shared" ref="H1706:H1711" si="146">G1706*F1706</f>
        <v>290</v>
      </c>
      <c r="I1706" s="254" t="s">
        <v>42</v>
      </c>
      <c r="J1706" s="331" t="s">
        <v>519</v>
      </c>
      <c r="K1706" s="256">
        <v>43381</v>
      </c>
      <c r="L1706" s="256"/>
      <c r="M1706" s="256">
        <v>43370</v>
      </c>
      <c r="N1706" s="331" t="s">
        <v>3432</v>
      </c>
      <c r="O1706" s="250" t="s">
        <v>5373</v>
      </c>
      <c r="Q1706" s="591"/>
      <c r="R1706" s="1406"/>
      <c r="S1706" s="1406"/>
      <c r="U1706" s="572">
        <v>7993</v>
      </c>
      <c r="V1706" s="308" t="s">
        <v>2045</v>
      </c>
      <c r="W1706" s="747">
        <v>43465</v>
      </c>
      <c r="X1706" s="748">
        <v>43370</v>
      </c>
      <c r="Y1706" s="744" t="s">
        <v>5374</v>
      </c>
      <c r="Z1706" s="749">
        <v>7993</v>
      </c>
      <c r="AA1706" s="748">
        <v>43467</v>
      </c>
      <c r="AB1706" s="744" t="s">
        <v>5375</v>
      </c>
      <c r="AC1706" s="868" t="s">
        <v>5376</v>
      </c>
      <c r="AD1706" s="744"/>
      <c r="AE1706" s="744"/>
      <c r="AF1706" s="744"/>
      <c r="AG1706" s="251" t="s">
        <v>283</v>
      </c>
    </row>
    <row r="1707" spans="1:33" ht="15.75" customHeight="1">
      <c r="A1707" s="755">
        <v>43367</v>
      </c>
      <c r="B1707" s="590" t="s">
        <v>405</v>
      </c>
      <c r="C1707" s="744">
        <v>7000141401</v>
      </c>
      <c r="D1707" s="250" t="s">
        <v>5377</v>
      </c>
      <c r="E1707" s="595" t="s">
        <v>844</v>
      </c>
      <c r="F1707" s="251">
        <v>6</v>
      </c>
      <c r="G1707" s="252">
        <v>186</v>
      </c>
      <c r="H1707" s="253">
        <f t="shared" si="146"/>
        <v>1116</v>
      </c>
      <c r="I1707" s="254" t="s">
        <v>42</v>
      </c>
      <c r="J1707" s="331" t="s">
        <v>519</v>
      </c>
      <c r="K1707" s="256">
        <v>43381</v>
      </c>
      <c r="L1707" s="256"/>
      <c r="M1707" s="256">
        <v>43370</v>
      </c>
      <c r="N1707" s="331" t="s">
        <v>3432</v>
      </c>
      <c r="O1707" s="250" t="s">
        <v>5378</v>
      </c>
      <c r="Q1707" s="591"/>
      <c r="R1707" s="1406"/>
      <c r="S1707" s="1406"/>
      <c r="U1707" s="572">
        <v>30845</v>
      </c>
      <c r="V1707" s="308" t="s">
        <v>2045</v>
      </c>
      <c r="W1707" s="747">
        <v>43465</v>
      </c>
      <c r="X1707" s="748">
        <v>43370</v>
      </c>
      <c r="Y1707" s="744" t="s">
        <v>5379</v>
      </c>
      <c r="Z1707" s="869">
        <v>41693</v>
      </c>
      <c r="AA1707" s="748">
        <v>43467</v>
      </c>
      <c r="AB1707" s="744" t="s">
        <v>5375</v>
      </c>
      <c r="AC1707" s="868" t="s">
        <v>5376</v>
      </c>
      <c r="AD1707" s="744"/>
      <c r="AE1707" s="744"/>
      <c r="AF1707" s="744"/>
      <c r="AG1707" s="251" t="s">
        <v>283</v>
      </c>
    </row>
    <row r="1708" spans="1:33" ht="15.75" customHeight="1">
      <c r="A1708" s="755">
        <v>43367</v>
      </c>
      <c r="B1708" s="590" t="s">
        <v>405</v>
      </c>
      <c r="C1708" s="744">
        <v>7000141401</v>
      </c>
      <c r="D1708" s="250" t="s">
        <v>5377</v>
      </c>
      <c r="E1708" s="595" t="s">
        <v>801</v>
      </c>
      <c r="F1708" s="251">
        <v>6</v>
      </c>
      <c r="G1708" s="252">
        <v>67</v>
      </c>
      <c r="H1708" s="253">
        <f t="shared" si="146"/>
        <v>402</v>
      </c>
      <c r="I1708" s="254" t="s">
        <v>42</v>
      </c>
      <c r="J1708" s="331" t="s">
        <v>519</v>
      </c>
      <c r="K1708" s="256">
        <v>43381</v>
      </c>
      <c r="L1708" s="256"/>
      <c r="M1708" s="256">
        <v>43370</v>
      </c>
      <c r="N1708" s="331" t="s">
        <v>3432</v>
      </c>
      <c r="O1708" s="250" t="s">
        <v>5378</v>
      </c>
      <c r="Q1708" s="591"/>
      <c r="R1708" s="1406"/>
      <c r="S1708" s="1406"/>
      <c r="U1708" s="572">
        <v>10848</v>
      </c>
      <c r="V1708" s="308" t="s">
        <v>2045</v>
      </c>
      <c r="W1708" s="747">
        <v>43465</v>
      </c>
      <c r="X1708" s="748">
        <v>43370</v>
      </c>
      <c r="Y1708" s="744" t="s">
        <v>5379</v>
      </c>
      <c r="Z1708" s="744" t="s">
        <v>5380</v>
      </c>
      <c r="AA1708" s="748">
        <v>43467</v>
      </c>
      <c r="AB1708" s="744" t="s">
        <v>5375</v>
      </c>
      <c r="AC1708" s="870" t="s">
        <v>5376</v>
      </c>
      <c r="AD1708" s="744"/>
      <c r="AE1708" s="744"/>
      <c r="AF1708" s="744"/>
      <c r="AG1708" s="251" t="s">
        <v>283</v>
      </c>
    </row>
    <row r="1709" spans="1:33" ht="15.75" customHeight="1">
      <c r="A1709" s="743">
        <v>43367</v>
      </c>
      <c r="B1709" s="590" t="s">
        <v>76</v>
      </c>
      <c r="C1709" s="744">
        <v>976</v>
      </c>
      <c r="D1709" s="250" t="s">
        <v>5381</v>
      </c>
      <c r="E1709" s="592" t="s">
        <v>819</v>
      </c>
      <c r="F1709" s="251">
        <v>20</v>
      </c>
      <c r="G1709" s="252">
        <v>14</v>
      </c>
      <c r="H1709" s="253">
        <f t="shared" si="146"/>
        <v>280</v>
      </c>
      <c r="I1709" s="254" t="s">
        <v>42</v>
      </c>
      <c r="J1709" s="331" t="s">
        <v>315</v>
      </c>
      <c r="K1709" s="256">
        <v>43389</v>
      </c>
      <c r="L1709" s="256"/>
      <c r="M1709" s="256">
        <v>43377</v>
      </c>
      <c r="N1709" s="331" t="s">
        <v>2008</v>
      </c>
      <c r="O1709" s="250" t="s">
        <v>5382</v>
      </c>
      <c r="Q1709" s="266">
        <v>252</v>
      </c>
      <c r="R1709" s="1394"/>
      <c r="S1709" s="1394"/>
      <c r="U1709" s="328"/>
      <c r="V1709" s="308" t="s">
        <v>2010</v>
      </c>
      <c r="W1709" s="789">
        <v>43391</v>
      </c>
      <c r="X1709" s="750">
        <v>43377</v>
      </c>
      <c r="Y1709" s="250" t="s">
        <v>5383</v>
      </c>
      <c r="Z1709" s="753">
        <v>7729</v>
      </c>
      <c r="AA1709" s="748">
        <v>43395</v>
      </c>
      <c r="AB1709" s="744" t="s">
        <v>5384</v>
      </c>
      <c r="AC1709" s="744">
        <v>946525672</v>
      </c>
      <c r="AD1709" s="744"/>
      <c r="AE1709" s="744"/>
      <c r="AF1709" s="744"/>
      <c r="AG1709" s="251" t="s">
        <v>283</v>
      </c>
    </row>
    <row r="1710" spans="1:33" ht="42" customHeight="1">
      <c r="A1710" s="743">
        <v>43367</v>
      </c>
      <c r="B1710" s="590" t="s">
        <v>76</v>
      </c>
      <c r="C1710" s="744">
        <v>976</v>
      </c>
      <c r="D1710" s="250" t="s">
        <v>5381</v>
      </c>
      <c r="E1710" s="595" t="s">
        <v>5385</v>
      </c>
      <c r="F1710" s="251">
        <v>50</v>
      </c>
      <c r="G1710" s="252">
        <v>2.25</v>
      </c>
      <c r="H1710" s="253">
        <f t="shared" si="146"/>
        <v>112.5</v>
      </c>
      <c r="I1710" s="254" t="s">
        <v>42</v>
      </c>
      <c r="J1710" s="331" t="s">
        <v>315</v>
      </c>
      <c r="K1710" s="256">
        <v>43389</v>
      </c>
      <c r="L1710" s="1477"/>
      <c r="M1710" s="331" t="s">
        <v>5268</v>
      </c>
      <c r="N1710" s="331" t="s">
        <v>5386</v>
      </c>
      <c r="O1710" s="308" t="s">
        <v>5387</v>
      </c>
      <c r="Q1710" s="591"/>
      <c r="R1710" s="1406"/>
      <c r="S1710" s="1406"/>
      <c r="U1710" s="328"/>
      <c r="V1710" s="386" t="s">
        <v>2093</v>
      </c>
      <c r="W1710" s="328"/>
      <c r="X1710" s="745"/>
      <c r="Y1710" s="745"/>
      <c r="Z1710" s="745"/>
      <c r="AA1710" s="746"/>
      <c r="AB1710" s="744" t="s">
        <v>5384</v>
      </c>
      <c r="AC1710" s="744">
        <v>946525672</v>
      </c>
      <c r="AD1710" s="744"/>
      <c r="AE1710" s="744"/>
      <c r="AF1710" s="744"/>
      <c r="AG1710" s="251" t="s">
        <v>283</v>
      </c>
    </row>
    <row r="1711" spans="1:33" ht="15.75" customHeight="1">
      <c r="A1711" s="755">
        <v>43367</v>
      </c>
      <c r="B1711" s="338" t="s">
        <v>53</v>
      </c>
      <c r="C1711" s="250" t="s">
        <v>5388</v>
      </c>
      <c r="D1711" s="308" t="s">
        <v>5389</v>
      </c>
      <c r="E1711" s="571" t="s">
        <v>385</v>
      </c>
      <c r="F1711" s="251">
        <v>10</v>
      </c>
      <c r="G1711" s="252">
        <v>150.15</v>
      </c>
      <c r="H1711" s="265">
        <f t="shared" si="146"/>
        <v>1501.5</v>
      </c>
      <c r="I1711" s="264" t="s">
        <v>42</v>
      </c>
      <c r="J1711" s="251" t="s">
        <v>89</v>
      </c>
      <c r="K1711" s="256">
        <v>43396</v>
      </c>
      <c r="L1711" s="256"/>
      <c r="M1711" s="256">
        <v>43396</v>
      </c>
      <c r="N1711" s="331" t="s">
        <v>89</v>
      </c>
      <c r="O1711" s="308" t="s">
        <v>5390</v>
      </c>
      <c r="Q1711" s="266">
        <v>1344</v>
      </c>
      <c r="R1711" s="1394"/>
      <c r="S1711" s="1394"/>
      <c r="U1711" s="328"/>
      <c r="V1711" s="338" t="s">
        <v>93</v>
      </c>
      <c r="W1711" s="747">
        <v>43434</v>
      </c>
      <c r="X1711" s="748">
        <v>43396</v>
      </c>
      <c r="Y1711" s="744" t="s">
        <v>5391</v>
      </c>
      <c r="Z1711" s="749">
        <v>41489</v>
      </c>
      <c r="AA1711" s="748">
        <v>43440</v>
      </c>
      <c r="AB1711" s="744" t="s">
        <v>5392</v>
      </c>
      <c r="AC1711" s="744"/>
      <c r="AD1711" s="595" t="s">
        <v>5393</v>
      </c>
      <c r="AE1711" s="749">
        <v>46418</v>
      </c>
      <c r="AF1711" s="744" t="s">
        <v>5394</v>
      </c>
      <c r="AG1711" s="251" t="s">
        <v>376</v>
      </c>
    </row>
    <row r="1712" spans="1:33" ht="15.75" customHeight="1">
      <c r="A1712" s="256">
        <v>43369</v>
      </c>
      <c r="B1712" s="871" t="s">
        <v>100</v>
      </c>
      <c r="C1712" s="356" t="s">
        <v>5395</v>
      </c>
      <c r="D1712" s="356" t="s">
        <v>5396</v>
      </c>
      <c r="E1712" s="871" t="s">
        <v>5397</v>
      </c>
      <c r="F1712" s="357">
        <v>5</v>
      </c>
      <c r="G1712" s="364">
        <v>1118</v>
      </c>
      <c r="H1712" s="265">
        <v>5590</v>
      </c>
      <c r="I1712" s="251" t="s">
        <v>302</v>
      </c>
      <c r="J1712" s="863" t="s">
        <v>437</v>
      </c>
      <c r="K1712" s="256">
        <v>43409</v>
      </c>
      <c r="L1712" s="256"/>
      <c r="M1712" s="256">
        <v>43409</v>
      </c>
      <c r="N1712" s="331" t="s">
        <v>1414</v>
      </c>
      <c r="O1712" s="356" t="s">
        <v>5398</v>
      </c>
      <c r="Q1712" s="266">
        <v>5223.75</v>
      </c>
      <c r="R1712" s="1394"/>
      <c r="S1712" s="1394"/>
      <c r="U1712" s="572">
        <v>159350</v>
      </c>
      <c r="V1712" s="318" t="s">
        <v>1947</v>
      </c>
      <c r="W1712" s="747">
        <v>43465</v>
      </c>
      <c r="X1712" s="750">
        <v>43410</v>
      </c>
      <c r="Y1712" s="250" t="s">
        <v>5399</v>
      </c>
      <c r="Z1712" s="753">
        <v>159350</v>
      </c>
      <c r="AA1712" s="750">
        <v>43469</v>
      </c>
      <c r="AB1712" s="250" t="s">
        <v>5400</v>
      </c>
      <c r="AC1712" s="744">
        <v>2574425405</v>
      </c>
      <c r="AD1712" s="818"/>
      <c r="AE1712" s="818"/>
      <c r="AF1712" s="818"/>
      <c r="AG1712" s="251" t="s">
        <v>283</v>
      </c>
    </row>
    <row r="1713" spans="1:33" ht="15.75" customHeight="1">
      <c r="A1713" s="256">
        <v>43369</v>
      </c>
      <c r="B1713" s="871" t="s">
        <v>100</v>
      </c>
      <c r="C1713" s="356" t="s">
        <v>5395</v>
      </c>
      <c r="D1713" s="356" t="s">
        <v>5401</v>
      </c>
      <c r="E1713" s="420" t="s">
        <v>346</v>
      </c>
      <c r="F1713" s="251">
        <v>1</v>
      </c>
      <c r="G1713" s="252">
        <v>362</v>
      </c>
      <c r="H1713" s="266">
        <f t="shared" ref="H1713:H1718" si="147">G1713*F1713</f>
        <v>362</v>
      </c>
      <c r="I1713" s="264" t="s">
        <v>302</v>
      </c>
      <c r="J1713" s="267" t="s">
        <v>437</v>
      </c>
      <c r="K1713" s="256">
        <v>43409</v>
      </c>
      <c r="L1713" s="256"/>
      <c r="M1713" s="256"/>
      <c r="N1713" s="331" t="s">
        <v>1999</v>
      </c>
      <c r="O1713" s="356"/>
      <c r="Q1713" s="591"/>
      <c r="R1713" s="1406"/>
      <c r="S1713" s="1406"/>
      <c r="U1713" s="572">
        <v>11501</v>
      </c>
      <c r="V1713" s="318" t="s">
        <v>2000</v>
      </c>
      <c r="W1713" s="789">
        <v>43443</v>
      </c>
      <c r="X1713" s="748">
        <v>43413</v>
      </c>
      <c r="Y1713" s="744" t="s">
        <v>5402</v>
      </c>
      <c r="Z1713" s="749">
        <v>11501</v>
      </c>
      <c r="AA1713" s="748">
        <v>43445</v>
      </c>
      <c r="AB1713" s="818"/>
      <c r="AC1713" s="745"/>
      <c r="AD1713" s="744"/>
      <c r="AE1713" s="744"/>
      <c r="AF1713" s="744"/>
      <c r="AG1713" s="251" t="s">
        <v>283</v>
      </c>
    </row>
    <row r="1714" spans="1:33" ht="15.75" customHeight="1">
      <c r="A1714" s="256">
        <v>43370</v>
      </c>
      <c r="B1714" s="872" t="s">
        <v>166</v>
      </c>
      <c r="C1714" s="356" t="s">
        <v>5403</v>
      </c>
      <c r="D1714" s="356" t="s">
        <v>5404</v>
      </c>
      <c r="E1714" s="595" t="s">
        <v>5405</v>
      </c>
      <c r="F1714" s="357">
        <v>2</v>
      </c>
      <c r="G1714" s="364">
        <v>1155</v>
      </c>
      <c r="H1714" s="265">
        <f t="shared" si="147"/>
        <v>2310</v>
      </c>
      <c r="I1714" s="264" t="s">
        <v>302</v>
      </c>
      <c r="J1714" s="863" t="s">
        <v>262</v>
      </c>
      <c r="K1714" s="256">
        <v>43409</v>
      </c>
      <c r="L1714" s="256"/>
      <c r="M1714" s="264" t="s">
        <v>4563</v>
      </c>
      <c r="N1714" s="264" t="s">
        <v>4563</v>
      </c>
      <c r="O1714" s="308" t="s">
        <v>5406</v>
      </c>
      <c r="Q1714" s="266"/>
      <c r="R1714" s="1394"/>
      <c r="S1714" s="1394"/>
      <c r="U1714" s="589"/>
      <c r="V1714" s="308"/>
      <c r="W1714" s="308"/>
      <c r="X1714" s="818"/>
      <c r="Y1714" s="818"/>
      <c r="Z1714" s="818"/>
      <c r="AA1714" s="788"/>
      <c r="AB1714" s="250" t="s">
        <v>5407</v>
      </c>
      <c r="AC1714" s="250">
        <v>2072662826</v>
      </c>
      <c r="AD1714" s="250"/>
      <c r="AE1714" s="250"/>
      <c r="AF1714" s="250"/>
      <c r="AG1714" s="264" t="s">
        <v>538</v>
      </c>
    </row>
    <row r="1715" spans="1:33" ht="15.75" customHeight="1">
      <c r="A1715" s="256">
        <v>43370</v>
      </c>
      <c r="B1715" s="872" t="s">
        <v>166</v>
      </c>
      <c r="C1715" s="356" t="s">
        <v>5403</v>
      </c>
      <c r="D1715" s="356" t="s">
        <v>5404</v>
      </c>
      <c r="E1715" s="595" t="s">
        <v>4751</v>
      </c>
      <c r="F1715" s="251">
        <v>2</v>
      </c>
      <c r="G1715" s="252">
        <v>132</v>
      </c>
      <c r="H1715" s="265">
        <f t="shared" si="147"/>
        <v>264</v>
      </c>
      <c r="I1715" s="264" t="s">
        <v>302</v>
      </c>
      <c r="J1715" s="863" t="s">
        <v>262</v>
      </c>
      <c r="K1715" s="256">
        <v>43409</v>
      </c>
      <c r="L1715" s="256"/>
      <c r="M1715" s="264" t="s">
        <v>4563</v>
      </c>
      <c r="N1715" s="264" t="s">
        <v>4563</v>
      </c>
      <c r="O1715" s="308" t="s">
        <v>5406</v>
      </c>
      <c r="Q1715" s="591"/>
      <c r="R1715" s="1406"/>
      <c r="S1715" s="1406"/>
      <c r="U1715" s="589"/>
      <c r="V1715" s="597"/>
      <c r="W1715" s="771"/>
      <c r="X1715" s="748"/>
      <c r="Y1715" s="744"/>
      <c r="Z1715" s="749"/>
      <c r="AA1715" s="746"/>
      <c r="AB1715" s="250" t="s">
        <v>5407</v>
      </c>
      <c r="AC1715" s="250">
        <v>2072662826</v>
      </c>
      <c r="AD1715" s="744"/>
      <c r="AE1715" s="744"/>
      <c r="AF1715" s="744"/>
      <c r="AG1715" s="264" t="s">
        <v>538</v>
      </c>
    </row>
    <row r="1716" spans="1:33" ht="15.75" customHeight="1">
      <c r="A1716" s="743">
        <v>43371</v>
      </c>
      <c r="B1716" s="263" t="s">
        <v>100</v>
      </c>
      <c r="C1716" s="356" t="s">
        <v>5408</v>
      </c>
      <c r="D1716" s="356" t="s">
        <v>5409</v>
      </c>
      <c r="E1716" s="420" t="s">
        <v>5410</v>
      </c>
      <c r="F1716" s="438">
        <v>8</v>
      </c>
      <c r="G1716" s="252">
        <v>291</v>
      </c>
      <c r="H1716" s="266">
        <f t="shared" si="147"/>
        <v>2328</v>
      </c>
      <c r="I1716" s="254" t="s">
        <v>170</v>
      </c>
      <c r="J1716" s="267" t="s">
        <v>437</v>
      </c>
      <c r="K1716" s="256">
        <v>43384</v>
      </c>
      <c r="L1716" s="256"/>
      <c r="M1716" s="256">
        <v>43384</v>
      </c>
      <c r="N1716" s="401" t="s">
        <v>1995</v>
      </c>
      <c r="O1716" s="308" t="s">
        <v>5411</v>
      </c>
      <c r="Q1716" s="591"/>
      <c r="R1716" s="1406"/>
      <c r="S1716" s="1406"/>
      <c r="U1716" s="572">
        <v>72181</v>
      </c>
      <c r="V1716" s="571" t="s">
        <v>1997</v>
      </c>
      <c r="W1716" s="789">
        <v>43439</v>
      </c>
      <c r="X1716" s="748">
        <v>43384</v>
      </c>
      <c r="Y1716" s="744" t="s">
        <v>5412</v>
      </c>
      <c r="Z1716" s="749">
        <v>74248</v>
      </c>
      <c r="AA1716" s="748">
        <v>43445</v>
      </c>
      <c r="AB1716" s="744" t="s">
        <v>5413</v>
      </c>
      <c r="AC1716" s="744">
        <v>7300335022</v>
      </c>
      <c r="AD1716" s="744"/>
      <c r="AE1716" s="744"/>
      <c r="AF1716" s="744"/>
      <c r="AG1716" s="251" t="s">
        <v>283</v>
      </c>
    </row>
    <row r="1717" spans="1:33" ht="15.75" customHeight="1">
      <c r="A1717" s="743">
        <v>43371</v>
      </c>
      <c r="B1717" s="263" t="s">
        <v>100</v>
      </c>
      <c r="C1717" s="356" t="s">
        <v>5408</v>
      </c>
      <c r="D1717" s="356" t="s">
        <v>5409</v>
      </c>
      <c r="E1717" s="420" t="s">
        <v>4972</v>
      </c>
      <c r="F1717" s="438">
        <v>8</v>
      </c>
      <c r="G1717" s="252">
        <v>56</v>
      </c>
      <c r="H1717" s="266">
        <f t="shared" si="147"/>
        <v>448</v>
      </c>
      <c r="I1717" s="254" t="s">
        <v>170</v>
      </c>
      <c r="J1717" s="267" t="s">
        <v>437</v>
      </c>
      <c r="K1717" s="256">
        <v>43384</v>
      </c>
      <c r="L1717" s="256"/>
      <c r="M1717" s="256">
        <v>43378</v>
      </c>
      <c r="N1717" s="401" t="s">
        <v>4682</v>
      </c>
      <c r="O1717" s="356" t="s">
        <v>5414</v>
      </c>
      <c r="Q1717" s="591"/>
      <c r="R1717" s="1406"/>
      <c r="S1717" s="1406"/>
      <c r="U1717" s="572">
        <v>10046</v>
      </c>
      <c r="V1717" s="308" t="s">
        <v>2126</v>
      </c>
      <c r="W1717" s="328"/>
      <c r="X1717" s="748">
        <v>43376</v>
      </c>
      <c r="Y1717" s="744" t="s">
        <v>5415</v>
      </c>
      <c r="Z1717" s="749">
        <v>10046</v>
      </c>
      <c r="AA1717" s="748">
        <v>43374</v>
      </c>
      <c r="AB1717" s="744" t="s">
        <v>5413</v>
      </c>
      <c r="AC1717" s="744">
        <v>7300335022</v>
      </c>
      <c r="AD1717" s="744"/>
      <c r="AE1717" s="744"/>
      <c r="AF1717" s="744"/>
      <c r="AG1717" s="251" t="s">
        <v>283</v>
      </c>
    </row>
    <row r="1718" spans="1:33" ht="26.25" customHeight="1">
      <c r="A1718" s="743">
        <v>43371</v>
      </c>
      <c r="B1718" s="263" t="s">
        <v>100</v>
      </c>
      <c r="C1718" s="356" t="s">
        <v>5408</v>
      </c>
      <c r="D1718" s="356" t="s">
        <v>5409</v>
      </c>
      <c r="E1718" s="860" t="s">
        <v>291</v>
      </c>
      <c r="F1718" s="873">
        <v>8</v>
      </c>
      <c r="G1718" s="365">
        <v>6</v>
      </c>
      <c r="H1718" s="253">
        <f t="shared" si="147"/>
        <v>48</v>
      </c>
      <c r="I1718" s="254" t="s">
        <v>170</v>
      </c>
      <c r="J1718" s="267" t="s">
        <v>437</v>
      </c>
      <c r="K1718" s="256">
        <v>43384</v>
      </c>
      <c r="L1718" s="256"/>
      <c r="M1718" s="256">
        <v>43384</v>
      </c>
      <c r="N1718" s="401" t="s">
        <v>1995</v>
      </c>
      <c r="O1718" s="308" t="s">
        <v>5411</v>
      </c>
      <c r="Q1718" s="591"/>
      <c r="R1718" s="1406"/>
      <c r="S1718" s="1406"/>
      <c r="U1718" s="572">
        <v>2066</v>
      </c>
      <c r="V1718" s="571" t="s">
        <v>1997</v>
      </c>
      <c r="W1718" s="789">
        <v>43439</v>
      </c>
      <c r="X1718" s="748">
        <v>43384</v>
      </c>
      <c r="Y1718" s="744" t="s">
        <v>5412</v>
      </c>
      <c r="Z1718" s="744" t="s">
        <v>5416</v>
      </c>
      <c r="AA1718" s="748">
        <v>43445</v>
      </c>
      <c r="AB1718" s="744" t="s">
        <v>5413</v>
      </c>
      <c r="AC1718" s="744">
        <v>7300335022</v>
      </c>
      <c r="AD1718" s="744"/>
      <c r="AE1718" s="744"/>
      <c r="AF1718" s="744"/>
      <c r="AG1718" s="251" t="s">
        <v>283</v>
      </c>
    </row>
    <row r="1719" spans="1:33" ht="15.75" customHeight="1">
      <c r="A1719" s="256">
        <v>43384</v>
      </c>
      <c r="B1719" s="871" t="s">
        <v>100</v>
      </c>
      <c r="C1719" s="356" t="s">
        <v>0</v>
      </c>
      <c r="D1719" s="356" t="s">
        <v>5417</v>
      </c>
      <c r="E1719" s="871" t="s">
        <v>5418</v>
      </c>
      <c r="F1719" s="357">
        <v>1</v>
      </c>
      <c r="G1719" s="364">
        <v>107</v>
      </c>
      <c r="H1719" s="265">
        <v>107</v>
      </c>
      <c r="I1719" s="264" t="s">
        <v>302</v>
      </c>
      <c r="J1719" s="267" t="s">
        <v>437</v>
      </c>
      <c r="K1719" s="256">
        <v>43384</v>
      </c>
      <c r="L1719" s="256"/>
      <c r="M1719" s="586" t="s">
        <v>0</v>
      </c>
      <c r="N1719" s="331" t="s">
        <v>1999</v>
      </c>
      <c r="O1719" s="356"/>
      <c r="Q1719" s="591"/>
      <c r="R1719" s="1406"/>
      <c r="S1719" s="1406"/>
      <c r="U1719" s="572">
        <v>5158</v>
      </c>
      <c r="V1719" s="318" t="s">
        <v>2000</v>
      </c>
      <c r="W1719" s="747">
        <v>43422</v>
      </c>
      <c r="X1719" s="750">
        <v>43392</v>
      </c>
      <c r="Y1719" s="250" t="s">
        <v>5419</v>
      </c>
      <c r="Z1719" s="753">
        <v>5158</v>
      </c>
      <c r="AA1719" s="750">
        <v>43413</v>
      </c>
      <c r="AB1719" s="744"/>
      <c r="AC1719" s="250"/>
      <c r="AD1719" s="818"/>
      <c r="AE1719" s="818"/>
      <c r="AF1719" s="818"/>
      <c r="AG1719" s="264" t="s">
        <v>283</v>
      </c>
    </row>
    <row r="1720" spans="1:33" ht="15.75" customHeight="1">
      <c r="A1720" s="743">
        <v>43374</v>
      </c>
      <c r="B1720" s="263" t="s">
        <v>577</v>
      </c>
      <c r="C1720" s="874">
        <v>20180928001</v>
      </c>
      <c r="D1720" s="366" t="s">
        <v>5420</v>
      </c>
      <c r="E1720" s="595" t="s">
        <v>4707</v>
      </c>
      <c r="F1720" s="251">
        <v>1</v>
      </c>
      <c r="G1720" s="252">
        <v>194.25</v>
      </c>
      <c r="H1720" s="253">
        <f t="shared" ref="H1720:H1734" si="148">G1720*F1720</f>
        <v>194.25</v>
      </c>
      <c r="I1720" s="254" t="s">
        <v>170</v>
      </c>
      <c r="J1720" s="319" t="s">
        <v>580</v>
      </c>
      <c r="K1720" s="256">
        <v>43384</v>
      </c>
      <c r="L1720" s="256"/>
      <c r="M1720" s="256">
        <v>43384</v>
      </c>
      <c r="N1720" s="331" t="s">
        <v>1414</v>
      </c>
      <c r="O1720" s="366" t="s">
        <v>5421</v>
      </c>
      <c r="Q1720" s="591"/>
      <c r="R1720" s="1406"/>
      <c r="S1720" s="1406"/>
      <c r="U1720" s="572">
        <v>5129</v>
      </c>
      <c r="V1720" s="318" t="s">
        <v>1947</v>
      </c>
      <c r="W1720" s="747">
        <v>43434</v>
      </c>
      <c r="X1720" s="748">
        <v>43382</v>
      </c>
      <c r="Y1720" s="744" t="s">
        <v>5422</v>
      </c>
      <c r="Z1720" s="749">
        <v>5129</v>
      </c>
      <c r="AA1720" s="748">
        <v>43437</v>
      </c>
      <c r="AB1720" s="744" t="s">
        <v>5423</v>
      </c>
      <c r="AC1720" s="744"/>
      <c r="AD1720" s="744" t="s">
        <v>3498</v>
      </c>
      <c r="AE1720" s="749">
        <v>5828</v>
      </c>
      <c r="AF1720" s="744" t="s">
        <v>5424</v>
      </c>
      <c r="AG1720" s="251"/>
    </row>
    <row r="1721" spans="1:33" ht="15.75" customHeight="1">
      <c r="A1721" s="743">
        <v>43375</v>
      </c>
      <c r="B1721" s="144" t="s">
        <v>405</v>
      </c>
      <c r="C1721" s="744">
        <v>7000141577</v>
      </c>
      <c r="D1721" s="250" t="s">
        <v>5425</v>
      </c>
      <c r="E1721" s="595" t="s">
        <v>5426</v>
      </c>
      <c r="F1721" s="251">
        <v>10</v>
      </c>
      <c r="G1721" s="252">
        <v>685</v>
      </c>
      <c r="H1721" s="253">
        <f t="shared" si="148"/>
        <v>6850</v>
      </c>
      <c r="I1721" s="254" t="s">
        <v>42</v>
      </c>
      <c r="J1721" s="331" t="s">
        <v>519</v>
      </c>
      <c r="K1721" s="256">
        <v>43430</v>
      </c>
      <c r="L1721" s="256"/>
      <c r="M1721" s="401" t="s">
        <v>2074</v>
      </c>
      <c r="N1721" s="331"/>
      <c r="O1721" s="250" t="s">
        <v>5427</v>
      </c>
      <c r="Q1721" s="591"/>
      <c r="R1721" s="1406"/>
      <c r="S1721" s="1406"/>
      <c r="U1721" s="589"/>
      <c r="V1721" s="308"/>
      <c r="W1721" s="328"/>
      <c r="X1721" s="745"/>
      <c r="Y1721" s="745"/>
      <c r="Z1721" s="745"/>
      <c r="AA1721" s="746"/>
      <c r="AB1721" s="250" t="s">
        <v>5428</v>
      </c>
      <c r="AC1721" s="744" t="s">
        <v>5429</v>
      </c>
      <c r="AD1721" s="744"/>
      <c r="AE1721" s="744"/>
      <c r="AF1721" s="744"/>
      <c r="AG1721" s="251" t="s">
        <v>283</v>
      </c>
    </row>
    <row r="1722" spans="1:33" ht="15.75" customHeight="1">
      <c r="A1722" s="743">
        <v>43375</v>
      </c>
      <c r="B1722" s="144" t="s">
        <v>405</v>
      </c>
      <c r="C1722" s="744">
        <v>7000141577</v>
      </c>
      <c r="D1722" s="250" t="s">
        <v>5430</v>
      </c>
      <c r="E1722" s="595" t="s">
        <v>511</v>
      </c>
      <c r="F1722" s="251">
        <v>10</v>
      </c>
      <c r="G1722" s="252">
        <v>39</v>
      </c>
      <c r="H1722" s="253">
        <f t="shared" si="148"/>
        <v>390</v>
      </c>
      <c r="I1722" s="254" t="s">
        <v>42</v>
      </c>
      <c r="J1722" s="331" t="s">
        <v>519</v>
      </c>
      <c r="K1722" s="256">
        <v>43430</v>
      </c>
      <c r="L1722" s="256"/>
      <c r="M1722" s="401" t="s">
        <v>2074</v>
      </c>
      <c r="N1722" s="331"/>
      <c r="O1722" s="250" t="s">
        <v>5427</v>
      </c>
      <c r="Q1722" s="591"/>
      <c r="R1722" s="1406"/>
      <c r="S1722" s="1406"/>
      <c r="U1722" s="589"/>
      <c r="V1722" s="308"/>
      <c r="W1722" s="328"/>
      <c r="X1722" s="745"/>
      <c r="Y1722" s="745"/>
      <c r="Z1722" s="745"/>
      <c r="AA1722" s="746"/>
      <c r="AB1722" s="250" t="s">
        <v>5428</v>
      </c>
      <c r="AC1722" s="744" t="s">
        <v>5429</v>
      </c>
      <c r="AD1722" s="744"/>
      <c r="AE1722" s="744"/>
      <c r="AF1722" s="744"/>
      <c r="AG1722" s="251" t="s">
        <v>283</v>
      </c>
    </row>
    <row r="1723" spans="1:33" ht="15.75" customHeight="1">
      <c r="A1723" s="743">
        <v>43375</v>
      </c>
      <c r="B1723" s="144" t="s">
        <v>405</v>
      </c>
      <c r="C1723" s="744">
        <v>7000141577</v>
      </c>
      <c r="D1723" s="250" t="s">
        <v>5430</v>
      </c>
      <c r="E1723" s="595" t="s">
        <v>514</v>
      </c>
      <c r="F1723" s="251">
        <v>10</v>
      </c>
      <c r="G1723" s="252">
        <v>43</v>
      </c>
      <c r="H1723" s="253">
        <f t="shared" si="148"/>
        <v>430</v>
      </c>
      <c r="I1723" s="254" t="s">
        <v>42</v>
      </c>
      <c r="J1723" s="331" t="s">
        <v>519</v>
      </c>
      <c r="K1723" s="256">
        <v>43430</v>
      </c>
      <c r="L1723" s="256"/>
      <c r="M1723" s="401" t="s">
        <v>2074</v>
      </c>
      <c r="N1723" s="331"/>
      <c r="O1723" s="250" t="s">
        <v>5427</v>
      </c>
      <c r="Q1723" s="591"/>
      <c r="R1723" s="1406"/>
      <c r="S1723" s="1406"/>
      <c r="U1723" s="589"/>
      <c r="V1723" s="308"/>
      <c r="W1723" s="328"/>
      <c r="X1723" s="745"/>
      <c r="Y1723" s="745"/>
      <c r="Z1723" s="745"/>
      <c r="AA1723" s="746"/>
      <c r="AB1723" s="250" t="s">
        <v>5428</v>
      </c>
      <c r="AC1723" s="744" t="s">
        <v>5429</v>
      </c>
      <c r="AD1723" s="744"/>
      <c r="AE1723" s="744"/>
      <c r="AF1723" s="744"/>
      <c r="AG1723" s="251" t="s">
        <v>283</v>
      </c>
    </row>
    <row r="1724" spans="1:33" ht="15.75" customHeight="1">
      <c r="A1724" s="743">
        <v>43381</v>
      </c>
      <c r="B1724" s="144" t="s">
        <v>76</v>
      </c>
      <c r="C1724" s="744">
        <v>1009</v>
      </c>
      <c r="D1724" s="250" t="s">
        <v>5431</v>
      </c>
      <c r="E1724" s="595" t="s">
        <v>5105</v>
      </c>
      <c r="F1724" s="251">
        <v>4</v>
      </c>
      <c r="G1724" s="252">
        <v>200</v>
      </c>
      <c r="H1724" s="253">
        <f t="shared" si="148"/>
        <v>800</v>
      </c>
      <c r="I1724" s="254" t="s">
        <v>42</v>
      </c>
      <c r="J1724" s="875" t="s">
        <v>4938</v>
      </c>
      <c r="K1724" s="256">
        <v>43398</v>
      </c>
      <c r="L1724" s="256"/>
      <c r="M1724" s="256">
        <v>43385</v>
      </c>
      <c r="N1724" s="331" t="s">
        <v>5432</v>
      </c>
      <c r="O1724" s="308" t="s">
        <v>5433</v>
      </c>
      <c r="Q1724" s="591"/>
      <c r="R1724" s="1406"/>
      <c r="S1724" s="1406"/>
      <c r="U1724" s="572">
        <v>11171</v>
      </c>
      <c r="V1724" s="597" t="s">
        <v>4941</v>
      </c>
      <c r="W1724" s="328"/>
      <c r="X1724" s="750">
        <v>43384</v>
      </c>
      <c r="Y1724" s="250" t="s">
        <v>5434</v>
      </c>
      <c r="Z1724" s="749">
        <v>11171</v>
      </c>
      <c r="AA1724" s="748">
        <v>43381</v>
      </c>
      <c r="AB1724" s="744" t="s">
        <v>5435</v>
      </c>
      <c r="AC1724" s="794" t="s">
        <v>5436</v>
      </c>
      <c r="AD1724" s="744"/>
      <c r="AE1724" s="744"/>
      <c r="AF1724" s="744"/>
      <c r="AG1724" s="251" t="s">
        <v>283</v>
      </c>
    </row>
    <row r="1725" spans="1:33" ht="15.75" customHeight="1">
      <c r="A1725" s="743">
        <v>43381</v>
      </c>
      <c r="B1725" s="144" t="s">
        <v>76</v>
      </c>
      <c r="C1725" s="744">
        <v>1009</v>
      </c>
      <c r="D1725" s="250" t="s">
        <v>5431</v>
      </c>
      <c r="E1725" s="420" t="s">
        <v>644</v>
      </c>
      <c r="F1725" s="251">
        <v>4</v>
      </c>
      <c r="G1725" s="252">
        <v>0</v>
      </c>
      <c r="H1725" s="253">
        <f t="shared" si="148"/>
        <v>0</v>
      </c>
      <c r="I1725" s="254" t="s">
        <v>42</v>
      </c>
      <c r="J1725" s="875" t="s">
        <v>4938</v>
      </c>
      <c r="K1725" s="256">
        <v>43398</v>
      </c>
      <c r="L1725" s="256"/>
      <c r="M1725" s="256">
        <v>43389</v>
      </c>
      <c r="N1725" s="331" t="s">
        <v>1512</v>
      </c>
      <c r="O1725" s="308" t="s">
        <v>5437</v>
      </c>
      <c r="Q1725" s="591"/>
      <c r="R1725" s="1406"/>
      <c r="S1725" s="1406"/>
      <c r="U1725" s="572">
        <v>12470</v>
      </c>
      <c r="V1725" s="744" t="s">
        <v>2109</v>
      </c>
      <c r="W1725" s="747">
        <v>43409</v>
      </c>
      <c r="X1725" s="750">
        <v>43389</v>
      </c>
      <c r="Y1725" s="250" t="s">
        <v>5259</v>
      </c>
      <c r="Z1725" s="744" t="s">
        <v>5438</v>
      </c>
      <c r="AA1725" s="748">
        <v>43409</v>
      </c>
      <c r="AB1725" s="744" t="s">
        <v>5435</v>
      </c>
      <c r="AC1725" s="794" t="s">
        <v>5436</v>
      </c>
      <c r="AD1725" s="744"/>
      <c r="AE1725" s="744"/>
      <c r="AF1725" s="744"/>
      <c r="AG1725" s="251" t="s">
        <v>283</v>
      </c>
    </row>
    <row r="1726" spans="1:33" ht="15.75" customHeight="1">
      <c r="A1726" s="743">
        <v>43381</v>
      </c>
      <c r="B1726" s="144" t="s">
        <v>76</v>
      </c>
      <c r="C1726" s="744">
        <v>1009</v>
      </c>
      <c r="D1726" s="250" t="s">
        <v>5431</v>
      </c>
      <c r="E1726" s="250" t="s">
        <v>645</v>
      </c>
      <c r="F1726" s="251">
        <v>4</v>
      </c>
      <c r="G1726" s="252">
        <v>0</v>
      </c>
      <c r="H1726" s="253">
        <f t="shared" si="148"/>
        <v>0</v>
      </c>
      <c r="I1726" s="254" t="s">
        <v>42</v>
      </c>
      <c r="J1726" s="875" t="s">
        <v>4938</v>
      </c>
      <c r="K1726" s="256">
        <v>43398</v>
      </c>
      <c r="L1726" s="256"/>
      <c r="M1726" s="256">
        <v>43389</v>
      </c>
      <c r="N1726" s="331" t="s">
        <v>1512</v>
      </c>
      <c r="O1726" s="308" t="s">
        <v>5437</v>
      </c>
      <c r="Q1726" s="591"/>
      <c r="R1726" s="1406"/>
      <c r="S1726" s="1406"/>
      <c r="U1726" s="572">
        <v>0</v>
      </c>
      <c r="V1726" s="744" t="s">
        <v>2109</v>
      </c>
      <c r="W1726" s="747">
        <v>43409</v>
      </c>
      <c r="X1726" s="750">
        <v>43389</v>
      </c>
      <c r="Y1726" s="250" t="s">
        <v>5259</v>
      </c>
      <c r="Z1726" s="744" t="s">
        <v>5438</v>
      </c>
      <c r="AA1726" s="748">
        <v>43409</v>
      </c>
      <c r="AB1726" s="744" t="s">
        <v>5435</v>
      </c>
      <c r="AC1726" s="794" t="s">
        <v>5436</v>
      </c>
      <c r="AD1726" s="744"/>
      <c r="AE1726" s="744"/>
      <c r="AF1726" s="744"/>
      <c r="AG1726" s="251" t="s">
        <v>283</v>
      </c>
    </row>
    <row r="1727" spans="1:33" ht="15.75" customHeight="1">
      <c r="A1727" s="743">
        <v>43381</v>
      </c>
      <c r="B1727" s="144" t="s">
        <v>76</v>
      </c>
      <c r="C1727" s="744">
        <v>1009</v>
      </c>
      <c r="D1727" s="250" t="s">
        <v>5431</v>
      </c>
      <c r="E1727" s="250" t="s">
        <v>646</v>
      </c>
      <c r="F1727" s="251">
        <v>4</v>
      </c>
      <c r="G1727" s="252">
        <v>0</v>
      </c>
      <c r="H1727" s="253">
        <f t="shared" si="148"/>
        <v>0</v>
      </c>
      <c r="I1727" s="254" t="s">
        <v>42</v>
      </c>
      <c r="J1727" s="875" t="s">
        <v>4938</v>
      </c>
      <c r="K1727" s="256">
        <v>43398</v>
      </c>
      <c r="L1727" s="256"/>
      <c r="M1727" s="256">
        <v>43389</v>
      </c>
      <c r="N1727" s="331" t="s">
        <v>1512</v>
      </c>
      <c r="O1727" s="308" t="s">
        <v>5437</v>
      </c>
      <c r="Q1727" s="591"/>
      <c r="R1727" s="1406"/>
      <c r="S1727" s="1406"/>
      <c r="U1727" s="572">
        <v>0</v>
      </c>
      <c r="V1727" s="744" t="s">
        <v>2109</v>
      </c>
      <c r="W1727" s="747">
        <v>43409</v>
      </c>
      <c r="X1727" s="750">
        <v>43389</v>
      </c>
      <c r="Y1727" s="250" t="s">
        <v>5259</v>
      </c>
      <c r="Z1727" s="744" t="s">
        <v>5438</v>
      </c>
      <c r="AA1727" s="748">
        <v>43409</v>
      </c>
      <c r="AB1727" s="744" t="s">
        <v>5435</v>
      </c>
      <c r="AC1727" s="794" t="s">
        <v>5436</v>
      </c>
      <c r="AD1727" s="744"/>
      <c r="AE1727" s="744"/>
      <c r="AF1727" s="744"/>
      <c r="AG1727" s="251" t="s">
        <v>283</v>
      </c>
    </row>
    <row r="1728" spans="1:33" ht="15.75" customHeight="1">
      <c r="A1728" s="743">
        <v>43381</v>
      </c>
      <c r="B1728" s="144" t="s">
        <v>76</v>
      </c>
      <c r="C1728" s="744">
        <v>1009</v>
      </c>
      <c r="D1728" s="250" t="s">
        <v>5431</v>
      </c>
      <c r="E1728" s="250" t="s">
        <v>647</v>
      </c>
      <c r="F1728" s="251">
        <v>4</v>
      </c>
      <c r="G1728" s="252">
        <v>0</v>
      </c>
      <c r="H1728" s="253">
        <f t="shared" si="148"/>
        <v>0</v>
      </c>
      <c r="I1728" s="254" t="s">
        <v>42</v>
      </c>
      <c r="J1728" s="875" t="s">
        <v>4938</v>
      </c>
      <c r="K1728" s="256">
        <v>43398</v>
      </c>
      <c r="L1728" s="256"/>
      <c r="M1728" s="256">
        <v>43389</v>
      </c>
      <c r="N1728" s="331" t="s">
        <v>1512</v>
      </c>
      <c r="O1728" s="308" t="s">
        <v>5437</v>
      </c>
      <c r="Q1728" s="591"/>
      <c r="R1728" s="1406"/>
      <c r="S1728" s="1406"/>
      <c r="U1728" s="572">
        <v>0</v>
      </c>
      <c r="V1728" s="744" t="s">
        <v>2109</v>
      </c>
      <c r="W1728" s="747">
        <v>43409</v>
      </c>
      <c r="X1728" s="750">
        <v>43389</v>
      </c>
      <c r="Y1728" s="250" t="s">
        <v>5259</v>
      </c>
      <c r="Z1728" s="744" t="s">
        <v>5438</v>
      </c>
      <c r="AA1728" s="748">
        <v>43409</v>
      </c>
      <c r="AB1728" s="744" t="s">
        <v>5435</v>
      </c>
      <c r="AC1728" s="794" t="s">
        <v>5436</v>
      </c>
      <c r="AD1728" s="744"/>
      <c r="AE1728" s="744"/>
      <c r="AF1728" s="744"/>
      <c r="AG1728" s="251" t="s">
        <v>283</v>
      </c>
    </row>
    <row r="1729" spans="1:33" ht="15.75" customHeight="1">
      <c r="A1729" s="743">
        <v>43381</v>
      </c>
      <c r="B1729" s="144" t="s">
        <v>76</v>
      </c>
      <c r="C1729" s="744">
        <v>1009</v>
      </c>
      <c r="D1729" s="250" t="s">
        <v>5431</v>
      </c>
      <c r="E1729" s="250" t="s">
        <v>4948</v>
      </c>
      <c r="F1729" s="251">
        <v>4</v>
      </c>
      <c r="G1729" s="252">
        <v>0</v>
      </c>
      <c r="H1729" s="253">
        <f t="shared" si="148"/>
        <v>0</v>
      </c>
      <c r="I1729" s="254" t="s">
        <v>42</v>
      </c>
      <c r="J1729" s="875" t="s">
        <v>4938</v>
      </c>
      <c r="K1729" s="256">
        <v>43398</v>
      </c>
      <c r="L1729" s="256"/>
      <c r="M1729" s="264" t="s">
        <v>178</v>
      </c>
      <c r="N1729" s="331" t="s">
        <v>2006</v>
      </c>
      <c r="O1729" s="308"/>
      <c r="Q1729" s="591"/>
      <c r="R1729" s="1406"/>
      <c r="S1729" s="1406"/>
      <c r="U1729" s="589"/>
      <c r="V1729" s="308"/>
      <c r="W1729" s="328"/>
      <c r="X1729" s="745"/>
      <c r="Y1729" s="745"/>
      <c r="Z1729" s="745"/>
      <c r="AA1729" s="746"/>
      <c r="AB1729" s="744" t="s">
        <v>5435</v>
      </c>
      <c r="AC1729" s="794" t="s">
        <v>5436</v>
      </c>
      <c r="AD1729" s="744"/>
      <c r="AE1729" s="744"/>
      <c r="AF1729" s="744"/>
      <c r="AG1729" s="251" t="s">
        <v>283</v>
      </c>
    </row>
    <row r="1730" spans="1:33" ht="15.75" customHeight="1">
      <c r="A1730" s="743">
        <v>43381</v>
      </c>
      <c r="B1730" s="144" t="s">
        <v>76</v>
      </c>
      <c r="C1730" s="744">
        <v>1009</v>
      </c>
      <c r="D1730" s="250" t="s">
        <v>5431</v>
      </c>
      <c r="E1730" s="595" t="s">
        <v>3402</v>
      </c>
      <c r="F1730" s="251">
        <v>4</v>
      </c>
      <c r="G1730" s="252">
        <v>6</v>
      </c>
      <c r="H1730" s="253">
        <f t="shared" si="148"/>
        <v>24</v>
      </c>
      <c r="I1730" s="254" t="s">
        <v>42</v>
      </c>
      <c r="J1730" s="875" t="s">
        <v>4938</v>
      </c>
      <c r="K1730" s="256">
        <v>43398</v>
      </c>
      <c r="L1730" s="256"/>
      <c r="M1730" s="264" t="s">
        <v>178</v>
      </c>
      <c r="N1730" s="331" t="s">
        <v>2006</v>
      </c>
      <c r="O1730" s="308" t="s">
        <v>5110</v>
      </c>
      <c r="Q1730" s="591"/>
      <c r="R1730" s="1406"/>
      <c r="S1730" s="1406"/>
      <c r="U1730" s="589"/>
      <c r="V1730" s="308"/>
      <c r="W1730" s="328"/>
      <c r="X1730" s="745"/>
      <c r="Y1730" s="745"/>
      <c r="Z1730" s="745"/>
      <c r="AA1730" s="746"/>
      <c r="AB1730" s="744" t="s">
        <v>5435</v>
      </c>
      <c r="AC1730" s="794" t="s">
        <v>5436</v>
      </c>
      <c r="AD1730" s="744"/>
      <c r="AE1730" s="744"/>
      <c r="AF1730" s="744"/>
      <c r="AG1730" s="251" t="s">
        <v>283</v>
      </c>
    </row>
    <row r="1731" spans="1:33" ht="15.75" customHeight="1">
      <c r="A1731" s="743">
        <v>43381</v>
      </c>
      <c r="B1731" s="144" t="s">
        <v>76</v>
      </c>
      <c r="C1731" s="744">
        <v>1009</v>
      </c>
      <c r="D1731" s="250" t="s">
        <v>5431</v>
      </c>
      <c r="E1731" s="595" t="s">
        <v>5111</v>
      </c>
      <c r="F1731" s="251">
        <v>4</v>
      </c>
      <c r="G1731" s="252">
        <v>2</v>
      </c>
      <c r="H1731" s="253">
        <f t="shared" si="148"/>
        <v>8</v>
      </c>
      <c r="I1731" s="254" t="s">
        <v>42</v>
      </c>
      <c r="J1731" s="875" t="s">
        <v>4938</v>
      </c>
      <c r="K1731" s="256">
        <v>43398</v>
      </c>
      <c r="L1731" s="256"/>
      <c r="M1731" s="264" t="s">
        <v>178</v>
      </c>
      <c r="N1731" s="331" t="s">
        <v>2006</v>
      </c>
      <c r="O1731" s="308" t="s">
        <v>5110</v>
      </c>
      <c r="Q1731" s="591"/>
      <c r="R1731" s="1406"/>
      <c r="S1731" s="1406"/>
      <c r="U1731" s="589"/>
      <c r="V1731" s="308"/>
      <c r="W1731" s="328"/>
      <c r="X1731" s="745"/>
      <c r="Y1731" s="745"/>
      <c r="Z1731" s="745"/>
      <c r="AA1731" s="746"/>
      <c r="AB1731" s="744" t="s">
        <v>5435</v>
      </c>
      <c r="AC1731" s="794" t="s">
        <v>5436</v>
      </c>
      <c r="AD1731" s="744"/>
      <c r="AE1731" s="744"/>
      <c r="AF1731" s="744"/>
      <c r="AG1731" s="251" t="s">
        <v>283</v>
      </c>
    </row>
    <row r="1732" spans="1:33" ht="15.75" customHeight="1">
      <c r="A1732" s="743">
        <v>43381</v>
      </c>
      <c r="B1732" s="590" t="s">
        <v>405</v>
      </c>
      <c r="C1732" s="744">
        <v>7000141715</v>
      </c>
      <c r="D1732" s="250" t="s">
        <v>5439</v>
      </c>
      <c r="E1732" s="595" t="s">
        <v>609</v>
      </c>
      <c r="F1732" s="251">
        <v>7</v>
      </c>
      <c r="G1732" s="252">
        <v>148</v>
      </c>
      <c r="H1732" s="253">
        <f t="shared" si="148"/>
        <v>1036</v>
      </c>
      <c r="I1732" s="254" t="s">
        <v>42</v>
      </c>
      <c r="J1732" s="331" t="s">
        <v>3840</v>
      </c>
      <c r="K1732" s="256">
        <v>43391</v>
      </c>
      <c r="L1732" s="256"/>
      <c r="M1732" s="256">
        <v>43385</v>
      </c>
      <c r="N1732" s="331" t="s">
        <v>5440</v>
      </c>
      <c r="O1732" s="250" t="s">
        <v>5441</v>
      </c>
      <c r="Q1732" s="591"/>
      <c r="R1732" s="1406"/>
      <c r="S1732" s="1406"/>
      <c r="U1732" s="572">
        <v>28680</v>
      </c>
      <c r="V1732" s="308" t="s">
        <v>2045</v>
      </c>
      <c r="W1732" s="747">
        <v>43465</v>
      </c>
      <c r="X1732" s="748">
        <v>43385</v>
      </c>
      <c r="Y1732" s="744" t="s">
        <v>5442</v>
      </c>
      <c r="Z1732" s="749">
        <v>55380</v>
      </c>
      <c r="AA1732" s="748">
        <v>43467</v>
      </c>
      <c r="AB1732" s="744" t="s">
        <v>5443</v>
      </c>
      <c r="AC1732" s="744">
        <v>6793487632</v>
      </c>
      <c r="AD1732" s="745"/>
      <c r="AE1732" s="745"/>
      <c r="AF1732" s="745"/>
      <c r="AG1732" s="251" t="s">
        <v>283</v>
      </c>
    </row>
    <row r="1733" spans="1:33" ht="15.75" customHeight="1">
      <c r="A1733" s="743">
        <v>43381</v>
      </c>
      <c r="B1733" s="590" t="s">
        <v>405</v>
      </c>
      <c r="C1733" s="744">
        <v>7000141715</v>
      </c>
      <c r="D1733" s="356" t="s">
        <v>5444</v>
      </c>
      <c r="E1733" s="595" t="s">
        <v>518</v>
      </c>
      <c r="F1733" s="251">
        <v>5</v>
      </c>
      <c r="G1733" s="252">
        <v>149</v>
      </c>
      <c r="H1733" s="253">
        <f t="shared" si="148"/>
        <v>745</v>
      </c>
      <c r="I1733" s="254" t="s">
        <v>42</v>
      </c>
      <c r="J1733" s="331" t="s">
        <v>3840</v>
      </c>
      <c r="K1733" s="256">
        <v>43391</v>
      </c>
      <c r="L1733" s="256"/>
      <c r="M1733" s="256">
        <v>43385</v>
      </c>
      <c r="N1733" s="331" t="s">
        <v>2043</v>
      </c>
      <c r="O1733" s="250" t="s">
        <v>5441</v>
      </c>
      <c r="Q1733" s="591"/>
      <c r="R1733" s="1406"/>
      <c r="S1733" s="1406"/>
      <c r="U1733" s="572">
        <v>20548</v>
      </c>
      <c r="V1733" s="308" t="s">
        <v>2045</v>
      </c>
      <c r="W1733" s="747">
        <v>43465</v>
      </c>
      <c r="X1733" s="748">
        <v>43385</v>
      </c>
      <c r="Y1733" s="744" t="s">
        <v>5442</v>
      </c>
      <c r="Z1733" s="744" t="s">
        <v>5445</v>
      </c>
      <c r="AA1733" s="748">
        <v>43467</v>
      </c>
      <c r="AB1733" s="744" t="s">
        <v>5443</v>
      </c>
      <c r="AC1733" s="744">
        <v>6793487632</v>
      </c>
      <c r="AD1733" s="745"/>
      <c r="AE1733" s="745"/>
      <c r="AF1733" s="745"/>
      <c r="AG1733" s="251" t="s">
        <v>283</v>
      </c>
    </row>
    <row r="1734" spans="1:33" ht="15.75" customHeight="1">
      <c r="A1734" s="743">
        <v>43381</v>
      </c>
      <c r="B1734" s="590" t="s">
        <v>405</v>
      </c>
      <c r="C1734" s="744">
        <v>7000141715</v>
      </c>
      <c r="D1734" s="250" t="s">
        <v>5439</v>
      </c>
      <c r="E1734" s="595" t="s">
        <v>944</v>
      </c>
      <c r="F1734" s="251">
        <v>3</v>
      </c>
      <c r="G1734" s="252">
        <v>74</v>
      </c>
      <c r="H1734" s="253">
        <f t="shared" si="148"/>
        <v>222</v>
      </c>
      <c r="I1734" s="254" t="s">
        <v>42</v>
      </c>
      <c r="J1734" s="331" t="s">
        <v>3840</v>
      </c>
      <c r="K1734" s="256">
        <v>43391</v>
      </c>
      <c r="L1734" s="256"/>
      <c r="M1734" s="256">
        <v>43385</v>
      </c>
      <c r="N1734" s="331" t="s">
        <v>2043</v>
      </c>
      <c r="O1734" s="250" t="s">
        <v>5441</v>
      </c>
      <c r="Q1734" s="591"/>
      <c r="R1734" s="1406"/>
      <c r="S1734" s="1406"/>
      <c r="U1734" s="572">
        <v>6152</v>
      </c>
      <c r="V1734" s="308" t="s">
        <v>2045</v>
      </c>
      <c r="W1734" s="747">
        <v>43465</v>
      </c>
      <c r="X1734" s="748">
        <v>43385</v>
      </c>
      <c r="Y1734" s="744" t="s">
        <v>5442</v>
      </c>
      <c r="Z1734" s="744" t="s">
        <v>5445</v>
      </c>
      <c r="AA1734" s="748">
        <v>43467</v>
      </c>
      <c r="AB1734" s="744" t="s">
        <v>5443</v>
      </c>
      <c r="AC1734" s="744">
        <v>6793487632</v>
      </c>
      <c r="AD1734" s="745"/>
      <c r="AE1734" s="745"/>
      <c r="AF1734" s="745"/>
      <c r="AG1734" s="251" t="s">
        <v>283</v>
      </c>
    </row>
    <row r="1735" spans="1:33" ht="15.75" customHeight="1">
      <c r="A1735" s="256">
        <v>43381</v>
      </c>
      <c r="B1735" s="871" t="s">
        <v>100</v>
      </c>
      <c r="C1735" s="356" t="s">
        <v>5446</v>
      </c>
      <c r="D1735" s="876"/>
      <c r="E1735" s="588" t="s">
        <v>5447</v>
      </c>
      <c r="F1735" s="357">
        <v>5</v>
      </c>
      <c r="G1735" s="364">
        <v>1108</v>
      </c>
      <c r="H1735" s="265">
        <f t="shared" ref="H1735:H1736" si="149">F1735*G1735</f>
        <v>5540</v>
      </c>
      <c r="I1735" s="264" t="s">
        <v>302</v>
      </c>
      <c r="J1735" s="863" t="s">
        <v>3578</v>
      </c>
      <c r="K1735" s="256">
        <v>43409</v>
      </c>
      <c r="L1735" s="256"/>
      <c r="M1735" s="256">
        <v>43406</v>
      </c>
      <c r="N1735" s="331" t="s">
        <v>1414</v>
      </c>
      <c r="O1735" s="356" t="s">
        <v>5448</v>
      </c>
      <c r="Q1735" s="266" t="s">
        <v>0</v>
      </c>
      <c r="R1735" s="1394"/>
      <c r="S1735" s="1394"/>
      <c r="U1735" s="572">
        <v>161545</v>
      </c>
      <c r="V1735" s="318" t="s">
        <v>1947</v>
      </c>
      <c r="W1735" s="747">
        <v>43465</v>
      </c>
      <c r="X1735" s="750">
        <v>43406</v>
      </c>
      <c r="Y1735" s="250" t="s">
        <v>5449</v>
      </c>
      <c r="Z1735" s="753">
        <v>161545</v>
      </c>
      <c r="AA1735" s="750">
        <v>43469</v>
      </c>
      <c r="AB1735" s="250" t="s">
        <v>5400</v>
      </c>
      <c r="AC1735" s="595">
        <v>2574425405</v>
      </c>
      <c r="AD1735" s="818"/>
      <c r="AE1735" s="818"/>
      <c r="AF1735" s="818"/>
      <c r="AG1735" s="251" t="s">
        <v>283</v>
      </c>
    </row>
    <row r="1736" spans="1:33" ht="15.75" customHeight="1">
      <c r="A1736" s="256">
        <v>43381</v>
      </c>
      <c r="B1736" s="871" t="s">
        <v>100</v>
      </c>
      <c r="C1736" s="356" t="s">
        <v>5446</v>
      </c>
      <c r="D1736" s="356" t="s">
        <v>5450</v>
      </c>
      <c r="E1736" s="871" t="s">
        <v>5451</v>
      </c>
      <c r="F1736" s="357">
        <v>7</v>
      </c>
      <c r="G1736" s="364">
        <v>1108</v>
      </c>
      <c r="H1736" s="265">
        <f t="shared" si="149"/>
        <v>7756</v>
      </c>
      <c r="I1736" s="264" t="s">
        <v>302</v>
      </c>
      <c r="J1736" s="863" t="s">
        <v>3578</v>
      </c>
      <c r="K1736" s="256">
        <v>43420</v>
      </c>
      <c r="L1736" s="256"/>
      <c r="M1736" s="256">
        <v>43418</v>
      </c>
      <c r="N1736" s="331" t="s">
        <v>1414</v>
      </c>
      <c r="O1736" s="356" t="s">
        <v>5448</v>
      </c>
      <c r="Q1736" s="266" t="s">
        <v>0</v>
      </c>
      <c r="R1736" s="1394"/>
      <c r="S1736" s="1394"/>
      <c r="U1736" s="572">
        <v>226163</v>
      </c>
      <c r="V1736" s="318" t="s">
        <v>1947</v>
      </c>
      <c r="W1736" s="747">
        <v>43465</v>
      </c>
      <c r="X1736" s="750">
        <v>43417</v>
      </c>
      <c r="Y1736" s="250" t="s">
        <v>5452</v>
      </c>
      <c r="Z1736" s="753">
        <v>226163</v>
      </c>
      <c r="AA1736" s="750">
        <v>43469</v>
      </c>
      <c r="AB1736" s="250" t="s">
        <v>5274</v>
      </c>
      <c r="AC1736" s="744">
        <v>7282183672</v>
      </c>
      <c r="AD1736" s="818"/>
      <c r="AE1736" s="818"/>
      <c r="AF1736" s="818"/>
      <c r="AG1736" s="251" t="s">
        <v>283</v>
      </c>
    </row>
    <row r="1737" spans="1:33" ht="15.75" customHeight="1">
      <c r="A1737" s="743">
        <v>43381</v>
      </c>
      <c r="B1737" s="590" t="s">
        <v>405</v>
      </c>
      <c r="C1737" s="250">
        <v>7000141826</v>
      </c>
      <c r="D1737" s="420" t="s">
        <v>5453</v>
      </c>
      <c r="E1737" s="595" t="s">
        <v>5454</v>
      </c>
      <c r="F1737" s="251">
        <v>1</v>
      </c>
      <c r="G1737" s="252">
        <v>280</v>
      </c>
      <c r="H1737" s="253">
        <f t="shared" ref="H1737:H1739" si="150">G1737*F1737</f>
        <v>280</v>
      </c>
      <c r="I1737" s="254" t="s">
        <v>42</v>
      </c>
      <c r="J1737" s="331" t="s">
        <v>3840</v>
      </c>
      <c r="K1737" s="256">
        <v>43391</v>
      </c>
      <c r="L1737" s="256"/>
      <c r="M1737" s="256">
        <v>43391</v>
      </c>
      <c r="N1737" s="264" t="s">
        <v>5455</v>
      </c>
      <c r="O1737" s="308" t="s">
        <v>5456</v>
      </c>
      <c r="Q1737" s="266">
        <v>232.05</v>
      </c>
      <c r="R1737" s="1394"/>
      <c r="S1737" s="1394"/>
      <c r="U1737" s="630">
        <v>7136</v>
      </c>
      <c r="V1737" s="250" t="s">
        <v>5457</v>
      </c>
      <c r="W1737" s="747">
        <v>43465</v>
      </c>
      <c r="X1737" s="788">
        <v>43412</v>
      </c>
      <c r="Y1737" s="250" t="s">
        <v>5458</v>
      </c>
      <c r="Z1737" s="753">
        <v>7136</v>
      </c>
      <c r="AA1737" s="748">
        <v>43467</v>
      </c>
      <c r="AB1737" s="744" t="s">
        <v>5443</v>
      </c>
      <c r="AC1737" s="744">
        <v>6793487632</v>
      </c>
      <c r="AD1737" s="745"/>
      <c r="AE1737" s="745"/>
      <c r="AF1737" s="745"/>
      <c r="AG1737" s="251" t="s">
        <v>283</v>
      </c>
    </row>
    <row r="1738" spans="1:33" ht="15.75" customHeight="1">
      <c r="A1738" s="743">
        <v>43381</v>
      </c>
      <c r="B1738" s="263" t="s">
        <v>118</v>
      </c>
      <c r="C1738" s="874" t="s">
        <v>5459</v>
      </c>
      <c r="D1738" s="366" t="s">
        <v>5460</v>
      </c>
      <c r="E1738" s="794" t="s">
        <v>157</v>
      </c>
      <c r="F1738" s="251">
        <v>1</v>
      </c>
      <c r="G1738" s="265">
        <v>979</v>
      </c>
      <c r="H1738" s="253">
        <f t="shared" si="150"/>
        <v>979</v>
      </c>
      <c r="I1738" s="254" t="s">
        <v>170</v>
      </c>
      <c r="J1738" s="426" t="s">
        <v>121</v>
      </c>
      <c r="K1738" s="256">
        <v>43427</v>
      </c>
      <c r="L1738" s="256"/>
      <c r="M1738" s="256">
        <v>43423</v>
      </c>
      <c r="N1738" s="331" t="s">
        <v>89</v>
      </c>
      <c r="O1738" s="308" t="s">
        <v>5461</v>
      </c>
      <c r="Q1738" s="266">
        <v>835.8</v>
      </c>
      <c r="R1738" s="1394"/>
      <c r="S1738" s="1394"/>
      <c r="U1738" s="589"/>
      <c r="V1738" s="338" t="s">
        <v>93</v>
      </c>
      <c r="W1738" s="747">
        <v>43465</v>
      </c>
      <c r="X1738" s="748">
        <v>43420</v>
      </c>
      <c r="Y1738" s="744" t="s">
        <v>5462</v>
      </c>
      <c r="Z1738" s="749">
        <v>25663</v>
      </c>
      <c r="AA1738" s="748">
        <v>43467</v>
      </c>
      <c r="AB1738" s="250" t="s">
        <v>5463</v>
      </c>
      <c r="AC1738" s="744" t="s">
        <v>5464</v>
      </c>
      <c r="AD1738" s="744"/>
      <c r="AE1738" s="744"/>
      <c r="AF1738" s="744"/>
      <c r="AG1738" s="264" t="s">
        <v>283</v>
      </c>
    </row>
    <row r="1739" spans="1:33" ht="15.75" customHeight="1">
      <c r="A1739" s="743">
        <v>43383</v>
      </c>
      <c r="B1739" s="590" t="s">
        <v>405</v>
      </c>
      <c r="C1739" s="744">
        <v>7000141821</v>
      </c>
      <c r="D1739" s="250" t="s">
        <v>5465</v>
      </c>
      <c r="E1739" s="595" t="s">
        <v>518</v>
      </c>
      <c r="F1739" s="251">
        <v>100</v>
      </c>
      <c r="G1739" s="252">
        <v>143.62</v>
      </c>
      <c r="H1739" s="253">
        <f t="shared" si="150"/>
        <v>14362</v>
      </c>
      <c r="I1739" s="254" t="s">
        <v>42</v>
      </c>
      <c r="J1739" s="331" t="s">
        <v>3840</v>
      </c>
      <c r="K1739" s="256">
        <v>43410</v>
      </c>
      <c r="L1739" s="256"/>
      <c r="M1739" s="256">
        <v>43405</v>
      </c>
      <c r="N1739" s="331" t="s">
        <v>3432</v>
      </c>
      <c r="O1739" s="250" t="s">
        <v>5466</v>
      </c>
      <c r="Q1739" s="591"/>
      <c r="R1739" s="1406"/>
      <c r="S1739" s="1406"/>
      <c r="U1739" s="770">
        <v>410970</v>
      </c>
      <c r="V1739" s="308" t="s">
        <v>2045</v>
      </c>
      <c r="W1739" s="747">
        <v>43131</v>
      </c>
      <c r="X1739" s="748">
        <v>43404</v>
      </c>
      <c r="Y1739" s="744" t="s">
        <v>5467</v>
      </c>
      <c r="Z1739" s="749">
        <v>410970</v>
      </c>
      <c r="AA1739" s="748">
        <v>43494</v>
      </c>
      <c r="AB1739" s="744" t="s">
        <v>5468</v>
      </c>
      <c r="AC1739" s="744">
        <v>2292362284</v>
      </c>
      <c r="AD1739" s="744"/>
      <c r="AE1739" s="744"/>
      <c r="AF1739" s="744"/>
      <c r="AG1739" s="251" t="s">
        <v>283</v>
      </c>
    </row>
    <row r="1740" spans="1:33" ht="15.75" customHeight="1">
      <c r="A1740" s="743">
        <v>43384</v>
      </c>
      <c r="B1740" s="263" t="s">
        <v>129</v>
      </c>
      <c r="C1740" s="874" t="s">
        <v>5469</v>
      </c>
      <c r="D1740" s="366" t="s">
        <v>5470</v>
      </c>
      <c r="E1740" s="595" t="s">
        <v>5471</v>
      </c>
      <c r="F1740" s="251">
        <v>10</v>
      </c>
      <c r="G1740" s="252">
        <v>90</v>
      </c>
      <c r="H1740" s="253">
        <v>900</v>
      </c>
      <c r="I1740" s="254" t="s">
        <v>419</v>
      </c>
      <c r="J1740" s="855" t="s">
        <v>5472</v>
      </c>
      <c r="K1740" s="256">
        <v>43419</v>
      </c>
      <c r="L1740" s="256"/>
      <c r="M1740" s="256">
        <v>43397</v>
      </c>
      <c r="N1740" s="331" t="s">
        <v>89</v>
      </c>
      <c r="O1740" s="308" t="s">
        <v>5473</v>
      </c>
      <c r="Q1740" s="266">
        <v>892.5</v>
      </c>
      <c r="R1740" s="1394"/>
      <c r="S1740" s="1394"/>
      <c r="U1740" s="589"/>
      <c r="V1740" s="338" t="s">
        <v>93</v>
      </c>
      <c r="W1740" s="747">
        <v>43434</v>
      </c>
      <c r="X1740" s="748">
        <v>43396</v>
      </c>
      <c r="Y1740" s="744" t="s">
        <v>5474</v>
      </c>
      <c r="Z1740" s="749">
        <v>62882</v>
      </c>
      <c r="AA1740" s="748">
        <v>43440</v>
      </c>
      <c r="AB1740" s="571" t="s">
        <v>5475</v>
      </c>
      <c r="AC1740" s="744" t="s">
        <v>5476</v>
      </c>
      <c r="AD1740" s="744"/>
      <c r="AE1740" s="744"/>
      <c r="AF1740" s="744"/>
      <c r="AG1740" s="264" t="s">
        <v>283</v>
      </c>
    </row>
    <row r="1741" spans="1:33" ht="15.75" customHeight="1">
      <c r="A1741" s="743">
        <v>43384</v>
      </c>
      <c r="B1741" s="263" t="s">
        <v>129</v>
      </c>
      <c r="C1741" s="874" t="s">
        <v>5469</v>
      </c>
      <c r="D1741" s="366" t="s">
        <v>5470</v>
      </c>
      <c r="E1741" s="595" t="s">
        <v>5477</v>
      </c>
      <c r="F1741" s="251">
        <v>10</v>
      </c>
      <c r="G1741" s="252">
        <v>66</v>
      </c>
      <c r="H1741" s="253">
        <v>660</v>
      </c>
      <c r="I1741" s="254" t="s">
        <v>419</v>
      </c>
      <c r="J1741" s="855" t="s">
        <v>5472</v>
      </c>
      <c r="K1741" s="256">
        <v>43419</v>
      </c>
      <c r="L1741" s="256"/>
      <c r="M1741" s="256">
        <v>43397</v>
      </c>
      <c r="N1741" s="331" t="s">
        <v>89</v>
      </c>
      <c r="O1741" s="308" t="s">
        <v>5473</v>
      </c>
      <c r="Q1741" s="266">
        <v>630</v>
      </c>
      <c r="R1741" s="1394"/>
      <c r="S1741" s="1394"/>
      <c r="U1741" s="589"/>
      <c r="V1741" s="338" t="s">
        <v>93</v>
      </c>
      <c r="W1741" s="747">
        <v>43434</v>
      </c>
      <c r="X1741" s="748">
        <v>43396</v>
      </c>
      <c r="Y1741" s="744" t="s">
        <v>5474</v>
      </c>
      <c r="Z1741" s="744" t="s">
        <v>5478</v>
      </c>
      <c r="AA1741" s="748">
        <v>43440</v>
      </c>
      <c r="AB1741" s="571" t="s">
        <v>5475</v>
      </c>
      <c r="AC1741" s="744" t="s">
        <v>5476</v>
      </c>
      <c r="AD1741" s="744"/>
      <c r="AE1741" s="744"/>
      <c r="AF1741" s="744"/>
      <c r="AG1741" s="264" t="s">
        <v>283</v>
      </c>
    </row>
    <row r="1742" spans="1:33" ht="15.75" customHeight="1">
      <c r="A1742" s="743">
        <v>43384</v>
      </c>
      <c r="B1742" s="263" t="s">
        <v>129</v>
      </c>
      <c r="C1742" s="874" t="s">
        <v>5469</v>
      </c>
      <c r="D1742" s="366" t="s">
        <v>5470</v>
      </c>
      <c r="E1742" s="595" t="s">
        <v>710</v>
      </c>
      <c r="F1742" s="251">
        <v>5</v>
      </c>
      <c r="G1742" s="252">
        <v>50</v>
      </c>
      <c r="H1742" s="253">
        <v>250</v>
      </c>
      <c r="I1742" s="254" t="s">
        <v>419</v>
      </c>
      <c r="J1742" s="855" t="s">
        <v>5472</v>
      </c>
      <c r="K1742" s="256">
        <v>43419</v>
      </c>
      <c r="L1742" s="256"/>
      <c r="M1742" s="256">
        <v>43397</v>
      </c>
      <c r="N1742" s="331" t="s">
        <v>89</v>
      </c>
      <c r="O1742" s="308" t="s">
        <v>5473</v>
      </c>
      <c r="Q1742" s="266">
        <v>241.5</v>
      </c>
      <c r="R1742" s="1394"/>
      <c r="S1742" s="1394"/>
      <c r="U1742" s="589"/>
      <c r="V1742" s="338" t="s">
        <v>93</v>
      </c>
      <c r="W1742" s="747">
        <v>43434</v>
      </c>
      <c r="X1742" s="748">
        <v>43396</v>
      </c>
      <c r="Y1742" s="744" t="s">
        <v>5474</v>
      </c>
      <c r="Z1742" s="744" t="s">
        <v>5478</v>
      </c>
      <c r="AA1742" s="748">
        <v>43440</v>
      </c>
      <c r="AB1742" s="571" t="s">
        <v>5475</v>
      </c>
      <c r="AC1742" s="744" t="s">
        <v>5476</v>
      </c>
      <c r="AD1742" s="744"/>
      <c r="AE1742" s="744"/>
      <c r="AF1742" s="744"/>
      <c r="AG1742" s="264" t="s">
        <v>283</v>
      </c>
    </row>
    <row r="1743" spans="1:33" ht="15.75" customHeight="1">
      <c r="A1743" s="743">
        <v>43384</v>
      </c>
      <c r="B1743" s="263" t="s">
        <v>129</v>
      </c>
      <c r="C1743" s="874" t="s">
        <v>5469</v>
      </c>
      <c r="D1743" s="366" t="s">
        <v>5470</v>
      </c>
      <c r="E1743" s="595" t="s">
        <v>452</v>
      </c>
      <c r="F1743" s="251">
        <v>5</v>
      </c>
      <c r="G1743" s="252">
        <v>58</v>
      </c>
      <c r="H1743" s="253">
        <v>290</v>
      </c>
      <c r="I1743" s="254" t="s">
        <v>419</v>
      </c>
      <c r="J1743" s="855" t="s">
        <v>5472</v>
      </c>
      <c r="K1743" s="256">
        <v>43419</v>
      </c>
      <c r="L1743" s="256"/>
      <c r="M1743" s="256">
        <v>43397</v>
      </c>
      <c r="N1743" s="331" t="s">
        <v>89</v>
      </c>
      <c r="O1743" s="308" t="s">
        <v>5473</v>
      </c>
      <c r="Q1743" s="266">
        <v>273</v>
      </c>
      <c r="R1743" s="1394"/>
      <c r="S1743" s="1394"/>
      <c r="U1743" s="589"/>
      <c r="V1743" s="338" t="s">
        <v>93</v>
      </c>
      <c r="W1743" s="747">
        <v>43434</v>
      </c>
      <c r="X1743" s="748">
        <v>43396</v>
      </c>
      <c r="Y1743" s="744" t="s">
        <v>5474</v>
      </c>
      <c r="Z1743" s="744" t="s">
        <v>5478</v>
      </c>
      <c r="AA1743" s="748">
        <v>43440</v>
      </c>
      <c r="AB1743" s="571" t="s">
        <v>5475</v>
      </c>
      <c r="AC1743" s="744" t="s">
        <v>5476</v>
      </c>
      <c r="AD1743" s="744"/>
      <c r="AE1743" s="744"/>
      <c r="AF1743" s="744"/>
      <c r="AG1743" s="264" t="s">
        <v>283</v>
      </c>
    </row>
    <row r="1744" spans="1:33" ht="15.75" customHeight="1">
      <c r="A1744" s="743">
        <v>43385</v>
      </c>
      <c r="B1744" s="263" t="s">
        <v>629</v>
      </c>
      <c r="C1744" s="874" t="s">
        <v>5479</v>
      </c>
      <c r="D1744" s="366" t="s">
        <v>5480</v>
      </c>
      <c r="E1744" s="744" t="s">
        <v>632</v>
      </c>
      <c r="F1744" s="251">
        <v>20</v>
      </c>
      <c r="G1744" s="323">
        <v>173.25</v>
      </c>
      <c r="H1744" s="265">
        <f t="shared" ref="H1744:H1748" si="151">F1744*G1744</f>
        <v>3465</v>
      </c>
      <c r="I1744" s="254" t="s">
        <v>170</v>
      </c>
      <c r="J1744" s="319" t="s">
        <v>1309</v>
      </c>
      <c r="K1744" s="256">
        <v>43396</v>
      </c>
      <c r="L1744" s="256"/>
      <c r="M1744" s="256">
        <v>43391</v>
      </c>
      <c r="N1744" s="331" t="s">
        <v>2212</v>
      </c>
      <c r="O1744" s="308" t="s">
        <v>5481</v>
      </c>
      <c r="Q1744" s="591"/>
      <c r="R1744" s="1406"/>
      <c r="S1744" s="1406"/>
      <c r="U1744" s="572">
        <v>101850</v>
      </c>
      <c r="V1744" s="308" t="s">
        <v>2214</v>
      </c>
      <c r="W1744" s="747">
        <v>43409</v>
      </c>
      <c r="X1744" s="748">
        <v>43391</v>
      </c>
      <c r="Y1744" s="744" t="s">
        <v>5482</v>
      </c>
      <c r="Z1744" s="749">
        <v>101850</v>
      </c>
      <c r="AA1744" s="748">
        <v>43410</v>
      </c>
      <c r="AB1744" s="744" t="s">
        <v>5483</v>
      </c>
      <c r="AC1744" s="744"/>
      <c r="AD1744" s="595" t="s">
        <v>5484</v>
      </c>
      <c r="AE1744" s="749">
        <v>107120</v>
      </c>
      <c r="AF1744" s="744" t="s">
        <v>4812</v>
      </c>
      <c r="AG1744" s="251" t="s">
        <v>376</v>
      </c>
    </row>
    <row r="1745" spans="1:33" ht="15.75" customHeight="1">
      <c r="A1745" s="743">
        <v>43385</v>
      </c>
      <c r="B1745" s="263" t="s">
        <v>118</v>
      </c>
      <c r="C1745" s="874" t="s">
        <v>5485</v>
      </c>
      <c r="D1745" s="366" t="s">
        <v>5486</v>
      </c>
      <c r="E1745" s="595" t="s">
        <v>5487</v>
      </c>
      <c r="F1745" s="251">
        <v>2</v>
      </c>
      <c r="G1745" s="252">
        <v>1737</v>
      </c>
      <c r="H1745" s="265">
        <f t="shared" si="151"/>
        <v>3474</v>
      </c>
      <c r="I1745" s="254" t="s">
        <v>170</v>
      </c>
      <c r="J1745" s="426" t="s">
        <v>121</v>
      </c>
      <c r="K1745" s="256">
        <v>43427</v>
      </c>
      <c r="L1745" s="256"/>
      <c r="M1745" s="256">
        <v>43426</v>
      </c>
      <c r="N1745" s="331" t="s">
        <v>89</v>
      </c>
      <c r="O1745" s="308" t="s">
        <v>5488</v>
      </c>
      <c r="Q1745" s="266">
        <v>3118.5</v>
      </c>
      <c r="R1745" s="1394"/>
      <c r="S1745" s="1394"/>
      <c r="U1745" s="589"/>
      <c r="V1745" s="338" t="s">
        <v>93</v>
      </c>
      <c r="W1745" s="747">
        <v>43465</v>
      </c>
      <c r="X1745" s="748">
        <v>43426</v>
      </c>
      <c r="Y1745" s="744" t="s">
        <v>5489</v>
      </c>
      <c r="Z1745" s="749">
        <v>96019</v>
      </c>
      <c r="AA1745" s="748">
        <v>43467</v>
      </c>
      <c r="AB1745" s="250" t="s">
        <v>5463</v>
      </c>
      <c r="AC1745" s="744" t="s">
        <v>5464</v>
      </c>
      <c r="AD1745" s="744"/>
      <c r="AE1745" s="744"/>
      <c r="AF1745" s="744"/>
      <c r="AG1745" s="264" t="s">
        <v>283</v>
      </c>
    </row>
    <row r="1746" spans="1:33" ht="15.75" customHeight="1">
      <c r="A1746" s="755">
        <v>43385</v>
      </c>
      <c r="B1746" s="263" t="s">
        <v>118</v>
      </c>
      <c r="C1746" s="366" t="s">
        <v>5490</v>
      </c>
      <c r="D1746" s="366" t="s">
        <v>5491</v>
      </c>
      <c r="E1746" s="595" t="s">
        <v>151</v>
      </c>
      <c r="F1746" s="251">
        <v>2</v>
      </c>
      <c r="G1746" s="252">
        <v>1045</v>
      </c>
      <c r="H1746" s="265">
        <f t="shared" si="151"/>
        <v>2090</v>
      </c>
      <c r="I1746" s="254" t="s">
        <v>170</v>
      </c>
      <c r="J1746" s="426" t="s">
        <v>121</v>
      </c>
      <c r="K1746" s="256">
        <v>43427</v>
      </c>
      <c r="L1746" s="256"/>
      <c r="M1746" s="256">
        <v>43427</v>
      </c>
      <c r="N1746" s="331" t="s">
        <v>89</v>
      </c>
      <c r="O1746" s="308" t="s">
        <v>5492</v>
      </c>
      <c r="Q1746" s="266">
        <v>1932</v>
      </c>
      <c r="R1746" s="1394"/>
      <c r="S1746" s="1394"/>
      <c r="U1746" s="589"/>
      <c r="V1746" s="338" t="s">
        <v>93</v>
      </c>
      <c r="W1746" s="747">
        <v>43465</v>
      </c>
      <c r="X1746" s="748">
        <v>43426</v>
      </c>
      <c r="Y1746" s="744" t="s">
        <v>5493</v>
      </c>
      <c r="Z1746" s="749">
        <v>96989</v>
      </c>
      <c r="AA1746" s="748">
        <v>43467</v>
      </c>
      <c r="AB1746" s="250" t="s">
        <v>5463</v>
      </c>
      <c r="AC1746" s="744" t="s">
        <v>5464</v>
      </c>
      <c r="AD1746" s="744"/>
      <c r="AE1746" s="744"/>
      <c r="AF1746" s="744"/>
      <c r="AG1746" s="264" t="s">
        <v>283</v>
      </c>
    </row>
    <row r="1747" spans="1:33" ht="15.75" customHeight="1">
      <c r="A1747" s="755">
        <v>43385</v>
      </c>
      <c r="B1747" s="263" t="s">
        <v>118</v>
      </c>
      <c r="C1747" s="366" t="s">
        <v>5490</v>
      </c>
      <c r="D1747" s="366" t="s">
        <v>5491</v>
      </c>
      <c r="E1747" s="595" t="s">
        <v>414</v>
      </c>
      <c r="F1747" s="251">
        <v>4</v>
      </c>
      <c r="G1747" s="252">
        <v>335</v>
      </c>
      <c r="H1747" s="265">
        <f t="shared" si="151"/>
        <v>1340</v>
      </c>
      <c r="I1747" s="254" t="s">
        <v>170</v>
      </c>
      <c r="J1747" s="426" t="s">
        <v>121</v>
      </c>
      <c r="K1747" s="256">
        <v>43427</v>
      </c>
      <c r="L1747" s="256"/>
      <c r="M1747" s="256">
        <v>43427</v>
      </c>
      <c r="N1747" s="331" t="s">
        <v>89</v>
      </c>
      <c r="O1747" s="308" t="s">
        <v>5492</v>
      </c>
      <c r="Q1747" s="266">
        <v>1218</v>
      </c>
      <c r="R1747" s="1394"/>
      <c r="S1747" s="1394"/>
      <c r="U1747" s="589"/>
      <c r="V1747" s="338" t="s">
        <v>93</v>
      </c>
      <c r="W1747" s="747">
        <v>43465</v>
      </c>
      <c r="X1747" s="748">
        <v>43426</v>
      </c>
      <c r="Y1747" s="744" t="s">
        <v>5493</v>
      </c>
      <c r="Z1747" s="744" t="s">
        <v>5494</v>
      </c>
      <c r="AA1747" s="748">
        <v>43467</v>
      </c>
      <c r="AB1747" s="250" t="s">
        <v>5463</v>
      </c>
      <c r="AC1747" s="744" t="s">
        <v>5464</v>
      </c>
      <c r="AD1747" s="744"/>
      <c r="AE1747" s="744"/>
      <c r="AF1747" s="744"/>
      <c r="AG1747" s="264" t="s">
        <v>283</v>
      </c>
    </row>
    <row r="1748" spans="1:33" ht="15.75" customHeight="1">
      <c r="A1748" s="755">
        <v>43385</v>
      </c>
      <c r="B1748" s="263" t="s">
        <v>118</v>
      </c>
      <c r="C1748" s="366" t="s">
        <v>5490</v>
      </c>
      <c r="D1748" s="366" t="s">
        <v>5495</v>
      </c>
      <c r="E1748" s="794" t="s">
        <v>157</v>
      </c>
      <c r="F1748" s="251">
        <v>4</v>
      </c>
      <c r="G1748" s="265">
        <v>979</v>
      </c>
      <c r="H1748" s="265">
        <f t="shared" si="151"/>
        <v>3916</v>
      </c>
      <c r="I1748" s="254" t="s">
        <v>170</v>
      </c>
      <c r="J1748" s="426" t="s">
        <v>121</v>
      </c>
      <c r="K1748" s="256">
        <v>43433</v>
      </c>
      <c r="L1748" s="256"/>
      <c r="M1748" s="256">
        <v>43423</v>
      </c>
      <c r="N1748" s="331" t="s">
        <v>89</v>
      </c>
      <c r="O1748" s="308" t="s">
        <v>5496</v>
      </c>
      <c r="Q1748" s="266">
        <v>3343.2</v>
      </c>
      <c r="R1748" s="1394"/>
      <c r="S1748" s="1394"/>
      <c r="U1748" s="589"/>
      <c r="V1748" s="338" t="s">
        <v>93</v>
      </c>
      <c r="W1748" s="747">
        <v>43465</v>
      </c>
      <c r="X1748" s="748">
        <v>43420</v>
      </c>
      <c r="Y1748" s="744" t="s">
        <v>5497</v>
      </c>
      <c r="Z1748" s="749">
        <v>102653</v>
      </c>
      <c r="AA1748" s="748">
        <v>43467</v>
      </c>
      <c r="AB1748" s="744" t="s">
        <v>5498</v>
      </c>
      <c r="AC1748" s="744" t="s">
        <v>5499</v>
      </c>
      <c r="AD1748" s="744"/>
      <c r="AE1748" s="744"/>
      <c r="AF1748" s="744"/>
      <c r="AG1748" s="264" t="s">
        <v>283</v>
      </c>
    </row>
    <row r="1749" spans="1:33" ht="15.75" customHeight="1">
      <c r="A1749" s="755">
        <v>43388</v>
      </c>
      <c r="B1749" s="318" t="s">
        <v>325</v>
      </c>
      <c r="C1749" s="250">
        <v>2025459</v>
      </c>
      <c r="D1749" s="308" t="s">
        <v>5500</v>
      </c>
      <c r="E1749" s="595" t="s">
        <v>327</v>
      </c>
      <c r="F1749" s="251">
        <v>5</v>
      </c>
      <c r="G1749" s="252">
        <v>607</v>
      </c>
      <c r="H1749" s="253">
        <f t="shared" ref="H1749:H1756" si="152">G1749*F1749</f>
        <v>3035</v>
      </c>
      <c r="I1749" s="254" t="s">
        <v>42</v>
      </c>
      <c r="J1749" s="267" t="s">
        <v>328</v>
      </c>
      <c r="K1749" s="256">
        <v>43412</v>
      </c>
      <c r="L1749" s="256"/>
      <c r="M1749" s="256">
        <v>43409</v>
      </c>
      <c r="N1749" s="331" t="s">
        <v>3614</v>
      </c>
      <c r="O1749" s="308" t="s">
        <v>5501</v>
      </c>
      <c r="Q1749" s="266">
        <v>2966.25</v>
      </c>
      <c r="R1749" s="1394"/>
      <c r="S1749" s="1394"/>
      <c r="U1749" s="589"/>
      <c r="V1749" s="420" t="s">
        <v>55</v>
      </c>
      <c r="W1749" s="789">
        <v>43131</v>
      </c>
      <c r="X1749" s="750">
        <v>43441</v>
      </c>
      <c r="Y1749" s="250" t="s">
        <v>5502</v>
      </c>
      <c r="Z1749" s="753">
        <v>268317</v>
      </c>
      <c r="AA1749" s="748">
        <v>43496</v>
      </c>
      <c r="AB1749" s="744" t="s">
        <v>5503</v>
      </c>
      <c r="AC1749" s="744" t="s">
        <v>5504</v>
      </c>
      <c r="AD1749" s="744"/>
      <c r="AE1749" s="744"/>
      <c r="AF1749" s="744"/>
      <c r="AG1749" s="251" t="s">
        <v>283</v>
      </c>
    </row>
    <row r="1750" spans="1:33" ht="15.75" customHeight="1">
      <c r="A1750" s="755">
        <v>43388</v>
      </c>
      <c r="B1750" s="318" t="s">
        <v>325</v>
      </c>
      <c r="C1750" s="250">
        <v>2025459</v>
      </c>
      <c r="D1750" s="308" t="s">
        <v>5500</v>
      </c>
      <c r="E1750" s="595" t="s">
        <v>4256</v>
      </c>
      <c r="F1750" s="251">
        <v>5</v>
      </c>
      <c r="G1750" s="252">
        <v>27</v>
      </c>
      <c r="H1750" s="253">
        <f t="shared" si="152"/>
        <v>135</v>
      </c>
      <c r="I1750" s="254" t="s">
        <v>42</v>
      </c>
      <c r="J1750" s="267" t="s">
        <v>328</v>
      </c>
      <c r="K1750" s="256">
        <v>43412</v>
      </c>
      <c r="L1750" s="256"/>
      <c r="M1750" s="256">
        <v>43409</v>
      </c>
      <c r="N1750" s="331" t="s">
        <v>3614</v>
      </c>
      <c r="O1750" s="308" t="s">
        <v>5501</v>
      </c>
      <c r="Q1750" s="266">
        <v>131.25</v>
      </c>
      <c r="R1750" s="1394"/>
      <c r="S1750" s="1394"/>
      <c r="U1750" s="589"/>
      <c r="V1750" s="420" t="s">
        <v>55</v>
      </c>
      <c r="W1750" s="789">
        <v>43131</v>
      </c>
      <c r="X1750" s="750">
        <v>43441</v>
      </c>
      <c r="Y1750" s="250" t="s">
        <v>5502</v>
      </c>
      <c r="Z1750" s="250" t="s">
        <v>5505</v>
      </c>
      <c r="AA1750" s="748">
        <v>43496</v>
      </c>
      <c r="AB1750" s="744" t="s">
        <v>5503</v>
      </c>
      <c r="AC1750" s="744" t="s">
        <v>5504</v>
      </c>
      <c r="AD1750" s="744"/>
      <c r="AE1750" s="744"/>
      <c r="AF1750" s="744"/>
      <c r="AG1750" s="251" t="s">
        <v>283</v>
      </c>
    </row>
    <row r="1751" spans="1:33" ht="15.75" customHeight="1">
      <c r="A1751" s="755">
        <v>43388</v>
      </c>
      <c r="B1751" s="318" t="s">
        <v>325</v>
      </c>
      <c r="C1751" s="250">
        <v>2025459</v>
      </c>
      <c r="D1751" s="308" t="s">
        <v>5500</v>
      </c>
      <c r="E1751" s="799" t="s">
        <v>60</v>
      </c>
      <c r="F1751" s="251">
        <v>10</v>
      </c>
      <c r="G1751" s="323">
        <v>567</v>
      </c>
      <c r="H1751" s="253">
        <f t="shared" si="152"/>
        <v>5670</v>
      </c>
      <c r="I1751" s="254" t="s">
        <v>42</v>
      </c>
      <c r="J1751" s="267" t="s">
        <v>328</v>
      </c>
      <c r="K1751" s="256">
        <v>43412</v>
      </c>
      <c r="L1751" s="256"/>
      <c r="M1751" s="256">
        <v>43409</v>
      </c>
      <c r="N1751" s="331" t="s">
        <v>3614</v>
      </c>
      <c r="O1751" s="308" t="s">
        <v>5501</v>
      </c>
      <c r="Q1751" s="266">
        <v>5355</v>
      </c>
      <c r="R1751" s="1394"/>
      <c r="S1751" s="1394"/>
      <c r="U1751" s="589"/>
      <c r="V1751" s="420" t="s">
        <v>55</v>
      </c>
      <c r="W1751" s="789">
        <v>43131</v>
      </c>
      <c r="X1751" s="750">
        <v>43441</v>
      </c>
      <c r="Y1751" s="250" t="s">
        <v>5502</v>
      </c>
      <c r="Z1751" s="250" t="s">
        <v>5505</v>
      </c>
      <c r="AA1751" s="748">
        <v>43496</v>
      </c>
      <c r="AB1751" s="744" t="s">
        <v>5503</v>
      </c>
      <c r="AC1751" s="744" t="s">
        <v>5504</v>
      </c>
      <c r="AD1751" s="744"/>
      <c r="AE1751" s="744"/>
      <c r="AF1751" s="744"/>
      <c r="AG1751" s="251" t="s">
        <v>283</v>
      </c>
    </row>
    <row r="1752" spans="1:33" ht="15.75" customHeight="1">
      <c r="A1752" s="755">
        <v>43388</v>
      </c>
      <c r="B1752" s="318" t="s">
        <v>325</v>
      </c>
      <c r="C1752" s="250">
        <v>2025459</v>
      </c>
      <c r="D1752" s="308" t="s">
        <v>5500</v>
      </c>
      <c r="E1752" s="799" t="s">
        <v>41</v>
      </c>
      <c r="F1752" s="251">
        <v>10</v>
      </c>
      <c r="G1752" s="323">
        <v>273</v>
      </c>
      <c r="H1752" s="253">
        <f t="shared" si="152"/>
        <v>2730</v>
      </c>
      <c r="I1752" s="254" t="s">
        <v>42</v>
      </c>
      <c r="J1752" s="267" t="s">
        <v>328</v>
      </c>
      <c r="K1752" s="256">
        <v>43412</v>
      </c>
      <c r="L1752" s="256"/>
      <c r="M1752" s="256">
        <v>43399</v>
      </c>
      <c r="N1752" s="331" t="s">
        <v>44</v>
      </c>
      <c r="O1752" s="308" t="s">
        <v>5506</v>
      </c>
      <c r="Q1752" s="266">
        <v>2184</v>
      </c>
      <c r="R1752" s="1394"/>
      <c r="S1752" s="1394"/>
      <c r="U1752" s="572">
        <f>67671</f>
        <v>67671</v>
      </c>
      <c r="V1752" s="338" t="s">
        <v>46</v>
      </c>
      <c r="W1752" s="747">
        <v>43428</v>
      </c>
      <c r="X1752" s="748">
        <v>43397</v>
      </c>
      <c r="Y1752" s="744" t="s">
        <v>5507</v>
      </c>
      <c r="Z1752" s="749">
        <v>67671</v>
      </c>
      <c r="AA1752" s="750">
        <v>43419</v>
      </c>
      <c r="AB1752" s="744" t="s">
        <v>5503</v>
      </c>
      <c r="AC1752" s="744" t="s">
        <v>5504</v>
      </c>
      <c r="AD1752" s="744"/>
      <c r="AE1752" s="744"/>
      <c r="AF1752" s="744"/>
      <c r="AG1752" s="251" t="s">
        <v>283</v>
      </c>
    </row>
    <row r="1753" spans="1:33" ht="15.75" customHeight="1">
      <c r="A1753" s="755">
        <v>43388</v>
      </c>
      <c r="B1753" s="318" t="s">
        <v>325</v>
      </c>
      <c r="C1753" s="250">
        <v>2025459</v>
      </c>
      <c r="D1753" s="308" t="s">
        <v>5500</v>
      </c>
      <c r="E1753" s="799" t="s">
        <v>52</v>
      </c>
      <c r="F1753" s="251">
        <v>10</v>
      </c>
      <c r="G1753" s="323">
        <v>31</v>
      </c>
      <c r="H1753" s="253">
        <f t="shared" si="152"/>
        <v>310</v>
      </c>
      <c r="I1753" s="254" t="s">
        <v>42</v>
      </c>
      <c r="J1753" s="267" t="s">
        <v>328</v>
      </c>
      <c r="K1753" s="256">
        <v>43412</v>
      </c>
      <c r="L1753" s="256"/>
      <c r="M1753" s="256">
        <v>43409</v>
      </c>
      <c r="N1753" s="331" t="s">
        <v>3614</v>
      </c>
      <c r="O1753" s="308" t="s">
        <v>5501</v>
      </c>
      <c r="Q1753" s="266">
        <v>226.8</v>
      </c>
      <c r="R1753" s="1394"/>
      <c r="S1753" s="1394"/>
      <c r="U1753" s="589"/>
      <c r="V1753" s="420" t="s">
        <v>55</v>
      </c>
      <c r="W1753" s="789">
        <v>43131</v>
      </c>
      <c r="X1753" s="750">
        <v>43441</v>
      </c>
      <c r="Y1753" s="250" t="s">
        <v>5502</v>
      </c>
      <c r="Z1753" s="250" t="s">
        <v>5505</v>
      </c>
      <c r="AA1753" s="748">
        <v>43496</v>
      </c>
      <c r="AB1753" s="744" t="s">
        <v>5503</v>
      </c>
      <c r="AC1753" s="744" t="s">
        <v>5504</v>
      </c>
      <c r="AD1753" s="744"/>
      <c r="AE1753" s="744"/>
      <c r="AF1753" s="744"/>
      <c r="AG1753" s="251" t="s">
        <v>283</v>
      </c>
    </row>
    <row r="1754" spans="1:33" ht="15.75" customHeight="1">
      <c r="A1754" s="755">
        <v>43388</v>
      </c>
      <c r="B1754" s="318" t="s">
        <v>325</v>
      </c>
      <c r="C1754" s="250">
        <v>2025459</v>
      </c>
      <c r="D1754" s="308" t="s">
        <v>5500</v>
      </c>
      <c r="E1754" s="799" t="s">
        <v>58</v>
      </c>
      <c r="F1754" s="251">
        <v>10</v>
      </c>
      <c r="G1754" s="323">
        <v>4</v>
      </c>
      <c r="H1754" s="253">
        <f t="shared" si="152"/>
        <v>40</v>
      </c>
      <c r="I1754" s="254" t="s">
        <v>42</v>
      </c>
      <c r="J1754" s="267" t="s">
        <v>328</v>
      </c>
      <c r="K1754" s="256">
        <v>43412</v>
      </c>
      <c r="L1754" s="256"/>
      <c r="M1754" s="256">
        <v>43409</v>
      </c>
      <c r="N1754" s="331" t="s">
        <v>3614</v>
      </c>
      <c r="O1754" s="308" t="s">
        <v>5501</v>
      </c>
      <c r="Q1754" s="266">
        <v>21</v>
      </c>
      <c r="R1754" s="1394"/>
      <c r="S1754" s="1394"/>
      <c r="U1754" s="589"/>
      <c r="V1754" s="420" t="s">
        <v>55</v>
      </c>
      <c r="W1754" s="789">
        <v>43131</v>
      </c>
      <c r="X1754" s="750">
        <v>43441</v>
      </c>
      <c r="Y1754" s="250" t="s">
        <v>5502</v>
      </c>
      <c r="Z1754" s="250" t="s">
        <v>5505</v>
      </c>
      <c r="AA1754" s="748">
        <v>43496</v>
      </c>
      <c r="AB1754" s="744" t="s">
        <v>5503</v>
      </c>
      <c r="AC1754" s="744" t="s">
        <v>5504</v>
      </c>
      <c r="AD1754" s="744"/>
      <c r="AE1754" s="744"/>
      <c r="AF1754" s="744"/>
      <c r="AG1754" s="251" t="s">
        <v>283</v>
      </c>
    </row>
    <row r="1755" spans="1:33" ht="15.75" customHeight="1">
      <c r="A1755" s="743">
        <v>43388</v>
      </c>
      <c r="B1755" s="263" t="s">
        <v>76</v>
      </c>
      <c r="C1755" s="744">
        <v>1036</v>
      </c>
      <c r="D1755" s="250" t="s">
        <v>5508</v>
      </c>
      <c r="E1755" s="571" t="s">
        <v>477</v>
      </c>
      <c r="F1755" s="264">
        <v>50</v>
      </c>
      <c r="G1755" s="252">
        <v>2.25</v>
      </c>
      <c r="H1755" s="253">
        <f t="shared" si="152"/>
        <v>112.5</v>
      </c>
      <c r="I1755" s="254" t="s">
        <v>42</v>
      </c>
      <c r="J1755" s="875" t="s">
        <v>4938</v>
      </c>
      <c r="K1755" s="256">
        <v>43398</v>
      </c>
      <c r="L1755" s="256"/>
      <c r="M1755" s="264" t="s">
        <v>178</v>
      </c>
      <c r="N1755" s="331"/>
      <c r="O1755" s="593"/>
      <c r="Q1755" s="591"/>
      <c r="R1755" s="1406"/>
      <c r="S1755" s="1406"/>
      <c r="U1755" s="589"/>
      <c r="V1755" s="386"/>
      <c r="W1755" s="328"/>
      <c r="X1755" s="744"/>
      <c r="Y1755" s="744"/>
      <c r="Z1755" s="744"/>
      <c r="AA1755" s="748"/>
      <c r="AB1755" s="744" t="s">
        <v>5435</v>
      </c>
      <c r="AC1755" s="794" t="s">
        <v>5436</v>
      </c>
      <c r="AD1755" s="744"/>
      <c r="AE1755" s="744"/>
      <c r="AF1755" s="744"/>
      <c r="AG1755" s="251" t="s">
        <v>283</v>
      </c>
    </row>
    <row r="1756" spans="1:33" ht="15.75" customHeight="1">
      <c r="A1756" s="743">
        <v>43388</v>
      </c>
      <c r="B1756" s="263" t="s">
        <v>76</v>
      </c>
      <c r="C1756" s="744">
        <v>1036</v>
      </c>
      <c r="D1756" s="250" t="s">
        <v>5508</v>
      </c>
      <c r="E1756" s="595" t="s">
        <v>361</v>
      </c>
      <c r="F1756" s="305">
        <v>30</v>
      </c>
      <c r="G1756" s="252">
        <v>20</v>
      </c>
      <c r="H1756" s="253">
        <f t="shared" si="152"/>
        <v>600</v>
      </c>
      <c r="I1756" s="254" t="s">
        <v>42</v>
      </c>
      <c r="J1756" s="875" t="s">
        <v>4938</v>
      </c>
      <c r="K1756" s="256">
        <v>43398</v>
      </c>
      <c r="L1756" s="256"/>
      <c r="M1756" s="256">
        <v>43396</v>
      </c>
      <c r="N1756" s="331" t="s">
        <v>2008</v>
      </c>
      <c r="O1756" s="308" t="s">
        <v>5509</v>
      </c>
      <c r="Q1756" s="266">
        <v>557.54999999999995</v>
      </c>
      <c r="R1756" s="1394"/>
      <c r="S1756" s="1394"/>
      <c r="U1756" s="589"/>
      <c r="V1756" s="308" t="s">
        <v>2010</v>
      </c>
      <c r="W1756" s="789">
        <v>43409</v>
      </c>
      <c r="X1756" s="748">
        <v>43395</v>
      </c>
      <c r="Y1756" s="744" t="s">
        <v>5510</v>
      </c>
      <c r="Z1756" s="749">
        <v>17267</v>
      </c>
      <c r="AA1756" s="750">
        <v>43409</v>
      </c>
      <c r="AB1756" s="744" t="s">
        <v>5435</v>
      </c>
      <c r="AC1756" s="794" t="s">
        <v>5436</v>
      </c>
      <c r="AD1756" s="744"/>
      <c r="AE1756" s="744"/>
      <c r="AF1756" s="744"/>
      <c r="AG1756" s="251" t="s">
        <v>283</v>
      </c>
    </row>
    <row r="1757" spans="1:33" ht="15.75" customHeight="1">
      <c r="A1757" s="272">
        <v>43388</v>
      </c>
      <c r="B1757" s="762" t="s">
        <v>76</v>
      </c>
      <c r="C1757" s="768">
        <v>1036</v>
      </c>
      <c r="D1757" s="274" t="s">
        <v>5508</v>
      </c>
      <c r="E1757" s="877" t="s">
        <v>5511</v>
      </c>
      <c r="F1757" s="878">
        <v>20</v>
      </c>
      <c r="G1757" s="879">
        <v>25</v>
      </c>
      <c r="H1757" s="784"/>
      <c r="I1757" s="834"/>
      <c r="J1757" s="880"/>
      <c r="K1757" s="833"/>
      <c r="L1757" s="833"/>
      <c r="M1757" s="289">
        <v>43434</v>
      </c>
      <c r="N1757" s="331" t="s">
        <v>2411</v>
      </c>
      <c r="O1757" s="308" t="s">
        <v>5512</v>
      </c>
      <c r="Q1757" s="591"/>
      <c r="R1757" s="1406"/>
      <c r="S1757" s="1406"/>
      <c r="U1757" s="572">
        <v>2604</v>
      </c>
      <c r="V1757" s="308" t="s">
        <v>2413</v>
      </c>
      <c r="W1757" s="805">
        <v>43409</v>
      </c>
      <c r="X1757" s="746">
        <v>43397</v>
      </c>
      <c r="Y1757" s="744" t="s">
        <v>5513</v>
      </c>
      <c r="Z1757" s="749">
        <v>2604</v>
      </c>
      <c r="AA1757" s="750">
        <v>43409</v>
      </c>
      <c r="AB1757" s="745"/>
      <c r="AC1757" s="744"/>
      <c r="AD1757" s="744"/>
      <c r="AE1757" s="744"/>
      <c r="AF1757" s="744"/>
      <c r="AG1757" s="251" t="s">
        <v>3456</v>
      </c>
    </row>
    <row r="1758" spans="1:33" ht="15.75" customHeight="1">
      <c r="A1758" s="743">
        <v>43388</v>
      </c>
      <c r="B1758" s="263" t="s">
        <v>100</v>
      </c>
      <c r="C1758" s="874" t="s">
        <v>5514</v>
      </c>
      <c r="D1758" s="366" t="s">
        <v>5515</v>
      </c>
      <c r="E1758" s="420" t="s">
        <v>5516</v>
      </c>
      <c r="F1758" s="251">
        <v>1</v>
      </c>
      <c r="G1758" s="252">
        <v>533.5</v>
      </c>
      <c r="H1758" s="253">
        <f t="shared" ref="H1758:H1778" si="153">G1758*F1758</f>
        <v>533.5</v>
      </c>
      <c r="I1758" s="254" t="s">
        <v>302</v>
      </c>
      <c r="J1758" s="863" t="s">
        <v>5265</v>
      </c>
      <c r="K1758" s="256">
        <v>43409</v>
      </c>
      <c r="L1758" s="256"/>
      <c r="M1758" s="256">
        <v>43404</v>
      </c>
      <c r="N1758" s="331" t="s">
        <v>1995</v>
      </c>
      <c r="O1758" s="308" t="s">
        <v>5517</v>
      </c>
      <c r="Q1758" s="591"/>
      <c r="R1758" s="1406"/>
      <c r="S1758" s="1406"/>
      <c r="U1758" s="572">
        <v>16040</v>
      </c>
      <c r="V1758" s="571" t="s">
        <v>1997</v>
      </c>
      <c r="W1758" s="789">
        <v>43470</v>
      </c>
      <c r="X1758" s="748">
        <v>43403</v>
      </c>
      <c r="Y1758" s="744" t="s">
        <v>5518</v>
      </c>
      <c r="Z1758" s="744" t="s">
        <v>5519</v>
      </c>
      <c r="AA1758" s="748">
        <v>43469</v>
      </c>
      <c r="AB1758" s="250" t="s">
        <v>5400</v>
      </c>
      <c r="AC1758" s="744">
        <v>2574425405</v>
      </c>
      <c r="AD1758" s="744"/>
      <c r="AE1758" s="744"/>
      <c r="AF1758" s="744"/>
      <c r="AG1758" s="251" t="s">
        <v>283</v>
      </c>
    </row>
    <row r="1759" spans="1:33" ht="15.75" customHeight="1">
      <c r="A1759" s="743">
        <v>43388</v>
      </c>
      <c r="B1759" s="263" t="s">
        <v>100</v>
      </c>
      <c r="C1759" s="874" t="s">
        <v>5514</v>
      </c>
      <c r="D1759" s="366" t="s">
        <v>5515</v>
      </c>
      <c r="E1759" s="420" t="s">
        <v>5520</v>
      </c>
      <c r="F1759" s="251">
        <v>1</v>
      </c>
      <c r="G1759" s="252">
        <v>592</v>
      </c>
      <c r="H1759" s="253">
        <f t="shared" si="153"/>
        <v>592</v>
      </c>
      <c r="I1759" s="254" t="s">
        <v>302</v>
      </c>
      <c r="J1759" s="863" t="s">
        <v>5265</v>
      </c>
      <c r="K1759" s="256">
        <v>43409</v>
      </c>
      <c r="L1759" s="256"/>
      <c r="M1759" s="256">
        <v>43404</v>
      </c>
      <c r="N1759" s="331" t="s">
        <v>1995</v>
      </c>
      <c r="O1759" s="308" t="s">
        <v>5517</v>
      </c>
      <c r="Q1759" s="591"/>
      <c r="R1759" s="1406"/>
      <c r="S1759" s="1406"/>
      <c r="U1759" s="572">
        <v>17174</v>
      </c>
      <c r="V1759" s="571" t="s">
        <v>1997</v>
      </c>
      <c r="W1759" s="789">
        <v>43470</v>
      </c>
      <c r="X1759" s="748">
        <v>43403</v>
      </c>
      <c r="Y1759" s="744" t="s">
        <v>5518</v>
      </c>
      <c r="Z1759" s="749">
        <v>33214</v>
      </c>
      <c r="AA1759" s="748">
        <v>43469</v>
      </c>
      <c r="AB1759" s="250" t="s">
        <v>5400</v>
      </c>
      <c r="AC1759" s="744">
        <v>2574425405</v>
      </c>
      <c r="AD1759" s="744"/>
      <c r="AE1759" s="744"/>
      <c r="AF1759" s="744"/>
      <c r="AG1759" s="251" t="s">
        <v>283</v>
      </c>
    </row>
    <row r="1760" spans="1:33" ht="15.75" customHeight="1">
      <c r="A1760" s="743">
        <v>43388</v>
      </c>
      <c r="B1760" s="263" t="s">
        <v>100</v>
      </c>
      <c r="C1760" s="874" t="s">
        <v>5514</v>
      </c>
      <c r="D1760" s="366" t="s">
        <v>5515</v>
      </c>
      <c r="E1760" s="595" t="s">
        <v>5521</v>
      </c>
      <c r="F1760" s="251">
        <v>2</v>
      </c>
      <c r="G1760" s="252">
        <v>268</v>
      </c>
      <c r="H1760" s="253">
        <f t="shared" si="153"/>
        <v>536</v>
      </c>
      <c r="I1760" s="254" t="s">
        <v>302</v>
      </c>
      <c r="J1760" s="863" t="s">
        <v>5265</v>
      </c>
      <c r="K1760" s="256">
        <v>43409</v>
      </c>
      <c r="L1760" s="256"/>
      <c r="M1760" s="256">
        <v>43392</v>
      </c>
      <c r="N1760" s="331" t="s">
        <v>1993</v>
      </c>
      <c r="O1760" s="308" t="s">
        <v>5522</v>
      </c>
      <c r="Q1760" s="266">
        <v>399</v>
      </c>
      <c r="R1760" s="1394"/>
      <c r="S1760" s="1394"/>
      <c r="U1760" s="589"/>
      <c r="V1760" s="338" t="s">
        <v>46</v>
      </c>
      <c r="W1760" s="747">
        <v>43421</v>
      </c>
      <c r="X1760" s="748">
        <v>43391</v>
      </c>
      <c r="Y1760" s="744" t="s">
        <v>5523</v>
      </c>
      <c r="Z1760" s="749">
        <v>12309</v>
      </c>
      <c r="AA1760" s="750">
        <v>43419</v>
      </c>
      <c r="AB1760" s="250" t="s">
        <v>5400</v>
      </c>
      <c r="AC1760" s="744">
        <v>2574425405</v>
      </c>
      <c r="AD1760" s="744"/>
      <c r="AE1760" s="744"/>
      <c r="AF1760" s="744"/>
      <c r="AG1760" s="251" t="s">
        <v>283</v>
      </c>
    </row>
    <row r="1761" spans="1:33" ht="50.25" customHeight="1">
      <c r="A1761" s="743">
        <v>43388</v>
      </c>
      <c r="B1761" s="263" t="s">
        <v>100</v>
      </c>
      <c r="C1761" s="874" t="s">
        <v>5514</v>
      </c>
      <c r="D1761" s="366" t="s">
        <v>5515</v>
      </c>
      <c r="E1761" s="595" t="s">
        <v>4480</v>
      </c>
      <c r="F1761" s="251">
        <v>2</v>
      </c>
      <c r="G1761" s="252">
        <v>95</v>
      </c>
      <c r="H1761" s="253">
        <f t="shared" si="153"/>
        <v>190</v>
      </c>
      <c r="I1761" s="254" t="s">
        <v>302</v>
      </c>
      <c r="J1761" s="863" t="s">
        <v>5265</v>
      </c>
      <c r="K1761" s="256">
        <v>43409</v>
      </c>
      <c r="L1761" s="256"/>
      <c r="M1761" s="256">
        <v>43390</v>
      </c>
      <c r="N1761" s="251" t="s">
        <v>1987</v>
      </c>
      <c r="O1761" s="308" t="s">
        <v>5524</v>
      </c>
      <c r="Q1761" s="591"/>
      <c r="R1761" s="1406"/>
      <c r="S1761" s="1406"/>
      <c r="U1761" s="572">
        <v>4912</v>
      </c>
      <c r="V1761" s="597" t="s">
        <v>3744</v>
      </c>
      <c r="W1761" s="747">
        <v>43420</v>
      </c>
      <c r="X1761" s="748">
        <v>43389</v>
      </c>
      <c r="Y1761" s="744" t="s">
        <v>5525</v>
      </c>
      <c r="Z1761" s="749">
        <v>4912</v>
      </c>
      <c r="AA1761" s="750">
        <v>43410</v>
      </c>
      <c r="AB1761" s="250" t="s">
        <v>5400</v>
      </c>
      <c r="AC1761" s="744">
        <v>2574425405</v>
      </c>
      <c r="AD1761" s="744"/>
      <c r="AE1761" s="744"/>
      <c r="AF1761" s="744"/>
      <c r="AG1761" s="251" t="s">
        <v>283</v>
      </c>
    </row>
    <row r="1762" spans="1:33" ht="15.75" customHeight="1">
      <c r="A1762" s="743">
        <v>43392</v>
      </c>
      <c r="B1762" s="263" t="s">
        <v>76</v>
      </c>
      <c r="C1762" s="744"/>
      <c r="D1762" s="250" t="s">
        <v>5526</v>
      </c>
      <c r="E1762" s="595" t="s">
        <v>5527</v>
      </c>
      <c r="F1762" s="251">
        <v>1</v>
      </c>
      <c r="G1762" s="252">
        <v>40</v>
      </c>
      <c r="H1762" s="253">
        <f t="shared" si="153"/>
        <v>40</v>
      </c>
      <c r="I1762" s="254" t="s">
        <v>42</v>
      </c>
      <c r="J1762" s="331" t="s">
        <v>315</v>
      </c>
      <c r="K1762" s="256">
        <v>43412</v>
      </c>
      <c r="L1762" s="256"/>
      <c r="M1762" s="623"/>
      <c r="N1762" s="331" t="s">
        <v>5528</v>
      </c>
      <c r="O1762" s="308" t="s">
        <v>5526</v>
      </c>
      <c r="Q1762" s="591"/>
      <c r="R1762" s="1406"/>
      <c r="S1762" s="1406"/>
      <c r="U1762" s="589"/>
      <c r="V1762" s="308" t="s">
        <v>1969</v>
      </c>
      <c r="W1762" s="328"/>
      <c r="X1762" s="250" t="s">
        <v>5529</v>
      </c>
      <c r="Y1762" s="250" t="s">
        <v>5529</v>
      </c>
      <c r="Z1762" s="250" t="s">
        <v>5529</v>
      </c>
      <c r="AA1762" s="746"/>
      <c r="AB1762" s="744" t="s">
        <v>5530</v>
      </c>
      <c r="AC1762" s="744">
        <v>963463686</v>
      </c>
      <c r="AD1762" s="744"/>
      <c r="AE1762" s="744"/>
      <c r="AF1762" s="744"/>
      <c r="AG1762" s="251" t="s">
        <v>283</v>
      </c>
    </row>
    <row r="1763" spans="1:33" ht="15.75" customHeight="1">
      <c r="A1763" s="743">
        <v>43394</v>
      </c>
      <c r="B1763" s="263" t="s">
        <v>629</v>
      </c>
      <c r="C1763" s="874" t="s">
        <v>5531</v>
      </c>
      <c r="D1763" s="366" t="s">
        <v>5532</v>
      </c>
      <c r="E1763" s="595" t="s">
        <v>1285</v>
      </c>
      <c r="F1763" s="251">
        <v>4</v>
      </c>
      <c r="G1763" s="252">
        <v>112.35</v>
      </c>
      <c r="H1763" s="253">
        <f t="shared" si="153"/>
        <v>449.4</v>
      </c>
      <c r="I1763" s="254" t="s">
        <v>170</v>
      </c>
      <c r="J1763" s="319" t="s">
        <v>89</v>
      </c>
      <c r="K1763" s="256">
        <v>43409</v>
      </c>
      <c r="L1763" s="256"/>
      <c r="M1763" s="256">
        <v>43409</v>
      </c>
      <c r="N1763" s="331" t="s">
        <v>89</v>
      </c>
      <c r="O1763" s="308" t="s">
        <v>5533</v>
      </c>
      <c r="Q1763" s="266">
        <v>384</v>
      </c>
      <c r="R1763" s="1394"/>
      <c r="S1763" s="1394"/>
      <c r="U1763" s="589"/>
      <c r="V1763" s="338" t="s">
        <v>93</v>
      </c>
      <c r="W1763" s="747">
        <v>43465</v>
      </c>
      <c r="X1763" s="750">
        <v>43409</v>
      </c>
      <c r="Y1763" s="250" t="s">
        <v>5534</v>
      </c>
      <c r="Z1763" s="753">
        <v>22607</v>
      </c>
      <c r="AA1763" s="748">
        <v>43467</v>
      </c>
      <c r="AB1763" s="744" t="s">
        <v>5535</v>
      </c>
      <c r="AC1763" s="744"/>
      <c r="AD1763" s="595" t="s">
        <v>5536</v>
      </c>
      <c r="AE1763" s="749">
        <v>29546</v>
      </c>
      <c r="AF1763" s="744" t="s">
        <v>5537</v>
      </c>
      <c r="AG1763" s="251" t="s">
        <v>376</v>
      </c>
    </row>
    <row r="1764" spans="1:33" ht="15.75" customHeight="1">
      <c r="A1764" s="743">
        <v>43394</v>
      </c>
      <c r="B1764" s="263" t="s">
        <v>629</v>
      </c>
      <c r="C1764" s="874" t="s">
        <v>5531</v>
      </c>
      <c r="D1764" s="366" t="s">
        <v>5532</v>
      </c>
      <c r="E1764" s="595" t="s">
        <v>5538</v>
      </c>
      <c r="F1764" s="251">
        <v>4</v>
      </c>
      <c r="G1764" s="252">
        <v>93.45</v>
      </c>
      <c r="H1764" s="253">
        <f t="shared" si="153"/>
        <v>373.8</v>
      </c>
      <c r="I1764" s="254" t="s">
        <v>170</v>
      </c>
      <c r="J1764" s="319" t="s">
        <v>89</v>
      </c>
      <c r="K1764" s="256">
        <v>43409</v>
      </c>
      <c r="L1764" s="256"/>
      <c r="M1764" s="256">
        <v>43409</v>
      </c>
      <c r="N1764" s="331" t="s">
        <v>89</v>
      </c>
      <c r="O1764" s="308" t="s">
        <v>5533</v>
      </c>
      <c r="Q1764" s="266">
        <v>327.60000000000002</v>
      </c>
      <c r="R1764" s="1394"/>
      <c r="S1764" s="1394"/>
      <c r="U1764" s="589"/>
      <c r="V1764" s="338" t="s">
        <v>93</v>
      </c>
      <c r="W1764" s="747">
        <v>43465</v>
      </c>
      <c r="X1764" s="750">
        <v>43409</v>
      </c>
      <c r="Y1764" s="250" t="s">
        <v>5534</v>
      </c>
      <c r="Z1764" s="250" t="s">
        <v>5539</v>
      </c>
      <c r="AA1764" s="748">
        <v>43467</v>
      </c>
      <c r="AB1764" s="744" t="s">
        <v>5535</v>
      </c>
      <c r="AC1764" s="744"/>
      <c r="AD1764" s="595" t="s">
        <v>5536</v>
      </c>
      <c r="AE1764" s="744" t="s">
        <v>5540</v>
      </c>
      <c r="AF1764" s="744" t="s">
        <v>5537</v>
      </c>
      <c r="AG1764" s="251" t="s">
        <v>376</v>
      </c>
    </row>
    <row r="1765" spans="1:33" ht="15.75" customHeight="1">
      <c r="A1765" s="743">
        <v>43395</v>
      </c>
      <c r="B1765" s="590" t="s">
        <v>405</v>
      </c>
      <c r="C1765" s="744">
        <v>7000142140</v>
      </c>
      <c r="D1765" s="250" t="s">
        <v>5541</v>
      </c>
      <c r="E1765" s="595" t="s">
        <v>1940</v>
      </c>
      <c r="F1765" s="251">
        <v>2</v>
      </c>
      <c r="G1765" s="252">
        <v>137</v>
      </c>
      <c r="H1765" s="253">
        <f t="shared" si="153"/>
        <v>274</v>
      </c>
      <c r="I1765" s="254" t="s">
        <v>42</v>
      </c>
      <c r="J1765" s="331" t="s">
        <v>3840</v>
      </c>
      <c r="K1765" s="256">
        <v>43417</v>
      </c>
      <c r="L1765" s="256"/>
      <c r="M1765" s="256">
        <v>43411</v>
      </c>
      <c r="N1765" s="331" t="s">
        <v>3432</v>
      </c>
      <c r="O1765" s="308" t="s">
        <v>5542</v>
      </c>
      <c r="Q1765" s="591"/>
      <c r="R1765" s="1406"/>
      <c r="S1765" s="1406"/>
      <c r="U1765" s="572">
        <v>7556</v>
      </c>
      <c r="V1765" s="308" t="s">
        <v>2045</v>
      </c>
      <c r="W1765" s="747">
        <v>43496</v>
      </c>
      <c r="X1765" s="748">
        <v>43410</v>
      </c>
      <c r="Y1765" s="744" t="s">
        <v>5543</v>
      </c>
      <c r="Z1765" s="749">
        <v>24047</v>
      </c>
      <c r="AA1765" s="748">
        <v>43494</v>
      </c>
      <c r="AB1765" s="744" t="s">
        <v>5544</v>
      </c>
      <c r="AC1765" s="744">
        <v>4637951802</v>
      </c>
      <c r="AD1765" s="744"/>
      <c r="AE1765" s="744"/>
      <c r="AF1765" s="744"/>
      <c r="AG1765" s="251" t="s">
        <v>283</v>
      </c>
    </row>
    <row r="1766" spans="1:33" ht="15.75" customHeight="1">
      <c r="A1766" s="743">
        <v>43395</v>
      </c>
      <c r="B1766" s="590" t="s">
        <v>405</v>
      </c>
      <c r="C1766" s="744">
        <v>7000142140</v>
      </c>
      <c r="D1766" s="250" t="s">
        <v>5541</v>
      </c>
      <c r="E1766" s="595" t="s">
        <v>5545</v>
      </c>
      <c r="F1766" s="251">
        <v>2</v>
      </c>
      <c r="G1766" s="252">
        <v>224</v>
      </c>
      <c r="H1766" s="253">
        <f t="shared" si="153"/>
        <v>448</v>
      </c>
      <c r="I1766" s="254" t="s">
        <v>42</v>
      </c>
      <c r="J1766" s="331" t="s">
        <v>3840</v>
      </c>
      <c r="K1766" s="256">
        <v>43417</v>
      </c>
      <c r="L1766" s="256"/>
      <c r="M1766" s="256">
        <v>43411</v>
      </c>
      <c r="N1766" s="331" t="s">
        <v>3432</v>
      </c>
      <c r="O1766" s="308" t="s">
        <v>5542</v>
      </c>
      <c r="Q1766" s="591"/>
      <c r="R1766" s="1406"/>
      <c r="S1766" s="1406"/>
      <c r="U1766" s="572">
        <v>12390</v>
      </c>
      <c r="V1766" s="308" t="s">
        <v>2045</v>
      </c>
      <c r="W1766" s="747">
        <v>43496</v>
      </c>
      <c r="X1766" s="748">
        <v>43410</v>
      </c>
      <c r="Y1766" s="744" t="s">
        <v>5543</v>
      </c>
      <c r="Z1766" s="250" t="s">
        <v>5546</v>
      </c>
      <c r="AA1766" s="748">
        <v>43494</v>
      </c>
      <c r="AB1766" s="744" t="s">
        <v>5544</v>
      </c>
      <c r="AC1766" s="744">
        <v>4637951802</v>
      </c>
      <c r="AD1766" s="744"/>
      <c r="AE1766" s="744"/>
      <c r="AF1766" s="744"/>
      <c r="AG1766" s="251" t="s">
        <v>283</v>
      </c>
    </row>
    <row r="1767" spans="1:33" ht="15.75" customHeight="1">
      <c r="A1767" s="743">
        <v>43395</v>
      </c>
      <c r="B1767" s="590" t="s">
        <v>405</v>
      </c>
      <c r="C1767" s="744">
        <v>7000142140</v>
      </c>
      <c r="D1767" s="250" t="s">
        <v>5541</v>
      </c>
      <c r="E1767" s="595" t="s">
        <v>944</v>
      </c>
      <c r="F1767" s="251">
        <v>2</v>
      </c>
      <c r="G1767" s="252">
        <v>74</v>
      </c>
      <c r="H1767" s="253">
        <f t="shared" si="153"/>
        <v>148</v>
      </c>
      <c r="I1767" s="254" t="s">
        <v>42</v>
      </c>
      <c r="J1767" s="331" t="s">
        <v>3840</v>
      </c>
      <c r="K1767" s="256">
        <v>43417</v>
      </c>
      <c r="L1767" s="256"/>
      <c r="M1767" s="256">
        <v>43411</v>
      </c>
      <c r="N1767" s="331" t="s">
        <v>3432</v>
      </c>
      <c r="O1767" s="308" t="s">
        <v>5542</v>
      </c>
      <c r="Q1767" s="591"/>
      <c r="R1767" s="1406"/>
      <c r="S1767" s="1406"/>
      <c r="U1767" s="572">
        <v>4101</v>
      </c>
      <c r="V1767" s="308" t="s">
        <v>2045</v>
      </c>
      <c r="W1767" s="747">
        <v>43496</v>
      </c>
      <c r="X1767" s="748">
        <v>43410</v>
      </c>
      <c r="Y1767" s="744" t="s">
        <v>5543</v>
      </c>
      <c r="Z1767" s="250" t="s">
        <v>5546</v>
      </c>
      <c r="AA1767" s="748">
        <v>43494</v>
      </c>
      <c r="AB1767" s="744" t="s">
        <v>5544</v>
      </c>
      <c r="AC1767" s="744">
        <v>4637951802</v>
      </c>
      <c r="AD1767" s="744"/>
      <c r="AE1767" s="744"/>
      <c r="AF1767" s="744"/>
      <c r="AG1767" s="251" t="s">
        <v>283</v>
      </c>
    </row>
    <row r="1768" spans="1:33" ht="15.75" customHeight="1">
      <c r="A1768" s="743">
        <v>43395</v>
      </c>
      <c r="B1768" s="144" t="s">
        <v>76</v>
      </c>
      <c r="C1768" s="744">
        <v>1065</v>
      </c>
      <c r="D1768" s="250" t="s">
        <v>5547</v>
      </c>
      <c r="E1768" s="595" t="s">
        <v>5548</v>
      </c>
      <c r="F1768" s="251">
        <v>1</v>
      </c>
      <c r="G1768" s="252">
        <v>77</v>
      </c>
      <c r="H1768" s="253">
        <f t="shared" si="153"/>
        <v>77</v>
      </c>
      <c r="I1768" s="254" t="s">
        <v>42</v>
      </c>
      <c r="J1768" s="331" t="s">
        <v>315</v>
      </c>
      <c r="K1768" s="256">
        <v>43412</v>
      </c>
      <c r="L1768" s="256"/>
      <c r="M1768" s="256">
        <v>43409</v>
      </c>
      <c r="N1768" s="331" t="s">
        <v>1512</v>
      </c>
      <c r="O1768" s="250" t="s">
        <v>5549</v>
      </c>
      <c r="Q1768" s="266">
        <v>42</v>
      </c>
      <c r="R1768" s="1394"/>
      <c r="S1768" s="1394"/>
      <c r="U1768" s="572">
        <v>1366</v>
      </c>
      <c r="V1768" s="744" t="s">
        <v>2109</v>
      </c>
      <c r="W1768" s="747">
        <v>43439</v>
      </c>
      <c r="X1768" s="750">
        <v>43404</v>
      </c>
      <c r="Y1768" s="250" t="s">
        <v>5550</v>
      </c>
      <c r="Z1768" s="753">
        <v>3437</v>
      </c>
      <c r="AA1768" s="748">
        <v>43440</v>
      </c>
      <c r="AB1768" s="744" t="s">
        <v>5530</v>
      </c>
      <c r="AC1768" s="744">
        <v>963463686</v>
      </c>
      <c r="AD1768" s="744"/>
      <c r="AE1768" s="744"/>
      <c r="AF1768" s="744"/>
      <c r="AG1768" s="251" t="s">
        <v>283</v>
      </c>
    </row>
    <row r="1769" spans="1:33" ht="15.75" customHeight="1">
      <c r="A1769" s="743">
        <v>43394</v>
      </c>
      <c r="B1769" s="263" t="s">
        <v>629</v>
      </c>
      <c r="C1769" s="874" t="s">
        <v>5531</v>
      </c>
      <c r="D1769" s="366" t="s">
        <v>5551</v>
      </c>
      <c r="E1769" s="595" t="s">
        <v>136</v>
      </c>
      <c r="F1769" s="251">
        <v>4</v>
      </c>
      <c r="G1769" s="252">
        <v>34.65</v>
      </c>
      <c r="H1769" s="253">
        <f t="shared" si="153"/>
        <v>138.6</v>
      </c>
      <c r="I1769" s="254" t="s">
        <v>170</v>
      </c>
      <c r="J1769" s="319" t="s">
        <v>89</v>
      </c>
      <c r="K1769" s="256">
        <v>43409</v>
      </c>
      <c r="L1769" s="256"/>
      <c r="M1769" s="256">
        <v>43409</v>
      </c>
      <c r="N1769" s="331" t="s">
        <v>89</v>
      </c>
      <c r="O1769" s="308" t="s">
        <v>5552</v>
      </c>
      <c r="Q1769" s="266">
        <v>113.4</v>
      </c>
      <c r="R1769" s="1394"/>
      <c r="S1769" s="1394"/>
      <c r="U1769" s="589"/>
      <c r="V1769" s="338" t="s">
        <v>93</v>
      </c>
      <c r="W1769" s="747">
        <v>43465</v>
      </c>
      <c r="X1769" s="748">
        <v>43409</v>
      </c>
      <c r="Y1769" s="744" t="s">
        <v>5553</v>
      </c>
      <c r="Z1769" s="749">
        <v>3508</v>
      </c>
      <c r="AA1769" s="748">
        <v>43467</v>
      </c>
      <c r="AB1769" s="744" t="s">
        <v>5535</v>
      </c>
      <c r="AC1769" s="744"/>
      <c r="AD1769" s="595" t="s">
        <v>5536</v>
      </c>
      <c r="AE1769" s="744" t="s">
        <v>5540</v>
      </c>
      <c r="AF1769" s="744" t="s">
        <v>5537</v>
      </c>
      <c r="AG1769" s="251" t="s">
        <v>376</v>
      </c>
    </row>
    <row r="1770" spans="1:33" ht="15.75" customHeight="1">
      <c r="A1770" s="743">
        <v>43396</v>
      </c>
      <c r="B1770" s="590" t="s">
        <v>1189</v>
      </c>
      <c r="C1770" s="744" t="s">
        <v>5554</v>
      </c>
      <c r="D1770" s="308" t="s">
        <v>5555</v>
      </c>
      <c r="E1770" s="308" t="s">
        <v>5556</v>
      </c>
      <c r="F1770" s="787">
        <v>200</v>
      </c>
      <c r="G1770" s="266">
        <v>8.3000000000000007</v>
      </c>
      <c r="H1770" s="253">
        <f t="shared" si="153"/>
        <v>1660.0000000000002</v>
      </c>
      <c r="I1770" s="264" t="s">
        <v>42</v>
      </c>
      <c r="J1770" s="267" t="s">
        <v>4326</v>
      </c>
      <c r="K1770" s="256">
        <v>43461</v>
      </c>
      <c r="L1770" s="256"/>
      <c r="M1770" s="256">
        <v>43461</v>
      </c>
      <c r="N1770" s="331" t="s">
        <v>2411</v>
      </c>
      <c r="O1770" s="308" t="s">
        <v>5557</v>
      </c>
      <c r="Q1770" s="591"/>
      <c r="R1770" s="1406"/>
      <c r="S1770" s="1406"/>
      <c r="U1770" s="572">
        <v>39900</v>
      </c>
      <c r="V1770" s="308" t="s">
        <v>2413</v>
      </c>
      <c r="W1770" s="747">
        <v>43136</v>
      </c>
      <c r="X1770" s="748">
        <v>43467</v>
      </c>
      <c r="Y1770" s="744" t="s">
        <v>5558</v>
      </c>
      <c r="Z1770" s="749">
        <v>39900</v>
      </c>
      <c r="AA1770" s="748">
        <v>43523</v>
      </c>
      <c r="AB1770" s="744" t="s">
        <v>5559</v>
      </c>
      <c r="AC1770" s="744">
        <v>602588814</v>
      </c>
      <c r="AD1770" s="745"/>
      <c r="AE1770" s="744"/>
      <c r="AF1770" s="744"/>
      <c r="AG1770" s="251" t="s">
        <v>283</v>
      </c>
    </row>
    <row r="1771" spans="1:33" ht="15.75" customHeight="1">
      <c r="A1771" s="755">
        <v>43396</v>
      </c>
      <c r="B1771" s="338" t="s">
        <v>53</v>
      </c>
      <c r="C1771" s="250" t="s">
        <v>5560</v>
      </c>
      <c r="D1771" s="308" t="s">
        <v>5561</v>
      </c>
      <c r="E1771" s="571" t="s">
        <v>385</v>
      </c>
      <c r="F1771" s="251">
        <v>10</v>
      </c>
      <c r="G1771" s="252">
        <v>150.15</v>
      </c>
      <c r="H1771" s="265">
        <f t="shared" si="153"/>
        <v>1501.5</v>
      </c>
      <c r="I1771" s="264" t="s">
        <v>42</v>
      </c>
      <c r="J1771" s="251" t="s">
        <v>89</v>
      </c>
      <c r="K1771" s="256">
        <v>43424</v>
      </c>
      <c r="L1771" s="256"/>
      <c r="M1771" s="256">
        <v>43424</v>
      </c>
      <c r="N1771" s="331" t="s">
        <v>89</v>
      </c>
      <c r="O1771" s="308" t="s">
        <v>5562</v>
      </c>
      <c r="Q1771" s="266">
        <v>1344</v>
      </c>
      <c r="R1771" s="1394"/>
      <c r="S1771" s="1394"/>
      <c r="U1771" s="589"/>
      <c r="V1771" s="338" t="s">
        <v>93</v>
      </c>
      <c r="W1771" s="747">
        <v>43465</v>
      </c>
      <c r="X1771" s="750">
        <v>43424</v>
      </c>
      <c r="Y1771" s="250" t="s">
        <v>5563</v>
      </c>
      <c r="Z1771" s="753">
        <v>41268</v>
      </c>
      <c r="AA1771" s="748">
        <v>43467</v>
      </c>
      <c r="AB1771" s="744" t="s">
        <v>5564</v>
      </c>
      <c r="AC1771" s="745"/>
      <c r="AD1771" s="595" t="s">
        <v>5565</v>
      </c>
      <c r="AE1771" s="749">
        <v>46405</v>
      </c>
      <c r="AF1771" s="744" t="s">
        <v>5566</v>
      </c>
      <c r="AG1771" s="251" t="s">
        <v>376</v>
      </c>
    </row>
    <row r="1772" spans="1:33" ht="15.75" customHeight="1">
      <c r="A1772" s="743">
        <v>43398</v>
      </c>
      <c r="B1772" s="590" t="s">
        <v>405</v>
      </c>
      <c r="C1772" s="744">
        <v>7000142250</v>
      </c>
      <c r="D1772" s="250" t="s">
        <v>5567</v>
      </c>
      <c r="E1772" s="595" t="s">
        <v>676</v>
      </c>
      <c r="F1772" s="251">
        <v>2</v>
      </c>
      <c r="G1772" s="252">
        <v>129</v>
      </c>
      <c r="H1772" s="265">
        <f t="shared" si="153"/>
        <v>258</v>
      </c>
      <c r="I1772" s="264" t="s">
        <v>42</v>
      </c>
      <c r="J1772" s="331" t="s">
        <v>3840</v>
      </c>
      <c r="K1772" s="256">
        <v>43417</v>
      </c>
      <c r="L1772" s="256"/>
      <c r="M1772" s="256">
        <v>43410</v>
      </c>
      <c r="N1772" s="331" t="s">
        <v>3432</v>
      </c>
      <c r="O1772" s="250" t="s">
        <v>5568</v>
      </c>
      <c r="Q1772" s="591"/>
      <c r="R1772" s="1406"/>
      <c r="S1772" s="1406"/>
      <c r="U1772" s="572">
        <v>7142</v>
      </c>
      <c r="V1772" s="308" t="s">
        <v>2045</v>
      </c>
      <c r="W1772" s="747">
        <v>43496</v>
      </c>
      <c r="X1772" s="750">
        <v>43409</v>
      </c>
      <c r="Y1772" s="250" t="s">
        <v>5569</v>
      </c>
      <c r="Z1772" s="753">
        <v>61913</v>
      </c>
      <c r="AA1772" s="748">
        <v>43494</v>
      </c>
      <c r="AB1772" s="744" t="s">
        <v>5544</v>
      </c>
      <c r="AC1772" s="744">
        <v>4637951802</v>
      </c>
      <c r="AD1772" s="745"/>
      <c r="AE1772" s="744"/>
      <c r="AF1772" s="744"/>
      <c r="AG1772" s="251" t="s">
        <v>283</v>
      </c>
    </row>
    <row r="1773" spans="1:33" ht="15.75" customHeight="1">
      <c r="A1773" s="743">
        <v>43398</v>
      </c>
      <c r="B1773" s="590" t="s">
        <v>405</v>
      </c>
      <c r="C1773" s="744">
        <v>7000142250</v>
      </c>
      <c r="D1773" s="250" t="s">
        <v>5567</v>
      </c>
      <c r="E1773" s="595" t="s">
        <v>1525</v>
      </c>
      <c r="F1773" s="251">
        <v>10</v>
      </c>
      <c r="G1773" s="252">
        <v>83</v>
      </c>
      <c r="H1773" s="265">
        <f t="shared" si="153"/>
        <v>830</v>
      </c>
      <c r="I1773" s="264" t="s">
        <v>42</v>
      </c>
      <c r="J1773" s="331" t="s">
        <v>3840</v>
      </c>
      <c r="K1773" s="256">
        <v>43417</v>
      </c>
      <c r="L1773" s="256"/>
      <c r="M1773" s="256">
        <v>43410</v>
      </c>
      <c r="N1773" s="331" t="s">
        <v>3432</v>
      </c>
      <c r="O1773" s="250" t="s">
        <v>5568</v>
      </c>
      <c r="Q1773" s="591"/>
      <c r="R1773" s="1406"/>
      <c r="S1773" s="1406"/>
      <c r="U1773" s="572">
        <v>22859</v>
      </c>
      <c r="V1773" s="308" t="s">
        <v>2045</v>
      </c>
      <c r="W1773" s="747">
        <v>43496</v>
      </c>
      <c r="X1773" s="750">
        <v>43409</v>
      </c>
      <c r="Y1773" s="250" t="s">
        <v>5569</v>
      </c>
      <c r="Z1773" s="250" t="s">
        <v>5570</v>
      </c>
      <c r="AA1773" s="748">
        <v>43494</v>
      </c>
      <c r="AB1773" s="744" t="s">
        <v>5544</v>
      </c>
      <c r="AC1773" s="744">
        <v>4637951802</v>
      </c>
      <c r="AD1773" s="745"/>
      <c r="AE1773" s="744"/>
      <c r="AF1773" s="744"/>
      <c r="AG1773" s="251" t="s">
        <v>283</v>
      </c>
    </row>
    <row r="1774" spans="1:33" ht="15.75" customHeight="1">
      <c r="A1774" s="743">
        <v>43398</v>
      </c>
      <c r="B1774" s="590" t="s">
        <v>405</v>
      </c>
      <c r="C1774" s="744">
        <v>7000142250</v>
      </c>
      <c r="D1774" s="250" t="s">
        <v>5567</v>
      </c>
      <c r="E1774" s="595" t="s">
        <v>4849</v>
      </c>
      <c r="F1774" s="251">
        <v>6</v>
      </c>
      <c r="G1774" s="252">
        <v>165</v>
      </c>
      <c r="H1774" s="265">
        <f t="shared" si="153"/>
        <v>990</v>
      </c>
      <c r="I1774" s="264" t="s">
        <v>42</v>
      </c>
      <c r="J1774" s="331" t="s">
        <v>3840</v>
      </c>
      <c r="K1774" s="256">
        <v>43417</v>
      </c>
      <c r="L1774" s="256"/>
      <c r="M1774" s="256">
        <v>43410</v>
      </c>
      <c r="N1774" s="331" t="s">
        <v>3432</v>
      </c>
      <c r="O1774" s="250" t="s">
        <v>5568</v>
      </c>
      <c r="Q1774" s="591"/>
      <c r="R1774" s="1406"/>
      <c r="S1774" s="1406"/>
      <c r="U1774" s="572">
        <v>27443</v>
      </c>
      <c r="V1774" s="308" t="s">
        <v>2045</v>
      </c>
      <c r="W1774" s="747">
        <v>43496</v>
      </c>
      <c r="X1774" s="750">
        <v>43409</v>
      </c>
      <c r="Y1774" s="250" t="s">
        <v>5569</v>
      </c>
      <c r="Z1774" s="250" t="s">
        <v>5570</v>
      </c>
      <c r="AA1774" s="748">
        <v>43494</v>
      </c>
      <c r="AB1774" s="744" t="s">
        <v>5544</v>
      </c>
      <c r="AC1774" s="744">
        <v>4637951802</v>
      </c>
      <c r="AD1774" s="745"/>
      <c r="AE1774" s="744"/>
      <c r="AF1774" s="744"/>
      <c r="AG1774" s="251" t="s">
        <v>283</v>
      </c>
    </row>
    <row r="1775" spans="1:33" ht="15.75" customHeight="1">
      <c r="A1775" s="743">
        <v>43398</v>
      </c>
      <c r="B1775" s="590" t="s">
        <v>405</v>
      </c>
      <c r="C1775" s="744">
        <v>7000142250</v>
      </c>
      <c r="D1775" s="250" t="s">
        <v>5567</v>
      </c>
      <c r="E1775" s="595" t="s">
        <v>407</v>
      </c>
      <c r="F1775" s="251">
        <v>3</v>
      </c>
      <c r="G1775" s="252">
        <v>54</v>
      </c>
      <c r="H1775" s="265">
        <f t="shared" si="153"/>
        <v>162</v>
      </c>
      <c r="I1775" s="264" t="s">
        <v>42</v>
      </c>
      <c r="J1775" s="331" t="s">
        <v>3840</v>
      </c>
      <c r="K1775" s="256">
        <v>43417</v>
      </c>
      <c r="L1775" s="256"/>
      <c r="M1775" s="256">
        <v>43410</v>
      </c>
      <c r="N1775" s="331" t="s">
        <v>3432</v>
      </c>
      <c r="O1775" s="250" t="s">
        <v>5568</v>
      </c>
      <c r="Q1775" s="591"/>
      <c r="R1775" s="1406"/>
      <c r="S1775" s="1406"/>
      <c r="U1775" s="572">
        <v>4470</v>
      </c>
      <c r="V1775" s="308" t="s">
        <v>2045</v>
      </c>
      <c r="W1775" s="747">
        <v>43496</v>
      </c>
      <c r="X1775" s="750">
        <v>43409</v>
      </c>
      <c r="Y1775" s="250" t="s">
        <v>5569</v>
      </c>
      <c r="Z1775" s="250" t="s">
        <v>5570</v>
      </c>
      <c r="AA1775" s="748">
        <v>43494</v>
      </c>
      <c r="AB1775" s="744" t="s">
        <v>5544</v>
      </c>
      <c r="AC1775" s="744">
        <v>4637951802</v>
      </c>
      <c r="AD1775" s="745"/>
      <c r="AE1775" s="744"/>
      <c r="AF1775" s="744"/>
      <c r="AG1775" s="251" t="s">
        <v>283</v>
      </c>
    </row>
    <row r="1776" spans="1:33" ht="15.75" customHeight="1">
      <c r="A1776" s="743">
        <v>43399</v>
      </c>
      <c r="B1776" s="263" t="s">
        <v>76</v>
      </c>
      <c r="C1776" s="744">
        <v>1066</v>
      </c>
      <c r="D1776" s="250" t="s">
        <v>5571</v>
      </c>
      <c r="E1776" s="571" t="s">
        <v>3342</v>
      </c>
      <c r="F1776" s="264">
        <v>1</v>
      </c>
      <c r="G1776" s="574">
        <v>2</v>
      </c>
      <c r="H1776" s="253">
        <f t="shared" si="153"/>
        <v>2</v>
      </c>
      <c r="I1776" s="254" t="s">
        <v>42</v>
      </c>
      <c r="J1776" s="367" t="s">
        <v>1083</v>
      </c>
      <c r="K1776" s="256">
        <v>43423</v>
      </c>
      <c r="L1776" s="256"/>
      <c r="M1776" s="264" t="s">
        <v>5572</v>
      </c>
      <c r="N1776" s="331" t="s">
        <v>2006</v>
      </c>
      <c r="O1776" s="250" t="s">
        <v>5573</v>
      </c>
      <c r="Q1776" s="591"/>
      <c r="R1776" s="1406"/>
      <c r="S1776" s="1406"/>
      <c r="U1776" s="589"/>
      <c r="V1776" s="318" t="s">
        <v>2146</v>
      </c>
      <c r="W1776" s="881"/>
      <c r="X1776" s="745"/>
      <c r="Y1776" s="745"/>
      <c r="Z1776" s="745"/>
      <c r="AA1776" s="746"/>
      <c r="AB1776" s="744" t="s">
        <v>5574</v>
      </c>
      <c r="AC1776" s="744">
        <v>970912644</v>
      </c>
      <c r="AD1776" s="745"/>
      <c r="AE1776" s="744"/>
      <c r="AF1776" s="744"/>
      <c r="AG1776" s="251" t="s">
        <v>283</v>
      </c>
    </row>
    <row r="1777" spans="1:33" ht="15.75" customHeight="1">
      <c r="A1777" s="743">
        <v>43399</v>
      </c>
      <c r="B1777" s="263" t="s">
        <v>76</v>
      </c>
      <c r="C1777" s="744">
        <v>1066</v>
      </c>
      <c r="D1777" s="250" t="s">
        <v>5571</v>
      </c>
      <c r="E1777" s="571" t="s">
        <v>3345</v>
      </c>
      <c r="F1777" s="264">
        <v>1</v>
      </c>
      <c r="G1777" s="574">
        <v>6</v>
      </c>
      <c r="H1777" s="253">
        <f t="shared" si="153"/>
        <v>6</v>
      </c>
      <c r="I1777" s="254" t="s">
        <v>42</v>
      </c>
      <c r="J1777" s="367" t="s">
        <v>1083</v>
      </c>
      <c r="K1777" s="256">
        <v>43423</v>
      </c>
      <c r="L1777" s="256"/>
      <c r="M1777" s="264" t="s">
        <v>5572</v>
      </c>
      <c r="N1777" s="331" t="s">
        <v>2006</v>
      </c>
      <c r="O1777" s="250" t="s">
        <v>5573</v>
      </c>
      <c r="Q1777" s="591"/>
      <c r="R1777" s="1406"/>
      <c r="S1777" s="1406"/>
      <c r="U1777" s="589"/>
      <c r="V1777" s="318" t="s">
        <v>2146</v>
      </c>
      <c r="W1777" s="881"/>
      <c r="X1777" s="745"/>
      <c r="Y1777" s="745"/>
      <c r="Z1777" s="745"/>
      <c r="AA1777" s="746"/>
      <c r="AB1777" s="744" t="s">
        <v>5574</v>
      </c>
      <c r="AC1777" s="744">
        <v>970912644</v>
      </c>
      <c r="AD1777" s="745"/>
      <c r="AE1777" s="744"/>
      <c r="AF1777" s="744"/>
      <c r="AG1777" s="251" t="s">
        <v>283</v>
      </c>
    </row>
    <row r="1778" spans="1:33" ht="15.75" customHeight="1">
      <c r="A1778" s="755">
        <v>43399</v>
      </c>
      <c r="B1778" s="338" t="s">
        <v>76</v>
      </c>
      <c r="C1778" s="250">
        <v>1098</v>
      </c>
      <c r="D1778" s="308" t="s">
        <v>5575</v>
      </c>
      <c r="E1778" s="597" t="s">
        <v>712</v>
      </c>
      <c r="F1778" s="264">
        <v>50</v>
      </c>
      <c r="G1778" s="265">
        <v>1.9</v>
      </c>
      <c r="H1778" s="253">
        <f t="shared" si="153"/>
        <v>95</v>
      </c>
      <c r="I1778" s="254" t="s">
        <v>42</v>
      </c>
      <c r="J1778" s="331" t="s">
        <v>315</v>
      </c>
      <c r="K1778" s="256">
        <v>43412</v>
      </c>
      <c r="L1778" s="256"/>
      <c r="M1778" s="264" t="s">
        <v>178</v>
      </c>
      <c r="N1778" s="331" t="s">
        <v>3608</v>
      </c>
      <c r="O1778" s="308" t="s">
        <v>5576</v>
      </c>
      <c r="Q1778" s="591"/>
      <c r="R1778" s="1406"/>
      <c r="S1778" s="1406"/>
      <c r="U1778" s="589"/>
      <c r="V1778" s="386" t="s">
        <v>2093</v>
      </c>
      <c r="W1778" s="881"/>
      <c r="X1778" s="882"/>
      <c r="Y1778" s="882"/>
      <c r="Z1778" s="882"/>
      <c r="AA1778" s="746"/>
      <c r="AB1778" s="744" t="s">
        <v>5530</v>
      </c>
      <c r="AC1778" s="744">
        <v>963463686</v>
      </c>
      <c r="AD1778" s="745"/>
      <c r="AE1778" s="744"/>
      <c r="AF1778" s="744"/>
      <c r="AG1778" s="251" t="s">
        <v>283</v>
      </c>
    </row>
    <row r="1779" spans="1:33" ht="15.75" customHeight="1">
      <c r="A1779" s="256">
        <v>43399</v>
      </c>
      <c r="B1779" s="871" t="s">
        <v>100</v>
      </c>
      <c r="C1779" s="356" t="s">
        <v>5577</v>
      </c>
      <c r="D1779" s="356" t="s">
        <v>5578</v>
      </c>
      <c r="E1779" s="871" t="s">
        <v>5579</v>
      </c>
      <c r="F1779" s="357">
        <v>6</v>
      </c>
      <c r="G1779" s="364">
        <v>1108</v>
      </c>
      <c r="H1779" s="265">
        <f t="shared" ref="H1779:H1786" si="154">F1779*G1779</f>
        <v>6648</v>
      </c>
      <c r="I1779" s="264" t="s">
        <v>302</v>
      </c>
      <c r="J1779" s="863" t="s">
        <v>3578</v>
      </c>
      <c r="K1779" s="256">
        <v>43420</v>
      </c>
      <c r="L1779" s="256"/>
      <c r="M1779" s="256">
        <v>43418</v>
      </c>
      <c r="N1779" s="331" t="s">
        <v>1414</v>
      </c>
      <c r="O1779" s="356" t="s">
        <v>5580</v>
      </c>
      <c r="Q1779" s="266" t="s">
        <v>0</v>
      </c>
      <c r="R1779" s="1394"/>
      <c r="S1779" s="1394"/>
      <c r="U1779" s="572">
        <v>194261</v>
      </c>
      <c r="V1779" s="318" t="s">
        <v>1947</v>
      </c>
      <c r="W1779" s="747">
        <v>43465</v>
      </c>
      <c r="X1779" s="750">
        <v>43417</v>
      </c>
      <c r="Y1779" s="250" t="s">
        <v>5581</v>
      </c>
      <c r="Z1779" s="753">
        <v>194261</v>
      </c>
      <c r="AA1779" s="750">
        <v>43469</v>
      </c>
      <c r="AB1779" s="250" t="s">
        <v>5274</v>
      </c>
      <c r="AC1779" s="744">
        <v>7282183672</v>
      </c>
      <c r="AD1779" s="818"/>
      <c r="AE1779" s="818"/>
      <c r="AF1779" s="818"/>
      <c r="AG1779" s="251" t="s">
        <v>283</v>
      </c>
    </row>
    <row r="1780" spans="1:33" ht="15.75" customHeight="1">
      <c r="A1780" s="289">
        <v>43399</v>
      </c>
      <c r="B1780" s="883" t="s">
        <v>100</v>
      </c>
      <c r="C1780" s="884" t="s">
        <v>5577</v>
      </c>
      <c r="D1780" s="884" t="s">
        <v>5578</v>
      </c>
      <c r="E1780" s="883" t="s">
        <v>4480</v>
      </c>
      <c r="F1780" s="885">
        <v>0</v>
      </c>
      <c r="G1780" s="886">
        <v>85</v>
      </c>
      <c r="H1780" s="887">
        <f t="shared" si="154"/>
        <v>0</v>
      </c>
      <c r="I1780" s="839" t="s">
        <v>302</v>
      </c>
      <c r="J1780" s="888" t="s">
        <v>3578</v>
      </c>
      <c r="K1780" s="833">
        <v>43420</v>
      </c>
      <c r="L1780" s="833"/>
      <c r="M1780" s="289">
        <v>43406</v>
      </c>
      <c r="N1780" s="867" t="s">
        <v>4876</v>
      </c>
      <c r="O1780" s="884" t="s">
        <v>5582</v>
      </c>
      <c r="Q1780" s="576"/>
      <c r="R1780" s="1408"/>
      <c r="S1780" s="1408"/>
      <c r="U1780" s="572">
        <v>14792</v>
      </c>
      <c r="V1780" s="597" t="s">
        <v>5583</v>
      </c>
      <c r="W1780" s="747">
        <v>43439</v>
      </c>
      <c r="X1780" s="750">
        <v>43405</v>
      </c>
      <c r="Y1780" s="250" t="s">
        <v>5584</v>
      </c>
      <c r="Z1780" s="753">
        <v>17258</v>
      </c>
      <c r="AA1780" s="750">
        <v>43445</v>
      </c>
      <c r="AB1780" s="889"/>
      <c r="AC1780" s="768">
        <v>7282183672</v>
      </c>
      <c r="AD1780" s="274"/>
      <c r="AE1780" s="274"/>
      <c r="AF1780" s="274"/>
      <c r="AG1780" s="776" t="s">
        <v>3456</v>
      </c>
    </row>
    <row r="1781" spans="1:33" ht="29.25" customHeight="1">
      <c r="A1781" s="256">
        <v>43399</v>
      </c>
      <c r="B1781" s="871" t="s">
        <v>100</v>
      </c>
      <c r="C1781" s="356" t="s">
        <v>5585</v>
      </c>
      <c r="D1781" s="356" t="s">
        <v>5586</v>
      </c>
      <c r="E1781" s="571" t="s">
        <v>5587</v>
      </c>
      <c r="F1781" s="357">
        <v>1</v>
      </c>
      <c r="G1781" s="364">
        <v>620</v>
      </c>
      <c r="H1781" s="265">
        <f t="shared" si="154"/>
        <v>620</v>
      </c>
      <c r="I1781" s="264" t="s">
        <v>302</v>
      </c>
      <c r="J1781" s="863" t="s">
        <v>3578</v>
      </c>
      <c r="K1781" s="256">
        <v>43420</v>
      </c>
      <c r="L1781" s="256"/>
      <c r="M1781" s="256">
        <v>43418</v>
      </c>
      <c r="N1781" s="331" t="s">
        <v>1414</v>
      </c>
      <c r="O1781" s="356" t="s">
        <v>5588</v>
      </c>
      <c r="Q1781" s="266" t="s">
        <v>0</v>
      </c>
      <c r="R1781" s="1394"/>
      <c r="S1781" s="1394"/>
      <c r="U1781" s="572">
        <v>18373</v>
      </c>
      <c r="V1781" s="318" t="s">
        <v>1947</v>
      </c>
      <c r="W1781" s="747">
        <v>43465</v>
      </c>
      <c r="X1781" s="750">
        <v>43417</v>
      </c>
      <c r="Y1781" s="250" t="s">
        <v>5589</v>
      </c>
      <c r="Z1781" s="753">
        <v>28226</v>
      </c>
      <c r="AA1781" s="750">
        <v>43469</v>
      </c>
      <c r="AB1781" s="250" t="s">
        <v>5274</v>
      </c>
      <c r="AC1781" s="744">
        <v>7282183672</v>
      </c>
      <c r="AD1781" s="818"/>
      <c r="AE1781" s="818"/>
      <c r="AF1781" s="818"/>
      <c r="AG1781" s="251" t="s">
        <v>283</v>
      </c>
    </row>
    <row r="1782" spans="1:33" ht="15.75" customHeight="1">
      <c r="A1782" s="256">
        <v>43399</v>
      </c>
      <c r="B1782" s="871" t="s">
        <v>100</v>
      </c>
      <c r="C1782" s="356" t="s">
        <v>5585</v>
      </c>
      <c r="D1782" s="356" t="s">
        <v>5586</v>
      </c>
      <c r="E1782" s="597" t="s">
        <v>5590</v>
      </c>
      <c r="F1782" s="357">
        <v>1</v>
      </c>
      <c r="G1782" s="364">
        <v>330</v>
      </c>
      <c r="H1782" s="265">
        <f t="shared" si="154"/>
        <v>330</v>
      </c>
      <c r="I1782" s="264" t="s">
        <v>302</v>
      </c>
      <c r="J1782" s="863" t="s">
        <v>3578</v>
      </c>
      <c r="K1782" s="256">
        <v>43420</v>
      </c>
      <c r="L1782" s="256"/>
      <c r="M1782" s="256">
        <v>43418</v>
      </c>
      <c r="N1782" s="331" t="s">
        <v>1414</v>
      </c>
      <c r="O1782" s="356" t="s">
        <v>5588</v>
      </c>
      <c r="Q1782" s="266" t="s">
        <v>0</v>
      </c>
      <c r="R1782" s="1394"/>
      <c r="S1782" s="1394"/>
      <c r="U1782" s="572">
        <v>9853</v>
      </c>
      <c r="V1782" s="318" t="s">
        <v>1947</v>
      </c>
      <c r="W1782" s="747">
        <v>43465</v>
      </c>
      <c r="X1782" s="750">
        <v>43417</v>
      </c>
      <c r="Y1782" s="250" t="s">
        <v>5589</v>
      </c>
      <c r="Z1782" s="250" t="s">
        <v>2990</v>
      </c>
      <c r="AA1782" s="750">
        <v>43469</v>
      </c>
      <c r="AB1782" s="250" t="s">
        <v>5274</v>
      </c>
      <c r="AC1782" s="744">
        <v>7282183672</v>
      </c>
      <c r="AD1782" s="818"/>
      <c r="AE1782" s="818"/>
      <c r="AF1782" s="818"/>
      <c r="AG1782" s="251" t="s">
        <v>283</v>
      </c>
    </row>
    <row r="1783" spans="1:33" ht="15.75" customHeight="1">
      <c r="A1783" s="256">
        <v>43399</v>
      </c>
      <c r="B1783" s="871" t="s">
        <v>100</v>
      </c>
      <c r="C1783" s="356" t="s">
        <v>5585</v>
      </c>
      <c r="D1783" s="356" t="s">
        <v>5586</v>
      </c>
      <c r="E1783" s="597" t="s">
        <v>4480</v>
      </c>
      <c r="F1783" s="357">
        <v>1</v>
      </c>
      <c r="G1783" s="364">
        <v>85</v>
      </c>
      <c r="H1783" s="265">
        <f t="shared" si="154"/>
        <v>85</v>
      </c>
      <c r="I1783" s="264" t="s">
        <v>302</v>
      </c>
      <c r="J1783" s="863" t="s">
        <v>3578</v>
      </c>
      <c r="K1783" s="256">
        <v>43420</v>
      </c>
      <c r="L1783" s="256"/>
      <c r="M1783" s="256">
        <v>43406</v>
      </c>
      <c r="N1783" s="331" t="s">
        <v>5591</v>
      </c>
      <c r="O1783" s="356" t="s">
        <v>5592</v>
      </c>
      <c r="Q1783" s="591" t="s">
        <v>0</v>
      </c>
      <c r="R1783" s="1406"/>
      <c r="S1783" s="1406"/>
      <c r="U1783" s="572">
        <v>2465</v>
      </c>
      <c r="V1783" s="597" t="s">
        <v>5583</v>
      </c>
      <c r="W1783" s="890">
        <v>43439</v>
      </c>
      <c r="X1783" s="750">
        <v>43405</v>
      </c>
      <c r="Y1783" s="250" t="s">
        <v>5584</v>
      </c>
      <c r="Z1783" s="250" t="s">
        <v>3054</v>
      </c>
      <c r="AA1783" s="788">
        <v>43445</v>
      </c>
      <c r="AB1783" s="250" t="s">
        <v>5274</v>
      </c>
      <c r="AC1783" s="744">
        <v>7282183672</v>
      </c>
      <c r="AD1783" s="818"/>
      <c r="AE1783" s="818"/>
      <c r="AF1783" s="818"/>
      <c r="AG1783" s="251" t="s">
        <v>283</v>
      </c>
    </row>
    <row r="1784" spans="1:33" ht="15.75" customHeight="1">
      <c r="A1784" s="256">
        <v>43399</v>
      </c>
      <c r="B1784" s="144" t="s">
        <v>405</v>
      </c>
      <c r="C1784" s="874">
        <v>7000142316</v>
      </c>
      <c r="D1784" s="356" t="s">
        <v>5593</v>
      </c>
      <c r="E1784" s="595" t="s">
        <v>5594</v>
      </c>
      <c r="F1784" s="251">
        <v>5</v>
      </c>
      <c r="G1784" s="252">
        <v>685</v>
      </c>
      <c r="H1784" s="252">
        <f t="shared" si="154"/>
        <v>3425</v>
      </c>
      <c r="I1784" s="264" t="s">
        <v>42</v>
      </c>
      <c r="J1784" s="331" t="s">
        <v>3840</v>
      </c>
      <c r="K1784" s="256">
        <v>43453</v>
      </c>
      <c r="L1784" s="256"/>
      <c r="M1784" s="256">
        <v>43451</v>
      </c>
      <c r="N1784" s="331"/>
      <c r="O1784" s="356" t="s">
        <v>5595</v>
      </c>
      <c r="Q1784" s="591"/>
      <c r="R1784" s="1406"/>
      <c r="S1784" s="1406"/>
      <c r="U1784" s="589"/>
      <c r="V1784" s="318"/>
      <c r="W1784" s="881"/>
      <c r="X1784" s="745"/>
      <c r="Y1784" s="745"/>
      <c r="Z1784" s="745"/>
      <c r="AA1784" s="746"/>
      <c r="AB1784" s="744" t="s">
        <v>5596</v>
      </c>
      <c r="AC1784" s="744">
        <v>7856597044</v>
      </c>
      <c r="AD1784" s="745"/>
      <c r="AE1784" s="744"/>
      <c r="AF1784" s="744"/>
      <c r="AG1784" s="251" t="s">
        <v>283</v>
      </c>
    </row>
    <row r="1785" spans="1:33" ht="15.75" customHeight="1">
      <c r="A1785" s="256">
        <v>43399</v>
      </c>
      <c r="B1785" s="144" t="s">
        <v>405</v>
      </c>
      <c r="C1785" s="874">
        <v>7000142316</v>
      </c>
      <c r="D1785" s="356" t="s">
        <v>5593</v>
      </c>
      <c r="E1785" s="595" t="s">
        <v>511</v>
      </c>
      <c r="F1785" s="251">
        <v>5</v>
      </c>
      <c r="G1785" s="252">
        <v>39</v>
      </c>
      <c r="H1785" s="252">
        <f t="shared" si="154"/>
        <v>195</v>
      </c>
      <c r="I1785" s="264" t="s">
        <v>42</v>
      </c>
      <c r="J1785" s="331" t="s">
        <v>3840</v>
      </c>
      <c r="K1785" s="256">
        <v>43453</v>
      </c>
      <c r="L1785" s="256"/>
      <c r="M1785" s="264" t="s">
        <v>4563</v>
      </c>
      <c r="N1785" s="331"/>
      <c r="O1785" s="356" t="s">
        <v>5595</v>
      </c>
      <c r="Q1785" s="591"/>
      <c r="R1785" s="1406"/>
      <c r="S1785" s="1406"/>
      <c r="U1785" s="589"/>
      <c r="V1785" s="318"/>
      <c r="W1785" s="881"/>
      <c r="X1785" s="745"/>
      <c r="Y1785" s="745"/>
      <c r="Z1785" s="745"/>
      <c r="AA1785" s="746"/>
      <c r="AB1785" s="744" t="s">
        <v>5596</v>
      </c>
      <c r="AC1785" s="744">
        <v>7856597044</v>
      </c>
      <c r="AD1785" s="745"/>
      <c r="AE1785" s="744"/>
      <c r="AF1785" s="744"/>
      <c r="AG1785" s="251" t="s">
        <v>283</v>
      </c>
    </row>
    <row r="1786" spans="1:33" ht="15.75" customHeight="1">
      <c r="A1786" s="256">
        <v>43399</v>
      </c>
      <c r="B1786" s="144" t="s">
        <v>405</v>
      </c>
      <c r="C1786" s="874">
        <v>7000142316</v>
      </c>
      <c r="D1786" s="356" t="s">
        <v>5593</v>
      </c>
      <c r="E1786" s="595" t="s">
        <v>514</v>
      </c>
      <c r="F1786" s="251">
        <v>5</v>
      </c>
      <c r="G1786" s="252">
        <v>43</v>
      </c>
      <c r="H1786" s="252">
        <f t="shared" si="154"/>
        <v>215</v>
      </c>
      <c r="I1786" s="264" t="s">
        <v>42</v>
      </c>
      <c r="J1786" s="331" t="s">
        <v>3840</v>
      </c>
      <c r="K1786" s="256">
        <v>43453</v>
      </c>
      <c r="L1786" s="256"/>
      <c r="M1786" s="264" t="s">
        <v>4563</v>
      </c>
      <c r="N1786" s="331"/>
      <c r="O1786" s="356" t="s">
        <v>5595</v>
      </c>
      <c r="Q1786" s="591"/>
      <c r="R1786" s="1406"/>
      <c r="S1786" s="1406"/>
      <c r="U1786" s="589"/>
      <c r="V1786" s="318"/>
      <c r="W1786" s="881"/>
      <c r="X1786" s="745"/>
      <c r="Y1786" s="745"/>
      <c r="Z1786" s="745"/>
      <c r="AA1786" s="746"/>
      <c r="AB1786" s="744" t="s">
        <v>5596</v>
      </c>
      <c r="AC1786" s="744">
        <v>7856597044</v>
      </c>
      <c r="AD1786" s="745"/>
      <c r="AE1786" s="744"/>
      <c r="AF1786" s="744"/>
      <c r="AG1786" s="251" t="s">
        <v>283</v>
      </c>
    </row>
    <row r="1787" spans="1:33" ht="15.75" customHeight="1">
      <c r="A1787" s="755">
        <v>43402</v>
      </c>
      <c r="B1787" s="144" t="s">
        <v>100</v>
      </c>
      <c r="C1787" s="250" t="s">
        <v>5597</v>
      </c>
      <c r="D1787" s="263" t="s">
        <v>5598</v>
      </c>
      <c r="E1787" s="420" t="s">
        <v>5599</v>
      </c>
      <c r="F1787" s="251">
        <v>1</v>
      </c>
      <c r="G1787" s="252">
        <v>570</v>
      </c>
      <c r="H1787" s="253">
        <f t="shared" ref="H1787:H1797" si="155">G1787*F1787</f>
        <v>570</v>
      </c>
      <c r="I1787" s="254" t="s">
        <v>302</v>
      </c>
      <c r="J1787" s="267" t="s">
        <v>437</v>
      </c>
      <c r="K1787" s="256">
        <v>43444</v>
      </c>
      <c r="L1787" s="256"/>
      <c r="M1787" s="264" t="s">
        <v>4563</v>
      </c>
      <c r="N1787" s="264" t="s">
        <v>4563</v>
      </c>
      <c r="O1787" s="250" t="s">
        <v>5600</v>
      </c>
      <c r="Q1787" s="591"/>
      <c r="R1787" s="1406"/>
      <c r="S1787" s="1406"/>
      <c r="U1787" s="328"/>
      <c r="V1787" s="308"/>
      <c r="W1787" s="881"/>
      <c r="X1787" s="745"/>
      <c r="Y1787" s="745"/>
      <c r="Z1787" s="745"/>
      <c r="AA1787" s="746"/>
      <c r="AB1787" s="744" t="s">
        <v>5601</v>
      </c>
      <c r="AC1787" s="744">
        <v>4174984730</v>
      </c>
      <c r="AD1787" s="745"/>
      <c r="AE1787" s="744"/>
      <c r="AF1787" s="744"/>
      <c r="AG1787" s="251" t="s">
        <v>283</v>
      </c>
    </row>
    <row r="1788" spans="1:33" ht="15.75" customHeight="1">
      <c r="A1788" s="755">
        <v>43402</v>
      </c>
      <c r="B1788" s="144" t="s">
        <v>100</v>
      </c>
      <c r="C1788" s="250" t="s">
        <v>5597</v>
      </c>
      <c r="D1788" s="263" t="s">
        <v>5598</v>
      </c>
      <c r="E1788" s="595" t="s">
        <v>441</v>
      </c>
      <c r="F1788" s="251">
        <v>1</v>
      </c>
      <c r="G1788" s="252">
        <v>38</v>
      </c>
      <c r="H1788" s="253">
        <f t="shared" si="155"/>
        <v>38</v>
      </c>
      <c r="I1788" s="891" t="s">
        <v>302</v>
      </c>
      <c r="J1788" s="267" t="s">
        <v>437</v>
      </c>
      <c r="K1788" s="256">
        <v>43444</v>
      </c>
      <c r="L1788" s="256"/>
      <c r="M1788" s="264" t="s">
        <v>4563</v>
      </c>
      <c r="N1788" s="264" t="s">
        <v>4563</v>
      </c>
      <c r="O1788" s="250" t="s">
        <v>5600</v>
      </c>
      <c r="Q1788" s="591"/>
      <c r="R1788" s="1406"/>
      <c r="S1788" s="1406"/>
      <c r="U1788" s="328"/>
      <c r="V1788" s="308"/>
      <c r="W1788" s="881"/>
      <c r="X1788" s="745"/>
      <c r="Y1788" s="745"/>
      <c r="Z1788" s="745"/>
      <c r="AA1788" s="746"/>
      <c r="AB1788" s="744" t="s">
        <v>5601</v>
      </c>
      <c r="AC1788" s="744">
        <v>4174984730</v>
      </c>
      <c r="AD1788" s="745"/>
      <c r="AE1788" s="744"/>
      <c r="AF1788" s="744"/>
      <c r="AG1788" s="251" t="s">
        <v>283</v>
      </c>
    </row>
    <row r="1789" spans="1:33" ht="15.75" customHeight="1">
      <c r="A1789" s="755">
        <v>43402</v>
      </c>
      <c r="B1789" s="144" t="s">
        <v>100</v>
      </c>
      <c r="C1789" s="250" t="s">
        <v>5597</v>
      </c>
      <c r="D1789" s="263" t="s">
        <v>5598</v>
      </c>
      <c r="E1789" s="595" t="s">
        <v>4721</v>
      </c>
      <c r="F1789" s="251">
        <v>1</v>
      </c>
      <c r="G1789" s="252">
        <v>42</v>
      </c>
      <c r="H1789" s="253">
        <f t="shared" si="155"/>
        <v>42</v>
      </c>
      <c r="I1789" s="891" t="s">
        <v>302</v>
      </c>
      <c r="J1789" s="267" t="s">
        <v>437</v>
      </c>
      <c r="K1789" s="256">
        <v>43444</v>
      </c>
      <c r="L1789" s="256"/>
      <c r="M1789" s="264" t="s">
        <v>4563</v>
      </c>
      <c r="N1789" s="264" t="s">
        <v>4563</v>
      </c>
      <c r="O1789" s="250" t="s">
        <v>5600</v>
      </c>
      <c r="Q1789" s="591"/>
      <c r="R1789" s="1406"/>
      <c r="S1789" s="1406"/>
      <c r="U1789" s="328"/>
      <c r="V1789" s="308"/>
      <c r="W1789" s="881"/>
      <c r="X1789" s="745"/>
      <c r="Y1789" s="745"/>
      <c r="Z1789" s="745"/>
      <c r="AA1789" s="746"/>
      <c r="AB1789" s="744" t="s">
        <v>5601</v>
      </c>
      <c r="AC1789" s="744">
        <v>4174984730</v>
      </c>
      <c r="AD1789" s="745"/>
      <c r="AE1789" s="744"/>
      <c r="AF1789" s="744"/>
      <c r="AG1789" s="251" t="s">
        <v>283</v>
      </c>
    </row>
    <row r="1790" spans="1:33" ht="15.75" customHeight="1">
      <c r="A1790" s="755">
        <v>43402</v>
      </c>
      <c r="B1790" s="144" t="s">
        <v>100</v>
      </c>
      <c r="C1790" s="250" t="s">
        <v>5597</v>
      </c>
      <c r="D1790" s="263" t="s">
        <v>5598</v>
      </c>
      <c r="E1790" s="595" t="s">
        <v>544</v>
      </c>
      <c r="F1790" s="251">
        <v>1</v>
      </c>
      <c r="G1790" s="252">
        <v>47</v>
      </c>
      <c r="H1790" s="253">
        <f t="shared" si="155"/>
        <v>47</v>
      </c>
      <c r="I1790" s="891" t="s">
        <v>302</v>
      </c>
      <c r="J1790" s="267" t="s">
        <v>437</v>
      </c>
      <c r="K1790" s="256">
        <v>43444</v>
      </c>
      <c r="L1790" s="256"/>
      <c r="M1790" s="264" t="s">
        <v>4563</v>
      </c>
      <c r="N1790" s="264" t="s">
        <v>4563</v>
      </c>
      <c r="O1790" s="250" t="s">
        <v>5600</v>
      </c>
      <c r="Q1790" s="591"/>
      <c r="R1790" s="1406"/>
      <c r="S1790" s="1406"/>
      <c r="U1790" s="328"/>
      <c r="V1790" s="308"/>
      <c r="W1790" s="881"/>
      <c r="X1790" s="745"/>
      <c r="Y1790" s="745"/>
      <c r="Z1790" s="745"/>
      <c r="AA1790" s="746"/>
      <c r="AB1790" s="744" t="s">
        <v>5601</v>
      </c>
      <c r="AC1790" s="744">
        <v>4174984730</v>
      </c>
      <c r="AD1790" s="745"/>
      <c r="AE1790" s="744"/>
      <c r="AF1790" s="744"/>
      <c r="AG1790" s="251" t="s">
        <v>283</v>
      </c>
    </row>
    <row r="1791" spans="1:33" ht="15.75" customHeight="1">
      <c r="A1791" s="755">
        <v>43402</v>
      </c>
      <c r="B1791" s="144" t="s">
        <v>100</v>
      </c>
      <c r="C1791" s="250" t="s">
        <v>5597</v>
      </c>
      <c r="D1791" s="263" t="s">
        <v>5598</v>
      </c>
      <c r="E1791" s="595" t="s">
        <v>4722</v>
      </c>
      <c r="F1791" s="251">
        <v>1</v>
      </c>
      <c r="G1791" s="252">
        <v>140</v>
      </c>
      <c r="H1791" s="253">
        <f t="shared" si="155"/>
        <v>140</v>
      </c>
      <c r="I1791" s="891" t="s">
        <v>302</v>
      </c>
      <c r="J1791" s="267" t="s">
        <v>437</v>
      </c>
      <c r="K1791" s="256">
        <v>43444</v>
      </c>
      <c r="L1791" s="256"/>
      <c r="M1791" s="264" t="s">
        <v>4563</v>
      </c>
      <c r="N1791" s="264" t="s">
        <v>4563</v>
      </c>
      <c r="O1791" s="250" t="s">
        <v>5600</v>
      </c>
      <c r="Q1791" s="591"/>
      <c r="R1791" s="1406"/>
      <c r="S1791" s="1406"/>
      <c r="U1791" s="328"/>
      <c r="V1791" s="308"/>
      <c r="W1791" s="881"/>
      <c r="X1791" s="745"/>
      <c r="Y1791" s="745"/>
      <c r="Z1791" s="745"/>
      <c r="AA1791" s="746"/>
      <c r="AB1791" s="744" t="s">
        <v>5601</v>
      </c>
      <c r="AC1791" s="744">
        <v>4174984730</v>
      </c>
      <c r="AD1791" s="745"/>
      <c r="AE1791" s="744"/>
      <c r="AF1791" s="744"/>
      <c r="AG1791" s="251" t="s">
        <v>283</v>
      </c>
    </row>
    <row r="1792" spans="1:33" ht="15.75" customHeight="1">
      <c r="A1792" s="755">
        <v>43402</v>
      </c>
      <c r="B1792" s="144" t="s">
        <v>100</v>
      </c>
      <c r="C1792" s="250" t="s">
        <v>5597</v>
      </c>
      <c r="D1792" s="263" t="s">
        <v>5598</v>
      </c>
      <c r="E1792" s="817" t="s">
        <v>4983</v>
      </c>
      <c r="F1792" s="251">
        <v>1</v>
      </c>
      <c r="G1792" s="252">
        <v>10</v>
      </c>
      <c r="H1792" s="266">
        <f t="shared" si="155"/>
        <v>10</v>
      </c>
      <c r="I1792" s="891" t="s">
        <v>302</v>
      </c>
      <c r="J1792" s="267" t="s">
        <v>437</v>
      </c>
      <c r="K1792" s="256">
        <v>43444</v>
      </c>
      <c r="L1792" s="256"/>
      <c r="M1792" s="264" t="s">
        <v>4563</v>
      </c>
      <c r="N1792" s="264" t="s">
        <v>4563</v>
      </c>
      <c r="O1792" s="250" t="s">
        <v>5600</v>
      </c>
      <c r="Q1792" s="591"/>
      <c r="R1792" s="1406"/>
      <c r="S1792" s="1406"/>
      <c r="U1792" s="328"/>
      <c r="V1792" s="308"/>
      <c r="W1792" s="881"/>
      <c r="X1792" s="745"/>
      <c r="Y1792" s="745" t="s">
        <v>0</v>
      </c>
      <c r="Z1792" s="745"/>
      <c r="AA1792" s="746"/>
      <c r="AB1792" s="744" t="s">
        <v>5601</v>
      </c>
      <c r="AC1792" s="744">
        <v>4174984730</v>
      </c>
      <c r="AD1792" s="745"/>
      <c r="AE1792" s="744"/>
      <c r="AF1792" s="744"/>
      <c r="AG1792" s="251" t="s">
        <v>283</v>
      </c>
    </row>
    <row r="1793" spans="1:33" ht="15.75" customHeight="1">
      <c r="A1793" s="755">
        <v>43402</v>
      </c>
      <c r="B1793" s="144" t="s">
        <v>100</v>
      </c>
      <c r="C1793" s="250" t="s">
        <v>5597</v>
      </c>
      <c r="D1793" s="892" t="s">
        <v>5602</v>
      </c>
      <c r="E1793" s="817" t="s">
        <v>346</v>
      </c>
      <c r="F1793" s="251">
        <v>1</v>
      </c>
      <c r="G1793" s="252">
        <v>706.5</v>
      </c>
      <c r="H1793" s="266">
        <f t="shared" si="155"/>
        <v>706.5</v>
      </c>
      <c r="I1793" s="891" t="s">
        <v>302</v>
      </c>
      <c r="J1793" s="893" t="s">
        <v>437</v>
      </c>
      <c r="K1793" s="256">
        <v>43444</v>
      </c>
      <c r="L1793" s="256"/>
      <c r="M1793" s="264"/>
      <c r="N1793" s="331" t="s">
        <v>1999</v>
      </c>
      <c r="O1793" s="356"/>
      <c r="Q1793" s="591"/>
      <c r="R1793" s="1406"/>
      <c r="S1793" s="1406"/>
      <c r="U1793" s="630">
        <v>18445</v>
      </c>
      <c r="V1793" s="318" t="s">
        <v>2000</v>
      </c>
      <c r="W1793" s="747">
        <v>43478</v>
      </c>
      <c r="X1793" s="750">
        <v>43448</v>
      </c>
      <c r="Y1793" s="250" t="s">
        <v>5603</v>
      </c>
      <c r="Z1793" s="753">
        <v>18445</v>
      </c>
      <c r="AA1793" s="750">
        <v>43477</v>
      </c>
      <c r="AB1793" s="744" t="s">
        <v>5601</v>
      </c>
      <c r="AC1793" s="744">
        <v>4174984730</v>
      </c>
      <c r="AD1793" s="745"/>
      <c r="AE1793" s="744"/>
      <c r="AF1793" s="744"/>
      <c r="AG1793" s="251" t="s">
        <v>283</v>
      </c>
    </row>
    <row r="1794" spans="1:33" ht="15.75" customHeight="1">
      <c r="A1794" s="743">
        <v>43403</v>
      </c>
      <c r="B1794" s="263" t="s">
        <v>100</v>
      </c>
      <c r="C1794" s="356" t="s">
        <v>5604</v>
      </c>
      <c r="D1794" s="356" t="s">
        <v>5605</v>
      </c>
      <c r="E1794" s="817" t="s">
        <v>5606</v>
      </c>
      <c r="F1794" s="251">
        <v>6</v>
      </c>
      <c r="G1794" s="252">
        <v>322</v>
      </c>
      <c r="H1794" s="266">
        <f t="shared" si="155"/>
        <v>1932</v>
      </c>
      <c r="I1794" s="891" t="s">
        <v>302</v>
      </c>
      <c r="J1794" s="267" t="s">
        <v>437</v>
      </c>
      <c r="K1794" s="256">
        <v>43425</v>
      </c>
      <c r="L1794" s="256"/>
      <c r="M1794" s="256">
        <v>43420</v>
      </c>
      <c r="N1794" s="401" t="s">
        <v>1995</v>
      </c>
      <c r="O1794" s="356" t="s">
        <v>5607</v>
      </c>
      <c r="Q1794" s="591"/>
      <c r="R1794" s="1406"/>
      <c r="S1794" s="1406"/>
      <c r="U1794" s="572">
        <v>56555</v>
      </c>
      <c r="V1794" s="571" t="s">
        <v>1997</v>
      </c>
      <c r="W1794" s="789">
        <v>43470</v>
      </c>
      <c r="X1794" s="748">
        <v>43419</v>
      </c>
      <c r="Y1794" s="744" t="s">
        <v>5608</v>
      </c>
      <c r="Z1794" s="749">
        <v>58118</v>
      </c>
      <c r="AA1794" s="748">
        <v>43469</v>
      </c>
      <c r="AB1794" s="250" t="s">
        <v>5609</v>
      </c>
      <c r="AC1794" s="744">
        <v>6296006636</v>
      </c>
      <c r="AD1794" s="745"/>
      <c r="AE1794" s="744"/>
      <c r="AF1794" s="744"/>
      <c r="AG1794" s="251" t="s">
        <v>283</v>
      </c>
    </row>
    <row r="1795" spans="1:33" ht="40.5" customHeight="1">
      <c r="A1795" s="743">
        <v>43371</v>
      </c>
      <c r="B1795" s="263" t="s">
        <v>100</v>
      </c>
      <c r="C1795" s="356" t="s">
        <v>5604</v>
      </c>
      <c r="D1795" s="356" t="s">
        <v>5610</v>
      </c>
      <c r="E1795" s="817" t="s">
        <v>5611</v>
      </c>
      <c r="F1795" s="251">
        <v>6</v>
      </c>
      <c r="G1795" s="252">
        <v>44</v>
      </c>
      <c r="H1795" s="266">
        <f t="shared" si="155"/>
        <v>264</v>
      </c>
      <c r="I1795" s="891" t="s">
        <v>302</v>
      </c>
      <c r="J1795" s="267" t="s">
        <v>437</v>
      </c>
      <c r="K1795" s="256">
        <v>43425</v>
      </c>
      <c r="L1795" s="256"/>
      <c r="M1795" s="256">
        <v>43411</v>
      </c>
      <c r="N1795" s="251" t="s">
        <v>1987</v>
      </c>
      <c r="O1795" s="356" t="s">
        <v>5612</v>
      </c>
      <c r="Q1795" s="591"/>
      <c r="R1795" s="1406"/>
      <c r="S1795" s="1406"/>
      <c r="U1795" s="770">
        <v>7585</v>
      </c>
      <c r="V1795" s="597" t="s">
        <v>5583</v>
      </c>
      <c r="W1795" s="747">
        <v>43439</v>
      </c>
      <c r="X1795" s="748">
        <v>43410</v>
      </c>
      <c r="Y1795" s="744" t="s">
        <v>5613</v>
      </c>
      <c r="Z1795" s="749">
        <v>7585</v>
      </c>
      <c r="AA1795" s="750">
        <v>43445</v>
      </c>
      <c r="AB1795" s="250" t="s">
        <v>5609</v>
      </c>
      <c r="AC1795" s="744">
        <v>6296006636</v>
      </c>
      <c r="AD1795" s="745"/>
      <c r="AE1795" s="744"/>
      <c r="AF1795" s="744"/>
      <c r="AG1795" s="251" t="s">
        <v>283</v>
      </c>
    </row>
    <row r="1796" spans="1:33" ht="26.25" customHeight="1">
      <c r="A1796" s="743">
        <v>43371</v>
      </c>
      <c r="B1796" s="263" t="s">
        <v>100</v>
      </c>
      <c r="C1796" s="356" t="s">
        <v>5604</v>
      </c>
      <c r="D1796" s="356" t="s">
        <v>5610</v>
      </c>
      <c r="E1796" s="817" t="s">
        <v>291</v>
      </c>
      <c r="F1796" s="251">
        <v>6</v>
      </c>
      <c r="G1796" s="252">
        <v>6</v>
      </c>
      <c r="H1796" s="253">
        <f t="shared" si="155"/>
        <v>36</v>
      </c>
      <c r="I1796" s="891" t="s">
        <v>302</v>
      </c>
      <c r="J1796" s="267" t="s">
        <v>437</v>
      </c>
      <c r="K1796" s="256">
        <v>43425</v>
      </c>
      <c r="L1796" s="256"/>
      <c r="M1796" s="256">
        <v>43420</v>
      </c>
      <c r="N1796" s="401" t="s">
        <v>1995</v>
      </c>
      <c r="O1796" s="356" t="s">
        <v>5607</v>
      </c>
      <c r="Q1796" s="591"/>
      <c r="R1796" s="1406"/>
      <c r="S1796" s="1406"/>
      <c r="U1796" s="572">
        <v>1563</v>
      </c>
      <c r="V1796" s="571" t="s">
        <v>1997</v>
      </c>
      <c r="W1796" s="789">
        <v>43470</v>
      </c>
      <c r="X1796" s="748">
        <v>43419</v>
      </c>
      <c r="Y1796" s="744" t="s">
        <v>5608</v>
      </c>
      <c r="Z1796" s="744" t="s">
        <v>5614</v>
      </c>
      <c r="AA1796" s="748">
        <v>43469</v>
      </c>
      <c r="AB1796" s="250" t="s">
        <v>5609</v>
      </c>
      <c r="AC1796" s="744">
        <v>6296006636</v>
      </c>
      <c r="AD1796" s="745"/>
      <c r="AE1796" s="744"/>
      <c r="AF1796" s="744"/>
      <c r="AG1796" s="251" t="s">
        <v>283</v>
      </c>
    </row>
    <row r="1797" spans="1:33" ht="15.75" customHeight="1">
      <c r="A1797" s="256">
        <v>43425</v>
      </c>
      <c r="B1797" s="263" t="s">
        <v>100</v>
      </c>
      <c r="C1797" s="356" t="s">
        <v>5604</v>
      </c>
      <c r="D1797" s="356" t="s">
        <v>5615</v>
      </c>
      <c r="E1797" s="894" t="s">
        <v>346</v>
      </c>
      <c r="F1797" s="895">
        <v>1</v>
      </c>
      <c r="G1797" s="896">
        <v>88.35</v>
      </c>
      <c r="H1797" s="253">
        <f t="shared" si="155"/>
        <v>88.35</v>
      </c>
      <c r="I1797" s="897" t="s">
        <v>302</v>
      </c>
      <c r="J1797" s="267" t="s">
        <v>437</v>
      </c>
      <c r="K1797" s="256">
        <v>43425</v>
      </c>
      <c r="L1797" s="256"/>
      <c r="M1797" s="623"/>
      <c r="N1797" s="331" t="s">
        <v>1999</v>
      </c>
      <c r="O1797" s="356" t="s">
        <v>5607</v>
      </c>
      <c r="Q1797" s="591"/>
      <c r="R1797" s="1406"/>
      <c r="S1797" s="1406"/>
      <c r="U1797" s="572">
        <v>2549</v>
      </c>
      <c r="V1797" s="318" t="s">
        <v>2000</v>
      </c>
      <c r="W1797" s="805">
        <v>43464</v>
      </c>
      <c r="X1797" s="748">
        <v>43434</v>
      </c>
      <c r="Y1797" s="744" t="s">
        <v>5616</v>
      </c>
      <c r="Z1797" s="749">
        <v>7599</v>
      </c>
      <c r="AA1797" s="748">
        <v>43458</v>
      </c>
      <c r="AB1797" s="818"/>
      <c r="AC1797" s="744">
        <v>6296006636</v>
      </c>
      <c r="AD1797" s="745"/>
      <c r="AE1797" s="744"/>
      <c r="AF1797" s="744"/>
      <c r="AG1797" s="251" t="s">
        <v>283</v>
      </c>
    </row>
    <row r="1798" spans="1:33" ht="15.75" customHeight="1">
      <c r="A1798" s="898">
        <v>43404</v>
      </c>
      <c r="B1798" s="144" t="s">
        <v>100</v>
      </c>
      <c r="C1798" s="899" t="s">
        <v>5617</v>
      </c>
      <c r="D1798" s="899" t="s">
        <v>5618</v>
      </c>
      <c r="E1798" s="899" t="s">
        <v>5619</v>
      </c>
      <c r="F1798" s="388">
        <v>10</v>
      </c>
      <c r="G1798" s="389">
        <v>570</v>
      </c>
      <c r="H1798" s="389">
        <v>5700</v>
      </c>
      <c r="I1798" s="897" t="s">
        <v>302</v>
      </c>
      <c r="J1798" s="267" t="s">
        <v>437</v>
      </c>
      <c r="K1798" s="256">
        <v>43444</v>
      </c>
      <c r="L1798" s="256"/>
      <c r="M1798" s="623"/>
      <c r="N1798" s="264" t="s">
        <v>4563</v>
      </c>
      <c r="O1798" s="785" t="s">
        <v>5620</v>
      </c>
      <c r="Q1798" s="591"/>
      <c r="R1798" s="1406"/>
      <c r="S1798" s="1406"/>
      <c r="U1798" s="589"/>
      <c r="V1798" s="318"/>
      <c r="W1798" s="881"/>
      <c r="X1798" s="745"/>
      <c r="Y1798" s="745"/>
      <c r="Z1798" s="745"/>
      <c r="AA1798" s="746"/>
      <c r="AB1798" s="744" t="s">
        <v>5601</v>
      </c>
      <c r="AC1798" s="744">
        <v>4174984730</v>
      </c>
      <c r="AD1798" s="745"/>
      <c r="AE1798" s="744"/>
      <c r="AF1798" s="744"/>
      <c r="AG1798" s="251" t="s">
        <v>283</v>
      </c>
    </row>
    <row r="1799" spans="1:33" ht="15.75" customHeight="1">
      <c r="A1799" s="898">
        <v>43404</v>
      </c>
      <c r="B1799" s="899" t="s">
        <v>100</v>
      </c>
      <c r="C1799" s="899" t="s">
        <v>5617</v>
      </c>
      <c r="D1799" s="899" t="s">
        <v>5618</v>
      </c>
      <c r="E1799" s="899" t="s">
        <v>441</v>
      </c>
      <c r="F1799" s="388">
        <v>10</v>
      </c>
      <c r="G1799" s="389">
        <v>38</v>
      </c>
      <c r="H1799" s="389">
        <v>380</v>
      </c>
      <c r="I1799" s="897" t="s">
        <v>302</v>
      </c>
      <c r="J1799" s="267" t="s">
        <v>437</v>
      </c>
      <c r="K1799" s="256">
        <v>43444</v>
      </c>
      <c r="L1799" s="256"/>
      <c r="M1799" s="623"/>
      <c r="N1799" s="264" t="s">
        <v>4563</v>
      </c>
      <c r="O1799" s="785" t="s">
        <v>5620</v>
      </c>
      <c r="Q1799" s="591"/>
      <c r="R1799" s="1406"/>
      <c r="S1799" s="1406"/>
      <c r="U1799" s="589"/>
      <c r="V1799" s="318"/>
      <c r="W1799" s="881"/>
      <c r="X1799" s="745"/>
      <c r="Y1799" s="745"/>
      <c r="Z1799" s="745"/>
      <c r="AA1799" s="746"/>
      <c r="AB1799" s="744" t="s">
        <v>5601</v>
      </c>
      <c r="AC1799" s="744">
        <v>4174984730</v>
      </c>
      <c r="AD1799" s="745"/>
      <c r="AE1799" s="744"/>
      <c r="AF1799" s="744"/>
      <c r="AG1799" s="251" t="s">
        <v>283</v>
      </c>
    </row>
    <row r="1800" spans="1:33" ht="15.75" customHeight="1">
      <c r="A1800" s="898">
        <v>43404</v>
      </c>
      <c r="B1800" s="899" t="s">
        <v>100</v>
      </c>
      <c r="C1800" s="899" t="s">
        <v>5617</v>
      </c>
      <c r="D1800" s="899" t="s">
        <v>5618</v>
      </c>
      <c r="E1800" s="899" t="s">
        <v>5621</v>
      </c>
      <c r="F1800" s="388">
        <v>10</v>
      </c>
      <c r="G1800" s="389">
        <v>44</v>
      </c>
      <c r="H1800" s="389">
        <v>440</v>
      </c>
      <c r="I1800" s="897" t="s">
        <v>302</v>
      </c>
      <c r="J1800" s="267" t="s">
        <v>437</v>
      </c>
      <c r="K1800" s="256">
        <v>43444</v>
      </c>
      <c r="L1800" s="256"/>
      <c r="M1800" s="623"/>
      <c r="N1800" s="264" t="s">
        <v>4563</v>
      </c>
      <c r="O1800" s="785" t="s">
        <v>5620</v>
      </c>
      <c r="Q1800" s="591"/>
      <c r="R1800" s="1406"/>
      <c r="S1800" s="1406"/>
      <c r="U1800" s="589"/>
      <c r="V1800" s="318"/>
      <c r="W1800" s="881"/>
      <c r="X1800" s="745"/>
      <c r="Y1800" s="745"/>
      <c r="Z1800" s="745"/>
      <c r="AA1800" s="746"/>
      <c r="AB1800" s="744" t="s">
        <v>5601</v>
      </c>
      <c r="AC1800" s="744">
        <v>4174984730</v>
      </c>
      <c r="AD1800" s="745"/>
      <c r="AE1800" s="744"/>
      <c r="AF1800" s="744"/>
      <c r="AG1800" s="251" t="s">
        <v>283</v>
      </c>
    </row>
    <row r="1801" spans="1:33" ht="15.75" customHeight="1">
      <c r="A1801" s="898">
        <v>43404</v>
      </c>
      <c r="B1801" s="899" t="s">
        <v>100</v>
      </c>
      <c r="C1801" s="899" t="s">
        <v>5617</v>
      </c>
      <c r="D1801" s="899" t="s">
        <v>5618</v>
      </c>
      <c r="E1801" s="899" t="s">
        <v>5622</v>
      </c>
      <c r="F1801" s="388">
        <v>10</v>
      </c>
      <c r="G1801" s="389">
        <v>140</v>
      </c>
      <c r="H1801" s="389">
        <v>1400</v>
      </c>
      <c r="I1801" s="897" t="s">
        <v>302</v>
      </c>
      <c r="J1801" s="267" t="s">
        <v>437</v>
      </c>
      <c r="K1801" s="256">
        <v>43444</v>
      </c>
      <c r="L1801" s="256"/>
      <c r="M1801" s="623"/>
      <c r="N1801" s="264" t="s">
        <v>4563</v>
      </c>
      <c r="O1801" s="785" t="s">
        <v>5620</v>
      </c>
      <c r="Q1801" s="591"/>
      <c r="R1801" s="1406"/>
      <c r="S1801" s="1406"/>
      <c r="U1801" s="589"/>
      <c r="V1801" s="318"/>
      <c r="W1801" s="881"/>
      <c r="X1801" s="745"/>
      <c r="Y1801" s="745"/>
      <c r="Z1801" s="745"/>
      <c r="AA1801" s="746"/>
      <c r="AB1801" s="744" t="s">
        <v>5601</v>
      </c>
      <c r="AC1801" s="744">
        <v>4174984730</v>
      </c>
      <c r="AD1801" s="745"/>
      <c r="AE1801" s="744"/>
      <c r="AF1801" s="744"/>
      <c r="AG1801" s="251" t="s">
        <v>283</v>
      </c>
    </row>
    <row r="1802" spans="1:33" ht="15.75" customHeight="1">
      <c r="A1802" s="898">
        <v>43404</v>
      </c>
      <c r="B1802" s="899" t="s">
        <v>100</v>
      </c>
      <c r="C1802" s="899" t="s">
        <v>5617</v>
      </c>
      <c r="D1802" s="899" t="s">
        <v>5618</v>
      </c>
      <c r="E1802" s="899" t="s">
        <v>544</v>
      </c>
      <c r="F1802" s="388">
        <v>10</v>
      </c>
      <c r="G1802" s="389">
        <v>47</v>
      </c>
      <c r="H1802" s="389">
        <v>470</v>
      </c>
      <c r="I1802" s="897" t="s">
        <v>302</v>
      </c>
      <c r="J1802" s="267" t="s">
        <v>437</v>
      </c>
      <c r="K1802" s="256">
        <v>43444</v>
      </c>
      <c r="L1802" s="256"/>
      <c r="M1802" s="623"/>
      <c r="N1802" s="264" t="s">
        <v>4563</v>
      </c>
      <c r="O1802" s="785" t="s">
        <v>5620</v>
      </c>
      <c r="Q1802" s="591"/>
      <c r="R1802" s="1406"/>
      <c r="S1802" s="1406"/>
      <c r="U1802" s="589"/>
      <c r="V1802" s="318"/>
      <c r="W1802" s="881"/>
      <c r="X1802" s="745"/>
      <c r="Y1802" s="745"/>
      <c r="Z1802" s="745"/>
      <c r="AA1802" s="746"/>
      <c r="AB1802" s="744" t="s">
        <v>5601</v>
      </c>
      <c r="AC1802" s="744">
        <v>4174984730</v>
      </c>
      <c r="AD1802" s="745"/>
      <c r="AE1802" s="744"/>
      <c r="AF1802" s="744"/>
      <c r="AG1802" s="251" t="s">
        <v>283</v>
      </c>
    </row>
    <row r="1803" spans="1:33" ht="15.75" customHeight="1">
      <c r="A1803" s="898">
        <v>43404</v>
      </c>
      <c r="B1803" s="899" t="s">
        <v>100</v>
      </c>
      <c r="C1803" s="899" t="s">
        <v>5617</v>
      </c>
      <c r="D1803" s="899" t="s">
        <v>5618</v>
      </c>
      <c r="E1803" s="899" t="s">
        <v>444</v>
      </c>
      <c r="F1803" s="388">
        <v>10</v>
      </c>
      <c r="G1803" s="389">
        <v>10</v>
      </c>
      <c r="H1803" s="389">
        <v>100</v>
      </c>
      <c r="I1803" s="897" t="s">
        <v>302</v>
      </c>
      <c r="J1803" s="267" t="s">
        <v>437</v>
      </c>
      <c r="K1803" s="256">
        <v>43444</v>
      </c>
      <c r="L1803" s="256"/>
      <c r="M1803" s="623"/>
      <c r="N1803" s="264" t="s">
        <v>4563</v>
      </c>
      <c r="O1803" s="785" t="s">
        <v>5620</v>
      </c>
      <c r="Q1803" s="591"/>
      <c r="R1803" s="1406"/>
      <c r="S1803" s="1406"/>
      <c r="U1803" s="589"/>
      <c r="V1803" s="318"/>
      <c r="W1803" s="881"/>
      <c r="X1803" s="745"/>
      <c r="Y1803" s="745"/>
      <c r="Z1803" s="745"/>
      <c r="AA1803" s="746"/>
      <c r="AB1803" s="744" t="s">
        <v>5601</v>
      </c>
      <c r="AC1803" s="744">
        <v>4174984730</v>
      </c>
      <c r="AD1803" s="745"/>
      <c r="AE1803" s="744"/>
      <c r="AF1803" s="744"/>
      <c r="AG1803" s="251" t="s">
        <v>283</v>
      </c>
    </row>
    <row r="1804" spans="1:33" ht="15.75" customHeight="1">
      <c r="A1804" s="898">
        <v>43404</v>
      </c>
      <c r="B1804" s="414" t="s">
        <v>100</v>
      </c>
      <c r="C1804" s="899" t="s">
        <v>5623</v>
      </c>
      <c r="D1804" s="899" t="s">
        <v>5624</v>
      </c>
      <c r="E1804" s="899" t="s">
        <v>5625</v>
      </c>
      <c r="F1804" s="388">
        <v>2</v>
      </c>
      <c r="G1804" s="389">
        <v>592</v>
      </c>
      <c r="H1804" s="389">
        <f t="shared" ref="H1804:H1810" si="156">F1804*G1804</f>
        <v>1184</v>
      </c>
      <c r="I1804" s="264" t="s">
        <v>302</v>
      </c>
      <c r="J1804" s="267" t="s">
        <v>437</v>
      </c>
      <c r="K1804" s="256">
        <v>43461</v>
      </c>
      <c r="L1804" s="256"/>
      <c r="M1804" s="623"/>
      <c r="N1804" s="264" t="s">
        <v>5626</v>
      </c>
      <c r="O1804" s="785" t="s">
        <v>5627</v>
      </c>
      <c r="Q1804" s="591"/>
      <c r="R1804" s="1406"/>
      <c r="S1804" s="1406"/>
      <c r="U1804" s="589"/>
      <c r="V1804" s="318"/>
      <c r="W1804" s="881"/>
      <c r="X1804" s="745"/>
      <c r="Y1804" s="745"/>
      <c r="Z1804" s="745"/>
      <c r="AA1804" s="746"/>
      <c r="AB1804" s="744" t="s">
        <v>5628</v>
      </c>
      <c r="AC1804" s="250">
        <v>2336134651</v>
      </c>
      <c r="AD1804" s="745"/>
      <c r="AE1804" s="744"/>
      <c r="AF1804" s="744"/>
      <c r="AG1804" s="251" t="s">
        <v>283</v>
      </c>
    </row>
    <row r="1805" spans="1:33" ht="15.75" customHeight="1">
      <c r="A1805" s="898">
        <v>43404</v>
      </c>
      <c r="B1805" s="414" t="s">
        <v>100</v>
      </c>
      <c r="C1805" s="899" t="s">
        <v>5623</v>
      </c>
      <c r="D1805" s="899" t="s">
        <v>5624</v>
      </c>
      <c r="E1805" s="899" t="s">
        <v>441</v>
      </c>
      <c r="F1805" s="388">
        <v>2</v>
      </c>
      <c r="G1805" s="389">
        <v>38</v>
      </c>
      <c r="H1805" s="389">
        <f t="shared" si="156"/>
        <v>76</v>
      </c>
      <c r="I1805" s="264" t="s">
        <v>302</v>
      </c>
      <c r="J1805" s="267" t="s">
        <v>437</v>
      </c>
      <c r="K1805" s="256">
        <v>43461</v>
      </c>
      <c r="L1805" s="256"/>
      <c r="M1805" s="623"/>
      <c r="N1805" s="264" t="s">
        <v>5626</v>
      </c>
      <c r="O1805" s="785" t="s">
        <v>5627</v>
      </c>
      <c r="Q1805" s="591"/>
      <c r="R1805" s="1406"/>
      <c r="S1805" s="1406"/>
      <c r="U1805" s="589"/>
      <c r="V1805" s="318"/>
      <c r="W1805" s="881"/>
      <c r="X1805" s="745"/>
      <c r="Y1805" s="745"/>
      <c r="Z1805" s="745"/>
      <c r="AA1805" s="746"/>
      <c r="AB1805" s="744" t="s">
        <v>5628</v>
      </c>
      <c r="AC1805" s="250">
        <v>2336134651</v>
      </c>
      <c r="AD1805" s="745"/>
      <c r="AE1805" s="744"/>
      <c r="AF1805" s="744"/>
      <c r="AG1805" s="251" t="s">
        <v>283</v>
      </c>
    </row>
    <row r="1806" spans="1:33" ht="15.75" customHeight="1">
      <c r="A1806" s="898">
        <v>43404</v>
      </c>
      <c r="B1806" s="414" t="s">
        <v>100</v>
      </c>
      <c r="C1806" s="899" t="s">
        <v>5623</v>
      </c>
      <c r="D1806" s="899" t="s">
        <v>5624</v>
      </c>
      <c r="E1806" s="899" t="s">
        <v>543</v>
      </c>
      <c r="F1806" s="388">
        <v>2</v>
      </c>
      <c r="G1806" s="389">
        <v>76</v>
      </c>
      <c r="H1806" s="389">
        <f t="shared" si="156"/>
        <v>152</v>
      </c>
      <c r="I1806" s="264" t="s">
        <v>302</v>
      </c>
      <c r="J1806" s="267" t="s">
        <v>437</v>
      </c>
      <c r="K1806" s="256">
        <v>43461</v>
      </c>
      <c r="L1806" s="256"/>
      <c r="M1806" s="623"/>
      <c r="N1806" s="264" t="s">
        <v>5626</v>
      </c>
      <c r="O1806" s="785" t="s">
        <v>5627</v>
      </c>
      <c r="Q1806" s="591"/>
      <c r="R1806" s="1406"/>
      <c r="S1806" s="1406"/>
      <c r="U1806" s="589"/>
      <c r="V1806" s="318"/>
      <c r="W1806" s="881"/>
      <c r="X1806" s="745"/>
      <c r="Y1806" s="745"/>
      <c r="Z1806" s="745"/>
      <c r="AA1806" s="746"/>
      <c r="AB1806" s="744" t="s">
        <v>5628</v>
      </c>
      <c r="AC1806" s="250">
        <v>2336134651</v>
      </c>
      <c r="AD1806" s="745"/>
      <c r="AE1806" s="744"/>
      <c r="AF1806" s="744"/>
      <c r="AG1806" s="251" t="s">
        <v>283</v>
      </c>
    </row>
    <row r="1807" spans="1:33" ht="15.75" customHeight="1">
      <c r="A1807" s="898">
        <v>43404</v>
      </c>
      <c r="B1807" s="414" t="s">
        <v>100</v>
      </c>
      <c r="C1807" s="899" t="s">
        <v>5623</v>
      </c>
      <c r="D1807" s="899" t="s">
        <v>5624</v>
      </c>
      <c r="E1807" s="899" t="s">
        <v>5622</v>
      </c>
      <c r="F1807" s="388">
        <v>2</v>
      </c>
      <c r="G1807" s="389">
        <v>140</v>
      </c>
      <c r="H1807" s="389">
        <f t="shared" si="156"/>
        <v>280</v>
      </c>
      <c r="I1807" s="264" t="s">
        <v>302</v>
      </c>
      <c r="J1807" s="267" t="s">
        <v>437</v>
      </c>
      <c r="K1807" s="256">
        <v>43461</v>
      </c>
      <c r="L1807" s="256"/>
      <c r="M1807" s="623"/>
      <c r="N1807" s="264" t="s">
        <v>5626</v>
      </c>
      <c r="O1807" s="785" t="s">
        <v>5627</v>
      </c>
      <c r="Q1807" s="591"/>
      <c r="R1807" s="1406"/>
      <c r="S1807" s="1406"/>
      <c r="U1807" s="589"/>
      <c r="V1807" s="318"/>
      <c r="W1807" s="881"/>
      <c r="X1807" s="745"/>
      <c r="Y1807" s="745"/>
      <c r="Z1807" s="745"/>
      <c r="AA1807" s="746"/>
      <c r="AB1807" s="744" t="s">
        <v>5628</v>
      </c>
      <c r="AC1807" s="250">
        <v>2336134651</v>
      </c>
      <c r="AD1807" s="745"/>
      <c r="AE1807" s="744"/>
      <c r="AF1807" s="744"/>
      <c r="AG1807" s="251" t="s">
        <v>283</v>
      </c>
    </row>
    <row r="1808" spans="1:33" ht="15.75" customHeight="1">
      <c r="A1808" s="898">
        <v>43404</v>
      </c>
      <c r="B1808" s="414" t="s">
        <v>100</v>
      </c>
      <c r="C1808" s="899" t="s">
        <v>5623</v>
      </c>
      <c r="D1808" s="899" t="s">
        <v>5624</v>
      </c>
      <c r="E1808" s="899" t="s">
        <v>544</v>
      </c>
      <c r="F1808" s="388">
        <v>2</v>
      </c>
      <c r="G1808" s="389">
        <v>47</v>
      </c>
      <c r="H1808" s="389">
        <f t="shared" si="156"/>
        <v>94</v>
      </c>
      <c r="I1808" s="264" t="s">
        <v>302</v>
      </c>
      <c r="J1808" s="267" t="s">
        <v>437</v>
      </c>
      <c r="K1808" s="256">
        <v>43461</v>
      </c>
      <c r="L1808" s="256"/>
      <c r="M1808" s="623"/>
      <c r="N1808" s="264" t="s">
        <v>5626</v>
      </c>
      <c r="O1808" s="785" t="s">
        <v>5627</v>
      </c>
      <c r="Q1808" s="591"/>
      <c r="R1808" s="1406"/>
      <c r="S1808" s="1406"/>
      <c r="U1808" s="589"/>
      <c r="V1808" s="318"/>
      <c r="W1808" s="881"/>
      <c r="X1808" s="745"/>
      <c r="Y1808" s="745"/>
      <c r="Z1808" s="745"/>
      <c r="AA1808" s="746"/>
      <c r="AB1808" s="744" t="s">
        <v>5628</v>
      </c>
      <c r="AC1808" s="250">
        <v>2336134651</v>
      </c>
      <c r="AD1808" s="745"/>
      <c r="AE1808" s="744"/>
      <c r="AF1808" s="744"/>
      <c r="AG1808" s="251" t="s">
        <v>283</v>
      </c>
    </row>
    <row r="1809" spans="1:33" ht="15.75" customHeight="1">
      <c r="A1809" s="898">
        <v>43404</v>
      </c>
      <c r="B1809" s="414" t="s">
        <v>100</v>
      </c>
      <c r="C1809" s="899" t="s">
        <v>5623</v>
      </c>
      <c r="D1809" s="899" t="s">
        <v>5624</v>
      </c>
      <c r="E1809" s="899" t="s">
        <v>444</v>
      </c>
      <c r="F1809" s="388">
        <v>2</v>
      </c>
      <c r="G1809" s="389">
        <v>10</v>
      </c>
      <c r="H1809" s="389">
        <f t="shared" si="156"/>
        <v>20</v>
      </c>
      <c r="I1809" s="264" t="s">
        <v>302</v>
      </c>
      <c r="J1809" s="267" t="s">
        <v>437</v>
      </c>
      <c r="K1809" s="256">
        <v>43461</v>
      </c>
      <c r="L1809" s="256"/>
      <c r="M1809" s="623"/>
      <c r="N1809" s="264" t="s">
        <v>5626</v>
      </c>
      <c r="O1809" s="785" t="s">
        <v>5627</v>
      </c>
      <c r="Q1809" s="591"/>
      <c r="R1809" s="1406"/>
      <c r="S1809" s="1406"/>
      <c r="U1809" s="589"/>
      <c r="V1809" s="318"/>
      <c r="W1809" s="881"/>
      <c r="X1809" s="745"/>
      <c r="Y1809" s="745"/>
      <c r="Z1809" s="745"/>
      <c r="AA1809" s="746"/>
      <c r="AB1809" s="744" t="s">
        <v>5628</v>
      </c>
      <c r="AC1809" s="250">
        <v>2336134651</v>
      </c>
      <c r="AD1809" s="745"/>
      <c r="AE1809" s="744"/>
      <c r="AF1809" s="744"/>
      <c r="AG1809" s="251" t="s">
        <v>283</v>
      </c>
    </row>
    <row r="1810" spans="1:33" ht="15.75" customHeight="1">
      <c r="A1810" s="898">
        <v>43404</v>
      </c>
      <c r="B1810" s="414" t="s">
        <v>100</v>
      </c>
      <c r="C1810" s="899" t="s">
        <v>5623</v>
      </c>
      <c r="D1810" s="899" t="s">
        <v>5624</v>
      </c>
      <c r="E1810" s="899" t="s">
        <v>545</v>
      </c>
      <c r="F1810" s="388">
        <v>2</v>
      </c>
      <c r="G1810" s="389">
        <v>29</v>
      </c>
      <c r="H1810" s="389">
        <f t="shared" si="156"/>
        <v>58</v>
      </c>
      <c r="I1810" s="264" t="s">
        <v>302</v>
      </c>
      <c r="J1810" s="267" t="s">
        <v>437</v>
      </c>
      <c r="K1810" s="256">
        <v>43461</v>
      </c>
      <c r="L1810" s="256"/>
      <c r="M1810" s="623"/>
      <c r="N1810" s="264" t="s">
        <v>5626</v>
      </c>
      <c r="O1810" s="785" t="s">
        <v>5627</v>
      </c>
      <c r="Q1810" s="591"/>
      <c r="R1810" s="1406"/>
      <c r="S1810" s="1406"/>
      <c r="U1810" s="589"/>
      <c r="V1810" s="318"/>
      <c r="W1810" s="881"/>
      <c r="X1810" s="745"/>
      <c r="Y1810" s="745"/>
      <c r="Z1810" s="745"/>
      <c r="AA1810" s="746"/>
      <c r="AB1810" s="744" t="s">
        <v>5628</v>
      </c>
      <c r="AC1810" s="250">
        <v>2336134651</v>
      </c>
      <c r="AD1810" s="745"/>
      <c r="AE1810" s="744"/>
      <c r="AF1810" s="744"/>
      <c r="AG1810" s="251" t="s">
        <v>283</v>
      </c>
    </row>
    <row r="1811" spans="1:33" ht="45.75" customHeight="1">
      <c r="A1811" s="743">
        <v>43461</v>
      </c>
      <c r="B1811" s="899" t="s">
        <v>100</v>
      </c>
      <c r="C1811" s="899" t="s">
        <v>5617</v>
      </c>
      <c r="D1811" s="899" t="s">
        <v>5629</v>
      </c>
      <c r="E1811" s="823" t="s">
        <v>346</v>
      </c>
      <c r="F1811" s="585">
        <v>1</v>
      </c>
      <c r="G1811" s="323">
        <v>610</v>
      </c>
      <c r="H1811" s="389">
        <v>610</v>
      </c>
      <c r="I1811" s="254" t="s">
        <v>302</v>
      </c>
      <c r="J1811" s="267" t="s">
        <v>437</v>
      </c>
      <c r="K1811" s="256">
        <v>43461</v>
      </c>
      <c r="L1811" s="256"/>
      <c r="M1811" s="256"/>
      <c r="N1811" s="331" t="s">
        <v>1999</v>
      </c>
      <c r="O1811" s="785"/>
      <c r="Q1811" s="591"/>
      <c r="R1811" s="1406"/>
      <c r="S1811" s="1406"/>
      <c r="U1811" s="572">
        <v>16191</v>
      </c>
      <c r="V1811" s="318" t="s">
        <v>2000</v>
      </c>
      <c r="W1811" s="747">
        <v>43495</v>
      </c>
      <c r="X1811" s="748">
        <v>43465</v>
      </c>
      <c r="Y1811" s="744" t="s">
        <v>5630</v>
      </c>
      <c r="Z1811" s="749">
        <v>20764</v>
      </c>
      <c r="AA1811" s="750">
        <v>43485</v>
      </c>
      <c r="AB1811" s="744" t="s">
        <v>5628</v>
      </c>
      <c r="AC1811" s="250">
        <v>2336134651</v>
      </c>
      <c r="AD1811" s="595"/>
      <c r="AE1811" s="749"/>
      <c r="AF1811" s="744"/>
      <c r="AG1811" s="251" t="s">
        <v>283</v>
      </c>
    </row>
    <row r="1812" spans="1:33" ht="45.75" customHeight="1">
      <c r="A1812" s="743">
        <v>43405</v>
      </c>
      <c r="B1812" s="263" t="s">
        <v>228</v>
      </c>
      <c r="C1812" s="744" t="s">
        <v>5631</v>
      </c>
      <c r="D1812" s="250" t="s">
        <v>5632</v>
      </c>
      <c r="E1812" s="595" t="s">
        <v>231</v>
      </c>
      <c r="F1812" s="251">
        <v>12</v>
      </c>
      <c r="G1812" s="323">
        <v>407.4</v>
      </c>
      <c r="H1812" s="253">
        <f t="shared" ref="H1812:H1813" si="157">G1812*F1812</f>
        <v>4888.7999999999993</v>
      </c>
      <c r="I1812" s="254" t="s">
        <v>170</v>
      </c>
      <c r="J1812" s="267" t="s">
        <v>232</v>
      </c>
      <c r="K1812" s="256">
        <v>43413</v>
      </c>
      <c r="L1812" s="256"/>
      <c r="M1812" s="256">
        <v>43412</v>
      </c>
      <c r="N1812" s="331" t="s">
        <v>89</v>
      </c>
      <c r="O1812" s="308" t="s">
        <v>5633</v>
      </c>
      <c r="Q1812" s="266">
        <v>4473</v>
      </c>
      <c r="R1812" s="1394"/>
      <c r="S1812" s="1394"/>
      <c r="U1812" s="589" t="s">
        <v>0</v>
      </c>
      <c r="V1812" s="338" t="s">
        <v>93</v>
      </c>
      <c r="W1812" s="747">
        <v>43465</v>
      </c>
      <c r="X1812" s="748">
        <v>43412</v>
      </c>
      <c r="Y1812" s="744" t="s">
        <v>5634</v>
      </c>
      <c r="Z1812" s="749">
        <v>140019</v>
      </c>
      <c r="AA1812" s="748">
        <v>43467</v>
      </c>
      <c r="AB1812" s="744" t="s">
        <v>5635</v>
      </c>
      <c r="AC1812" s="745"/>
      <c r="AD1812" s="595" t="s">
        <v>5636</v>
      </c>
      <c r="AE1812" s="749">
        <v>151996</v>
      </c>
      <c r="AF1812" s="744" t="s">
        <v>5637</v>
      </c>
      <c r="AG1812" s="251" t="s">
        <v>376</v>
      </c>
    </row>
    <row r="1813" spans="1:33" ht="31.5" customHeight="1">
      <c r="A1813" s="743">
        <v>43405</v>
      </c>
      <c r="B1813" s="263" t="s">
        <v>228</v>
      </c>
      <c r="C1813" s="744" t="s">
        <v>5631</v>
      </c>
      <c r="D1813" s="250" t="s">
        <v>5632</v>
      </c>
      <c r="E1813" s="799" t="s">
        <v>729</v>
      </c>
      <c r="F1813" s="251">
        <v>3</v>
      </c>
      <c r="G1813" s="323">
        <v>21</v>
      </c>
      <c r="H1813" s="253">
        <f t="shared" si="157"/>
        <v>63</v>
      </c>
      <c r="I1813" s="254" t="s">
        <v>170</v>
      </c>
      <c r="J1813" s="267" t="s">
        <v>232</v>
      </c>
      <c r="K1813" s="256">
        <v>43413</v>
      </c>
      <c r="L1813" s="256"/>
      <c r="M1813" s="256">
        <v>43412</v>
      </c>
      <c r="N1813" s="331" t="s">
        <v>89</v>
      </c>
      <c r="O1813" s="308" t="s">
        <v>5633</v>
      </c>
      <c r="Q1813" s="854">
        <v>53.234999999999999</v>
      </c>
      <c r="R1813" s="1421"/>
      <c r="S1813" s="1421"/>
      <c r="U1813" s="589"/>
      <c r="V1813" s="338" t="s">
        <v>93</v>
      </c>
      <c r="W1813" s="747">
        <v>43465</v>
      </c>
      <c r="X1813" s="748">
        <v>43412</v>
      </c>
      <c r="Y1813" s="744" t="s">
        <v>5634</v>
      </c>
      <c r="Z1813" s="744" t="s">
        <v>5638</v>
      </c>
      <c r="AA1813" s="748">
        <v>43467</v>
      </c>
      <c r="AB1813" s="744" t="s">
        <v>5635</v>
      </c>
      <c r="AC1813" s="745"/>
      <c r="AD1813" s="595" t="s">
        <v>5636</v>
      </c>
      <c r="AE1813" s="744" t="s">
        <v>5639</v>
      </c>
      <c r="AF1813" s="744" t="s">
        <v>5640</v>
      </c>
      <c r="AG1813" s="251" t="s">
        <v>376</v>
      </c>
    </row>
    <row r="1814" spans="1:33" ht="15.75" customHeight="1">
      <c r="A1814" s="743">
        <v>43405</v>
      </c>
      <c r="B1814" s="263" t="s">
        <v>415</v>
      </c>
      <c r="C1814" s="744" t="s">
        <v>5641</v>
      </c>
      <c r="D1814" s="250" t="s">
        <v>5642</v>
      </c>
      <c r="E1814" s="420" t="s">
        <v>5643</v>
      </c>
      <c r="F1814" s="251">
        <v>8</v>
      </c>
      <c r="G1814" s="252">
        <v>437</v>
      </c>
      <c r="H1814" s="900">
        <v>3496</v>
      </c>
      <c r="I1814" s="254" t="s">
        <v>419</v>
      </c>
      <c r="J1814" s="901" t="s">
        <v>5644</v>
      </c>
      <c r="K1814" s="829">
        <v>43437</v>
      </c>
      <c r="L1814" s="1479"/>
      <c r="M1814" s="256">
        <v>43420</v>
      </c>
      <c r="N1814" s="331" t="s">
        <v>89</v>
      </c>
      <c r="O1814" s="420" t="s">
        <v>5645</v>
      </c>
      <c r="Q1814" s="266">
        <v>3276</v>
      </c>
      <c r="R1814" s="1394"/>
      <c r="S1814" s="1394"/>
      <c r="U1814" s="589"/>
      <c r="V1814" s="338" t="s">
        <v>93</v>
      </c>
      <c r="W1814" s="747">
        <v>43465</v>
      </c>
      <c r="X1814" s="748">
        <v>43418</v>
      </c>
      <c r="Y1814" s="744" t="s">
        <v>5646</v>
      </c>
      <c r="Z1814" s="749">
        <v>108327</v>
      </c>
      <c r="AA1814" s="748">
        <v>43467</v>
      </c>
      <c r="AB1814" s="744" t="s">
        <v>5647</v>
      </c>
      <c r="AC1814" s="744" t="s">
        <v>5648</v>
      </c>
      <c r="AD1814" s="745"/>
      <c r="AE1814" s="744"/>
      <c r="AF1814" s="744"/>
      <c r="AG1814" s="264" t="s">
        <v>283</v>
      </c>
    </row>
    <row r="1815" spans="1:33" ht="15.75" customHeight="1">
      <c r="A1815" s="743">
        <v>43405</v>
      </c>
      <c r="B1815" s="263" t="s">
        <v>415</v>
      </c>
      <c r="C1815" s="744" t="s">
        <v>5641</v>
      </c>
      <c r="D1815" s="250" t="s">
        <v>5642</v>
      </c>
      <c r="E1815" s="420" t="s">
        <v>5649</v>
      </c>
      <c r="F1815" s="251">
        <v>8</v>
      </c>
      <c r="G1815" s="252">
        <v>34</v>
      </c>
      <c r="H1815" s="900">
        <v>272</v>
      </c>
      <c r="I1815" s="254" t="s">
        <v>419</v>
      </c>
      <c r="J1815" s="902" t="s">
        <v>5650</v>
      </c>
      <c r="K1815" s="829">
        <v>43437</v>
      </c>
      <c r="L1815" s="1479"/>
      <c r="M1815" s="256">
        <v>43420</v>
      </c>
      <c r="N1815" s="331" t="s">
        <v>89</v>
      </c>
      <c r="O1815" s="420" t="s">
        <v>5645</v>
      </c>
      <c r="Q1815" s="266">
        <v>252</v>
      </c>
      <c r="R1815" s="1394"/>
      <c r="S1815" s="1394"/>
      <c r="U1815" s="589"/>
      <c r="V1815" s="338" t="s">
        <v>93</v>
      </c>
      <c r="W1815" s="747">
        <v>43465</v>
      </c>
      <c r="X1815" s="748">
        <v>43418</v>
      </c>
      <c r="Y1815" s="744" t="s">
        <v>5646</v>
      </c>
      <c r="Z1815" s="744" t="s">
        <v>5651</v>
      </c>
      <c r="AA1815" s="748">
        <v>43467</v>
      </c>
      <c r="AB1815" s="744" t="s">
        <v>5647</v>
      </c>
      <c r="AC1815" s="744" t="s">
        <v>5648</v>
      </c>
      <c r="AD1815" s="745"/>
      <c r="AE1815" s="744"/>
      <c r="AF1815" s="744"/>
      <c r="AG1815" s="264" t="s">
        <v>283</v>
      </c>
    </row>
    <row r="1816" spans="1:33" ht="15.75" customHeight="1">
      <c r="A1816" s="256">
        <v>43406</v>
      </c>
      <c r="B1816" s="871" t="s">
        <v>100</v>
      </c>
      <c r="C1816" s="356" t="s">
        <v>5652</v>
      </c>
      <c r="D1816" s="903" t="s">
        <v>5653</v>
      </c>
      <c r="E1816" s="571" t="s">
        <v>5654</v>
      </c>
      <c r="F1816" s="357">
        <v>1</v>
      </c>
      <c r="G1816" s="364">
        <v>620</v>
      </c>
      <c r="H1816" s="904">
        <f t="shared" ref="H1816:H1820" si="158">F1816*G1816</f>
        <v>620</v>
      </c>
      <c r="I1816" s="264" t="s">
        <v>302</v>
      </c>
      <c r="J1816" s="863" t="s">
        <v>3578</v>
      </c>
      <c r="K1816" s="256">
        <v>43444</v>
      </c>
      <c r="L1816" s="256"/>
      <c r="M1816" s="256">
        <v>43431</v>
      </c>
      <c r="N1816" s="331" t="s">
        <v>1414</v>
      </c>
      <c r="O1816" s="356" t="s">
        <v>5655</v>
      </c>
      <c r="Q1816" s="266">
        <v>593.25</v>
      </c>
      <c r="R1816" s="1394"/>
      <c r="S1816" s="1394"/>
      <c r="U1816" s="589"/>
      <c r="V1816" s="318" t="s">
        <v>1947</v>
      </c>
      <c r="W1816" s="805">
        <v>43496</v>
      </c>
      <c r="X1816" s="750">
        <v>43430</v>
      </c>
      <c r="Y1816" s="250" t="s">
        <v>5656</v>
      </c>
      <c r="Z1816" s="753">
        <v>28043</v>
      </c>
      <c r="AA1816" s="750">
        <v>43495</v>
      </c>
      <c r="AB1816" s="744" t="s">
        <v>5601</v>
      </c>
      <c r="AC1816" s="744">
        <v>4174984730</v>
      </c>
      <c r="AD1816" s="818"/>
      <c r="AE1816" s="818"/>
      <c r="AF1816" s="818"/>
      <c r="AG1816" s="251" t="s">
        <v>283</v>
      </c>
    </row>
    <row r="1817" spans="1:33" ht="35.25" customHeight="1">
      <c r="A1817" s="256">
        <v>43406</v>
      </c>
      <c r="B1817" s="871" t="s">
        <v>100</v>
      </c>
      <c r="C1817" s="356" t="s">
        <v>5652</v>
      </c>
      <c r="D1817" s="356" t="s">
        <v>5657</v>
      </c>
      <c r="E1817" s="597" t="s">
        <v>5658</v>
      </c>
      <c r="F1817" s="357">
        <v>1</v>
      </c>
      <c r="G1817" s="364">
        <v>330</v>
      </c>
      <c r="H1817" s="904">
        <f t="shared" si="158"/>
        <v>330</v>
      </c>
      <c r="I1817" s="264" t="s">
        <v>302</v>
      </c>
      <c r="J1817" s="863" t="s">
        <v>3578</v>
      </c>
      <c r="K1817" s="256">
        <v>43444</v>
      </c>
      <c r="L1817" s="256"/>
      <c r="M1817" s="256">
        <v>43431</v>
      </c>
      <c r="N1817" s="331" t="s">
        <v>1414</v>
      </c>
      <c r="O1817" s="356" t="s">
        <v>5655</v>
      </c>
      <c r="Q1817" s="266">
        <v>318.14999999999998</v>
      </c>
      <c r="R1817" s="1394"/>
      <c r="S1817" s="1394"/>
      <c r="U1817" s="589"/>
      <c r="V1817" s="318" t="s">
        <v>1947</v>
      </c>
      <c r="W1817" s="805">
        <v>43496</v>
      </c>
      <c r="X1817" s="750">
        <v>43430</v>
      </c>
      <c r="Y1817" s="250" t="s">
        <v>5656</v>
      </c>
      <c r="Z1817" s="744" t="s">
        <v>5659</v>
      </c>
      <c r="AA1817" s="750">
        <v>43495</v>
      </c>
      <c r="AB1817" s="744" t="s">
        <v>5601</v>
      </c>
      <c r="AC1817" s="744">
        <v>4174984730</v>
      </c>
      <c r="AD1817" s="745"/>
      <c r="AE1817" s="744"/>
      <c r="AF1817" s="744"/>
      <c r="AG1817" s="251" t="s">
        <v>283</v>
      </c>
    </row>
    <row r="1818" spans="1:33" ht="39.75" customHeight="1">
      <c r="A1818" s="256">
        <v>43406</v>
      </c>
      <c r="B1818" s="871" t="s">
        <v>100</v>
      </c>
      <c r="C1818" s="356" t="s">
        <v>5652</v>
      </c>
      <c r="D1818" s="356" t="s">
        <v>5657</v>
      </c>
      <c r="E1818" s="597" t="s">
        <v>4480</v>
      </c>
      <c r="F1818" s="357">
        <v>1</v>
      </c>
      <c r="G1818" s="364">
        <v>85</v>
      </c>
      <c r="H1818" s="904">
        <f t="shared" si="158"/>
        <v>85</v>
      </c>
      <c r="I1818" s="264" t="s">
        <v>302</v>
      </c>
      <c r="J1818" s="863" t="s">
        <v>3578</v>
      </c>
      <c r="K1818" s="256">
        <v>43444</v>
      </c>
      <c r="L1818" s="1477"/>
      <c r="M1818" s="331" t="s">
        <v>178</v>
      </c>
      <c r="N1818" s="251" t="s">
        <v>1952</v>
      </c>
      <c r="O1818" s="308" t="s">
        <v>5660</v>
      </c>
      <c r="Q1818" s="266">
        <v>73.709999999999994</v>
      </c>
      <c r="R1818" s="1394"/>
      <c r="S1818" s="1394"/>
      <c r="U1818" s="905"/>
      <c r="V1818" s="597" t="s">
        <v>5583</v>
      </c>
      <c r="W1818" s="747">
        <v>43500</v>
      </c>
      <c r="X1818" s="750">
        <v>43469</v>
      </c>
      <c r="Y1818" s="250" t="s">
        <v>5661</v>
      </c>
      <c r="Z1818" s="753">
        <v>2276</v>
      </c>
      <c r="AA1818" s="748">
        <v>43528</v>
      </c>
      <c r="AB1818" s="744" t="s">
        <v>5601</v>
      </c>
      <c r="AC1818" s="744">
        <v>4174984730</v>
      </c>
      <c r="AD1818" s="745"/>
      <c r="AE1818" s="744"/>
      <c r="AF1818" s="744"/>
      <c r="AG1818" s="251" t="s">
        <v>283</v>
      </c>
    </row>
    <row r="1819" spans="1:33" ht="15.75" customHeight="1">
      <c r="A1819" s="743">
        <v>43410</v>
      </c>
      <c r="B1819" s="263" t="s">
        <v>405</v>
      </c>
      <c r="C1819" s="250">
        <v>7000142284</v>
      </c>
      <c r="D1819" s="250" t="s">
        <v>5662</v>
      </c>
      <c r="E1819" s="595" t="s">
        <v>5663</v>
      </c>
      <c r="F1819" s="251">
        <v>1</v>
      </c>
      <c r="G1819" s="252">
        <v>115</v>
      </c>
      <c r="H1819" s="265">
        <f t="shared" si="158"/>
        <v>115</v>
      </c>
      <c r="I1819" s="254" t="s">
        <v>170</v>
      </c>
      <c r="J1819" s="331" t="s">
        <v>3840</v>
      </c>
      <c r="K1819" s="256">
        <v>43417</v>
      </c>
      <c r="L1819" s="256"/>
      <c r="M1819" s="256">
        <v>43413</v>
      </c>
      <c r="N1819" s="331" t="s">
        <v>5664</v>
      </c>
      <c r="O1819" s="250" t="s">
        <v>5665</v>
      </c>
      <c r="Q1819" s="266">
        <v>102.9</v>
      </c>
      <c r="R1819" s="1394"/>
      <c r="S1819" s="1394"/>
      <c r="U1819" s="572">
        <v>3164</v>
      </c>
      <c r="V1819" s="386" t="s">
        <v>5666</v>
      </c>
      <c r="W1819" s="574" t="s">
        <v>421</v>
      </c>
      <c r="X1819" s="748">
        <v>43412</v>
      </c>
      <c r="Y1819" s="744" t="s">
        <v>5667</v>
      </c>
      <c r="Z1819" s="749">
        <v>3164</v>
      </c>
      <c r="AA1819" s="748">
        <v>43412</v>
      </c>
      <c r="AB1819" s="744" t="s">
        <v>5544</v>
      </c>
      <c r="AC1819" s="744">
        <v>4637951802</v>
      </c>
      <c r="AD1819" s="745"/>
      <c r="AE1819" s="744"/>
      <c r="AF1819" s="744"/>
      <c r="AG1819" s="251" t="s">
        <v>283</v>
      </c>
    </row>
    <row r="1820" spans="1:33" ht="16.5" customHeight="1">
      <c r="A1820" s="755">
        <v>43411</v>
      </c>
      <c r="B1820" s="590" t="s">
        <v>5668</v>
      </c>
      <c r="C1820" s="744" t="s">
        <v>5669</v>
      </c>
      <c r="D1820" s="250" t="s">
        <v>5670</v>
      </c>
      <c r="E1820" s="744" t="s">
        <v>5671</v>
      </c>
      <c r="F1820" s="251">
        <v>3</v>
      </c>
      <c r="G1820" s="252">
        <v>1400</v>
      </c>
      <c r="H1820" s="265">
        <f t="shared" si="158"/>
        <v>4200</v>
      </c>
      <c r="I1820" s="254" t="s">
        <v>302</v>
      </c>
      <c r="J1820" s="401" t="s">
        <v>5279</v>
      </c>
      <c r="K1820" s="256">
        <v>43423</v>
      </c>
      <c r="L1820" s="256"/>
      <c r="M1820" s="256">
        <v>43417</v>
      </c>
      <c r="N1820" s="331" t="s">
        <v>2001</v>
      </c>
      <c r="O1820" s="250" t="s">
        <v>5672</v>
      </c>
      <c r="Q1820" s="266">
        <v>3780</v>
      </c>
      <c r="R1820" s="1394"/>
      <c r="S1820" s="1394"/>
      <c r="U1820" s="266"/>
      <c r="V1820" s="318" t="s">
        <v>2003</v>
      </c>
      <c r="W1820" s="747">
        <v>43470</v>
      </c>
      <c r="X1820" s="748">
        <v>43416</v>
      </c>
      <c r="Y1820" s="744" t="s">
        <v>5673</v>
      </c>
      <c r="Z1820" s="749">
        <v>116065</v>
      </c>
      <c r="AA1820" s="748">
        <v>43469</v>
      </c>
      <c r="AB1820" s="744" t="s">
        <v>5286</v>
      </c>
      <c r="AC1820" s="744">
        <v>7563203734</v>
      </c>
      <c r="AD1820" s="745"/>
      <c r="AE1820" s="744"/>
      <c r="AF1820" s="744"/>
      <c r="AG1820" s="251" t="s">
        <v>283</v>
      </c>
    </row>
    <row r="1821" spans="1:33" ht="15.75" customHeight="1">
      <c r="A1821" s="755">
        <v>43413</v>
      </c>
      <c r="B1821" s="144" t="s">
        <v>100</v>
      </c>
      <c r="C1821" s="250" t="s">
        <v>5674</v>
      </c>
      <c r="D1821" s="263" t="s">
        <v>5675</v>
      </c>
      <c r="E1821" s="595" t="s">
        <v>5676</v>
      </c>
      <c r="F1821" s="251">
        <v>8</v>
      </c>
      <c r="G1821" s="252">
        <v>570</v>
      </c>
      <c r="H1821" s="253">
        <f t="shared" ref="H1821:H1831" si="159">G1821*F1821</f>
        <v>4560</v>
      </c>
      <c r="I1821" s="254" t="s">
        <v>302</v>
      </c>
      <c r="J1821" s="863" t="s">
        <v>5265</v>
      </c>
      <c r="K1821" s="256">
        <v>43461</v>
      </c>
      <c r="L1821" s="256"/>
      <c r="M1821" s="264" t="s">
        <v>5677</v>
      </c>
      <c r="N1821" s="264"/>
      <c r="O1821" s="308" t="s">
        <v>5678</v>
      </c>
      <c r="Q1821" s="591"/>
      <c r="R1821" s="1406"/>
      <c r="S1821" s="1406"/>
      <c r="U1821" s="328"/>
      <c r="V1821" s="308"/>
      <c r="W1821" s="328"/>
      <c r="X1821" s="745"/>
      <c r="Y1821" s="745"/>
      <c r="Z1821" s="745"/>
      <c r="AA1821" s="746"/>
      <c r="AB1821" s="744" t="s">
        <v>5628</v>
      </c>
      <c r="AC1821" s="250">
        <v>2336134651</v>
      </c>
      <c r="AD1821" s="744"/>
      <c r="AE1821" s="744"/>
      <c r="AF1821" s="744"/>
      <c r="AG1821" s="251" t="s">
        <v>283</v>
      </c>
    </row>
    <row r="1822" spans="1:33" ht="15.75" customHeight="1">
      <c r="A1822" s="755">
        <v>43413</v>
      </c>
      <c r="B1822" s="144" t="s">
        <v>100</v>
      </c>
      <c r="C1822" s="250" t="s">
        <v>5674</v>
      </c>
      <c r="D1822" s="263" t="s">
        <v>5675</v>
      </c>
      <c r="E1822" s="595" t="s">
        <v>4721</v>
      </c>
      <c r="F1822" s="251">
        <v>8</v>
      </c>
      <c r="G1822" s="252">
        <v>42</v>
      </c>
      <c r="H1822" s="253">
        <f t="shared" si="159"/>
        <v>336</v>
      </c>
      <c r="I1822" s="254" t="s">
        <v>302</v>
      </c>
      <c r="J1822" s="863" t="s">
        <v>5265</v>
      </c>
      <c r="K1822" s="256">
        <v>43461</v>
      </c>
      <c r="L1822" s="256"/>
      <c r="M1822" s="264" t="s">
        <v>5677</v>
      </c>
      <c r="N1822" s="264" t="s">
        <v>0</v>
      </c>
      <c r="O1822" s="308" t="s">
        <v>5678</v>
      </c>
      <c r="Q1822" s="591"/>
      <c r="R1822" s="1406"/>
      <c r="S1822" s="1406"/>
      <c r="U1822" s="328"/>
      <c r="V1822" s="308"/>
      <c r="W1822" s="328"/>
      <c r="X1822" s="745"/>
      <c r="Y1822" s="745"/>
      <c r="Z1822" s="745"/>
      <c r="AA1822" s="746"/>
      <c r="AB1822" s="744" t="s">
        <v>5628</v>
      </c>
      <c r="AC1822" s="250">
        <v>2336134651</v>
      </c>
      <c r="AD1822" s="744"/>
      <c r="AE1822" s="744"/>
      <c r="AF1822" s="744"/>
      <c r="AG1822" s="251" t="s">
        <v>283</v>
      </c>
    </row>
    <row r="1823" spans="1:33" ht="15.75" customHeight="1">
      <c r="A1823" s="755">
        <v>43413</v>
      </c>
      <c r="B1823" s="144" t="s">
        <v>100</v>
      </c>
      <c r="C1823" s="250" t="s">
        <v>5674</v>
      </c>
      <c r="D1823" s="263" t="s">
        <v>5675</v>
      </c>
      <c r="E1823" s="906" t="s">
        <v>5679</v>
      </c>
      <c r="F1823" s="251">
        <v>8</v>
      </c>
      <c r="G1823" s="252">
        <v>140</v>
      </c>
      <c r="H1823" s="253">
        <f t="shared" si="159"/>
        <v>1120</v>
      </c>
      <c r="I1823" s="254" t="s">
        <v>302</v>
      </c>
      <c r="J1823" s="863" t="s">
        <v>5265</v>
      </c>
      <c r="K1823" s="256">
        <v>43461</v>
      </c>
      <c r="L1823" s="256"/>
      <c r="M1823" s="264" t="s">
        <v>5677</v>
      </c>
      <c r="N1823" s="264" t="s">
        <v>0</v>
      </c>
      <c r="O1823" s="308" t="s">
        <v>5678</v>
      </c>
      <c r="Q1823" s="591"/>
      <c r="R1823" s="1406"/>
      <c r="S1823" s="1406"/>
      <c r="U1823" s="328"/>
      <c r="V1823" s="308"/>
      <c r="W1823" s="328"/>
      <c r="X1823" s="745"/>
      <c r="Y1823" s="745"/>
      <c r="Z1823" s="745"/>
      <c r="AA1823" s="746"/>
      <c r="AB1823" s="744" t="s">
        <v>5628</v>
      </c>
      <c r="AC1823" s="250">
        <v>2336134651</v>
      </c>
      <c r="AD1823" s="744"/>
      <c r="AE1823" s="744"/>
      <c r="AF1823" s="744"/>
      <c r="AG1823" s="251" t="s">
        <v>283</v>
      </c>
    </row>
    <row r="1824" spans="1:33" ht="15.75" customHeight="1">
      <c r="A1824" s="755">
        <v>43413</v>
      </c>
      <c r="B1824" s="144" t="s">
        <v>100</v>
      </c>
      <c r="C1824" s="250" t="s">
        <v>5674</v>
      </c>
      <c r="D1824" s="263" t="s">
        <v>5675</v>
      </c>
      <c r="E1824" s="595" t="s">
        <v>441</v>
      </c>
      <c r="F1824" s="251">
        <v>8</v>
      </c>
      <c r="G1824" s="252">
        <v>38</v>
      </c>
      <c r="H1824" s="253">
        <f t="shared" si="159"/>
        <v>304</v>
      </c>
      <c r="I1824" s="254" t="s">
        <v>302</v>
      </c>
      <c r="J1824" s="863" t="s">
        <v>5265</v>
      </c>
      <c r="K1824" s="256">
        <v>43461</v>
      </c>
      <c r="L1824" s="256"/>
      <c r="M1824" s="264" t="s">
        <v>5677</v>
      </c>
      <c r="N1824" s="264" t="s">
        <v>0</v>
      </c>
      <c r="O1824" s="308" t="s">
        <v>5678</v>
      </c>
      <c r="Q1824" s="591"/>
      <c r="R1824" s="1406"/>
      <c r="S1824" s="1406"/>
      <c r="U1824" s="328"/>
      <c r="V1824" s="308"/>
      <c r="W1824" s="328"/>
      <c r="X1824" s="745"/>
      <c r="Y1824" s="745"/>
      <c r="Z1824" s="745"/>
      <c r="AA1824" s="746"/>
      <c r="AB1824" s="744" t="s">
        <v>5628</v>
      </c>
      <c r="AC1824" s="250">
        <v>2336134651</v>
      </c>
      <c r="AD1824" s="744"/>
      <c r="AE1824" s="744"/>
      <c r="AF1824" s="744"/>
      <c r="AG1824" s="251" t="s">
        <v>283</v>
      </c>
    </row>
    <row r="1825" spans="1:33" ht="15.75" customHeight="1">
      <c r="A1825" s="755">
        <v>43413</v>
      </c>
      <c r="B1825" s="144" t="s">
        <v>100</v>
      </c>
      <c r="C1825" s="250" t="s">
        <v>5674</v>
      </c>
      <c r="D1825" s="263" t="s">
        <v>5675</v>
      </c>
      <c r="E1825" s="595" t="s">
        <v>544</v>
      </c>
      <c r="F1825" s="251">
        <v>8</v>
      </c>
      <c r="G1825" s="252">
        <v>47</v>
      </c>
      <c r="H1825" s="253">
        <f t="shared" si="159"/>
        <v>376</v>
      </c>
      <c r="I1825" s="254" t="s">
        <v>302</v>
      </c>
      <c r="J1825" s="863" t="s">
        <v>5265</v>
      </c>
      <c r="K1825" s="256">
        <v>43461</v>
      </c>
      <c r="L1825" s="256"/>
      <c r="M1825" s="264" t="s">
        <v>5677</v>
      </c>
      <c r="N1825" s="264" t="s">
        <v>0</v>
      </c>
      <c r="O1825" s="308" t="s">
        <v>5678</v>
      </c>
      <c r="Q1825" s="591"/>
      <c r="R1825" s="1406"/>
      <c r="S1825" s="1406"/>
      <c r="U1825" s="328"/>
      <c r="V1825" s="308"/>
      <c r="W1825" s="328"/>
      <c r="X1825" s="745"/>
      <c r="Y1825" s="745"/>
      <c r="Z1825" s="745"/>
      <c r="AA1825" s="746"/>
      <c r="AB1825" s="744" t="s">
        <v>5628</v>
      </c>
      <c r="AC1825" s="250">
        <v>2336134651</v>
      </c>
      <c r="AD1825" s="744"/>
      <c r="AE1825" s="744"/>
      <c r="AF1825" s="744"/>
      <c r="AG1825" s="251" t="s">
        <v>283</v>
      </c>
    </row>
    <row r="1826" spans="1:33" ht="15.75" customHeight="1">
      <c r="A1826" s="755">
        <v>43413</v>
      </c>
      <c r="B1826" s="144" t="s">
        <v>100</v>
      </c>
      <c r="C1826" s="250" t="s">
        <v>5674</v>
      </c>
      <c r="D1826" s="263" t="s">
        <v>5675</v>
      </c>
      <c r="E1826" s="817" t="s">
        <v>4983</v>
      </c>
      <c r="F1826" s="251">
        <v>8</v>
      </c>
      <c r="G1826" s="252">
        <v>10</v>
      </c>
      <c r="H1826" s="266">
        <f t="shared" si="159"/>
        <v>80</v>
      </c>
      <c r="I1826" s="254" t="s">
        <v>302</v>
      </c>
      <c r="J1826" s="863" t="s">
        <v>5265</v>
      </c>
      <c r="K1826" s="256">
        <v>43461</v>
      </c>
      <c r="L1826" s="256"/>
      <c r="M1826" s="264" t="s">
        <v>5677</v>
      </c>
      <c r="N1826" s="331" t="s">
        <v>0</v>
      </c>
      <c r="O1826" s="308" t="s">
        <v>5678</v>
      </c>
      <c r="Q1826" s="591"/>
      <c r="R1826" s="1406"/>
      <c r="S1826" s="1406"/>
      <c r="U1826" s="328"/>
      <c r="V1826" s="308"/>
      <c r="W1826" s="328"/>
      <c r="X1826" s="745"/>
      <c r="Y1826" s="745"/>
      <c r="Z1826" s="745"/>
      <c r="AA1826" s="746"/>
      <c r="AB1826" s="744" t="s">
        <v>5628</v>
      </c>
      <c r="AC1826" s="250">
        <v>2336134651</v>
      </c>
      <c r="AD1826" s="744"/>
      <c r="AE1826" s="744"/>
      <c r="AF1826" s="744"/>
      <c r="AG1826" s="251" t="s">
        <v>283</v>
      </c>
    </row>
    <row r="1827" spans="1:33" ht="15.75" customHeight="1">
      <c r="A1827" s="755">
        <v>43413</v>
      </c>
      <c r="B1827" s="263" t="s">
        <v>713</v>
      </c>
      <c r="C1827" s="819" t="s">
        <v>5680</v>
      </c>
      <c r="D1827" s="263" t="s">
        <v>5681</v>
      </c>
      <c r="E1827" s="595" t="s">
        <v>715</v>
      </c>
      <c r="F1827" s="251">
        <v>15</v>
      </c>
      <c r="G1827" s="252">
        <v>95</v>
      </c>
      <c r="H1827" s="266">
        <f t="shared" si="159"/>
        <v>1425</v>
      </c>
      <c r="I1827" s="254" t="s">
        <v>3712</v>
      </c>
      <c r="J1827" s="267" t="s">
        <v>5682</v>
      </c>
      <c r="K1827" s="256">
        <v>43424</v>
      </c>
      <c r="L1827" s="256"/>
      <c r="M1827" s="256">
        <v>43424</v>
      </c>
      <c r="N1827" s="331" t="s">
        <v>89</v>
      </c>
      <c r="O1827" s="308" t="s">
        <v>5683</v>
      </c>
      <c r="Q1827" s="266">
        <v>1323</v>
      </c>
      <c r="R1827" s="1394"/>
      <c r="S1827" s="1394"/>
      <c r="U1827" s="589"/>
      <c r="V1827" s="338" t="s">
        <v>93</v>
      </c>
      <c r="W1827" s="747">
        <v>43465</v>
      </c>
      <c r="X1827" s="748">
        <v>43423</v>
      </c>
      <c r="Y1827" s="744" t="s">
        <v>5684</v>
      </c>
      <c r="Z1827" s="749">
        <v>254214</v>
      </c>
      <c r="AA1827" s="748">
        <v>43467</v>
      </c>
      <c r="AB1827" s="744" t="s">
        <v>5685</v>
      </c>
      <c r="AC1827" s="744" t="s">
        <v>5686</v>
      </c>
      <c r="AD1827" s="745"/>
      <c r="AE1827" s="744"/>
      <c r="AF1827" s="744"/>
      <c r="AG1827" s="251" t="s">
        <v>283</v>
      </c>
    </row>
    <row r="1828" spans="1:33" ht="15.75" customHeight="1">
      <c r="A1828" s="755">
        <v>43413</v>
      </c>
      <c r="B1828" s="263" t="s">
        <v>713</v>
      </c>
      <c r="C1828" s="819" t="s">
        <v>5680</v>
      </c>
      <c r="D1828" s="263" t="s">
        <v>5681</v>
      </c>
      <c r="E1828" s="595" t="s">
        <v>718</v>
      </c>
      <c r="F1828" s="251">
        <v>15</v>
      </c>
      <c r="G1828" s="252">
        <v>320</v>
      </c>
      <c r="H1828" s="266">
        <f t="shared" si="159"/>
        <v>4800</v>
      </c>
      <c r="I1828" s="254" t="s">
        <v>3712</v>
      </c>
      <c r="J1828" s="267" t="s">
        <v>5687</v>
      </c>
      <c r="K1828" s="256">
        <v>43424</v>
      </c>
      <c r="L1828" s="256"/>
      <c r="M1828" s="256">
        <v>43424</v>
      </c>
      <c r="N1828" s="331" t="s">
        <v>89</v>
      </c>
      <c r="O1828" s="308" t="s">
        <v>5683</v>
      </c>
      <c r="Q1828" s="266">
        <v>4047.75</v>
      </c>
      <c r="R1828" s="1394"/>
      <c r="S1828" s="1394"/>
      <c r="U1828" s="589"/>
      <c r="V1828" s="338" t="s">
        <v>93</v>
      </c>
      <c r="W1828" s="747">
        <v>43465</v>
      </c>
      <c r="X1828" s="748">
        <v>43423</v>
      </c>
      <c r="Y1828" s="744" t="s">
        <v>5684</v>
      </c>
      <c r="Z1828" s="744" t="s">
        <v>5688</v>
      </c>
      <c r="AA1828" s="748">
        <v>43467</v>
      </c>
      <c r="AB1828" s="744" t="s">
        <v>5685</v>
      </c>
      <c r="AC1828" s="744" t="s">
        <v>5686</v>
      </c>
      <c r="AD1828" s="745"/>
      <c r="AE1828" s="744"/>
      <c r="AF1828" s="744"/>
      <c r="AG1828" s="251" t="s">
        <v>283</v>
      </c>
    </row>
    <row r="1829" spans="1:33" ht="15.75" customHeight="1">
      <c r="A1829" s="755">
        <v>43413</v>
      </c>
      <c r="B1829" s="263" t="s">
        <v>713</v>
      </c>
      <c r="C1829" s="819" t="s">
        <v>5680</v>
      </c>
      <c r="D1829" s="263" t="s">
        <v>5681</v>
      </c>
      <c r="E1829" s="595" t="s">
        <v>1595</v>
      </c>
      <c r="F1829" s="251">
        <v>10</v>
      </c>
      <c r="G1829" s="252">
        <v>345</v>
      </c>
      <c r="H1829" s="266">
        <f t="shared" si="159"/>
        <v>3450</v>
      </c>
      <c r="I1829" s="254" t="s">
        <v>3712</v>
      </c>
      <c r="J1829" s="267" t="s">
        <v>5687</v>
      </c>
      <c r="K1829" s="256">
        <v>43424</v>
      </c>
      <c r="L1829" s="256"/>
      <c r="M1829" s="256">
        <v>43424</v>
      </c>
      <c r="N1829" s="331" t="s">
        <v>89</v>
      </c>
      <c r="O1829" s="308" t="s">
        <v>5683</v>
      </c>
      <c r="Q1829" s="266">
        <v>2908.5</v>
      </c>
      <c r="R1829" s="1394"/>
      <c r="S1829" s="1394"/>
      <c r="U1829" s="589"/>
      <c r="V1829" s="338" t="s">
        <v>93</v>
      </c>
      <c r="W1829" s="747">
        <v>43465</v>
      </c>
      <c r="X1829" s="748">
        <v>43423</v>
      </c>
      <c r="Y1829" s="744" t="s">
        <v>5684</v>
      </c>
      <c r="Z1829" s="744" t="s">
        <v>5688</v>
      </c>
      <c r="AA1829" s="748">
        <v>43467</v>
      </c>
      <c r="AB1829" s="744" t="s">
        <v>5685</v>
      </c>
      <c r="AC1829" s="744" t="s">
        <v>5686</v>
      </c>
      <c r="AD1829" s="745"/>
      <c r="AE1829" s="744"/>
      <c r="AF1829" s="744"/>
      <c r="AG1829" s="251" t="s">
        <v>283</v>
      </c>
    </row>
    <row r="1830" spans="1:33" ht="15.75" customHeight="1">
      <c r="A1830" s="743">
        <v>43415</v>
      </c>
      <c r="B1830" s="263" t="s">
        <v>405</v>
      </c>
      <c r="C1830" s="250">
        <v>7000142708</v>
      </c>
      <c r="D1830" s="250" t="s">
        <v>5689</v>
      </c>
      <c r="E1830" s="595" t="s">
        <v>480</v>
      </c>
      <c r="F1830" s="251">
        <v>3</v>
      </c>
      <c r="G1830" s="252">
        <v>137</v>
      </c>
      <c r="H1830" s="266">
        <f t="shared" si="159"/>
        <v>411</v>
      </c>
      <c r="I1830" s="254" t="s">
        <v>42</v>
      </c>
      <c r="J1830" s="331" t="s">
        <v>519</v>
      </c>
      <c r="K1830" s="256">
        <v>43430</v>
      </c>
      <c r="L1830" s="256"/>
      <c r="M1830" s="256">
        <v>43423</v>
      </c>
      <c r="N1830" s="331" t="s">
        <v>3432</v>
      </c>
      <c r="O1830" s="250" t="s">
        <v>5690</v>
      </c>
      <c r="Q1830" s="591"/>
      <c r="R1830" s="1406"/>
      <c r="S1830" s="1406"/>
      <c r="U1830" s="572">
        <v>11334</v>
      </c>
      <c r="V1830" s="308" t="s">
        <v>2045</v>
      </c>
      <c r="W1830" s="747">
        <v>43496</v>
      </c>
      <c r="X1830" s="748">
        <v>43420</v>
      </c>
      <c r="Y1830" s="744" t="s">
        <v>5691</v>
      </c>
      <c r="Z1830" s="749">
        <v>11334</v>
      </c>
      <c r="AA1830" s="748">
        <v>43494</v>
      </c>
      <c r="AB1830" s="250" t="s">
        <v>5428</v>
      </c>
      <c r="AC1830" s="744" t="s">
        <v>5429</v>
      </c>
      <c r="AD1830" s="745"/>
      <c r="AE1830" s="744"/>
      <c r="AF1830" s="744"/>
      <c r="AG1830" s="251" t="s">
        <v>283</v>
      </c>
    </row>
    <row r="1831" spans="1:33" ht="15.75" customHeight="1">
      <c r="A1831" s="743">
        <v>43417</v>
      </c>
      <c r="B1831" s="263" t="s">
        <v>3347</v>
      </c>
      <c r="C1831" s="744" t="s">
        <v>5692</v>
      </c>
      <c r="D1831" s="420" t="s">
        <v>5693</v>
      </c>
      <c r="E1831" s="250" t="s">
        <v>3349</v>
      </c>
      <c r="F1831" s="251">
        <v>100</v>
      </c>
      <c r="G1831" s="252">
        <v>163</v>
      </c>
      <c r="H1831" s="266">
        <f t="shared" si="159"/>
        <v>16300</v>
      </c>
      <c r="I1831" s="254" t="s">
        <v>170</v>
      </c>
      <c r="J1831" s="267" t="s">
        <v>3350</v>
      </c>
      <c r="K1831" s="256">
        <v>43451</v>
      </c>
      <c r="L1831" s="256"/>
      <c r="M1831" s="256">
        <v>43441</v>
      </c>
      <c r="N1831" s="331" t="s">
        <v>3351</v>
      </c>
      <c r="O1831" s="308" t="s">
        <v>5694</v>
      </c>
      <c r="Q1831" s="266">
        <v>16590</v>
      </c>
      <c r="R1831" s="1394"/>
      <c r="S1831" s="1394"/>
      <c r="U1831" s="328"/>
      <c r="V1831" s="308" t="s">
        <v>3353</v>
      </c>
      <c r="W1831" s="747">
        <v>43430</v>
      </c>
      <c r="X1831" s="907">
        <v>43447</v>
      </c>
      <c r="Y1831" s="250" t="s">
        <v>5695</v>
      </c>
      <c r="Z1831" s="753">
        <v>511719</v>
      </c>
      <c r="AA1831" s="748">
        <v>43437</v>
      </c>
      <c r="AB1831" s="250" t="s">
        <v>5696</v>
      </c>
      <c r="AC1831" s="744" t="s">
        <v>5697</v>
      </c>
      <c r="AD1831" s="745"/>
      <c r="AE1831" s="744"/>
      <c r="AF1831" s="744"/>
      <c r="AG1831" s="251" t="s">
        <v>283</v>
      </c>
    </row>
    <row r="1832" spans="1:33" ht="15.75" customHeight="1">
      <c r="A1832" s="755">
        <v>43418</v>
      </c>
      <c r="B1832" s="263" t="s">
        <v>118</v>
      </c>
      <c r="C1832" s="250" t="s">
        <v>5698</v>
      </c>
      <c r="D1832" s="250" t="s">
        <v>5699</v>
      </c>
      <c r="E1832" s="794" t="s">
        <v>157</v>
      </c>
      <c r="F1832" s="251">
        <v>3</v>
      </c>
      <c r="G1832" s="265">
        <v>979</v>
      </c>
      <c r="H1832" s="265">
        <f t="shared" ref="H1832:H1839" si="160">F1832*G1832</f>
        <v>2937</v>
      </c>
      <c r="I1832" s="254" t="s">
        <v>170</v>
      </c>
      <c r="J1832" s="426" t="s">
        <v>121</v>
      </c>
      <c r="K1832" s="256">
        <v>43433</v>
      </c>
      <c r="L1832" s="256"/>
      <c r="M1832" s="256">
        <v>43426</v>
      </c>
      <c r="N1832" s="331" t="s">
        <v>89</v>
      </c>
      <c r="O1832" s="308" t="s">
        <v>5700</v>
      </c>
      <c r="Q1832" s="266">
        <v>2507.4</v>
      </c>
      <c r="R1832" s="1394"/>
      <c r="S1832" s="1394"/>
      <c r="U1832" s="589"/>
      <c r="V1832" s="338" t="s">
        <v>93</v>
      </c>
      <c r="W1832" s="747">
        <v>43465</v>
      </c>
      <c r="X1832" s="750">
        <v>43426</v>
      </c>
      <c r="Y1832" s="908" t="s">
        <v>5701</v>
      </c>
      <c r="Z1832" s="753">
        <v>598920</v>
      </c>
      <c r="AA1832" s="748">
        <v>43467</v>
      </c>
      <c r="AB1832" s="744" t="s">
        <v>5498</v>
      </c>
      <c r="AC1832" s="744" t="s">
        <v>5499</v>
      </c>
      <c r="AD1832" s="745"/>
      <c r="AE1832" s="744"/>
      <c r="AF1832" s="744"/>
      <c r="AG1832" s="264" t="s">
        <v>283</v>
      </c>
    </row>
    <row r="1833" spans="1:33" ht="15.75" customHeight="1">
      <c r="A1833" s="755">
        <v>43418</v>
      </c>
      <c r="B1833" s="263" t="s">
        <v>118</v>
      </c>
      <c r="C1833" s="250" t="s">
        <v>5698</v>
      </c>
      <c r="D1833" s="250" t="s">
        <v>5699</v>
      </c>
      <c r="E1833" s="250" t="s">
        <v>160</v>
      </c>
      <c r="F1833" s="367">
        <v>4</v>
      </c>
      <c r="G1833" s="252">
        <v>485</v>
      </c>
      <c r="H1833" s="265">
        <f t="shared" si="160"/>
        <v>1940</v>
      </c>
      <c r="I1833" s="254" t="s">
        <v>170</v>
      </c>
      <c r="J1833" s="426" t="s">
        <v>121</v>
      </c>
      <c r="K1833" s="256">
        <v>43433</v>
      </c>
      <c r="L1833" s="256"/>
      <c r="M1833" s="256">
        <v>43426</v>
      </c>
      <c r="N1833" s="331" t="s">
        <v>89</v>
      </c>
      <c r="O1833" s="308" t="s">
        <v>5700</v>
      </c>
      <c r="Q1833" s="266">
        <v>1680</v>
      </c>
      <c r="R1833" s="1394"/>
      <c r="S1833" s="1394"/>
      <c r="U1833" s="589"/>
      <c r="V1833" s="338" t="s">
        <v>93</v>
      </c>
      <c r="W1833" s="747">
        <v>43465</v>
      </c>
      <c r="X1833" s="750">
        <v>43426</v>
      </c>
      <c r="Y1833" s="250" t="s">
        <v>5701</v>
      </c>
      <c r="Z1833" s="250" t="s">
        <v>5702</v>
      </c>
      <c r="AA1833" s="748">
        <v>43467</v>
      </c>
      <c r="AB1833" s="744" t="s">
        <v>5498</v>
      </c>
      <c r="AC1833" s="744" t="s">
        <v>5499</v>
      </c>
      <c r="AD1833" s="745"/>
      <c r="AE1833" s="744"/>
      <c r="AF1833" s="744"/>
      <c r="AG1833" s="264" t="s">
        <v>283</v>
      </c>
    </row>
    <row r="1834" spans="1:33" ht="15.75" customHeight="1">
      <c r="A1834" s="755">
        <v>43418</v>
      </c>
      <c r="B1834" s="263" t="s">
        <v>118</v>
      </c>
      <c r="C1834" s="250" t="s">
        <v>5698</v>
      </c>
      <c r="D1834" s="250" t="s">
        <v>5699</v>
      </c>
      <c r="E1834" s="250" t="s">
        <v>165</v>
      </c>
      <c r="F1834" s="251">
        <v>3</v>
      </c>
      <c r="G1834" s="252">
        <v>880</v>
      </c>
      <c r="H1834" s="265">
        <f t="shared" si="160"/>
        <v>2640</v>
      </c>
      <c r="I1834" s="254" t="s">
        <v>170</v>
      </c>
      <c r="J1834" s="426" t="s">
        <v>121</v>
      </c>
      <c r="K1834" s="256">
        <v>43433</v>
      </c>
      <c r="L1834" s="256"/>
      <c r="M1834" s="256">
        <v>43426</v>
      </c>
      <c r="N1834" s="331" t="s">
        <v>89</v>
      </c>
      <c r="O1834" s="308" t="s">
        <v>5700</v>
      </c>
      <c r="Q1834" s="854">
        <v>2354.625</v>
      </c>
      <c r="R1834" s="1421"/>
      <c r="S1834" s="1421"/>
      <c r="U1834" s="589"/>
      <c r="V1834" s="338" t="s">
        <v>93</v>
      </c>
      <c r="W1834" s="747">
        <v>43465</v>
      </c>
      <c r="X1834" s="750">
        <v>43426</v>
      </c>
      <c r="Y1834" s="250" t="s">
        <v>5701</v>
      </c>
      <c r="Z1834" s="250" t="s">
        <v>5702</v>
      </c>
      <c r="AA1834" s="748">
        <v>43467</v>
      </c>
      <c r="AB1834" s="744" t="s">
        <v>5498</v>
      </c>
      <c r="AC1834" s="744" t="s">
        <v>5499</v>
      </c>
      <c r="AD1834" s="745"/>
      <c r="AE1834" s="744"/>
      <c r="AF1834" s="744"/>
      <c r="AG1834" s="264" t="s">
        <v>283</v>
      </c>
    </row>
    <row r="1835" spans="1:33" ht="15.75" customHeight="1">
      <c r="A1835" s="755">
        <v>43418</v>
      </c>
      <c r="B1835" s="263" t="s">
        <v>118</v>
      </c>
      <c r="C1835" s="250" t="s">
        <v>5698</v>
      </c>
      <c r="D1835" s="250" t="s">
        <v>5699</v>
      </c>
      <c r="E1835" s="595" t="s">
        <v>120</v>
      </c>
      <c r="F1835" s="251">
        <v>10</v>
      </c>
      <c r="G1835" s="252">
        <v>359</v>
      </c>
      <c r="H1835" s="265">
        <f t="shared" si="160"/>
        <v>3590</v>
      </c>
      <c r="I1835" s="254" t="s">
        <v>170</v>
      </c>
      <c r="J1835" s="426" t="s">
        <v>121</v>
      </c>
      <c r="K1835" s="256">
        <v>43433</v>
      </c>
      <c r="L1835" s="256"/>
      <c r="M1835" s="256">
        <v>43426</v>
      </c>
      <c r="N1835" s="331" t="s">
        <v>89</v>
      </c>
      <c r="O1835" s="308" t="s">
        <v>5700</v>
      </c>
      <c r="Q1835" s="266">
        <v>3486</v>
      </c>
      <c r="R1835" s="1394"/>
      <c r="S1835" s="1394"/>
      <c r="U1835" s="589"/>
      <c r="V1835" s="338" t="s">
        <v>93</v>
      </c>
      <c r="W1835" s="747">
        <v>43465</v>
      </c>
      <c r="X1835" s="750">
        <v>43426</v>
      </c>
      <c r="Y1835" s="250" t="s">
        <v>5701</v>
      </c>
      <c r="Z1835" s="250" t="s">
        <v>5702</v>
      </c>
      <c r="AA1835" s="748">
        <v>43467</v>
      </c>
      <c r="AB1835" s="744" t="s">
        <v>5498</v>
      </c>
      <c r="AC1835" s="744" t="s">
        <v>5499</v>
      </c>
      <c r="AD1835" s="745"/>
      <c r="AE1835" s="744"/>
      <c r="AF1835" s="744"/>
      <c r="AG1835" s="264" t="s">
        <v>283</v>
      </c>
    </row>
    <row r="1836" spans="1:33" ht="15.75" customHeight="1">
      <c r="A1836" s="755">
        <v>43418</v>
      </c>
      <c r="B1836" s="263" t="s">
        <v>118</v>
      </c>
      <c r="C1836" s="250" t="s">
        <v>5698</v>
      </c>
      <c r="D1836" s="250" t="s">
        <v>5699</v>
      </c>
      <c r="E1836" s="250" t="s">
        <v>161</v>
      </c>
      <c r="F1836" s="367">
        <v>4</v>
      </c>
      <c r="G1836" s="265">
        <v>738</v>
      </c>
      <c r="H1836" s="265">
        <f t="shared" si="160"/>
        <v>2952</v>
      </c>
      <c r="I1836" s="254" t="s">
        <v>170</v>
      </c>
      <c r="J1836" s="426" t="s">
        <v>121</v>
      </c>
      <c r="K1836" s="256">
        <v>43433</v>
      </c>
      <c r="L1836" s="256"/>
      <c r="M1836" s="256">
        <v>43426</v>
      </c>
      <c r="N1836" s="331" t="s">
        <v>89</v>
      </c>
      <c r="O1836" s="308" t="s">
        <v>5700</v>
      </c>
      <c r="Q1836" s="266">
        <v>2679.6</v>
      </c>
      <c r="R1836" s="1394"/>
      <c r="S1836" s="1394"/>
      <c r="U1836" s="589"/>
      <c r="V1836" s="338" t="s">
        <v>93</v>
      </c>
      <c r="W1836" s="747">
        <v>43465</v>
      </c>
      <c r="X1836" s="750">
        <v>43426</v>
      </c>
      <c r="Y1836" s="250" t="s">
        <v>5701</v>
      </c>
      <c r="Z1836" s="250" t="s">
        <v>5702</v>
      </c>
      <c r="AA1836" s="748">
        <v>43467</v>
      </c>
      <c r="AB1836" s="744" t="s">
        <v>5498</v>
      </c>
      <c r="AC1836" s="744" t="s">
        <v>5499</v>
      </c>
      <c r="AD1836" s="745"/>
      <c r="AE1836" s="744"/>
      <c r="AF1836" s="744"/>
      <c r="AG1836" s="264" t="s">
        <v>283</v>
      </c>
    </row>
    <row r="1837" spans="1:33" ht="15.75" customHeight="1">
      <c r="A1837" s="755">
        <v>43418</v>
      </c>
      <c r="B1837" s="263" t="s">
        <v>118</v>
      </c>
      <c r="C1837" s="250" t="s">
        <v>5698</v>
      </c>
      <c r="D1837" s="250" t="s">
        <v>5699</v>
      </c>
      <c r="E1837" s="595" t="s">
        <v>151</v>
      </c>
      <c r="F1837" s="251">
        <v>4</v>
      </c>
      <c r="G1837" s="252">
        <v>1045</v>
      </c>
      <c r="H1837" s="265">
        <f t="shared" si="160"/>
        <v>4180</v>
      </c>
      <c r="I1837" s="254" t="s">
        <v>170</v>
      </c>
      <c r="J1837" s="426" t="s">
        <v>121</v>
      </c>
      <c r="K1837" s="256">
        <v>43433</v>
      </c>
      <c r="L1837" s="256"/>
      <c r="M1837" s="256">
        <v>43426</v>
      </c>
      <c r="N1837" s="331" t="s">
        <v>89</v>
      </c>
      <c r="O1837" s="308" t="s">
        <v>5700</v>
      </c>
      <c r="Q1837" s="266">
        <v>3864</v>
      </c>
      <c r="R1837" s="1394"/>
      <c r="S1837" s="1394"/>
      <c r="U1837" s="589"/>
      <c r="V1837" s="338" t="s">
        <v>93</v>
      </c>
      <c r="W1837" s="747">
        <v>43465</v>
      </c>
      <c r="X1837" s="750">
        <v>43426</v>
      </c>
      <c r="Y1837" s="250" t="s">
        <v>5701</v>
      </c>
      <c r="Z1837" s="250" t="s">
        <v>5702</v>
      </c>
      <c r="AA1837" s="748">
        <v>43467</v>
      </c>
      <c r="AB1837" s="744" t="s">
        <v>5498</v>
      </c>
      <c r="AC1837" s="744" t="s">
        <v>5499</v>
      </c>
      <c r="AD1837" s="745"/>
      <c r="AE1837" s="744"/>
      <c r="AF1837" s="744"/>
      <c r="AG1837" s="264" t="s">
        <v>283</v>
      </c>
    </row>
    <row r="1838" spans="1:33" ht="15.75" customHeight="1">
      <c r="A1838" s="755">
        <v>43418</v>
      </c>
      <c r="B1838" s="263" t="s">
        <v>118</v>
      </c>
      <c r="C1838" s="250" t="s">
        <v>5698</v>
      </c>
      <c r="D1838" s="250" t="s">
        <v>5699</v>
      </c>
      <c r="E1838" s="595" t="s">
        <v>413</v>
      </c>
      <c r="F1838" s="251">
        <v>2</v>
      </c>
      <c r="G1838" s="252">
        <v>118</v>
      </c>
      <c r="H1838" s="265">
        <f t="shared" si="160"/>
        <v>236</v>
      </c>
      <c r="I1838" s="254" t="s">
        <v>170</v>
      </c>
      <c r="J1838" s="426" t="s">
        <v>121</v>
      </c>
      <c r="K1838" s="256">
        <v>43433</v>
      </c>
      <c r="L1838" s="256"/>
      <c r="M1838" s="256">
        <v>43426</v>
      </c>
      <c r="N1838" s="331" t="s">
        <v>89</v>
      </c>
      <c r="O1838" s="308" t="s">
        <v>5700</v>
      </c>
      <c r="Q1838" s="266">
        <v>218.4</v>
      </c>
      <c r="R1838" s="1394"/>
      <c r="S1838" s="1394"/>
      <c r="U1838" s="589"/>
      <c r="V1838" s="338" t="s">
        <v>93</v>
      </c>
      <c r="W1838" s="747">
        <v>43465</v>
      </c>
      <c r="X1838" s="750">
        <v>43426</v>
      </c>
      <c r="Y1838" s="250" t="s">
        <v>5701</v>
      </c>
      <c r="Z1838" s="250" t="s">
        <v>5702</v>
      </c>
      <c r="AA1838" s="748">
        <v>43467</v>
      </c>
      <c r="AB1838" s="744" t="s">
        <v>5498</v>
      </c>
      <c r="AC1838" s="744" t="s">
        <v>5499</v>
      </c>
      <c r="AD1838" s="745"/>
      <c r="AE1838" s="744"/>
      <c r="AF1838" s="744"/>
      <c r="AG1838" s="264" t="s">
        <v>283</v>
      </c>
    </row>
    <row r="1839" spans="1:33" ht="15.75" customHeight="1">
      <c r="A1839" s="755">
        <v>43418</v>
      </c>
      <c r="B1839" s="263" t="s">
        <v>118</v>
      </c>
      <c r="C1839" s="250" t="s">
        <v>5698</v>
      </c>
      <c r="D1839" s="250" t="s">
        <v>5699</v>
      </c>
      <c r="E1839" s="595" t="s">
        <v>324</v>
      </c>
      <c r="F1839" s="251">
        <v>5</v>
      </c>
      <c r="G1839" s="252">
        <v>577</v>
      </c>
      <c r="H1839" s="265">
        <f t="shared" si="160"/>
        <v>2885</v>
      </c>
      <c r="I1839" s="254" t="s">
        <v>170</v>
      </c>
      <c r="J1839" s="426" t="s">
        <v>121</v>
      </c>
      <c r="K1839" s="256">
        <v>43433</v>
      </c>
      <c r="L1839" s="256"/>
      <c r="M1839" s="256">
        <v>43426</v>
      </c>
      <c r="N1839" s="331" t="s">
        <v>89</v>
      </c>
      <c r="O1839" s="308" t="s">
        <v>5700</v>
      </c>
      <c r="Q1839" s="266">
        <v>2661.75</v>
      </c>
      <c r="R1839" s="1394"/>
      <c r="S1839" s="1394"/>
      <c r="U1839" s="589"/>
      <c r="V1839" s="338" t="s">
        <v>93</v>
      </c>
      <c r="W1839" s="747">
        <v>43465</v>
      </c>
      <c r="X1839" s="750">
        <v>43426</v>
      </c>
      <c r="Y1839" s="250" t="s">
        <v>5701</v>
      </c>
      <c r="Z1839" s="250" t="s">
        <v>5702</v>
      </c>
      <c r="AA1839" s="748">
        <v>43467</v>
      </c>
      <c r="AB1839" s="744" t="s">
        <v>5498</v>
      </c>
      <c r="AC1839" s="744" t="s">
        <v>5499</v>
      </c>
      <c r="AD1839" s="745"/>
      <c r="AE1839" s="744"/>
      <c r="AF1839" s="744"/>
      <c r="AG1839" s="264" t="s">
        <v>283</v>
      </c>
    </row>
    <row r="1840" spans="1:33" ht="15.75" customHeight="1">
      <c r="A1840" s="743">
        <v>43423</v>
      </c>
      <c r="B1840" s="263" t="s">
        <v>577</v>
      </c>
      <c r="C1840" s="744">
        <v>20181116005</v>
      </c>
      <c r="D1840" s="250" t="s">
        <v>5703</v>
      </c>
      <c r="E1840" s="595" t="s">
        <v>1251</v>
      </c>
      <c r="F1840" s="251">
        <v>2</v>
      </c>
      <c r="G1840" s="252">
        <v>96.6</v>
      </c>
      <c r="H1840" s="253">
        <f t="shared" ref="H1840:H1845" si="161">G1840*F1840</f>
        <v>193.2</v>
      </c>
      <c r="I1840" s="254" t="s">
        <v>170</v>
      </c>
      <c r="J1840" s="319" t="s">
        <v>580</v>
      </c>
      <c r="K1840" s="256">
        <v>43433</v>
      </c>
      <c r="L1840" s="256"/>
      <c r="M1840" s="256">
        <v>43433</v>
      </c>
      <c r="N1840" s="331" t="s">
        <v>1414</v>
      </c>
      <c r="O1840" s="250" t="s">
        <v>5704</v>
      </c>
      <c r="Q1840" s="266">
        <v>168</v>
      </c>
      <c r="R1840" s="1394"/>
      <c r="S1840" s="1394"/>
      <c r="U1840" s="589"/>
      <c r="V1840" s="318" t="s">
        <v>1947</v>
      </c>
      <c r="W1840" s="805">
        <v>43496</v>
      </c>
      <c r="X1840" s="750">
        <v>43433</v>
      </c>
      <c r="Y1840" s="250" t="s">
        <v>5705</v>
      </c>
      <c r="Z1840" s="753">
        <v>5192</v>
      </c>
      <c r="AA1840" s="748">
        <v>43495</v>
      </c>
      <c r="AB1840" s="744" t="s">
        <v>5706</v>
      </c>
      <c r="AC1840" s="744"/>
      <c r="AD1840" s="745"/>
      <c r="AE1840" s="749">
        <v>5796</v>
      </c>
      <c r="AF1840" s="744"/>
      <c r="AG1840" s="251" t="s">
        <v>376</v>
      </c>
    </row>
    <row r="1841" spans="1:33" ht="15.75" customHeight="1">
      <c r="A1841" s="743">
        <v>43423</v>
      </c>
      <c r="B1841" s="263" t="s">
        <v>118</v>
      </c>
      <c r="C1841" s="250" t="s">
        <v>5707</v>
      </c>
      <c r="D1841" s="250" t="s">
        <v>5708</v>
      </c>
      <c r="E1841" s="595" t="s">
        <v>120</v>
      </c>
      <c r="F1841" s="251">
        <v>38</v>
      </c>
      <c r="G1841" s="252">
        <v>359</v>
      </c>
      <c r="H1841" s="253">
        <f t="shared" si="161"/>
        <v>13642</v>
      </c>
      <c r="I1841" s="254" t="s">
        <v>170</v>
      </c>
      <c r="J1841" s="426" t="s">
        <v>121</v>
      </c>
      <c r="K1841" s="256">
        <v>43461</v>
      </c>
      <c r="L1841" s="256"/>
      <c r="M1841" s="256">
        <v>43454</v>
      </c>
      <c r="N1841" s="331" t="s">
        <v>89</v>
      </c>
      <c r="O1841" s="308" t="s">
        <v>5709</v>
      </c>
      <c r="Q1841" s="266">
        <v>13246.8</v>
      </c>
      <c r="R1841" s="1394"/>
      <c r="S1841" s="1394"/>
      <c r="U1841" s="589"/>
      <c r="V1841" s="338" t="s">
        <v>93</v>
      </c>
      <c r="W1841" s="747">
        <v>43496</v>
      </c>
      <c r="X1841" s="748">
        <v>43453</v>
      </c>
      <c r="Y1841" s="744" t="s">
        <v>5710</v>
      </c>
      <c r="Z1841" s="749">
        <v>549275</v>
      </c>
      <c r="AA1841" s="746">
        <v>43475</v>
      </c>
      <c r="AB1841" s="744" t="s">
        <v>5711</v>
      </c>
      <c r="AC1841" s="744" t="s">
        <v>5712</v>
      </c>
      <c r="AD1841" s="745"/>
      <c r="AE1841" s="744"/>
      <c r="AF1841" s="744"/>
      <c r="AG1841" s="264" t="s">
        <v>283</v>
      </c>
    </row>
    <row r="1842" spans="1:33" ht="15.75" customHeight="1">
      <c r="A1842" s="743">
        <v>43424</v>
      </c>
      <c r="B1842" s="263" t="s">
        <v>118</v>
      </c>
      <c r="C1842" s="250" t="s">
        <v>5707</v>
      </c>
      <c r="D1842" s="250" t="s">
        <v>5708</v>
      </c>
      <c r="E1842" s="794" t="s">
        <v>157</v>
      </c>
      <c r="F1842" s="251">
        <v>1</v>
      </c>
      <c r="G1842" s="265">
        <v>979</v>
      </c>
      <c r="H1842" s="253">
        <f t="shared" si="161"/>
        <v>979</v>
      </c>
      <c r="I1842" s="254" t="s">
        <v>170</v>
      </c>
      <c r="J1842" s="426" t="s">
        <v>121</v>
      </c>
      <c r="K1842" s="256">
        <v>43461</v>
      </c>
      <c r="L1842" s="256"/>
      <c r="M1842" s="256">
        <v>43454</v>
      </c>
      <c r="N1842" s="331" t="s">
        <v>89</v>
      </c>
      <c r="O1842" s="308" t="s">
        <v>5709</v>
      </c>
      <c r="Q1842" s="266">
        <v>835.8</v>
      </c>
      <c r="R1842" s="1394"/>
      <c r="S1842" s="1394"/>
      <c r="U1842" s="589"/>
      <c r="V1842" s="338" t="s">
        <v>93</v>
      </c>
      <c r="W1842" s="747">
        <v>43496</v>
      </c>
      <c r="X1842" s="748">
        <v>43453</v>
      </c>
      <c r="Y1842" s="744" t="s">
        <v>5710</v>
      </c>
      <c r="Z1842" s="744" t="s">
        <v>5713</v>
      </c>
      <c r="AA1842" s="746">
        <v>43475</v>
      </c>
      <c r="AB1842" s="744" t="s">
        <v>5711</v>
      </c>
      <c r="AC1842" s="250" t="s">
        <v>5712</v>
      </c>
      <c r="AD1842" s="745"/>
      <c r="AE1842" s="744"/>
      <c r="AF1842" s="744"/>
      <c r="AG1842" s="264" t="s">
        <v>283</v>
      </c>
    </row>
    <row r="1843" spans="1:33" ht="15.75" customHeight="1">
      <c r="A1843" s="743">
        <v>43425</v>
      </c>
      <c r="B1843" s="263" t="s">
        <v>118</v>
      </c>
      <c r="C1843" s="250" t="s">
        <v>5707</v>
      </c>
      <c r="D1843" s="250" t="s">
        <v>5708</v>
      </c>
      <c r="E1843" s="250" t="s">
        <v>160</v>
      </c>
      <c r="F1843" s="367">
        <v>9</v>
      </c>
      <c r="G1843" s="252">
        <v>485</v>
      </c>
      <c r="H1843" s="253">
        <f t="shared" si="161"/>
        <v>4365</v>
      </c>
      <c r="I1843" s="254" t="s">
        <v>170</v>
      </c>
      <c r="J1843" s="426" t="s">
        <v>121</v>
      </c>
      <c r="K1843" s="256">
        <v>43461</v>
      </c>
      <c r="L1843" s="256"/>
      <c r="M1843" s="256">
        <v>43454</v>
      </c>
      <c r="N1843" s="331" t="s">
        <v>89</v>
      </c>
      <c r="O1843" s="308" t="s">
        <v>5709</v>
      </c>
      <c r="Q1843" s="266">
        <v>3780</v>
      </c>
      <c r="R1843" s="1394"/>
      <c r="S1843" s="1394"/>
      <c r="U1843" s="589"/>
      <c r="V1843" s="338" t="s">
        <v>93</v>
      </c>
      <c r="W1843" s="747">
        <v>43496</v>
      </c>
      <c r="X1843" s="748">
        <v>43453</v>
      </c>
      <c r="Y1843" s="744" t="s">
        <v>5710</v>
      </c>
      <c r="Z1843" s="744" t="s">
        <v>5713</v>
      </c>
      <c r="AA1843" s="746">
        <v>43475</v>
      </c>
      <c r="AB1843" s="744" t="s">
        <v>5711</v>
      </c>
      <c r="AC1843" s="250" t="s">
        <v>5712</v>
      </c>
      <c r="AD1843" s="745"/>
      <c r="AE1843" s="744"/>
      <c r="AF1843" s="744"/>
      <c r="AG1843" s="264" t="s">
        <v>283</v>
      </c>
    </row>
    <row r="1844" spans="1:33" ht="15.75" customHeight="1">
      <c r="A1844" s="743">
        <v>43423</v>
      </c>
      <c r="B1844" s="263" t="s">
        <v>3516</v>
      </c>
      <c r="C1844" s="744">
        <v>300496</v>
      </c>
      <c r="D1844" s="250" t="s">
        <v>5714</v>
      </c>
      <c r="E1844" s="595" t="s">
        <v>5715</v>
      </c>
      <c r="F1844" s="251">
        <v>3</v>
      </c>
      <c r="G1844" s="252">
        <v>64</v>
      </c>
      <c r="H1844" s="253">
        <f t="shared" si="161"/>
        <v>192</v>
      </c>
      <c r="I1844" s="254" t="s">
        <v>3712</v>
      </c>
      <c r="J1844" s="267" t="s">
        <v>3519</v>
      </c>
      <c r="K1844" s="256">
        <v>43431</v>
      </c>
      <c r="L1844" s="256"/>
      <c r="M1844" s="256">
        <v>43431</v>
      </c>
      <c r="N1844" s="331" t="s">
        <v>89</v>
      </c>
      <c r="O1844" s="308" t="s">
        <v>5716</v>
      </c>
      <c r="Q1844" s="266">
        <v>170.1</v>
      </c>
      <c r="R1844" s="1394"/>
      <c r="S1844" s="1394"/>
      <c r="U1844" s="589"/>
      <c r="V1844" s="338" t="s">
        <v>93</v>
      </c>
      <c r="W1844" s="747">
        <v>43496</v>
      </c>
      <c r="X1844" s="750">
        <v>43430</v>
      </c>
      <c r="Y1844" s="250" t="s">
        <v>5717</v>
      </c>
      <c r="Z1844" s="753">
        <v>46619</v>
      </c>
      <c r="AA1844" s="746">
        <v>43475</v>
      </c>
      <c r="AB1844" s="744" t="s">
        <v>5718</v>
      </c>
      <c r="AC1844" s="744">
        <v>773809437583</v>
      </c>
      <c r="AD1844" s="745"/>
      <c r="AE1844" s="744"/>
      <c r="AF1844" s="744"/>
      <c r="AG1844" s="251" t="s">
        <v>283</v>
      </c>
    </row>
    <row r="1845" spans="1:33" ht="15.75" customHeight="1">
      <c r="A1845" s="743">
        <v>43423</v>
      </c>
      <c r="B1845" s="263" t="s">
        <v>3516</v>
      </c>
      <c r="C1845" s="744">
        <v>300496</v>
      </c>
      <c r="D1845" s="250" t="s">
        <v>5714</v>
      </c>
      <c r="E1845" s="595" t="s">
        <v>5719</v>
      </c>
      <c r="F1845" s="251">
        <v>10</v>
      </c>
      <c r="G1845" s="252">
        <v>135</v>
      </c>
      <c r="H1845" s="253">
        <f t="shared" si="161"/>
        <v>1350</v>
      </c>
      <c r="I1845" s="254" t="s">
        <v>3712</v>
      </c>
      <c r="J1845" s="267" t="s">
        <v>3519</v>
      </c>
      <c r="K1845" s="256">
        <v>43431</v>
      </c>
      <c r="L1845" s="256"/>
      <c r="M1845" s="256">
        <v>43431</v>
      </c>
      <c r="N1845" s="331" t="s">
        <v>89</v>
      </c>
      <c r="O1845" s="308" t="s">
        <v>5716</v>
      </c>
      <c r="Q1845" s="266">
        <v>1344</v>
      </c>
      <c r="R1845" s="1394"/>
      <c r="S1845" s="1394"/>
      <c r="U1845" s="589"/>
      <c r="V1845" s="338" t="s">
        <v>93</v>
      </c>
      <c r="W1845" s="747">
        <v>43496</v>
      </c>
      <c r="X1845" s="750">
        <v>43430</v>
      </c>
      <c r="Y1845" s="250" t="s">
        <v>5717</v>
      </c>
      <c r="Z1845" s="250" t="s">
        <v>5720</v>
      </c>
      <c r="AA1845" s="746">
        <v>43475</v>
      </c>
      <c r="AB1845" s="744" t="s">
        <v>5718</v>
      </c>
      <c r="AC1845" s="744">
        <v>773809437583</v>
      </c>
      <c r="AD1845" s="745"/>
      <c r="AE1845" s="744"/>
      <c r="AF1845" s="744"/>
      <c r="AG1845" s="251" t="s">
        <v>283</v>
      </c>
    </row>
    <row r="1846" spans="1:33" ht="15.75" customHeight="1">
      <c r="A1846" s="775">
        <v>43424</v>
      </c>
      <c r="B1846" s="765" t="s">
        <v>76</v>
      </c>
      <c r="C1846" s="274">
        <v>1233</v>
      </c>
      <c r="D1846" s="764" t="s">
        <v>5721</v>
      </c>
      <c r="E1846" s="777" t="s">
        <v>3336</v>
      </c>
      <c r="F1846" s="280">
        <v>1</v>
      </c>
      <c r="G1846" s="909">
        <v>234</v>
      </c>
      <c r="H1846" s="910"/>
      <c r="I1846" s="802"/>
      <c r="J1846" s="267"/>
      <c r="K1846" s="623"/>
      <c r="L1846" s="623"/>
      <c r="M1846" s="623"/>
      <c r="N1846" s="331"/>
      <c r="O1846" s="308"/>
      <c r="Q1846" s="591"/>
      <c r="R1846" s="1406"/>
      <c r="S1846" s="1406"/>
      <c r="U1846" s="589"/>
      <c r="V1846" s="308"/>
      <c r="W1846" s="881"/>
      <c r="X1846" s="745"/>
      <c r="Y1846" s="745"/>
      <c r="Z1846" s="745"/>
      <c r="AA1846" s="746"/>
      <c r="AB1846" s="744"/>
      <c r="AC1846" s="744"/>
      <c r="AD1846" s="745"/>
      <c r="AE1846" s="744"/>
      <c r="AF1846" s="744"/>
      <c r="AG1846" s="251" t="s">
        <v>3456</v>
      </c>
    </row>
    <row r="1847" spans="1:33" ht="15.75" customHeight="1">
      <c r="A1847" s="743">
        <v>43425</v>
      </c>
      <c r="B1847" s="263" t="s">
        <v>577</v>
      </c>
      <c r="C1847" s="744">
        <v>20181121004</v>
      </c>
      <c r="D1847" s="250" t="s">
        <v>5722</v>
      </c>
      <c r="E1847" s="595" t="s">
        <v>1251</v>
      </c>
      <c r="F1847" s="251">
        <v>1</v>
      </c>
      <c r="G1847" s="252">
        <v>96.6</v>
      </c>
      <c r="H1847" s="253">
        <f t="shared" ref="H1847:H1871" si="162">G1847*F1847</f>
        <v>96.6</v>
      </c>
      <c r="I1847" s="254" t="s">
        <v>170</v>
      </c>
      <c r="J1847" s="319" t="s">
        <v>580</v>
      </c>
      <c r="K1847" s="256">
        <v>43433</v>
      </c>
      <c r="L1847" s="256"/>
      <c r="M1847" s="256">
        <v>43433</v>
      </c>
      <c r="N1847" s="331" t="s">
        <v>1414</v>
      </c>
      <c r="O1847" s="250" t="s">
        <v>5723</v>
      </c>
      <c r="Q1847" s="266">
        <v>84</v>
      </c>
      <c r="R1847" s="1394"/>
      <c r="S1847" s="1394"/>
      <c r="U1847" s="589"/>
      <c r="V1847" s="318" t="s">
        <v>1947</v>
      </c>
      <c r="W1847" s="805">
        <v>43496</v>
      </c>
      <c r="X1847" s="750">
        <v>43433</v>
      </c>
      <c r="Y1847" s="250" t="s">
        <v>5724</v>
      </c>
      <c r="Z1847" s="753">
        <v>2596</v>
      </c>
      <c r="AA1847" s="748">
        <v>43495</v>
      </c>
      <c r="AB1847" s="744" t="s">
        <v>5725</v>
      </c>
      <c r="AC1847" s="745"/>
      <c r="AD1847" s="745"/>
      <c r="AE1847" s="749">
        <v>2898</v>
      </c>
      <c r="AF1847" s="744" t="s">
        <v>5726</v>
      </c>
      <c r="AG1847" s="251" t="s">
        <v>376</v>
      </c>
    </row>
    <row r="1848" spans="1:33" ht="15.75" customHeight="1">
      <c r="A1848" s="743">
        <v>43426</v>
      </c>
      <c r="B1848" s="263" t="s">
        <v>405</v>
      </c>
      <c r="C1848" s="250">
        <v>7000143010</v>
      </c>
      <c r="D1848" s="250" t="s">
        <v>5727</v>
      </c>
      <c r="E1848" s="595" t="s">
        <v>677</v>
      </c>
      <c r="F1848" s="251">
        <v>1</v>
      </c>
      <c r="G1848" s="252">
        <v>71</v>
      </c>
      <c r="H1848" s="253">
        <f t="shared" si="162"/>
        <v>71</v>
      </c>
      <c r="I1848" s="254" t="s">
        <v>42</v>
      </c>
      <c r="J1848" s="331" t="s">
        <v>519</v>
      </c>
      <c r="K1848" s="256">
        <v>43430</v>
      </c>
      <c r="L1848" s="256"/>
      <c r="M1848" s="256">
        <v>43430</v>
      </c>
      <c r="N1848" s="331" t="s">
        <v>3432</v>
      </c>
      <c r="O1848" s="250" t="s">
        <v>5728</v>
      </c>
      <c r="Q1848" s="591"/>
      <c r="R1848" s="1406"/>
      <c r="S1848" s="1406"/>
      <c r="U1848" s="572">
        <v>1956</v>
      </c>
      <c r="V1848" s="308" t="s">
        <v>2045</v>
      </c>
      <c r="W1848" s="747">
        <v>43524</v>
      </c>
      <c r="X1848" s="748">
        <v>43430</v>
      </c>
      <c r="Y1848" s="744" t="s">
        <v>5729</v>
      </c>
      <c r="Z1848" s="749">
        <v>1956</v>
      </c>
      <c r="AA1848" s="748">
        <v>43523</v>
      </c>
      <c r="AB1848" s="250" t="s">
        <v>5428</v>
      </c>
      <c r="AC1848" s="744" t="s">
        <v>5429</v>
      </c>
      <c r="AD1848" s="745"/>
      <c r="AE1848" s="744"/>
      <c r="AF1848" s="744"/>
      <c r="AG1848" s="251" t="s">
        <v>283</v>
      </c>
    </row>
    <row r="1849" spans="1:33" ht="15.75" customHeight="1">
      <c r="A1849" s="743">
        <v>43426</v>
      </c>
      <c r="B1849" s="263" t="s">
        <v>405</v>
      </c>
      <c r="C1849" s="250">
        <v>7000143010</v>
      </c>
      <c r="D1849" s="250" t="s">
        <v>5727</v>
      </c>
      <c r="E1849" s="595" t="s">
        <v>5730</v>
      </c>
      <c r="F1849" s="251">
        <v>1</v>
      </c>
      <c r="G1849" s="252">
        <v>20</v>
      </c>
      <c r="H1849" s="253">
        <f t="shared" si="162"/>
        <v>20</v>
      </c>
      <c r="I1849" s="254" t="s">
        <v>42</v>
      </c>
      <c r="J1849" s="331" t="s">
        <v>519</v>
      </c>
      <c r="K1849" s="256">
        <v>43430</v>
      </c>
      <c r="L1849" s="256"/>
      <c r="M1849" s="256">
        <v>43430</v>
      </c>
      <c r="N1849" s="331" t="s">
        <v>3432</v>
      </c>
      <c r="O1849" s="250" t="s">
        <v>5728</v>
      </c>
      <c r="Q1849" s="591"/>
      <c r="R1849" s="1406"/>
      <c r="S1849" s="1406"/>
      <c r="U1849" s="572">
        <v>456</v>
      </c>
      <c r="V1849" s="308" t="s">
        <v>2045</v>
      </c>
      <c r="W1849" s="747">
        <v>43524</v>
      </c>
      <c r="X1849" s="748">
        <v>43430</v>
      </c>
      <c r="Y1849" s="744" t="s">
        <v>5731</v>
      </c>
      <c r="Z1849" s="744">
        <v>456</v>
      </c>
      <c r="AA1849" s="748">
        <v>43523</v>
      </c>
      <c r="AB1849" s="250" t="s">
        <v>5428</v>
      </c>
      <c r="AC1849" s="744" t="s">
        <v>5429</v>
      </c>
      <c r="AD1849" s="745"/>
      <c r="AE1849" s="744"/>
      <c r="AF1849" s="744"/>
      <c r="AG1849" s="251" t="s">
        <v>283</v>
      </c>
    </row>
    <row r="1850" spans="1:33" ht="15.75" customHeight="1">
      <c r="A1850" s="743">
        <v>43427</v>
      </c>
      <c r="B1850" s="263" t="s">
        <v>228</v>
      </c>
      <c r="C1850" s="744" t="s">
        <v>5732</v>
      </c>
      <c r="D1850" s="250" t="s">
        <v>5733</v>
      </c>
      <c r="E1850" s="595" t="s">
        <v>231</v>
      </c>
      <c r="F1850" s="251">
        <v>6</v>
      </c>
      <c r="G1850" s="323">
        <v>407.4</v>
      </c>
      <c r="H1850" s="253">
        <f t="shared" si="162"/>
        <v>2444.3999999999996</v>
      </c>
      <c r="I1850" s="254" t="s">
        <v>170</v>
      </c>
      <c r="J1850" s="367" t="s">
        <v>232</v>
      </c>
      <c r="K1850" s="256">
        <v>43441</v>
      </c>
      <c r="L1850" s="256"/>
      <c r="M1850" s="256">
        <v>43441</v>
      </c>
      <c r="N1850" s="331" t="s">
        <v>89</v>
      </c>
      <c r="O1850" s="308" t="s">
        <v>5734</v>
      </c>
      <c r="Q1850" s="266">
        <v>2236.5</v>
      </c>
      <c r="R1850" s="1394"/>
      <c r="S1850" s="1394"/>
      <c r="U1850" s="589"/>
      <c r="V1850" s="338" t="s">
        <v>93</v>
      </c>
      <c r="W1850" s="747">
        <v>43496</v>
      </c>
      <c r="X1850" s="750">
        <v>43441</v>
      </c>
      <c r="Y1850" s="250" t="s">
        <v>5735</v>
      </c>
      <c r="Z1850" s="753">
        <v>139952</v>
      </c>
      <c r="AA1850" s="748">
        <v>43475</v>
      </c>
      <c r="AB1850" s="744" t="s">
        <v>5736</v>
      </c>
      <c r="AC1850" s="744"/>
      <c r="AD1850" s="744" t="s">
        <v>5737</v>
      </c>
      <c r="AE1850" s="749">
        <v>163517</v>
      </c>
      <c r="AF1850" s="744"/>
      <c r="AG1850" s="251" t="s">
        <v>376</v>
      </c>
    </row>
    <row r="1851" spans="1:33" ht="15.75" customHeight="1">
      <c r="A1851" s="743">
        <v>43427</v>
      </c>
      <c r="B1851" s="263" t="s">
        <v>228</v>
      </c>
      <c r="C1851" s="744" t="s">
        <v>5732</v>
      </c>
      <c r="D1851" s="250" t="s">
        <v>5733</v>
      </c>
      <c r="E1851" s="592" t="s">
        <v>728</v>
      </c>
      <c r="F1851" s="251">
        <v>8</v>
      </c>
      <c r="G1851" s="772">
        <v>336</v>
      </c>
      <c r="H1851" s="253">
        <f t="shared" si="162"/>
        <v>2688</v>
      </c>
      <c r="I1851" s="254" t="s">
        <v>170</v>
      </c>
      <c r="J1851" s="267" t="s">
        <v>232</v>
      </c>
      <c r="K1851" s="256">
        <v>43441</v>
      </c>
      <c r="L1851" s="256"/>
      <c r="M1851" s="256">
        <v>43441</v>
      </c>
      <c r="N1851" s="331" t="s">
        <v>89</v>
      </c>
      <c r="O1851" s="308" t="s">
        <v>5734</v>
      </c>
      <c r="Q1851" s="266">
        <v>2158.8000000000002</v>
      </c>
      <c r="R1851" s="1394"/>
      <c r="S1851" s="1394"/>
      <c r="U1851" s="589"/>
      <c r="V1851" s="338" t="s">
        <v>93</v>
      </c>
      <c r="W1851" s="747">
        <v>43496</v>
      </c>
      <c r="X1851" s="750">
        <v>43441</v>
      </c>
      <c r="Y1851" s="250" t="s">
        <v>5735</v>
      </c>
      <c r="Z1851" s="250" t="s">
        <v>5738</v>
      </c>
      <c r="AA1851" s="748">
        <v>43475</v>
      </c>
      <c r="AB1851" s="744" t="s">
        <v>5736</v>
      </c>
      <c r="AC1851" s="744"/>
      <c r="AD1851" s="744" t="s">
        <v>5737</v>
      </c>
      <c r="AE1851" s="744" t="s">
        <v>5739</v>
      </c>
      <c r="AF1851" s="744"/>
      <c r="AG1851" s="251" t="s">
        <v>376</v>
      </c>
    </row>
    <row r="1852" spans="1:33" ht="15.75" customHeight="1">
      <c r="A1852" s="743">
        <v>43427</v>
      </c>
      <c r="B1852" s="263" t="s">
        <v>228</v>
      </c>
      <c r="C1852" s="744" t="s">
        <v>5732</v>
      </c>
      <c r="D1852" s="250" t="s">
        <v>5733</v>
      </c>
      <c r="E1852" s="799" t="s">
        <v>729</v>
      </c>
      <c r="F1852" s="251">
        <v>8</v>
      </c>
      <c r="G1852" s="323">
        <v>21</v>
      </c>
      <c r="H1852" s="253">
        <f t="shared" si="162"/>
        <v>168</v>
      </c>
      <c r="I1852" s="254" t="s">
        <v>170</v>
      </c>
      <c r="J1852" s="267" t="s">
        <v>232</v>
      </c>
      <c r="K1852" s="256">
        <v>43441</v>
      </c>
      <c r="L1852" s="256"/>
      <c r="M1852" s="256">
        <v>43441</v>
      </c>
      <c r="N1852" s="331" t="s">
        <v>89</v>
      </c>
      <c r="O1852" s="308" t="s">
        <v>5734</v>
      </c>
      <c r="Q1852" s="266">
        <v>141.96</v>
      </c>
      <c r="R1852" s="1394"/>
      <c r="S1852" s="1394"/>
      <c r="U1852" s="589"/>
      <c r="V1852" s="338" t="s">
        <v>93</v>
      </c>
      <c r="W1852" s="747">
        <v>43496</v>
      </c>
      <c r="X1852" s="750">
        <v>43441</v>
      </c>
      <c r="Y1852" s="250" t="s">
        <v>5735</v>
      </c>
      <c r="Z1852" s="250" t="s">
        <v>5738</v>
      </c>
      <c r="AA1852" s="748">
        <v>43475</v>
      </c>
      <c r="AB1852" s="744" t="s">
        <v>5736</v>
      </c>
      <c r="AC1852" s="744"/>
      <c r="AD1852" s="744" t="s">
        <v>5737</v>
      </c>
      <c r="AE1852" s="744" t="s">
        <v>5739</v>
      </c>
      <c r="AF1852" s="744"/>
      <c r="AG1852" s="251" t="s">
        <v>376</v>
      </c>
    </row>
    <row r="1853" spans="1:33" ht="15.75" customHeight="1">
      <c r="A1853" s="743">
        <v>43413</v>
      </c>
      <c r="B1853" s="263" t="s">
        <v>713</v>
      </c>
      <c r="C1853" s="744" t="s">
        <v>5740</v>
      </c>
      <c r="D1853" s="250" t="s">
        <v>5741</v>
      </c>
      <c r="E1853" s="595" t="s">
        <v>715</v>
      </c>
      <c r="F1853" s="264">
        <v>2</v>
      </c>
      <c r="G1853" s="252">
        <v>95</v>
      </c>
      <c r="H1853" s="253">
        <f t="shared" si="162"/>
        <v>190</v>
      </c>
      <c r="I1853" s="254" t="s">
        <v>3712</v>
      </c>
      <c r="J1853" s="267" t="s">
        <v>5742</v>
      </c>
      <c r="K1853" s="256">
        <v>43458</v>
      </c>
      <c r="L1853" s="256"/>
      <c r="M1853" s="256">
        <v>43440</v>
      </c>
      <c r="N1853" s="331" t="s">
        <v>89</v>
      </c>
      <c r="O1853" s="308" t="s">
        <v>5743</v>
      </c>
      <c r="Q1853" s="266">
        <v>176.4</v>
      </c>
      <c r="R1853" s="1394"/>
      <c r="S1853" s="1394"/>
      <c r="U1853" s="911"/>
      <c r="V1853" s="338" t="s">
        <v>93</v>
      </c>
      <c r="W1853" s="747">
        <v>43496</v>
      </c>
      <c r="X1853" s="748">
        <v>43439</v>
      </c>
      <c r="Y1853" s="250" t="s">
        <v>5744</v>
      </c>
      <c r="Z1853" s="744" t="s">
        <v>5745</v>
      </c>
      <c r="AA1853" s="748">
        <v>43475</v>
      </c>
      <c r="AB1853" s="744" t="s">
        <v>5746</v>
      </c>
      <c r="AC1853" s="744" t="s">
        <v>5747</v>
      </c>
      <c r="AD1853" s="745"/>
      <c r="AE1853" s="744"/>
      <c r="AF1853" s="744"/>
      <c r="AG1853" s="264" t="s">
        <v>283</v>
      </c>
    </row>
    <row r="1854" spans="1:33" ht="15.75" customHeight="1">
      <c r="A1854" s="743">
        <v>43413</v>
      </c>
      <c r="B1854" s="263" t="s">
        <v>713</v>
      </c>
      <c r="C1854" s="744" t="s">
        <v>5740</v>
      </c>
      <c r="D1854" s="250" t="s">
        <v>5741</v>
      </c>
      <c r="E1854" s="595" t="s">
        <v>715</v>
      </c>
      <c r="F1854" s="264">
        <v>20</v>
      </c>
      <c r="G1854" s="252">
        <v>95</v>
      </c>
      <c r="H1854" s="253">
        <f t="shared" si="162"/>
        <v>1900</v>
      </c>
      <c r="I1854" s="254" t="s">
        <v>3712</v>
      </c>
      <c r="J1854" s="267" t="s">
        <v>5742</v>
      </c>
      <c r="K1854" s="256">
        <v>43458</v>
      </c>
      <c r="L1854" s="256"/>
      <c r="M1854" s="256">
        <v>43455</v>
      </c>
      <c r="N1854" s="331" t="s">
        <v>89</v>
      </c>
      <c r="O1854" s="571" t="s">
        <v>5748</v>
      </c>
      <c r="Q1854" s="265" t="s">
        <v>5749</v>
      </c>
      <c r="R1854" s="1411"/>
      <c r="S1854" s="1411"/>
      <c r="U1854" s="911"/>
      <c r="V1854" s="338" t="s">
        <v>93</v>
      </c>
      <c r="W1854" s="747">
        <v>43496</v>
      </c>
      <c r="X1854" s="744" t="s">
        <v>5750</v>
      </c>
      <c r="Y1854" s="744" t="s">
        <v>5751</v>
      </c>
      <c r="Z1854" s="749" t="s">
        <v>5752</v>
      </c>
      <c r="AA1854" s="748">
        <v>43475</v>
      </c>
      <c r="AB1854" s="744" t="s">
        <v>5746</v>
      </c>
      <c r="AC1854" s="744" t="s">
        <v>5747</v>
      </c>
      <c r="AD1854" s="745"/>
      <c r="AE1854" s="744"/>
      <c r="AF1854" s="744"/>
      <c r="AG1854" s="264" t="s">
        <v>283</v>
      </c>
    </row>
    <row r="1855" spans="1:33" ht="15.75" customHeight="1">
      <c r="A1855" s="743">
        <v>43413</v>
      </c>
      <c r="B1855" s="263" t="s">
        <v>713</v>
      </c>
      <c r="C1855" s="744" t="s">
        <v>5740</v>
      </c>
      <c r="D1855" s="250" t="s">
        <v>5741</v>
      </c>
      <c r="E1855" s="595" t="s">
        <v>718</v>
      </c>
      <c r="F1855" s="264">
        <v>15</v>
      </c>
      <c r="G1855" s="252">
        <v>320</v>
      </c>
      <c r="H1855" s="253">
        <f t="shared" si="162"/>
        <v>4800</v>
      </c>
      <c r="I1855" s="254" t="s">
        <v>3712</v>
      </c>
      <c r="J1855" s="267" t="s">
        <v>5742</v>
      </c>
      <c r="K1855" s="256">
        <v>43458</v>
      </c>
      <c r="L1855" s="256"/>
      <c r="M1855" s="256">
        <v>43440</v>
      </c>
      <c r="N1855" s="331" t="s">
        <v>89</v>
      </c>
      <c r="O1855" s="308" t="s">
        <v>5743</v>
      </c>
      <c r="Q1855" s="266">
        <v>4047.75</v>
      </c>
      <c r="R1855" s="1394"/>
      <c r="S1855" s="1394"/>
      <c r="U1855" s="911"/>
      <c r="V1855" s="338" t="s">
        <v>93</v>
      </c>
      <c r="W1855" s="747">
        <v>43496</v>
      </c>
      <c r="X1855" s="748">
        <v>43439</v>
      </c>
      <c r="Y1855" s="250" t="s">
        <v>5744</v>
      </c>
      <c r="Z1855" s="749">
        <v>130294</v>
      </c>
      <c r="AA1855" s="748">
        <v>43475</v>
      </c>
      <c r="AB1855" s="744" t="s">
        <v>5746</v>
      </c>
      <c r="AC1855" s="744" t="s">
        <v>5747</v>
      </c>
      <c r="AD1855" s="745"/>
      <c r="AE1855" s="744"/>
      <c r="AF1855" s="744"/>
      <c r="AG1855" s="264" t="s">
        <v>283</v>
      </c>
    </row>
    <row r="1856" spans="1:33" ht="15.75" customHeight="1">
      <c r="A1856" s="743">
        <v>43413</v>
      </c>
      <c r="B1856" s="263" t="s">
        <v>713</v>
      </c>
      <c r="C1856" s="744" t="s">
        <v>5740</v>
      </c>
      <c r="D1856" s="250" t="s">
        <v>5741</v>
      </c>
      <c r="E1856" s="595" t="s">
        <v>718</v>
      </c>
      <c r="F1856" s="264">
        <v>20</v>
      </c>
      <c r="G1856" s="252">
        <v>320</v>
      </c>
      <c r="H1856" s="253">
        <f t="shared" si="162"/>
        <v>6400</v>
      </c>
      <c r="I1856" s="254" t="s">
        <v>3712</v>
      </c>
      <c r="J1856" s="267" t="s">
        <v>5742</v>
      </c>
      <c r="K1856" s="256">
        <v>43458</v>
      </c>
      <c r="L1856" s="256"/>
      <c r="M1856" s="256">
        <v>43454</v>
      </c>
      <c r="N1856" s="331" t="s">
        <v>89</v>
      </c>
      <c r="O1856" s="308" t="s">
        <v>5753</v>
      </c>
      <c r="Q1856" s="266">
        <v>5397</v>
      </c>
      <c r="R1856" s="1394"/>
      <c r="S1856" s="1394"/>
      <c r="U1856" s="911"/>
      <c r="V1856" s="338" t="s">
        <v>93</v>
      </c>
      <c r="W1856" s="747">
        <v>43496</v>
      </c>
      <c r="X1856" s="748">
        <v>43453</v>
      </c>
      <c r="Y1856" s="744" t="s">
        <v>5754</v>
      </c>
      <c r="Z1856" s="744" t="s">
        <v>5755</v>
      </c>
      <c r="AA1856" s="748">
        <v>43475</v>
      </c>
      <c r="AB1856" s="744" t="s">
        <v>5746</v>
      </c>
      <c r="AC1856" s="744" t="s">
        <v>5747</v>
      </c>
      <c r="AD1856" s="745"/>
      <c r="AE1856" s="744"/>
      <c r="AF1856" s="744"/>
      <c r="AG1856" s="264" t="s">
        <v>283</v>
      </c>
    </row>
    <row r="1857" spans="1:33" ht="15.75" customHeight="1">
      <c r="A1857" s="743">
        <v>43434</v>
      </c>
      <c r="B1857" s="263" t="s">
        <v>713</v>
      </c>
      <c r="C1857" s="744"/>
      <c r="D1857" s="571" t="s">
        <v>5756</v>
      </c>
      <c r="E1857" s="595" t="s">
        <v>719</v>
      </c>
      <c r="F1857" s="264">
        <v>3</v>
      </c>
      <c r="G1857" s="252">
        <v>123</v>
      </c>
      <c r="H1857" s="253">
        <f t="shared" si="162"/>
        <v>369</v>
      </c>
      <c r="I1857" s="254" t="s">
        <v>3712</v>
      </c>
      <c r="J1857" s="267" t="s">
        <v>5742</v>
      </c>
      <c r="K1857" s="256">
        <v>43458</v>
      </c>
      <c r="L1857" s="256"/>
      <c r="M1857" s="256">
        <v>43447</v>
      </c>
      <c r="N1857" s="331" t="s">
        <v>89</v>
      </c>
      <c r="O1857" s="308" t="s">
        <v>5757</v>
      </c>
      <c r="Q1857" s="266">
        <v>294.83999999999997</v>
      </c>
      <c r="R1857" s="1394"/>
      <c r="S1857" s="1394"/>
      <c r="U1857" s="911"/>
      <c r="V1857" s="338" t="s">
        <v>93</v>
      </c>
      <c r="W1857" s="747">
        <v>43496</v>
      </c>
      <c r="X1857" s="750">
        <v>43446</v>
      </c>
      <c r="Y1857" s="250" t="s">
        <v>5758</v>
      </c>
      <c r="Z1857" s="749">
        <v>9066</v>
      </c>
      <c r="AA1857" s="748">
        <v>43475</v>
      </c>
      <c r="AB1857" s="744" t="s">
        <v>5746</v>
      </c>
      <c r="AC1857" s="744" t="s">
        <v>5747</v>
      </c>
      <c r="AD1857" s="745"/>
      <c r="AE1857" s="744"/>
      <c r="AF1857" s="744"/>
      <c r="AG1857" s="264" t="s">
        <v>283</v>
      </c>
    </row>
    <row r="1858" spans="1:33" ht="15.75" customHeight="1">
      <c r="A1858" s="743">
        <v>43441</v>
      </c>
      <c r="B1858" s="263" t="s">
        <v>713</v>
      </c>
      <c r="C1858" s="250"/>
      <c r="D1858" s="250" t="s">
        <v>5741</v>
      </c>
      <c r="E1858" s="744" t="s">
        <v>1595</v>
      </c>
      <c r="F1858" s="264">
        <v>10</v>
      </c>
      <c r="G1858" s="464">
        <v>345</v>
      </c>
      <c r="H1858" s="253">
        <f t="shared" si="162"/>
        <v>3450</v>
      </c>
      <c r="I1858" s="254" t="s">
        <v>3712</v>
      </c>
      <c r="J1858" s="267" t="s">
        <v>5742</v>
      </c>
      <c r="K1858" s="256">
        <v>43458</v>
      </c>
      <c r="L1858" s="256"/>
      <c r="M1858" s="256">
        <v>43454</v>
      </c>
      <c r="N1858" s="331" t="s">
        <v>89</v>
      </c>
      <c r="O1858" s="308" t="s">
        <v>5753</v>
      </c>
      <c r="Q1858" s="266">
        <v>2908.5</v>
      </c>
      <c r="R1858" s="1394"/>
      <c r="S1858" s="1394"/>
      <c r="U1858" s="911"/>
      <c r="V1858" s="338" t="s">
        <v>93</v>
      </c>
      <c r="W1858" s="747">
        <v>43496</v>
      </c>
      <c r="X1858" s="748">
        <v>43453</v>
      </c>
      <c r="Y1858" s="744" t="s">
        <v>5754</v>
      </c>
      <c r="Z1858" s="744" t="s">
        <v>5755</v>
      </c>
      <c r="AA1858" s="748">
        <v>43475</v>
      </c>
      <c r="AB1858" s="744" t="s">
        <v>5746</v>
      </c>
      <c r="AC1858" s="744" t="s">
        <v>5747</v>
      </c>
      <c r="AD1858" s="744"/>
      <c r="AE1858" s="749"/>
      <c r="AF1858" s="744"/>
      <c r="AG1858" s="264" t="s">
        <v>283</v>
      </c>
    </row>
    <row r="1859" spans="1:33" ht="15.75" customHeight="1">
      <c r="A1859" s="743">
        <v>43432</v>
      </c>
      <c r="B1859" s="263" t="s">
        <v>629</v>
      </c>
      <c r="C1859" s="250" t="s">
        <v>5759</v>
      </c>
      <c r="D1859" s="250" t="s">
        <v>5760</v>
      </c>
      <c r="E1859" s="744" t="s">
        <v>632</v>
      </c>
      <c r="F1859" s="251">
        <v>10</v>
      </c>
      <c r="G1859" s="464">
        <v>173.25</v>
      </c>
      <c r="H1859" s="253">
        <f t="shared" si="162"/>
        <v>1732.5</v>
      </c>
      <c r="I1859" s="254" t="s">
        <v>170</v>
      </c>
      <c r="J1859" s="267" t="s">
        <v>626</v>
      </c>
      <c r="K1859" s="256">
        <v>43438</v>
      </c>
      <c r="L1859" s="256"/>
      <c r="M1859" s="256">
        <v>43433</v>
      </c>
      <c r="N1859" s="331" t="s">
        <v>2212</v>
      </c>
      <c r="O1859" s="308" t="s">
        <v>5761</v>
      </c>
      <c r="Q1859" s="591"/>
      <c r="R1859" s="1406"/>
      <c r="S1859" s="1406"/>
      <c r="U1859" s="572">
        <v>50925</v>
      </c>
      <c r="V1859" s="308" t="s">
        <v>2214</v>
      </c>
      <c r="W1859" s="747">
        <v>43105</v>
      </c>
      <c r="X1859" s="748">
        <v>43433</v>
      </c>
      <c r="Y1859" s="744" t="s">
        <v>5762</v>
      </c>
      <c r="Z1859" s="749">
        <v>50925</v>
      </c>
      <c r="AA1859" s="748">
        <v>43469</v>
      </c>
      <c r="AB1859" s="744" t="s">
        <v>5763</v>
      </c>
      <c r="AC1859" s="744" t="s">
        <v>5764</v>
      </c>
      <c r="AD1859" s="744">
        <v>30.73</v>
      </c>
      <c r="AE1859" s="749">
        <v>53240</v>
      </c>
      <c r="AF1859" s="744" t="s">
        <v>5765</v>
      </c>
      <c r="AG1859" s="251" t="s">
        <v>376</v>
      </c>
    </row>
    <row r="1860" spans="1:33" ht="28.5" customHeight="1">
      <c r="A1860" s="743">
        <v>43432</v>
      </c>
      <c r="B1860" s="263" t="s">
        <v>892</v>
      </c>
      <c r="C1860" s="250" t="s">
        <v>5766</v>
      </c>
      <c r="D1860" s="250" t="s">
        <v>5767</v>
      </c>
      <c r="E1860" s="595" t="s">
        <v>954</v>
      </c>
      <c r="F1860" s="251">
        <v>15</v>
      </c>
      <c r="G1860" s="252">
        <v>305</v>
      </c>
      <c r="H1860" s="253">
        <f t="shared" si="162"/>
        <v>4575</v>
      </c>
      <c r="I1860" s="254" t="s">
        <v>302</v>
      </c>
      <c r="J1860" s="367" t="s">
        <v>5768</v>
      </c>
      <c r="K1860" s="829">
        <v>43446</v>
      </c>
      <c r="L1860" s="1479"/>
      <c r="M1860" s="256">
        <v>43438</v>
      </c>
      <c r="N1860" s="331" t="s">
        <v>2001</v>
      </c>
      <c r="O1860" s="250" t="s">
        <v>5769</v>
      </c>
      <c r="Q1860" s="266">
        <v>4252.5</v>
      </c>
      <c r="R1860" s="1394"/>
      <c r="S1860" s="1394"/>
      <c r="U1860" s="589"/>
      <c r="V1860" s="318" t="s">
        <v>2003</v>
      </c>
      <c r="W1860" s="805">
        <v>43501</v>
      </c>
      <c r="X1860" s="748">
        <v>43437</v>
      </c>
      <c r="Y1860" s="744" t="s">
        <v>5770</v>
      </c>
      <c r="Z1860" s="749">
        <v>224444</v>
      </c>
      <c r="AA1860" s="748">
        <v>43578</v>
      </c>
      <c r="AB1860" s="744" t="s">
        <v>5771</v>
      </c>
      <c r="AC1860" s="744">
        <v>146160735</v>
      </c>
      <c r="AD1860" s="745"/>
      <c r="AE1860" s="744"/>
      <c r="AF1860" s="744"/>
      <c r="AG1860" s="251" t="s">
        <v>283</v>
      </c>
    </row>
    <row r="1861" spans="1:33" ht="15.75" customHeight="1">
      <c r="A1861" s="743">
        <v>43432</v>
      </c>
      <c r="B1861" s="263" t="s">
        <v>892</v>
      </c>
      <c r="C1861" s="250" t="s">
        <v>5766</v>
      </c>
      <c r="D1861" s="250" t="s">
        <v>5767</v>
      </c>
      <c r="E1861" s="595" t="s">
        <v>956</v>
      </c>
      <c r="F1861" s="251">
        <v>30</v>
      </c>
      <c r="G1861" s="252">
        <v>105</v>
      </c>
      <c r="H1861" s="253">
        <f t="shared" si="162"/>
        <v>3150</v>
      </c>
      <c r="I1861" s="254" t="s">
        <v>302</v>
      </c>
      <c r="J1861" s="367" t="s">
        <v>5768</v>
      </c>
      <c r="K1861" s="829">
        <v>43446</v>
      </c>
      <c r="L1861" s="1479"/>
      <c r="M1861" s="256">
        <v>43438</v>
      </c>
      <c r="N1861" s="331" t="s">
        <v>2001</v>
      </c>
      <c r="O1861" s="250" t="s">
        <v>5769</v>
      </c>
      <c r="Q1861" s="266">
        <v>3024</v>
      </c>
      <c r="R1861" s="1394"/>
      <c r="S1861" s="1394"/>
      <c r="U1861" s="589"/>
      <c r="V1861" s="318" t="s">
        <v>2003</v>
      </c>
      <c r="W1861" s="805">
        <v>43501</v>
      </c>
      <c r="X1861" s="748">
        <v>43437</v>
      </c>
      <c r="Y1861" s="744" t="s">
        <v>5770</v>
      </c>
      <c r="Z1861" s="744" t="s">
        <v>5772</v>
      </c>
      <c r="AA1861" s="748">
        <v>43578</v>
      </c>
      <c r="AB1861" s="744" t="s">
        <v>5771</v>
      </c>
      <c r="AC1861" s="744">
        <v>146160735</v>
      </c>
      <c r="AD1861" s="745"/>
      <c r="AE1861" s="744"/>
      <c r="AF1861" s="744"/>
      <c r="AG1861" s="251" t="s">
        <v>283</v>
      </c>
    </row>
    <row r="1862" spans="1:33" ht="15.75" customHeight="1">
      <c r="A1862" s="743">
        <v>43433</v>
      </c>
      <c r="B1862" s="263" t="s">
        <v>76</v>
      </c>
      <c r="C1862" s="744">
        <v>1266</v>
      </c>
      <c r="D1862" s="250" t="s">
        <v>5773</v>
      </c>
      <c r="E1862" s="595" t="s">
        <v>3381</v>
      </c>
      <c r="F1862" s="305">
        <v>5</v>
      </c>
      <c r="G1862" s="252">
        <v>285</v>
      </c>
      <c r="H1862" s="253">
        <f t="shared" si="162"/>
        <v>1425</v>
      </c>
      <c r="I1862" s="254" t="s">
        <v>42</v>
      </c>
      <c r="J1862" s="331" t="s">
        <v>5774</v>
      </c>
      <c r="K1862" s="256">
        <v>43444</v>
      </c>
      <c r="L1862" s="256"/>
      <c r="M1862" s="256">
        <v>43444</v>
      </c>
      <c r="N1862" s="401" t="s">
        <v>1967</v>
      </c>
      <c r="O1862" s="250" t="s">
        <v>5775</v>
      </c>
      <c r="Q1862" s="266">
        <v>1312.5</v>
      </c>
      <c r="R1862" s="1394"/>
      <c r="S1862" s="1394"/>
      <c r="U1862" s="589"/>
      <c r="V1862" s="308" t="s">
        <v>1969</v>
      </c>
      <c r="W1862" s="747">
        <v>43136</v>
      </c>
      <c r="X1862" s="748">
        <v>43441</v>
      </c>
      <c r="Y1862" s="744" t="s">
        <v>5776</v>
      </c>
      <c r="Z1862" s="749">
        <v>40465</v>
      </c>
      <c r="AA1862" s="748">
        <v>43649</v>
      </c>
      <c r="AB1862" s="744" t="s">
        <v>5777</v>
      </c>
      <c r="AC1862" s="744">
        <v>986900692</v>
      </c>
      <c r="AD1862" s="745"/>
      <c r="AE1862" s="744"/>
      <c r="AF1862" s="744"/>
      <c r="AG1862" s="251" t="s">
        <v>283</v>
      </c>
    </row>
    <row r="1863" spans="1:33" ht="15.75" customHeight="1">
      <c r="A1863" s="743">
        <v>43440</v>
      </c>
      <c r="B1863" s="590" t="s">
        <v>5778</v>
      </c>
      <c r="C1863" s="744"/>
      <c r="D1863" s="250" t="s">
        <v>5779</v>
      </c>
      <c r="E1863" s="595" t="s">
        <v>5780</v>
      </c>
      <c r="F1863" s="251">
        <v>2</v>
      </c>
      <c r="G1863" s="252">
        <v>32</v>
      </c>
      <c r="H1863" s="253">
        <f t="shared" si="162"/>
        <v>64</v>
      </c>
      <c r="I1863" s="254" t="s">
        <v>3712</v>
      </c>
      <c r="J1863" s="267" t="s">
        <v>5781</v>
      </c>
      <c r="K1863" s="829">
        <v>43452</v>
      </c>
      <c r="L1863" s="1479"/>
      <c r="M1863" s="256">
        <v>43446</v>
      </c>
      <c r="N1863" s="331" t="s">
        <v>5782</v>
      </c>
      <c r="O1863" s="308" t="s">
        <v>5783</v>
      </c>
      <c r="Q1863" s="266">
        <v>53.55</v>
      </c>
      <c r="R1863" s="1394"/>
      <c r="S1863" s="1394"/>
      <c r="U1863" s="589"/>
      <c r="V1863" s="308" t="s">
        <v>2010</v>
      </c>
      <c r="W1863" s="747">
        <v>43460</v>
      </c>
      <c r="X1863" s="821">
        <v>43446</v>
      </c>
      <c r="Y1863" s="744" t="s">
        <v>5784</v>
      </c>
      <c r="Z1863" s="749">
        <v>1655</v>
      </c>
      <c r="AA1863" s="907">
        <v>43467</v>
      </c>
      <c r="AB1863" s="250" t="s">
        <v>5785</v>
      </c>
      <c r="AC1863" s="744" t="s">
        <v>5786</v>
      </c>
      <c r="AD1863" s="744"/>
      <c r="AE1863" s="744"/>
      <c r="AF1863" s="744"/>
      <c r="AG1863" s="251" t="s">
        <v>283</v>
      </c>
    </row>
    <row r="1864" spans="1:33" ht="15.75" customHeight="1">
      <c r="A1864" s="743">
        <v>43440</v>
      </c>
      <c r="B1864" s="590" t="s">
        <v>5778</v>
      </c>
      <c r="C1864" s="744"/>
      <c r="D1864" s="250" t="s">
        <v>5779</v>
      </c>
      <c r="E1864" s="595" t="s">
        <v>5787</v>
      </c>
      <c r="F1864" s="251">
        <v>1</v>
      </c>
      <c r="G1864" s="252">
        <v>40</v>
      </c>
      <c r="H1864" s="253">
        <f t="shared" si="162"/>
        <v>40</v>
      </c>
      <c r="I1864" s="254" t="s">
        <v>3712</v>
      </c>
      <c r="J1864" s="267" t="s">
        <v>5781</v>
      </c>
      <c r="K1864" s="829">
        <v>43452</v>
      </c>
      <c r="L1864" s="1479"/>
      <c r="M1864" s="623"/>
      <c r="N1864" s="331"/>
      <c r="O1864" s="308"/>
      <c r="Q1864" s="591"/>
      <c r="R1864" s="1406"/>
      <c r="S1864" s="1406"/>
      <c r="U1864" s="589"/>
      <c r="V1864" s="308"/>
      <c r="W1864" s="881"/>
      <c r="X1864" s="744"/>
      <c r="Y1864" s="744"/>
      <c r="Z1864" s="744"/>
      <c r="AA1864" s="748"/>
      <c r="AB1864" s="250" t="s">
        <v>5785</v>
      </c>
      <c r="AC1864" s="744" t="s">
        <v>5786</v>
      </c>
      <c r="AD1864" s="744"/>
      <c r="AE1864" s="744"/>
      <c r="AF1864" s="744"/>
      <c r="AG1864" s="251" t="s">
        <v>283</v>
      </c>
    </row>
    <row r="1865" spans="1:33" ht="15.75" customHeight="1">
      <c r="A1865" s="743">
        <v>43441</v>
      </c>
      <c r="B1865" s="263" t="s">
        <v>118</v>
      </c>
      <c r="C1865" s="744" t="s">
        <v>321</v>
      </c>
      <c r="D1865" s="250" t="s">
        <v>5788</v>
      </c>
      <c r="E1865" s="250" t="s">
        <v>564</v>
      </c>
      <c r="F1865" s="251">
        <v>60</v>
      </c>
      <c r="G1865" s="323">
        <v>105</v>
      </c>
      <c r="H1865" s="253">
        <f t="shared" si="162"/>
        <v>6300</v>
      </c>
      <c r="I1865" s="254" t="s">
        <v>170</v>
      </c>
      <c r="J1865" s="426" t="s">
        <v>121</v>
      </c>
      <c r="K1865" s="256">
        <v>43461</v>
      </c>
      <c r="L1865" s="256"/>
      <c r="M1865" s="256">
        <v>43454</v>
      </c>
      <c r="N1865" s="331" t="s">
        <v>89</v>
      </c>
      <c r="O1865" s="308" t="s">
        <v>5789</v>
      </c>
      <c r="Q1865" s="266">
        <v>5166</v>
      </c>
      <c r="R1865" s="1394"/>
      <c r="S1865" s="1394"/>
      <c r="U1865" s="589"/>
      <c r="V1865" s="338" t="s">
        <v>93</v>
      </c>
      <c r="W1865" s="747">
        <v>43496</v>
      </c>
      <c r="X1865" s="748">
        <v>43453</v>
      </c>
      <c r="Y1865" s="744" t="s">
        <v>5790</v>
      </c>
      <c r="Z1865" s="749">
        <v>651239</v>
      </c>
      <c r="AA1865" s="748">
        <v>43496</v>
      </c>
      <c r="AB1865" s="744" t="s">
        <v>5711</v>
      </c>
      <c r="AC1865" s="250" t="s">
        <v>5712</v>
      </c>
      <c r="AD1865" s="745"/>
      <c r="AE1865" s="744"/>
      <c r="AF1865" s="744"/>
      <c r="AG1865" s="264" t="s">
        <v>283</v>
      </c>
    </row>
    <row r="1866" spans="1:33" ht="15.75" customHeight="1">
      <c r="A1866" s="743">
        <v>43441</v>
      </c>
      <c r="B1866" s="263" t="s">
        <v>118</v>
      </c>
      <c r="C1866" s="744" t="s">
        <v>321</v>
      </c>
      <c r="D1866" s="250" t="s">
        <v>5788</v>
      </c>
      <c r="E1866" s="595" t="s">
        <v>414</v>
      </c>
      <c r="F1866" s="251">
        <v>4</v>
      </c>
      <c r="G1866" s="252">
        <v>335</v>
      </c>
      <c r="H1866" s="253">
        <f t="shared" si="162"/>
        <v>1340</v>
      </c>
      <c r="I1866" s="254" t="s">
        <v>170</v>
      </c>
      <c r="J1866" s="426" t="s">
        <v>121</v>
      </c>
      <c r="K1866" s="256">
        <v>43461</v>
      </c>
      <c r="L1866" s="256"/>
      <c r="M1866" s="256">
        <v>43454</v>
      </c>
      <c r="N1866" s="331" t="s">
        <v>89</v>
      </c>
      <c r="O1866" s="308" t="s">
        <v>5789</v>
      </c>
      <c r="Q1866" s="266">
        <v>1218</v>
      </c>
      <c r="R1866" s="1394"/>
      <c r="S1866" s="1394"/>
      <c r="U1866" s="589"/>
      <c r="V1866" s="338" t="s">
        <v>93</v>
      </c>
      <c r="W1866" s="747">
        <v>43496</v>
      </c>
      <c r="X1866" s="748">
        <v>43453</v>
      </c>
      <c r="Y1866" s="744" t="s">
        <v>5790</v>
      </c>
      <c r="Z1866" s="744" t="s">
        <v>5791</v>
      </c>
      <c r="AA1866" s="748">
        <v>43496</v>
      </c>
      <c r="AB1866" s="744" t="s">
        <v>5711</v>
      </c>
      <c r="AC1866" s="250" t="s">
        <v>5712</v>
      </c>
      <c r="AD1866" s="745"/>
      <c r="AE1866" s="744"/>
      <c r="AF1866" s="744"/>
      <c r="AG1866" s="264" t="s">
        <v>283</v>
      </c>
    </row>
    <row r="1867" spans="1:33" ht="15.75" customHeight="1">
      <c r="A1867" s="743">
        <v>43441</v>
      </c>
      <c r="B1867" s="263" t="s">
        <v>118</v>
      </c>
      <c r="C1867" s="744" t="s">
        <v>321</v>
      </c>
      <c r="D1867" s="250" t="s">
        <v>5788</v>
      </c>
      <c r="E1867" s="250" t="s">
        <v>160</v>
      </c>
      <c r="F1867" s="367">
        <v>10</v>
      </c>
      <c r="G1867" s="252">
        <v>485</v>
      </c>
      <c r="H1867" s="253">
        <f t="shared" si="162"/>
        <v>4850</v>
      </c>
      <c r="I1867" s="254" t="s">
        <v>170</v>
      </c>
      <c r="J1867" s="426" t="s">
        <v>121</v>
      </c>
      <c r="K1867" s="256">
        <v>43461</v>
      </c>
      <c r="L1867" s="256"/>
      <c r="M1867" s="256">
        <v>43454</v>
      </c>
      <c r="N1867" s="331" t="s">
        <v>89</v>
      </c>
      <c r="O1867" s="308" t="s">
        <v>5789</v>
      </c>
      <c r="Q1867" s="266">
        <v>4200</v>
      </c>
      <c r="R1867" s="1394"/>
      <c r="S1867" s="1394"/>
      <c r="U1867" s="589"/>
      <c r="V1867" s="338" t="s">
        <v>93</v>
      </c>
      <c r="W1867" s="747">
        <v>43496</v>
      </c>
      <c r="X1867" s="748">
        <v>43453</v>
      </c>
      <c r="Y1867" s="744" t="s">
        <v>5790</v>
      </c>
      <c r="Z1867" s="744" t="s">
        <v>5791</v>
      </c>
      <c r="AA1867" s="748">
        <v>43496</v>
      </c>
      <c r="AB1867" s="744" t="s">
        <v>5711</v>
      </c>
      <c r="AC1867" s="250" t="s">
        <v>5712</v>
      </c>
      <c r="AD1867" s="745"/>
      <c r="AE1867" s="744"/>
      <c r="AF1867" s="744"/>
      <c r="AG1867" s="264" t="s">
        <v>283</v>
      </c>
    </row>
    <row r="1868" spans="1:33" ht="15.75" customHeight="1">
      <c r="A1868" s="743">
        <v>43441</v>
      </c>
      <c r="B1868" s="263" t="s">
        <v>118</v>
      </c>
      <c r="C1868" s="744" t="s">
        <v>321</v>
      </c>
      <c r="D1868" s="250" t="s">
        <v>5788</v>
      </c>
      <c r="E1868" s="250" t="s">
        <v>161</v>
      </c>
      <c r="F1868" s="367">
        <v>10</v>
      </c>
      <c r="G1868" s="265">
        <v>738</v>
      </c>
      <c r="H1868" s="253">
        <f t="shared" si="162"/>
        <v>7380</v>
      </c>
      <c r="I1868" s="254" t="s">
        <v>170</v>
      </c>
      <c r="J1868" s="426" t="s">
        <v>121</v>
      </c>
      <c r="K1868" s="256">
        <v>43461</v>
      </c>
      <c r="L1868" s="256"/>
      <c r="M1868" s="256">
        <v>43454</v>
      </c>
      <c r="N1868" s="331" t="s">
        <v>89</v>
      </c>
      <c r="O1868" s="308" t="s">
        <v>5789</v>
      </c>
      <c r="Q1868" s="266">
        <v>6699</v>
      </c>
      <c r="R1868" s="1394"/>
      <c r="S1868" s="1394"/>
      <c r="U1868" s="589"/>
      <c r="V1868" s="338" t="s">
        <v>93</v>
      </c>
      <c r="W1868" s="747">
        <v>43496</v>
      </c>
      <c r="X1868" s="748">
        <v>43453</v>
      </c>
      <c r="Y1868" s="744" t="s">
        <v>5790</v>
      </c>
      <c r="Z1868" s="744" t="s">
        <v>5791</v>
      </c>
      <c r="AA1868" s="748">
        <v>43496</v>
      </c>
      <c r="AB1868" s="744" t="s">
        <v>5711</v>
      </c>
      <c r="AC1868" s="250" t="s">
        <v>5712</v>
      </c>
      <c r="AD1868" s="745"/>
      <c r="AE1868" s="744"/>
      <c r="AF1868" s="744"/>
      <c r="AG1868" s="264" t="s">
        <v>283</v>
      </c>
    </row>
    <row r="1869" spans="1:33" ht="15.75" customHeight="1">
      <c r="A1869" s="743">
        <v>43441</v>
      </c>
      <c r="B1869" s="263" t="s">
        <v>118</v>
      </c>
      <c r="C1869" s="744" t="s">
        <v>321</v>
      </c>
      <c r="D1869" s="250" t="s">
        <v>5788</v>
      </c>
      <c r="E1869" s="250" t="s">
        <v>536</v>
      </c>
      <c r="F1869" s="251">
        <v>20</v>
      </c>
      <c r="G1869" s="252">
        <v>44</v>
      </c>
      <c r="H1869" s="253">
        <f t="shared" si="162"/>
        <v>880</v>
      </c>
      <c r="I1869" s="254" t="s">
        <v>170</v>
      </c>
      <c r="J1869" s="426" t="s">
        <v>121</v>
      </c>
      <c r="K1869" s="256">
        <v>43461</v>
      </c>
      <c r="L1869" s="256"/>
      <c r="M1869" s="256">
        <v>43454</v>
      </c>
      <c r="N1869" s="331" t="s">
        <v>89</v>
      </c>
      <c r="O1869" s="308" t="s">
        <v>5789</v>
      </c>
      <c r="Q1869" s="266">
        <v>756</v>
      </c>
      <c r="R1869" s="1394"/>
      <c r="S1869" s="1394"/>
      <c r="U1869" s="589"/>
      <c r="V1869" s="338" t="s">
        <v>93</v>
      </c>
      <c r="W1869" s="747">
        <v>43496</v>
      </c>
      <c r="X1869" s="748">
        <v>43453</v>
      </c>
      <c r="Y1869" s="744" t="s">
        <v>5790</v>
      </c>
      <c r="Z1869" s="744" t="s">
        <v>5791</v>
      </c>
      <c r="AA1869" s="748">
        <v>43496</v>
      </c>
      <c r="AB1869" s="744" t="s">
        <v>5711</v>
      </c>
      <c r="AC1869" s="250" t="s">
        <v>5712</v>
      </c>
      <c r="AD1869" s="745"/>
      <c r="AE1869" s="744"/>
      <c r="AF1869" s="744"/>
      <c r="AG1869" s="264" t="s">
        <v>283</v>
      </c>
    </row>
    <row r="1870" spans="1:33" ht="15.75" customHeight="1">
      <c r="A1870" s="743">
        <v>43441</v>
      </c>
      <c r="B1870" s="263" t="s">
        <v>118</v>
      </c>
      <c r="C1870" s="744" t="s">
        <v>321</v>
      </c>
      <c r="D1870" s="250" t="s">
        <v>5788</v>
      </c>
      <c r="E1870" s="250" t="s">
        <v>165</v>
      </c>
      <c r="F1870" s="251">
        <v>4</v>
      </c>
      <c r="G1870" s="252">
        <v>880</v>
      </c>
      <c r="H1870" s="253">
        <f t="shared" si="162"/>
        <v>3520</v>
      </c>
      <c r="I1870" s="254" t="s">
        <v>170</v>
      </c>
      <c r="J1870" s="426" t="s">
        <v>121</v>
      </c>
      <c r="K1870" s="256">
        <v>43461</v>
      </c>
      <c r="L1870" s="256"/>
      <c r="M1870" s="256">
        <v>43454</v>
      </c>
      <c r="N1870" s="331" t="s">
        <v>89</v>
      </c>
      <c r="O1870" s="308" t="s">
        <v>5789</v>
      </c>
      <c r="Q1870" s="266">
        <v>3139.5</v>
      </c>
      <c r="R1870" s="1394"/>
      <c r="S1870" s="1394"/>
      <c r="U1870" s="589"/>
      <c r="V1870" s="338" t="s">
        <v>93</v>
      </c>
      <c r="W1870" s="747">
        <v>43496</v>
      </c>
      <c r="X1870" s="748">
        <v>43453</v>
      </c>
      <c r="Y1870" s="744" t="s">
        <v>5790</v>
      </c>
      <c r="Z1870" s="744" t="s">
        <v>5791</v>
      </c>
      <c r="AA1870" s="748">
        <v>43496</v>
      </c>
      <c r="AB1870" s="744" t="s">
        <v>5711</v>
      </c>
      <c r="AC1870" s="250" t="s">
        <v>5712</v>
      </c>
      <c r="AD1870" s="745"/>
      <c r="AE1870" s="744"/>
      <c r="AF1870" s="744"/>
      <c r="AG1870" s="264" t="s">
        <v>283</v>
      </c>
    </row>
    <row r="1871" spans="1:33" ht="15.75" customHeight="1" collapsed="1">
      <c r="A1871" s="743">
        <v>43444</v>
      </c>
      <c r="B1871" s="263" t="s">
        <v>3347</v>
      </c>
      <c r="C1871" s="744"/>
      <c r="D1871" s="420" t="s">
        <v>5792</v>
      </c>
      <c r="E1871" s="595" t="s">
        <v>3366</v>
      </c>
      <c r="F1871" s="251">
        <v>10</v>
      </c>
      <c r="G1871" s="252">
        <v>163</v>
      </c>
      <c r="H1871" s="266">
        <f t="shared" si="162"/>
        <v>1630</v>
      </c>
      <c r="I1871" s="254" t="s">
        <v>170</v>
      </c>
      <c r="J1871" s="267" t="s">
        <v>3350</v>
      </c>
      <c r="K1871" s="256">
        <v>43451</v>
      </c>
      <c r="L1871" s="256"/>
      <c r="M1871" s="335">
        <v>43448</v>
      </c>
      <c r="N1871" s="331" t="s">
        <v>3351</v>
      </c>
      <c r="O1871" s="308" t="s">
        <v>5793</v>
      </c>
      <c r="Q1871" s="266">
        <v>1659</v>
      </c>
      <c r="R1871" s="1394"/>
      <c r="S1871" s="1394"/>
      <c r="U1871" s="589"/>
      <c r="V1871" s="571" t="s">
        <v>3353</v>
      </c>
      <c r="W1871" s="881"/>
      <c r="X1871" s="907">
        <v>43451</v>
      </c>
      <c r="Y1871" s="250" t="s">
        <v>5794</v>
      </c>
      <c r="Z1871" s="753">
        <v>51015</v>
      </c>
      <c r="AA1871" s="748">
        <v>43445</v>
      </c>
      <c r="AB1871" s="250" t="s">
        <v>5696</v>
      </c>
      <c r="AC1871" s="745"/>
      <c r="AD1871" s="745"/>
      <c r="AE1871" s="744"/>
      <c r="AF1871" s="744"/>
      <c r="AG1871" s="251" t="s">
        <v>283</v>
      </c>
    </row>
    <row r="1872" spans="1:33" ht="15.75" hidden="1" customHeight="1" outlineLevel="1">
      <c r="A1872" s="929">
        <v>42354</v>
      </c>
      <c r="B1872" s="35" t="s">
        <v>5800</v>
      </c>
      <c r="C1872" s="516"/>
      <c r="D1872" s="930" t="s">
        <v>5801</v>
      </c>
      <c r="E1872" s="930" t="s">
        <v>5802</v>
      </c>
      <c r="F1872" s="931">
        <v>1000</v>
      </c>
      <c r="G1872" s="47">
        <v>1.97</v>
      </c>
      <c r="H1872" s="932">
        <f>F1872*G1872</f>
        <v>1970</v>
      </c>
      <c r="I1872" s="27" t="s">
        <v>170</v>
      </c>
      <c r="J1872" s="31" t="s">
        <v>70</v>
      </c>
      <c r="K1872" s="118" t="s">
        <v>70</v>
      </c>
      <c r="L1872" s="1481"/>
      <c r="M1872" s="726">
        <v>42438</v>
      </c>
      <c r="N1872" s="933" t="s">
        <v>5803</v>
      </c>
      <c r="O1872" s="70" t="s">
        <v>5804</v>
      </c>
      <c r="P1872" s="20">
        <v>2310</v>
      </c>
      <c r="Q1872" s="686">
        <f>2.2*1000*33.225*1.05</f>
        <v>76749.75</v>
      </c>
      <c r="R1872" s="1422"/>
      <c r="S1872" s="1422"/>
      <c r="U1872" s="519"/>
      <c r="V1872" s="20" t="s">
        <v>5805</v>
      </c>
      <c r="W1872" s="934">
        <v>42389</v>
      </c>
      <c r="X1872" s="935">
        <v>42432</v>
      </c>
      <c r="Y1872" s="936" t="s">
        <v>5806</v>
      </c>
      <c r="Z1872" s="937">
        <v>76750</v>
      </c>
      <c r="AA1872" s="938">
        <v>42389</v>
      </c>
      <c r="AB1872" s="939"/>
      <c r="AC1872" s="940"/>
      <c r="AD1872" s="940"/>
      <c r="AE1872" s="941"/>
      <c r="AF1872" s="936"/>
      <c r="AG1872" s="940" t="s">
        <v>5807</v>
      </c>
    </row>
    <row r="1873" spans="1:33" ht="15.75" hidden="1" customHeight="1" outlineLevel="1">
      <c r="A1873" s="30">
        <v>42534</v>
      </c>
      <c r="B1873" s="35" t="s">
        <v>5800</v>
      </c>
      <c r="C1873" s="516"/>
      <c r="D1873" s="22" t="s">
        <v>5808</v>
      </c>
      <c r="E1873" s="22" t="s">
        <v>5809</v>
      </c>
      <c r="F1873" s="931">
        <v>1</v>
      </c>
      <c r="G1873" s="47">
        <v>1940</v>
      </c>
      <c r="H1873" s="33">
        <f t="shared" ref="H1873:H1883" si="163">G1873*F1873</f>
        <v>1940</v>
      </c>
      <c r="I1873" s="27" t="s">
        <v>170</v>
      </c>
      <c r="J1873" s="58" t="s">
        <v>5810</v>
      </c>
      <c r="K1873" s="30">
        <v>42578</v>
      </c>
      <c r="L1873" s="30"/>
      <c r="M1873" s="82" t="s">
        <v>70</v>
      </c>
      <c r="N1873" s="58" t="s">
        <v>5811</v>
      </c>
      <c r="O1873" s="21" t="s">
        <v>5812</v>
      </c>
      <c r="P1873" s="350"/>
      <c r="Q1873" s="22">
        <v>31500</v>
      </c>
      <c r="R1873" s="1423"/>
      <c r="S1873" s="1423"/>
      <c r="U1873" s="150"/>
      <c r="V1873" s="76" t="s">
        <v>5813</v>
      </c>
      <c r="W1873" s="942"/>
      <c r="X1873" s="943">
        <v>42797</v>
      </c>
      <c r="Y1873" s="944" t="s">
        <v>5814</v>
      </c>
      <c r="Z1873" s="937">
        <v>31500</v>
      </c>
      <c r="AA1873" s="726">
        <v>42557</v>
      </c>
      <c r="AB1873" s="20" t="s">
        <v>5815</v>
      </c>
      <c r="AC1873" s="940"/>
      <c r="AD1873" s="940"/>
      <c r="AE1873" s="940"/>
      <c r="AF1873" s="945"/>
      <c r="AG1873" s="939"/>
    </row>
    <row r="1874" spans="1:33" ht="15.75" hidden="1" customHeight="1" outlineLevel="1">
      <c r="A1874" s="30">
        <v>42534</v>
      </c>
      <c r="B1874" s="35" t="s">
        <v>5800</v>
      </c>
      <c r="C1874" s="516"/>
      <c r="D1874" s="946" t="s">
        <v>5816</v>
      </c>
      <c r="E1874" s="946" t="s">
        <v>5817</v>
      </c>
      <c r="F1874" s="931">
        <v>1</v>
      </c>
      <c r="G1874" s="47">
        <v>465</v>
      </c>
      <c r="H1874" s="47">
        <f t="shared" si="163"/>
        <v>465</v>
      </c>
      <c r="I1874" s="27" t="s">
        <v>170</v>
      </c>
      <c r="J1874" s="58" t="s">
        <v>5810</v>
      </c>
      <c r="K1874" s="49" t="s">
        <v>70</v>
      </c>
      <c r="L1874" s="49"/>
      <c r="M1874" s="82" t="s">
        <v>70</v>
      </c>
      <c r="N1874" s="58" t="s">
        <v>5818</v>
      </c>
      <c r="O1874" s="21" t="s">
        <v>5819</v>
      </c>
      <c r="P1874" s="350"/>
      <c r="Q1874" s="22">
        <v>13650</v>
      </c>
      <c r="R1874" s="1423"/>
      <c r="S1874" s="1423"/>
      <c r="U1874" s="150"/>
      <c r="V1874" s="22" t="s">
        <v>5820</v>
      </c>
      <c r="W1874" s="942"/>
      <c r="X1874" s="943"/>
      <c r="Y1874" s="944"/>
      <c r="Z1874" s="937"/>
      <c r="AA1874" s="938"/>
      <c r="AB1874" s="20" t="s">
        <v>5815</v>
      </c>
      <c r="AC1874" s="940"/>
      <c r="AD1874" s="940"/>
      <c r="AE1874" s="940"/>
      <c r="AF1874" s="945"/>
      <c r="AG1874" s="939" t="s">
        <v>283</v>
      </c>
    </row>
    <row r="1875" spans="1:33" ht="15.75" hidden="1" customHeight="1" outlineLevel="1">
      <c r="A1875" s="30">
        <v>42534</v>
      </c>
      <c r="B1875" s="35" t="s">
        <v>5800</v>
      </c>
      <c r="C1875" s="516"/>
      <c r="D1875" s="946" t="s">
        <v>5816</v>
      </c>
      <c r="E1875" s="946" t="s">
        <v>5821</v>
      </c>
      <c r="F1875" s="931">
        <v>1</v>
      </c>
      <c r="G1875" s="47">
        <v>501</v>
      </c>
      <c r="H1875" s="47">
        <f t="shared" si="163"/>
        <v>501</v>
      </c>
      <c r="I1875" s="27" t="s">
        <v>170</v>
      </c>
      <c r="J1875" s="58" t="s">
        <v>5810</v>
      </c>
      <c r="K1875" s="49" t="s">
        <v>70</v>
      </c>
      <c r="L1875" s="49"/>
      <c r="M1875" s="82" t="s">
        <v>70</v>
      </c>
      <c r="N1875" s="58" t="s">
        <v>5822</v>
      </c>
      <c r="O1875" s="21" t="s">
        <v>5823</v>
      </c>
      <c r="P1875" s="350"/>
      <c r="Q1875" s="22">
        <v>14737</v>
      </c>
      <c r="R1875" s="1423"/>
      <c r="S1875" s="1423"/>
      <c r="U1875" s="150"/>
      <c r="V1875" s="22" t="s">
        <v>5824</v>
      </c>
      <c r="W1875" s="942"/>
      <c r="X1875" s="935"/>
      <c r="Y1875" s="936"/>
      <c r="Z1875" s="937"/>
      <c r="AA1875" s="938"/>
      <c r="AB1875" s="20" t="s">
        <v>5815</v>
      </c>
      <c r="AC1875" s="940"/>
      <c r="AD1875" s="940"/>
      <c r="AE1875" s="940"/>
      <c r="AF1875" s="945"/>
      <c r="AG1875" s="939" t="s">
        <v>283</v>
      </c>
    </row>
    <row r="1876" spans="1:33" ht="15.75" hidden="1" customHeight="1" outlineLevel="1">
      <c r="A1876" s="30">
        <v>42534</v>
      </c>
      <c r="B1876" s="35" t="s">
        <v>5800</v>
      </c>
      <c r="C1876" s="516"/>
      <c r="D1876" s="22" t="s">
        <v>5808</v>
      </c>
      <c r="E1876" s="22" t="s">
        <v>5825</v>
      </c>
      <c r="F1876" s="931">
        <v>1</v>
      </c>
      <c r="G1876" s="47">
        <v>486</v>
      </c>
      <c r="H1876" s="33">
        <f t="shared" si="163"/>
        <v>486</v>
      </c>
      <c r="I1876" s="27" t="s">
        <v>170</v>
      </c>
      <c r="J1876" s="58" t="s">
        <v>5810</v>
      </c>
      <c r="K1876" s="30">
        <v>42578</v>
      </c>
      <c r="L1876" s="30"/>
      <c r="M1876" s="30">
        <v>42576</v>
      </c>
      <c r="N1876" s="58" t="s">
        <v>5826</v>
      </c>
      <c r="O1876" s="21" t="s">
        <v>5827</v>
      </c>
      <c r="P1876" s="36"/>
      <c r="Q1876" s="22">
        <v>14280</v>
      </c>
      <c r="R1876" s="1423"/>
      <c r="S1876" s="1423"/>
      <c r="U1876" s="150"/>
      <c r="V1876" s="22" t="s">
        <v>5828</v>
      </c>
      <c r="W1876" s="942"/>
      <c r="X1876" s="947">
        <v>42573</v>
      </c>
      <c r="Y1876" s="70" t="s">
        <v>5829</v>
      </c>
      <c r="Z1876" s="948">
        <v>28560</v>
      </c>
      <c r="AA1876" s="726">
        <v>42569</v>
      </c>
      <c r="AB1876" s="949" t="s">
        <v>5830</v>
      </c>
      <c r="AC1876" s="940"/>
      <c r="AD1876" s="940"/>
      <c r="AE1876" s="940"/>
      <c r="AF1876" s="945"/>
      <c r="AG1876" s="939"/>
    </row>
    <row r="1877" spans="1:33" ht="15.75" hidden="1" customHeight="1" outlineLevel="1">
      <c r="A1877" s="30">
        <v>42534</v>
      </c>
      <c r="B1877" s="35" t="s">
        <v>5800</v>
      </c>
      <c r="C1877" s="516"/>
      <c r="D1877" s="22" t="s">
        <v>5816</v>
      </c>
      <c r="E1877" s="22" t="s">
        <v>5825</v>
      </c>
      <c r="F1877" s="931">
        <v>1</v>
      </c>
      <c r="G1877" s="47">
        <v>486</v>
      </c>
      <c r="H1877" s="33">
        <f t="shared" si="163"/>
        <v>486</v>
      </c>
      <c r="I1877" s="27" t="s">
        <v>170</v>
      </c>
      <c r="J1877" s="58" t="s">
        <v>5810</v>
      </c>
      <c r="K1877" s="49" t="s">
        <v>70</v>
      </c>
      <c r="L1877" s="49"/>
      <c r="M1877" s="30">
        <v>42573</v>
      </c>
      <c r="N1877" s="58" t="s">
        <v>5826</v>
      </c>
      <c r="O1877" s="21" t="s">
        <v>5827</v>
      </c>
      <c r="P1877" s="36"/>
      <c r="Q1877" s="22">
        <v>14280</v>
      </c>
      <c r="R1877" s="1423"/>
      <c r="S1877" s="1423"/>
      <c r="U1877" s="150"/>
      <c r="V1877" s="22" t="s">
        <v>5828</v>
      </c>
      <c r="W1877" s="942"/>
      <c r="X1877" s="950">
        <v>42573</v>
      </c>
      <c r="Y1877" s="21" t="s">
        <v>5829</v>
      </c>
      <c r="Z1877" s="948" t="s">
        <v>5831</v>
      </c>
      <c r="AA1877" s="726">
        <v>42569</v>
      </c>
      <c r="AB1877" s="20" t="s">
        <v>5815</v>
      </c>
      <c r="AC1877" s="940"/>
      <c r="AD1877" s="940"/>
      <c r="AE1877" s="940"/>
      <c r="AF1877" s="945"/>
      <c r="AG1877" s="939"/>
    </row>
    <row r="1878" spans="1:33" ht="15.75" hidden="1" customHeight="1" outlineLevel="1">
      <c r="A1878" s="929">
        <v>42552</v>
      </c>
      <c r="B1878" s="51" t="s">
        <v>5800</v>
      </c>
      <c r="C1878" s="642"/>
      <c r="D1878" s="22" t="s">
        <v>5832</v>
      </c>
      <c r="E1878" s="22" t="s">
        <v>5833</v>
      </c>
      <c r="F1878" s="931">
        <v>1</v>
      </c>
      <c r="G1878" s="47">
        <v>156</v>
      </c>
      <c r="H1878" s="33">
        <f t="shared" si="163"/>
        <v>156</v>
      </c>
      <c r="I1878" s="27" t="s">
        <v>170</v>
      </c>
      <c r="J1878" s="58" t="s">
        <v>5810</v>
      </c>
      <c r="K1878" s="30">
        <v>42555</v>
      </c>
      <c r="L1878" s="30"/>
      <c r="M1878" s="30"/>
      <c r="N1878" s="31" t="s">
        <v>1999</v>
      </c>
      <c r="O1878" s="21"/>
      <c r="P1878" s="350"/>
      <c r="Q1878" s="22">
        <v>4173</v>
      </c>
      <c r="R1878" s="1423"/>
      <c r="S1878" s="1423"/>
      <c r="U1878" s="150"/>
      <c r="V1878" s="20" t="s">
        <v>5834</v>
      </c>
      <c r="W1878" s="348">
        <v>42596</v>
      </c>
      <c r="X1878" s="950">
        <v>42566</v>
      </c>
      <c r="Y1878" s="22" t="s">
        <v>5835</v>
      </c>
      <c r="Z1878" s="948">
        <v>4173</v>
      </c>
      <c r="AA1878" s="726">
        <v>42592</v>
      </c>
      <c r="AB1878" s="951" t="s">
        <v>5836</v>
      </c>
      <c r="AC1878" s="940"/>
      <c r="AD1878" s="940"/>
      <c r="AE1878" s="940"/>
      <c r="AF1878" s="945"/>
      <c r="AG1878" s="939"/>
    </row>
    <row r="1879" spans="1:33" ht="15.75" hidden="1" customHeight="1" outlineLevel="1">
      <c r="A1879" s="929">
        <v>42552</v>
      </c>
      <c r="B1879" s="51" t="s">
        <v>5800</v>
      </c>
      <c r="C1879" s="642"/>
      <c r="D1879" s="22" t="s">
        <v>5832</v>
      </c>
      <c r="E1879" s="22" t="s">
        <v>5837</v>
      </c>
      <c r="F1879" s="931">
        <v>1</v>
      </c>
      <c r="G1879" s="47">
        <v>61</v>
      </c>
      <c r="H1879" s="33">
        <f t="shared" si="163"/>
        <v>61</v>
      </c>
      <c r="I1879" s="27" t="s">
        <v>170</v>
      </c>
      <c r="J1879" s="31" t="s">
        <v>5810</v>
      </c>
      <c r="K1879" s="30">
        <v>42578</v>
      </c>
      <c r="L1879" s="30"/>
      <c r="M1879" s="30"/>
      <c r="N1879" s="58" t="s">
        <v>1999</v>
      </c>
      <c r="O1879" s="21"/>
      <c r="P1879" s="350"/>
      <c r="Q1879" s="22">
        <v>1241</v>
      </c>
      <c r="R1879" s="1423"/>
      <c r="S1879" s="1423"/>
      <c r="U1879" s="150"/>
      <c r="V1879" s="20" t="s">
        <v>5834</v>
      </c>
      <c r="W1879" s="348">
        <v>42624</v>
      </c>
      <c r="X1879" s="950">
        <v>42594</v>
      </c>
      <c r="Y1879" s="22" t="s">
        <v>5838</v>
      </c>
      <c r="Z1879" s="82" t="s">
        <v>5839</v>
      </c>
      <c r="AA1879" s="726">
        <v>42619</v>
      </c>
      <c r="AB1879" s="939"/>
      <c r="AC1879" s="940"/>
      <c r="AD1879" s="940"/>
      <c r="AE1879" s="940"/>
      <c r="AF1879" s="945"/>
      <c r="AG1879" s="939"/>
    </row>
    <row r="1880" spans="1:33" ht="15.75" hidden="1" customHeight="1" outlineLevel="1">
      <c r="A1880" s="929">
        <v>42578</v>
      </c>
      <c r="B1880" s="51" t="s">
        <v>5800</v>
      </c>
      <c r="C1880" s="70"/>
      <c r="D1880" s="20" t="s">
        <v>5840</v>
      </c>
      <c r="E1880" s="20" t="s">
        <v>5841</v>
      </c>
      <c r="F1880" s="952">
        <v>1</v>
      </c>
      <c r="G1880" s="143">
        <v>330</v>
      </c>
      <c r="H1880" s="953">
        <f t="shared" si="163"/>
        <v>330</v>
      </c>
      <c r="I1880" s="49" t="s">
        <v>170</v>
      </c>
      <c r="J1880" s="31" t="s">
        <v>5842</v>
      </c>
      <c r="K1880" s="27" t="s">
        <v>70</v>
      </c>
      <c r="L1880" s="1482"/>
      <c r="M1880" s="726">
        <v>42618</v>
      </c>
      <c r="N1880" s="31" t="s">
        <v>5843</v>
      </c>
      <c r="O1880" s="70" t="s">
        <v>5844</v>
      </c>
      <c r="P1880" s="684"/>
      <c r="Q1880" s="20">
        <v>9135</v>
      </c>
      <c r="R1880" s="1423"/>
      <c r="S1880" s="1423"/>
      <c r="U1880" s="519"/>
      <c r="V1880" s="20" t="s">
        <v>5845</v>
      </c>
      <c r="W1880" s="954">
        <v>42643</v>
      </c>
      <c r="X1880" s="935">
        <v>42613</v>
      </c>
      <c r="Y1880" s="936" t="s">
        <v>5846</v>
      </c>
      <c r="Z1880" s="937">
        <v>29295</v>
      </c>
      <c r="AA1880" s="938">
        <v>42625</v>
      </c>
      <c r="AB1880" s="939"/>
      <c r="AC1880" s="939"/>
      <c r="AD1880" s="939"/>
      <c r="AE1880" s="941"/>
      <c r="AF1880" s="936"/>
      <c r="AG1880" s="940"/>
    </row>
    <row r="1881" spans="1:33" ht="15.75" hidden="1" customHeight="1" outlineLevel="1">
      <c r="A1881" s="929">
        <v>42578</v>
      </c>
      <c r="B1881" s="51" t="s">
        <v>5800</v>
      </c>
      <c r="C1881" s="70"/>
      <c r="D1881" s="20" t="s">
        <v>5840</v>
      </c>
      <c r="E1881" s="20" t="s">
        <v>5841</v>
      </c>
      <c r="F1881" s="952">
        <v>1</v>
      </c>
      <c r="G1881" s="143">
        <v>330</v>
      </c>
      <c r="H1881" s="953">
        <f t="shared" si="163"/>
        <v>330</v>
      </c>
      <c r="I1881" s="49" t="s">
        <v>170</v>
      </c>
      <c r="J1881" s="133" t="s">
        <v>70</v>
      </c>
      <c r="K1881" s="133" t="s">
        <v>70</v>
      </c>
      <c r="L1881" s="1385"/>
      <c r="M1881" s="726">
        <v>42618</v>
      </c>
      <c r="N1881" s="31" t="s">
        <v>5843</v>
      </c>
      <c r="O1881" s="70" t="s">
        <v>5844</v>
      </c>
      <c r="P1881" s="684"/>
      <c r="Q1881" s="20">
        <v>9135</v>
      </c>
      <c r="R1881" s="1423"/>
      <c r="S1881" s="1423"/>
      <c r="U1881" s="519"/>
      <c r="V1881" s="20" t="s">
        <v>5845</v>
      </c>
      <c r="W1881" s="954">
        <v>42643</v>
      </c>
      <c r="X1881" s="935">
        <v>42613</v>
      </c>
      <c r="Y1881" s="936" t="s">
        <v>5846</v>
      </c>
      <c r="Z1881" s="937">
        <v>29295</v>
      </c>
      <c r="AA1881" s="938">
        <v>42625</v>
      </c>
      <c r="AB1881" s="939"/>
      <c r="AC1881" s="939"/>
      <c r="AD1881" s="939"/>
      <c r="AE1881" s="941"/>
      <c r="AF1881" s="936"/>
      <c r="AG1881" s="940"/>
    </row>
    <row r="1882" spans="1:33" ht="15.75" hidden="1" customHeight="1" outlineLevel="1">
      <c r="A1882" s="929">
        <v>42578</v>
      </c>
      <c r="B1882" s="51" t="s">
        <v>5800</v>
      </c>
      <c r="C1882" s="70"/>
      <c r="D1882" s="20" t="s">
        <v>5840</v>
      </c>
      <c r="E1882" s="20" t="s">
        <v>5847</v>
      </c>
      <c r="F1882" s="952">
        <v>1</v>
      </c>
      <c r="G1882" s="143">
        <v>394</v>
      </c>
      <c r="H1882" s="953">
        <f t="shared" si="163"/>
        <v>394</v>
      </c>
      <c r="I1882" s="49" t="s">
        <v>170</v>
      </c>
      <c r="J1882" s="133" t="s">
        <v>70</v>
      </c>
      <c r="K1882" s="133" t="s">
        <v>70</v>
      </c>
      <c r="L1882" s="1385"/>
      <c r="M1882" s="726">
        <v>42618</v>
      </c>
      <c r="N1882" s="31" t="s">
        <v>5843</v>
      </c>
      <c r="O1882" s="70" t="s">
        <v>5844</v>
      </c>
      <c r="P1882" s="684"/>
      <c r="Q1882" s="20">
        <v>11025</v>
      </c>
      <c r="R1882" s="1423"/>
      <c r="S1882" s="1423"/>
      <c r="U1882" s="519"/>
      <c r="V1882" s="51" t="s">
        <v>5845</v>
      </c>
      <c r="W1882" s="954">
        <v>42643</v>
      </c>
      <c r="X1882" s="935">
        <v>42613</v>
      </c>
      <c r="Y1882" s="936" t="s">
        <v>5846</v>
      </c>
      <c r="Z1882" s="937">
        <v>29295</v>
      </c>
      <c r="AA1882" s="938">
        <v>42625</v>
      </c>
      <c r="AB1882" s="939"/>
      <c r="AC1882" s="939"/>
      <c r="AD1882" s="939"/>
      <c r="AE1882" s="941"/>
      <c r="AF1882" s="936"/>
      <c r="AG1882" s="940"/>
    </row>
    <row r="1883" spans="1:33" ht="15.75" hidden="1" customHeight="1" outlineLevel="1">
      <c r="A1883" s="929">
        <v>42578</v>
      </c>
      <c r="B1883" s="51" t="s">
        <v>5800</v>
      </c>
      <c r="C1883" s="70"/>
      <c r="D1883" s="20" t="s">
        <v>5840</v>
      </c>
      <c r="E1883" s="20" t="s">
        <v>5848</v>
      </c>
      <c r="F1883" s="952">
        <v>1</v>
      </c>
      <c r="G1883" s="143">
        <v>116</v>
      </c>
      <c r="H1883" s="953">
        <f t="shared" si="163"/>
        <v>116</v>
      </c>
      <c r="I1883" s="49" t="s">
        <v>170</v>
      </c>
      <c r="J1883" s="31" t="s">
        <v>5842</v>
      </c>
      <c r="K1883" s="27" t="s">
        <v>70</v>
      </c>
      <c r="L1883" s="1482"/>
      <c r="M1883" s="519"/>
      <c r="N1883" s="31" t="s">
        <v>1999</v>
      </c>
      <c r="O1883" s="70"/>
      <c r="P1883" s="684"/>
      <c r="Q1883" s="955" t="s">
        <v>5849</v>
      </c>
      <c r="R1883" s="1424"/>
      <c r="S1883" s="1424"/>
      <c r="U1883" s="519"/>
      <c r="V1883" s="20"/>
      <c r="W1883" s="956"/>
      <c r="X1883" s="935"/>
      <c r="Y1883" s="936"/>
      <c r="Z1883" s="937"/>
      <c r="AA1883" s="938"/>
      <c r="AB1883" s="939"/>
      <c r="AC1883" s="939"/>
      <c r="AD1883" s="939"/>
      <c r="AE1883" s="941"/>
      <c r="AF1883" s="936"/>
      <c r="AG1883" s="940"/>
    </row>
    <row r="1884" spans="1:33" ht="15.75" customHeight="1">
      <c r="A1884" s="957">
        <v>42704</v>
      </c>
      <c r="B1884" s="857" t="s">
        <v>1189</v>
      </c>
      <c r="C1884" s="857" t="s">
        <v>5850</v>
      </c>
      <c r="D1884" s="857" t="s">
        <v>5851</v>
      </c>
      <c r="E1884" s="857" t="s">
        <v>4325</v>
      </c>
      <c r="F1884" s="958">
        <v>100</v>
      </c>
      <c r="G1884" s="959">
        <v>7.1</v>
      </c>
      <c r="H1884" s="959">
        <v>710</v>
      </c>
      <c r="I1884" s="264" t="s">
        <v>42</v>
      </c>
      <c r="J1884" s="960" t="s">
        <v>5852</v>
      </c>
      <c r="K1884" s="961">
        <v>42754</v>
      </c>
      <c r="L1884" s="961"/>
      <c r="M1884" s="961">
        <v>42747</v>
      </c>
      <c r="N1884" s="962" t="s">
        <v>5853</v>
      </c>
      <c r="O1884" s="962" t="s">
        <v>5854</v>
      </c>
      <c r="P1884" s="857"/>
      <c r="Q1884" s="963">
        <v>20475</v>
      </c>
      <c r="R1884" s="1425"/>
      <c r="S1884" s="1425"/>
      <c r="U1884" s="857"/>
      <c r="V1884" s="960" t="s">
        <v>5855</v>
      </c>
      <c r="W1884" s="964">
        <v>42771</v>
      </c>
      <c r="X1884" s="965">
        <v>42746</v>
      </c>
      <c r="Y1884" s="857" t="s">
        <v>5856</v>
      </c>
      <c r="Z1884" s="966">
        <v>40950</v>
      </c>
      <c r="AA1884" s="965">
        <v>42769</v>
      </c>
      <c r="AB1884" s="857" t="s">
        <v>5857</v>
      </c>
      <c r="AC1884" s="857" t="s">
        <v>5858</v>
      </c>
      <c r="AD1884" s="857"/>
      <c r="AE1884" s="966"/>
      <c r="AF1884" s="857"/>
      <c r="AG1884" s="251" t="s">
        <v>283</v>
      </c>
    </row>
    <row r="1885" spans="1:33" ht="15.75" customHeight="1">
      <c r="A1885" s="957">
        <v>42704</v>
      </c>
      <c r="B1885" s="857" t="s">
        <v>1189</v>
      </c>
      <c r="C1885" s="857" t="s">
        <v>5859</v>
      </c>
      <c r="D1885" s="857" t="s">
        <v>5860</v>
      </c>
      <c r="E1885" s="857" t="s">
        <v>4325</v>
      </c>
      <c r="F1885" s="958">
        <v>100</v>
      </c>
      <c r="G1885" s="959">
        <v>7.1</v>
      </c>
      <c r="H1885" s="959">
        <v>710</v>
      </c>
      <c r="I1885" s="264" t="s">
        <v>42</v>
      </c>
      <c r="J1885" s="960" t="s">
        <v>5852</v>
      </c>
      <c r="K1885" s="961">
        <v>42754</v>
      </c>
      <c r="L1885" s="961"/>
      <c r="M1885" s="961">
        <v>42747</v>
      </c>
      <c r="N1885" s="962" t="s">
        <v>5853</v>
      </c>
      <c r="O1885" s="962" t="s">
        <v>5854</v>
      </c>
      <c r="P1885" s="857"/>
      <c r="Q1885" s="963">
        <v>20475</v>
      </c>
      <c r="R1885" s="1425"/>
      <c r="S1885" s="1425"/>
      <c r="U1885" s="857"/>
      <c r="V1885" s="960" t="s">
        <v>5855</v>
      </c>
      <c r="W1885" s="964">
        <v>42771</v>
      </c>
      <c r="X1885" s="965">
        <v>42746</v>
      </c>
      <c r="Y1885" s="857" t="s">
        <v>5856</v>
      </c>
      <c r="Z1885" s="966">
        <v>40950</v>
      </c>
      <c r="AA1885" s="965">
        <v>42769</v>
      </c>
      <c r="AB1885" s="857" t="s">
        <v>5857</v>
      </c>
      <c r="AC1885" s="857" t="s">
        <v>5858</v>
      </c>
      <c r="AD1885" s="857"/>
      <c r="AE1885" s="966"/>
      <c r="AF1885" s="857"/>
      <c r="AG1885" s="251" t="s">
        <v>283</v>
      </c>
    </row>
    <row r="1886" spans="1:33" ht="15.75" customHeight="1">
      <c r="A1886" s="965">
        <v>42703</v>
      </c>
      <c r="B1886" s="857" t="s">
        <v>4903</v>
      </c>
      <c r="C1886" s="857" t="s">
        <v>5861</v>
      </c>
      <c r="D1886" s="857" t="s">
        <v>5862</v>
      </c>
      <c r="E1886" s="857" t="s">
        <v>5863</v>
      </c>
      <c r="F1886" s="958">
        <v>40</v>
      </c>
      <c r="G1886" s="959">
        <v>95</v>
      </c>
      <c r="H1886" s="959">
        <v>3800</v>
      </c>
      <c r="I1886" s="264" t="s">
        <v>3315</v>
      </c>
      <c r="J1886" s="857" t="s">
        <v>3588</v>
      </c>
      <c r="K1886" s="965">
        <v>42740</v>
      </c>
      <c r="L1886" s="965"/>
      <c r="M1886" s="965">
        <v>42738</v>
      </c>
      <c r="N1886" s="264" t="s">
        <v>89</v>
      </c>
      <c r="O1886" s="857" t="s">
        <v>5864</v>
      </c>
      <c r="P1886" s="857">
        <v>3570</v>
      </c>
      <c r="Q1886" s="966"/>
      <c r="R1886" s="1426"/>
      <c r="S1886" s="1426"/>
      <c r="U1886" s="857"/>
      <c r="V1886" s="857" t="s">
        <v>5865</v>
      </c>
      <c r="W1886" s="965">
        <v>42799</v>
      </c>
      <c r="X1886" s="965">
        <v>42738</v>
      </c>
      <c r="Y1886" s="857" t="s">
        <v>5866</v>
      </c>
      <c r="Z1886" s="966">
        <v>169873</v>
      </c>
      <c r="AA1886" s="965">
        <v>42801</v>
      </c>
      <c r="AB1886" s="857" t="s">
        <v>5867</v>
      </c>
      <c r="AC1886" s="857"/>
      <c r="AD1886" s="857"/>
      <c r="AE1886" s="966"/>
      <c r="AF1886" s="857"/>
      <c r="AG1886" s="251" t="s">
        <v>283</v>
      </c>
    </row>
    <row r="1887" spans="1:33" ht="15.75" customHeight="1">
      <c r="A1887" s="965">
        <v>42703</v>
      </c>
      <c r="B1887" s="857" t="s">
        <v>4903</v>
      </c>
      <c r="C1887" s="857" t="s">
        <v>5861</v>
      </c>
      <c r="D1887" s="857" t="s">
        <v>5862</v>
      </c>
      <c r="E1887" s="857" t="s">
        <v>5868</v>
      </c>
      <c r="F1887" s="958">
        <v>40</v>
      </c>
      <c r="G1887" s="959">
        <v>49</v>
      </c>
      <c r="H1887" s="959">
        <v>1960</v>
      </c>
      <c r="I1887" s="264" t="s">
        <v>3315</v>
      </c>
      <c r="J1887" s="857" t="s">
        <v>3588</v>
      </c>
      <c r="K1887" s="965">
        <v>42740</v>
      </c>
      <c r="L1887" s="965"/>
      <c r="M1887" s="965">
        <v>42738</v>
      </c>
      <c r="N1887" s="264" t="s">
        <v>89</v>
      </c>
      <c r="O1887" s="857" t="s">
        <v>5864</v>
      </c>
      <c r="P1887" s="857">
        <v>1722</v>
      </c>
      <c r="Q1887" s="966"/>
      <c r="R1887" s="1426"/>
      <c r="S1887" s="1426"/>
      <c r="U1887" s="857"/>
      <c r="V1887" s="857" t="s">
        <v>5865</v>
      </c>
      <c r="W1887" s="965">
        <v>42799</v>
      </c>
      <c r="X1887" s="965">
        <v>42738</v>
      </c>
      <c r="Y1887" s="857" t="s">
        <v>5866</v>
      </c>
      <c r="Z1887" s="966">
        <v>169873</v>
      </c>
      <c r="AA1887" s="965"/>
      <c r="AB1887" s="857" t="s">
        <v>5867</v>
      </c>
      <c r="AC1887" s="857"/>
      <c r="AD1887" s="857"/>
      <c r="AE1887" s="966"/>
      <c r="AF1887" s="857"/>
      <c r="AG1887" s="251" t="s">
        <v>283</v>
      </c>
    </row>
    <row r="1888" spans="1:33" ht="15.75" customHeight="1">
      <c r="A1888" s="789">
        <v>42709</v>
      </c>
      <c r="B1888" s="308" t="s">
        <v>5869</v>
      </c>
      <c r="C1888" s="308" t="s">
        <v>5870</v>
      </c>
      <c r="D1888" s="308" t="s">
        <v>5871</v>
      </c>
      <c r="E1888" s="308" t="s">
        <v>5872</v>
      </c>
      <c r="F1888" s="787">
        <v>50</v>
      </c>
      <c r="G1888" s="266">
        <v>174.5</v>
      </c>
      <c r="H1888" s="266">
        <v>8725</v>
      </c>
      <c r="I1888" s="264" t="s">
        <v>170</v>
      </c>
      <c r="J1888" s="308" t="s">
        <v>5873</v>
      </c>
      <c r="K1888" s="747">
        <v>42751</v>
      </c>
      <c r="L1888" s="747"/>
      <c r="M1888" s="747">
        <v>42744</v>
      </c>
      <c r="N1888" s="401" t="s">
        <v>3351</v>
      </c>
      <c r="O1888" s="308" t="s">
        <v>5874</v>
      </c>
      <c r="P1888" s="308"/>
      <c r="Q1888" s="630">
        <v>262951</v>
      </c>
      <c r="R1888" s="1415"/>
      <c r="S1888" s="1415"/>
      <c r="U1888" s="308"/>
      <c r="V1888" s="308" t="s">
        <v>5875</v>
      </c>
      <c r="W1888" s="747">
        <v>42779</v>
      </c>
      <c r="X1888" s="747">
        <v>42753</v>
      </c>
      <c r="Y1888" s="308" t="s">
        <v>5876</v>
      </c>
      <c r="Z1888" s="572">
        <v>262951</v>
      </c>
      <c r="AA1888" s="747">
        <v>42779</v>
      </c>
      <c r="AB1888" s="308" t="s">
        <v>5877</v>
      </c>
      <c r="AC1888" s="308"/>
      <c r="AD1888" s="308"/>
      <c r="AE1888" s="572"/>
      <c r="AF1888" s="308"/>
      <c r="AG1888" s="251" t="s">
        <v>283</v>
      </c>
    </row>
    <row r="1889" spans="1:33" ht="15.75" customHeight="1">
      <c r="A1889" s="965">
        <v>42700</v>
      </c>
      <c r="B1889" s="857" t="s">
        <v>5878</v>
      </c>
      <c r="C1889" s="857" t="s">
        <v>5879</v>
      </c>
      <c r="D1889" s="308" t="s">
        <v>5880</v>
      </c>
      <c r="E1889" s="308" t="s">
        <v>5881</v>
      </c>
      <c r="F1889" s="958">
        <v>6</v>
      </c>
      <c r="G1889" s="959">
        <v>3587</v>
      </c>
      <c r="H1889" s="959">
        <v>21522</v>
      </c>
      <c r="I1889" s="264" t="s">
        <v>170</v>
      </c>
      <c r="J1889" s="962" t="s">
        <v>5882</v>
      </c>
      <c r="K1889" s="961">
        <v>42738</v>
      </c>
      <c r="L1889" s="961"/>
      <c r="M1889" s="965"/>
      <c r="N1889" s="857"/>
      <c r="O1889" s="308" t="s">
        <v>5883</v>
      </c>
      <c r="P1889" s="857"/>
      <c r="Q1889" s="966"/>
      <c r="R1889" s="1426"/>
      <c r="S1889" s="1426"/>
      <c r="U1889" s="857"/>
      <c r="V1889" s="857"/>
      <c r="W1889" s="967"/>
      <c r="X1889" s="960" t="s">
        <v>5884</v>
      </c>
      <c r="Y1889" s="960" t="s">
        <v>5884</v>
      </c>
      <c r="Z1889" s="968" t="s">
        <v>5884</v>
      </c>
      <c r="AA1889" s="960" t="s">
        <v>5884</v>
      </c>
      <c r="AB1889" s="960" t="s">
        <v>5885</v>
      </c>
      <c r="AC1889" s="960"/>
      <c r="AD1889" s="960"/>
      <c r="AE1889" s="968">
        <v>719145</v>
      </c>
      <c r="AF1889" s="967">
        <v>42745</v>
      </c>
      <c r="AG1889" s="969" t="s">
        <v>376</v>
      </c>
    </row>
    <row r="1890" spans="1:33" ht="15.75" customHeight="1">
      <c r="A1890" s="965">
        <v>42700</v>
      </c>
      <c r="B1890" s="857" t="s">
        <v>5878</v>
      </c>
      <c r="C1890" s="857" t="s">
        <v>5879</v>
      </c>
      <c r="D1890" s="308" t="s">
        <v>5880</v>
      </c>
      <c r="E1890" s="308" t="s">
        <v>5886</v>
      </c>
      <c r="F1890" s="958">
        <v>6</v>
      </c>
      <c r="G1890" s="959">
        <v>100.5</v>
      </c>
      <c r="H1890" s="959">
        <v>603</v>
      </c>
      <c r="I1890" s="264" t="s">
        <v>170</v>
      </c>
      <c r="J1890" s="962" t="s">
        <v>5882</v>
      </c>
      <c r="K1890" s="961">
        <v>42738</v>
      </c>
      <c r="L1890" s="961"/>
      <c r="M1890" s="965"/>
      <c r="N1890" s="857"/>
      <c r="O1890" s="308" t="s">
        <v>5883</v>
      </c>
      <c r="P1890" s="857"/>
      <c r="Q1890" s="966"/>
      <c r="R1890" s="1426"/>
      <c r="S1890" s="1426"/>
      <c r="U1890" s="857"/>
      <c r="V1890" s="857"/>
      <c r="W1890" s="967"/>
      <c r="X1890" s="960" t="s">
        <v>5884</v>
      </c>
      <c r="Y1890" s="960" t="s">
        <v>5884</v>
      </c>
      <c r="Z1890" s="968" t="s">
        <v>5884</v>
      </c>
      <c r="AA1890" s="960" t="s">
        <v>5884</v>
      </c>
      <c r="AB1890" s="960" t="s">
        <v>5885</v>
      </c>
      <c r="AC1890" s="960"/>
      <c r="AD1890" s="960"/>
      <c r="AE1890" s="968">
        <v>719145</v>
      </c>
      <c r="AF1890" s="967">
        <v>42745</v>
      </c>
      <c r="AG1890" s="969" t="s">
        <v>376</v>
      </c>
    </row>
    <row r="1891" spans="1:33" ht="15.75" customHeight="1">
      <c r="A1891" s="965">
        <v>42700</v>
      </c>
      <c r="B1891" s="857" t="s">
        <v>5878</v>
      </c>
      <c r="C1891" s="857" t="s">
        <v>5879</v>
      </c>
      <c r="D1891" s="308" t="s">
        <v>5880</v>
      </c>
      <c r="E1891" s="308" t="s">
        <v>5887</v>
      </c>
      <c r="F1891" s="958">
        <v>6</v>
      </c>
      <c r="G1891" s="959">
        <v>74.2</v>
      </c>
      <c r="H1891" s="959">
        <v>445.2</v>
      </c>
      <c r="I1891" s="264" t="s">
        <v>170</v>
      </c>
      <c r="J1891" s="962" t="s">
        <v>5882</v>
      </c>
      <c r="K1891" s="961">
        <v>42738</v>
      </c>
      <c r="L1891" s="961"/>
      <c r="M1891" s="965"/>
      <c r="N1891" s="857"/>
      <c r="O1891" s="308" t="s">
        <v>5883</v>
      </c>
      <c r="P1891" s="857"/>
      <c r="Q1891" s="966"/>
      <c r="R1891" s="1426"/>
      <c r="S1891" s="1426"/>
      <c r="U1891" s="857"/>
      <c r="V1891" s="857"/>
      <c r="W1891" s="967"/>
      <c r="X1891" s="960" t="s">
        <v>5884</v>
      </c>
      <c r="Y1891" s="960" t="s">
        <v>5884</v>
      </c>
      <c r="Z1891" s="968" t="s">
        <v>5884</v>
      </c>
      <c r="AA1891" s="960" t="s">
        <v>5884</v>
      </c>
      <c r="AB1891" s="960" t="s">
        <v>5885</v>
      </c>
      <c r="AC1891" s="960"/>
      <c r="AD1891" s="960"/>
      <c r="AE1891" s="968">
        <v>719145</v>
      </c>
      <c r="AF1891" s="967">
        <v>42745</v>
      </c>
      <c r="AG1891" s="969" t="s">
        <v>376</v>
      </c>
    </row>
    <row r="1892" spans="1:33" ht="15.75" customHeight="1">
      <c r="A1892" s="965">
        <v>42700</v>
      </c>
      <c r="B1892" s="857" t="s">
        <v>5878</v>
      </c>
      <c r="C1892" s="857" t="s">
        <v>5879</v>
      </c>
      <c r="D1892" s="308" t="s">
        <v>5888</v>
      </c>
      <c r="E1892" s="308" t="s">
        <v>5889</v>
      </c>
      <c r="F1892" s="958">
        <v>6</v>
      </c>
      <c r="G1892" s="959">
        <v>1575</v>
      </c>
      <c r="H1892" s="959">
        <v>9450</v>
      </c>
      <c r="I1892" s="264" t="s">
        <v>170</v>
      </c>
      <c r="J1892" s="962" t="s">
        <v>5882</v>
      </c>
      <c r="K1892" s="961">
        <v>42751</v>
      </c>
      <c r="L1892" s="961"/>
      <c r="M1892" s="965"/>
      <c r="N1892" s="857"/>
      <c r="O1892" s="308" t="s">
        <v>5883</v>
      </c>
      <c r="P1892" s="857"/>
      <c r="Q1892" s="966"/>
      <c r="R1892" s="1426"/>
      <c r="S1892" s="1426"/>
      <c r="U1892" s="857"/>
      <c r="V1892" s="857"/>
      <c r="W1892" s="967"/>
      <c r="X1892" s="960" t="s">
        <v>5884</v>
      </c>
      <c r="Y1892" s="960" t="s">
        <v>5884</v>
      </c>
      <c r="Z1892" s="968" t="s">
        <v>5884</v>
      </c>
      <c r="AA1892" s="960" t="s">
        <v>5884</v>
      </c>
      <c r="AB1892" s="960" t="s">
        <v>5890</v>
      </c>
      <c r="AC1892" s="960" t="s">
        <v>5891</v>
      </c>
      <c r="AD1892" s="960"/>
      <c r="AE1892" s="968">
        <v>428400</v>
      </c>
      <c r="AF1892" s="967">
        <v>42751</v>
      </c>
      <c r="AG1892" s="969" t="s">
        <v>376</v>
      </c>
    </row>
    <row r="1893" spans="1:33" ht="15.75" customHeight="1">
      <c r="A1893" s="965">
        <v>42700</v>
      </c>
      <c r="B1893" s="857" t="s">
        <v>5878</v>
      </c>
      <c r="C1893" s="857" t="s">
        <v>5879</v>
      </c>
      <c r="D1893" s="308" t="s">
        <v>5880</v>
      </c>
      <c r="E1893" s="308" t="s">
        <v>5892</v>
      </c>
      <c r="F1893" s="958">
        <v>6</v>
      </c>
      <c r="G1893" s="959">
        <v>666</v>
      </c>
      <c r="H1893" s="959">
        <v>3996</v>
      </c>
      <c r="I1893" s="264" t="s">
        <v>170</v>
      </c>
      <c r="J1893" s="962" t="s">
        <v>5882</v>
      </c>
      <c r="K1893" s="961">
        <v>42751</v>
      </c>
      <c r="L1893" s="961"/>
      <c r="M1893" s="965"/>
      <c r="N1893" s="857"/>
      <c r="O1893" s="308" t="s">
        <v>5883</v>
      </c>
      <c r="P1893" s="857"/>
      <c r="Q1893" s="966"/>
      <c r="R1893" s="1426"/>
      <c r="S1893" s="1426"/>
      <c r="U1893" s="857"/>
      <c r="V1893" s="857"/>
      <c r="W1893" s="967"/>
      <c r="X1893" s="960" t="s">
        <v>5884</v>
      </c>
      <c r="Y1893" s="960" t="s">
        <v>5884</v>
      </c>
      <c r="Z1893" s="968" t="s">
        <v>5884</v>
      </c>
      <c r="AA1893" s="960" t="s">
        <v>5884</v>
      </c>
      <c r="AB1893" s="960" t="s">
        <v>5890</v>
      </c>
      <c r="AC1893" s="960" t="s">
        <v>5891</v>
      </c>
      <c r="AD1893" s="960"/>
      <c r="AE1893" s="968">
        <v>428400</v>
      </c>
      <c r="AF1893" s="967">
        <v>42751</v>
      </c>
      <c r="AG1893" s="969" t="s">
        <v>376</v>
      </c>
    </row>
    <row r="1894" spans="1:33" ht="15.75" customHeight="1">
      <c r="A1894" s="755">
        <v>42709</v>
      </c>
      <c r="B1894" s="970" t="s">
        <v>3347</v>
      </c>
      <c r="C1894" s="970" t="s">
        <v>5870</v>
      </c>
      <c r="D1894" s="250" t="s">
        <v>5893</v>
      </c>
      <c r="E1894" s="250" t="s">
        <v>5894</v>
      </c>
      <c r="F1894" s="971">
        <v>20</v>
      </c>
      <c r="G1894" s="265">
        <v>350</v>
      </c>
      <c r="H1894" s="265">
        <f t="shared" ref="H1894:H1909" si="164">G1894*F1894</f>
        <v>7000</v>
      </c>
      <c r="I1894" s="264" t="s">
        <v>170</v>
      </c>
      <c r="J1894" s="267" t="s">
        <v>3350</v>
      </c>
      <c r="K1894" s="256">
        <v>42751</v>
      </c>
      <c r="L1894" s="256"/>
      <c r="M1894" s="256">
        <v>42382</v>
      </c>
      <c r="N1894" s="401" t="s">
        <v>89</v>
      </c>
      <c r="O1894" s="250" t="s">
        <v>5895</v>
      </c>
      <c r="P1894" s="752">
        <v>6447</v>
      </c>
      <c r="Q1894" s="972"/>
      <c r="R1894" s="1427"/>
      <c r="S1894" s="1427"/>
      <c r="U1894" s="328"/>
      <c r="V1894" s="318" t="s">
        <v>5896</v>
      </c>
      <c r="W1894" s="789">
        <v>42799</v>
      </c>
      <c r="X1894" s="750">
        <v>42748</v>
      </c>
      <c r="Y1894" s="250" t="s">
        <v>5897</v>
      </c>
      <c r="Z1894" s="753">
        <v>205434</v>
      </c>
      <c r="AA1894" s="256">
        <v>42801</v>
      </c>
      <c r="AB1894" s="250" t="s">
        <v>5877</v>
      </c>
      <c r="AC1894" s="973"/>
      <c r="AD1894" s="973"/>
      <c r="AE1894" s="974"/>
      <c r="AF1894" s="818"/>
      <c r="AG1894" s="251" t="s">
        <v>283</v>
      </c>
    </row>
    <row r="1895" spans="1:33" ht="15.75" customHeight="1">
      <c r="A1895" s="755">
        <v>42712</v>
      </c>
      <c r="B1895" s="823" t="s">
        <v>3479</v>
      </c>
      <c r="C1895" s="263"/>
      <c r="D1895" s="250" t="s">
        <v>5898</v>
      </c>
      <c r="E1895" s="250" t="s">
        <v>3481</v>
      </c>
      <c r="F1895" s="787">
        <v>9</v>
      </c>
      <c r="G1895" s="265">
        <f>281</f>
        <v>281</v>
      </c>
      <c r="H1895" s="265">
        <f t="shared" si="164"/>
        <v>2529</v>
      </c>
      <c r="I1895" s="975" t="s">
        <v>3315</v>
      </c>
      <c r="J1895" s="331" t="s">
        <v>5899</v>
      </c>
      <c r="K1895" s="256">
        <v>42752</v>
      </c>
      <c r="L1895" s="256"/>
      <c r="M1895" s="256">
        <v>42746</v>
      </c>
      <c r="N1895" s="331" t="s">
        <v>2001</v>
      </c>
      <c r="O1895" s="250" t="s">
        <v>5900</v>
      </c>
      <c r="P1895" s="574">
        <v>2485.35</v>
      </c>
      <c r="Q1895" s="976">
        <v>79382</v>
      </c>
      <c r="R1895" s="1428"/>
      <c r="S1895" s="1428"/>
      <c r="U1895" s="328"/>
      <c r="V1895" s="308" t="s">
        <v>5901</v>
      </c>
      <c r="W1895" s="747">
        <v>42799</v>
      </c>
      <c r="X1895" s="750">
        <v>42746</v>
      </c>
      <c r="Y1895" s="250" t="s">
        <v>5902</v>
      </c>
      <c r="Z1895" s="753">
        <v>108057</v>
      </c>
      <c r="AA1895" s="256">
        <v>42801</v>
      </c>
      <c r="AB1895" s="308" t="s">
        <v>5903</v>
      </c>
      <c r="AC1895" s="264" t="s">
        <v>5904</v>
      </c>
      <c r="AD1895" s="973"/>
      <c r="AE1895" s="974"/>
      <c r="AF1895" s="818"/>
      <c r="AG1895" s="251" t="s">
        <v>283</v>
      </c>
    </row>
    <row r="1896" spans="1:33" ht="15.75" customHeight="1">
      <c r="A1896" s="755">
        <v>42712</v>
      </c>
      <c r="B1896" s="823" t="s">
        <v>3479</v>
      </c>
      <c r="C1896" s="263"/>
      <c r="D1896" s="250" t="s">
        <v>5898</v>
      </c>
      <c r="E1896" s="250" t="s">
        <v>3487</v>
      </c>
      <c r="F1896" s="787">
        <v>9</v>
      </c>
      <c r="G1896" s="265">
        <v>102</v>
      </c>
      <c r="H1896" s="265">
        <f t="shared" si="164"/>
        <v>918</v>
      </c>
      <c r="I1896" s="975" t="s">
        <v>3315</v>
      </c>
      <c r="J1896" s="331" t="s">
        <v>5899</v>
      </c>
      <c r="K1896" s="256">
        <v>42752</v>
      </c>
      <c r="L1896" s="256"/>
      <c r="M1896" s="256">
        <v>42746</v>
      </c>
      <c r="N1896" s="401" t="s">
        <v>2001</v>
      </c>
      <c r="O1896" s="250" t="s">
        <v>5900</v>
      </c>
      <c r="P1896" s="574">
        <v>897.75</v>
      </c>
      <c r="Q1896" s="976">
        <v>28675</v>
      </c>
      <c r="R1896" s="1428"/>
      <c r="S1896" s="1428"/>
      <c r="U1896" s="328"/>
      <c r="V1896" s="318" t="s">
        <v>5901</v>
      </c>
      <c r="W1896" s="747">
        <v>42799</v>
      </c>
      <c r="X1896" s="750">
        <v>42746</v>
      </c>
      <c r="Y1896" s="250" t="s">
        <v>5902</v>
      </c>
      <c r="Z1896" s="753">
        <v>108057</v>
      </c>
      <c r="AA1896" s="256">
        <v>42801</v>
      </c>
      <c r="AB1896" s="308" t="s">
        <v>5903</v>
      </c>
      <c r="AC1896" s="264" t="s">
        <v>5904</v>
      </c>
      <c r="AD1896" s="973"/>
      <c r="AE1896" s="974"/>
      <c r="AF1896" s="818"/>
      <c r="AG1896" s="251" t="s">
        <v>283</v>
      </c>
    </row>
    <row r="1897" spans="1:33" ht="15.75" customHeight="1">
      <c r="A1897" s="755">
        <v>42712</v>
      </c>
      <c r="B1897" s="823" t="s">
        <v>3479</v>
      </c>
      <c r="C1897" s="263"/>
      <c r="D1897" s="250" t="s">
        <v>5898</v>
      </c>
      <c r="E1897" s="250" t="s">
        <v>3481</v>
      </c>
      <c r="F1897" s="787">
        <v>1</v>
      </c>
      <c r="G1897" s="265">
        <f>281</f>
        <v>281</v>
      </c>
      <c r="H1897" s="265">
        <f t="shared" si="164"/>
        <v>281</v>
      </c>
      <c r="I1897" s="975" t="s">
        <v>3315</v>
      </c>
      <c r="J1897" s="331" t="s">
        <v>5899</v>
      </c>
      <c r="K1897" s="256">
        <v>42752</v>
      </c>
      <c r="L1897" s="256"/>
      <c r="M1897" s="256">
        <v>42744</v>
      </c>
      <c r="N1897" s="401" t="s">
        <v>2001</v>
      </c>
      <c r="O1897" s="250" t="s">
        <v>5905</v>
      </c>
      <c r="P1897" s="574"/>
      <c r="Q1897" s="976">
        <v>9818</v>
      </c>
      <c r="R1897" s="1428"/>
      <c r="S1897" s="1428"/>
      <c r="U1897" s="328"/>
      <c r="V1897" s="318" t="s">
        <v>5901</v>
      </c>
      <c r="W1897" s="747">
        <v>42799</v>
      </c>
      <c r="X1897" s="750">
        <v>42741</v>
      </c>
      <c r="Y1897" s="250" t="s">
        <v>5906</v>
      </c>
      <c r="Z1897" s="753">
        <v>13388</v>
      </c>
      <c r="AA1897" s="256">
        <v>42801</v>
      </c>
      <c r="AB1897" s="308" t="s">
        <v>5903</v>
      </c>
      <c r="AC1897" s="264" t="s">
        <v>5904</v>
      </c>
      <c r="AD1897" s="973"/>
      <c r="AE1897" s="974"/>
      <c r="AF1897" s="818"/>
      <c r="AG1897" s="251" t="s">
        <v>283</v>
      </c>
    </row>
    <row r="1898" spans="1:33" ht="15.75" customHeight="1">
      <c r="A1898" s="755">
        <v>42712</v>
      </c>
      <c r="B1898" s="823" t="s">
        <v>3479</v>
      </c>
      <c r="C1898" s="263"/>
      <c r="D1898" s="250" t="s">
        <v>5898</v>
      </c>
      <c r="E1898" s="250" t="s">
        <v>3487</v>
      </c>
      <c r="F1898" s="787">
        <v>1</v>
      </c>
      <c r="G1898" s="265">
        <v>102</v>
      </c>
      <c r="H1898" s="265">
        <f t="shared" si="164"/>
        <v>102</v>
      </c>
      <c r="I1898" s="975" t="s">
        <v>3315</v>
      </c>
      <c r="J1898" s="331" t="s">
        <v>5899</v>
      </c>
      <c r="K1898" s="256">
        <v>42752</v>
      </c>
      <c r="L1898" s="256"/>
      <c r="M1898" s="977">
        <v>42744</v>
      </c>
      <c r="N1898" s="331" t="s">
        <v>2001</v>
      </c>
      <c r="O1898" s="250" t="s">
        <v>5905</v>
      </c>
      <c r="P1898" s="574"/>
      <c r="Q1898" s="978">
        <v>3570</v>
      </c>
      <c r="R1898" s="1428"/>
      <c r="S1898" s="1428"/>
      <c r="U1898" s="328"/>
      <c r="V1898" s="318" t="s">
        <v>5901</v>
      </c>
      <c r="W1898" s="747">
        <v>42799</v>
      </c>
      <c r="X1898" s="750">
        <v>42741</v>
      </c>
      <c r="Y1898" s="250" t="s">
        <v>5906</v>
      </c>
      <c r="Z1898" s="753">
        <v>13388</v>
      </c>
      <c r="AA1898" s="256">
        <v>42801</v>
      </c>
      <c r="AB1898" s="308" t="s">
        <v>5903</v>
      </c>
      <c r="AC1898" s="264" t="s">
        <v>5904</v>
      </c>
      <c r="AD1898" s="973"/>
      <c r="AE1898" s="974"/>
      <c r="AF1898" s="818"/>
      <c r="AG1898" s="251" t="s">
        <v>283</v>
      </c>
    </row>
    <row r="1899" spans="1:33" ht="15.75" customHeight="1">
      <c r="A1899" s="775">
        <v>42712</v>
      </c>
      <c r="B1899" s="762" t="s">
        <v>4590</v>
      </c>
      <c r="C1899" s="762">
        <v>63210</v>
      </c>
      <c r="D1899" s="274" t="s">
        <v>5907</v>
      </c>
      <c r="E1899" s="274" t="s">
        <v>5908</v>
      </c>
      <c r="F1899" s="979">
        <v>2</v>
      </c>
      <c r="G1899" s="279"/>
      <c r="H1899" s="279">
        <f t="shared" si="164"/>
        <v>0</v>
      </c>
      <c r="I1899" s="776" t="s">
        <v>3315</v>
      </c>
      <c r="J1899" s="281" t="s">
        <v>5842</v>
      </c>
      <c r="K1899" s="980">
        <v>42740</v>
      </c>
      <c r="L1899" s="980"/>
      <c r="M1899" s="289">
        <v>42723</v>
      </c>
      <c r="N1899" s="981" t="s">
        <v>5909</v>
      </c>
      <c r="O1899" s="420" t="s">
        <v>5910</v>
      </c>
      <c r="P1899" s="837"/>
      <c r="Q1899" s="982">
        <v>1817</v>
      </c>
      <c r="R1899" s="1429"/>
      <c r="S1899" s="1429"/>
      <c r="U1899" s="575"/>
      <c r="V1899" s="777" t="s">
        <v>2126</v>
      </c>
      <c r="W1899" s="983">
        <v>42719</v>
      </c>
      <c r="X1899" s="788">
        <v>42720</v>
      </c>
      <c r="Y1899" s="818" t="s">
        <v>5911</v>
      </c>
      <c r="Z1899" s="984">
        <v>3961</v>
      </c>
      <c r="AA1899" s="985">
        <v>42719</v>
      </c>
      <c r="AB1899" s="986"/>
      <c r="AC1899" s="986"/>
      <c r="AD1899" s="986"/>
      <c r="AE1899" s="987"/>
      <c r="AF1899" s="780"/>
      <c r="AG1899" s="277" t="s">
        <v>3456</v>
      </c>
    </row>
    <row r="1900" spans="1:33" ht="15.75" customHeight="1">
      <c r="A1900" s="775">
        <v>42712</v>
      </c>
      <c r="B1900" s="274" t="s">
        <v>4590</v>
      </c>
      <c r="C1900" s="762">
        <v>63210</v>
      </c>
      <c r="D1900" s="274" t="s">
        <v>5907</v>
      </c>
      <c r="E1900" s="274" t="s">
        <v>5912</v>
      </c>
      <c r="F1900" s="979">
        <v>2</v>
      </c>
      <c r="G1900" s="279"/>
      <c r="H1900" s="279">
        <f t="shared" si="164"/>
        <v>0</v>
      </c>
      <c r="I1900" s="776" t="s">
        <v>3315</v>
      </c>
      <c r="J1900" s="281" t="s">
        <v>5842</v>
      </c>
      <c r="K1900" s="980">
        <v>42740</v>
      </c>
      <c r="L1900" s="980"/>
      <c r="M1900" s="289">
        <v>42723</v>
      </c>
      <c r="N1900" s="981" t="s">
        <v>5909</v>
      </c>
      <c r="O1900" s="420" t="s">
        <v>5910</v>
      </c>
      <c r="P1900" s="837"/>
      <c r="Q1900" s="982">
        <v>2144</v>
      </c>
      <c r="R1900" s="1429"/>
      <c r="S1900" s="1429"/>
      <c r="U1900" s="575"/>
      <c r="V1900" s="779" t="s">
        <v>2126</v>
      </c>
      <c r="W1900" s="983">
        <v>42719</v>
      </c>
      <c r="X1900" s="788">
        <v>42720</v>
      </c>
      <c r="Y1900" s="818" t="s">
        <v>5911</v>
      </c>
      <c r="Z1900" s="984">
        <v>3961</v>
      </c>
      <c r="AA1900" s="985">
        <v>42719</v>
      </c>
      <c r="AB1900" s="986"/>
      <c r="AC1900" s="986"/>
      <c r="AD1900" s="986"/>
      <c r="AE1900" s="987"/>
      <c r="AF1900" s="780"/>
      <c r="AG1900" s="277" t="s">
        <v>3456</v>
      </c>
    </row>
    <row r="1901" spans="1:33" ht="15.75" customHeight="1">
      <c r="A1901" s="775">
        <v>42712</v>
      </c>
      <c r="B1901" s="274" t="s">
        <v>4590</v>
      </c>
      <c r="C1901" s="762">
        <v>63210</v>
      </c>
      <c r="D1901" s="274" t="s">
        <v>5907</v>
      </c>
      <c r="E1901" s="274" t="s">
        <v>5913</v>
      </c>
      <c r="F1901" s="979">
        <v>2</v>
      </c>
      <c r="G1901" s="279"/>
      <c r="H1901" s="279">
        <f t="shared" si="164"/>
        <v>0</v>
      </c>
      <c r="I1901" s="776" t="s">
        <v>3315</v>
      </c>
      <c r="J1901" s="281" t="s">
        <v>5842</v>
      </c>
      <c r="K1901" s="980">
        <v>42740</v>
      </c>
      <c r="L1901" s="980"/>
      <c r="M1901" s="833"/>
      <c r="N1901" s="981" t="s">
        <v>3614</v>
      </c>
      <c r="O1901" s="274" t="s">
        <v>5914</v>
      </c>
      <c r="P1901" s="837">
        <v>581.70000000000005</v>
      </c>
      <c r="Q1901" s="988"/>
      <c r="R1901" s="1430"/>
      <c r="S1901" s="1430"/>
      <c r="U1901" s="575"/>
      <c r="V1901" s="877" t="s">
        <v>2159</v>
      </c>
      <c r="W1901" s="989" t="s">
        <v>5915</v>
      </c>
      <c r="X1901" s="781"/>
      <c r="Y1901" s="780"/>
      <c r="Z1901" s="990"/>
      <c r="AA1901" s="991"/>
      <c r="AB1901" s="986"/>
      <c r="AC1901" s="986"/>
      <c r="AD1901" s="986"/>
      <c r="AE1901" s="987"/>
      <c r="AF1901" s="780"/>
      <c r="AG1901" s="277" t="s">
        <v>3456</v>
      </c>
    </row>
    <row r="1902" spans="1:33" ht="15.75" customHeight="1">
      <c r="A1902" s="775">
        <v>42712</v>
      </c>
      <c r="B1902" s="274" t="s">
        <v>4590</v>
      </c>
      <c r="C1902" s="274">
        <v>63210</v>
      </c>
      <c r="D1902" s="274" t="s">
        <v>5907</v>
      </c>
      <c r="E1902" s="274" t="s">
        <v>5916</v>
      </c>
      <c r="F1902" s="979">
        <v>1</v>
      </c>
      <c r="G1902" s="279"/>
      <c r="H1902" s="279">
        <f t="shared" si="164"/>
        <v>0</v>
      </c>
      <c r="I1902" s="776" t="s">
        <v>3315</v>
      </c>
      <c r="J1902" s="281" t="s">
        <v>5842</v>
      </c>
      <c r="K1902" s="980">
        <v>42740</v>
      </c>
      <c r="L1902" s="980"/>
      <c r="M1902" s="992"/>
      <c r="N1902" s="981" t="s">
        <v>1999</v>
      </c>
      <c r="O1902" s="993"/>
      <c r="P1902" s="837"/>
      <c r="Q1902" s="994" t="s">
        <v>5917</v>
      </c>
      <c r="R1902" s="1431"/>
      <c r="S1902" s="1431"/>
      <c r="U1902" s="575"/>
      <c r="V1902" s="779" t="s">
        <v>2000</v>
      </c>
      <c r="W1902" s="995"/>
      <c r="X1902" s="781"/>
      <c r="Y1902" s="780"/>
      <c r="Z1902" s="990"/>
      <c r="AA1902" s="991"/>
      <c r="AB1902" s="986"/>
      <c r="AC1902" s="986"/>
      <c r="AD1902" s="986"/>
      <c r="AE1902" s="987"/>
      <c r="AF1902" s="780"/>
      <c r="AG1902" s="277" t="s">
        <v>3456</v>
      </c>
    </row>
    <row r="1903" spans="1:33" ht="15.75" customHeight="1">
      <c r="A1903" s="775">
        <v>42712</v>
      </c>
      <c r="B1903" s="274" t="s">
        <v>4590</v>
      </c>
      <c r="C1903" s="274">
        <v>63210</v>
      </c>
      <c r="D1903" s="274" t="s">
        <v>5907</v>
      </c>
      <c r="E1903" s="274" t="s">
        <v>692</v>
      </c>
      <c r="F1903" s="979">
        <v>1</v>
      </c>
      <c r="G1903" s="279"/>
      <c r="H1903" s="279">
        <f t="shared" si="164"/>
        <v>0</v>
      </c>
      <c r="I1903" s="289" t="s">
        <v>3315</v>
      </c>
      <c r="J1903" s="281"/>
      <c r="K1903" s="980">
        <v>42740</v>
      </c>
      <c r="L1903" s="980"/>
      <c r="M1903" s="992"/>
      <c r="N1903" s="981"/>
      <c r="O1903" s="274"/>
      <c r="P1903" s="837"/>
      <c r="Q1903" s="988"/>
      <c r="R1903" s="1430"/>
      <c r="S1903" s="1430"/>
      <c r="U1903" s="575"/>
      <c r="V1903" s="779"/>
      <c r="W1903" s="995"/>
      <c r="X1903" s="781"/>
      <c r="Y1903" s="780"/>
      <c r="Z1903" s="990"/>
      <c r="AA1903" s="991"/>
      <c r="AB1903" s="986"/>
      <c r="AC1903" s="986"/>
      <c r="AD1903" s="986"/>
      <c r="AE1903" s="987"/>
      <c r="AF1903" s="780"/>
      <c r="AG1903" s="277" t="s">
        <v>3456</v>
      </c>
    </row>
    <row r="1904" spans="1:33" ht="15.75" customHeight="1">
      <c r="A1904" s="755">
        <v>42719</v>
      </c>
      <c r="B1904" s="263" t="s">
        <v>4903</v>
      </c>
      <c r="C1904" s="250" t="s">
        <v>5918</v>
      </c>
      <c r="D1904" s="250" t="s">
        <v>5919</v>
      </c>
      <c r="E1904" s="250" t="s">
        <v>5920</v>
      </c>
      <c r="F1904" s="305">
        <v>25</v>
      </c>
      <c r="G1904" s="252">
        <v>372</v>
      </c>
      <c r="H1904" s="265">
        <f t="shared" si="164"/>
        <v>9300</v>
      </c>
      <c r="I1904" s="264" t="s">
        <v>3315</v>
      </c>
      <c r="J1904" s="331" t="s">
        <v>3588</v>
      </c>
      <c r="K1904" s="256">
        <v>42740</v>
      </c>
      <c r="L1904" s="256"/>
      <c r="M1904" s="256">
        <v>42739</v>
      </c>
      <c r="N1904" s="264" t="s">
        <v>3432</v>
      </c>
      <c r="O1904" s="250" t="s">
        <v>5921</v>
      </c>
      <c r="P1904" s="574"/>
      <c r="Q1904" s="976">
        <v>288068</v>
      </c>
      <c r="R1904" s="1428"/>
      <c r="S1904" s="1428"/>
      <c r="U1904" s="328"/>
      <c r="V1904" s="318" t="s">
        <v>2045</v>
      </c>
      <c r="W1904" s="747">
        <v>42830</v>
      </c>
      <c r="X1904" s="750">
        <v>42738</v>
      </c>
      <c r="Y1904" s="250" t="s">
        <v>5922</v>
      </c>
      <c r="Z1904" s="753">
        <v>288068</v>
      </c>
      <c r="AA1904" s="256">
        <v>42830</v>
      </c>
      <c r="AB1904" s="308" t="s">
        <v>5867</v>
      </c>
      <c r="AC1904" s="973"/>
      <c r="AD1904" s="973"/>
      <c r="AE1904" s="974"/>
      <c r="AF1904" s="818"/>
      <c r="AG1904" s="251" t="s">
        <v>283</v>
      </c>
    </row>
    <row r="1905" spans="1:33" ht="15.75" customHeight="1">
      <c r="A1905" s="755">
        <v>42719</v>
      </c>
      <c r="B1905" s="571" t="s">
        <v>629</v>
      </c>
      <c r="C1905" s="250" t="s">
        <v>5923</v>
      </c>
      <c r="D1905" s="250" t="s">
        <v>5924</v>
      </c>
      <c r="E1905" s="250" t="s">
        <v>5925</v>
      </c>
      <c r="F1905" s="305">
        <v>50</v>
      </c>
      <c r="G1905" s="252">
        <v>109.2</v>
      </c>
      <c r="H1905" s="265">
        <f t="shared" si="164"/>
        <v>5460</v>
      </c>
      <c r="I1905" s="264" t="s">
        <v>170</v>
      </c>
      <c r="J1905" s="331" t="s">
        <v>89</v>
      </c>
      <c r="K1905" s="256">
        <v>42769</v>
      </c>
      <c r="L1905" s="256"/>
      <c r="M1905" s="771"/>
      <c r="N1905" s="401" t="s">
        <v>89</v>
      </c>
      <c r="O1905" s="250" t="s">
        <v>5926</v>
      </c>
      <c r="P1905" s="574">
        <v>4709.25</v>
      </c>
      <c r="Q1905" s="972"/>
      <c r="R1905" s="1427"/>
      <c r="S1905" s="1427"/>
      <c r="U1905" s="328"/>
      <c r="V1905" s="308" t="s">
        <v>5896</v>
      </c>
      <c r="W1905" s="747">
        <v>42830</v>
      </c>
      <c r="X1905" s="750">
        <v>42769</v>
      </c>
      <c r="Y1905" s="250" t="s">
        <v>5927</v>
      </c>
      <c r="Z1905" s="753">
        <v>147235</v>
      </c>
      <c r="AA1905" s="256">
        <v>42821</v>
      </c>
      <c r="AB1905" s="250" t="s">
        <v>5928</v>
      </c>
      <c r="AC1905" s="973"/>
      <c r="AD1905" s="308" t="s">
        <v>5929</v>
      </c>
      <c r="AE1905" s="996">
        <v>169478</v>
      </c>
      <c r="AF1905" s="250" t="s">
        <v>5930</v>
      </c>
      <c r="AG1905" s="251" t="s">
        <v>376</v>
      </c>
    </row>
    <row r="1906" spans="1:33" ht="15.75" customHeight="1">
      <c r="A1906" s="755">
        <v>42724</v>
      </c>
      <c r="B1906" s="744" t="s">
        <v>5931</v>
      </c>
      <c r="C1906" s="744">
        <v>804141</v>
      </c>
      <c r="D1906" s="250" t="s">
        <v>5932</v>
      </c>
      <c r="E1906" s="250" t="s">
        <v>5933</v>
      </c>
      <c r="F1906" s="787">
        <v>18</v>
      </c>
      <c r="G1906" s="265">
        <v>78</v>
      </c>
      <c r="H1906" s="265">
        <f t="shared" si="164"/>
        <v>1404</v>
      </c>
      <c r="I1906" s="975" t="s">
        <v>3315</v>
      </c>
      <c r="J1906" s="331" t="s">
        <v>5934</v>
      </c>
      <c r="K1906" s="256">
        <v>42747</v>
      </c>
      <c r="L1906" s="256"/>
      <c r="M1906" s="256">
        <v>42747</v>
      </c>
      <c r="N1906" s="401" t="s">
        <v>5935</v>
      </c>
      <c r="O1906" s="250" t="s">
        <v>5936</v>
      </c>
      <c r="P1906" s="574"/>
      <c r="Q1906" s="976">
        <v>43432</v>
      </c>
      <c r="R1906" s="1428"/>
      <c r="S1906" s="1428"/>
      <c r="U1906" s="328"/>
      <c r="V1906" s="308" t="s">
        <v>5937</v>
      </c>
      <c r="W1906" s="747">
        <v>42830</v>
      </c>
      <c r="X1906" s="750">
        <v>42746</v>
      </c>
      <c r="Y1906" s="250" t="s">
        <v>5938</v>
      </c>
      <c r="Z1906" s="753">
        <v>43432</v>
      </c>
      <c r="AA1906" s="256">
        <v>42830</v>
      </c>
      <c r="AB1906" s="308" t="s">
        <v>5939</v>
      </c>
      <c r="AC1906" s="973"/>
      <c r="AD1906" s="973"/>
      <c r="AE1906" s="974"/>
      <c r="AF1906" s="818"/>
      <c r="AG1906" s="251" t="s">
        <v>283</v>
      </c>
    </row>
    <row r="1907" spans="1:33" ht="15.75" customHeight="1">
      <c r="A1907" s="755">
        <v>42724</v>
      </c>
      <c r="B1907" s="744" t="s">
        <v>5931</v>
      </c>
      <c r="C1907" s="744">
        <v>804141</v>
      </c>
      <c r="D1907" s="250" t="s">
        <v>5932</v>
      </c>
      <c r="E1907" s="250" t="s">
        <v>692</v>
      </c>
      <c r="F1907" s="787">
        <v>1</v>
      </c>
      <c r="G1907" s="265">
        <v>25</v>
      </c>
      <c r="H1907" s="265">
        <f t="shared" si="164"/>
        <v>25</v>
      </c>
      <c r="I1907" s="997" t="s">
        <v>3315</v>
      </c>
      <c r="J1907" s="803"/>
      <c r="K1907" s="256">
        <v>42747</v>
      </c>
      <c r="L1907" s="256"/>
      <c r="M1907" s="623"/>
      <c r="N1907" s="401"/>
      <c r="O1907" s="250"/>
      <c r="P1907" s="574"/>
      <c r="Q1907" s="972"/>
      <c r="R1907" s="1427"/>
      <c r="S1907" s="1427"/>
      <c r="U1907" s="328"/>
      <c r="V1907" s="308"/>
      <c r="W1907" s="998"/>
      <c r="X1907" s="788"/>
      <c r="Y1907" s="818"/>
      <c r="Z1907" s="999"/>
      <c r="AA1907" s="985"/>
      <c r="AB1907" s="973"/>
      <c r="AC1907" s="973"/>
      <c r="AD1907" s="973"/>
      <c r="AE1907" s="974"/>
      <c r="AF1907" s="818"/>
      <c r="AG1907" s="251" t="s">
        <v>283</v>
      </c>
    </row>
    <row r="1908" spans="1:33" ht="15.75" customHeight="1">
      <c r="A1908" s="755">
        <v>42727</v>
      </c>
      <c r="B1908" s="338" t="s">
        <v>5940</v>
      </c>
      <c r="C1908" s="263" t="s">
        <v>5941</v>
      </c>
      <c r="D1908" s="263" t="s">
        <v>5942</v>
      </c>
      <c r="E1908" s="263" t="s">
        <v>5943</v>
      </c>
      <c r="F1908" s="971">
        <v>10</v>
      </c>
      <c r="G1908" s="464">
        <v>148</v>
      </c>
      <c r="H1908" s="464">
        <f t="shared" si="164"/>
        <v>1480</v>
      </c>
      <c r="I1908" s="758" t="s">
        <v>3315</v>
      </c>
      <c r="J1908" s="331" t="s">
        <v>3571</v>
      </c>
      <c r="K1908" s="256">
        <v>42776</v>
      </c>
      <c r="L1908" s="256"/>
      <c r="M1908" s="256">
        <v>42776</v>
      </c>
      <c r="N1908" s="401" t="s">
        <v>2001</v>
      </c>
      <c r="O1908" s="250" t="s">
        <v>5944</v>
      </c>
      <c r="P1908" s="574"/>
      <c r="Q1908" s="976">
        <v>45150</v>
      </c>
      <c r="R1908" s="1428"/>
      <c r="S1908" s="1428"/>
      <c r="U1908" s="328"/>
      <c r="V1908" s="318" t="s">
        <v>5901</v>
      </c>
      <c r="W1908" s="789">
        <v>42830</v>
      </c>
      <c r="X1908" s="750">
        <v>42776</v>
      </c>
      <c r="Y1908" s="250" t="s">
        <v>5945</v>
      </c>
      <c r="Z1908" s="753">
        <v>90300</v>
      </c>
      <c r="AA1908" s="256">
        <v>42830</v>
      </c>
      <c r="AB1908" s="308" t="s">
        <v>5946</v>
      </c>
      <c r="AC1908" s="973"/>
      <c r="AD1908" s="973"/>
      <c r="AE1908" s="974"/>
      <c r="AF1908" s="818"/>
      <c r="AG1908" s="251" t="s">
        <v>283</v>
      </c>
    </row>
    <row r="1909" spans="1:33" ht="15.75" customHeight="1">
      <c r="A1909" s="755">
        <v>42727</v>
      </c>
      <c r="B1909" s="571" t="s">
        <v>5940</v>
      </c>
      <c r="C1909" s="250" t="s">
        <v>5941</v>
      </c>
      <c r="D1909" s="250" t="s">
        <v>5942</v>
      </c>
      <c r="E1909" s="250" t="s">
        <v>5947</v>
      </c>
      <c r="F1909" s="971">
        <v>10</v>
      </c>
      <c r="G1909" s="464">
        <v>148</v>
      </c>
      <c r="H1909" s="265">
        <f t="shared" si="164"/>
        <v>1480</v>
      </c>
      <c r="I1909" s="997" t="s">
        <v>3315</v>
      </c>
      <c r="J1909" s="331" t="s">
        <v>3571</v>
      </c>
      <c r="K1909" s="256">
        <v>42776</v>
      </c>
      <c r="L1909" s="256"/>
      <c r="M1909" s="256">
        <v>42776</v>
      </c>
      <c r="N1909" s="401" t="s">
        <v>2001</v>
      </c>
      <c r="O1909" s="250" t="s">
        <v>5944</v>
      </c>
      <c r="P1909" s="574"/>
      <c r="Q1909" s="976">
        <v>45150</v>
      </c>
      <c r="R1909" s="1428"/>
      <c r="S1909" s="1428"/>
      <c r="U1909" s="328"/>
      <c r="V1909" s="318" t="s">
        <v>5901</v>
      </c>
      <c r="W1909" s="789">
        <v>42830</v>
      </c>
      <c r="X1909" s="750">
        <v>42776</v>
      </c>
      <c r="Y1909" s="250" t="s">
        <v>5945</v>
      </c>
      <c r="Z1909" s="753">
        <v>90300</v>
      </c>
      <c r="AA1909" s="256">
        <v>42830</v>
      </c>
      <c r="AB1909" s="308" t="s">
        <v>5946</v>
      </c>
      <c r="AC1909" s="973"/>
      <c r="AD1909" s="973"/>
      <c r="AE1909" s="974"/>
      <c r="AF1909" s="818"/>
      <c r="AG1909" s="251" t="s">
        <v>283</v>
      </c>
    </row>
    <row r="1910" spans="1:33" ht="15.75" customHeight="1">
      <c r="A1910" s="775">
        <v>42727</v>
      </c>
      <c r="B1910" s="274" t="s">
        <v>1189</v>
      </c>
      <c r="C1910" s="274" t="s">
        <v>5948</v>
      </c>
      <c r="D1910" s="777" t="s">
        <v>5949</v>
      </c>
      <c r="E1910" s="777" t="s">
        <v>5950</v>
      </c>
      <c r="F1910" s="1000">
        <v>50</v>
      </c>
      <c r="G1910" s="813">
        <v>8</v>
      </c>
      <c r="H1910" s="887"/>
      <c r="I1910" s="776" t="s">
        <v>42</v>
      </c>
      <c r="J1910" s="281" t="s">
        <v>70</v>
      </c>
      <c r="K1910" s="776" t="s">
        <v>70</v>
      </c>
      <c r="L1910" s="776"/>
      <c r="M1910" s="289">
        <v>42732</v>
      </c>
      <c r="N1910" s="981" t="s">
        <v>2411</v>
      </c>
      <c r="O1910" s="274" t="s">
        <v>5951</v>
      </c>
      <c r="P1910" s="574"/>
      <c r="Q1910" s="976">
        <v>2394</v>
      </c>
      <c r="R1910" s="1428"/>
      <c r="S1910" s="1428"/>
      <c r="U1910" s="328"/>
      <c r="V1910" s="779" t="s">
        <v>4328</v>
      </c>
      <c r="W1910" s="747">
        <v>42771</v>
      </c>
      <c r="X1910" s="750">
        <v>42751</v>
      </c>
      <c r="Y1910" s="250" t="s">
        <v>5952</v>
      </c>
      <c r="Z1910" s="996">
        <v>2394</v>
      </c>
      <c r="AA1910" s="256">
        <v>42769</v>
      </c>
      <c r="AB1910" s="308" t="s">
        <v>5953</v>
      </c>
      <c r="AC1910" s="973"/>
      <c r="AD1910" s="973"/>
      <c r="AE1910" s="974"/>
      <c r="AF1910" s="818"/>
      <c r="AG1910" s="251" t="s">
        <v>3456</v>
      </c>
    </row>
    <row r="1911" spans="1:33" ht="15.75" customHeight="1">
      <c r="A1911" s="755">
        <v>42730</v>
      </c>
      <c r="B1911" s="250" t="s">
        <v>629</v>
      </c>
      <c r="C1911" s="250" t="s">
        <v>5954</v>
      </c>
      <c r="D1911" s="250" t="s">
        <v>5955</v>
      </c>
      <c r="E1911" s="250" t="s">
        <v>4107</v>
      </c>
      <c r="F1911" s="787">
        <v>10</v>
      </c>
      <c r="G1911" s="464">
        <v>164.85</v>
      </c>
      <c r="H1911" s="265">
        <f t="shared" ref="H1911:H1963" si="165">G1911*F1911</f>
        <v>1648.5</v>
      </c>
      <c r="I1911" s="264" t="s">
        <v>170</v>
      </c>
      <c r="J1911" s="331" t="s">
        <v>5956</v>
      </c>
      <c r="K1911" s="256">
        <v>42758</v>
      </c>
      <c r="L1911" s="256"/>
      <c r="M1911" s="256">
        <v>42754</v>
      </c>
      <c r="N1911" s="264" t="s">
        <v>2212</v>
      </c>
      <c r="O1911" s="250" t="s">
        <v>5957</v>
      </c>
      <c r="P1911" s="574"/>
      <c r="Q1911" s="976">
        <v>50925</v>
      </c>
      <c r="R1911" s="1428"/>
      <c r="S1911" s="1428"/>
      <c r="U1911" s="328"/>
      <c r="V1911" s="338" t="s">
        <v>2214</v>
      </c>
      <c r="W1911" s="789">
        <v>42758</v>
      </c>
      <c r="X1911" s="750">
        <v>42753</v>
      </c>
      <c r="Y1911" s="250" t="s">
        <v>5958</v>
      </c>
      <c r="Z1911" s="753">
        <v>50925</v>
      </c>
      <c r="AA1911" s="256">
        <v>42754</v>
      </c>
      <c r="AB1911" s="308" t="s">
        <v>5959</v>
      </c>
      <c r="AC1911" s="308" t="s">
        <v>5960</v>
      </c>
      <c r="AD1911" s="250" t="s">
        <v>5961</v>
      </c>
      <c r="AE1911" s="996">
        <v>52101</v>
      </c>
      <c r="AF1911" s="250" t="s">
        <v>5962</v>
      </c>
      <c r="AG1911" s="251" t="s">
        <v>376</v>
      </c>
    </row>
    <row r="1912" spans="1:33" ht="15.75" customHeight="1">
      <c r="A1912" s="755">
        <v>42731</v>
      </c>
      <c r="B1912" s="970" t="s">
        <v>3347</v>
      </c>
      <c r="C1912" s="970" t="s">
        <v>5963</v>
      </c>
      <c r="D1912" s="420" t="s">
        <v>5964</v>
      </c>
      <c r="E1912" s="420" t="s">
        <v>5965</v>
      </c>
      <c r="F1912" s="787">
        <v>100</v>
      </c>
      <c r="G1912" s="265">
        <v>174.5</v>
      </c>
      <c r="H1912" s="265">
        <f t="shared" si="165"/>
        <v>17450</v>
      </c>
      <c r="I1912" s="264" t="s">
        <v>170</v>
      </c>
      <c r="J1912" s="267" t="s">
        <v>3350</v>
      </c>
      <c r="K1912" s="829">
        <v>42789</v>
      </c>
      <c r="L1912" s="1479"/>
      <c r="M1912" s="256">
        <v>42782</v>
      </c>
      <c r="N1912" s="401" t="s">
        <v>3351</v>
      </c>
      <c r="O1912" s="250" t="s">
        <v>5966</v>
      </c>
      <c r="P1912" s="574"/>
      <c r="Q1912" s="976">
        <v>525903</v>
      </c>
      <c r="R1912" s="1428"/>
      <c r="S1912" s="1428"/>
      <c r="U1912" s="328"/>
      <c r="V1912" s="597" t="s">
        <v>5967</v>
      </c>
      <c r="W1912" s="789">
        <v>42779</v>
      </c>
      <c r="X1912" s="750">
        <v>42782</v>
      </c>
      <c r="Y1912" s="250" t="s">
        <v>5968</v>
      </c>
      <c r="Z1912" s="753">
        <v>525903</v>
      </c>
      <c r="AA1912" s="256">
        <v>42779</v>
      </c>
      <c r="AB1912" s="250" t="s">
        <v>5969</v>
      </c>
      <c r="AC1912" s="973"/>
      <c r="AD1912" s="973"/>
      <c r="AE1912" s="974"/>
      <c r="AF1912" s="818"/>
      <c r="AG1912" s="251" t="s">
        <v>283</v>
      </c>
    </row>
    <row r="1913" spans="1:33" ht="15.75" customHeight="1">
      <c r="A1913" s="755">
        <v>42732</v>
      </c>
      <c r="B1913" s="970" t="s">
        <v>76</v>
      </c>
      <c r="C1913" s="744">
        <v>1133</v>
      </c>
      <c r="D1913" s="250" t="s">
        <v>5970</v>
      </c>
      <c r="E1913" s="250" t="s">
        <v>5971</v>
      </c>
      <c r="F1913" s="305">
        <v>49</v>
      </c>
      <c r="G1913" s="252">
        <v>131</v>
      </c>
      <c r="H1913" s="265">
        <f t="shared" si="165"/>
        <v>6419</v>
      </c>
      <c r="I1913" s="264" t="s">
        <v>42</v>
      </c>
      <c r="J1913" s="1001" t="s">
        <v>5972</v>
      </c>
      <c r="K1913" s="811">
        <v>42870</v>
      </c>
      <c r="L1913" s="1477"/>
      <c r="M1913" s="256">
        <v>42864</v>
      </c>
      <c r="N1913" s="251" t="s">
        <v>5973</v>
      </c>
      <c r="O1913" s="595" t="s">
        <v>5974</v>
      </c>
      <c r="P1913" s="251"/>
      <c r="Q1913" s="251"/>
      <c r="R1913" s="1432"/>
      <c r="S1913" s="1432"/>
      <c r="U1913" s="328"/>
      <c r="V1913" s="744" t="s">
        <v>2109</v>
      </c>
      <c r="W1913" s="1002"/>
      <c r="X1913" s="745"/>
      <c r="Y1913" s="745"/>
      <c r="Z1913" s="745"/>
      <c r="AA1913" s="1003"/>
      <c r="AB1913" s="250" t="s">
        <v>5975</v>
      </c>
      <c r="AC1913" s="1003"/>
      <c r="AD1913" s="1003"/>
      <c r="AE1913" s="1003"/>
      <c r="AF1913" s="745"/>
      <c r="AG1913" s="251" t="s">
        <v>283</v>
      </c>
    </row>
    <row r="1914" spans="1:33" ht="15.75" customHeight="1">
      <c r="A1914" s="755">
        <v>42732</v>
      </c>
      <c r="B1914" s="744" t="s">
        <v>76</v>
      </c>
      <c r="C1914" s="744">
        <v>1133</v>
      </c>
      <c r="D1914" s="250" t="s">
        <v>5970</v>
      </c>
      <c r="E1914" s="250" t="s">
        <v>5976</v>
      </c>
      <c r="F1914" s="305">
        <v>50</v>
      </c>
      <c r="G1914" s="252">
        <v>15</v>
      </c>
      <c r="H1914" s="265">
        <f t="shared" si="165"/>
        <v>750</v>
      </c>
      <c r="I1914" s="264" t="s">
        <v>42</v>
      </c>
      <c r="J1914" s="1001" t="s">
        <v>5972</v>
      </c>
      <c r="K1914" s="256">
        <v>42870</v>
      </c>
      <c r="L1914" s="256"/>
      <c r="M1914" s="256">
        <v>42864</v>
      </c>
      <c r="N1914" s="251" t="s">
        <v>5973</v>
      </c>
      <c r="O1914" s="595" t="s">
        <v>5974</v>
      </c>
      <c r="P1914" s="251"/>
      <c r="Q1914" s="251"/>
      <c r="R1914" s="1432"/>
      <c r="S1914" s="1432"/>
      <c r="U1914" s="328"/>
      <c r="V1914" s="744" t="s">
        <v>2109</v>
      </c>
      <c r="W1914" s="1002"/>
      <c r="X1914" s="745"/>
      <c r="Y1914" s="745"/>
      <c r="Z1914" s="745"/>
      <c r="AA1914" s="1003"/>
      <c r="AB1914" s="250" t="s">
        <v>5975</v>
      </c>
      <c r="AC1914" s="1003"/>
      <c r="AD1914" s="1003"/>
      <c r="AE1914" s="1003"/>
      <c r="AF1914" s="745"/>
      <c r="AG1914" s="251" t="s">
        <v>283</v>
      </c>
    </row>
    <row r="1915" spans="1:33" ht="15.75" customHeight="1">
      <c r="A1915" s="755">
        <v>42732</v>
      </c>
      <c r="B1915" s="744" t="s">
        <v>76</v>
      </c>
      <c r="C1915" s="744">
        <v>1133</v>
      </c>
      <c r="D1915" s="250" t="s">
        <v>5970</v>
      </c>
      <c r="E1915" s="250" t="s">
        <v>5977</v>
      </c>
      <c r="F1915" s="305">
        <v>50</v>
      </c>
      <c r="G1915" s="252">
        <v>1.25</v>
      </c>
      <c r="H1915" s="265">
        <f t="shared" si="165"/>
        <v>62.5</v>
      </c>
      <c r="I1915" s="264" t="s">
        <v>42</v>
      </c>
      <c r="J1915" s="1001" t="s">
        <v>5972</v>
      </c>
      <c r="K1915" s="256">
        <v>42870</v>
      </c>
      <c r="L1915" s="256"/>
      <c r="M1915" s="256">
        <v>42859</v>
      </c>
      <c r="N1915" s="264" t="s">
        <v>5978</v>
      </c>
      <c r="O1915" s="744" t="s">
        <v>5979</v>
      </c>
      <c r="P1915" s="251"/>
      <c r="Q1915" s="630">
        <v>1050</v>
      </c>
      <c r="R1915" s="1415"/>
      <c r="S1915" s="1415"/>
      <c r="U1915" s="251"/>
      <c r="V1915" s="749" t="s">
        <v>2146</v>
      </c>
      <c r="W1915" s="789">
        <v>42863</v>
      </c>
      <c r="X1915" s="748">
        <v>42853</v>
      </c>
      <c r="Y1915" s="744" t="s">
        <v>5980</v>
      </c>
      <c r="Z1915" s="749">
        <v>1932</v>
      </c>
      <c r="AA1915" s="594">
        <v>42865</v>
      </c>
      <c r="AB1915" s="250" t="s">
        <v>5975</v>
      </c>
      <c r="AC1915" s="251">
        <v>890004795329</v>
      </c>
      <c r="AD1915" s="1003"/>
      <c r="AE1915" s="1003"/>
      <c r="AF1915" s="745"/>
      <c r="AG1915" s="251" t="s">
        <v>283</v>
      </c>
    </row>
    <row r="1916" spans="1:33" ht="15.75" customHeight="1">
      <c r="A1916" s="755">
        <v>42732</v>
      </c>
      <c r="B1916" s="420" t="s">
        <v>5981</v>
      </c>
      <c r="C1916" s="250">
        <v>7000126517</v>
      </c>
      <c r="D1916" s="250" t="s">
        <v>5982</v>
      </c>
      <c r="E1916" s="250" t="s">
        <v>5983</v>
      </c>
      <c r="F1916" s="787">
        <v>2</v>
      </c>
      <c r="G1916" s="265">
        <v>230</v>
      </c>
      <c r="H1916" s="265">
        <f t="shared" si="165"/>
        <v>460</v>
      </c>
      <c r="I1916" s="264" t="s">
        <v>42</v>
      </c>
      <c r="J1916" s="756" t="s">
        <v>3462</v>
      </c>
      <c r="K1916" s="865">
        <v>42804</v>
      </c>
      <c r="L1916" s="865"/>
      <c r="M1916" s="256">
        <v>42804</v>
      </c>
      <c r="N1916" s="264" t="s">
        <v>3432</v>
      </c>
      <c r="O1916" s="744" t="s">
        <v>5984</v>
      </c>
      <c r="P1916" s="251"/>
      <c r="Q1916" s="630">
        <v>13910</v>
      </c>
      <c r="R1916" s="1415"/>
      <c r="S1916" s="1415"/>
      <c r="U1916" s="251"/>
      <c r="V1916" s="308" t="s">
        <v>5937</v>
      </c>
      <c r="W1916" s="789">
        <v>42891</v>
      </c>
      <c r="X1916" s="748">
        <v>42803</v>
      </c>
      <c r="Y1916" s="744" t="s">
        <v>5985</v>
      </c>
      <c r="Z1916" s="749">
        <v>13910</v>
      </c>
      <c r="AA1916" s="256">
        <v>42891</v>
      </c>
      <c r="AB1916" s="250" t="s">
        <v>5986</v>
      </c>
      <c r="AC1916" s="1003"/>
      <c r="AD1916" s="1003"/>
      <c r="AE1916" s="1003"/>
      <c r="AF1916" s="745"/>
      <c r="AG1916" s="251" t="s">
        <v>283</v>
      </c>
    </row>
    <row r="1917" spans="1:33" ht="15.75" customHeight="1">
      <c r="A1917" s="755">
        <v>42732</v>
      </c>
      <c r="B1917" s="250" t="s">
        <v>76</v>
      </c>
      <c r="C1917" s="744">
        <v>1128</v>
      </c>
      <c r="D1917" s="250" t="s">
        <v>5987</v>
      </c>
      <c r="E1917" s="250" t="s">
        <v>5977</v>
      </c>
      <c r="F1917" s="305">
        <v>60</v>
      </c>
      <c r="G1917" s="252">
        <v>1.25</v>
      </c>
      <c r="H1917" s="265">
        <f t="shared" si="165"/>
        <v>75</v>
      </c>
      <c r="I1917" s="264" t="s">
        <v>170</v>
      </c>
      <c r="J1917" s="1001" t="s">
        <v>5988</v>
      </c>
      <c r="K1917" s="256">
        <v>42754</v>
      </c>
      <c r="L1917" s="256"/>
      <c r="M1917" s="256">
        <v>42753</v>
      </c>
      <c r="N1917" s="264" t="s">
        <v>2006</v>
      </c>
      <c r="O1917" s="595" t="s">
        <v>5989</v>
      </c>
      <c r="P1917" s="251"/>
      <c r="Q1917" s="630">
        <v>1260</v>
      </c>
      <c r="R1917" s="1415"/>
      <c r="S1917" s="1415"/>
      <c r="U1917" s="251"/>
      <c r="V1917" s="744" t="s">
        <v>2146</v>
      </c>
      <c r="W1917" s="789">
        <v>42768</v>
      </c>
      <c r="X1917" s="748">
        <v>42752</v>
      </c>
      <c r="Y1917" s="744" t="s">
        <v>5990</v>
      </c>
      <c r="Z1917" s="749">
        <v>2100</v>
      </c>
      <c r="AA1917" s="256">
        <v>42769</v>
      </c>
      <c r="AB1917" s="250" t="s">
        <v>5991</v>
      </c>
      <c r="AC1917" s="251" t="s">
        <v>5992</v>
      </c>
      <c r="AD1917" s="1003"/>
      <c r="AE1917" s="1003"/>
      <c r="AF1917" s="745"/>
      <c r="AG1917" s="251" t="s">
        <v>283</v>
      </c>
    </row>
    <row r="1918" spans="1:33" ht="15.75" customHeight="1">
      <c r="A1918" s="755">
        <v>42732</v>
      </c>
      <c r="B1918" s="250" t="s">
        <v>76</v>
      </c>
      <c r="C1918" s="744">
        <v>1128</v>
      </c>
      <c r="D1918" s="250" t="s">
        <v>5993</v>
      </c>
      <c r="E1918" s="250" t="s">
        <v>5994</v>
      </c>
      <c r="F1918" s="305">
        <v>60</v>
      </c>
      <c r="G1918" s="252">
        <v>2</v>
      </c>
      <c r="H1918" s="265">
        <f t="shared" si="165"/>
        <v>120</v>
      </c>
      <c r="I1918" s="264" t="s">
        <v>170</v>
      </c>
      <c r="J1918" s="1001" t="s">
        <v>5988</v>
      </c>
      <c r="K1918" s="256">
        <v>42754</v>
      </c>
      <c r="L1918" s="256"/>
      <c r="M1918" s="256">
        <v>42753</v>
      </c>
      <c r="N1918" s="264" t="s">
        <v>2006</v>
      </c>
      <c r="O1918" s="744" t="s">
        <v>5995</v>
      </c>
      <c r="P1918" s="251"/>
      <c r="Q1918" s="630">
        <v>1764</v>
      </c>
      <c r="R1918" s="1415"/>
      <c r="S1918" s="1415"/>
      <c r="U1918" s="251"/>
      <c r="V1918" s="744" t="s">
        <v>2146</v>
      </c>
      <c r="W1918" s="789">
        <v>42768</v>
      </c>
      <c r="X1918" s="748">
        <v>42744</v>
      </c>
      <c r="Y1918" s="744" t="s">
        <v>5996</v>
      </c>
      <c r="Z1918" s="749">
        <v>7245</v>
      </c>
      <c r="AA1918" s="256">
        <v>42769</v>
      </c>
      <c r="AB1918" s="250" t="s">
        <v>5991</v>
      </c>
      <c r="AC1918" s="251" t="s">
        <v>5992</v>
      </c>
      <c r="AD1918" s="1003"/>
      <c r="AE1918" s="1003"/>
      <c r="AF1918" s="745"/>
      <c r="AG1918" s="251" t="s">
        <v>283</v>
      </c>
    </row>
    <row r="1919" spans="1:33" ht="15.75" customHeight="1">
      <c r="A1919" s="755">
        <v>42706</v>
      </c>
      <c r="B1919" s="250" t="s">
        <v>76</v>
      </c>
      <c r="C1919" s="744">
        <v>1128</v>
      </c>
      <c r="D1919" s="250" t="s">
        <v>5993</v>
      </c>
      <c r="E1919" s="250" t="s">
        <v>5997</v>
      </c>
      <c r="F1919" s="305">
        <v>60</v>
      </c>
      <c r="G1919" s="252">
        <v>6</v>
      </c>
      <c r="H1919" s="265">
        <f t="shared" si="165"/>
        <v>360</v>
      </c>
      <c r="I1919" s="264" t="s">
        <v>170</v>
      </c>
      <c r="J1919" s="1001" t="s">
        <v>5988</v>
      </c>
      <c r="K1919" s="256">
        <v>42754</v>
      </c>
      <c r="L1919" s="256"/>
      <c r="M1919" s="256">
        <v>42753</v>
      </c>
      <c r="N1919" s="264" t="s">
        <v>2006</v>
      </c>
      <c r="O1919" s="744" t="s">
        <v>5995</v>
      </c>
      <c r="P1919" s="251"/>
      <c r="Q1919" s="630">
        <v>5481</v>
      </c>
      <c r="R1919" s="1415"/>
      <c r="S1919" s="1415"/>
      <c r="U1919" s="251"/>
      <c r="V1919" s="744" t="s">
        <v>2146</v>
      </c>
      <c r="W1919" s="789">
        <v>42768</v>
      </c>
      <c r="X1919" s="748">
        <v>42744</v>
      </c>
      <c r="Y1919" s="744" t="s">
        <v>5996</v>
      </c>
      <c r="Z1919" s="749">
        <v>7245</v>
      </c>
      <c r="AA1919" s="256">
        <v>42769</v>
      </c>
      <c r="AB1919" s="250" t="s">
        <v>5991</v>
      </c>
      <c r="AC1919" s="251" t="s">
        <v>5992</v>
      </c>
      <c r="AD1919" s="1003"/>
      <c r="AE1919" s="1003"/>
      <c r="AF1919" s="745"/>
      <c r="AG1919" s="251" t="s">
        <v>283</v>
      </c>
    </row>
    <row r="1920" spans="1:33" ht="15.75" customHeight="1">
      <c r="A1920" s="755">
        <v>42732</v>
      </c>
      <c r="B1920" s="250" t="s">
        <v>76</v>
      </c>
      <c r="C1920" s="744">
        <v>1132</v>
      </c>
      <c r="D1920" s="250" t="s">
        <v>5998</v>
      </c>
      <c r="E1920" s="250" t="s">
        <v>5977</v>
      </c>
      <c r="F1920" s="305">
        <v>40</v>
      </c>
      <c r="G1920" s="252">
        <v>1.25</v>
      </c>
      <c r="H1920" s="265">
        <f t="shared" si="165"/>
        <v>50</v>
      </c>
      <c r="I1920" s="264" t="s">
        <v>170</v>
      </c>
      <c r="J1920" s="1001" t="s">
        <v>5988</v>
      </c>
      <c r="K1920" s="256">
        <v>42760</v>
      </c>
      <c r="L1920" s="256"/>
      <c r="M1920" s="256">
        <v>42753</v>
      </c>
      <c r="N1920" s="264" t="s">
        <v>2006</v>
      </c>
      <c r="O1920" s="595" t="s">
        <v>5989</v>
      </c>
      <c r="P1920" s="251"/>
      <c r="Q1920" s="574">
        <v>840</v>
      </c>
      <c r="R1920" s="1405"/>
      <c r="S1920" s="1405"/>
      <c r="U1920" s="251"/>
      <c r="V1920" s="744" t="s">
        <v>2146</v>
      </c>
      <c r="W1920" s="789">
        <v>42768</v>
      </c>
      <c r="X1920" s="748">
        <v>42752</v>
      </c>
      <c r="Y1920" s="744" t="s">
        <v>5990</v>
      </c>
      <c r="Z1920" s="749">
        <v>2100</v>
      </c>
      <c r="AA1920" s="256">
        <v>42769</v>
      </c>
      <c r="AB1920" s="250" t="s">
        <v>5999</v>
      </c>
      <c r="AC1920" s="1003"/>
      <c r="AD1920" s="1003"/>
      <c r="AE1920" s="1003"/>
      <c r="AF1920" s="745"/>
      <c r="AG1920" s="251" t="s">
        <v>283</v>
      </c>
    </row>
    <row r="1921" spans="1:33" ht="15.75" customHeight="1">
      <c r="A1921" s="755">
        <v>42732</v>
      </c>
      <c r="B1921" s="250" t="s">
        <v>76</v>
      </c>
      <c r="C1921" s="744">
        <v>1128</v>
      </c>
      <c r="D1921" s="250" t="s">
        <v>5987</v>
      </c>
      <c r="E1921" s="250" t="s">
        <v>5971</v>
      </c>
      <c r="F1921" s="305">
        <v>60</v>
      </c>
      <c r="G1921" s="252">
        <v>131</v>
      </c>
      <c r="H1921" s="265">
        <f t="shared" si="165"/>
        <v>7860</v>
      </c>
      <c r="I1921" s="264" t="s">
        <v>170</v>
      </c>
      <c r="J1921" s="1001" t="s">
        <v>5988</v>
      </c>
      <c r="K1921" s="256">
        <v>42754</v>
      </c>
      <c r="L1921" s="256"/>
      <c r="M1921" s="256">
        <v>42752</v>
      </c>
      <c r="N1921" s="251" t="s">
        <v>5973</v>
      </c>
      <c r="O1921" s="595" t="s">
        <v>6000</v>
      </c>
      <c r="P1921" s="251"/>
      <c r="Q1921" s="1004"/>
      <c r="R1921" s="1433"/>
      <c r="S1921" s="1433"/>
      <c r="U1921" s="328"/>
      <c r="V1921" s="744" t="s">
        <v>2109</v>
      </c>
      <c r="W1921" s="329"/>
      <c r="X1921" s="328" t="s">
        <v>6001</v>
      </c>
      <c r="Y1921" s="328" t="s">
        <v>6001</v>
      </c>
      <c r="Z1921" s="328" t="s">
        <v>6001</v>
      </c>
      <c r="AA1921" s="251"/>
      <c r="AB1921" s="250" t="s">
        <v>5991</v>
      </c>
      <c r="AC1921" s="251" t="s">
        <v>5992</v>
      </c>
      <c r="AD1921" s="1003"/>
      <c r="AE1921" s="1003"/>
      <c r="AF1921" s="745"/>
      <c r="AG1921" s="251" t="s">
        <v>283</v>
      </c>
    </row>
    <row r="1922" spans="1:33" ht="15.75" customHeight="1">
      <c r="A1922" s="755">
        <v>42732</v>
      </c>
      <c r="B1922" s="250" t="s">
        <v>76</v>
      </c>
      <c r="C1922" s="744">
        <v>1128</v>
      </c>
      <c r="D1922" s="250" t="s">
        <v>5987</v>
      </c>
      <c r="E1922" s="250" t="s">
        <v>5976</v>
      </c>
      <c r="F1922" s="305">
        <v>60</v>
      </c>
      <c r="G1922" s="252">
        <v>15</v>
      </c>
      <c r="H1922" s="265">
        <f t="shared" si="165"/>
        <v>900</v>
      </c>
      <c r="I1922" s="264" t="s">
        <v>170</v>
      </c>
      <c r="J1922" s="1001" t="s">
        <v>5988</v>
      </c>
      <c r="K1922" s="256">
        <v>42754</v>
      </c>
      <c r="L1922" s="256"/>
      <c r="M1922" s="256">
        <v>42752</v>
      </c>
      <c r="N1922" s="251" t="s">
        <v>5973</v>
      </c>
      <c r="O1922" s="595" t="s">
        <v>6000</v>
      </c>
      <c r="P1922" s="251"/>
      <c r="Q1922" s="251"/>
      <c r="R1922" s="1432"/>
      <c r="S1922" s="1432"/>
      <c r="U1922" s="328"/>
      <c r="V1922" s="744" t="s">
        <v>2109</v>
      </c>
      <c r="W1922" s="329"/>
      <c r="X1922" s="328" t="s">
        <v>6001</v>
      </c>
      <c r="Y1922" s="328" t="s">
        <v>6001</v>
      </c>
      <c r="Z1922" s="328" t="s">
        <v>6001</v>
      </c>
      <c r="AA1922" s="251"/>
      <c r="AB1922" s="250" t="s">
        <v>5991</v>
      </c>
      <c r="AC1922" s="251" t="s">
        <v>5992</v>
      </c>
      <c r="AD1922" s="1003"/>
      <c r="AE1922" s="1003"/>
      <c r="AF1922" s="745"/>
      <c r="AG1922" s="251" t="s">
        <v>283</v>
      </c>
    </row>
    <row r="1923" spans="1:33" ht="15.75" customHeight="1">
      <c r="A1923" s="755">
        <v>42732</v>
      </c>
      <c r="B1923" s="250" t="s">
        <v>76</v>
      </c>
      <c r="C1923" s="744">
        <v>1132</v>
      </c>
      <c r="D1923" s="250" t="s">
        <v>5998</v>
      </c>
      <c r="E1923" s="250" t="s">
        <v>5971</v>
      </c>
      <c r="F1923" s="305">
        <v>40</v>
      </c>
      <c r="G1923" s="252">
        <v>131</v>
      </c>
      <c r="H1923" s="265">
        <f t="shared" si="165"/>
        <v>5240</v>
      </c>
      <c r="I1923" s="264" t="s">
        <v>170</v>
      </c>
      <c r="J1923" s="1001" t="s">
        <v>5988</v>
      </c>
      <c r="K1923" s="256">
        <v>42760</v>
      </c>
      <c r="L1923" s="256"/>
      <c r="M1923" s="256">
        <v>42752</v>
      </c>
      <c r="N1923" s="251" t="s">
        <v>5973</v>
      </c>
      <c r="O1923" s="595" t="s">
        <v>6002</v>
      </c>
      <c r="P1923" s="251"/>
      <c r="Q1923" s="251"/>
      <c r="R1923" s="1432"/>
      <c r="S1923" s="1432"/>
      <c r="U1923" s="328"/>
      <c r="V1923" s="744" t="s">
        <v>2109</v>
      </c>
      <c r="W1923" s="1005"/>
      <c r="X1923" s="328" t="s">
        <v>6003</v>
      </c>
      <c r="Y1923" s="328" t="s">
        <v>6003</v>
      </c>
      <c r="Z1923" s="328" t="s">
        <v>6003</v>
      </c>
      <c r="AA1923" s="251"/>
      <c r="AB1923" s="250" t="s">
        <v>5999</v>
      </c>
      <c r="AC1923" s="1003"/>
      <c r="AD1923" s="1003"/>
      <c r="AE1923" s="1003"/>
      <c r="AF1923" s="745"/>
      <c r="AG1923" s="251" t="s">
        <v>283</v>
      </c>
    </row>
    <row r="1924" spans="1:33" ht="15.75" customHeight="1">
      <c r="A1924" s="755">
        <v>42732</v>
      </c>
      <c r="B1924" s="250" t="s">
        <v>76</v>
      </c>
      <c r="C1924" s="744">
        <v>1132</v>
      </c>
      <c r="D1924" s="250" t="s">
        <v>5998</v>
      </c>
      <c r="E1924" s="250" t="s">
        <v>5976</v>
      </c>
      <c r="F1924" s="305">
        <v>40</v>
      </c>
      <c r="G1924" s="252">
        <v>15</v>
      </c>
      <c r="H1924" s="265">
        <f t="shared" si="165"/>
        <v>600</v>
      </c>
      <c r="I1924" s="264" t="s">
        <v>170</v>
      </c>
      <c r="J1924" s="1001" t="s">
        <v>5988</v>
      </c>
      <c r="K1924" s="256">
        <v>42760</v>
      </c>
      <c r="L1924" s="256"/>
      <c r="M1924" s="256">
        <v>42752</v>
      </c>
      <c r="N1924" s="251" t="s">
        <v>5973</v>
      </c>
      <c r="O1924" s="595" t="s">
        <v>6002</v>
      </c>
      <c r="P1924" s="251"/>
      <c r="Q1924" s="251"/>
      <c r="R1924" s="1432"/>
      <c r="S1924" s="1432"/>
      <c r="U1924" s="328"/>
      <c r="V1924" s="744" t="s">
        <v>2109</v>
      </c>
      <c r="W1924" s="1005"/>
      <c r="X1924" s="328" t="s">
        <v>6003</v>
      </c>
      <c r="Y1924" s="328" t="s">
        <v>6003</v>
      </c>
      <c r="Z1924" s="328" t="s">
        <v>6003</v>
      </c>
      <c r="AA1924" s="251"/>
      <c r="AB1924" s="250" t="s">
        <v>5999</v>
      </c>
      <c r="AC1924" s="1003"/>
      <c r="AD1924" s="1003"/>
      <c r="AE1924" s="1003"/>
      <c r="AF1924" s="745"/>
      <c r="AG1924" s="251" t="s">
        <v>283</v>
      </c>
    </row>
    <row r="1925" spans="1:33" ht="15.75" customHeight="1">
      <c r="A1925" s="755">
        <v>42732</v>
      </c>
      <c r="B1925" s="250" t="s">
        <v>5981</v>
      </c>
      <c r="C1925" s="250">
        <v>7000126517</v>
      </c>
      <c r="D1925" s="250" t="s">
        <v>5982</v>
      </c>
      <c r="E1925" s="250" t="s">
        <v>6004</v>
      </c>
      <c r="F1925" s="787">
        <v>5</v>
      </c>
      <c r="G1925" s="265">
        <v>144</v>
      </c>
      <c r="H1925" s="265">
        <f t="shared" si="165"/>
        <v>720</v>
      </c>
      <c r="I1925" s="264" t="s">
        <v>42</v>
      </c>
      <c r="J1925" s="401" t="s">
        <v>3462</v>
      </c>
      <c r="K1925" s="256">
        <v>42741</v>
      </c>
      <c r="L1925" s="256"/>
      <c r="M1925" s="256">
        <v>42741</v>
      </c>
      <c r="N1925" s="401" t="s">
        <v>5935</v>
      </c>
      <c r="O1925" s="744" t="s">
        <v>6005</v>
      </c>
      <c r="P1925" s="251"/>
      <c r="Q1925" s="1006">
        <v>21037</v>
      </c>
      <c r="R1925" s="1415"/>
      <c r="S1925" s="1415"/>
      <c r="U1925" s="251"/>
      <c r="V1925" s="308" t="s">
        <v>5937</v>
      </c>
      <c r="W1925" s="747">
        <v>42830</v>
      </c>
      <c r="X1925" s="750">
        <v>42740</v>
      </c>
      <c r="Y1925" s="744" t="s">
        <v>6006</v>
      </c>
      <c r="Z1925" s="749">
        <v>81020</v>
      </c>
      <c r="AA1925" s="256">
        <v>42830</v>
      </c>
      <c r="AB1925" s="250" t="s">
        <v>6007</v>
      </c>
      <c r="AC1925" s="1003"/>
      <c r="AD1925" s="1003"/>
      <c r="AE1925" s="1003"/>
      <c r="AF1925" s="745"/>
      <c r="AG1925" s="251" t="s">
        <v>283</v>
      </c>
    </row>
    <row r="1926" spans="1:33" ht="15.75" customHeight="1">
      <c r="A1926" s="755">
        <v>42732</v>
      </c>
      <c r="B1926" s="250" t="s">
        <v>5981</v>
      </c>
      <c r="C1926" s="250">
        <v>7000126517</v>
      </c>
      <c r="D1926" s="250" t="s">
        <v>5982</v>
      </c>
      <c r="E1926" s="250" t="s">
        <v>6008</v>
      </c>
      <c r="F1926" s="787">
        <v>3</v>
      </c>
      <c r="G1926" s="265">
        <v>86</v>
      </c>
      <c r="H1926" s="265">
        <f t="shared" si="165"/>
        <v>258</v>
      </c>
      <c r="I1926" s="264" t="s">
        <v>42</v>
      </c>
      <c r="J1926" s="401" t="s">
        <v>3462</v>
      </c>
      <c r="K1926" s="256">
        <v>42741</v>
      </c>
      <c r="L1926" s="256"/>
      <c r="M1926" s="256">
        <v>42741</v>
      </c>
      <c r="N1926" s="401" t="s">
        <v>5935</v>
      </c>
      <c r="O1926" s="744" t="s">
        <v>6005</v>
      </c>
      <c r="P1926" s="251"/>
      <c r="Q1926" s="630">
        <v>7519</v>
      </c>
      <c r="R1926" s="1415"/>
      <c r="S1926" s="1415"/>
      <c r="U1926" s="251"/>
      <c r="V1926" s="308" t="s">
        <v>5937</v>
      </c>
      <c r="W1926" s="747">
        <v>42830</v>
      </c>
      <c r="X1926" s="750">
        <v>42740</v>
      </c>
      <c r="Y1926" s="744" t="s">
        <v>6006</v>
      </c>
      <c r="Z1926" s="749">
        <v>81020</v>
      </c>
      <c r="AA1926" s="256">
        <v>42830</v>
      </c>
      <c r="AB1926" s="250" t="s">
        <v>6007</v>
      </c>
      <c r="AC1926" s="1003"/>
      <c r="AD1926" s="1003"/>
      <c r="AE1926" s="1003"/>
      <c r="AF1926" s="745"/>
      <c r="AG1926" s="251" t="s">
        <v>283</v>
      </c>
    </row>
    <row r="1927" spans="1:33" ht="15.75" customHeight="1">
      <c r="A1927" s="755">
        <v>42732</v>
      </c>
      <c r="B1927" s="250" t="s">
        <v>5981</v>
      </c>
      <c r="C1927" s="250">
        <v>7000126517</v>
      </c>
      <c r="D1927" s="250" t="s">
        <v>5982</v>
      </c>
      <c r="E1927" s="250" t="s">
        <v>3515</v>
      </c>
      <c r="F1927" s="787">
        <v>2</v>
      </c>
      <c r="G1927" s="265">
        <v>46</v>
      </c>
      <c r="H1927" s="265">
        <f t="shared" si="165"/>
        <v>92</v>
      </c>
      <c r="I1927" s="264" t="s">
        <v>42</v>
      </c>
      <c r="J1927" s="401" t="s">
        <v>3462</v>
      </c>
      <c r="K1927" s="256">
        <v>42741</v>
      </c>
      <c r="L1927" s="256"/>
      <c r="M1927" s="256">
        <v>42741</v>
      </c>
      <c r="N1927" s="401" t="s">
        <v>5935</v>
      </c>
      <c r="O1927" s="744" t="s">
        <v>6005</v>
      </c>
      <c r="P1927" s="251"/>
      <c r="Q1927" s="630">
        <v>2684</v>
      </c>
      <c r="R1927" s="1415"/>
      <c r="S1927" s="1415"/>
      <c r="U1927" s="251"/>
      <c r="V1927" s="308" t="s">
        <v>5937</v>
      </c>
      <c r="W1927" s="747">
        <v>42830</v>
      </c>
      <c r="X1927" s="750">
        <v>42740</v>
      </c>
      <c r="Y1927" s="744" t="s">
        <v>6006</v>
      </c>
      <c r="Z1927" s="749">
        <v>81020</v>
      </c>
      <c r="AA1927" s="256">
        <v>42830</v>
      </c>
      <c r="AB1927" s="250" t="s">
        <v>6007</v>
      </c>
      <c r="AC1927" s="1003"/>
      <c r="AD1927" s="1003"/>
      <c r="AE1927" s="1003"/>
      <c r="AF1927" s="745"/>
      <c r="AG1927" s="251" t="s">
        <v>283</v>
      </c>
    </row>
    <row r="1928" spans="1:33" ht="15.75" customHeight="1">
      <c r="A1928" s="755">
        <v>42732</v>
      </c>
      <c r="B1928" s="250" t="s">
        <v>5981</v>
      </c>
      <c r="C1928" s="250">
        <v>7000126517</v>
      </c>
      <c r="D1928" s="250" t="s">
        <v>5982</v>
      </c>
      <c r="E1928" s="250" t="s">
        <v>6009</v>
      </c>
      <c r="F1928" s="787">
        <v>5</v>
      </c>
      <c r="G1928" s="265">
        <v>233</v>
      </c>
      <c r="H1928" s="265">
        <f t="shared" si="165"/>
        <v>1165</v>
      </c>
      <c r="I1928" s="264" t="s">
        <v>42</v>
      </c>
      <c r="J1928" s="401" t="s">
        <v>3462</v>
      </c>
      <c r="K1928" s="256">
        <v>42741</v>
      </c>
      <c r="L1928" s="256"/>
      <c r="M1928" s="256">
        <v>42741</v>
      </c>
      <c r="N1928" s="401" t="s">
        <v>5935</v>
      </c>
      <c r="O1928" s="744" t="s">
        <v>6005</v>
      </c>
      <c r="P1928" s="251"/>
      <c r="Q1928" s="630">
        <v>33994</v>
      </c>
      <c r="R1928" s="1415"/>
      <c r="S1928" s="1415"/>
      <c r="U1928" s="251"/>
      <c r="V1928" s="308" t="s">
        <v>5937</v>
      </c>
      <c r="W1928" s="747">
        <v>42830</v>
      </c>
      <c r="X1928" s="750">
        <v>42740</v>
      </c>
      <c r="Y1928" s="744" t="s">
        <v>6006</v>
      </c>
      <c r="Z1928" s="749">
        <v>81020</v>
      </c>
      <c r="AA1928" s="256">
        <v>42830</v>
      </c>
      <c r="AB1928" s="250" t="s">
        <v>6007</v>
      </c>
      <c r="AC1928" s="1003"/>
      <c r="AD1928" s="1003"/>
      <c r="AE1928" s="1003"/>
      <c r="AF1928" s="745"/>
      <c r="AG1928" s="251" t="s">
        <v>283</v>
      </c>
    </row>
    <row r="1929" spans="1:33" ht="15.75" customHeight="1">
      <c r="A1929" s="755">
        <v>42732</v>
      </c>
      <c r="B1929" s="250" t="s">
        <v>5981</v>
      </c>
      <c r="C1929" s="250">
        <v>7000126517</v>
      </c>
      <c r="D1929" s="250" t="s">
        <v>5982</v>
      </c>
      <c r="E1929" s="250" t="s">
        <v>3927</v>
      </c>
      <c r="F1929" s="787">
        <v>5</v>
      </c>
      <c r="G1929" s="265">
        <v>50</v>
      </c>
      <c r="H1929" s="265">
        <f t="shared" si="165"/>
        <v>250</v>
      </c>
      <c r="I1929" s="264" t="s">
        <v>42</v>
      </c>
      <c r="J1929" s="401" t="s">
        <v>3462</v>
      </c>
      <c r="K1929" s="256">
        <v>42741</v>
      </c>
      <c r="L1929" s="256"/>
      <c r="M1929" s="256">
        <v>42741</v>
      </c>
      <c r="N1929" s="401" t="s">
        <v>5935</v>
      </c>
      <c r="O1929" s="744" t="s">
        <v>6005</v>
      </c>
      <c r="P1929" s="251"/>
      <c r="Q1929" s="630">
        <v>7292</v>
      </c>
      <c r="R1929" s="1415"/>
      <c r="S1929" s="1415"/>
      <c r="U1929" s="251"/>
      <c r="V1929" s="308" t="s">
        <v>5937</v>
      </c>
      <c r="W1929" s="747">
        <v>42830</v>
      </c>
      <c r="X1929" s="750">
        <v>42740</v>
      </c>
      <c r="Y1929" s="744" t="s">
        <v>6006</v>
      </c>
      <c r="Z1929" s="749">
        <v>81020</v>
      </c>
      <c r="AA1929" s="256">
        <v>42830</v>
      </c>
      <c r="AB1929" s="250" t="s">
        <v>6007</v>
      </c>
      <c r="AC1929" s="1003"/>
      <c r="AD1929" s="1003"/>
      <c r="AE1929" s="1003"/>
      <c r="AF1929" s="745"/>
      <c r="AG1929" s="251" t="s">
        <v>283</v>
      </c>
    </row>
    <row r="1930" spans="1:33" ht="15.75" customHeight="1">
      <c r="A1930" s="755">
        <v>42732</v>
      </c>
      <c r="B1930" s="250" t="s">
        <v>5981</v>
      </c>
      <c r="C1930" s="250">
        <v>7000126517</v>
      </c>
      <c r="D1930" s="250" t="s">
        <v>5982</v>
      </c>
      <c r="E1930" s="250" t="s">
        <v>6010</v>
      </c>
      <c r="F1930" s="787">
        <v>5</v>
      </c>
      <c r="G1930" s="265">
        <v>58</v>
      </c>
      <c r="H1930" s="265">
        <f t="shared" si="165"/>
        <v>290</v>
      </c>
      <c r="I1930" s="264" t="s">
        <v>42</v>
      </c>
      <c r="J1930" s="401" t="s">
        <v>3462</v>
      </c>
      <c r="K1930" s="256">
        <v>42741</v>
      </c>
      <c r="L1930" s="256"/>
      <c r="M1930" s="256">
        <v>42741</v>
      </c>
      <c r="N1930" s="401" t="s">
        <v>5935</v>
      </c>
      <c r="O1930" s="744" t="s">
        <v>6005</v>
      </c>
      <c r="P1930" s="251"/>
      <c r="Q1930" s="630">
        <v>8495</v>
      </c>
      <c r="R1930" s="1415"/>
      <c r="S1930" s="1415"/>
      <c r="U1930" s="251"/>
      <c r="V1930" s="308" t="s">
        <v>5937</v>
      </c>
      <c r="W1930" s="747">
        <v>42830</v>
      </c>
      <c r="X1930" s="750">
        <v>42740</v>
      </c>
      <c r="Y1930" s="744" t="s">
        <v>6006</v>
      </c>
      <c r="Z1930" s="749">
        <v>81020</v>
      </c>
      <c r="AA1930" s="256">
        <v>42830</v>
      </c>
      <c r="AB1930" s="250" t="s">
        <v>6007</v>
      </c>
      <c r="AC1930" s="1003"/>
      <c r="AD1930" s="1003"/>
      <c r="AE1930" s="1003"/>
      <c r="AF1930" s="745"/>
      <c r="AG1930" s="251" t="s">
        <v>283</v>
      </c>
    </row>
    <row r="1931" spans="1:33" ht="15.75" customHeight="1">
      <c r="A1931" s="755">
        <v>42732</v>
      </c>
      <c r="B1931" s="250" t="s">
        <v>5981</v>
      </c>
      <c r="C1931" s="250">
        <v>7000126517</v>
      </c>
      <c r="D1931" s="250" t="s">
        <v>5982</v>
      </c>
      <c r="E1931" s="250" t="s">
        <v>3559</v>
      </c>
      <c r="F1931" s="787">
        <v>2</v>
      </c>
      <c r="G1931" s="265">
        <v>4.5</v>
      </c>
      <c r="H1931" s="265">
        <f t="shared" si="165"/>
        <v>9</v>
      </c>
      <c r="I1931" s="264" t="s">
        <v>42</v>
      </c>
      <c r="J1931" s="401" t="s">
        <v>3462</v>
      </c>
      <c r="K1931" s="256">
        <v>42741</v>
      </c>
      <c r="L1931" s="256"/>
      <c r="M1931" s="256">
        <v>42739</v>
      </c>
      <c r="N1931" s="264" t="s">
        <v>3432</v>
      </c>
      <c r="O1931" s="744" t="s">
        <v>5984</v>
      </c>
      <c r="P1931" s="251"/>
      <c r="Q1931" s="630">
        <v>231</v>
      </c>
      <c r="R1931" s="1415"/>
      <c r="S1931" s="1415"/>
      <c r="U1931" s="251"/>
      <c r="V1931" s="308" t="s">
        <v>5937</v>
      </c>
      <c r="W1931" s="747">
        <v>42830</v>
      </c>
      <c r="X1931" s="750">
        <v>42738</v>
      </c>
      <c r="Y1931" s="744" t="s">
        <v>6011</v>
      </c>
      <c r="Z1931" s="749">
        <v>20349</v>
      </c>
      <c r="AA1931" s="256">
        <v>42799</v>
      </c>
      <c r="AB1931" s="250" t="s">
        <v>6007</v>
      </c>
      <c r="AC1931" s="1003"/>
      <c r="AD1931" s="1003"/>
      <c r="AE1931" s="1003"/>
      <c r="AF1931" s="745"/>
      <c r="AG1931" s="251" t="s">
        <v>283</v>
      </c>
    </row>
    <row r="1932" spans="1:33" ht="15.75" customHeight="1">
      <c r="A1932" s="755">
        <v>42732</v>
      </c>
      <c r="B1932" s="250" t="s">
        <v>5981</v>
      </c>
      <c r="C1932" s="250">
        <v>7000126517</v>
      </c>
      <c r="D1932" s="250" t="s">
        <v>5982</v>
      </c>
      <c r="E1932" s="250" t="s">
        <v>3567</v>
      </c>
      <c r="F1932" s="787">
        <v>2</v>
      </c>
      <c r="G1932" s="265">
        <v>37</v>
      </c>
      <c r="H1932" s="265">
        <f t="shared" si="165"/>
        <v>74</v>
      </c>
      <c r="I1932" s="264" t="s">
        <v>42</v>
      </c>
      <c r="J1932" s="401" t="s">
        <v>3462</v>
      </c>
      <c r="K1932" s="256">
        <v>42741</v>
      </c>
      <c r="L1932" s="256"/>
      <c r="M1932" s="256">
        <v>42739</v>
      </c>
      <c r="N1932" s="264" t="s">
        <v>3432</v>
      </c>
      <c r="O1932" s="744" t="s">
        <v>5984</v>
      </c>
      <c r="P1932" s="251"/>
      <c r="Q1932" s="630">
        <v>2188</v>
      </c>
      <c r="R1932" s="1415"/>
      <c r="S1932" s="1415"/>
      <c r="U1932" s="251"/>
      <c r="V1932" s="308" t="s">
        <v>5937</v>
      </c>
      <c r="W1932" s="747">
        <v>42830</v>
      </c>
      <c r="X1932" s="750">
        <v>42738</v>
      </c>
      <c r="Y1932" s="744" t="s">
        <v>6011</v>
      </c>
      <c r="Z1932" s="749">
        <v>20349</v>
      </c>
      <c r="AA1932" s="256">
        <v>42799</v>
      </c>
      <c r="AB1932" s="250" t="s">
        <v>6007</v>
      </c>
      <c r="AC1932" s="1003"/>
      <c r="AD1932" s="1003"/>
      <c r="AE1932" s="1003"/>
      <c r="AF1932" s="745"/>
      <c r="AG1932" s="251" t="s">
        <v>283</v>
      </c>
    </row>
    <row r="1933" spans="1:33" ht="15.75" customHeight="1">
      <c r="A1933" s="755">
        <v>42732</v>
      </c>
      <c r="B1933" s="250" t="s">
        <v>5981</v>
      </c>
      <c r="C1933" s="250">
        <v>7000126517</v>
      </c>
      <c r="D1933" s="250" t="s">
        <v>5982</v>
      </c>
      <c r="E1933" s="250" t="s">
        <v>3563</v>
      </c>
      <c r="F1933" s="787">
        <v>2</v>
      </c>
      <c r="G1933" s="265">
        <v>8.5</v>
      </c>
      <c r="H1933" s="265">
        <f t="shared" si="165"/>
        <v>17</v>
      </c>
      <c r="I1933" s="264" t="s">
        <v>42</v>
      </c>
      <c r="J1933" s="401" t="s">
        <v>3462</v>
      </c>
      <c r="K1933" s="256">
        <v>42741</v>
      </c>
      <c r="L1933" s="256"/>
      <c r="M1933" s="256">
        <v>42739</v>
      </c>
      <c r="N1933" s="264" t="s">
        <v>3432</v>
      </c>
      <c r="O1933" s="744" t="s">
        <v>5984</v>
      </c>
      <c r="P1933" s="251"/>
      <c r="Q1933" s="630">
        <v>407</v>
      </c>
      <c r="R1933" s="1415"/>
      <c r="S1933" s="1415"/>
      <c r="U1933" s="251"/>
      <c r="V1933" s="308" t="s">
        <v>5937</v>
      </c>
      <c r="W1933" s="747">
        <v>42830</v>
      </c>
      <c r="X1933" s="750">
        <v>42738</v>
      </c>
      <c r="Y1933" s="744" t="s">
        <v>6011</v>
      </c>
      <c r="Z1933" s="749">
        <v>20349</v>
      </c>
      <c r="AA1933" s="256">
        <v>42799</v>
      </c>
      <c r="AB1933" s="250" t="s">
        <v>6007</v>
      </c>
      <c r="AC1933" s="1003"/>
      <c r="AD1933" s="1003"/>
      <c r="AE1933" s="1003"/>
      <c r="AF1933" s="745"/>
      <c r="AG1933" s="251" t="s">
        <v>283</v>
      </c>
    </row>
    <row r="1934" spans="1:33" ht="15.75" customHeight="1">
      <c r="A1934" s="755">
        <v>42732</v>
      </c>
      <c r="B1934" s="250" t="s">
        <v>5981</v>
      </c>
      <c r="C1934" s="250">
        <v>7000126517</v>
      </c>
      <c r="D1934" s="250" t="s">
        <v>5982</v>
      </c>
      <c r="E1934" s="250" t="s">
        <v>3565</v>
      </c>
      <c r="F1934" s="787">
        <v>2</v>
      </c>
      <c r="G1934" s="265">
        <v>236</v>
      </c>
      <c r="H1934" s="265">
        <f t="shared" si="165"/>
        <v>472</v>
      </c>
      <c r="I1934" s="264" t="s">
        <v>42</v>
      </c>
      <c r="J1934" s="401" t="s">
        <v>3462</v>
      </c>
      <c r="K1934" s="256">
        <v>42741</v>
      </c>
      <c r="L1934" s="256"/>
      <c r="M1934" s="256">
        <v>42739</v>
      </c>
      <c r="N1934" s="264" t="s">
        <v>3432</v>
      </c>
      <c r="O1934" s="744" t="s">
        <v>5984</v>
      </c>
      <c r="P1934" s="251"/>
      <c r="Q1934" s="630">
        <v>14247</v>
      </c>
      <c r="R1934" s="1415"/>
      <c r="S1934" s="1415"/>
      <c r="U1934" s="251"/>
      <c r="V1934" s="308" t="s">
        <v>5937</v>
      </c>
      <c r="W1934" s="747">
        <v>42830</v>
      </c>
      <c r="X1934" s="750">
        <v>42738</v>
      </c>
      <c r="Y1934" s="744" t="s">
        <v>6011</v>
      </c>
      <c r="Z1934" s="749">
        <v>20349</v>
      </c>
      <c r="AA1934" s="256">
        <v>42799</v>
      </c>
      <c r="AB1934" s="250" t="s">
        <v>6007</v>
      </c>
      <c r="AC1934" s="1003"/>
      <c r="AD1934" s="1003"/>
      <c r="AE1934" s="1003"/>
      <c r="AF1934" s="745"/>
      <c r="AG1934" s="251" t="s">
        <v>283</v>
      </c>
    </row>
    <row r="1935" spans="1:33" ht="15.75" customHeight="1">
      <c r="A1935" s="755">
        <v>42732</v>
      </c>
      <c r="B1935" s="250" t="s">
        <v>5981</v>
      </c>
      <c r="C1935" s="250">
        <v>7000126517</v>
      </c>
      <c r="D1935" s="250" t="s">
        <v>5982</v>
      </c>
      <c r="E1935" s="250" t="s">
        <v>3566</v>
      </c>
      <c r="F1935" s="787">
        <v>2</v>
      </c>
      <c r="G1935" s="265">
        <v>55</v>
      </c>
      <c r="H1935" s="265">
        <f t="shared" si="165"/>
        <v>110</v>
      </c>
      <c r="I1935" s="264" t="s">
        <v>42</v>
      </c>
      <c r="J1935" s="401" t="s">
        <v>3462</v>
      </c>
      <c r="K1935" s="256">
        <v>42741</v>
      </c>
      <c r="L1935" s="256"/>
      <c r="M1935" s="256">
        <v>42739</v>
      </c>
      <c r="N1935" s="264" t="s">
        <v>3432</v>
      </c>
      <c r="O1935" s="744" t="s">
        <v>5984</v>
      </c>
      <c r="P1935" s="251"/>
      <c r="Q1935" s="630">
        <v>3276</v>
      </c>
      <c r="R1935" s="1415"/>
      <c r="S1935" s="1415"/>
      <c r="U1935" s="251"/>
      <c r="V1935" s="308" t="s">
        <v>5937</v>
      </c>
      <c r="W1935" s="747">
        <v>42830</v>
      </c>
      <c r="X1935" s="750">
        <v>42738</v>
      </c>
      <c r="Y1935" s="744" t="s">
        <v>6011</v>
      </c>
      <c r="Z1935" s="749">
        <v>20349</v>
      </c>
      <c r="AA1935" s="256">
        <v>42799</v>
      </c>
      <c r="AB1935" s="250" t="s">
        <v>6007</v>
      </c>
      <c r="AC1935" s="1003"/>
      <c r="AD1935" s="1003"/>
      <c r="AE1935" s="1003"/>
      <c r="AF1935" s="745"/>
      <c r="AG1935" s="251" t="s">
        <v>283</v>
      </c>
    </row>
    <row r="1936" spans="1:33" ht="15.75" customHeight="1">
      <c r="A1936" s="755">
        <v>42734</v>
      </c>
      <c r="B1936" s="250" t="s">
        <v>5981</v>
      </c>
      <c r="C1936" s="250">
        <v>7000126550</v>
      </c>
      <c r="D1936" s="250" t="s">
        <v>6012</v>
      </c>
      <c r="E1936" s="250" t="s">
        <v>6013</v>
      </c>
      <c r="F1936" s="305">
        <v>4</v>
      </c>
      <c r="G1936" s="252">
        <v>43</v>
      </c>
      <c r="H1936" s="265">
        <f t="shared" si="165"/>
        <v>172</v>
      </c>
      <c r="I1936" s="264" t="s">
        <v>42</v>
      </c>
      <c r="J1936" s="401" t="s">
        <v>3462</v>
      </c>
      <c r="K1936" s="256">
        <v>42741</v>
      </c>
      <c r="L1936" s="256"/>
      <c r="M1936" s="256">
        <v>42741</v>
      </c>
      <c r="N1936" s="264" t="s">
        <v>3432</v>
      </c>
      <c r="O1936" s="744" t="s">
        <v>6014</v>
      </c>
      <c r="P1936" s="251"/>
      <c r="Q1936" s="630">
        <v>5141</v>
      </c>
      <c r="R1936" s="1415"/>
      <c r="S1936" s="1415"/>
      <c r="U1936" s="251"/>
      <c r="V1936" s="308" t="s">
        <v>5937</v>
      </c>
      <c r="W1936" s="747">
        <v>42830</v>
      </c>
      <c r="X1936" s="748">
        <v>42740</v>
      </c>
      <c r="Y1936" s="744" t="s">
        <v>6015</v>
      </c>
      <c r="Z1936" s="749">
        <v>37708</v>
      </c>
      <c r="AA1936" s="256">
        <v>42799</v>
      </c>
      <c r="AB1936" s="250" t="s">
        <v>6007</v>
      </c>
      <c r="AC1936" s="1003"/>
      <c r="AD1936" s="1003"/>
      <c r="AE1936" s="1003"/>
      <c r="AF1936" s="745"/>
      <c r="AG1936" s="251" t="s">
        <v>283</v>
      </c>
    </row>
    <row r="1937" spans="1:33" ht="15.75" customHeight="1">
      <c r="A1937" s="755">
        <v>42734</v>
      </c>
      <c r="B1937" s="250" t="s">
        <v>5981</v>
      </c>
      <c r="C1937" s="250">
        <v>7000126550</v>
      </c>
      <c r="D1937" s="250" t="s">
        <v>6012</v>
      </c>
      <c r="E1937" s="250" t="s">
        <v>6016</v>
      </c>
      <c r="F1937" s="305">
        <v>2</v>
      </c>
      <c r="G1937" s="252">
        <v>270</v>
      </c>
      <c r="H1937" s="265">
        <f t="shared" si="165"/>
        <v>540</v>
      </c>
      <c r="I1937" s="264" t="s">
        <v>42</v>
      </c>
      <c r="J1937" s="401" t="s">
        <v>3462</v>
      </c>
      <c r="K1937" s="256">
        <v>42741</v>
      </c>
      <c r="L1937" s="256"/>
      <c r="M1937" s="256">
        <v>42741</v>
      </c>
      <c r="N1937" s="264" t="s">
        <v>3432</v>
      </c>
      <c r="O1937" s="744" t="s">
        <v>6014</v>
      </c>
      <c r="P1937" s="251"/>
      <c r="Q1937" s="790">
        <v>16283.5</v>
      </c>
      <c r="R1937" s="1414"/>
      <c r="S1937" s="1414"/>
      <c r="U1937" s="251"/>
      <c r="V1937" s="308" t="s">
        <v>5937</v>
      </c>
      <c r="W1937" s="747">
        <v>42830</v>
      </c>
      <c r="X1937" s="748">
        <v>42740</v>
      </c>
      <c r="Y1937" s="744" t="s">
        <v>6015</v>
      </c>
      <c r="Z1937" s="749">
        <v>37708</v>
      </c>
      <c r="AA1937" s="256">
        <v>42799</v>
      </c>
      <c r="AB1937" s="250" t="s">
        <v>6007</v>
      </c>
      <c r="AC1937" s="1003"/>
      <c r="AD1937" s="1003"/>
      <c r="AE1937" s="1003"/>
      <c r="AF1937" s="745"/>
      <c r="AG1937" s="251" t="s">
        <v>283</v>
      </c>
    </row>
    <row r="1938" spans="1:33" ht="15.75" customHeight="1">
      <c r="A1938" s="755">
        <v>42734</v>
      </c>
      <c r="B1938" s="250" t="s">
        <v>5981</v>
      </c>
      <c r="C1938" s="250">
        <v>7000126550</v>
      </c>
      <c r="D1938" s="250" t="s">
        <v>6012</v>
      </c>
      <c r="E1938" s="250" t="s">
        <v>6016</v>
      </c>
      <c r="F1938" s="305">
        <v>2</v>
      </c>
      <c r="G1938" s="252">
        <v>270</v>
      </c>
      <c r="H1938" s="265">
        <f t="shared" si="165"/>
        <v>540</v>
      </c>
      <c r="I1938" s="264" t="s">
        <v>42</v>
      </c>
      <c r="J1938" s="401" t="s">
        <v>3462</v>
      </c>
      <c r="K1938" s="256">
        <v>42741</v>
      </c>
      <c r="L1938" s="256"/>
      <c r="M1938" s="256">
        <v>42741</v>
      </c>
      <c r="N1938" s="264" t="s">
        <v>3432</v>
      </c>
      <c r="O1938" s="744" t="s">
        <v>6014</v>
      </c>
      <c r="P1938" s="251"/>
      <c r="Q1938" s="790">
        <v>16283.5</v>
      </c>
      <c r="R1938" s="1414"/>
      <c r="S1938" s="1414"/>
      <c r="U1938" s="251"/>
      <c r="V1938" s="308" t="s">
        <v>5937</v>
      </c>
      <c r="W1938" s="747">
        <v>42830</v>
      </c>
      <c r="X1938" s="748">
        <v>42740</v>
      </c>
      <c r="Y1938" s="744" t="s">
        <v>6015</v>
      </c>
      <c r="Z1938" s="749">
        <v>37708</v>
      </c>
      <c r="AA1938" s="256">
        <v>42799</v>
      </c>
      <c r="AB1938" s="250" t="s">
        <v>6007</v>
      </c>
      <c r="AC1938" s="1003"/>
      <c r="AD1938" s="1003"/>
      <c r="AE1938" s="1003"/>
      <c r="AF1938" s="745"/>
      <c r="AG1938" s="251" t="s">
        <v>283</v>
      </c>
    </row>
    <row r="1939" spans="1:33" ht="15.75" customHeight="1">
      <c r="A1939" s="755">
        <v>42738</v>
      </c>
      <c r="B1939" s="250" t="s">
        <v>3709</v>
      </c>
      <c r="C1939" s="744" t="s">
        <v>6017</v>
      </c>
      <c r="D1939" s="250" t="s">
        <v>6018</v>
      </c>
      <c r="E1939" s="250" t="s">
        <v>6019</v>
      </c>
      <c r="F1939" s="305">
        <v>8</v>
      </c>
      <c r="G1939" s="252">
        <v>156</v>
      </c>
      <c r="H1939" s="265">
        <f t="shared" si="165"/>
        <v>1248</v>
      </c>
      <c r="I1939" s="264" t="s">
        <v>3712</v>
      </c>
      <c r="J1939" s="367" t="s">
        <v>6020</v>
      </c>
      <c r="K1939" s="256">
        <v>42747</v>
      </c>
      <c r="L1939" s="256"/>
      <c r="M1939" s="256">
        <v>42746</v>
      </c>
      <c r="N1939" s="251" t="s">
        <v>89</v>
      </c>
      <c r="O1939" s="250" t="s">
        <v>6021</v>
      </c>
      <c r="P1939" s="574">
        <v>1117.2</v>
      </c>
      <c r="Q1939" s="251"/>
      <c r="R1939" s="1432"/>
      <c r="S1939" s="1432"/>
      <c r="U1939" s="251"/>
      <c r="V1939" s="318" t="s">
        <v>5896</v>
      </c>
      <c r="W1939" s="789">
        <v>42799</v>
      </c>
      <c r="X1939" s="748">
        <v>42745</v>
      </c>
      <c r="Y1939" s="744" t="s">
        <v>6022</v>
      </c>
      <c r="Z1939" s="749">
        <v>35862</v>
      </c>
      <c r="AA1939" s="256">
        <v>42801</v>
      </c>
      <c r="AB1939" s="250" t="s">
        <v>6023</v>
      </c>
      <c r="AC1939" s="1003"/>
      <c r="AD1939" s="1003"/>
      <c r="AE1939" s="1003"/>
      <c r="AF1939" s="745"/>
      <c r="AG1939" s="251" t="s">
        <v>283</v>
      </c>
    </row>
    <row r="1940" spans="1:33" ht="15.75" customHeight="1">
      <c r="A1940" s="755">
        <v>42739</v>
      </c>
      <c r="B1940" s="250" t="s">
        <v>228</v>
      </c>
      <c r="C1940" s="744"/>
      <c r="D1940" s="250" t="s">
        <v>6024</v>
      </c>
      <c r="E1940" s="250" t="s">
        <v>461</v>
      </c>
      <c r="F1940" s="305">
        <v>24</v>
      </c>
      <c r="G1940" s="265">
        <v>415.8</v>
      </c>
      <c r="H1940" s="265">
        <f t="shared" si="165"/>
        <v>9979.2000000000007</v>
      </c>
      <c r="I1940" s="264" t="s">
        <v>170</v>
      </c>
      <c r="J1940" s="251" t="s">
        <v>89</v>
      </c>
      <c r="K1940" s="256">
        <v>42755</v>
      </c>
      <c r="L1940" s="256"/>
      <c r="M1940" s="251"/>
      <c r="N1940" s="251" t="s">
        <v>89</v>
      </c>
      <c r="O1940" s="250" t="s">
        <v>6025</v>
      </c>
      <c r="P1940" s="574">
        <v>8946</v>
      </c>
      <c r="Q1940" s="251"/>
      <c r="R1940" s="1432"/>
      <c r="S1940" s="1432"/>
      <c r="U1940" s="251"/>
      <c r="V1940" s="318" t="s">
        <v>5896</v>
      </c>
      <c r="W1940" s="789">
        <v>42799</v>
      </c>
      <c r="X1940" s="748">
        <v>42755</v>
      </c>
      <c r="Y1940" s="744" t="s">
        <v>6026</v>
      </c>
      <c r="Z1940" s="749">
        <v>304269</v>
      </c>
      <c r="AA1940" s="256">
        <v>42801</v>
      </c>
      <c r="AB1940" s="250" t="s">
        <v>6027</v>
      </c>
      <c r="AC1940" s="251"/>
      <c r="AD1940" s="264" t="s">
        <v>6028</v>
      </c>
      <c r="AE1940" s="996">
        <v>335939</v>
      </c>
      <c r="AF1940" s="744" t="s">
        <v>6029</v>
      </c>
      <c r="AG1940" s="251" t="s">
        <v>376</v>
      </c>
    </row>
    <row r="1941" spans="1:33" ht="15.75" customHeight="1">
      <c r="A1941" s="755">
        <v>42739</v>
      </c>
      <c r="B1941" s="744" t="s">
        <v>228</v>
      </c>
      <c r="C1941" s="744"/>
      <c r="D1941" s="250" t="s">
        <v>6024</v>
      </c>
      <c r="E1941" s="250" t="s">
        <v>3604</v>
      </c>
      <c r="F1941" s="305">
        <v>2</v>
      </c>
      <c r="G1941" s="464">
        <v>336</v>
      </c>
      <c r="H1941" s="265">
        <f t="shared" si="165"/>
        <v>672</v>
      </c>
      <c r="I1941" s="264" t="s">
        <v>170</v>
      </c>
      <c r="J1941" s="251" t="s">
        <v>89</v>
      </c>
      <c r="K1941" s="256">
        <v>42755</v>
      </c>
      <c r="L1941" s="256"/>
      <c r="M1941" s="251"/>
      <c r="N1941" s="251" t="s">
        <v>89</v>
      </c>
      <c r="O1941" s="250" t="s">
        <v>6025</v>
      </c>
      <c r="P1941" s="574">
        <v>602.70000000000005</v>
      </c>
      <c r="Q1941" s="251"/>
      <c r="R1941" s="1432"/>
      <c r="S1941" s="1432"/>
      <c r="U1941" s="251"/>
      <c r="V1941" s="318" t="s">
        <v>5896</v>
      </c>
      <c r="W1941" s="789">
        <v>42799</v>
      </c>
      <c r="X1941" s="748">
        <v>42755</v>
      </c>
      <c r="Y1941" s="744" t="s">
        <v>6026</v>
      </c>
      <c r="Z1941" s="744" t="s">
        <v>6030</v>
      </c>
      <c r="AA1941" s="256">
        <v>42801</v>
      </c>
      <c r="AB1941" s="250" t="s">
        <v>6027</v>
      </c>
      <c r="AC1941" s="251"/>
      <c r="AD1941" s="264" t="s">
        <v>6028</v>
      </c>
      <c r="AE1941" s="264" t="s">
        <v>6031</v>
      </c>
      <c r="AF1941" s="744" t="s">
        <v>6029</v>
      </c>
      <c r="AG1941" s="251" t="s">
        <v>376</v>
      </c>
    </row>
    <row r="1942" spans="1:33" ht="15.75" customHeight="1">
      <c r="A1942" s="743">
        <v>42741</v>
      </c>
      <c r="B1942" s="744" t="s">
        <v>100</v>
      </c>
      <c r="C1942" s="744" t="s">
        <v>6032</v>
      </c>
      <c r="D1942" s="250" t="s">
        <v>6033</v>
      </c>
      <c r="E1942" s="250" t="s">
        <v>6034</v>
      </c>
      <c r="F1942" s="305">
        <v>3</v>
      </c>
      <c r="G1942" s="252">
        <v>1118</v>
      </c>
      <c r="H1942" s="265">
        <f t="shared" si="165"/>
        <v>3354</v>
      </c>
      <c r="I1942" s="264" t="s">
        <v>3315</v>
      </c>
      <c r="J1942" s="251" t="s">
        <v>532</v>
      </c>
      <c r="K1942" s="256">
        <v>42754</v>
      </c>
      <c r="L1942" s="256"/>
      <c r="M1942" s="594">
        <v>42752</v>
      </c>
      <c r="N1942" s="331" t="s">
        <v>1414</v>
      </c>
      <c r="O1942" s="744" t="s">
        <v>6035</v>
      </c>
      <c r="P1942" s="337"/>
      <c r="Q1942" s="630">
        <v>100249</v>
      </c>
      <c r="R1942" s="1415"/>
      <c r="S1942" s="1415"/>
      <c r="U1942" s="251"/>
      <c r="V1942" s="318" t="s">
        <v>1947</v>
      </c>
      <c r="W1942" s="789">
        <v>42771</v>
      </c>
      <c r="X1942" s="748">
        <v>42751</v>
      </c>
      <c r="Y1942" s="744" t="s">
        <v>6036</v>
      </c>
      <c r="Z1942" s="749">
        <v>100249</v>
      </c>
      <c r="AA1942" s="594">
        <v>42773</v>
      </c>
      <c r="AB1942" s="250" t="s">
        <v>6037</v>
      </c>
      <c r="AC1942" s="1003"/>
      <c r="AD1942" s="1003"/>
      <c r="AE1942" s="1003"/>
      <c r="AF1942" s="745"/>
      <c r="AG1942" s="251" t="s">
        <v>283</v>
      </c>
    </row>
    <row r="1943" spans="1:33" ht="15.75" customHeight="1">
      <c r="A1943" s="743">
        <v>42741</v>
      </c>
      <c r="B1943" s="744" t="s">
        <v>100</v>
      </c>
      <c r="C1943" s="744" t="s">
        <v>6032</v>
      </c>
      <c r="D1943" s="250" t="s">
        <v>6033</v>
      </c>
      <c r="E1943" s="250" t="s">
        <v>6038</v>
      </c>
      <c r="F1943" s="305">
        <v>3</v>
      </c>
      <c r="G1943" s="252">
        <v>70</v>
      </c>
      <c r="H1943" s="265">
        <f t="shared" si="165"/>
        <v>210</v>
      </c>
      <c r="I1943" s="264" t="s">
        <v>3315</v>
      </c>
      <c r="J1943" s="251" t="s">
        <v>532</v>
      </c>
      <c r="K1943" s="256">
        <v>42754</v>
      </c>
      <c r="L1943" s="256"/>
      <c r="M1943" s="256">
        <v>42747</v>
      </c>
      <c r="N1943" s="367" t="s">
        <v>6039</v>
      </c>
      <c r="O1943" s="744" t="s">
        <v>6040</v>
      </c>
      <c r="P1943" s="337"/>
      <c r="Q1943" s="574" t="s">
        <v>6041</v>
      </c>
      <c r="R1943" s="1405"/>
      <c r="S1943" s="1405"/>
      <c r="U1943" s="251"/>
      <c r="V1943" s="308" t="s">
        <v>6042</v>
      </c>
      <c r="W1943" s="789">
        <v>42744</v>
      </c>
      <c r="X1943" s="750">
        <v>42746</v>
      </c>
      <c r="Y1943" s="250" t="s">
        <v>6043</v>
      </c>
      <c r="Z1943" s="753">
        <v>3259</v>
      </c>
      <c r="AA1943" s="594">
        <v>42744</v>
      </c>
      <c r="AB1943" s="250" t="s">
        <v>6037</v>
      </c>
      <c r="AC1943" s="1003"/>
      <c r="AD1943" s="1003"/>
      <c r="AE1943" s="1003"/>
      <c r="AF1943" s="745"/>
      <c r="AG1943" s="251" t="s">
        <v>283</v>
      </c>
    </row>
    <row r="1944" spans="1:33" ht="15.75" customHeight="1">
      <c r="A1944" s="743">
        <v>42746</v>
      </c>
      <c r="B1944" s="744" t="s">
        <v>228</v>
      </c>
      <c r="C1944" s="744"/>
      <c r="D1944" s="250" t="s">
        <v>6044</v>
      </c>
      <c r="E1944" s="250" t="s">
        <v>461</v>
      </c>
      <c r="F1944" s="305">
        <v>28</v>
      </c>
      <c r="G1944" s="265">
        <v>415.8</v>
      </c>
      <c r="H1944" s="265">
        <f t="shared" si="165"/>
        <v>11642.4</v>
      </c>
      <c r="I1944" s="264" t="s">
        <v>170</v>
      </c>
      <c r="J1944" s="251" t="s">
        <v>89</v>
      </c>
      <c r="K1944" s="256">
        <v>42772</v>
      </c>
      <c r="L1944" s="256"/>
      <c r="M1944" s="251"/>
      <c r="N1944" s="251" t="s">
        <v>89</v>
      </c>
      <c r="O1944" s="250" t="s">
        <v>6045</v>
      </c>
      <c r="P1944" s="574">
        <v>10437</v>
      </c>
      <c r="Q1944" s="251"/>
      <c r="R1944" s="1432"/>
      <c r="S1944" s="1432"/>
      <c r="U1944" s="251"/>
      <c r="V1944" s="318" t="s">
        <v>5896</v>
      </c>
      <c r="W1944" s="747">
        <v>42830</v>
      </c>
      <c r="X1944" s="748">
        <v>42772</v>
      </c>
      <c r="Y1944" s="744" t="s">
        <v>6046</v>
      </c>
      <c r="Z1944" s="749">
        <v>354578</v>
      </c>
      <c r="AA1944" s="594">
        <v>42821</v>
      </c>
      <c r="AB1944" s="744" t="s">
        <v>6047</v>
      </c>
      <c r="AC1944" s="1003"/>
      <c r="AD1944" s="744" t="s">
        <v>6048</v>
      </c>
      <c r="AE1944" s="260">
        <v>391024</v>
      </c>
      <c r="AF1944" s="744" t="s">
        <v>5930</v>
      </c>
      <c r="AG1944" s="251" t="s">
        <v>376</v>
      </c>
    </row>
    <row r="1945" spans="1:33" ht="15.75" customHeight="1">
      <c r="A1945" s="743">
        <v>42746</v>
      </c>
      <c r="B1945" s="744" t="s">
        <v>228</v>
      </c>
      <c r="C1945" s="744"/>
      <c r="D1945" s="250" t="s">
        <v>6044</v>
      </c>
      <c r="E1945" s="250" t="s">
        <v>3604</v>
      </c>
      <c r="F1945" s="305">
        <v>3</v>
      </c>
      <c r="G1945" s="464">
        <v>336</v>
      </c>
      <c r="H1945" s="265">
        <f t="shared" si="165"/>
        <v>1008</v>
      </c>
      <c r="I1945" s="264" t="s">
        <v>170</v>
      </c>
      <c r="J1945" s="251" t="s">
        <v>89</v>
      </c>
      <c r="K1945" s="256">
        <v>42772</v>
      </c>
      <c r="L1945" s="256"/>
      <c r="M1945" s="251"/>
      <c r="N1945" s="251" t="s">
        <v>89</v>
      </c>
      <c r="O1945" s="250" t="s">
        <v>6045</v>
      </c>
      <c r="P1945" s="574">
        <v>904.05</v>
      </c>
      <c r="Q1945" s="251"/>
      <c r="R1945" s="1432"/>
      <c r="S1945" s="1432"/>
      <c r="U1945" s="251"/>
      <c r="V1945" s="318" t="s">
        <v>5896</v>
      </c>
      <c r="W1945" s="747">
        <v>42830</v>
      </c>
      <c r="X1945" s="748">
        <v>42772</v>
      </c>
      <c r="Y1945" s="744" t="s">
        <v>6046</v>
      </c>
      <c r="Z1945" s="749">
        <v>354578</v>
      </c>
      <c r="AA1945" s="594">
        <v>42821</v>
      </c>
      <c r="AB1945" s="744" t="s">
        <v>6047</v>
      </c>
      <c r="AC1945" s="1003"/>
      <c r="AD1945" s="744" t="s">
        <v>6048</v>
      </c>
      <c r="AE1945" s="251" t="s">
        <v>6049</v>
      </c>
      <c r="AF1945" s="744" t="s">
        <v>5930</v>
      </c>
      <c r="AG1945" s="251" t="s">
        <v>376</v>
      </c>
    </row>
    <row r="1946" spans="1:33" ht="15.75" customHeight="1">
      <c r="A1946" s="743">
        <v>42747</v>
      </c>
      <c r="B1946" s="744" t="s">
        <v>100</v>
      </c>
      <c r="C1946" s="744" t="s">
        <v>6050</v>
      </c>
      <c r="D1946" s="744" t="s">
        <v>6051</v>
      </c>
      <c r="E1946" s="744" t="s">
        <v>6052</v>
      </c>
      <c r="F1946" s="305">
        <v>7</v>
      </c>
      <c r="G1946" s="252">
        <v>1118</v>
      </c>
      <c r="H1946" s="265">
        <f t="shared" si="165"/>
        <v>7826</v>
      </c>
      <c r="I1946" s="264" t="s">
        <v>3315</v>
      </c>
      <c r="J1946" s="367" t="s">
        <v>6053</v>
      </c>
      <c r="K1946" s="256">
        <v>42790</v>
      </c>
      <c r="L1946" s="256"/>
      <c r="M1946" s="256">
        <v>42790</v>
      </c>
      <c r="N1946" s="331" t="s">
        <v>1414</v>
      </c>
      <c r="O1946" s="744" t="s">
        <v>6054</v>
      </c>
      <c r="P1946" s="337"/>
      <c r="Q1946" s="630">
        <v>231834</v>
      </c>
      <c r="R1946" s="1415"/>
      <c r="S1946" s="1415"/>
      <c r="U1946" s="251"/>
      <c r="V1946" s="318" t="s">
        <v>1947</v>
      </c>
      <c r="W1946" s="747">
        <v>42825</v>
      </c>
      <c r="X1946" s="750">
        <v>42789</v>
      </c>
      <c r="Y1946" s="250" t="s">
        <v>6055</v>
      </c>
      <c r="Z1946" s="753">
        <v>231834</v>
      </c>
      <c r="AA1946" s="594">
        <v>42831</v>
      </c>
      <c r="AB1946" s="250" t="s">
        <v>6056</v>
      </c>
      <c r="AC1946" s="1003"/>
      <c r="AD1946" s="1003"/>
      <c r="AE1946" s="1003"/>
      <c r="AF1946" s="745"/>
      <c r="AG1946" s="251" t="s">
        <v>283</v>
      </c>
    </row>
    <row r="1947" spans="1:33" ht="15.75" customHeight="1">
      <c r="A1947" s="743">
        <v>42747</v>
      </c>
      <c r="B1947" s="744" t="s">
        <v>100</v>
      </c>
      <c r="C1947" s="744" t="s">
        <v>6050</v>
      </c>
      <c r="D1947" s="744" t="s">
        <v>6057</v>
      </c>
      <c r="E1947" s="744" t="s">
        <v>6038</v>
      </c>
      <c r="F1947" s="305">
        <v>7</v>
      </c>
      <c r="G1947" s="252">
        <v>70</v>
      </c>
      <c r="H1947" s="265">
        <f t="shared" si="165"/>
        <v>490</v>
      </c>
      <c r="I1947" s="264" t="s">
        <v>3315</v>
      </c>
      <c r="J1947" s="367" t="s">
        <v>6053</v>
      </c>
      <c r="K1947" s="256">
        <v>42790</v>
      </c>
      <c r="L1947" s="256"/>
      <c r="M1947" s="256">
        <v>42773</v>
      </c>
      <c r="N1947" s="367" t="s">
        <v>6039</v>
      </c>
      <c r="O1947" s="744" t="s">
        <v>6058</v>
      </c>
      <c r="P1947" s="337"/>
      <c r="Q1947" s="630">
        <v>11848</v>
      </c>
      <c r="R1947" s="1415"/>
      <c r="S1947" s="1415"/>
      <c r="U1947" s="251"/>
      <c r="V1947" s="308" t="s">
        <v>6042</v>
      </c>
      <c r="W1947" s="789">
        <v>42769</v>
      </c>
      <c r="X1947" s="748">
        <v>42769</v>
      </c>
      <c r="Y1947" s="744" t="s">
        <v>6059</v>
      </c>
      <c r="Z1947" s="749">
        <v>11848</v>
      </c>
      <c r="AA1947" s="256">
        <v>42769</v>
      </c>
      <c r="AB1947" s="250" t="s">
        <v>6056</v>
      </c>
      <c r="AC1947" s="1003"/>
      <c r="AD1947" s="1003"/>
      <c r="AE1947" s="1003"/>
      <c r="AF1947" s="745"/>
      <c r="AG1947" s="251" t="s">
        <v>283</v>
      </c>
    </row>
    <row r="1948" spans="1:33" ht="15.75" customHeight="1">
      <c r="A1948" s="755">
        <v>42747</v>
      </c>
      <c r="B1948" s="744" t="s">
        <v>6060</v>
      </c>
      <c r="C1948" s="744" t="s">
        <v>6061</v>
      </c>
      <c r="D1948" s="308" t="s">
        <v>6062</v>
      </c>
      <c r="E1948" s="308" t="s">
        <v>6063</v>
      </c>
      <c r="F1948" s="787">
        <v>15</v>
      </c>
      <c r="G1948" s="464">
        <v>58</v>
      </c>
      <c r="H1948" s="574">
        <f t="shared" si="165"/>
        <v>870</v>
      </c>
      <c r="I1948" s="264" t="s">
        <v>42</v>
      </c>
      <c r="J1948" s="367" t="s">
        <v>3361</v>
      </c>
      <c r="K1948" s="256">
        <v>42758</v>
      </c>
      <c r="L1948" s="256"/>
      <c r="M1948" s="256">
        <v>42753</v>
      </c>
      <c r="N1948" s="251" t="s">
        <v>89</v>
      </c>
      <c r="O1948" s="250" t="s">
        <v>6064</v>
      </c>
      <c r="P1948" s="574">
        <v>819</v>
      </c>
      <c r="Q1948" s="251"/>
      <c r="R1948" s="1432"/>
      <c r="S1948" s="1432"/>
      <c r="U1948" s="251"/>
      <c r="V1948" s="308" t="s">
        <v>5896</v>
      </c>
      <c r="W1948" s="789">
        <v>42799</v>
      </c>
      <c r="X1948" s="748">
        <v>42753</v>
      </c>
      <c r="Y1948" s="744" t="s">
        <v>6065</v>
      </c>
      <c r="Z1948" s="749">
        <v>26097</v>
      </c>
      <c r="AA1948" s="256">
        <v>42801</v>
      </c>
      <c r="AB1948" s="250" t="s">
        <v>6066</v>
      </c>
      <c r="AC1948" s="744" t="s">
        <v>6067</v>
      </c>
      <c r="AD1948" s="1003"/>
      <c r="AE1948" s="1003"/>
      <c r="AF1948" s="745"/>
      <c r="AG1948" s="251" t="s">
        <v>283</v>
      </c>
    </row>
    <row r="1949" spans="1:33" ht="15.75" customHeight="1">
      <c r="A1949" s="743">
        <v>42747</v>
      </c>
      <c r="B1949" s="744" t="s">
        <v>76</v>
      </c>
      <c r="C1949" s="744"/>
      <c r="D1949" s="744" t="s">
        <v>6068</v>
      </c>
      <c r="E1949" s="744" t="s">
        <v>6069</v>
      </c>
      <c r="F1949" s="1007">
        <v>1</v>
      </c>
      <c r="G1949" s="323">
        <v>216</v>
      </c>
      <c r="H1949" s="265">
        <f t="shared" si="165"/>
        <v>216</v>
      </c>
      <c r="I1949" s="264" t="s">
        <v>170</v>
      </c>
      <c r="J1949" s="251" t="s">
        <v>6070</v>
      </c>
      <c r="K1949" s="256">
        <v>42751</v>
      </c>
      <c r="L1949" s="256"/>
      <c r="M1949" s="251"/>
      <c r="N1949" s="251" t="s">
        <v>6071</v>
      </c>
      <c r="O1949" s="251"/>
      <c r="P1949" s="337"/>
      <c r="Q1949" s="402">
        <v>4617</v>
      </c>
      <c r="R1949" s="1434"/>
      <c r="S1949" s="1434"/>
      <c r="U1949" s="251"/>
      <c r="V1949" s="970" t="s">
        <v>3508</v>
      </c>
      <c r="W1949" s="1002"/>
      <c r="X1949" s="250" t="s">
        <v>6072</v>
      </c>
      <c r="Y1949" s="250" t="s">
        <v>6073</v>
      </c>
      <c r="Z1949" s="250" t="s">
        <v>6074</v>
      </c>
      <c r="AA1949" s="1003"/>
      <c r="AB1949" s="250" t="s">
        <v>6075</v>
      </c>
      <c r="AC1949" s="1003"/>
      <c r="AD1949" s="1003"/>
      <c r="AE1949" s="1003"/>
      <c r="AF1949" s="745"/>
      <c r="AG1949" s="251" t="s">
        <v>283</v>
      </c>
    </row>
    <row r="1950" spans="1:33" ht="15.75" customHeight="1">
      <c r="A1950" s="743">
        <v>42748</v>
      </c>
      <c r="B1950" s="744" t="s">
        <v>629</v>
      </c>
      <c r="C1950" s="744" t="s">
        <v>6076</v>
      </c>
      <c r="D1950" s="250" t="s">
        <v>6077</v>
      </c>
      <c r="E1950" s="250" t="s">
        <v>6078</v>
      </c>
      <c r="F1950" s="1007">
        <v>2</v>
      </c>
      <c r="G1950" s="323">
        <v>236.25</v>
      </c>
      <c r="H1950" s="574">
        <f t="shared" si="165"/>
        <v>472.5</v>
      </c>
      <c r="I1950" s="264" t="s">
        <v>170</v>
      </c>
      <c r="J1950" s="251" t="s">
        <v>6079</v>
      </c>
      <c r="K1950" s="256">
        <v>42754</v>
      </c>
      <c r="L1950" s="256"/>
      <c r="M1950" s="256">
        <v>42754</v>
      </c>
      <c r="N1950" s="331" t="s">
        <v>2001</v>
      </c>
      <c r="O1950" s="744" t="s">
        <v>6080</v>
      </c>
      <c r="P1950" s="574">
        <v>424.2</v>
      </c>
      <c r="Q1950" s="630">
        <v>13452</v>
      </c>
      <c r="R1950" s="1415"/>
      <c r="S1950" s="1415"/>
      <c r="U1950" s="251"/>
      <c r="V1950" s="970" t="s">
        <v>2003</v>
      </c>
      <c r="W1950" s="789">
        <v>42799</v>
      </c>
      <c r="X1950" s="748">
        <v>42752</v>
      </c>
      <c r="Y1950" s="744" t="s">
        <v>6081</v>
      </c>
      <c r="Z1950" s="749">
        <v>13452</v>
      </c>
      <c r="AA1950" s="256">
        <v>42801</v>
      </c>
      <c r="AB1950" s="744" t="s">
        <v>6082</v>
      </c>
      <c r="AC1950" s="744" t="s">
        <v>6083</v>
      </c>
      <c r="AD1950" s="744" t="s">
        <v>6084</v>
      </c>
      <c r="AE1950" s="260">
        <v>15120</v>
      </c>
      <c r="AF1950" s="744" t="s">
        <v>6085</v>
      </c>
      <c r="AG1950" s="251" t="s">
        <v>376</v>
      </c>
    </row>
    <row r="1951" spans="1:33" ht="15.75" customHeight="1">
      <c r="A1951" s="743">
        <v>42751</v>
      </c>
      <c r="B1951" s="744" t="s">
        <v>100</v>
      </c>
      <c r="C1951" s="744" t="s">
        <v>6086</v>
      </c>
      <c r="D1951" s="744" t="s">
        <v>6087</v>
      </c>
      <c r="E1951" s="744" t="s">
        <v>6088</v>
      </c>
      <c r="F1951" s="305">
        <v>2</v>
      </c>
      <c r="G1951" s="323">
        <v>195</v>
      </c>
      <c r="H1951" s="574">
        <f t="shared" si="165"/>
        <v>390</v>
      </c>
      <c r="I1951" s="264" t="s">
        <v>3315</v>
      </c>
      <c r="J1951" s="251" t="s">
        <v>532</v>
      </c>
      <c r="K1951" s="256">
        <v>42754</v>
      </c>
      <c r="L1951" s="256"/>
      <c r="M1951" s="256">
        <v>42753</v>
      </c>
      <c r="N1951" s="254" t="s">
        <v>3432</v>
      </c>
      <c r="O1951" s="744" t="s">
        <v>6089</v>
      </c>
      <c r="P1951" s="337"/>
      <c r="Q1951" s="630">
        <v>11153</v>
      </c>
      <c r="R1951" s="1415"/>
      <c r="S1951" s="1415"/>
      <c r="U1951" s="251"/>
      <c r="V1951" s="308" t="s">
        <v>5937</v>
      </c>
      <c r="W1951" s="747">
        <v>42830</v>
      </c>
      <c r="X1951" s="748">
        <v>42752</v>
      </c>
      <c r="Y1951" s="744" t="s">
        <v>6090</v>
      </c>
      <c r="Z1951" s="749">
        <v>11153</v>
      </c>
      <c r="AA1951" s="256">
        <v>42830</v>
      </c>
      <c r="AB1951" s="250" t="s">
        <v>6037</v>
      </c>
      <c r="AC1951" s="1003"/>
      <c r="AD1951" s="1003"/>
      <c r="AE1951" s="1003"/>
      <c r="AF1951" s="745"/>
      <c r="AG1951" s="251" t="s">
        <v>283</v>
      </c>
    </row>
    <row r="1952" spans="1:33" ht="15.75" customHeight="1">
      <c r="A1952" s="755">
        <v>42752</v>
      </c>
      <c r="B1952" s="744" t="s">
        <v>5981</v>
      </c>
      <c r="C1952" s="250">
        <v>7000126985</v>
      </c>
      <c r="D1952" s="250" t="s">
        <v>6091</v>
      </c>
      <c r="E1952" s="250" t="s">
        <v>3931</v>
      </c>
      <c r="F1952" s="787">
        <v>5</v>
      </c>
      <c r="G1952" s="323">
        <v>73</v>
      </c>
      <c r="H1952" s="574">
        <f t="shared" si="165"/>
        <v>365</v>
      </c>
      <c r="I1952" s="264" t="s">
        <v>42</v>
      </c>
      <c r="J1952" s="401" t="s">
        <v>6092</v>
      </c>
      <c r="K1952" s="256">
        <v>42758</v>
      </c>
      <c r="L1952" s="256"/>
      <c r="M1952" s="256">
        <v>42755</v>
      </c>
      <c r="N1952" s="264" t="s">
        <v>3432</v>
      </c>
      <c r="O1952" s="744" t="s">
        <v>6093</v>
      </c>
      <c r="P1952" s="337"/>
      <c r="Q1952" s="630">
        <v>10621</v>
      </c>
      <c r="R1952" s="1415"/>
      <c r="S1952" s="1415"/>
      <c r="U1952" s="251"/>
      <c r="V1952" s="308" t="s">
        <v>5937</v>
      </c>
      <c r="W1952" s="747">
        <v>42830</v>
      </c>
      <c r="X1952" s="748">
        <v>42752</v>
      </c>
      <c r="Y1952" s="744" t="s">
        <v>6094</v>
      </c>
      <c r="Z1952" s="749">
        <v>10621</v>
      </c>
      <c r="AA1952" s="256">
        <v>42830</v>
      </c>
      <c r="AB1952" s="250" t="s">
        <v>6095</v>
      </c>
      <c r="AC1952" s="1003"/>
      <c r="AD1952" s="1003"/>
      <c r="AE1952" s="1003"/>
      <c r="AF1952" s="745"/>
      <c r="AG1952" s="251" t="s">
        <v>283</v>
      </c>
    </row>
    <row r="1953" spans="1:33" ht="15.75" customHeight="1">
      <c r="A1953" s="755">
        <v>42752</v>
      </c>
      <c r="B1953" s="744" t="s">
        <v>6060</v>
      </c>
      <c r="C1953" s="744" t="s">
        <v>6096</v>
      </c>
      <c r="D1953" s="744" t="s">
        <v>6062</v>
      </c>
      <c r="E1953" s="744" t="s">
        <v>6097</v>
      </c>
      <c r="F1953" s="787">
        <v>5</v>
      </c>
      <c r="G1953" s="323">
        <v>50</v>
      </c>
      <c r="H1953" s="574">
        <f t="shared" si="165"/>
        <v>250</v>
      </c>
      <c r="I1953" s="264" t="s">
        <v>42</v>
      </c>
      <c r="J1953" s="367" t="s">
        <v>3361</v>
      </c>
      <c r="K1953" s="256">
        <v>42758</v>
      </c>
      <c r="L1953" s="1477"/>
      <c r="M1953" s="811">
        <v>42755</v>
      </c>
      <c r="N1953" s="401" t="s">
        <v>89</v>
      </c>
      <c r="O1953" s="250" t="s">
        <v>6098</v>
      </c>
      <c r="P1953" s="574">
        <v>241.5</v>
      </c>
      <c r="Q1953" s="795"/>
      <c r="R1953" s="1435"/>
      <c r="S1953" s="1435"/>
      <c r="U1953" s="251"/>
      <c r="V1953" s="318" t="s">
        <v>5896</v>
      </c>
      <c r="W1953" s="789">
        <v>42799</v>
      </c>
      <c r="X1953" s="748">
        <v>42755</v>
      </c>
      <c r="Y1953" s="744" t="s">
        <v>6099</v>
      </c>
      <c r="Z1953" s="749">
        <v>7695</v>
      </c>
      <c r="AA1953" s="256">
        <v>42801</v>
      </c>
      <c r="AB1953" s="250" t="s">
        <v>6066</v>
      </c>
      <c r="AC1953" s="744" t="s">
        <v>6067</v>
      </c>
      <c r="AD1953" s="1003"/>
      <c r="AE1953" s="1003"/>
      <c r="AF1953" s="745"/>
      <c r="AG1953" s="251" t="s">
        <v>283</v>
      </c>
    </row>
    <row r="1954" spans="1:33" ht="15.75" customHeight="1">
      <c r="A1954" s="743">
        <v>42752</v>
      </c>
      <c r="B1954" s="744" t="s">
        <v>76</v>
      </c>
      <c r="C1954" s="744">
        <v>15</v>
      </c>
      <c r="D1954" s="250" t="s">
        <v>6100</v>
      </c>
      <c r="E1954" s="250" t="s">
        <v>361</v>
      </c>
      <c r="F1954" s="971">
        <v>30</v>
      </c>
      <c r="G1954" s="464">
        <v>20</v>
      </c>
      <c r="H1954" s="574">
        <f t="shared" si="165"/>
        <v>600</v>
      </c>
      <c r="I1954" s="264" t="s">
        <v>170</v>
      </c>
      <c r="J1954" s="1008" t="s">
        <v>5988</v>
      </c>
      <c r="K1954" s="256">
        <v>42760</v>
      </c>
      <c r="L1954" s="256"/>
      <c r="M1954" s="865">
        <v>42753</v>
      </c>
      <c r="N1954" s="367" t="s">
        <v>6101</v>
      </c>
      <c r="O1954" s="744" t="s">
        <v>6102</v>
      </c>
      <c r="P1954" s="574">
        <v>557.54999999999995</v>
      </c>
      <c r="Q1954" s="251"/>
      <c r="R1954" s="1432"/>
      <c r="S1954" s="1432"/>
      <c r="U1954" s="251"/>
      <c r="V1954" s="328" t="s">
        <v>2010</v>
      </c>
      <c r="W1954" s="747">
        <v>42772</v>
      </c>
      <c r="X1954" s="748">
        <v>42753</v>
      </c>
      <c r="Y1954" s="744" t="s">
        <v>6103</v>
      </c>
      <c r="Z1954" s="749">
        <v>17619</v>
      </c>
      <c r="AA1954" s="256">
        <v>42769</v>
      </c>
      <c r="AB1954" s="250" t="s">
        <v>5999</v>
      </c>
      <c r="AC1954" s="1003"/>
      <c r="AD1954" s="1003"/>
      <c r="AE1954" s="1003"/>
      <c r="AF1954" s="745"/>
      <c r="AG1954" s="251" t="s">
        <v>283</v>
      </c>
    </row>
    <row r="1955" spans="1:33" ht="15.75" customHeight="1">
      <c r="A1955" s="755">
        <v>42753</v>
      </c>
      <c r="B1955" s="744" t="s">
        <v>100</v>
      </c>
      <c r="C1955" s="744" t="s">
        <v>6104</v>
      </c>
      <c r="D1955" s="744" t="s">
        <v>6105</v>
      </c>
      <c r="E1955" s="744" t="s">
        <v>6106</v>
      </c>
      <c r="F1955" s="305">
        <v>2</v>
      </c>
      <c r="G1955" s="323">
        <v>575</v>
      </c>
      <c r="H1955" s="574">
        <f t="shared" si="165"/>
        <v>1150</v>
      </c>
      <c r="I1955" s="264" t="s">
        <v>3315</v>
      </c>
      <c r="J1955" s="367" t="s">
        <v>6053</v>
      </c>
      <c r="K1955" s="256">
        <v>42790</v>
      </c>
      <c r="L1955" s="256"/>
      <c r="M1955" s="256">
        <v>42790</v>
      </c>
      <c r="N1955" s="331" t="s">
        <v>1414</v>
      </c>
      <c r="O1955" s="744" t="s">
        <v>6107</v>
      </c>
      <c r="P1955" s="337"/>
      <c r="Q1955" s="630">
        <v>33833</v>
      </c>
      <c r="R1955" s="1415"/>
      <c r="S1955" s="1415"/>
      <c r="U1955" s="251"/>
      <c r="V1955" s="970" t="s">
        <v>1947</v>
      </c>
      <c r="W1955" s="747">
        <v>42825</v>
      </c>
      <c r="X1955" s="750">
        <v>42789</v>
      </c>
      <c r="Y1955" s="250" t="s">
        <v>6108</v>
      </c>
      <c r="Z1955" s="753">
        <v>39806</v>
      </c>
      <c r="AA1955" s="594">
        <v>42831</v>
      </c>
      <c r="AB1955" s="250" t="s">
        <v>6056</v>
      </c>
      <c r="AC1955" s="1003"/>
      <c r="AD1955" s="1003"/>
      <c r="AE1955" s="1003"/>
      <c r="AF1955" s="745"/>
      <c r="AG1955" s="251" t="s">
        <v>283</v>
      </c>
    </row>
    <row r="1956" spans="1:33" ht="15.75" customHeight="1">
      <c r="A1956" s="755">
        <v>42753</v>
      </c>
      <c r="B1956" s="970" t="s">
        <v>100</v>
      </c>
      <c r="C1956" s="744" t="s">
        <v>6104</v>
      </c>
      <c r="D1956" s="744" t="s">
        <v>6105</v>
      </c>
      <c r="E1956" s="744" t="s">
        <v>6109</v>
      </c>
      <c r="F1956" s="305">
        <v>2</v>
      </c>
      <c r="G1956" s="323">
        <v>38</v>
      </c>
      <c r="H1956" s="574">
        <f t="shared" si="165"/>
        <v>76</v>
      </c>
      <c r="I1956" s="264" t="s">
        <v>3315</v>
      </c>
      <c r="J1956" s="367" t="s">
        <v>6053</v>
      </c>
      <c r="K1956" s="256">
        <v>42790</v>
      </c>
      <c r="L1956" s="256"/>
      <c r="M1956" s="256">
        <v>42790</v>
      </c>
      <c r="N1956" s="331" t="s">
        <v>1414</v>
      </c>
      <c r="O1956" s="744" t="s">
        <v>6107</v>
      </c>
      <c r="P1956" s="337"/>
      <c r="Q1956" s="630">
        <v>2323</v>
      </c>
      <c r="R1956" s="1415"/>
      <c r="S1956" s="1415"/>
      <c r="U1956" s="251"/>
      <c r="V1956" s="744" t="s">
        <v>1947</v>
      </c>
      <c r="W1956" s="747">
        <v>42825</v>
      </c>
      <c r="X1956" s="750">
        <v>42789</v>
      </c>
      <c r="Y1956" s="250" t="s">
        <v>6108</v>
      </c>
      <c r="Z1956" s="753">
        <v>39806</v>
      </c>
      <c r="AA1956" s="594">
        <v>42831</v>
      </c>
      <c r="AB1956" s="250" t="s">
        <v>6056</v>
      </c>
      <c r="AC1956" s="1003"/>
      <c r="AD1956" s="1003"/>
      <c r="AE1956" s="1003"/>
      <c r="AF1956" s="745"/>
      <c r="AG1956" s="251" t="s">
        <v>283</v>
      </c>
    </row>
    <row r="1957" spans="1:33" ht="15.75" customHeight="1">
      <c r="A1957" s="755">
        <v>42753</v>
      </c>
      <c r="B1957" s="970" t="s">
        <v>100</v>
      </c>
      <c r="C1957" s="744" t="s">
        <v>6104</v>
      </c>
      <c r="D1957" s="744" t="s">
        <v>6105</v>
      </c>
      <c r="E1957" s="744" t="s">
        <v>6110</v>
      </c>
      <c r="F1957" s="305">
        <v>2</v>
      </c>
      <c r="G1957" s="323">
        <v>60</v>
      </c>
      <c r="H1957" s="574">
        <f t="shared" si="165"/>
        <v>120</v>
      </c>
      <c r="I1957" s="264" t="s">
        <v>3315</v>
      </c>
      <c r="J1957" s="367" t="s">
        <v>6053</v>
      </c>
      <c r="K1957" s="256">
        <v>42790</v>
      </c>
      <c r="L1957" s="256"/>
      <c r="M1957" s="256">
        <v>42790</v>
      </c>
      <c r="N1957" s="401" t="s">
        <v>1414</v>
      </c>
      <c r="O1957" s="744" t="s">
        <v>6107</v>
      </c>
      <c r="P1957" s="337"/>
      <c r="Q1957" s="630">
        <v>3650</v>
      </c>
      <c r="R1957" s="1415"/>
      <c r="S1957" s="1415"/>
      <c r="U1957" s="251"/>
      <c r="V1957" s="970" t="s">
        <v>1947</v>
      </c>
      <c r="W1957" s="747">
        <v>42825</v>
      </c>
      <c r="X1957" s="750">
        <v>42789</v>
      </c>
      <c r="Y1957" s="250" t="s">
        <v>6108</v>
      </c>
      <c r="Z1957" s="753">
        <v>39806</v>
      </c>
      <c r="AA1957" s="594">
        <v>42831</v>
      </c>
      <c r="AB1957" s="250" t="s">
        <v>6056</v>
      </c>
      <c r="AC1957" s="1003"/>
      <c r="AD1957" s="1003"/>
      <c r="AE1957" s="1003"/>
      <c r="AF1957" s="745"/>
      <c r="AG1957" s="251" t="s">
        <v>283</v>
      </c>
    </row>
    <row r="1958" spans="1:33" ht="15.75" customHeight="1">
      <c r="A1958" s="755">
        <v>42753</v>
      </c>
      <c r="B1958" s="970" t="s">
        <v>100</v>
      </c>
      <c r="C1958" s="744" t="s">
        <v>6104</v>
      </c>
      <c r="D1958" s="744" t="s">
        <v>6105</v>
      </c>
      <c r="E1958" s="744" t="s">
        <v>6111</v>
      </c>
      <c r="F1958" s="305">
        <v>2</v>
      </c>
      <c r="G1958" s="323">
        <v>237</v>
      </c>
      <c r="H1958" s="574">
        <f t="shared" si="165"/>
        <v>474</v>
      </c>
      <c r="I1958" s="264" t="s">
        <v>3315</v>
      </c>
      <c r="J1958" s="367" t="s">
        <v>6053</v>
      </c>
      <c r="K1958" s="256">
        <v>42790</v>
      </c>
      <c r="L1958" s="256"/>
      <c r="M1958" s="256">
        <v>42780</v>
      </c>
      <c r="N1958" s="251" t="s">
        <v>6112</v>
      </c>
      <c r="O1958" s="744" t="s">
        <v>6113</v>
      </c>
      <c r="P1958" s="337"/>
      <c r="Q1958" s="630">
        <v>11941</v>
      </c>
      <c r="R1958" s="1415"/>
      <c r="S1958" s="1415"/>
      <c r="U1958" s="251"/>
      <c r="V1958" s="744" t="s">
        <v>2109</v>
      </c>
      <c r="W1958" s="1009">
        <v>42799</v>
      </c>
      <c r="X1958" s="748">
        <v>42779</v>
      </c>
      <c r="Y1958" s="744" t="s">
        <v>6114</v>
      </c>
      <c r="Z1958" s="749">
        <v>11941</v>
      </c>
      <c r="AA1958" s="594">
        <v>42800</v>
      </c>
      <c r="AB1958" s="250" t="s">
        <v>6056</v>
      </c>
      <c r="AC1958" s="1003"/>
      <c r="AD1958" s="1003"/>
      <c r="AE1958" s="1003"/>
      <c r="AF1958" s="745"/>
      <c r="AG1958" s="251" t="s">
        <v>283</v>
      </c>
    </row>
    <row r="1959" spans="1:33" ht="15.75" customHeight="1">
      <c r="A1959" s="755">
        <v>42753</v>
      </c>
      <c r="B1959" s="970" t="s">
        <v>100</v>
      </c>
      <c r="C1959" s="744" t="s">
        <v>6104</v>
      </c>
      <c r="D1959" s="744" t="s">
        <v>6105</v>
      </c>
      <c r="E1959" s="744" t="s">
        <v>6115</v>
      </c>
      <c r="F1959" s="305">
        <v>2</v>
      </c>
      <c r="G1959" s="323">
        <v>380</v>
      </c>
      <c r="H1959" s="574">
        <f t="shared" si="165"/>
        <v>760</v>
      </c>
      <c r="I1959" s="264" t="s">
        <v>3315</v>
      </c>
      <c r="J1959" s="367" t="s">
        <v>6053</v>
      </c>
      <c r="K1959" s="256">
        <v>42790</v>
      </c>
      <c r="L1959" s="256"/>
      <c r="M1959" s="256">
        <v>42775</v>
      </c>
      <c r="N1959" s="585" t="s">
        <v>6116</v>
      </c>
      <c r="O1959" s="744" t="s">
        <v>6117</v>
      </c>
      <c r="P1959" s="574">
        <v>690.9</v>
      </c>
      <c r="Q1959" s="795"/>
      <c r="R1959" s="1435"/>
      <c r="S1959" s="1435"/>
      <c r="U1959" s="251"/>
      <c r="V1959" s="308" t="s">
        <v>3754</v>
      </c>
      <c r="W1959" s="789">
        <v>42811</v>
      </c>
      <c r="X1959" s="748">
        <v>42782</v>
      </c>
      <c r="Y1959" s="744" t="s">
        <v>6118</v>
      </c>
      <c r="Z1959" s="749">
        <v>21255</v>
      </c>
      <c r="AA1959" s="256">
        <v>42814</v>
      </c>
      <c r="AB1959" s="250" t="s">
        <v>6056</v>
      </c>
      <c r="AC1959" s="1003"/>
      <c r="AD1959" s="1003"/>
      <c r="AE1959" s="1003"/>
      <c r="AF1959" s="745"/>
      <c r="AG1959" s="251" t="s">
        <v>283</v>
      </c>
    </row>
    <row r="1960" spans="1:33" ht="15.75" customHeight="1">
      <c r="A1960" s="755">
        <v>42753</v>
      </c>
      <c r="B1960" s="970" t="s">
        <v>100</v>
      </c>
      <c r="C1960" s="744" t="s">
        <v>6104</v>
      </c>
      <c r="D1960" s="744" t="s">
        <v>6105</v>
      </c>
      <c r="E1960" s="744" t="s">
        <v>6119</v>
      </c>
      <c r="F1960" s="305">
        <v>2</v>
      </c>
      <c r="G1960" s="323">
        <v>70</v>
      </c>
      <c r="H1960" s="574">
        <f t="shared" si="165"/>
        <v>140</v>
      </c>
      <c r="I1960" s="264" t="s">
        <v>3315</v>
      </c>
      <c r="J1960" s="367" t="s">
        <v>6053</v>
      </c>
      <c r="K1960" s="256">
        <v>42790</v>
      </c>
      <c r="L1960" s="256"/>
      <c r="M1960" s="256">
        <v>42775</v>
      </c>
      <c r="N1960" s="331" t="s">
        <v>6120</v>
      </c>
      <c r="O1960" s="744"/>
      <c r="P1960" s="337"/>
      <c r="Q1960" s="251"/>
      <c r="R1960" s="1432"/>
      <c r="S1960" s="1432"/>
      <c r="U1960" s="744"/>
      <c r="V1960" s="744"/>
      <c r="W1960" s="1010"/>
      <c r="X1960" s="744" t="s">
        <v>6121</v>
      </c>
      <c r="Y1960" s="744" t="s">
        <v>6121</v>
      </c>
      <c r="Z1960" s="744" t="s">
        <v>6121</v>
      </c>
      <c r="AA1960" s="1003"/>
      <c r="AB1960" s="250" t="s">
        <v>6056</v>
      </c>
      <c r="AC1960" s="1003"/>
      <c r="AD1960" s="1003"/>
      <c r="AE1960" s="1003"/>
      <c r="AF1960" s="745"/>
      <c r="AG1960" s="251" t="s">
        <v>283</v>
      </c>
    </row>
    <row r="1961" spans="1:33" ht="15.75" customHeight="1">
      <c r="A1961" s="755">
        <v>42753</v>
      </c>
      <c r="B1961" s="263" t="s">
        <v>5981</v>
      </c>
      <c r="C1961" s="250">
        <v>7000127033</v>
      </c>
      <c r="D1961" s="250" t="s">
        <v>6122</v>
      </c>
      <c r="E1961" s="250" t="s">
        <v>4759</v>
      </c>
      <c r="F1961" s="305">
        <v>8</v>
      </c>
      <c r="G1961" s="323">
        <v>165</v>
      </c>
      <c r="H1961" s="574">
        <f t="shared" si="165"/>
        <v>1320</v>
      </c>
      <c r="I1961" s="264" t="s">
        <v>42</v>
      </c>
      <c r="J1961" s="401" t="s">
        <v>6092</v>
      </c>
      <c r="K1961" s="256">
        <v>42758</v>
      </c>
      <c r="L1961" s="256"/>
      <c r="M1961" s="256">
        <v>42760</v>
      </c>
      <c r="N1961" s="264" t="s">
        <v>3432</v>
      </c>
      <c r="O1961" s="744" t="s">
        <v>6123</v>
      </c>
      <c r="P1961" s="337"/>
      <c r="Q1961" s="630">
        <v>38707</v>
      </c>
      <c r="R1961" s="1415"/>
      <c r="S1961" s="1415"/>
      <c r="U1961" s="251"/>
      <c r="V1961" s="308" t="s">
        <v>2045</v>
      </c>
      <c r="W1961" s="747">
        <v>42830</v>
      </c>
      <c r="X1961" s="748">
        <v>42755</v>
      </c>
      <c r="Y1961" s="744" t="s">
        <v>6124</v>
      </c>
      <c r="Z1961" s="749">
        <v>51811</v>
      </c>
      <c r="AA1961" s="256">
        <v>42830</v>
      </c>
      <c r="AB1961" s="250" t="s">
        <v>6095</v>
      </c>
      <c r="AC1961" s="1003"/>
      <c r="AD1961" s="1003"/>
      <c r="AE1961" s="1003"/>
      <c r="AF1961" s="745"/>
      <c r="AG1961" s="251" t="s">
        <v>283</v>
      </c>
    </row>
    <row r="1962" spans="1:33" ht="15.75" customHeight="1">
      <c r="A1962" s="755">
        <v>42753</v>
      </c>
      <c r="B1962" s="250" t="s">
        <v>5981</v>
      </c>
      <c r="C1962" s="250">
        <v>7000127033</v>
      </c>
      <c r="D1962" s="250" t="s">
        <v>6122</v>
      </c>
      <c r="E1962" s="250" t="s">
        <v>3566</v>
      </c>
      <c r="F1962" s="305">
        <v>8</v>
      </c>
      <c r="G1962" s="323">
        <v>55</v>
      </c>
      <c r="H1962" s="574">
        <f t="shared" si="165"/>
        <v>440</v>
      </c>
      <c r="I1962" s="264" t="s">
        <v>42</v>
      </c>
      <c r="J1962" s="401" t="s">
        <v>6092</v>
      </c>
      <c r="K1962" s="256">
        <v>42758</v>
      </c>
      <c r="L1962" s="256"/>
      <c r="M1962" s="256">
        <v>42760</v>
      </c>
      <c r="N1962" s="264" t="s">
        <v>3432</v>
      </c>
      <c r="O1962" s="744" t="s">
        <v>6123</v>
      </c>
      <c r="P1962" s="337"/>
      <c r="Q1962" s="630">
        <v>13104</v>
      </c>
      <c r="R1962" s="1415"/>
      <c r="S1962" s="1415"/>
      <c r="U1962" s="251"/>
      <c r="V1962" s="308" t="s">
        <v>2045</v>
      </c>
      <c r="W1962" s="747">
        <v>42830</v>
      </c>
      <c r="X1962" s="748">
        <v>42755</v>
      </c>
      <c r="Y1962" s="744" t="s">
        <v>6124</v>
      </c>
      <c r="Z1962" s="749">
        <v>51811</v>
      </c>
      <c r="AA1962" s="256">
        <v>42830</v>
      </c>
      <c r="AB1962" s="250" t="s">
        <v>6095</v>
      </c>
      <c r="AC1962" s="1003"/>
      <c r="AD1962" s="1003"/>
      <c r="AE1962" s="1003"/>
      <c r="AF1962" s="745"/>
      <c r="AG1962" s="251" t="s">
        <v>283</v>
      </c>
    </row>
    <row r="1963" spans="1:33" ht="15.75" customHeight="1">
      <c r="A1963" s="755">
        <v>42753</v>
      </c>
      <c r="B1963" s="744" t="s">
        <v>100</v>
      </c>
      <c r="C1963" s="250"/>
      <c r="D1963" s="250" t="s">
        <v>6125</v>
      </c>
      <c r="E1963" s="250" t="s">
        <v>6126</v>
      </c>
      <c r="F1963" s="305">
        <v>1</v>
      </c>
      <c r="G1963" s="323">
        <v>141</v>
      </c>
      <c r="H1963" s="574">
        <f t="shared" si="165"/>
        <v>141</v>
      </c>
      <c r="I1963" s="264" t="s">
        <v>3315</v>
      </c>
      <c r="J1963" s="251" t="s">
        <v>532</v>
      </c>
      <c r="K1963" s="256">
        <v>42754</v>
      </c>
      <c r="L1963" s="256"/>
      <c r="M1963" s="251"/>
      <c r="N1963" s="401" t="s">
        <v>1999</v>
      </c>
      <c r="O1963" s="251"/>
      <c r="P1963" s="337"/>
      <c r="Q1963" s="630">
        <v>4227</v>
      </c>
      <c r="R1963" s="1415"/>
      <c r="S1963" s="1415"/>
      <c r="U1963" s="251"/>
      <c r="V1963" s="308" t="s">
        <v>2000</v>
      </c>
      <c r="W1963" s="789">
        <v>42796</v>
      </c>
      <c r="X1963" s="750">
        <v>42766</v>
      </c>
      <c r="Y1963" s="250" t="s">
        <v>6127</v>
      </c>
      <c r="Z1963" s="753">
        <v>4227</v>
      </c>
      <c r="AA1963" s="594">
        <v>42797</v>
      </c>
      <c r="AB1963" s="250" t="s">
        <v>6037</v>
      </c>
      <c r="AC1963" s="1003"/>
      <c r="AD1963" s="1003"/>
      <c r="AE1963" s="1003"/>
      <c r="AF1963" s="745"/>
      <c r="AG1963" s="251" t="s">
        <v>283</v>
      </c>
    </row>
    <row r="1964" spans="1:33" ht="15.75" customHeight="1">
      <c r="A1964" s="272">
        <v>42755</v>
      </c>
      <c r="B1964" s="250" t="s">
        <v>100</v>
      </c>
      <c r="C1964" s="768"/>
      <c r="D1964" s="768" t="s">
        <v>6128</v>
      </c>
      <c r="E1964" s="768" t="s">
        <v>6129</v>
      </c>
      <c r="F1964" s="878">
        <v>1</v>
      </c>
      <c r="G1964" s="879">
        <v>0</v>
      </c>
      <c r="H1964" s="837">
        <v>0</v>
      </c>
      <c r="I1964" s="776" t="s">
        <v>3315</v>
      </c>
      <c r="J1964" s="776" t="s">
        <v>532</v>
      </c>
      <c r="K1964" s="277" t="s">
        <v>6130</v>
      </c>
      <c r="L1964" s="277"/>
      <c r="M1964" s="277"/>
      <c r="N1964" s="277"/>
      <c r="O1964" s="277"/>
      <c r="P1964" s="1011"/>
      <c r="Q1964" s="277"/>
      <c r="R1964" s="1436"/>
      <c r="S1964" s="1436"/>
      <c r="U1964" s="277"/>
      <c r="V1964" s="277"/>
      <c r="W1964" s="1012"/>
      <c r="X1964" s="766"/>
      <c r="Y1964" s="766"/>
      <c r="Z1964" s="766"/>
      <c r="AA1964" s="1013"/>
      <c r="AB1964" s="766"/>
      <c r="AC1964" s="1013"/>
      <c r="AD1964" s="1013"/>
      <c r="AE1964" s="1013"/>
      <c r="AF1964" s="766"/>
      <c r="AG1964" s="277" t="s">
        <v>3456</v>
      </c>
    </row>
    <row r="1965" spans="1:33" ht="15.75" customHeight="1">
      <c r="A1965" s="743">
        <v>42758</v>
      </c>
      <c r="B1965" s="970" t="s">
        <v>100</v>
      </c>
      <c r="C1965" s="744" t="s">
        <v>6131</v>
      </c>
      <c r="D1965" s="744" t="s">
        <v>6132</v>
      </c>
      <c r="E1965" s="744" t="s">
        <v>6133</v>
      </c>
      <c r="F1965" s="305">
        <v>5</v>
      </c>
      <c r="G1965" s="252">
        <v>1118</v>
      </c>
      <c r="H1965" s="265">
        <f t="shared" ref="H1965:H2035" si="166">G1965*F1965</f>
        <v>5590</v>
      </c>
      <c r="I1965" s="264" t="s">
        <v>3315</v>
      </c>
      <c r="J1965" s="367" t="s">
        <v>6053</v>
      </c>
      <c r="K1965" s="256">
        <v>42790</v>
      </c>
      <c r="L1965" s="256"/>
      <c r="M1965" s="256">
        <v>42790</v>
      </c>
      <c r="N1965" s="331" t="s">
        <v>1414</v>
      </c>
      <c r="O1965" s="744" t="s">
        <v>6134</v>
      </c>
      <c r="P1965" s="337"/>
      <c r="Q1965" s="630">
        <v>164131</v>
      </c>
      <c r="R1965" s="1415"/>
      <c r="S1965" s="1415"/>
      <c r="U1965" s="251"/>
      <c r="V1965" s="318" t="s">
        <v>1947</v>
      </c>
      <c r="W1965" s="747">
        <v>42825</v>
      </c>
      <c r="X1965" s="750">
        <v>42789</v>
      </c>
      <c r="Y1965" s="250" t="s">
        <v>6135</v>
      </c>
      <c r="Z1965" s="753">
        <v>164131</v>
      </c>
      <c r="AA1965" s="594">
        <v>42831</v>
      </c>
      <c r="AB1965" s="250" t="s">
        <v>6056</v>
      </c>
      <c r="AC1965" s="1003"/>
      <c r="AD1965" s="1003"/>
      <c r="AE1965" s="1003"/>
      <c r="AF1965" s="745"/>
      <c r="AG1965" s="251" t="s">
        <v>283</v>
      </c>
    </row>
    <row r="1966" spans="1:33" ht="15.75" customHeight="1">
      <c r="A1966" s="743">
        <v>42758</v>
      </c>
      <c r="B1966" s="970" t="s">
        <v>100</v>
      </c>
      <c r="C1966" s="744" t="s">
        <v>6131</v>
      </c>
      <c r="D1966" s="744" t="s">
        <v>6132</v>
      </c>
      <c r="E1966" s="744" t="s">
        <v>6038</v>
      </c>
      <c r="F1966" s="305">
        <v>5</v>
      </c>
      <c r="G1966" s="252">
        <v>70</v>
      </c>
      <c r="H1966" s="265">
        <f t="shared" si="166"/>
        <v>350</v>
      </c>
      <c r="I1966" s="264" t="s">
        <v>3315</v>
      </c>
      <c r="J1966" s="367" t="s">
        <v>6053</v>
      </c>
      <c r="K1966" s="256">
        <v>42790</v>
      </c>
      <c r="L1966" s="256"/>
      <c r="M1966" s="256">
        <v>42780</v>
      </c>
      <c r="N1966" s="367" t="s">
        <v>6039</v>
      </c>
      <c r="O1966" s="744" t="s">
        <v>6136</v>
      </c>
      <c r="P1966" s="337"/>
      <c r="Q1966" s="630">
        <v>8741</v>
      </c>
      <c r="R1966" s="1415"/>
      <c r="S1966" s="1415"/>
      <c r="U1966" s="251"/>
      <c r="V1966" s="308" t="s">
        <v>6042</v>
      </c>
      <c r="W1966" s="789">
        <v>42769</v>
      </c>
      <c r="X1966" s="748">
        <v>42775</v>
      </c>
      <c r="Y1966" s="744" t="s">
        <v>6137</v>
      </c>
      <c r="Z1966" s="749">
        <v>8741</v>
      </c>
      <c r="AA1966" s="256">
        <v>42769</v>
      </c>
      <c r="AB1966" s="250" t="s">
        <v>6056</v>
      </c>
      <c r="AC1966" s="1003"/>
      <c r="AD1966" s="1003"/>
      <c r="AE1966" s="1003"/>
      <c r="AF1966" s="745"/>
      <c r="AG1966" s="251" t="s">
        <v>283</v>
      </c>
    </row>
    <row r="1967" spans="1:33" ht="15.75" customHeight="1">
      <c r="A1967" s="755">
        <v>42768</v>
      </c>
      <c r="B1967" s="420" t="s">
        <v>5981</v>
      </c>
      <c r="C1967" s="250">
        <v>7000127205</v>
      </c>
      <c r="D1967" s="744" t="s">
        <v>6138</v>
      </c>
      <c r="E1967" s="744" t="s">
        <v>3933</v>
      </c>
      <c r="F1967" s="305">
        <v>1</v>
      </c>
      <c r="G1967" s="323">
        <v>485</v>
      </c>
      <c r="H1967" s="265">
        <f t="shared" si="166"/>
        <v>485</v>
      </c>
      <c r="I1967" s="264" t="s">
        <v>42</v>
      </c>
      <c r="J1967" s="756" t="s">
        <v>3462</v>
      </c>
      <c r="K1967" s="256">
        <v>42789</v>
      </c>
      <c r="L1967" s="256"/>
      <c r="M1967" s="256">
        <v>42783</v>
      </c>
      <c r="N1967" s="264" t="s">
        <v>3432</v>
      </c>
      <c r="O1967" s="744" t="s">
        <v>6139</v>
      </c>
      <c r="P1967" s="337"/>
      <c r="Q1967" s="630">
        <v>14164</v>
      </c>
      <c r="R1967" s="1415"/>
      <c r="S1967" s="1415"/>
      <c r="U1967" s="251"/>
      <c r="V1967" s="308" t="s">
        <v>2045</v>
      </c>
      <c r="W1967" s="789">
        <v>42860</v>
      </c>
      <c r="X1967" s="748">
        <v>42781</v>
      </c>
      <c r="Y1967" s="744" t="s">
        <v>6140</v>
      </c>
      <c r="Z1967" s="749">
        <v>14163</v>
      </c>
      <c r="AA1967" s="594">
        <v>42859</v>
      </c>
      <c r="AB1967" s="250" t="s">
        <v>6141</v>
      </c>
      <c r="AC1967" s="1003"/>
      <c r="AD1967" s="1003"/>
      <c r="AE1967" s="1003"/>
      <c r="AF1967" s="745"/>
      <c r="AG1967" s="251" t="s">
        <v>283</v>
      </c>
    </row>
    <row r="1968" spans="1:33" ht="15.75" customHeight="1">
      <c r="A1968" s="755">
        <v>42768</v>
      </c>
      <c r="B1968" s="263" t="s">
        <v>5981</v>
      </c>
      <c r="C1968" s="250">
        <v>7000127205</v>
      </c>
      <c r="D1968" s="744" t="s">
        <v>6138</v>
      </c>
      <c r="E1968" s="744" t="s">
        <v>6142</v>
      </c>
      <c r="F1968" s="305">
        <v>1</v>
      </c>
      <c r="G1968" s="323">
        <v>127</v>
      </c>
      <c r="H1968" s="265">
        <f t="shared" si="166"/>
        <v>127</v>
      </c>
      <c r="I1968" s="264" t="s">
        <v>42</v>
      </c>
      <c r="J1968" s="756" t="s">
        <v>3462</v>
      </c>
      <c r="K1968" s="256">
        <v>42775</v>
      </c>
      <c r="L1968" s="256"/>
      <c r="M1968" s="256">
        <v>42773</v>
      </c>
      <c r="N1968" s="264" t="s">
        <v>3432</v>
      </c>
      <c r="O1968" s="744" t="s">
        <v>6139</v>
      </c>
      <c r="P1968" s="337"/>
      <c r="Q1968" s="630">
        <v>3699</v>
      </c>
      <c r="R1968" s="1415"/>
      <c r="S1968" s="1415"/>
      <c r="U1968" s="251"/>
      <c r="V1968" s="308" t="s">
        <v>2045</v>
      </c>
      <c r="W1968" s="789">
        <v>42860</v>
      </c>
      <c r="X1968" s="748">
        <v>42773</v>
      </c>
      <c r="Y1968" s="744" t="s">
        <v>6143</v>
      </c>
      <c r="Z1968" s="749">
        <v>22278</v>
      </c>
      <c r="AA1968" s="594">
        <v>42859</v>
      </c>
      <c r="AB1968" s="250" t="s">
        <v>6144</v>
      </c>
      <c r="AC1968" s="1003"/>
      <c r="AD1968" s="1003"/>
      <c r="AE1968" s="1003"/>
      <c r="AF1968" s="745"/>
      <c r="AG1968" s="251" t="s">
        <v>283</v>
      </c>
    </row>
    <row r="1969" spans="1:33" ht="15.75" customHeight="1">
      <c r="A1969" s="755">
        <v>42768</v>
      </c>
      <c r="B1969" s="250" t="s">
        <v>5981</v>
      </c>
      <c r="C1969" s="250">
        <v>7000127205</v>
      </c>
      <c r="D1969" s="744" t="s">
        <v>6138</v>
      </c>
      <c r="E1969" s="744" t="s">
        <v>4418</v>
      </c>
      <c r="F1969" s="305">
        <v>1</v>
      </c>
      <c r="G1969" s="323">
        <v>636</v>
      </c>
      <c r="H1969" s="265">
        <f t="shared" si="166"/>
        <v>636</v>
      </c>
      <c r="I1969" s="264" t="s">
        <v>42</v>
      </c>
      <c r="J1969" s="756" t="s">
        <v>3462</v>
      </c>
      <c r="K1969" s="256">
        <v>42775</v>
      </c>
      <c r="L1969" s="256"/>
      <c r="M1969" s="256">
        <v>42773</v>
      </c>
      <c r="N1969" s="264" t="s">
        <v>3432</v>
      </c>
      <c r="O1969" s="744" t="s">
        <v>6139</v>
      </c>
      <c r="P1969" s="337"/>
      <c r="Q1969" s="630">
        <v>18579</v>
      </c>
      <c r="R1969" s="1415"/>
      <c r="S1969" s="1415"/>
      <c r="U1969" s="251"/>
      <c r="V1969" s="308" t="s">
        <v>2045</v>
      </c>
      <c r="W1969" s="789">
        <v>42860</v>
      </c>
      <c r="X1969" s="748">
        <v>42773</v>
      </c>
      <c r="Y1969" s="744" t="s">
        <v>6143</v>
      </c>
      <c r="Z1969" s="749">
        <v>22278</v>
      </c>
      <c r="AA1969" s="594">
        <v>42859</v>
      </c>
      <c r="AB1969" s="250" t="s">
        <v>6144</v>
      </c>
      <c r="AC1969" s="1003"/>
      <c r="AD1969" s="1003"/>
      <c r="AE1969" s="1003"/>
      <c r="AF1969" s="745"/>
      <c r="AG1969" s="251" t="s">
        <v>283</v>
      </c>
    </row>
    <row r="1970" spans="1:33" ht="15.75" customHeight="1">
      <c r="A1970" s="743">
        <v>42769</v>
      </c>
      <c r="B1970" s="970" t="s">
        <v>76</v>
      </c>
      <c r="C1970" s="744">
        <v>77</v>
      </c>
      <c r="D1970" s="250" t="s">
        <v>6145</v>
      </c>
      <c r="E1970" s="250" t="s">
        <v>6146</v>
      </c>
      <c r="F1970" s="305">
        <v>20</v>
      </c>
      <c r="G1970" s="323">
        <v>25</v>
      </c>
      <c r="H1970" s="265">
        <f t="shared" si="166"/>
        <v>500</v>
      </c>
      <c r="I1970" s="264" t="s">
        <v>170</v>
      </c>
      <c r="J1970" s="367" t="s">
        <v>315</v>
      </c>
      <c r="K1970" s="256">
        <v>42803</v>
      </c>
      <c r="L1970" s="256"/>
      <c r="M1970" s="256">
        <v>42801</v>
      </c>
      <c r="N1970" s="251" t="s">
        <v>2411</v>
      </c>
      <c r="O1970" s="744" t="s">
        <v>6147</v>
      </c>
      <c r="P1970" s="337"/>
      <c r="Q1970" s="630">
        <v>13020</v>
      </c>
      <c r="R1970" s="1415"/>
      <c r="S1970" s="1415"/>
      <c r="U1970" s="251"/>
      <c r="V1970" s="318" t="s">
        <v>4328</v>
      </c>
      <c r="W1970" s="789">
        <v>42830</v>
      </c>
      <c r="X1970" s="748">
        <v>42800</v>
      </c>
      <c r="Y1970" s="744" t="s">
        <v>6148</v>
      </c>
      <c r="Z1970" s="260">
        <v>13020</v>
      </c>
      <c r="AA1970" s="256">
        <v>42830</v>
      </c>
      <c r="AB1970" s="250" t="s">
        <v>6149</v>
      </c>
      <c r="AC1970" s="744">
        <v>794738895</v>
      </c>
      <c r="AD1970" s="1003"/>
      <c r="AE1970" s="1003"/>
      <c r="AF1970" s="745"/>
      <c r="AG1970" s="251" t="s">
        <v>283</v>
      </c>
    </row>
    <row r="1971" spans="1:33" ht="15.75" customHeight="1">
      <c r="A1971" s="743">
        <v>42769</v>
      </c>
      <c r="B1971" s="744" t="s">
        <v>100</v>
      </c>
      <c r="C1971" s="744" t="s">
        <v>6150</v>
      </c>
      <c r="D1971" s="744" t="s">
        <v>6151</v>
      </c>
      <c r="E1971" s="744" t="s">
        <v>6152</v>
      </c>
      <c r="F1971" s="305">
        <v>2</v>
      </c>
      <c r="G1971" s="323">
        <f>550</f>
        <v>550</v>
      </c>
      <c r="H1971" s="265">
        <f t="shared" si="166"/>
        <v>1100</v>
      </c>
      <c r="I1971" s="264" t="s">
        <v>3315</v>
      </c>
      <c r="J1971" s="251" t="s">
        <v>532</v>
      </c>
      <c r="K1971" s="256">
        <v>42775</v>
      </c>
      <c r="L1971" s="256"/>
      <c r="M1971" s="256">
        <v>42774</v>
      </c>
      <c r="N1971" s="331" t="s">
        <v>1995</v>
      </c>
      <c r="O1971" s="744" t="s">
        <v>6153</v>
      </c>
      <c r="P1971" s="337"/>
      <c r="Q1971" s="630">
        <v>32267</v>
      </c>
      <c r="R1971" s="1415"/>
      <c r="S1971" s="1415"/>
      <c r="U1971" s="251"/>
      <c r="V1971" s="338" t="s">
        <v>1997</v>
      </c>
      <c r="W1971" s="789">
        <v>42772</v>
      </c>
      <c r="X1971" s="748">
        <v>42773</v>
      </c>
      <c r="Y1971" s="744" t="s">
        <v>6154</v>
      </c>
      <c r="Z1971" s="749">
        <v>36960</v>
      </c>
      <c r="AA1971" s="594">
        <v>42773</v>
      </c>
      <c r="AB1971" s="250" t="s">
        <v>6155</v>
      </c>
      <c r="AC1971" s="1003"/>
      <c r="AD1971" s="1003"/>
      <c r="AE1971" s="1003"/>
      <c r="AF1971" s="745"/>
      <c r="AG1971" s="251" t="s">
        <v>283</v>
      </c>
    </row>
    <row r="1972" spans="1:33" ht="15.75" customHeight="1">
      <c r="A1972" s="743">
        <v>42769</v>
      </c>
      <c r="B1972" s="744" t="s">
        <v>100</v>
      </c>
      <c r="C1972" s="744" t="s">
        <v>6150</v>
      </c>
      <c r="D1972" s="744" t="s">
        <v>6151</v>
      </c>
      <c r="E1972" s="744" t="s">
        <v>6156</v>
      </c>
      <c r="F1972" s="305">
        <v>2</v>
      </c>
      <c r="G1972" s="323">
        <v>80</v>
      </c>
      <c r="H1972" s="265">
        <f t="shared" si="166"/>
        <v>160</v>
      </c>
      <c r="I1972" s="264" t="s">
        <v>3315</v>
      </c>
      <c r="J1972" s="251" t="s">
        <v>532</v>
      </c>
      <c r="K1972" s="256">
        <v>42775</v>
      </c>
      <c r="L1972" s="256"/>
      <c r="M1972" s="256">
        <v>42774</v>
      </c>
      <c r="N1972" s="331" t="s">
        <v>1995</v>
      </c>
      <c r="O1972" s="744" t="s">
        <v>6153</v>
      </c>
      <c r="P1972" s="337"/>
      <c r="Q1972" s="630">
        <v>4694</v>
      </c>
      <c r="R1972" s="1415"/>
      <c r="S1972" s="1415"/>
      <c r="U1972" s="251"/>
      <c r="V1972" s="338" t="s">
        <v>1997</v>
      </c>
      <c r="W1972" s="789">
        <v>42772</v>
      </c>
      <c r="X1972" s="748">
        <v>42773</v>
      </c>
      <c r="Y1972" s="744" t="s">
        <v>6154</v>
      </c>
      <c r="Z1972" s="749">
        <v>36960</v>
      </c>
      <c r="AA1972" s="594">
        <v>42773</v>
      </c>
      <c r="AB1972" s="250" t="s">
        <v>6155</v>
      </c>
      <c r="AC1972" s="1003"/>
      <c r="AD1972" s="1003"/>
      <c r="AE1972" s="1003"/>
      <c r="AF1972" s="745"/>
      <c r="AG1972" s="251" t="s">
        <v>283</v>
      </c>
    </row>
    <row r="1973" spans="1:33" ht="15.75" customHeight="1">
      <c r="A1973" s="743">
        <v>42769</v>
      </c>
      <c r="B1973" s="744" t="s">
        <v>100</v>
      </c>
      <c r="C1973" s="744" t="s">
        <v>6150</v>
      </c>
      <c r="D1973" s="744" t="s">
        <v>6151</v>
      </c>
      <c r="E1973" s="744" t="s">
        <v>6157</v>
      </c>
      <c r="F1973" s="305">
        <v>2</v>
      </c>
      <c r="G1973" s="323">
        <v>352</v>
      </c>
      <c r="H1973" s="265">
        <f t="shared" si="166"/>
        <v>704</v>
      </c>
      <c r="I1973" s="264" t="s">
        <v>3315</v>
      </c>
      <c r="J1973" s="251" t="s">
        <v>532</v>
      </c>
      <c r="K1973" s="256">
        <v>42775</v>
      </c>
      <c r="L1973" s="256"/>
      <c r="M1973" s="256">
        <v>42774</v>
      </c>
      <c r="N1973" s="251" t="s">
        <v>2091</v>
      </c>
      <c r="O1973" s="744" t="s">
        <v>6158</v>
      </c>
      <c r="P1973" s="790">
        <v>598.5</v>
      </c>
      <c r="Q1973" s="1014"/>
      <c r="R1973" s="1437"/>
      <c r="S1973" s="1437"/>
      <c r="U1973" s="251"/>
      <c r="V1973" s="318" t="s">
        <v>6159</v>
      </c>
      <c r="W1973" s="789">
        <v>42799</v>
      </c>
      <c r="X1973" s="748">
        <v>42772</v>
      </c>
      <c r="Y1973" s="744" t="s">
        <v>6160</v>
      </c>
      <c r="Z1973" s="749">
        <v>18584</v>
      </c>
      <c r="AA1973" s="256">
        <v>42814</v>
      </c>
      <c r="AB1973" s="250" t="s">
        <v>6155</v>
      </c>
      <c r="AC1973" s="1003"/>
      <c r="AD1973" s="1003"/>
      <c r="AE1973" s="1003"/>
      <c r="AF1973" s="745"/>
      <c r="AG1973" s="251" t="s">
        <v>283</v>
      </c>
    </row>
    <row r="1974" spans="1:33" ht="15.75" customHeight="1">
      <c r="A1974" s="743">
        <v>42773</v>
      </c>
      <c r="B1974" s="744" t="s">
        <v>4903</v>
      </c>
      <c r="C1974" s="744" t="s">
        <v>6161</v>
      </c>
      <c r="D1974" s="744" t="s">
        <v>6162</v>
      </c>
      <c r="E1974" s="744" t="s">
        <v>6163</v>
      </c>
      <c r="F1974" s="305">
        <v>2</v>
      </c>
      <c r="G1974" s="323">
        <v>582</v>
      </c>
      <c r="H1974" s="265">
        <f t="shared" si="166"/>
        <v>1164</v>
      </c>
      <c r="I1974" s="264" t="s">
        <v>3315</v>
      </c>
      <c r="J1974" s="367" t="s">
        <v>3588</v>
      </c>
      <c r="K1974" s="256">
        <v>42807</v>
      </c>
      <c r="L1974" s="256"/>
      <c r="M1974" s="256">
        <v>42803</v>
      </c>
      <c r="N1974" s="254" t="s">
        <v>3432</v>
      </c>
      <c r="O1974" s="744" t="s">
        <v>6164</v>
      </c>
      <c r="P1974" s="337"/>
      <c r="Q1974" s="630">
        <v>36271</v>
      </c>
      <c r="R1974" s="1415"/>
      <c r="S1974" s="1415"/>
      <c r="U1974" s="251"/>
      <c r="V1974" s="308" t="s">
        <v>2045</v>
      </c>
      <c r="W1974" s="789">
        <v>42891</v>
      </c>
      <c r="X1974" s="748">
        <v>42802</v>
      </c>
      <c r="Y1974" s="744" t="s">
        <v>6165</v>
      </c>
      <c r="Z1974" s="749">
        <v>36271</v>
      </c>
      <c r="AA1974" s="256">
        <v>42891</v>
      </c>
      <c r="AB1974" s="250" t="s">
        <v>6166</v>
      </c>
      <c r="AC1974" s="1003"/>
      <c r="AD1974" s="1003"/>
      <c r="AE1974" s="1003"/>
      <c r="AF1974" s="745"/>
      <c r="AG1974" s="251" t="s">
        <v>283</v>
      </c>
    </row>
    <row r="1975" spans="1:33" ht="15.75" customHeight="1">
      <c r="A1975" s="743">
        <v>42773</v>
      </c>
      <c r="B1975" s="744" t="s">
        <v>1717</v>
      </c>
      <c r="C1975" s="744"/>
      <c r="D1975" s="744" t="s">
        <v>6167</v>
      </c>
      <c r="E1975" s="744" t="s">
        <v>5260</v>
      </c>
      <c r="F1975" s="305">
        <v>1</v>
      </c>
      <c r="G1975" s="323">
        <v>13</v>
      </c>
      <c r="H1975" s="265">
        <f t="shared" si="166"/>
        <v>13</v>
      </c>
      <c r="I1975" s="975" t="s">
        <v>3315</v>
      </c>
      <c r="J1975" s="251" t="s">
        <v>6168</v>
      </c>
      <c r="K1975" s="256">
        <v>42789</v>
      </c>
      <c r="L1975" s="256"/>
      <c r="M1975" s="256">
        <v>42788</v>
      </c>
      <c r="N1975" s="585" t="s">
        <v>6112</v>
      </c>
      <c r="O1975" s="251"/>
      <c r="P1975" s="337"/>
      <c r="Q1975" s="795"/>
      <c r="R1975" s="1435"/>
      <c r="S1975" s="1435"/>
      <c r="U1975" s="328"/>
      <c r="V1975" s="251"/>
      <c r="W1975" s="1002"/>
      <c r="X1975" s="745"/>
      <c r="Y1975" s="745"/>
      <c r="Z1975" s="745"/>
      <c r="AA1975" s="1003"/>
      <c r="AB1975" s="250" t="s">
        <v>6169</v>
      </c>
      <c r="AC1975" s="1003"/>
      <c r="AD1975" s="1003"/>
      <c r="AE1975" s="1003"/>
      <c r="AF1975" s="745"/>
      <c r="AG1975" s="251" t="s">
        <v>283</v>
      </c>
    </row>
    <row r="1976" spans="1:33" ht="15.75" customHeight="1">
      <c r="A1976" s="743">
        <v>42773</v>
      </c>
      <c r="B1976" s="744" t="s">
        <v>1717</v>
      </c>
      <c r="C1976" s="744"/>
      <c r="D1976" s="744" t="s">
        <v>6167</v>
      </c>
      <c r="E1976" s="744" t="s">
        <v>6170</v>
      </c>
      <c r="F1976" s="305">
        <v>1</v>
      </c>
      <c r="G1976" s="323">
        <v>2</v>
      </c>
      <c r="H1976" s="265">
        <f t="shared" si="166"/>
        <v>2</v>
      </c>
      <c r="I1976" s="975" t="s">
        <v>3315</v>
      </c>
      <c r="J1976" s="251" t="s">
        <v>6168</v>
      </c>
      <c r="K1976" s="256">
        <v>42789</v>
      </c>
      <c r="L1976" s="256"/>
      <c r="M1976" s="256">
        <v>42788</v>
      </c>
      <c r="N1976" s="251" t="s">
        <v>6112</v>
      </c>
      <c r="O1976" s="251"/>
      <c r="P1976" s="337"/>
      <c r="Q1976" s="795"/>
      <c r="R1976" s="1435"/>
      <c r="S1976" s="1435"/>
      <c r="U1976" s="328"/>
      <c r="V1976" s="251"/>
      <c r="W1976" s="1002"/>
      <c r="X1976" s="745"/>
      <c r="Y1976" s="745"/>
      <c r="Z1976" s="745"/>
      <c r="AA1976" s="1003"/>
      <c r="AB1976" s="250" t="s">
        <v>6169</v>
      </c>
      <c r="AC1976" s="1003"/>
      <c r="AD1976" s="1003"/>
      <c r="AE1976" s="1003"/>
      <c r="AF1976" s="745"/>
      <c r="AG1976" s="251" t="s">
        <v>283</v>
      </c>
    </row>
    <row r="1977" spans="1:33" ht="15.75" customHeight="1">
      <c r="A1977" s="743">
        <v>42773</v>
      </c>
      <c r="B1977" s="744" t="s">
        <v>1717</v>
      </c>
      <c r="C1977" s="744"/>
      <c r="D1977" s="744" t="s">
        <v>6167</v>
      </c>
      <c r="E1977" s="744" t="s">
        <v>6171</v>
      </c>
      <c r="F1977" s="305">
        <v>1</v>
      </c>
      <c r="G1977" s="323">
        <v>2</v>
      </c>
      <c r="H1977" s="265">
        <f t="shared" si="166"/>
        <v>2</v>
      </c>
      <c r="I1977" s="975" t="s">
        <v>3315</v>
      </c>
      <c r="J1977" s="251" t="s">
        <v>6168</v>
      </c>
      <c r="K1977" s="256">
        <v>42789</v>
      </c>
      <c r="L1977" s="256"/>
      <c r="M1977" s="256">
        <v>42788</v>
      </c>
      <c r="N1977" s="251" t="s">
        <v>6112</v>
      </c>
      <c r="O1977" s="251"/>
      <c r="P1977" s="337"/>
      <c r="Q1977" s="795"/>
      <c r="R1977" s="1435"/>
      <c r="S1977" s="1435"/>
      <c r="U1977" s="328"/>
      <c r="V1977" s="251"/>
      <c r="W1977" s="1002"/>
      <c r="X1977" s="745"/>
      <c r="Y1977" s="745"/>
      <c r="Z1977" s="745"/>
      <c r="AA1977" s="1003"/>
      <c r="AB1977" s="250" t="s">
        <v>6169</v>
      </c>
      <c r="AC1977" s="1003"/>
      <c r="AD1977" s="1003"/>
      <c r="AE1977" s="1003"/>
      <c r="AF1977" s="745"/>
      <c r="AG1977" s="251" t="s">
        <v>283</v>
      </c>
    </row>
    <row r="1978" spans="1:33" ht="15.75" customHeight="1">
      <c r="A1978" s="743">
        <v>42773</v>
      </c>
      <c r="B1978" s="744" t="s">
        <v>1717</v>
      </c>
      <c r="C1978" s="744"/>
      <c r="D1978" s="744" t="s">
        <v>6167</v>
      </c>
      <c r="E1978" s="744" t="s">
        <v>692</v>
      </c>
      <c r="F1978" s="305">
        <v>1</v>
      </c>
      <c r="G1978" s="323">
        <v>25</v>
      </c>
      <c r="H1978" s="265">
        <f t="shared" si="166"/>
        <v>25</v>
      </c>
      <c r="I1978" s="975" t="s">
        <v>3315</v>
      </c>
      <c r="J1978" s="251" t="s">
        <v>6168</v>
      </c>
      <c r="K1978" s="256">
        <v>42789</v>
      </c>
      <c r="L1978" s="256"/>
      <c r="M1978" s="256">
        <v>42788</v>
      </c>
      <c r="N1978" s="251" t="s">
        <v>6112</v>
      </c>
      <c r="O1978" s="251"/>
      <c r="P1978" s="337"/>
      <c r="Q1978" s="795"/>
      <c r="R1978" s="1435"/>
      <c r="S1978" s="1435"/>
      <c r="U1978" s="328"/>
      <c r="V1978" s="251"/>
      <c r="W1978" s="1002"/>
      <c r="X1978" s="745"/>
      <c r="Y1978" s="745"/>
      <c r="Z1978" s="745"/>
      <c r="AA1978" s="1003"/>
      <c r="AB1978" s="250" t="s">
        <v>6169</v>
      </c>
      <c r="AC1978" s="1003"/>
      <c r="AD1978" s="1003"/>
      <c r="AE1978" s="1003"/>
      <c r="AF1978" s="745"/>
      <c r="AG1978" s="251" t="s">
        <v>283</v>
      </c>
    </row>
    <row r="1979" spans="1:33" ht="15.75" customHeight="1">
      <c r="A1979" s="743">
        <v>42773</v>
      </c>
      <c r="B1979" s="595" t="s">
        <v>3479</v>
      </c>
      <c r="C1979" s="744"/>
      <c r="D1979" s="744" t="s">
        <v>6172</v>
      </c>
      <c r="E1979" s="744" t="s">
        <v>3481</v>
      </c>
      <c r="F1979" s="305">
        <v>10</v>
      </c>
      <c r="G1979" s="323">
        <f>281</f>
        <v>281</v>
      </c>
      <c r="H1979" s="265">
        <f t="shared" si="166"/>
        <v>2810</v>
      </c>
      <c r="I1979" s="997" t="s">
        <v>3315</v>
      </c>
      <c r="J1979" s="367" t="s">
        <v>6173</v>
      </c>
      <c r="K1979" s="256">
        <v>42789</v>
      </c>
      <c r="L1979" s="256"/>
      <c r="M1979" s="256">
        <v>42787</v>
      </c>
      <c r="N1979" s="401" t="s">
        <v>2001</v>
      </c>
      <c r="O1979" s="744" t="s">
        <v>6174</v>
      </c>
      <c r="P1979" s="790">
        <v>2761.5</v>
      </c>
      <c r="Q1979" s="1014"/>
      <c r="R1979" s="1437"/>
      <c r="S1979" s="1437"/>
      <c r="U1979" s="251"/>
      <c r="V1979" s="744" t="s">
        <v>2003</v>
      </c>
      <c r="W1979" s="789">
        <v>42830</v>
      </c>
      <c r="X1979" s="748">
        <v>42786</v>
      </c>
      <c r="Y1979" s="744" t="s">
        <v>6175</v>
      </c>
      <c r="Z1979" s="749">
        <v>177165</v>
      </c>
      <c r="AA1979" s="256">
        <v>42830</v>
      </c>
      <c r="AB1979" s="250" t="s">
        <v>6176</v>
      </c>
      <c r="AC1979" s="1003"/>
      <c r="AD1979" s="1003"/>
      <c r="AE1979" s="1003"/>
      <c r="AF1979" s="745"/>
      <c r="AG1979" s="251" t="s">
        <v>283</v>
      </c>
    </row>
    <row r="1980" spans="1:33" ht="15.75" customHeight="1">
      <c r="A1980" s="743">
        <v>42773</v>
      </c>
      <c r="B1980" s="595" t="s">
        <v>3479</v>
      </c>
      <c r="C1980" s="744"/>
      <c r="D1980" s="744" t="s">
        <v>6172</v>
      </c>
      <c r="E1980" s="744" t="s">
        <v>3487</v>
      </c>
      <c r="F1980" s="305">
        <v>30</v>
      </c>
      <c r="G1980" s="323">
        <v>102</v>
      </c>
      <c r="H1980" s="265">
        <f t="shared" si="166"/>
        <v>3060</v>
      </c>
      <c r="I1980" s="997" t="s">
        <v>3315</v>
      </c>
      <c r="J1980" s="367" t="s">
        <v>6173</v>
      </c>
      <c r="K1980" s="256">
        <v>42789</v>
      </c>
      <c r="L1980" s="256"/>
      <c r="M1980" s="256">
        <v>42787</v>
      </c>
      <c r="N1980" s="401" t="s">
        <v>2001</v>
      </c>
      <c r="O1980" s="744" t="s">
        <v>6174</v>
      </c>
      <c r="P1980" s="790">
        <v>2992.5</v>
      </c>
      <c r="Q1980" s="1014"/>
      <c r="R1980" s="1437"/>
      <c r="S1980" s="1437"/>
      <c r="U1980" s="251"/>
      <c r="V1980" s="744" t="s">
        <v>2003</v>
      </c>
      <c r="W1980" s="789">
        <v>42830</v>
      </c>
      <c r="X1980" s="748">
        <v>42786</v>
      </c>
      <c r="Y1980" s="744" t="s">
        <v>6175</v>
      </c>
      <c r="Z1980" s="749">
        <v>177165</v>
      </c>
      <c r="AA1980" s="256">
        <v>42830</v>
      </c>
      <c r="AB1980" s="250" t="s">
        <v>6176</v>
      </c>
      <c r="AC1980" s="1003"/>
      <c r="AD1980" s="1003"/>
      <c r="AE1980" s="1003"/>
      <c r="AF1980" s="745"/>
      <c r="AG1980" s="251" t="s">
        <v>283</v>
      </c>
    </row>
    <row r="1981" spans="1:33" ht="15.75" customHeight="1">
      <c r="A1981" s="743">
        <v>42773</v>
      </c>
      <c r="B1981" s="744" t="s">
        <v>1717</v>
      </c>
      <c r="C1981" s="744"/>
      <c r="D1981" s="744" t="s">
        <v>6167</v>
      </c>
      <c r="E1981" s="744" t="s">
        <v>6177</v>
      </c>
      <c r="F1981" s="305">
        <v>1</v>
      </c>
      <c r="G1981" s="323">
        <v>75</v>
      </c>
      <c r="H1981" s="265">
        <f t="shared" si="166"/>
        <v>75</v>
      </c>
      <c r="I1981" s="975" t="s">
        <v>3315</v>
      </c>
      <c r="J1981" s="251" t="s">
        <v>6168</v>
      </c>
      <c r="K1981" s="256">
        <v>42789</v>
      </c>
      <c r="L1981" s="256"/>
      <c r="M1981" s="256">
        <v>42786</v>
      </c>
      <c r="N1981" s="251" t="s">
        <v>2091</v>
      </c>
      <c r="O1981" s="251"/>
      <c r="P1981" s="337"/>
      <c r="Q1981" s="795"/>
      <c r="R1981" s="1435"/>
      <c r="S1981" s="1435"/>
      <c r="U1981" s="595"/>
      <c r="V1981" s="251"/>
      <c r="W1981" s="1002"/>
      <c r="X1981" s="745"/>
      <c r="Y1981" s="745"/>
      <c r="Z1981" s="745"/>
      <c r="AA1981" s="1003"/>
      <c r="AB1981" s="250" t="s">
        <v>6169</v>
      </c>
      <c r="AC1981" s="1003"/>
      <c r="AD1981" s="1003"/>
      <c r="AE1981" s="1003"/>
      <c r="AF1981" s="745"/>
      <c r="AG1981" s="251" t="s">
        <v>283</v>
      </c>
    </row>
    <row r="1982" spans="1:33" ht="15.75" customHeight="1">
      <c r="A1982" s="743">
        <v>42773</v>
      </c>
      <c r="B1982" s="744" t="s">
        <v>1717</v>
      </c>
      <c r="C1982" s="744"/>
      <c r="D1982" s="744" t="s">
        <v>6167</v>
      </c>
      <c r="E1982" s="744" t="s">
        <v>6178</v>
      </c>
      <c r="F1982" s="305">
        <v>1</v>
      </c>
      <c r="G1982" s="323">
        <f>75+29+5</f>
        <v>109</v>
      </c>
      <c r="H1982" s="265">
        <f t="shared" si="166"/>
        <v>109</v>
      </c>
      <c r="I1982" s="975" t="s">
        <v>3315</v>
      </c>
      <c r="J1982" s="251" t="s">
        <v>6168</v>
      </c>
      <c r="K1982" s="256">
        <v>42789</v>
      </c>
      <c r="L1982" s="256"/>
      <c r="M1982" s="256">
        <v>42784</v>
      </c>
      <c r="N1982" s="267" t="s">
        <v>6179</v>
      </c>
      <c r="O1982" s="251"/>
      <c r="P1982" s="337"/>
      <c r="Q1982" s="795"/>
      <c r="R1982" s="1435"/>
      <c r="S1982" s="1435"/>
      <c r="U1982" s="595"/>
      <c r="V1982" s="251"/>
      <c r="W1982" s="1002"/>
      <c r="X1982" s="882"/>
      <c r="Y1982" s="882"/>
      <c r="Z1982" s="882"/>
      <c r="AA1982" s="1003"/>
      <c r="AB1982" s="250" t="s">
        <v>6169</v>
      </c>
      <c r="AC1982" s="1003"/>
      <c r="AD1982" s="1003"/>
      <c r="AE1982" s="1003"/>
      <c r="AF1982" s="745"/>
      <c r="AG1982" s="251" t="s">
        <v>283</v>
      </c>
    </row>
    <row r="1983" spans="1:33" ht="15.75" customHeight="1">
      <c r="A1983" s="743">
        <v>42773</v>
      </c>
      <c r="B1983" s="744" t="s">
        <v>100</v>
      </c>
      <c r="C1983" s="744"/>
      <c r="D1983" s="744" t="s">
        <v>6180</v>
      </c>
      <c r="E1983" s="744" t="s">
        <v>6181</v>
      </c>
      <c r="F1983" s="305">
        <v>1</v>
      </c>
      <c r="G1983" s="252">
        <v>241</v>
      </c>
      <c r="H1983" s="265">
        <f t="shared" si="166"/>
        <v>241</v>
      </c>
      <c r="I1983" s="264" t="s">
        <v>3315</v>
      </c>
      <c r="J1983" s="251" t="s">
        <v>532</v>
      </c>
      <c r="K1983" s="256">
        <v>42775</v>
      </c>
      <c r="L1983" s="256"/>
      <c r="M1983" s="251"/>
      <c r="N1983" s="401" t="s">
        <v>1999</v>
      </c>
      <c r="O1983" s="251"/>
      <c r="P1983" s="337"/>
      <c r="Q1983" s="630">
        <v>6564</v>
      </c>
      <c r="R1983" s="1415"/>
      <c r="S1983" s="1415"/>
      <c r="U1983" s="251"/>
      <c r="V1983" s="308" t="s">
        <v>2000</v>
      </c>
      <c r="W1983" s="789">
        <v>42813</v>
      </c>
      <c r="X1983" s="748">
        <v>42783</v>
      </c>
      <c r="Y1983" s="744" t="s">
        <v>6182</v>
      </c>
      <c r="Z1983" s="749">
        <v>6564</v>
      </c>
      <c r="AA1983" s="594">
        <v>42825</v>
      </c>
      <c r="AB1983" s="250" t="s">
        <v>6155</v>
      </c>
      <c r="AC1983" s="1003"/>
      <c r="AD1983" s="1003"/>
      <c r="AE1983" s="1003"/>
      <c r="AF1983" s="745"/>
      <c r="AG1983" s="251" t="s">
        <v>283</v>
      </c>
    </row>
    <row r="1984" spans="1:33" ht="15.75" customHeight="1">
      <c r="A1984" s="743">
        <v>42774</v>
      </c>
      <c r="B1984" s="744" t="s">
        <v>325</v>
      </c>
      <c r="C1984" s="744">
        <v>1609069</v>
      </c>
      <c r="D1984" s="744" t="s">
        <v>6183</v>
      </c>
      <c r="E1984" s="744" t="s">
        <v>6184</v>
      </c>
      <c r="F1984" s="305">
        <v>10</v>
      </c>
      <c r="G1984" s="252">
        <v>438</v>
      </c>
      <c r="H1984" s="265">
        <f t="shared" si="166"/>
        <v>4380</v>
      </c>
      <c r="I1984" s="264" t="s">
        <v>3315</v>
      </c>
      <c r="J1984" s="367" t="s">
        <v>3613</v>
      </c>
      <c r="K1984" s="256">
        <v>42790</v>
      </c>
      <c r="L1984" s="256"/>
      <c r="M1984" s="256">
        <v>42790</v>
      </c>
      <c r="N1984" s="331" t="s">
        <v>3614</v>
      </c>
      <c r="O1984" s="744" t="s">
        <v>6185</v>
      </c>
      <c r="P1984" s="574">
        <v>4042.5</v>
      </c>
      <c r="Q1984" s="795"/>
      <c r="R1984" s="1435"/>
      <c r="S1984" s="1435"/>
      <c r="U1984" s="251"/>
      <c r="V1984" s="318" t="s">
        <v>6186</v>
      </c>
      <c r="W1984" s="789">
        <v>42825</v>
      </c>
      <c r="X1984" s="750">
        <v>42789</v>
      </c>
      <c r="Y1984" s="250" t="s">
        <v>6187</v>
      </c>
      <c r="Z1984" s="753">
        <v>132180</v>
      </c>
      <c r="AA1984" s="594">
        <v>42825</v>
      </c>
      <c r="AB1984" s="250" t="s">
        <v>6188</v>
      </c>
      <c r="AC1984" s="1003"/>
      <c r="AD1984" s="1003"/>
      <c r="AE1984" s="1003"/>
      <c r="AF1984" s="745"/>
      <c r="AG1984" s="251" t="s">
        <v>283</v>
      </c>
    </row>
    <row r="1985" spans="1:33" ht="15.75" customHeight="1">
      <c r="A1985" s="743">
        <v>42774</v>
      </c>
      <c r="B1985" s="744" t="s">
        <v>325</v>
      </c>
      <c r="C1985" s="744">
        <v>1609069</v>
      </c>
      <c r="D1985" s="744" t="s">
        <v>6183</v>
      </c>
      <c r="E1985" s="744" t="s">
        <v>6189</v>
      </c>
      <c r="F1985" s="305">
        <v>10</v>
      </c>
      <c r="G1985" s="252">
        <v>34</v>
      </c>
      <c r="H1985" s="265">
        <f t="shared" si="166"/>
        <v>340</v>
      </c>
      <c r="I1985" s="264" t="s">
        <v>3315</v>
      </c>
      <c r="J1985" s="367" t="s">
        <v>3613</v>
      </c>
      <c r="K1985" s="256">
        <v>42790</v>
      </c>
      <c r="L1985" s="256"/>
      <c r="M1985" s="256">
        <v>42790</v>
      </c>
      <c r="N1985" s="331" t="s">
        <v>3614</v>
      </c>
      <c r="O1985" s="744" t="s">
        <v>6185</v>
      </c>
      <c r="P1985" s="574">
        <v>252</v>
      </c>
      <c r="Q1985" s="795"/>
      <c r="R1985" s="1435"/>
      <c r="S1985" s="1435"/>
      <c r="U1985" s="251"/>
      <c r="V1985" s="318" t="s">
        <v>6186</v>
      </c>
      <c r="W1985" s="789">
        <v>42825</v>
      </c>
      <c r="X1985" s="750">
        <v>42789</v>
      </c>
      <c r="Y1985" s="250" t="s">
        <v>6187</v>
      </c>
      <c r="Z1985" s="753">
        <v>132180</v>
      </c>
      <c r="AA1985" s="594">
        <v>42825</v>
      </c>
      <c r="AB1985" s="250" t="s">
        <v>6188</v>
      </c>
      <c r="AC1985" s="1003"/>
      <c r="AD1985" s="1003"/>
      <c r="AE1985" s="1003"/>
      <c r="AF1985" s="745"/>
      <c r="AG1985" s="251" t="s">
        <v>283</v>
      </c>
    </row>
    <row r="1986" spans="1:33" ht="15.75" customHeight="1">
      <c r="A1986" s="743">
        <v>42774</v>
      </c>
      <c r="B1986" s="744" t="s">
        <v>325</v>
      </c>
      <c r="C1986" s="744">
        <v>1609069</v>
      </c>
      <c r="D1986" s="744" t="s">
        <v>6183</v>
      </c>
      <c r="E1986" s="744" t="s">
        <v>6190</v>
      </c>
      <c r="F1986" s="305">
        <v>10</v>
      </c>
      <c r="G1986" s="252">
        <v>31</v>
      </c>
      <c r="H1986" s="265">
        <f t="shared" si="166"/>
        <v>310</v>
      </c>
      <c r="I1986" s="264" t="s">
        <v>3315</v>
      </c>
      <c r="J1986" s="367" t="s">
        <v>3613</v>
      </c>
      <c r="K1986" s="256">
        <v>42790</v>
      </c>
      <c r="L1986" s="256"/>
      <c r="M1986" s="256">
        <v>42783</v>
      </c>
      <c r="N1986" s="251" t="s">
        <v>6191</v>
      </c>
      <c r="O1986" s="744" t="s">
        <v>6192</v>
      </c>
      <c r="P1986" s="574">
        <v>294</v>
      </c>
      <c r="Q1986" s="795"/>
      <c r="R1986" s="1435"/>
      <c r="S1986" s="1435"/>
      <c r="U1986" s="251"/>
      <c r="V1986" s="318" t="s">
        <v>3754</v>
      </c>
      <c r="W1986" s="789">
        <v>42811</v>
      </c>
      <c r="X1986" s="750">
        <v>42781</v>
      </c>
      <c r="Y1986" s="250" t="s">
        <v>6193</v>
      </c>
      <c r="Z1986" s="753">
        <v>9075</v>
      </c>
      <c r="AA1986" s="256">
        <v>42814</v>
      </c>
      <c r="AB1986" s="250" t="s">
        <v>6188</v>
      </c>
      <c r="AC1986" s="1003"/>
      <c r="AD1986" s="1003"/>
      <c r="AE1986" s="1003"/>
      <c r="AF1986" s="745"/>
      <c r="AG1986" s="251" t="s">
        <v>283</v>
      </c>
    </row>
    <row r="1987" spans="1:33" ht="15.75" customHeight="1">
      <c r="A1987" s="743">
        <v>42775</v>
      </c>
      <c r="B1987" s="744" t="s">
        <v>4590</v>
      </c>
      <c r="C1987" s="744">
        <v>63294</v>
      </c>
      <c r="D1987" s="744" t="s">
        <v>6194</v>
      </c>
      <c r="E1987" s="744" t="s">
        <v>6195</v>
      </c>
      <c r="F1987" s="305">
        <v>51</v>
      </c>
      <c r="G1987" s="252">
        <v>60</v>
      </c>
      <c r="H1987" s="265">
        <f t="shared" si="166"/>
        <v>3060</v>
      </c>
      <c r="I1987" s="975" t="s">
        <v>3315</v>
      </c>
      <c r="J1987" s="251" t="s">
        <v>532</v>
      </c>
      <c r="K1987" s="256">
        <v>42789</v>
      </c>
      <c r="L1987" s="256"/>
      <c r="M1987" s="256">
        <v>42783</v>
      </c>
      <c r="N1987" s="331" t="s">
        <v>6196</v>
      </c>
      <c r="O1987" s="744" t="s">
        <v>6197</v>
      </c>
      <c r="P1987" s="337"/>
      <c r="Q1987" s="630">
        <v>84952</v>
      </c>
      <c r="R1987" s="1415"/>
      <c r="S1987" s="1415"/>
      <c r="U1987" s="251"/>
      <c r="V1987" s="597" t="s">
        <v>6198</v>
      </c>
      <c r="W1987" s="1015"/>
      <c r="X1987" s="748">
        <v>42782</v>
      </c>
      <c r="Y1987" s="744" t="s">
        <v>6199</v>
      </c>
      <c r="Z1987" s="749">
        <v>84952</v>
      </c>
      <c r="AA1987" s="594">
        <v>42776</v>
      </c>
      <c r="AB1987" s="250" t="s">
        <v>6200</v>
      </c>
      <c r="AC1987" s="1003"/>
      <c r="AD1987" s="1003"/>
      <c r="AE1987" s="1003"/>
      <c r="AF1987" s="745"/>
      <c r="AG1987" s="251" t="s">
        <v>283</v>
      </c>
    </row>
    <row r="1988" spans="1:33" ht="15.75" customHeight="1">
      <c r="A1988" s="743">
        <v>42775</v>
      </c>
      <c r="B1988" s="744" t="s">
        <v>4590</v>
      </c>
      <c r="C1988" s="744">
        <v>63294</v>
      </c>
      <c r="D1988" s="744" t="s">
        <v>6194</v>
      </c>
      <c r="E1988" s="744" t="s">
        <v>6201</v>
      </c>
      <c r="F1988" s="305">
        <v>1</v>
      </c>
      <c r="G1988" s="252">
        <v>183</v>
      </c>
      <c r="H1988" s="265">
        <f t="shared" si="166"/>
        <v>183</v>
      </c>
      <c r="I1988" s="975" t="s">
        <v>3315</v>
      </c>
      <c r="J1988" s="251" t="s">
        <v>532</v>
      </c>
      <c r="K1988" s="256">
        <v>42789</v>
      </c>
      <c r="L1988" s="256"/>
      <c r="M1988" s="623"/>
      <c r="N1988" s="331" t="s">
        <v>1999</v>
      </c>
      <c r="O1988" s="251"/>
      <c r="P1988" s="337"/>
      <c r="Q1988" s="630">
        <v>5127</v>
      </c>
      <c r="R1988" s="1415"/>
      <c r="S1988" s="1415"/>
      <c r="U1988" s="251"/>
      <c r="V1988" s="308" t="s">
        <v>2000</v>
      </c>
      <c r="W1988" s="789">
        <v>42824</v>
      </c>
      <c r="X1988" s="750">
        <v>42794</v>
      </c>
      <c r="Y1988" s="250" t="s">
        <v>6202</v>
      </c>
      <c r="Z1988" s="753">
        <v>5127</v>
      </c>
      <c r="AA1988" s="594">
        <v>42825</v>
      </c>
      <c r="AB1988" s="250" t="s">
        <v>6200</v>
      </c>
      <c r="AC1988" s="1003"/>
      <c r="AD1988" s="1003"/>
      <c r="AE1988" s="1003"/>
      <c r="AF1988" s="745"/>
      <c r="AG1988" s="251" t="s">
        <v>283</v>
      </c>
    </row>
    <row r="1989" spans="1:33" ht="15.75" customHeight="1">
      <c r="A1989" s="743">
        <v>42776</v>
      </c>
      <c r="B1989" s="744" t="s">
        <v>100</v>
      </c>
      <c r="C1989" s="744" t="s">
        <v>6203</v>
      </c>
      <c r="D1989" s="744" t="s">
        <v>6204</v>
      </c>
      <c r="E1989" s="744" t="s">
        <v>6110</v>
      </c>
      <c r="F1989" s="305">
        <v>2</v>
      </c>
      <c r="G1989" s="323">
        <v>60</v>
      </c>
      <c r="H1989" s="574">
        <f t="shared" si="166"/>
        <v>120</v>
      </c>
      <c r="I1989" s="264" t="s">
        <v>3315</v>
      </c>
      <c r="J1989" s="367" t="s">
        <v>6053</v>
      </c>
      <c r="K1989" s="256">
        <v>42810</v>
      </c>
      <c r="L1989" s="256"/>
      <c r="M1989" s="256">
        <v>42810</v>
      </c>
      <c r="N1989" s="331" t="s">
        <v>1414</v>
      </c>
      <c r="O1989" s="744" t="s">
        <v>6205</v>
      </c>
      <c r="P1989" s="337"/>
      <c r="Q1989" s="1016">
        <v>3586</v>
      </c>
      <c r="R1989" s="1438"/>
      <c r="S1989" s="1438"/>
      <c r="U1989" s="251"/>
      <c r="V1989" s="970" t="s">
        <v>1947</v>
      </c>
      <c r="W1989" s="789">
        <v>42830</v>
      </c>
      <c r="X1989" s="748">
        <v>42809</v>
      </c>
      <c r="Y1989" s="744" t="s">
        <v>6206</v>
      </c>
      <c r="Z1989" s="749">
        <v>3586</v>
      </c>
      <c r="AA1989" s="594">
        <v>42859</v>
      </c>
      <c r="AB1989" s="250" t="s">
        <v>6207</v>
      </c>
      <c r="AC1989" s="1003"/>
      <c r="AD1989" s="1003"/>
      <c r="AE1989" s="1003"/>
      <c r="AF1989" s="745"/>
      <c r="AG1989" s="251" t="s">
        <v>283</v>
      </c>
    </row>
    <row r="1990" spans="1:33" ht="15.75" customHeight="1">
      <c r="A1990" s="743">
        <v>42776</v>
      </c>
      <c r="B1990" s="744" t="s">
        <v>100</v>
      </c>
      <c r="C1990" s="744" t="s">
        <v>6203</v>
      </c>
      <c r="D1990" s="744" t="s">
        <v>6204</v>
      </c>
      <c r="E1990" s="744" t="s">
        <v>6208</v>
      </c>
      <c r="F1990" s="305">
        <v>2</v>
      </c>
      <c r="G1990" s="323">
        <v>575</v>
      </c>
      <c r="H1990" s="574">
        <f t="shared" si="166"/>
        <v>1150</v>
      </c>
      <c r="I1990" s="264" t="s">
        <v>3315</v>
      </c>
      <c r="J1990" s="367" t="s">
        <v>6053</v>
      </c>
      <c r="K1990" s="256">
        <v>42810</v>
      </c>
      <c r="L1990" s="256"/>
      <c r="M1990" s="256">
        <v>42803</v>
      </c>
      <c r="N1990" s="331" t="s">
        <v>1414</v>
      </c>
      <c r="O1990" s="744" t="s">
        <v>6205</v>
      </c>
      <c r="P1990" s="337"/>
      <c r="Q1990" s="1016">
        <v>33249</v>
      </c>
      <c r="R1990" s="1438"/>
      <c r="S1990" s="1438"/>
      <c r="U1990" s="251"/>
      <c r="V1990" s="744" t="s">
        <v>1947</v>
      </c>
      <c r="W1990" s="789">
        <v>42830</v>
      </c>
      <c r="X1990" s="748">
        <v>42802</v>
      </c>
      <c r="Y1990" s="744" t="s">
        <v>6209</v>
      </c>
      <c r="Z1990" s="749">
        <v>35531</v>
      </c>
      <c r="AA1990" s="594">
        <v>42859</v>
      </c>
      <c r="AB1990" s="250" t="s">
        <v>6207</v>
      </c>
      <c r="AC1990" s="1003"/>
      <c r="AD1990" s="1003"/>
      <c r="AE1990" s="1003"/>
      <c r="AF1990" s="745"/>
      <c r="AG1990" s="251" t="s">
        <v>283</v>
      </c>
    </row>
    <row r="1991" spans="1:33" ht="15.75" customHeight="1">
      <c r="A1991" s="743">
        <v>42776</v>
      </c>
      <c r="B1991" s="744" t="s">
        <v>100</v>
      </c>
      <c r="C1991" s="744" t="s">
        <v>6203</v>
      </c>
      <c r="D1991" s="744" t="s">
        <v>6204</v>
      </c>
      <c r="E1991" s="744" t="s">
        <v>6109</v>
      </c>
      <c r="F1991" s="305">
        <v>2</v>
      </c>
      <c r="G1991" s="323">
        <v>38</v>
      </c>
      <c r="H1991" s="574">
        <f t="shared" si="166"/>
        <v>76</v>
      </c>
      <c r="I1991" s="264" t="s">
        <v>3315</v>
      </c>
      <c r="J1991" s="367" t="s">
        <v>6053</v>
      </c>
      <c r="K1991" s="256">
        <v>42810</v>
      </c>
      <c r="L1991" s="256"/>
      <c r="M1991" s="256">
        <v>42803</v>
      </c>
      <c r="N1991" s="401" t="s">
        <v>1414</v>
      </c>
      <c r="O1991" s="744" t="s">
        <v>6205</v>
      </c>
      <c r="P1991" s="337"/>
      <c r="Q1991" s="1016">
        <v>2282</v>
      </c>
      <c r="R1991" s="1438"/>
      <c r="S1991" s="1438"/>
      <c r="U1991" s="251"/>
      <c r="V1991" s="970" t="s">
        <v>1947</v>
      </c>
      <c r="W1991" s="789">
        <v>42830</v>
      </c>
      <c r="X1991" s="748">
        <v>42802</v>
      </c>
      <c r="Y1991" s="744" t="s">
        <v>6209</v>
      </c>
      <c r="Z1991" s="749">
        <v>35531</v>
      </c>
      <c r="AA1991" s="594">
        <v>42859</v>
      </c>
      <c r="AB1991" s="250" t="s">
        <v>6207</v>
      </c>
      <c r="AC1991" s="1003"/>
      <c r="AD1991" s="1003"/>
      <c r="AE1991" s="1003"/>
      <c r="AF1991" s="745"/>
      <c r="AG1991" s="251" t="s">
        <v>283</v>
      </c>
    </row>
    <row r="1992" spans="1:33" ht="15.75" customHeight="1">
      <c r="A1992" s="743">
        <v>42776</v>
      </c>
      <c r="B1992" s="744" t="s">
        <v>100</v>
      </c>
      <c r="C1992" s="744" t="s">
        <v>6203</v>
      </c>
      <c r="D1992" s="250" t="s">
        <v>6210</v>
      </c>
      <c r="E1992" s="250" t="s">
        <v>6111</v>
      </c>
      <c r="F1992" s="305">
        <v>2</v>
      </c>
      <c r="G1992" s="323">
        <v>237</v>
      </c>
      <c r="H1992" s="574">
        <f t="shared" si="166"/>
        <v>474</v>
      </c>
      <c r="I1992" s="264" t="s">
        <v>3315</v>
      </c>
      <c r="J1992" s="367" t="s">
        <v>6053</v>
      </c>
      <c r="K1992" s="256">
        <v>42810</v>
      </c>
      <c r="L1992" s="256"/>
      <c r="M1992" s="256">
        <v>42801</v>
      </c>
      <c r="N1992" s="251" t="s">
        <v>6112</v>
      </c>
      <c r="O1992" s="744" t="s">
        <v>6211</v>
      </c>
      <c r="P1992" s="337"/>
      <c r="Q1992" s="630">
        <v>11735</v>
      </c>
      <c r="R1992" s="1415"/>
      <c r="S1992" s="1415"/>
      <c r="U1992" s="251"/>
      <c r="V1992" s="744" t="s">
        <v>2109</v>
      </c>
      <c r="W1992" s="1009">
        <v>42830</v>
      </c>
      <c r="X1992" s="750">
        <v>42801</v>
      </c>
      <c r="Y1992" s="744" t="s">
        <v>6212</v>
      </c>
      <c r="Z1992" s="749">
        <v>11735</v>
      </c>
      <c r="AA1992" s="594">
        <v>42832</v>
      </c>
      <c r="AB1992" s="250" t="s">
        <v>6207</v>
      </c>
      <c r="AC1992" s="1003"/>
      <c r="AD1992" s="1003"/>
      <c r="AE1992" s="1003"/>
      <c r="AF1992" s="745"/>
      <c r="AG1992" s="251" t="s">
        <v>283</v>
      </c>
    </row>
    <row r="1993" spans="1:33" ht="15.75" customHeight="1">
      <c r="A1993" s="743">
        <v>42776</v>
      </c>
      <c r="B1993" s="744" t="s">
        <v>100</v>
      </c>
      <c r="C1993" s="744" t="s">
        <v>6203</v>
      </c>
      <c r="D1993" s="744" t="s">
        <v>6204</v>
      </c>
      <c r="E1993" s="744" t="s">
        <v>6115</v>
      </c>
      <c r="F1993" s="305">
        <v>2</v>
      </c>
      <c r="G1993" s="323">
        <v>380</v>
      </c>
      <c r="H1993" s="574">
        <f t="shared" si="166"/>
        <v>760</v>
      </c>
      <c r="I1993" s="264" t="s">
        <v>3315</v>
      </c>
      <c r="J1993" s="367" t="s">
        <v>6053</v>
      </c>
      <c r="K1993" s="256">
        <v>42810</v>
      </c>
      <c r="L1993" s="256"/>
      <c r="M1993" s="256">
        <v>42786</v>
      </c>
      <c r="N1993" s="585" t="s">
        <v>6116</v>
      </c>
      <c r="O1993" s="744" t="s">
        <v>6213</v>
      </c>
      <c r="P1993" s="574">
        <v>690.9</v>
      </c>
      <c r="Q1993" s="795"/>
      <c r="R1993" s="1435"/>
      <c r="S1993" s="1435"/>
      <c r="U1993" s="251"/>
      <c r="V1993" s="308" t="s">
        <v>3754</v>
      </c>
      <c r="W1993" s="789">
        <v>42811</v>
      </c>
      <c r="X1993" s="750">
        <v>42783</v>
      </c>
      <c r="Y1993" s="250" t="s">
        <v>6214</v>
      </c>
      <c r="Z1993" s="753">
        <v>21274</v>
      </c>
      <c r="AA1993" s="256">
        <v>42814</v>
      </c>
      <c r="AB1993" s="250" t="s">
        <v>6207</v>
      </c>
      <c r="AC1993" s="1003"/>
      <c r="AD1993" s="1003"/>
      <c r="AE1993" s="1003"/>
      <c r="AF1993" s="745"/>
      <c r="AG1993" s="251" t="s">
        <v>283</v>
      </c>
    </row>
    <row r="1994" spans="1:33" ht="15.75" customHeight="1">
      <c r="A1994" s="743">
        <v>42776</v>
      </c>
      <c r="B1994" s="744" t="s">
        <v>100</v>
      </c>
      <c r="C1994" s="744" t="s">
        <v>6203</v>
      </c>
      <c r="D1994" s="744" t="s">
        <v>6204</v>
      </c>
      <c r="E1994" s="744" t="s">
        <v>6119</v>
      </c>
      <c r="F1994" s="305">
        <v>2</v>
      </c>
      <c r="G1994" s="323">
        <v>70</v>
      </c>
      <c r="H1994" s="574">
        <f t="shared" si="166"/>
        <v>140</v>
      </c>
      <c r="I1994" s="264" t="s">
        <v>3315</v>
      </c>
      <c r="J1994" s="367" t="s">
        <v>6053</v>
      </c>
      <c r="K1994" s="256">
        <v>42810</v>
      </c>
      <c r="L1994" s="256"/>
      <c r="M1994" s="256">
        <v>42782</v>
      </c>
      <c r="N1994" s="331" t="s">
        <v>6120</v>
      </c>
      <c r="O1994" s="251"/>
      <c r="P1994" s="337"/>
      <c r="Q1994" s="795"/>
      <c r="R1994" s="1435"/>
      <c r="S1994" s="1435"/>
      <c r="U1994" s="744"/>
      <c r="V1994" s="251"/>
      <c r="W1994" s="1010"/>
      <c r="X1994" s="744" t="s">
        <v>6121</v>
      </c>
      <c r="Y1994" s="744" t="s">
        <v>6121</v>
      </c>
      <c r="Z1994" s="744" t="s">
        <v>6121</v>
      </c>
      <c r="AA1994" s="1003"/>
      <c r="AB1994" s="250" t="s">
        <v>6207</v>
      </c>
      <c r="AC1994" s="1003"/>
      <c r="AD1994" s="1003"/>
      <c r="AE1994" s="1003"/>
      <c r="AF1994" s="745"/>
      <c r="AG1994" s="251" t="s">
        <v>283</v>
      </c>
    </row>
    <row r="1995" spans="1:33" ht="15.75" customHeight="1">
      <c r="A1995" s="743">
        <v>42776</v>
      </c>
      <c r="B1995" s="744" t="s">
        <v>3516</v>
      </c>
      <c r="C1995" s="744">
        <v>300002</v>
      </c>
      <c r="D1995" s="744" t="s">
        <v>6215</v>
      </c>
      <c r="E1995" s="744" t="s">
        <v>6216</v>
      </c>
      <c r="F1995" s="305">
        <v>50</v>
      </c>
      <c r="G1995" s="323">
        <v>125</v>
      </c>
      <c r="H1995" s="574">
        <f t="shared" si="166"/>
        <v>6250</v>
      </c>
      <c r="I1995" s="997" t="s">
        <v>3315</v>
      </c>
      <c r="J1995" s="367" t="s">
        <v>6217</v>
      </c>
      <c r="K1995" s="256">
        <v>42782</v>
      </c>
      <c r="L1995" s="256"/>
      <c r="M1995" s="256">
        <v>42782</v>
      </c>
      <c r="N1995" s="401" t="s">
        <v>2124</v>
      </c>
      <c r="O1995" s="744" t="s">
        <v>6218</v>
      </c>
      <c r="P1995" s="337"/>
      <c r="Q1995" s="630">
        <v>182543</v>
      </c>
      <c r="R1995" s="1415"/>
      <c r="S1995" s="1415"/>
      <c r="U1995" s="251"/>
      <c r="V1995" s="308" t="s">
        <v>2126</v>
      </c>
      <c r="W1995" s="789">
        <v>42779</v>
      </c>
      <c r="X1995" s="748">
        <v>42782</v>
      </c>
      <c r="Y1995" s="744" t="s">
        <v>6219</v>
      </c>
      <c r="Z1995" s="749">
        <v>182543</v>
      </c>
      <c r="AA1995" s="594">
        <v>42781</v>
      </c>
      <c r="AB1995" s="250" t="s">
        <v>6220</v>
      </c>
      <c r="AC1995" s="1003"/>
      <c r="AD1995" s="1003"/>
      <c r="AE1995" s="1003"/>
      <c r="AF1995" s="745"/>
      <c r="AG1995" s="251" t="s">
        <v>283</v>
      </c>
    </row>
    <row r="1996" spans="1:33" ht="15.75" customHeight="1">
      <c r="A1996" s="272">
        <v>42779</v>
      </c>
      <c r="B1996" s="768" t="s">
        <v>629</v>
      </c>
      <c r="C1996" s="768"/>
      <c r="D1996" s="274" t="s">
        <v>6221</v>
      </c>
      <c r="E1996" s="274" t="s">
        <v>4107</v>
      </c>
      <c r="F1996" s="878">
        <v>10</v>
      </c>
      <c r="G1996" s="813"/>
      <c r="H1996" s="837">
        <f t="shared" si="166"/>
        <v>0</v>
      </c>
      <c r="I1996" s="776" t="s">
        <v>170</v>
      </c>
      <c r="J1996" s="277" t="s">
        <v>1309</v>
      </c>
      <c r="K1996" s="289">
        <v>42884</v>
      </c>
      <c r="L1996" s="289"/>
      <c r="M1996" s="289">
        <v>42880</v>
      </c>
      <c r="N1996" s="280" t="s">
        <v>2212</v>
      </c>
      <c r="O1996" s="274" t="s">
        <v>6222</v>
      </c>
      <c r="P1996" s="1011"/>
      <c r="Q1996" s="1017"/>
      <c r="R1996" s="1439"/>
      <c r="S1996" s="1439"/>
      <c r="U1996" s="277"/>
      <c r="V1996" s="765" t="s">
        <v>2214</v>
      </c>
      <c r="W1996" s="1015"/>
      <c r="X1996" s="766"/>
      <c r="Y1996" s="766"/>
      <c r="Z1996" s="766"/>
      <c r="AA1996" s="1013"/>
      <c r="AB1996" s="1013"/>
      <c r="AC1996" s="1013"/>
      <c r="AD1996" s="1013"/>
      <c r="AE1996" s="1013"/>
      <c r="AF1996" s="766"/>
      <c r="AG1996" s="277" t="s">
        <v>3456</v>
      </c>
    </row>
    <row r="1997" spans="1:33" ht="15.75" customHeight="1">
      <c r="A1997" s="272">
        <v>42779</v>
      </c>
      <c r="B1997" s="768" t="s">
        <v>629</v>
      </c>
      <c r="C1997" s="768"/>
      <c r="D1997" s="274" t="s">
        <v>6223</v>
      </c>
      <c r="E1997" s="274" t="s">
        <v>4107</v>
      </c>
      <c r="F1997" s="878">
        <v>10</v>
      </c>
      <c r="G1997" s="813"/>
      <c r="H1997" s="837">
        <f t="shared" si="166"/>
        <v>0</v>
      </c>
      <c r="I1997" s="776" t="s">
        <v>170</v>
      </c>
      <c r="J1997" s="277" t="s">
        <v>1309</v>
      </c>
      <c r="K1997" s="289">
        <v>42852</v>
      </c>
      <c r="L1997" s="289"/>
      <c r="M1997" s="289">
        <v>42849</v>
      </c>
      <c r="N1997" s="776" t="s">
        <v>2212</v>
      </c>
      <c r="O1997" s="274" t="s">
        <v>6224</v>
      </c>
      <c r="P1997" s="1011"/>
      <c r="Q1997" s="1017"/>
      <c r="R1997" s="1439"/>
      <c r="S1997" s="1439"/>
      <c r="U1997" s="277"/>
      <c r="V1997" s="765" t="s">
        <v>2214</v>
      </c>
      <c r="W1997" s="1015"/>
      <c r="X1997" s="766"/>
      <c r="Y1997" s="766"/>
      <c r="Z1997" s="766"/>
      <c r="AA1997" s="1013"/>
      <c r="AB1997" s="1013"/>
      <c r="AC1997" s="1013"/>
      <c r="AD1997" s="1013"/>
      <c r="AE1997" s="1013"/>
      <c r="AF1997" s="766"/>
      <c r="AG1997" s="277" t="s">
        <v>3456</v>
      </c>
    </row>
    <row r="1998" spans="1:33" ht="15.75" customHeight="1">
      <c r="A1998" s="272">
        <v>42779</v>
      </c>
      <c r="B1998" s="768" t="s">
        <v>629</v>
      </c>
      <c r="C1998" s="768"/>
      <c r="D1998" s="274" t="s">
        <v>6225</v>
      </c>
      <c r="E1998" s="274" t="s">
        <v>4107</v>
      </c>
      <c r="F1998" s="878">
        <v>10</v>
      </c>
      <c r="G1998" s="813"/>
      <c r="H1998" s="837">
        <f t="shared" si="166"/>
        <v>0</v>
      </c>
      <c r="I1998" s="776" t="s">
        <v>170</v>
      </c>
      <c r="J1998" s="277" t="s">
        <v>1309</v>
      </c>
      <c r="K1998" s="289">
        <v>42824</v>
      </c>
      <c r="L1998" s="289"/>
      <c r="M1998" s="289">
        <v>42821</v>
      </c>
      <c r="N1998" s="776" t="s">
        <v>2212</v>
      </c>
      <c r="O1998" s="274" t="s">
        <v>6226</v>
      </c>
      <c r="P1998" s="1011"/>
      <c r="Q1998" s="1017"/>
      <c r="R1998" s="1439"/>
      <c r="S1998" s="1439"/>
      <c r="U1998" s="277"/>
      <c r="V1998" s="765" t="s">
        <v>2214</v>
      </c>
      <c r="W1998" s="1015"/>
      <c r="X1998" s="766"/>
      <c r="Y1998" s="766"/>
      <c r="Z1998" s="766"/>
      <c r="AA1998" s="1013"/>
      <c r="AB1998" s="1013"/>
      <c r="AC1998" s="1013"/>
      <c r="AD1998" s="1013"/>
      <c r="AE1998" s="1013"/>
      <c r="AF1998" s="766"/>
      <c r="AG1998" s="277" t="s">
        <v>3456</v>
      </c>
    </row>
    <row r="1999" spans="1:33" ht="15.75" customHeight="1">
      <c r="A1999" s="743">
        <v>42779</v>
      </c>
      <c r="B1999" s="571" t="s">
        <v>228</v>
      </c>
      <c r="C1999" s="744"/>
      <c r="D1999" s="250" t="s">
        <v>6227</v>
      </c>
      <c r="E1999" s="250" t="s">
        <v>461</v>
      </c>
      <c r="F1999" s="305">
        <v>9</v>
      </c>
      <c r="G1999" s="464">
        <v>415.8</v>
      </c>
      <c r="H1999" s="265">
        <f t="shared" si="166"/>
        <v>3742.2000000000003</v>
      </c>
      <c r="I1999" s="264" t="s">
        <v>170</v>
      </c>
      <c r="J1999" s="251" t="s">
        <v>89</v>
      </c>
      <c r="K1999" s="256">
        <v>42808</v>
      </c>
      <c r="L1999" s="256"/>
      <c r="M1999" s="256">
        <v>42808</v>
      </c>
      <c r="N1999" s="251" t="s">
        <v>89</v>
      </c>
      <c r="O1999" s="250" t="s">
        <v>6228</v>
      </c>
      <c r="P1999" s="574">
        <v>3354.75</v>
      </c>
      <c r="Q1999" s="795"/>
      <c r="R1999" s="1435"/>
      <c r="S1999" s="1435"/>
      <c r="U1999" s="251"/>
      <c r="V1999" s="318" t="s">
        <v>5896</v>
      </c>
      <c r="W1999" s="789">
        <v>42855</v>
      </c>
      <c r="X1999" s="750">
        <v>42808</v>
      </c>
      <c r="Y1999" s="250" t="s">
        <v>6229</v>
      </c>
      <c r="Z1999" s="753">
        <v>103913</v>
      </c>
      <c r="AA1999" s="594">
        <v>42821</v>
      </c>
      <c r="AB1999" s="744" t="s">
        <v>6230</v>
      </c>
      <c r="AC1999" s="1003"/>
      <c r="AD1999" s="744" t="s">
        <v>6231</v>
      </c>
      <c r="AE1999" s="260">
        <v>115896</v>
      </c>
      <c r="AF1999" s="744" t="s">
        <v>6232</v>
      </c>
      <c r="AG1999" s="251" t="s">
        <v>376</v>
      </c>
    </row>
    <row r="2000" spans="1:33" ht="15.75" customHeight="1">
      <c r="A2000" s="743">
        <v>42780</v>
      </c>
      <c r="B2000" s="338" t="s">
        <v>629</v>
      </c>
      <c r="C2000" s="744" t="s">
        <v>6233</v>
      </c>
      <c r="D2000" s="744" t="s">
        <v>6234</v>
      </c>
      <c r="E2000" s="744" t="s">
        <v>6235</v>
      </c>
      <c r="F2000" s="305">
        <v>2</v>
      </c>
      <c r="G2000" s="252">
        <v>177.45</v>
      </c>
      <c r="H2000" s="265">
        <f t="shared" si="166"/>
        <v>354.9</v>
      </c>
      <c r="I2000" s="264" t="s">
        <v>170</v>
      </c>
      <c r="J2000" s="251" t="s">
        <v>89</v>
      </c>
      <c r="K2000" s="256">
        <v>42789</v>
      </c>
      <c r="L2000" s="256"/>
      <c r="M2000" s="251"/>
      <c r="N2000" s="251" t="s">
        <v>89</v>
      </c>
      <c r="O2000" s="744" t="s">
        <v>6236</v>
      </c>
      <c r="P2000" s="574">
        <v>310.8</v>
      </c>
      <c r="Q2000" s="795"/>
      <c r="R2000" s="1435"/>
      <c r="S2000" s="1435"/>
      <c r="U2000" s="251"/>
      <c r="V2000" s="318" t="s">
        <v>5896</v>
      </c>
      <c r="W2000" s="747">
        <v>42830</v>
      </c>
      <c r="X2000" s="750">
        <v>42789</v>
      </c>
      <c r="Y2000" s="250" t="s">
        <v>6237</v>
      </c>
      <c r="Z2000" s="753">
        <v>9545</v>
      </c>
      <c r="AA2000" s="594">
        <v>42821</v>
      </c>
      <c r="AB2000" s="744" t="s">
        <v>6238</v>
      </c>
      <c r="AC2000" s="1003"/>
      <c r="AD2000" s="744" t="s">
        <v>6239</v>
      </c>
      <c r="AE2000" s="260">
        <v>10924</v>
      </c>
      <c r="AF2000" s="744" t="s">
        <v>6240</v>
      </c>
      <c r="AG2000" s="251" t="s">
        <v>376</v>
      </c>
    </row>
    <row r="2001" spans="1:33" ht="15.75" customHeight="1">
      <c r="A2001" s="755">
        <v>42781</v>
      </c>
      <c r="B2001" s="338" t="s">
        <v>228</v>
      </c>
      <c r="C2001" s="744"/>
      <c r="D2001" s="250" t="s">
        <v>6241</v>
      </c>
      <c r="E2001" s="250" t="s">
        <v>461</v>
      </c>
      <c r="F2001" s="305">
        <v>51</v>
      </c>
      <c r="G2001" s="464">
        <v>415.8</v>
      </c>
      <c r="H2001" s="265">
        <f t="shared" si="166"/>
        <v>21205.8</v>
      </c>
      <c r="I2001" s="264" t="s">
        <v>170</v>
      </c>
      <c r="J2001" s="251" t="s">
        <v>89</v>
      </c>
      <c r="K2001" s="256">
        <v>42814</v>
      </c>
      <c r="L2001" s="256"/>
      <c r="M2001" s="256">
        <v>42814</v>
      </c>
      <c r="N2001" s="251" t="s">
        <v>89</v>
      </c>
      <c r="O2001" s="250" t="s">
        <v>6242</v>
      </c>
      <c r="P2001" s="574">
        <v>19010.25</v>
      </c>
      <c r="Q2001" s="795"/>
      <c r="R2001" s="1435"/>
      <c r="S2001" s="1435"/>
      <c r="U2001" s="251"/>
      <c r="V2001" s="318" t="s">
        <v>5896</v>
      </c>
      <c r="W2001" s="789">
        <v>42860</v>
      </c>
      <c r="X2001" s="750">
        <v>42814</v>
      </c>
      <c r="Y2001" s="250" t="s">
        <v>6243</v>
      </c>
      <c r="Z2001" s="753">
        <v>616845</v>
      </c>
      <c r="AA2001" s="594">
        <v>42860</v>
      </c>
      <c r="AB2001" s="744" t="s">
        <v>6244</v>
      </c>
      <c r="AC2001" s="251"/>
      <c r="AD2001" s="744" t="s">
        <v>6245</v>
      </c>
      <c r="AE2001" s="260">
        <v>677965</v>
      </c>
      <c r="AF2001" s="744" t="s">
        <v>6232</v>
      </c>
      <c r="AG2001" s="251" t="s">
        <v>376</v>
      </c>
    </row>
    <row r="2002" spans="1:33" ht="15.75" customHeight="1">
      <c r="A2002" s="755">
        <v>42781</v>
      </c>
      <c r="B2002" s="571" t="s">
        <v>228</v>
      </c>
      <c r="C2002" s="744"/>
      <c r="D2002" s="250" t="s">
        <v>6241</v>
      </c>
      <c r="E2002" s="250" t="s">
        <v>3604</v>
      </c>
      <c r="F2002" s="305">
        <v>3</v>
      </c>
      <c r="G2002" s="464">
        <v>336</v>
      </c>
      <c r="H2002" s="265">
        <f t="shared" si="166"/>
        <v>1008</v>
      </c>
      <c r="I2002" s="264" t="s">
        <v>170</v>
      </c>
      <c r="J2002" s="251" t="s">
        <v>89</v>
      </c>
      <c r="K2002" s="256">
        <v>42814</v>
      </c>
      <c r="L2002" s="256"/>
      <c r="M2002" s="256">
        <v>42814</v>
      </c>
      <c r="N2002" s="251" t="s">
        <v>89</v>
      </c>
      <c r="O2002" s="250" t="s">
        <v>6242</v>
      </c>
      <c r="P2002" s="574">
        <v>904.05</v>
      </c>
      <c r="Q2002" s="795"/>
      <c r="R2002" s="1435"/>
      <c r="S2002" s="1435"/>
      <c r="U2002" s="251"/>
      <c r="V2002" s="308" t="s">
        <v>5896</v>
      </c>
      <c r="W2002" s="789">
        <v>42860</v>
      </c>
      <c r="X2002" s="750">
        <v>42814</v>
      </c>
      <c r="Y2002" s="250" t="s">
        <v>6243</v>
      </c>
      <c r="Z2002" s="753" t="s">
        <v>6246</v>
      </c>
      <c r="AA2002" s="594">
        <v>42860</v>
      </c>
      <c r="AB2002" s="744" t="s">
        <v>6244</v>
      </c>
      <c r="AC2002" s="251"/>
      <c r="AD2002" s="744" t="s">
        <v>6245</v>
      </c>
      <c r="AE2002" s="251" t="s">
        <v>6247</v>
      </c>
      <c r="AF2002" s="744" t="s">
        <v>6232</v>
      </c>
      <c r="AG2002" s="251" t="s">
        <v>376</v>
      </c>
    </row>
    <row r="2003" spans="1:33" ht="15.75" customHeight="1">
      <c r="A2003" s="743">
        <v>42781</v>
      </c>
      <c r="B2003" s="744" t="s">
        <v>4278</v>
      </c>
      <c r="C2003" s="744"/>
      <c r="D2003" s="744" t="s">
        <v>6248</v>
      </c>
      <c r="E2003" s="744" t="s">
        <v>6249</v>
      </c>
      <c r="F2003" s="305">
        <v>1</v>
      </c>
      <c r="G2003" s="323">
        <v>19</v>
      </c>
      <c r="H2003" s="265">
        <f t="shared" si="166"/>
        <v>19</v>
      </c>
      <c r="I2003" s="975" t="s">
        <v>3315</v>
      </c>
      <c r="J2003" s="367" t="s">
        <v>6250</v>
      </c>
      <c r="K2003" s="256">
        <v>42803</v>
      </c>
      <c r="L2003" s="256"/>
      <c r="M2003" s="256">
        <v>42797</v>
      </c>
      <c r="N2003" s="401" t="s">
        <v>6251</v>
      </c>
      <c r="O2003" s="744" t="s">
        <v>3556</v>
      </c>
      <c r="P2003" s="337"/>
      <c r="Q2003" s="795"/>
      <c r="R2003" s="1435"/>
      <c r="S2003" s="1435"/>
      <c r="U2003" s="744"/>
      <c r="V2003" s="251"/>
      <c r="W2003" s="1002"/>
      <c r="X2003" s="744" t="s">
        <v>6252</v>
      </c>
      <c r="Y2003" s="745"/>
      <c r="Z2003" s="745"/>
      <c r="AA2003" s="1003"/>
      <c r="AB2003" s="744" t="s">
        <v>6253</v>
      </c>
      <c r="AC2003" s="251" t="s">
        <v>6254</v>
      </c>
      <c r="AD2003" s="1003"/>
      <c r="AE2003" s="1003"/>
      <c r="AF2003" s="745"/>
      <c r="AG2003" s="251" t="s">
        <v>283</v>
      </c>
    </row>
    <row r="2004" spans="1:33" ht="15.75" customHeight="1">
      <c r="A2004" s="743">
        <v>42781</v>
      </c>
      <c r="B2004" s="744" t="s">
        <v>4278</v>
      </c>
      <c r="C2004" s="744"/>
      <c r="D2004" s="744" t="s">
        <v>6248</v>
      </c>
      <c r="E2004" s="744" t="s">
        <v>6255</v>
      </c>
      <c r="F2004" s="305">
        <v>1</v>
      </c>
      <c r="G2004" s="323">
        <v>27</v>
      </c>
      <c r="H2004" s="265">
        <f t="shared" si="166"/>
        <v>27</v>
      </c>
      <c r="I2004" s="975" t="s">
        <v>3315</v>
      </c>
      <c r="J2004" s="367" t="s">
        <v>6250</v>
      </c>
      <c r="K2004" s="256">
        <v>42803</v>
      </c>
      <c r="L2004" s="256"/>
      <c r="M2004" s="256">
        <v>42797</v>
      </c>
      <c r="N2004" s="401" t="s">
        <v>6251</v>
      </c>
      <c r="O2004" s="744" t="s">
        <v>3556</v>
      </c>
      <c r="P2004" s="337"/>
      <c r="Q2004" s="795"/>
      <c r="R2004" s="1435"/>
      <c r="S2004" s="1435"/>
      <c r="U2004" s="744"/>
      <c r="V2004" s="251"/>
      <c r="W2004" s="1002"/>
      <c r="X2004" s="744" t="s">
        <v>6256</v>
      </c>
      <c r="Y2004" s="745"/>
      <c r="Z2004" s="745"/>
      <c r="AA2004" s="1003"/>
      <c r="AB2004" s="744" t="s">
        <v>6253</v>
      </c>
      <c r="AC2004" s="251" t="s">
        <v>6254</v>
      </c>
      <c r="AD2004" s="1003"/>
      <c r="AE2004" s="1003"/>
      <c r="AF2004" s="745"/>
      <c r="AG2004" s="251" t="s">
        <v>283</v>
      </c>
    </row>
    <row r="2005" spans="1:33" ht="15.75" customHeight="1">
      <c r="A2005" s="755">
        <v>42781</v>
      </c>
      <c r="B2005" s="590" t="s">
        <v>5981</v>
      </c>
      <c r="C2005" s="250">
        <v>7000127632</v>
      </c>
      <c r="D2005" s="250" t="s">
        <v>6257</v>
      </c>
      <c r="E2005" s="250" t="s">
        <v>3933</v>
      </c>
      <c r="F2005" s="305">
        <v>1</v>
      </c>
      <c r="G2005" s="323">
        <v>485</v>
      </c>
      <c r="H2005" s="574">
        <f t="shared" si="166"/>
        <v>485</v>
      </c>
      <c r="I2005" s="264" t="s">
        <v>42</v>
      </c>
      <c r="J2005" s="756" t="s">
        <v>3462</v>
      </c>
      <c r="K2005" s="256">
        <v>42789</v>
      </c>
      <c r="L2005" s="256"/>
      <c r="M2005" s="256">
        <v>42783</v>
      </c>
      <c r="N2005" s="264" t="s">
        <v>3432</v>
      </c>
      <c r="O2005" s="744" t="s">
        <v>6258</v>
      </c>
      <c r="P2005" s="337"/>
      <c r="Q2005" s="630">
        <v>14162</v>
      </c>
      <c r="R2005" s="1415"/>
      <c r="S2005" s="1415"/>
      <c r="U2005" s="251"/>
      <c r="V2005" s="308" t="s">
        <v>2045</v>
      </c>
      <c r="W2005" s="789">
        <v>42860</v>
      </c>
      <c r="X2005" s="748">
        <v>42782</v>
      </c>
      <c r="Y2005" s="744" t="s">
        <v>6259</v>
      </c>
      <c r="Z2005" s="749">
        <v>75027</v>
      </c>
      <c r="AA2005" s="594">
        <v>42859</v>
      </c>
      <c r="AB2005" s="250" t="s">
        <v>6141</v>
      </c>
      <c r="AC2005" s="1003"/>
      <c r="AD2005" s="1003"/>
      <c r="AE2005" s="1003"/>
      <c r="AF2005" s="745"/>
      <c r="AG2005" s="251" t="s">
        <v>283</v>
      </c>
    </row>
    <row r="2006" spans="1:33" ht="15.75" customHeight="1">
      <c r="A2006" s="755">
        <v>42781</v>
      </c>
      <c r="B2006" s="590" t="s">
        <v>5981</v>
      </c>
      <c r="C2006" s="250">
        <v>7000127632</v>
      </c>
      <c r="D2006" s="250" t="s">
        <v>6257</v>
      </c>
      <c r="E2006" s="250" t="s">
        <v>6260</v>
      </c>
      <c r="F2006" s="305">
        <v>1</v>
      </c>
      <c r="G2006" s="323">
        <v>1704</v>
      </c>
      <c r="H2006" s="574">
        <f t="shared" si="166"/>
        <v>1704</v>
      </c>
      <c r="I2006" s="264" t="s">
        <v>42</v>
      </c>
      <c r="J2006" s="756" t="s">
        <v>3462</v>
      </c>
      <c r="K2006" s="256">
        <v>42789</v>
      </c>
      <c r="L2006" s="256"/>
      <c r="M2006" s="256">
        <v>42783</v>
      </c>
      <c r="N2006" s="264" t="s">
        <v>3432</v>
      </c>
      <c r="O2006" s="744" t="s">
        <v>6258</v>
      </c>
      <c r="P2006" s="337"/>
      <c r="Q2006" s="630">
        <v>49802</v>
      </c>
      <c r="R2006" s="1415"/>
      <c r="S2006" s="1415"/>
      <c r="U2006" s="251"/>
      <c r="V2006" s="308" t="s">
        <v>2045</v>
      </c>
      <c r="W2006" s="789">
        <v>42860</v>
      </c>
      <c r="X2006" s="748">
        <v>42782</v>
      </c>
      <c r="Y2006" s="744" t="s">
        <v>6259</v>
      </c>
      <c r="Z2006" s="749">
        <v>75027</v>
      </c>
      <c r="AA2006" s="594">
        <v>42859</v>
      </c>
      <c r="AB2006" s="250" t="s">
        <v>6141</v>
      </c>
      <c r="AC2006" s="1003"/>
      <c r="AD2006" s="1003"/>
      <c r="AE2006" s="1003"/>
      <c r="AF2006" s="745"/>
      <c r="AG2006" s="251" t="s">
        <v>283</v>
      </c>
    </row>
    <row r="2007" spans="1:33" ht="15.75" customHeight="1">
      <c r="A2007" s="755">
        <v>42781</v>
      </c>
      <c r="B2007" s="590" t="s">
        <v>5981</v>
      </c>
      <c r="C2007" s="250">
        <v>7000127632</v>
      </c>
      <c r="D2007" s="250" t="s">
        <v>6257</v>
      </c>
      <c r="E2007" s="250" t="s">
        <v>6261</v>
      </c>
      <c r="F2007" s="305">
        <v>3</v>
      </c>
      <c r="G2007" s="323">
        <v>126</v>
      </c>
      <c r="H2007" s="574">
        <f t="shared" si="166"/>
        <v>378</v>
      </c>
      <c r="I2007" s="264" t="s">
        <v>42</v>
      </c>
      <c r="J2007" s="756" t="s">
        <v>3462</v>
      </c>
      <c r="K2007" s="256">
        <v>42789</v>
      </c>
      <c r="L2007" s="256"/>
      <c r="M2007" s="256">
        <v>42783</v>
      </c>
      <c r="N2007" s="264" t="s">
        <v>3432</v>
      </c>
      <c r="O2007" s="744" t="s">
        <v>6258</v>
      </c>
      <c r="P2007" s="337"/>
      <c r="Q2007" s="630">
        <v>11063</v>
      </c>
      <c r="R2007" s="1415"/>
      <c r="S2007" s="1415"/>
      <c r="U2007" s="251"/>
      <c r="V2007" s="308" t="s">
        <v>2045</v>
      </c>
      <c r="W2007" s="789">
        <v>42860</v>
      </c>
      <c r="X2007" s="748">
        <v>42782</v>
      </c>
      <c r="Y2007" s="744" t="s">
        <v>6259</v>
      </c>
      <c r="Z2007" s="749">
        <v>75027</v>
      </c>
      <c r="AA2007" s="594">
        <v>42859</v>
      </c>
      <c r="AB2007" s="250" t="s">
        <v>6141</v>
      </c>
      <c r="AC2007" s="1003"/>
      <c r="AD2007" s="1003"/>
      <c r="AE2007" s="1003"/>
      <c r="AF2007" s="745"/>
      <c r="AG2007" s="251" t="s">
        <v>283</v>
      </c>
    </row>
    <row r="2008" spans="1:33" ht="15.75" customHeight="1">
      <c r="A2008" s="743">
        <v>42781</v>
      </c>
      <c r="B2008" s="970" t="s">
        <v>4278</v>
      </c>
      <c r="C2008" s="744"/>
      <c r="D2008" s="744" t="s">
        <v>6248</v>
      </c>
      <c r="E2008" s="744" t="s">
        <v>692</v>
      </c>
      <c r="F2008" s="305">
        <v>1</v>
      </c>
      <c r="G2008" s="252">
        <v>25</v>
      </c>
      <c r="H2008" s="265">
        <f t="shared" si="166"/>
        <v>25</v>
      </c>
      <c r="I2008" s="975" t="s">
        <v>3315</v>
      </c>
      <c r="J2008" s="367" t="s">
        <v>6250</v>
      </c>
      <c r="K2008" s="623"/>
      <c r="L2008" s="623"/>
      <c r="M2008" s="251"/>
      <c r="N2008" s="251"/>
      <c r="O2008" s="251"/>
      <c r="P2008" s="337"/>
      <c r="Q2008" s="795"/>
      <c r="R2008" s="1435"/>
      <c r="S2008" s="1435"/>
      <c r="U2008" s="251"/>
      <c r="V2008" s="585"/>
      <c r="W2008" s="1002"/>
      <c r="X2008" s="745"/>
      <c r="Y2008" s="745"/>
      <c r="Z2008" s="745"/>
      <c r="AA2008" s="1003"/>
      <c r="AB2008" s="1003"/>
      <c r="AC2008" s="1003"/>
      <c r="AD2008" s="1003"/>
      <c r="AE2008" s="1003"/>
      <c r="AF2008" s="745"/>
      <c r="AG2008" s="251" t="s">
        <v>283</v>
      </c>
    </row>
    <row r="2009" spans="1:33" ht="15.75" customHeight="1">
      <c r="A2009" s="743">
        <v>42782</v>
      </c>
      <c r="B2009" s="970" t="s">
        <v>4590</v>
      </c>
      <c r="C2009" s="744">
        <v>63294</v>
      </c>
      <c r="D2009" s="744" t="s">
        <v>6262</v>
      </c>
      <c r="E2009" s="744" t="s">
        <v>6263</v>
      </c>
      <c r="F2009" s="305">
        <v>1</v>
      </c>
      <c r="G2009" s="323">
        <v>664</v>
      </c>
      <c r="H2009" s="265">
        <f t="shared" si="166"/>
        <v>664</v>
      </c>
      <c r="I2009" s="975" t="s">
        <v>3315</v>
      </c>
      <c r="J2009" s="251" t="s">
        <v>532</v>
      </c>
      <c r="K2009" s="256">
        <v>42789</v>
      </c>
      <c r="L2009" s="256"/>
      <c r="M2009" s="256">
        <v>42788</v>
      </c>
      <c r="N2009" s="401" t="s">
        <v>89</v>
      </c>
      <c r="O2009" s="250" t="s">
        <v>6264</v>
      </c>
      <c r="P2009" s="574">
        <v>627.9</v>
      </c>
      <c r="Q2009" s="795"/>
      <c r="R2009" s="1435"/>
      <c r="S2009" s="1435"/>
      <c r="U2009" s="251"/>
      <c r="V2009" s="318" t="s">
        <v>5896</v>
      </c>
      <c r="W2009" s="797"/>
      <c r="X2009" s="750">
        <v>42788</v>
      </c>
      <c r="Y2009" s="250" t="s">
        <v>6265</v>
      </c>
      <c r="Z2009" s="753">
        <v>19283</v>
      </c>
      <c r="AA2009" s="594">
        <v>42821</v>
      </c>
      <c r="AB2009" s="250" t="s">
        <v>6200</v>
      </c>
      <c r="AC2009" s="1003"/>
      <c r="AD2009" s="1003"/>
      <c r="AE2009" s="1003"/>
      <c r="AF2009" s="745"/>
      <c r="AG2009" s="251" t="s">
        <v>283</v>
      </c>
    </row>
    <row r="2010" spans="1:33" ht="15.75" customHeight="1">
      <c r="A2010" s="743">
        <v>42783</v>
      </c>
      <c r="B2010" s="338" t="s">
        <v>629</v>
      </c>
      <c r="C2010" s="744"/>
      <c r="D2010" s="744" t="s">
        <v>6266</v>
      </c>
      <c r="E2010" s="744" t="s">
        <v>6267</v>
      </c>
      <c r="F2010" s="305">
        <v>1</v>
      </c>
      <c r="G2010" s="323">
        <v>210</v>
      </c>
      <c r="H2010" s="265">
        <f t="shared" si="166"/>
        <v>210</v>
      </c>
      <c r="I2010" s="264" t="s">
        <v>170</v>
      </c>
      <c r="J2010" s="251" t="s">
        <v>1309</v>
      </c>
      <c r="K2010" s="256">
        <v>42786</v>
      </c>
      <c r="L2010" s="256"/>
      <c r="M2010" s="256">
        <v>42786</v>
      </c>
      <c r="N2010" s="331" t="s">
        <v>2001</v>
      </c>
      <c r="O2010" s="759" t="s">
        <v>6268</v>
      </c>
      <c r="P2010" s="574">
        <v>208.95</v>
      </c>
      <c r="Q2010" s="630">
        <v>6427</v>
      </c>
      <c r="R2010" s="1415"/>
      <c r="S2010" s="1415"/>
      <c r="U2010" s="251"/>
      <c r="V2010" s="744" t="s">
        <v>2003</v>
      </c>
      <c r="W2010" s="789">
        <v>42830</v>
      </c>
      <c r="X2010" s="748">
        <v>42783</v>
      </c>
      <c r="Y2010" s="744" t="s">
        <v>6269</v>
      </c>
      <c r="Z2010" s="749">
        <v>6427</v>
      </c>
      <c r="AA2010" s="256">
        <v>42830</v>
      </c>
      <c r="AB2010" s="744" t="s">
        <v>6270</v>
      </c>
      <c r="AC2010" s="1003"/>
      <c r="AD2010" s="744" t="s">
        <v>6271</v>
      </c>
      <c r="AE2010" s="260">
        <v>6469</v>
      </c>
      <c r="AF2010" s="744" t="s">
        <v>6272</v>
      </c>
      <c r="AG2010" s="251" t="s">
        <v>376</v>
      </c>
    </row>
    <row r="2011" spans="1:33" ht="15.75" customHeight="1">
      <c r="A2011" s="743">
        <v>42786</v>
      </c>
      <c r="B2011" s="338" t="s">
        <v>3347</v>
      </c>
      <c r="C2011" s="970" t="s">
        <v>6273</v>
      </c>
      <c r="D2011" s="250" t="s">
        <v>6274</v>
      </c>
      <c r="E2011" s="250" t="s">
        <v>5894</v>
      </c>
      <c r="F2011" s="305">
        <v>20</v>
      </c>
      <c r="G2011" s="323">
        <v>350</v>
      </c>
      <c r="H2011" s="265">
        <f t="shared" si="166"/>
        <v>7000</v>
      </c>
      <c r="I2011" s="264" t="s">
        <v>170</v>
      </c>
      <c r="J2011" s="267" t="s">
        <v>3350</v>
      </c>
      <c r="K2011" s="256">
        <v>42940</v>
      </c>
      <c r="L2011" s="256"/>
      <c r="M2011" s="256">
        <v>42926</v>
      </c>
      <c r="N2011" s="251" t="s">
        <v>89</v>
      </c>
      <c r="O2011" s="250" t="s">
        <v>6275</v>
      </c>
      <c r="P2011" s="752">
        <v>6447</v>
      </c>
      <c r="Q2011" s="1018"/>
      <c r="R2011" s="1440"/>
      <c r="S2011" s="1440"/>
      <c r="U2011" s="251"/>
      <c r="V2011" s="318" t="s">
        <v>5896</v>
      </c>
      <c r="W2011" s="1002"/>
      <c r="X2011" s="748">
        <v>42926</v>
      </c>
      <c r="Y2011" s="744" t="s">
        <v>6276</v>
      </c>
      <c r="Z2011" s="749">
        <v>195505</v>
      </c>
      <c r="AA2011" s="594">
        <v>42955</v>
      </c>
      <c r="AB2011" s="250" t="s">
        <v>6277</v>
      </c>
      <c r="AC2011" s="1003"/>
      <c r="AD2011" s="1003"/>
      <c r="AE2011" s="1003"/>
      <c r="AF2011" s="745"/>
      <c r="AG2011" s="251" t="s">
        <v>283</v>
      </c>
    </row>
    <row r="2012" spans="1:33" ht="15.75" customHeight="1">
      <c r="A2012" s="743">
        <v>42786</v>
      </c>
      <c r="B2012" s="338" t="s">
        <v>3347</v>
      </c>
      <c r="C2012" s="744" t="s">
        <v>6278</v>
      </c>
      <c r="D2012" s="250" t="s">
        <v>6279</v>
      </c>
      <c r="E2012" s="250" t="s">
        <v>5894</v>
      </c>
      <c r="F2012" s="305">
        <v>20</v>
      </c>
      <c r="G2012" s="323">
        <v>350</v>
      </c>
      <c r="H2012" s="265">
        <f t="shared" si="166"/>
        <v>7000</v>
      </c>
      <c r="I2012" s="264" t="s">
        <v>170</v>
      </c>
      <c r="J2012" s="267" t="s">
        <v>3350</v>
      </c>
      <c r="K2012" s="256">
        <v>42901</v>
      </c>
      <c r="L2012" s="256"/>
      <c r="M2012" s="256">
        <v>42894</v>
      </c>
      <c r="N2012" s="251" t="s">
        <v>89</v>
      </c>
      <c r="O2012" s="250" t="s">
        <v>6280</v>
      </c>
      <c r="P2012" s="752">
        <v>6447</v>
      </c>
      <c r="Q2012" s="1018"/>
      <c r="R2012" s="1440"/>
      <c r="S2012" s="1440"/>
      <c r="U2012" s="251"/>
      <c r="V2012" s="318" t="s">
        <v>5896</v>
      </c>
      <c r="W2012" s="1002"/>
      <c r="X2012" s="748">
        <v>42894</v>
      </c>
      <c r="Y2012" s="744" t="s">
        <v>6281</v>
      </c>
      <c r="Z2012" s="749">
        <v>193507</v>
      </c>
      <c r="AA2012" s="594">
        <v>42893</v>
      </c>
      <c r="AB2012" s="250" t="s">
        <v>6282</v>
      </c>
      <c r="AC2012" s="1003"/>
      <c r="AD2012" s="1003"/>
      <c r="AE2012" s="1003"/>
      <c r="AF2012" s="745"/>
      <c r="AG2012" s="251" t="s">
        <v>283</v>
      </c>
    </row>
    <row r="2013" spans="1:33" ht="15.75" customHeight="1">
      <c r="A2013" s="743">
        <v>42786</v>
      </c>
      <c r="B2013" s="338" t="s">
        <v>3347</v>
      </c>
      <c r="C2013" s="744" t="s">
        <v>6283</v>
      </c>
      <c r="D2013" s="250" t="s">
        <v>6284</v>
      </c>
      <c r="E2013" s="250" t="s">
        <v>5894</v>
      </c>
      <c r="F2013" s="305">
        <v>20</v>
      </c>
      <c r="G2013" s="323">
        <v>350</v>
      </c>
      <c r="H2013" s="265">
        <f t="shared" si="166"/>
        <v>7000</v>
      </c>
      <c r="I2013" s="264" t="s">
        <v>170</v>
      </c>
      <c r="J2013" s="267" t="s">
        <v>3350</v>
      </c>
      <c r="K2013" s="256">
        <v>42850</v>
      </c>
      <c r="L2013" s="256"/>
      <c r="M2013" s="256">
        <v>42849</v>
      </c>
      <c r="N2013" s="251" t="s">
        <v>89</v>
      </c>
      <c r="O2013" s="250" t="s">
        <v>6285</v>
      </c>
      <c r="P2013" s="752">
        <v>6447</v>
      </c>
      <c r="Q2013" s="1018"/>
      <c r="R2013" s="1440"/>
      <c r="S2013" s="1440"/>
      <c r="U2013" s="251"/>
      <c r="V2013" s="318" t="s">
        <v>5896</v>
      </c>
      <c r="W2013" s="789">
        <v>42860</v>
      </c>
      <c r="X2013" s="748">
        <v>42849</v>
      </c>
      <c r="Y2013" s="744" t="s">
        <v>6286</v>
      </c>
      <c r="Z2013" s="749">
        <v>195538</v>
      </c>
      <c r="AA2013" s="594">
        <v>42860</v>
      </c>
      <c r="AB2013" s="250" t="s">
        <v>6287</v>
      </c>
      <c r="AC2013" s="1003"/>
      <c r="AD2013" s="1003"/>
      <c r="AE2013" s="1003"/>
      <c r="AF2013" s="745"/>
      <c r="AG2013" s="251" t="s">
        <v>283</v>
      </c>
    </row>
    <row r="2014" spans="1:33" ht="15.75" customHeight="1">
      <c r="A2014" s="743">
        <v>42786</v>
      </c>
      <c r="B2014" s="744" t="s">
        <v>4590</v>
      </c>
      <c r="C2014" s="744">
        <v>63303</v>
      </c>
      <c r="D2014" s="744" t="s">
        <v>6288</v>
      </c>
      <c r="E2014" s="744" t="s">
        <v>6195</v>
      </c>
      <c r="F2014" s="305">
        <v>35</v>
      </c>
      <c r="G2014" s="252">
        <v>60</v>
      </c>
      <c r="H2014" s="265">
        <f t="shared" si="166"/>
        <v>2100</v>
      </c>
      <c r="I2014" s="975" t="s">
        <v>3315</v>
      </c>
      <c r="J2014" s="251" t="s">
        <v>532</v>
      </c>
      <c r="K2014" s="256">
        <v>42803</v>
      </c>
      <c r="L2014" s="256"/>
      <c r="M2014" s="256">
        <v>42796</v>
      </c>
      <c r="N2014" s="331" t="s">
        <v>6196</v>
      </c>
      <c r="O2014" s="744" t="s">
        <v>6289</v>
      </c>
      <c r="P2014" s="337"/>
      <c r="Q2014" s="630">
        <v>57777</v>
      </c>
      <c r="R2014" s="1415"/>
      <c r="S2014" s="1415"/>
      <c r="U2014" s="251"/>
      <c r="V2014" s="597" t="s">
        <v>6198</v>
      </c>
      <c r="W2014" s="789">
        <v>42788</v>
      </c>
      <c r="X2014" s="748">
        <v>42795</v>
      </c>
      <c r="Y2014" s="744" t="s">
        <v>6290</v>
      </c>
      <c r="Z2014" s="749">
        <v>57777</v>
      </c>
      <c r="AA2014" s="594">
        <v>42787</v>
      </c>
      <c r="AB2014" s="250" t="s">
        <v>6291</v>
      </c>
      <c r="AC2014" s="251">
        <v>5438178012</v>
      </c>
      <c r="AD2014" s="1003"/>
      <c r="AE2014" s="1003"/>
      <c r="AF2014" s="745"/>
      <c r="AG2014" s="251" t="s">
        <v>283</v>
      </c>
    </row>
    <row r="2015" spans="1:33" ht="15.75" customHeight="1">
      <c r="A2015" s="743">
        <v>42786</v>
      </c>
      <c r="B2015" s="744" t="s">
        <v>4590</v>
      </c>
      <c r="C2015" s="744">
        <v>63303</v>
      </c>
      <c r="D2015" s="744" t="s">
        <v>6288</v>
      </c>
      <c r="E2015" s="744" t="s">
        <v>6292</v>
      </c>
      <c r="F2015" s="305">
        <v>1</v>
      </c>
      <c r="G2015" s="323">
        <v>197</v>
      </c>
      <c r="H2015" s="265">
        <f t="shared" si="166"/>
        <v>197</v>
      </c>
      <c r="I2015" s="975" t="s">
        <v>3315</v>
      </c>
      <c r="J2015" s="251" t="s">
        <v>532</v>
      </c>
      <c r="K2015" s="256">
        <v>42803</v>
      </c>
      <c r="L2015" s="256"/>
      <c r="M2015" s="623"/>
      <c r="N2015" s="331" t="s">
        <v>1999</v>
      </c>
      <c r="O2015" s="251"/>
      <c r="P2015" s="337"/>
      <c r="Q2015" s="630">
        <v>4650</v>
      </c>
      <c r="R2015" s="1415"/>
      <c r="S2015" s="1415"/>
      <c r="U2015" s="251"/>
      <c r="V2015" s="308" t="s">
        <v>2000</v>
      </c>
      <c r="W2015" s="789">
        <v>42841</v>
      </c>
      <c r="X2015" s="750">
        <v>42811</v>
      </c>
      <c r="Y2015" s="250" t="s">
        <v>6293</v>
      </c>
      <c r="Z2015" s="753">
        <v>4650</v>
      </c>
      <c r="AA2015" s="594">
        <v>42838</v>
      </c>
      <c r="AB2015" s="250" t="s">
        <v>6291</v>
      </c>
      <c r="AC2015" s="251">
        <v>5438178012</v>
      </c>
      <c r="AD2015" s="1003"/>
      <c r="AE2015" s="1003"/>
      <c r="AF2015" s="745"/>
      <c r="AG2015" s="251" t="s">
        <v>283</v>
      </c>
    </row>
    <row r="2016" spans="1:33" ht="15.75" customHeight="1">
      <c r="A2016" s="743">
        <v>42788</v>
      </c>
      <c r="B2016" s="744" t="s">
        <v>1717</v>
      </c>
      <c r="C2016" s="744" t="s">
        <v>6294</v>
      </c>
      <c r="D2016" s="744" t="s">
        <v>6295</v>
      </c>
      <c r="E2016" s="744" t="s">
        <v>6296</v>
      </c>
      <c r="F2016" s="305">
        <v>45</v>
      </c>
      <c r="G2016" s="323">
        <v>90</v>
      </c>
      <c r="H2016" s="265">
        <f t="shared" si="166"/>
        <v>4050</v>
      </c>
      <c r="I2016" s="975" t="s">
        <v>3315</v>
      </c>
      <c r="J2016" s="251" t="s">
        <v>6297</v>
      </c>
      <c r="K2016" s="256">
        <v>42803</v>
      </c>
      <c r="L2016" s="256"/>
      <c r="M2016" s="256">
        <v>42797</v>
      </c>
      <c r="N2016" s="367" t="s">
        <v>6298</v>
      </c>
      <c r="O2016" s="744" t="s">
        <v>6299</v>
      </c>
      <c r="P2016" s="574">
        <v>4110.75</v>
      </c>
      <c r="Q2016" s="1019">
        <v>126385</v>
      </c>
      <c r="R2016" s="1441"/>
      <c r="S2016" s="1441"/>
      <c r="U2016" s="251"/>
      <c r="V2016" s="250" t="s">
        <v>6300</v>
      </c>
      <c r="W2016" s="573">
        <v>42790</v>
      </c>
      <c r="X2016" s="748">
        <v>42797</v>
      </c>
      <c r="Y2016" s="744" t="s">
        <v>6301</v>
      </c>
      <c r="Z2016" s="749">
        <v>126385</v>
      </c>
      <c r="AA2016" s="594">
        <v>42790</v>
      </c>
      <c r="AB2016" s="250" t="s">
        <v>6302</v>
      </c>
      <c r="AC2016" s="251">
        <v>374332405</v>
      </c>
      <c r="AD2016" s="1003"/>
      <c r="AE2016" s="1003"/>
      <c r="AF2016" s="745"/>
      <c r="AG2016" s="251" t="s">
        <v>283</v>
      </c>
    </row>
    <row r="2017" spans="1:33" ht="15.75" customHeight="1">
      <c r="A2017" s="743">
        <v>42790</v>
      </c>
      <c r="B2017" s="338" t="s">
        <v>629</v>
      </c>
      <c r="C2017" s="250" t="s">
        <v>6303</v>
      </c>
      <c r="D2017" s="250" t="s">
        <v>6304</v>
      </c>
      <c r="E2017" s="250" t="s">
        <v>4107</v>
      </c>
      <c r="F2017" s="305">
        <v>15</v>
      </c>
      <c r="G2017" s="323">
        <v>168</v>
      </c>
      <c r="H2017" s="265">
        <f t="shared" si="166"/>
        <v>2520</v>
      </c>
      <c r="I2017" s="264" t="s">
        <v>170</v>
      </c>
      <c r="J2017" s="251" t="s">
        <v>5956</v>
      </c>
      <c r="K2017" s="256">
        <v>42877</v>
      </c>
      <c r="L2017" s="256"/>
      <c r="M2017" s="256">
        <v>42873</v>
      </c>
      <c r="N2017" s="264" t="s">
        <v>2212</v>
      </c>
      <c r="O2017" s="744" t="s">
        <v>6305</v>
      </c>
      <c r="P2017" s="337"/>
      <c r="Q2017" s="1019">
        <v>76388</v>
      </c>
      <c r="R2017" s="1441"/>
      <c r="S2017" s="1441"/>
      <c r="U2017" s="251"/>
      <c r="V2017" s="338" t="s">
        <v>2214</v>
      </c>
      <c r="W2017" s="789">
        <v>42871</v>
      </c>
      <c r="X2017" s="750">
        <v>42874</v>
      </c>
      <c r="Y2017" s="744" t="s">
        <v>6306</v>
      </c>
      <c r="Z2017" s="753">
        <v>76388</v>
      </c>
      <c r="AA2017" s="594">
        <v>42865</v>
      </c>
      <c r="AB2017" s="744" t="s">
        <v>6307</v>
      </c>
      <c r="AC2017" s="251"/>
      <c r="AD2017" s="744" t="s">
        <v>6308</v>
      </c>
      <c r="AE2017" s="260">
        <v>76104</v>
      </c>
      <c r="AF2017" s="744" t="s">
        <v>6309</v>
      </c>
      <c r="AG2017" s="251" t="s">
        <v>376</v>
      </c>
    </row>
    <row r="2018" spans="1:33" ht="15.75" customHeight="1">
      <c r="A2018" s="743">
        <v>42790</v>
      </c>
      <c r="B2018" s="338" t="s">
        <v>629</v>
      </c>
      <c r="C2018" s="250" t="s">
        <v>6310</v>
      </c>
      <c r="D2018" s="250" t="s">
        <v>6311</v>
      </c>
      <c r="E2018" s="250" t="s">
        <v>4107</v>
      </c>
      <c r="F2018" s="305">
        <v>20</v>
      </c>
      <c r="G2018" s="323">
        <v>168</v>
      </c>
      <c r="H2018" s="265">
        <f t="shared" si="166"/>
        <v>3360</v>
      </c>
      <c r="I2018" s="264" t="s">
        <v>170</v>
      </c>
      <c r="J2018" s="251" t="s">
        <v>5956</v>
      </c>
      <c r="K2018" s="256">
        <v>42851</v>
      </c>
      <c r="L2018" s="256"/>
      <c r="M2018" s="256">
        <v>42851</v>
      </c>
      <c r="N2018" s="264" t="s">
        <v>2212</v>
      </c>
      <c r="O2018" s="744" t="s">
        <v>6312</v>
      </c>
      <c r="P2018" s="337"/>
      <c r="Q2018" s="1019">
        <v>101850</v>
      </c>
      <c r="R2018" s="1441"/>
      <c r="S2018" s="1441"/>
      <c r="U2018" s="251"/>
      <c r="V2018" s="338" t="s">
        <v>2214</v>
      </c>
      <c r="W2018" s="1015"/>
      <c r="X2018" s="748">
        <v>42851</v>
      </c>
      <c r="Y2018" s="744" t="s">
        <v>6313</v>
      </c>
      <c r="Z2018" s="749">
        <v>101850</v>
      </c>
      <c r="AA2018" s="594">
        <v>42850</v>
      </c>
      <c r="AB2018" s="744" t="s">
        <v>6314</v>
      </c>
      <c r="AC2018" s="251" t="s">
        <v>6315</v>
      </c>
      <c r="AD2018" s="744" t="s">
        <v>6316</v>
      </c>
      <c r="AE2018" s="260">
        <v>101270</v>
      </c>
      <c r="AF2018" s="744" t="s">
        <v>6317</v>
      </c>
      <c r="AG2018" s="251" t="s">
        <v>376</v>
      </c>
    </row>
    <row r="2019" spans="1:33" ht="15.75" customHeight="1">
      <c r="A2019" s="743">
        <v>42790</v>
      </c>
      <c r="B2019" s="338" t="s">
        <v>629</v>
      </c>
      <c r="C2019" s="250" t="s">
        <v>6303</v>
      </c>
      <c r="D2019" s="250" t="s">
        <v>6318</v>
      </c>
      <c r="E2019" s="250" t="s">
        <v>4107</v>
      </c>
      <c r="F2019" s="305">
        <v>15</v>
      </c>
      <c r="G2019" s="323">
        <v>168</v>
      </c>
      <c r="H2019" s="265">
        <f t="shared" si="166"/>
        <v>2520</v>
      </c>
      <c r="I2019" s="264" t="s">
        <v>170</v>
      </c>
      <c r="J2019" s="251" t="s">
        <v>1309</v>
      </c>
      <c r="K2019" s="256">
        <v>42842</v>
      </c>
      <c r="L2019" s="256"/>
      <c r="M2019" s="256">
        <v>42842</v>
      </c>
      <c r="N2019" s="264" t="s">
        <v>6319</v>
      </c>
      <c r="O2019" s="744" t="s">
        <v>6320</v>
      </c>
      <c r="P2019" s="337"/>
      <c r="Q2019" s="1019">
        <v>80325</v>
      </c>
      <c r="R2019" s="1441"/>
      <c r="S2019" s="1441"/>
      <c r="U2019" s="251"/>
      <c r="V2019" s="318" t="s">
        <v>6321</v>
      </c>
      <c r="W2019" s="789">
        <v>42838</v>
      </c>
      <c r="X2019" s="748">
        <v>42838</v>
      </c>
      <c r="Y2019" s="744" t="s">
        <v>6322</v>
      </c>
      <c r="Z2019" s="749">
        <v>80325</v>
      </c>
      <c r="AA2019" s="594">
        <v>42838</v>
      </c>
      <c r="AB2019" s="744" t="s">
        <v>6323</v>
      </c>
      <c r="AC2019" s="1003"/>
      <c r="AD2019" s="744" t="s">
        <v>6324</v>
      </c>
      <c r="AE2019" s="260">
        <v>117711</v>
      </c>
      <c r="AF2019" s="744" t="s">
        <v>6325</v>
      </c>
      <c r="AG2019" s="251" t="s">
        <v>376</v>
      </c>
    </row>
    <row r="2020" spans="1:33" ht="15.75" customHeight="1">
      <c r="A2020" s="743">
        <v>42790</v>
      </c>
      <c r="B2020" s="338" t="s">
        <v>629</v>
      </c>
      <c r="C2020" s="250" t="s">
        <v>6310</v>
      </c>
      <c r="D2020" s="250" t="s">
        <v>6326</v>
      </c>
      <c r="E2020" s="250" t="s">
        <v>4107</v>
      </c>
      <c r="F2020" s="305">
        <v>15</v>
      </c>
      <c r="G2020" s="323">
        <v>168</v>
      </c>
      <c r="H2020" s="265">
        <f t="shared" si="166"/>
        <v>2520</v>
      </c>
      <c r="I2020" s="264" t="s">
        <v>170</v>
      </c>
      <c r="J2020" s="251" t="s">
        <v>1309</v>
      </c>
      <c r="K2020" s="256">
        <v>42825</v>
      </c>
      <c r="L2020" s="256"/>
      <c r="M2020" s="256">
        <v>42824</v>
      </c>
      <c r="N2020" s="264" t="s">
        <v>2212</v>
      </c>
      <c r="O2020" s="744" t="s">
        <v>6327</v>
      </c>
      <c r="P2020" s="337"/>
      <c r="Q2020" s="1019">
        <v>76388</v>
      </c>
      <c r="R2020" s="1441"/>
      <c r="S2020" s="1441"/>
      <c r="U2020" s="251"/>
      <c r="V2020" s="338" t="s">
        <v>2214</v>
      </c>
      <c r="W2020" s="789">
        <v>42821</v>
      </c>
      <c r="X2020" s="750">
        <v>42823</v>
      </c>
      <c r="Y2020" s="250" t="s">
        <v>6328</v>
      </c>
      <c r="Z2020" s="1020">
        <v>76388</v>
      </c>
      <c r="AA2020" s="256">
        <v>42821</v>
      </c>
      <c r="AB2020" s="744" t="s">
        <v>6329</v>
      </c>
      <c r="AC2020" s="251"/>
      <c r="AD2020" s="744" t="s">
        <v>6330</v>
      </c>
      <c r="AE2020" s="260">
        <v>76280</v>
      </c>
      <c r="AF2020" s="744" t="s">
        <v>6331</v>
      </c>
      <c r="AG2020" s="251" t="s">
        <v>376</v>
      </c>
    </row>
    <row r="2021" spans="1:33" ht="15.75" customHeight="1">
      <c r="A2021" s="743">
        <v>42790</v>
      </c>
      <c r="B2021" s="338" t="s">
        <v>3347</v>
      </c>
      <c r="C2021" s="744" t="s">
        <v>6283</v>
      </c>
      <c r="D2021" s="420" t="s">
        <v>6332</v>
      </c>
      <c r="E2021" s="420" t="s">
        <v>5965</v>
      </c>
      <c r="F2021" s="787">
        <v>100</v>
      </c>
      <c r="G2021" s="464">
        <v>174.5</v>
      </c>
      <c r="H2021" s="265">
        <f t="shared" si="166"/>
        <v>17450</v>
      </c>
      <c r="I2021" s="264" t="s">
        <v>170</v>
      </c>
      <c r="J2021" s="367" t="s">
        <v>3350</v>
      </c>
      <c r="K2021" s="256">
        <v>42850</v>
      </c>
      <c r="L2021" s="256"/>
      <c r="M2021" s="256">
        <v>42818</v>
      </c>
      <c r="N2021" s="401" t="s">
        <v>3351</v>
      </c>
      <c r="O2021" s="250" t="s">
        <v>6333</v>
      </c>
      <c r="P2021" s="337"/>
      <c r="Q2021" s="630">
        <v>525903</v>
      </c>
      <c r="R2021" s="1415"/>
      <c r="S2021" s="1415"/>
      <c r="U2021" s="251"/>
      <c r="V2021" s="592" t="s">
        <v>5967</v>
      </c>
      <c r="W2021" s="1002"/>
      <c r="X2021" s="750">
        <v>42821</v>
      </c>
      <c r="Y2021" s="250" t="s">
        <v>6334</v>
      </c>
      <c r="Z2021" s="753">
        <v>525903</v>
      </c>
      <c r="AA2021" s="594">
        <v>42815</v>
      </c>
      <c r="AB2021" s="250" t="s">
        <v>6287</v>
      </c>
      <c r="AC2021" s="1003"/>
      <c r="AD2021" s="1003"/>
      <c r="AE2021" s="1003"/>
      <c r="AF2021" s="745"/>
      <c r="AG2021" s="251" t="s">
        <v>283</v>
      </c>
    </row>
    <row r="2022" spans="1:33" ht="15.75" customHeight="1">
      <c r="A2022" s="743">
        <v>42790</v>
      </c>
      <c r="B2022" s="338" t="s">
        <v>629</v>
      </c>
      <c r="C2022" s="263" t="s">
        <v>6310</v>
      </c>
      <c r="D2022" s="250" t="s">
        <v>6335</v>
      </c>
      <c r="E2022" s="250" t="s">
        <v>4107</v>
      </c>
      <c r="F2022" s="787">
        <v>15</v>
      </c>
      <c r="G2022" s="252">
        <v>168</v>
      </c>
      <c r="H2022" s="265">
        <f t="shared" si="166"/>
        <v>2520</v>
      </c>
      <c r="I2022" s="264" t="s">
        <v>170</v>
      </c>
      <c r="J2022" s="585" t="s">
        <v>5956</v>
      </c>
      <c r="K2022" s="256">
        <v>42800</v>
      </c>
      <c r="L2022" s="256"/>
      <c r="M2022" s="256">
        <v>42800</v>
      </c>
      <c r="N2022" s="254" t="s">
        <v>2212</v>
      </c>
      <c r="O2022" s="744" t="s">
        <v>6336</v>
      </c>
      <c r="P2022" s="337"/>
      <c r="Q2022" s="1019">
        <v>76388</v>
      </c>
      <c r="R2022" s="1441"/>
      <c r="S2022" s="1441"/>
      <c r="U2022" s="251"/>
      <c r="V2022" s="571" t="s">
        <v>2214</v>
      </c>
      <c r="W2022" s="747">
        <v>42797</v>
      </c>
      <c r="X2022" s="748">
        <v>42800</v>
      </c>
      <c r="Y2022" s="744" t="s">
        <v>6337</v>
      </c>
      <c r="Z2022" s="749">
        <v>76388</v>
      </c>
      <c r="AA2022" s="256">
        <v>42797</v>
      </c>
      <c r="AB2022" s="744" t="s">
        <v>6338</v>
      </c>
      <c r="AC2022" s="251" t="s">
        <v>6339</v>
      </c>
      <c r="AD2022" s="744" t="s">
        <v>6340</v>
      </c>
      <c r="AE2022" s="260">
        <v>78183</v>
      </c>
      <c r="AF2022" s="744" t="s">
        <v>6341</v>
      </c>
      <c r="AG2022" s="251" t="s">
        <v>376</v>
      </c>
    </row>
    <row r="2023" spans="1:33" ht="15.75" customHeight="1">
      <c r="A2023" s="743">
        <v>42795</v>
      </c>
      <c r="B2023" s="970" t="s">
        <v>100</v>
      </c>
      <c r="C2023" s="744" t="s">
        <v>6342</v>
      </c>
      <c r="D2023" s="744" t="s">
        <v>6343</v>
      </c>
      <c r="E2023" s="744" t="s">
        <v>6344</v>
      </c>
      <c r="F2023" s="305">
        <v>0</v>
      </c>
      <c r="G2023" s="323">
        <v>141</v>
      </c>
      <c r="H2023" s="265">
        <f t="shared" si="166"/>
        <v>0</v>
      </c>
      <c r="I2023" s="264" t="s">
        <v>3315</v>
      </c>
      <c r="J2023" s="367" t="s">
        <v>6053</v>
      </c>
      <c r="K2023" s="256">
        <v>42810</v>
      </c>
      <c r="L2023" s="256"/>
      <c r="M2023" s="256">
        <v>42801</v>
      </c>
      <c r="N2023" s="251" t="s">
        <v>2091</v>
      </c>
      <c r="O2023" s="744" t="s">
        <v>6345</v>
      </c>
      <c r="P2023" s="574">
        <v>812.7</v>
      </c>
      <c r="Q2023" s="795"/>
      <c r="R2023" s="1435"/>
      <c r="S2023" s="1435"/>
      <c r="U2023" s="251"/>
      <c r="V2023" s="318" t="s">
        <v>3754</v>
      </c>
      <c r="W2023" s="789">
        <v>42831</v>
      </c>
      <c r="X2023" s="748">
        <v>42801</v>
      </c>
      <c r="Y2023" s="744" t="s">
        <v>6346</v>
      </c>
      <c r="Z2023" s="749">
        <v>25179</v>
      </c>
      <c r="AA2023" s="256">
        <v>42831</v>
      </c>
      <c r="AB2023" s="250" t="s">
        <v>6207</v>
      </c>
      <c r="AC2023" s="1003"/>
      <c r="AD2023" s="1003"/>
      <c r="AE2023" s="1003"/>
      <c r="AF2023" s="745"/>
      <c r="AG2023" s="251" t="s">
        <v>283</v>
      </c>
    </row>
    <row r="2024" spans="1:33" ht="15.75" customHeight="1">
      <c r="A2024" s="743">
        <v>42796</v>
      </c>
      <c r="B2024" s="970" t="s">
        <v>4903</v>
      </c>
      <c r="C2024" s="744" t="s">
        <v>6347</v>
      </c>
      <c r="D2024" s="744" t="s">
        <v>6348</v>
      </c>
      <c r="E2024" s="744" t="s">
        <v>4261</v>
      </c>
      <c r="F2024" s="305">
        <v>1</v>
      </c>
      <c r="G2024" s="323">
        <v>130</v>
      </c>
      <c r="H2024" s="265">
        <f t="shared" si="166"/>
        <v>130</v>
      </c>
      <c r="I2024" s="264" t="s">
        <v>3315</v>
      </c>
      <c r="J2024" s="367" t="s">
        <v>3588</v>
      </c>
      <c r="K2024" s="594">
        <v>42846</v>
      </c>
      <c r="L2024" s="594"/>
      <c r="M2024" s="256">
        <v>42845</v>
      </c>
      <c r="N2024" s="251" t="s">
        <v>6349</v>
      </c>
      <c r="O2024" s="744" t="s">
        <v>6350</v>
      </c>
      <c r="P2024" s="337"/>
      <c r="Q2024" s="630">
        <v>3763</v>
      </c>
      <c r="R2024" s="1415"/>
      <c r="S2024" s="1415"/>
      <c r="U2024" s="251"/>
      <c r="V2024" s="597" t="s">
        <v>6351</v>
      </c>
      <c r="W2024" s="789">
        <v>42844</v>
      </c>
      <c r="X2024" s="748">
        <v>42844</v>
      </c>
      <c r="Y2024" s="744" t="s">
        <v>6352</v>
      </c>
      <c r="Z2024" s="749">
        <v>3763</v>
      </c>
      <c r="AA2024" s="594">
        <v>42842</v>
      </c>
      <c r="AB2024" s="250" t="s">
        <v>6353</v>
      </c>
      <c r="AC2024" s="1003"/>
      <c r="AD2024" s="1003"/>
      <c r="AE2024" s="1003"/>
      <c r="AF2024" s="745"/>
      <c r="AG2024" s="251" t="s">
        <v>283</v>
      </c>
    </row>
    <row r="2025" spans="1:33" ht="15.75" customHeight="1">
      <c r="A2025" s="743">
        <v>42796</v>
      </c>
      <c r="B2025" s="970" t="s">
        <v>76</v>
      </c>
      <c r="C2025" s="744">
        <v>180</v>
      </c>
      <c r="D2025" s="250" t="s">
        <v>6354</v>
      </c>
      <c r="E2025" s="250" t="s">
        <v>6355</v>
      </c>
      <c r="F2025" s="305">
        <v>1</v>
      </c>
      <c r="G2025" s="323">
        <v>10</v>
      </c>
      <c r="H2025" s="265">
        <f t="shared" si="166"/>
        <v>10</v>
      </c>
      <c r="I2025" s="264" t="s">
        <v>170</v>
      </c>
      <c r="J2025" s="367" t="s">
        <v>315</v>
      </c>
      <c r="K2025" s="256">
        <v>42817</v>
      </c>
      <c r="L2025" s="256"/>
      <c r="M2025" s="256">
        <v>42816</v>
      </c>
      <c r="N2025" s="251" t="s">
        <v>2006</v>
      </c>
      <c r="O2025" s="251"/>
      <c r="P2025" s="337"/>
      <c r="Q2025" s="630" t="s">
        <v>4785</v>
      </c>
      <c r="R2025" s="1415"/>
      <c r="S2025" s="1415"/>
      <c r="U2025" s="251"/>
      <c r="V2025" s="251"/>
      <c r="W2025" s="1002"/>
      <c r="X2025" s="744" t="s">
        <v>5529</v>
      </c>
      <c r="Y2025" s="744" t="s">
        <v>5529</v>
      </c>
      <c r="Z2025" s="744" t="s">
        <v>5529</v>
      </c>
      <c r="AA2025" s="251"/>
      <c r="AB2025" s="744" t="s">
        <v>6356</v>
      </c>
      <c r="AC2025" s="251">
        <v>941953762</v>
      </c>
      <c r="AD2025" s="1003"/>
      <c r="AE2025" s="1003"/>
      <c r="AF2025" s="745"/>
      <c r="AG2025" s="251" t="s">
        <v>283</v>
      </c>
    </row>
    <row r="2026" spans="1:33" ht="15.75" customHeight="1">
      <c r="A2026" s="743">
        <v>42800</v>
      </c>
      <c r="B2026" s="970" t="s">
        <v>6357</v>
      </c>
      <c r="C2026" s="744"/>
      <c r="D2026" s="744" t="s">
        <v>6358</v>
      </c>
      <c r="E2026" s="744" t="s">
        <v>6359</v>
      </c>
      <c r="F2026" s="305">
        <v>2</v>
      </c>
      <c r="G2026" s="323">
        <v>3800</v>
      </c>
      <c r="H2026" s="265">
        <f t="shared" si="166"/>
        <v>7600</v>
      </c>
      <c r="I2026" s="264" t="s">
        <v>3315</v>
      </c>
      <c r="J2026" s="264" t="s">
        <v>6360</v>
      </c>
      <c r="K2026" s="256">
        <v>42842</v>
      </c>
      <c r="L2026" s="256"/>
      <c r="M2026" s="256">
        <v>42832</v>
      </c>
      <c r="N2026" s="251" t="s">
        <v>6361</v>
      </c>
      <c r="O2026" s="759" t="s">
        <v>3556</v>
      </c>
      <c r="P2026" s="337"/>
      <c r="Q2026" s="795"/>
      <c r="R2026" s="1435"/>
      <c r="S2026" s="1435"/>
      <c r="U2026" s="744"/>
      <c r="V2026" s="592" t="s">
        <v>6362</v>
      </c>
      <c r="W2026" s="1002"/>
      <c r="X2026" s="744" t="s">
        <v>6363</v>
      </c>
      <c r="Y2026" s="744" t="s">
        <v>6363</v>
      </c>
      <c r="Z2026" s="744" t="s">
        <v>6363</v>
      </c>
      <c r="AA2026" s="1003"/>
      <c r="AB2026" s="744" t="s">
        <v>6253</v>
      </c>
      <c r="AC2026" s="251" t="s">
        <v>6364</v>
      </c>
      <c r="AD2026" s="1003"/>
      <c r="AE2026" s="1003"/>
      <c r="AF2026" s="745"/>
      <c r="AG2026" s="251" t="s">
        <v>6253</v>
      </c>
    </row>
    <row r="2027" spans="1:33" ht="15.75" customHeight="1">
      <c r="A2027" s="743">
        <v>42800</v>
      </c>
      <c r="B2027" s="595" t="s">
        <v>3479</v>
      </c>
      <c r="C2027" s="744"/>
      <c r="D2027" s="744" t="s">
        <v>6365</v>
      </c>
      <c r="E2027" s="744" t="s">
        <v>6366</v>
      </c>
      <c r="F2027" s="305">
        <v>4</v>
      </c>
      <c r="G2027" s="323">
        <v>355</v>
      </c>
      <c r="H2027" s="265">
        <f t="shared" si="166"/>
        <v>1420</v>
      </c>
      <c r="I2027" s="1021" t="s">
        <v>3315</v>
      </c>
      <c r="J2027" s="367" t="s">
        <v>6367</v>
      </c>
      <c r="K2027" s="256">
        <v>42814</v>
      </c>
      <c r="L2027" s="256"/>
      <c r="M2027" s="256">
        <v>42809</v>
      </c>
      <c r="N2027" s="251" t="s">
        <v>89</v>
      </c>
      <c r="O2027" s="250" t="s">
        <v>3882</v>
      </c>
      <c r="P2027" s="574">
        <v>1310.4000000000001</v>
      </c>
      <c r="Q2027" s="795"/>
      <c r="R2027" s="1435"/>
      <c r="S2027" s="1435"/>
      <c r="U2027" s="251"/>
      <c r="V2027" s="318" t="s">
        <v>5896</v>
      </c>
      <c r="W2027" s="789">
        <v>42855</v>
      </c>
      <c r="X2027" s="748">
        <v>42809</v>
      </c>
      <c r="Y2027" s="744" t="s">
        <v>6368</v>
      </c>
      <c r="Z2027" s="749">
        <v>44492</v>
      </c>
      <c r="AA2027" s="594">
        <v>42821</v>
      </c>
      <c r="AB2027" s="250" t="s">
        <v>6369</v>
      </c>
      <c r="AC2027" s="1003"/>
      <c r="AD2027" s="1003"/>
      <c r="AE2027" s="1003"/>
      <c r="AF2027" s="745"/>
      <c r="AG2027" s="251" t="s">
        <v>283</v>
      </c>
    </row>
    <row r="2028" spans="1:33" ht="15.75" customHeight="1">
      <c r="A2028" s="743">
        <v>42800</v>
      </c>
      <c r="B2028" s="595" t="s">
        <v>3479</v>
      </c>
      <c r="C2028" s="744"/>
      <c r="D2028" s="744" t="s">
        <v>6365</v>
      </c>
      <c r="E2028" s="744" t="s">
        <v>6370</v>
      </c>
      <c r="F2028" s="305">
        <v>4</v>
      </c>
      <c r="G2028" s="323">
        <v>35</v>
      </c>
      <c r="H2028" s="265">
        <f t="shared" si="166"/>
        <v>140</v>
      </c>
      <c r="I2028" s="1021" t="s">
        <v>3315</v>
      </c>
      <c r="J2028" s="367" t="s">
        <v>6367</v>
      </c>
      <c r="K2028" s="256">
        <v>42814</v>
      </c>
      <c r="L2028" s="256"/>
      <c r="M2028" s="256">
        <v>42809</v>
      </c>
      <c r="N2028" s="251" t="s">
        <v>89</v>
      </c>
      <c r="O2028" s="250" t="s">
        <v>3882</v>
      </c>
      <c r="P2028" s="574">
        <v>126</v>
      </c>
      <c r="Q2028" s="795"/>
      <c r="R2028" s="1435"/>
      <c r="S2028" s="1435"/>
      <c r="U2028" s="251"/>
      <c r="V2028" s="318" t="s">
        <v>5896</v>
      </c>
      <c r="W2028" s="789">
        <v>42855</v>
      </c>
      <c r="X2028" s="748">
        <v>42809</v>
      </c>
      <c r="Y2028" s="744" t="s">
        <v>6368</v>
      </c>
      <c r="Z2028" s="749">
        <v>44492</v>
      </c>
      <c r="AA2028" s="594">
        <v>42821</v>
      </c>
      <c r="AB2028" s="250" t="s">
        <v>6369</v>
      </c>
      <c r="AC2028" s="1003"/>
      <c r="AD2028" s="1003"/>
      <c r="AE2028" s="1003"/>
      <c r="AF2028" s="745"/>
      <c r="AG2028" s="251" t="s">
        <v>283</v>
      </c>
    </row>
    <row r="2029" spans="1:33" ht="15.75" customHeight="1">
      <c r="A2029" s="743">
        <v>42800</v>
      </c>
      <c r="B2029" s="595" t="s">
        <v>3479</v>
      </c>
      <c r="C2029" s="744"/>
      <c r="D2029" s="744" t="s">
        <v>6365</v>
      </c>
      <c r="E2029" s="744" t="s">
        <v>6371</v>
      </c>
      <c r="F2029" s="305">
        <v>1</v>
      </c>
      <c r="G2029" s="323">
        <v>102</v>
      </c>
      <c r="H2029" s="265">
        <f t="shared" si="166"/>
        <v>102</v>
      </c>
      <c r="I2029" s="975" t="s">
        <v>3315</v>
      </c>
      <c r="J2029" s="367" t="s">
        <v>6367</v>
      </c>
      <c r="K2029" s="256">
        <v>42814</v>
      </c>
      <c r="L2029" s="256"/>
      <c r="M2029" s="256">
        <v>42809</v>
      </c>
      <c r="N2029" s="331" t="s">
        <v>2001</v>
      </c>
      <c r="O2029" s="744" t="s">
        <v>6372</v>
      </c>
      <c r="P2029" s="265">
        <v>99.75</v>
      </c>
      <c r="Q2029" s="830"/>
      <c r="R2029" s="1419"/>
      <c r="S2029" s="1419"/>
      <c r="U2029" s="251"/>
      <c r="V2029" s="744" t="s">
        <v>2003</v>
      </c>
      <c r="W2029" s="789">
        <v>42860</v>
      </c>
      <c r="X2029" s="748">
        <v>42808</v>
      </c>
      <c r="Y2029" s="744" t="s">
        <v>6373</v>
      </c>
      <c r="Z2029" s="749">
        <v>3085</v>
      </c>
      <c r="AA2029" s="594">
        <v>42859</v>
      </c>
      <c r="AB2029" s="250" t="s">
        <v>6369</v>
      </c>
      <c r="AC2029" s="1003"/>
      <c r="AD2029" s="1003"/>
      <c r="AE2029" s="1003"/>
      <c r="AF2029" s="745"/>
      <c r="AG2029" s="251" t="s">
        <v>283</v>
      </c>
    </row>
    <row r="2030" spans="1:33" ht="15.75" customHeight="1">
      <c r="A2030" s="743">
        <v>42802</v>
      </c>
      <c r="B2030" s="970" t="s">
        <v>629</v>
      </c>
      <c r="C2030" s="263" t="s">
        <v>6374</v>
      </c>
      <c r="D2030" s="250" t="s">
        <v>6375</v>
      </c>
      <c r="E2030" s="250" t="s">
        <v>4107</v>
      </c>
      <c r="F2030" s="305">
        <v>10</v>
      </c>
      <c r="G2030" s="323">
        <v>168</v>
      </c>
      <c r="H2030" s="265">
        <f t="shared" si="166"/>
        <v>1680</v>
      </c>
      <c r="I2030" s="264" t="s">
        <v>170</v>
      </c>
      <c r="J2030" s="264" t="s">
        <v>5956</v>
      </c>
      <c r="K2030" s="256">
        <v>42898</v>
      </c>
      <c r="L2030" s="256"/>
      <c r="M2030" s="256">
        <v>42895</v>
      </c>
      <c r="N2030" s="254" t="s">
        <v>2212</v>
      </c>
      <c r="O2030" s="744" t="s">
        <v>6376</v>
      </c>
      <c r="P2030" s="337"/>
      <c r="Q2030" s="630">
        <v>50925</v>
      </c>
      <c r="R2030" s="1415"/>
      <c r="S2030" s="1415"/>
      <c r="U2030" s="251"/>
      <c r="V2030" s="571" t="s">
        <v>2214</v>
      </c>
      <c r="W2030" s="1002"/>
      <c r="X2030" s="748">
        <v>42894</v>
      </c>
      <c r="Y2030" s="744" t="s">
        <v>6377</v>
      </c>
      <c r="Z2030" s="749">
        <v>50925</v>
      </c>
      <c r="AA2030" s="594">
        <v>42892</v>
      </c>
      <c r="AB2030" s="744" t="s">
        <v>6378</v>
      </c>
      <c r="AC2030" s="251" t="s">
        <v>6379</v>
      </c>
      <c r="AD2030" s="744" t="s">
        <v>6380</v>
      </c>
      <c r="AE2030" s="260">
        <v>50543</v>
      </c>
      <c r="AF2030" s="744" t="s">
        <v>6381</v>
      </c>
      <c r="AG2030" s="251" t="s">
        <v>376</v>
      </c>
    </row>
    <row r="2031" spans="1:33" ht="15.75" customHeight="1">
      <c r="A2031" s="743">
        <v>42802</v>
      </c>
      <c r="B2031" s="970" t="s">
        <v>629</v>
      </c>
      <c r="C2031" s="263" t="s">
        <v>6374</v>
      </c>
      <c r="D2031" s="250" t="s">
        <v>6382</v>
      </c>
      <c r="E2031" s="250" t="s">
        <v>4107</v>
      </c>
      <c r="F2031" s="305">
        <v>10</v>
      </c>
      <c r="G2031" s="323">
        <v>168</v>
      </c>
      <c r="H2031" s="265">
        <f t="shared" si="166"/>
        <v>1680</v>
      </c>
      <c r="I2031" s="264" t="s">
        <v>170</v>
      </c>
      <c r="J2031" s="251" t="s">
        <v>1309</v>
      </c>
      <c r="K2031" s="256">
        <v>42886</v>
      </c>
      <c r="L2031" s="256"/>
      <c r="M2031" s="256">
        <v>42881</v>
      </c>
      <c r="N2031" s="254" t="s">
        <v>2212</v>
      </c>
      <c r="O2031" s="744" t="s">
        <v>6383</v>
      </c>
      <c r="P2031" s="337"/>
      <c r="Q2031" s="630">
        <v>50925</v>
      </c>
      <c r="R2031" s="1415"/>
      <c r="S2031" s="1415"/>
      <c r="U2031" s="251"/>
      <c r="V2031" s="571" t="s">
        <v>2214</v>
      </c>
      <c r="W2031" s="789">
        <v>42878</v>
      </c>
      <c r="X2031" s="748">
        <v>42886</v>
      </c>
      <c r="Y2031" s="744" t="s">
        <v>6384</v>
      </c>
      <c r="Z2031" s="749">
        <v>50925</v>
      </c>
      <c r="AA2031" s="594">
        <v>42878</v>
      </c>
      <c r="AB2031" s="744" t="s">
        <v>6385</v>
      </c>
      <c r="AC2031" s="251"/>
      <c r="AD2031" s="744" t="s">
        <v>6386</v>
      </c>
      <c r="AE2031" s="260">
        <v>50551</v>
      </c>
      <c r="AF2031" s="744" t="s">
        <v>6309</v>
      </c>
      <c r="AG2031" s="251" t="s">
        <v>376</v>
      </c>
    </row>
    <row r="2032" spans="1:33" ht="15.75" customHeight="1">
      <c r="A2032" s="743">
        <v>42802</v>
      </c>
      <c r="B2032" s="970" t="s">
        <v>228</v>
      </c>
      <c r="C2032" s="970"/>
      <c r="D2032" s="263" t="s">
        <v>6387</v>
      </c>
      <c r="E2032" s="263" t="s">
        <v>461</v>
      </c>
      <c r="F2032" s="305">
        <v>73</v>
      </c>
      <c r="G2032" s="464">
        <v>415.8</v>
      </c>
      <c r="H2032" s="464">
        <f t="shared" si="166"/>
        <v>30353.4</v>
      </c>
      <c r="I2032" s="264" t="s">
        <v>170</v>
      </c>
      <c r="J2032" s="585" t="s">
        <v>89</v>
      </c>
      <c r="K2032" s="256">
        <v>42824</v>
      </c>
      <c r="L2032" s="256"/>
      <c r="M2032" s="256">
        <v>42824</v>
      </c>
      <c r="N2032" s="251" t="s">
        <v>89</v>
      </c>
      <c r="O2032" s="744" t="s">
        <v>6388</v>
      </c>
      <c r="P2032" s="574">
        <v>27210.75</v>
      </c>
      <c r="Q2032" s="795"/>
      <c r="R2032" s="1435"/>
      <c r="S2032" s="1435"/>
      <c r="U2032" s="251"/>
      <c r="V2032" s="318" t="s">
        <v>5896</v>
      </c>
      <c r="W2032" s="789">
        <v>42860</v>
      </c>
      <c r="X2032" s="750">
        <v>42824</v>
      </c>
      <c r="Y2032" s="744" t="s">
        <v>6389</v>
      </c>
      <c r="Z2032" s="753">
        <v>912048</v>
      </c>
      <c r="AA2032" s="594">
        <v>42860</v>
      </c>
      <c r="AB2032" s="744" t="s">
        <v>6390</v>
      </c>
      <c r="AC2032" s="1003"/>
      <c r="AD2032" s="744" t="s">
        <v>6391</v>
      </c>
      <c r="AE2032" s="260">
        <v>1001815</v>
      </c>
      <c r="AF2032" s="744" t="s">
        <v>6392</v>
      </c>
      <c r="AG2032" s="251" t="s">
        <v>376</v>
      </c>
    </row>
    <row r="2033" spans="1:33" ht="15.75" customHeight="1">
      <c r="A2033" s="743">
        <v>42802</v>
      </c>
      <c r="B2033" s="970" t="s">
        <v>228</v>
      </c>
      <c r="C2033" s="744"/>
      <c r="D2033" s="250" t="s">
        <v>6387</v>
      </c>
      <c r="E2033" s="250" t="s">
        <v>3604</v>
      </c>
      <c r="F2033" s="305">
        <v>8</v>
      </c>
      <c r="G2033" s="464">
        <v>336</v>
      </c>
      <c r="H2033" s="464">
        <f t="shared" si="166"/>
        <v>2688</v>
      </c>
      <c r="I2033" s="264" t="s">
        <v>170</v>
      </c>
      <c r="J2033" s="1022" t="s">
        <v>89</v>
      </c>
      <c r="K2033" s="256">
        <v>42824</v>
      </c>
      <c r="L2033" s="256"/>
      <c r="M2033" s="256">
        <v>42824</v>
      </c>
      <c r="N2033" s="251" t="s">
        <v>89</v>
      </c>
      <c r="O2033" s="744" t="s">
        <v>6388</v>
      </c>
      <c r="P2033" s="574">
        <v>2410.8000000000002</v>
      </c>
      <c r="Q2033" s="795"/>
      <c r="R2033" s="1435"/>
      <c r="S2033" s="1435"/>
      <c r="U2033" s="251"/>
      <c r="V2033" s="308" t="s">
        <v>5896</v>
      </c>
      <c r="W2033" s="789">
        <v>42860</v>
      </c>
      <c r="X2033" s="750">
        <v>42824</v>
      </c>
      <c r="Y2033" s="744" t="s">
        <v>6389</v>
      </c>
      <c r="Z2033" s="744" t="s">
        <v>6393</v>
      </c>
      <c r="AA2033" s="594">
        <v>42860</v>
      </c>
      <c r="AB2033" s="744" t="s">
        <v>6390</v>
      </c>
      <c r="AC2033" s="1003"/>
      <c r="AD2033" s="744" t="s">
        <v>6391</v>
      </c>
      <c r="AE2033" s="251" t="s">
        <v>6394</v>
      </c>
      <c r="AF2033" s="744" t="s">
        <v>6392</v>
      </c>
      <c r="AG2033" s="251" t="s">
        <v>376</v>
      </c>
    </row>
    <row r="2034" spans="1:33" ht="15.75" customHeight="1">
      <c r="A2034" s="743">
        <v>42802</v>
      </c>
      <c r="B2034" s="592" t="s">
        <v>6395</v>
      </c>
      <c r="C2034" s="595" t="s">
        <v>6396</v>
      </c>
      <c r="D2034" s="328" t="s">
        <v>6397</v>
      </c>
      <c r="E2034" s="328" t="s">
        <v>6398</v>
      </c>
      <c r="F2034" s="305">
        <v>3</v>
      </c>
      <c r="G2034" s="252">
        <v>321</v>
      </c>
      <c r="H2034" s="265">
        <f t="shared" si="166"/>
        <v>963</v>
      </c>
      <c r="I2034" s="264" t="s">
        <v>42</v>
      </c>
      <c r="J2034" s="367" t="s">
        <v>6399</v>
      </c>
      <c r="K2034" s="256">
        <v>42821</v>
      </c>
      <c r="L2034" s="256"/>
      <c r="M2034" s="256">
        <v>42814</v>
      </c>
      <c r="N2034" s="251" t="s">
        <v>89</v>
      </c>
      <c r="O2034" s="744" t="s">
        <v>6400</v>
      </c>
      <c r="P2034" s="574">
        <v>715.80600000000004</v>
      </c>
      <c r="Q2034" s="795"/>
      <c r="R2034" s="1435"/>
      <c r="S2034" s="1435"/>
      <c r="U2034" s="251"/>
      <c r="V2034" s="318" t="s">
        <v>5896</v>
      </c>
      <c r="W2034" s="789">
        <v>42860</v>
      </c>
      <c r="X2034" s="748">
        <v>42814</v>
      </c>
      <c r="Y2034" s="744" t="s">
        <v>6401</v>
      </c>
      <c r="Z2034" s="749">
        <v>22172</v>
      </c>
      <c r="AA2034" s="594">
        <v>42860</v>
      </c>
      <c r="AB2034" s="250" t="s">
        <v>6402</v>
      </c>
      <c r="AC2034" s="251">
        <v>944367410</v>
      </c>
      <c r="AD2034" s="1003"/>
      <c r="AE2034" s="1003"/>
      <c r="AF2034" s="745"/>
      <c r="AG2034" s="251" t="s">
        <v>283</v>
      </c>
    </row>
    <row r="2035" spans="1:33" ht="15.75" customHeight="1">
      <c r="A2035" s="755">
        <v>42802</v>
      </c>
      <c r="B2035" s="590" t="s">
        <v>5981</v>
      </c>
      <c r="C2035" s="250">
        <v>7000128159</v>
      </c>
      <c r="D2035" s="250" t="s">
        <v>6403</v>
      </c>
      <c r="E2035" s="250" t="s">
        <v>6404</v>
      </c>
      <c r="F2035" s="305">
        <v>5</v>
      </c>
      <c r="G2035" s="323">
        <v>116</v>
      </c>
      <c r="H2035" s="265">
        <f t="shared" si="166"/>
        <v>580</v>
      </c>
      <c r="I2035" s="264" t="s">
        <v>42</v>
      </c>
      <c r="J2035" s="401" t="s">
        <v>3462</v>
      </c>
      <c r="K2035" s="256">
        <v>42804</v>
      </c>
      <c r="L2035" s="256"/>
      <c r="M2035" s="256">
        <v>42804</v>
      </c>
      <c r="N2035" s="264" t="s">
        <v>3432</v>
      </c>
      <c r="O2035" s="744" t="s">
        <v>6400</v>
      </c>
      <c r="P2035" s="337"/>
      <c r="Q2035" s="630">
        <v>17005</v>
      </c>
      <c r="R2035" s="1415"/>
      <c r="S2035" s="1415"/>
      <c r="U2035" s="251"/>
      <c r="V2035" s="318" t="s">
        <v>2045</v>
      </c>
      <c r="W2035" s="789">
        <v>42891</v>
      </c>
      <c r="X2035" s="748">
        <v>42803</v>
      </c>
      <c r="Y2035" s="744" t="s">
        <v>6405</v>
      </c>
      <c r="Z2035" s="749">
        <v>17005</v>
      </c>
      <c r="AA2035" s="256">
        <v>42891</v>
      </c>
      <c r="AB2035" s="250" t="s">
        <v>5986</v>
      </c>
      <c r="AC2035" s="1003"/>
      <c r="AD2035" s="1003"/>
      <c r="AE2035" s="1003"/>
      <c r="AF2035" s="745"/>
      <c r="AG2035" s="251" t="s">
        <v>283</v>
      </c>
    </row>
    <row r="2036" spans="1:33" ht="15.75" customHeight="1">
      <c r="A2036" s="272">
        <v>42804</v>
      </c>
      <c r="B2036" s="877" t="s">
        <v>3479</v>
      </c>
      <c r="C2036" s="768"/>
      <c r="D2036" s="768" t="s">
        <v>6406</v>
      </c>
      <c r="E2036" s="768" t="s">
        <v>6371</v>
      </c>
      <c r="F2036" s="878">
        <v>1</v>
      </c>
      <c r="G2036" s="879">
        <v>102</v>
      </c>
      <c r="H2036" s="279">
        <v>0</v>
      </c>
      <c r="I2036" s="1023" t="s">
        <v>3315</v>
      </c>
      <c r="J2036" s="277" t="s">
        <v>70</v>
      </c>
      <c r="K2036" s="623"/>
      <c r="L2036" s="623"/>
      <c r="M2036" s="289">
        <v>42809</v>
      </c>
      <c r="N2036" s="401" t="s">
        <v>2001</v>
      </c>
      <c r="O2036" s="768" t="s">
        <v>6407</v>
      </c>
      <c r="P2036" s="279">
        <v>99.75</v>
      </c>
      <c r="Q2036" s="830"/>
      <c r="R2036" s="1419"/>
      <c r="S2036" s="1419"/>
      <c r="U2036" s="251"/>
      <c r="V2036" s="1024" t="s">
        <v>2003</v>
      </c>
      <c r="W2036" s="1002"/>
      <c r="X2036" s="745"/>
      <c r="Y2036" s="745"/>
      <c r="Z2036" s="1025"/>
      <c r="AA2036" s="1003"/>
      <c r="AB2036" s="1003"/>
      <c r="AC2036" s="1003"/>
      <c r="AD2036" s="1003"/>
      <c r="AE2036" s="1003"/>
      <c r="AF2036" s="745"/>
      <c r="AG2036" s="251" t="s">
        <v>3456</v>
      </c>
    </row>
    <row r="2037" spans="1:33" ht="15.75" customHeight="1">
      <c r="A2037" s="272">
        <v>42804</v>
      </c>
      <c r="B2037" s="877" t="s">
        <v>3479</v>
      </c>
      <c r="C2037" s="768"/>
      <c r="D2037" s="768" t="s">
        <v>6406</v>
      </c>
      <c r="E2037" s="768" t="s">
        <v>6408</v>
      </c>
      <c r="F2037" s="878">
        <v>1</v>
      </c>
      <c r="G2037" s="879">
        <f>281</f>
        <v>281</v>
      </c>
      <c r="H2037" s="279">
        <v>0</v>
      </c>
      <c r="I2037" s="1023" t="s">
        <v>3315</v>
      </c>
      <c r="J2037" s="277" t="s">
        <v>70</v>
      </c>
      <c r="K2037" s="623"/>
      <c r="L2037" s="623"/>
      <c r="M2037" s="289">
        <v>42809</v>
      </c>
      <c r="N2037" s="401" t="s">
        <v>2001</v>
      </c>
      <c r="O2037" s="768" t="s">
        <v>6407</v>
      </c>
      <c r="P2037" s="279">
        <v>276.14999999999998</v>
      </c>
      <c r="Q2037" s="830"/>
      <c r="R2037" s="1419"/>
      <c r="S2037" s="1419"/>
      <c r="U2037" s="251"/>
      <c r="V2037" s="1024" t="s">
        <v>2003</v>
      </c>
      <c r="W2037" s="1002"/>
      <c r="X2037" s="745"/>
      <c r="Y2037" s="745"/>
      <c r="Z2037" s="745"/>
      <c r="AA2037" s="1003"/>
      <c r="AB2037" s="1003"/>
      <c r="AC2037" s="1003"/>
      <c r="AD2037" s="1003"/>
      <c r="AE2037" s="1003"/>
      <c r="AF2037" s="745"/>
      <c r="AG2037" s="251" t="s">
        <v>3456</v>
      </c>
    </row>
    <row r="2038" spans="1:33" ht="15.75" customHeight="1">
      <c r="A2038" s="755">
        <v>42810</v>
      </c>
      <c r="B2038" s="590" t="s">
        <v>5981</v>
      </c>
      <c r="C2038" s="250">
        <v>7000128378</v>
      </c>
      <c r="D2038" s="250" t="s">
        <v>6409</v>
      </c>
      <c r="E2038" s="250" t="s">
        <v>3933</v>
      </c>
      <c r="F2038" s="305">
        <v>1</v>
      </c>
      <c r="G2038" s="323">
        <v>485</v>
      </c>
      <c r="H2038" s="574">
        <f t="shared" ref="H2038:H2150" si="167">G2038*F2038</f>
        <v>485</v>
      </c>
      <c r="I2038" s="264" t="s">
        <v>42</v>
      </c>
      <c r="J2038" s="756" t="s">
        <v>3462</v>
      </c>
      <c r="K2038" s="256">
        <v>42824</v>
      </c>
      <c r="L2038" s="256"/>
      <c r="M2038" s="256">
        <v>42822</v>
      </c>
      <c r="N2038" s="264" t="s">
        <v>3432</v>
      </c>
      <c r="O2038" s="744" t="s">
        <v>6410</v>
      </c>
      <c r="P2038" s="337"/>
      <c r="Q2038" s="630">
        <v>14163</v>
      </c>
      <c r="R2038" s="1415"/>
      <c r="S2038" s="1415"/>
      <c r="U2038" s="251"/>
      <c r="V2038" s="308" t="s">
        <v>2045</v>
      </c>
      <c r="W2038" s="789">
        <v>42891</v>
      </c>
      <c r="X2038" s="748">
        <v>42821</v>
      </c>
      <c r="Y2038" s="744" t="s">
        <v>6411</v>
      </c>
      <c r="Z2038" s="749">
        <v>20778</v>
      </c>
      <c r="AA2038" s="256">
        <v>42891</v>
      </c>
      <c r="AB2038" s="250" t="s">
        <v>6412</v>
      </c>
      <c r="AC2038" s="1003"/>
      <c r="AD2038" s="1003"/>
      <c r="AE2038" s="1003"/>
      <c r="AF2038" s="745"/>
      <c r="AG2038" s="251" t="s">
        <v>283</v>
      </c>
    </row>
    <row r="2039" spans="1:33" ht="15.75" customHeight="1">
      <c r="A2039" s="755">
        <v>42810</v>
      </c>
      <c r="B2039" s="590" t="s">
        <v>5981</v>
      </c>
      <c r="C2039" s="250">
        <v>7000128378</v>
      </c>
      <c r="D2039" s="250" t="s">
        <v>6409</v>
      </c>
      <c r="E2039" s="250" t="s">
        <v>6413</v>
      </c>
      <c r="F2039" s="305">
        <v>3</v>
      </c>
      <c r="G2039" s="323">
        <v>75</v>
      </c>
      <c r="H2039" s="574">
        <f t="shared" si="167"/>
        <v>225</v>
      </c>
      <c r="I2039" s="264" t="s">
        <v>42</v>
      </c>
      <c r="J2039" s="401" t="s">
        <v>3462</v>
      </c>
      <c r="K2039" s="256">
        <v>42824</v>
      </c>
      <c r="L2039" s="256"/>
      <c r="M2039" s="256">
        <v>42822</v>
      </c>
      <c r="N2039" s="264" t="s">
        <v>3432</v>
      </c>
      <c r="O2039" s="744" t="s">
        <v>6410</v>
      </c>
      <c r="P2039" s="337"/>
      <c r="Q2039" s="630">
        <v>6615</v>
      </c>
      <c r="R2039" s="1415"/>
      <c r="S2039" s="1415"/>
      <c r="U2039" s="251"/>
      <c r="V2039" s="318" t="s">
        <v>2045</v>
      </c>
      <c r="W2039" s="789">
        <v>42891</v>
      </c>
      <c r="X2039" s="748">
        <v>42821</v>
      </c>
      <c r="Y2039" s="744" t="s">
        <v>6411</v>
      </c>
      <c r="Z2039" s="749">
        <v>20778</v>
      </c>
      <c r="AA2039" s="256">
        <v>42891</v>
      </c>
      <c r="AB2039" s="250" t="s">
        <v>6412</v>
      </c>
      <c r="AC2039" s="1003"/>
      <c r="AD2039" s="1003"/>
      <c r="AE2039" s="1003"/>
      <c r="AF2039" s="745"/>
      <c r="AG2039" s="251" t="s">
        <v>283</v>
      </c>
    </row>
    <row r="2040" spans="1:33" ht="15.75" customHeight="1">
      <c r="A2040" s="743">
        <v>42810</v>
      </c>
      <c r="B2040" s="970" t="s">
        <v>100</v>
      </c>
      <c r="C2040" s="744" t="s">
        <v>6414</v>
      </c>
      <c r="D2040" s="250" t="s">
        <v>6415</v>
      </c>
      <c r="E2040" s="250" t="s">
        <v>6416</v>
      </c>
      <c r="F2040" s="305">
        <v>4</v>
      </c>
      <c r="G2040" s="323">
        <v>339</v>
      </c>
      <c r="H2040" s="265">
        <f t="shared" si="167"/>
        <v>1356</v>
      </c>
      <c r="I2040" s="264" t="s">
        <v>3315</v>
      </c>
      <c r="J2040" s="367" t="s">
        <v>3578</v>
      </c>
      <c r="K2040" s="256">
        <v>42824</v>
      </c>
      <c r="L2040" s="256"/>
      <c r="M2040" s="256">
        <v>42817</v>
      </c>
      <c r="N2040" s="251" t="s">
        <v>1995</v>
      </c>
      <c r="O2040" s="744" t="s">
        <v>6417</v>
      </c>
      <c r="P2040" s="337"/>
      <c r="Q2040" s="630">
        <v>39505</v>
      </c>
      <c r="R2040" s="1415"/>
      <c r="S2040" s="1415"/>
      <c r="U2040" s="251"/>
      <c r="V2040" s="338" t="s">
        <v>1997</v>
      </c>
      <c r="W2040" s="789">
        <v>42814</v>
      </c>
      <c r="X2040" s="750">
        <v>42817</v>
      </c>
      <c r="Y2040" s="250" t="s">
        <v>6418</v>
      </c>
      <c r="Z2040" s="753">
        <v>39505</v>
      </c>
      <c r="AA2040" s="256">
        <v>42814</v>
      </c>
      <c r="AB2040" s="250" t="s">
        <v>6419</v>
      </c>
      <c r="AC2040" s="1003"/>
      <c r="AD2040" s="1003"/>
      <c r="AE2040" s="1003"/>
      <c r="AF2040" s="745"/>
      <c r="AG2040" s="251" t="s">
        <v>283</v>
      </c>
    </row>
    <row r="2041" spans="1:33" ht="15.75" customHeight="1">
      <c r="A2041" s="743">
        <v>42810</v>
      </c>
      <c r="B2041" s="970" t="s">
        <v>100</v>
      </c>
      <c r="C2041" s="744" t="s">
        <v>6414</v>
      </c>
      <c r="D2041" s="250" t="s">
        <v>6415</v>
      </c>
      <c r="E2041" s="250" t="s">
        <v>6420</v>
      </c>
      <c r="F2041" s="305">
        <v>4</v>
      </c>
      <c r="G2041" s="323">
        <v>39</v>
      </c>
      <c r="H2041" s="265">
        <f t="shared" si="167"/>
        <v>156</v>
      </c>
      <c r="I2041" s="264" t="s">
        <v>3315</v>
      </c>
      <c r="J2041" s="361" t="s">
        <v>3578</v>
      </c>
      <c r="K2041" s="256">
        <v>42824</v>
      </c>
      <c r="L2041" s="256"/>
      <c r="M2041" s="256">
        <v>42816</v>
      </c>
      <c r="N2041" s="251" t="s">
        <v>2124</v>
      </c>
      <c r="O2041" s="744" t="s">
        <v>6421</v>
      </c>
      <c r="P2041" s="337"/>
      <c r="Q2041" s="630" t="s">
        <v>6422</v>
      </c>
      <c r="R2041" s="1415"/>
      <c r="S2041" s="1415"/>
      <c r="U2041" s="251"/>
      <c r="V2041" s="308" t="s">
        <v>2126</v>
      </c>
      <c r="W2041" s="789">
        <v>42814</v>
      </c>
      <c r="X2041" s="750">
        <v>42815</v>
      </c>
      <c r="Y2041" s="250" t="s">
        <v>6423</v>
      </c>
      <c r="Z2041" s="753">
        <v>3037</v>
      </c>
      <c r="AA2041" s="256">
        <v>42814</v>
      </c>
      <c r="AB2041" s="250" t="s">
        <v>6419</v>
      </c>
      <c r="AC2041" s="1003"/>
      <c r="AD2041" s="1003"/>
      <c r="AE2041" s="1003"/>
      <c r="AF2041" s="745"/>
      <c r="AG2041" s="251" t="s">
        <v>283</v>
      </c>
    </row>
    <row r="2042" spans="1:33" ht="15.75" customHeight="1">
      <c r="A2042" s="755">
        <v>42810</v>
      </c>
      <c r="B2042" s="590" t="s">
        <v>5981</v>
      </c>
      <c r="C2042" s="250">
        <v>7000128299</v>
      </c>
      <c r="D2042" s="250" t="s">
        <v>6424</v>
      </c>
      <c r="E2042" s="250" t="s">
        <v>6425</v>
      </c>
      <c r="F2042" s="305">
        <v>1</v>
      </c>
      <c r="G2042" s="323">
        <v>108</v>
      </c>
      <c r="H2042" s="265">
        <f t="shared" si="167"/>
        <v>108</v>
      </c>
      <c r="I2042" s="264" t="s">
        <v>6426</v>
      </c>
      <c r="J2042" s="756" t="s">
        <v>3462</v>
      </c>
      <c r="K2042" s="256">
        <v>42814</v>
      </c>
      <c r="L2042" s="256"/>
      <c r="M2042" s="256">
        <v>42811</v>
      </c>
      <c r="N2042" s="264" t="s">
        <v>3432</v>
      </c>
      <c r="O2042" s="744" t="s">
        <v>6427</v>
      </c>
      <c r="P2042" s="337"/>
      <c r="Q2042" s="630">
        <v>3096</v>
      </c>
      <c r="R2042" s="1415"/>
      <c r="S2042" s="1415"/>
      <c r="U2042" s="251"/>
      <c r="V2042" s="308" t="s">
        <v>2045</v>
      </c>
      <c r="W2042" s="789">
        <v>42891</v>
      </c>
      <c r="X2042" s="748">
        <v>42810</v>
      </c>
      <c r="Y2042" s="744" t="s">
        <v>6428</v>
      </c>
      <c r="Z2042" s="749">
        <v>3096</v>
      </c>
      <c r="AA2042" s="256">
        <v>42891</v>
      </c>
      <c r="AB2042" s="250" t="s">
        <v>6429</v>
      </c>
      <c r="AC2042" s="1003"/>
      <c r="AD2042" s="1003"/>
      <c r="AE2042" s="1003"/>
      <c r="AF2042" s="745"/>
      <c r="AG2042" s="251" t="s">
        <v>283</v>
      </c>
    </row>
    <row r="2043" spans="1:33" ht="15.75" customHeight="1">
      <c r="A2043" s="755">
        <v>42811</v>
      </c>
      <c r="B2043" s="592" t="s">
        <v>6060</v>
      </c>
      <c r="C2043" s="744" t="s">
        <v>6430</v>
      </c>
      <c r="D2043" s="744" t="s">
        <v>6431</v>
      </c>
      <c r="E2043" s="744" t="s">
        <v>6432</v>
      </c>
      <c r="F2043" s="305">
        <v>4</v>
      </c>
      <c r="G2043" s="323">
        <v>58</v>
      </c>
      <c r="H2043" s="574">
        <f t="shared" si="167"/>
        <v>232</v>
      </c>
      <c r="I2043" s="264" t="s">
        <v>42</v>
      </c>
      <c r="J2043" s="401" t="s">
        <v>6433</v>
      </c>
      <c r="K2043" s="256">
        <v>42832</v>
      </c>
      <c r="L2043" s="256"/>
      <c r="M2043" s="256">
        <v>42831</v>
      </c>
      <c r="N2043" s="251" t="s">
        <v>89</v>
      </c>
      <c r="O2043" s="250" t="s">
        <v>6434</v>
      </c>
      <c r="P2043" s="574">
        <v>218.4</v>
      </c>
      <c r="Q2043" s="795"/>
      <c r="R2043" s="1435"/>
      <c r="S2043" s="1435"/>
      <c r="U2043" s="251"/>
      <c r="V2043" s="318" t="s">
        <v>5896</v>
      </c>
      <c r="W2043" s="789">
        <v>42886</v>
      </c>
      <c r="X2043" s="750">
        <v>42831</v>
      </c>
      <c r="Y2043" s="250" t="s">
        <v>6435</v>
      </c>
      <c r="Z2043" s="753">
        <v>29208</v>
      </c>
      <c r="AA2043" s="594">
        <v>42849</v>
      </c>
      <c r="AB2043" s="250" t="s">
        <v>6436</v>
      </c>
      <c r="AC2043" s="1003"/>
      <c r="AD2043" s="1003"/>
      <c r="AE2043" s="1003"/>
      <c r="AF2043" s="745"/>
      <c r="AG2043" s="251" t="s">
        <v>283</v>
      </c>
    </row>
    <row r="2044" spans="1:33" ht="15.75" customHeight="1">
      <c r="A2044" s="755">
        <v>42811</v>
      </c>
      <c r="B2044" s="592" t="s">
        <v>6060</v>
      </c>
      <c r="C2044" s="744" t="s">
        <v>6430</v>
      </c>
      <c r="D2044" s="744" t="s">
        <v>6431</v>
      </c>
      <c r="E2044" s="744" t="s">
        <v>6437</v>
      </c>
      <c r="F2044" s="305">
        <v>2</v>
      </c>
      <c r="G2044" s="323">
        <v>257</v>
      </c>
      <c r="H2044" s="574">
        <f t="shared" si="167"/>
        <v>514</v>
      </c>
      <c r="I2044" s="264" t="s">
        <v>42</v>
      </c>
      <c r="J2044" s="401" t="s">
        <v>6433</v>
      </c>
      <c r="K2044" s="256">
        <v>42832</v>
      </c>
      <c r="L2044" s="256"/>
      <c r="M2044" s="256">
        <v>42831</v>
      </c>
      <c r="N2044" s="251" t="s">
        <v>89</v>
      </c>
      <c r="O2044" s="250" t="s">
        <v>6434</v>
      </c>
      <c r="P2044" s="574">
        <v>501.9</v>
      </c>
      <c r="Q2044" s="795"/>
      <c r="R2044" s="1435"/>
      <c r="S2044" s="1435"/>
      <c r="U2044" s="251"/>
      <c r="V2044" s="318" t="s">
        <v>5896</v>
      </c>
      <c r="W2044" s="789">
        <v>42886</v>
      </c>
      <c r="X2044" s="750">
        <v>42831</v>
      </c>
      <c r="Y2044" s="250" t="s">
        <v>6435</v>
      </c>
      <c r="Z2044" s="753">
        <v>29208</v>
      </c>
      <c r="AA2044" s="594">
        <v>42849</v>
      </c>
      <c r="AB2044" s="250" t="s">
        <v>6436</v>
      </c>
      <c r="AC2044" s="1003"/>
      <c r="AD2044" s="1003"/>
      <c r="AE2044" s="1003"/>
      <c r="AF2044" s="745"/>
      <c r="AG2044" s="251" t="s">
        <v>283</v>
      </c>
    </row>
    <row r="2045" spans="1:33" ht="15.75" customHeight="1">
      <c r="A2045" s="755">
        <v>42811</v>
      </c>
      <c r="B2045" s="592" t="s">
        <v>6060</v>
      </c>
      <c r="C2045" s="744" t="s">
        <v>6430</v>
      </c>
      <c r="D2045" s="744" t="s">
        <v>6431</v>
      </c>
      <c r="E2045" s="744" t="s">
        <v>3360</v>
      </c>
      <c r="F2045" s="305">
        <v>1</v>
      </c>
      <c r="G2045" s="323">
        <v>244</v>
      </c>
      <c r="H2045" s="574">
        <f t="shared" si="167"/>
        <v>244</v>
      </c>
      <c r="I2045" s="264" t="s">
        <v>42</v>
      </c>
      <c r="J2045" s="401" t="s">
        <v>6433</v>
      </c>
      <c r="K2045" s="256">
        <v>42832</v>
      </c>
      <c r="L2045" s="256"/>
      <c r="M2045" s="256">
        <v>42831</v>
      </c>
      <c r="N2045" s="251" t="s">
        <v>89</v>
      </c>
      <c r="O2045" s="250" t="s">
        <v>6434</v>
      </c>
      <c r="P2045" s="574">
        <v>239.4</v>
      </c>
      <c r="Q2045" s="795"/>
      <c r="R2045" s="1435"/>
      <c r="S2045" s="1435"/>
      <c r="U2045" s="251"/>
      <c r="V2045" s="318" t="s">
        <v>5896</v>
      </c>
      <c r="W2045" s="789">
        <v>42886</v>
      </c>
      <c r="X2045" s="750">
        <v>42831</v>
      </c>
      <c r="Y2045" s="250" t="s">
        <v>6435</v>
      </c>
      <c r="Z2045" s="753">
        <v>29208</v>
      </c>
      <c r="AA2045" s="594">
        <v>42849</v>
      </c>
      <c r="AB2045" s="250" t="s">
        <v>6436</v>
      </c>
      <c r="AC2045" s="1003"/>
      <c r="AD2045" s="1003"/>
      <c r="AE2045" s="1003"/>
      <c r="AF2045" s="745"/>
      <c r="AG2045" s="251" t="s">
        <v>283</v>
      </c>
    </row>
    <row r="2046" spans="1:33" ht="15.75" customHeight="1">
      <c r="A2046" s="743">
        <v>42813</v>
      </c>
      <c r="B2046" s="970" t="s">
        <v>76</v>
      </c>
      <c r="C2046" s="744" t="s">
        <v>6438</v>
      </c>
      <c r="D2046" s="744" t="s">
        <v>6439</v>
      </c>
      <c r="E2046" s="744" t="s">
        <v>5994</v>
      </c>
      <c r="F2046" s="305">
        <v>90</v>
      </c>
      <c r="G2046" s="252">
        <v>2</v>
      </c>
      <c r="H2046" s="265">
        <f t="shared" si="167"/>
        <v>180</v>
      </c>
      <c r="I2046" s="264" t="s">
        <v>170</v>
      </c>
      <c r="J2046" s="367" t="s">
        <v>6440</v>
      </c>
      <c r="K2046" s="256">
        <v>42842</v>
      </c>
      <c r="L2046" s="256"/>
      <c r="M2046" s="256">
        <v>42838</v>
      </c>
      <c r="N2046" s="254" t="s">
        <v>2006</v>
      </c>
      <c r="O2046" s="250" t="s">
        <v>6441</v>
      </c>
      <c r="P2046" s="337"/>
      <c r="Q2046" s="630">
        <v>2646</v>
      </c>
      <c r="R2046" s="1415"/>
      <c r="S2046" s="1415"/>
      <c r="U2046" s="251"/>
      <c r="V2046" s="744" t="s">
        <v>2146</v>
      </c>
      <c r="W2046" s="789">
        <v>42848</v>
      </c>
      <c r="X2046" s="748">
        <v>42836</v>
      </c>
      <c r="Y2046" s="744" t="s">
        <v>6442</v>
      </c>
      <c r="Z2046" s="749">
        <v>10868</v>
      </c>
      <c r="AA2046" s="256">
        <v>42849</v>
      </c>
      <c r="AB2046" s="250" t="s">
        <v>6443</v>
      </c>
      <c r="AC2046" s="1003"/>
      <c r="AD2046" s="1003"/>
      <c r="AE2046" s="1003"/>
      <c r="AF2046" s="745"/>
      <c r="AG2046" s="251" t="s">
        <v>283</v>
      </c>
    </row>
    <row r="2047" spans="1:33" ht="15.75" customHeight="1">
      <c r="A2047" s="743">
        <v>42813</v>
      </c>
      <c r="B2047" s="970" t="s">
        <v>76</v>
      </c>
      <c r="C2047" s="744" t="s">
        <v>6438</v>
      </c>
      <c r="D2047" s="744" t="s">
        <v>6439</v>
      </c>
      <c r="E2047" s="744" t="s">
        <v>5997</v>
      </c>
      <c r="F2047" s="1007">
        <v>90</v>
      </c>
      <c r="G2047" s="323">
        <v>6</v>
      </c>
      <c r="H2047" s="265">
        <f t="shared" si="167"/>
        <v>540</v>
      </c>
      <c r="I2047" s="264" t="s">
        <v>170</v>
      </c>
      <c r="J2047" s="367" t="s">
        <v>6440</v>
      </c>
      <c r="K2047" s="256">
        <v>42842</v>
      </c>
      <c r="L2047" s="256"/>
      <c r="M2047" s="256">
        <v>42838</v>
      </c>
      <c r="N2047" s="254" t="s">
        <v>2006</v>
      </c>
      <c r="O2047" s="250" t="s">
        <v>6441</v>
      </c>
      <c r="P2047" s="337"/>
      <c r="Q2047" s="630">
        <v>8222</v>
      </c>
      <c r="R2047" s="1415"/>
      <c r="S2047" s="1415"/>
      <c r="U2047" s="251"/>
      <c r="V2047" s="970" t="s">
        <v>2146</v>
      </c>
      <c r="W2047" s="789">
        <v>42848</v>
      </c>
      <c r="X2047" s="748">
        <v>42836</v>
      </c>
      <c r="Y2047" s="744" t="s">
        <v>6442</v>
      </c>
      <c r="Z2047" s="744" t="s">
        <v>6444</v>
      </c>
      <c r="AA2047" s="256">
        <v>42849</v>
      </c>
      <c r="AB2047" s="250" t="s">
        <v>6443</v>
      </c>
      <c r="AC2047" s="1003"/>
      <c r="AD2047" s="1003"/>
      <c r="AE2047" s="1003"/>
      <c r="AF2047" s="745"/>
      <c r="AG2047" s="251" t="s">
        <v>283</v>
      </c>
    </row>
    <row r="2048" spans="1:33" ht="15.75" customHeight="1">
      <c r="A2048" s="743">
        <v>42813</v>
      </c>
      <c r="B2048" s="970" t="s">
        <v>76</v>
      </c>
      <c r="C2048" s="744" t="s">
        <v>6438</v>
      </c>
      <c r="D2048" s="744" t="s">
        <v>6439</v>
      </c>
      <c r="E2048" s="744" t="s">
        <v>6445</v>
      </c>
      <c r="F2048" s="264">
        <v>30</v>
      </c>
      <c r="G2048" s="265">
        <v>90</v>
      </c>
      <c r="H2048" s="265">
        <f t="shared" si="167"/>
        <v>2700</v>
      </c>
      <c r="I2048" s="264" t="s">
        <v>170</v>
      </c>
      <c r="J2048" s="367" t="s">
        <v>6440</v>
      </c>
      <c r="K2048" s="256">
        <v>42842</v>
      </c>
      <c r="L2048" s="256"/>
      <c r="M2048" s="256">
        <v>42836</v>
      </c>
      <c r="N2048" s="401" t="s">
        <v>3330</v>
      </c>
      <c r="O2048" s="250" t="s">
        <v>6446</v>
      </c>
      <c r="P2048" s="574"/>
      <c r="Q2048" s="572">
        <v>77188</v>
      </c>
      <c r="R2048" s="1413"/>
      <c r="S2048" s="1413"/>
      <c r="U2048" s="251"/>
      <c r="V2048" s="597" t="s">
        <v>6447</v>
      </c>
      <c r="W2048" s="789">
        <v>42866</v>
      </c>
      <c r="X2048" s="748">
        <v>42836</v>
      </c>
      <c r="Y2048" s="744" t="s">
        <v>6448</v>
      </c>
      <c r="Z2048" s="749">
        <v>77188</v>
      </c>
      <c r="AA2048" s="594">
        <v>42849</v>
      </c>
      <c r="AB2048" s="250" t="s">
        <v>6443</v>
      </c>
      <c r="AC2048" s="1003"/>
      <c r="AD2048" s="1003"/>
      <c r="AE2048" s="1003"/>
      <c r="AF2048" s="745"/>
      <c r="AG2048" s="251" t="s">
        <v>283</v>
      </c>
    </row>
    <row r="2049" spans="1:33" ht="15.75" customHeight="1">
      <c r="A2049" s="743">
        <v>42813</v>
      </c>
      <c r="B2049" s="970" t="s">
        <v>76</v>
      </c>
      <c r="C2049" s="744" t="s">
        <v>6438</v>
      </c>
      <c r="D2049" s="744" t="s">
        <v>6439</v>
      </c>
      <c r="E2049" s="744" t="s">
        <v>6449</v>
      </c>
      <c r="F2049" s="251">
        <v>50</v>
      </c>
      <c r="G2049" s="772">
        <v>2.25</v>
      </c>
      <c r="H2049" s="265">
        <f t="shared" si="167"/>
        <v>112.5</v>
      </c>
      <c r="I2049" s="264" t="s">
        <v>170</v>
      </c>
      <c r="J2049" s="367" t="s">
        <v>6440</v>
      </c>
      <c r="K2049" s="256">
        <v>42842</v>
      </c>
      <c r="L2049" s="256"/>
      <c r="M2049" s="256">
        <v>42836</v>
      </c>
      <c r="N2049" s="254" t="s">
        <v>3608</v>
      </c>
      <c r="O2049" s="250" t="s">
        <v>6450</v>
      </c>
      <c r="P2049" s="337"/>
      <c r="Q2049" s="795"/>
      <c r="R2049" s="1435"/>
      <c r="S2049" s="1435"/>
      <c r="U2049" s="250"/>
      <c r="V2049" s="386" t="s">
        <v>2093</v>
      </c>
      <c r="W2049" s="574" t="s">
        <v>6451</v>
      </c>
      <c r="X2049" s="748"/>
      <c r="Y2049" s="744"/>
      <c r="Z2049" s="744"/>
      <c r="AA2049" s="251"/>
      <c r="AB2049" s="250" t="s">
        <v>6443</v>
      </c>
      <c r="AC2049" s="1003"/>
      <c r="AD2049" s="1003"/>
      <c r="AE2049" s="1003"/>
      <c r="AF2049" s="745"/>
      <c r="AG2049" s="251" t="s">
        <v>283</v>
      </c>
    </row>
    <row r="2050" spans="1:33" ht="15.75" customHeight="1">
      <c r="A2050" s="743">
        <v>42813</v>
      </c>
      <c r="B2050" s="970" t="s">
        <v>76</v>
      </c>
      <c r="C2050" s="744" t="s">
        <v>6438</v>
      </c>
      <c r="D2050" s="744" t="s">
        <v>6439</v>
      </c>
      <c r="E2050" s="744" t="s">
        <v>6452</v>
      </c>
      <c r="F2050" s="305">
        <v>50</v>
      </c>
      <c r="G2050" s="323">
        <v>3</v>
      </c>
      <c r="H2050" s="265">
        <f t="shared" si="167"/>
        <v>150</v>
      </c>
      <c r="I2050" s="264" t="s">
        <v>170</v>
      </c>
      <c r="J2050" s="367" t="s">
        <v>6440</v>
      </c>
      <c r="K2050" s="256">
        <v>42842</v>
      </c>
      <c r="L2050" s="256"/>
      <c r="M2050" s="256">
        <v>42836</v>
      </c>
      <c r="N2050" s="264" t="s">
        <v>3608</v>
      </c>
      <c r="O2050" s="250" t="s">
        <v>6453</v>
      </c>
      <c r="P2050" s="337"/>
      <c r="Q2050" s="795"/>
      <c r="R2050" s="1435"/>
      <c r="S2050" s="1435"/>
      <c r="U2050" s="250"/>
      <c r="V2050" s="328" t="s">
        <v>2093</v>
      </c>
      <c r="W2050" s="574" t="s">
        <v>6451</v>
      </c>
      <c r="X2050" s="744"/>
      <c r="Y2050" s="744"/>
      <c r="Z2050" s="744"/>
      <c r="AA2050" s="251"/>
      <c r="AB2050" s="250" t="s">
        <v>6443</v>
      </c>
      <c r="AC2050" s="1003"/>
      <c r="AD2050" s="1003"/>
      <c r="AE2050" s="1003"/>
      <c r="AF2050" s="745"/>
      <c r="AG2050" s="251" t="s">
        <v>283</v>
      </c>
    </row>
    <row r="2051" spans="1:33" ht="15.75" customHeight="1">
      <c r="A2051" s="743">
        <v>42813</v>
      </c>
      <c r="B2051" s="970" t="s">
        <v>76</v>
      </c>
      <c r="C2051" s="744" t="s">
        <v>6438</v>
      </c>
      <c r="D2051" s="744" t="s">
        <v>6439</v>
      </c>
      <c r="E2051" s="744" t="s">
        <v>361</v>
      </c>
      <c r="F2051" s="305">
        <v>100</v>
      </c>
      <c r="G2051" s="323">
        <v>20</v>
      </c>
      <c r="H2051" s="265">
        <f t="shared" si="167"/>
        <v>2000</v>
      </c>
      <c r="I2051" s="264" t="s">
        <v>170</v>
      </c>
      <c r="J2051" s="367" t="s">
        <v>6440</v>
      </c>
      <c r="K2051" s="256">
        <v>42842</v>
      </c>
      <c r="L2051" s="256"/>
      <c r="M2051" s="256">
        <v>42836</v>
      </c>
      <c r="N2051" s="401" t="s">
        <v>6101</v>
      </c>
      <c r="O2051" s="250" t="s">
        <v>6454</v>
      </c>
      <c r="P2051" s="265">
        <v>1827</v>
      </c>
      <c r="Q2051" s="795"/>
      <c r="R2051" s="1435"/>
      <c r="S2051" s="1435"/>
      <c r="U2051" s="251"/>
      <c r="V2051" s="386" t="s">
        <v>2010</v>
      </c>
      <c r="W2051" s="789">
        <v>42849</v>
      </c>
      <c r="X2051" s="748">
        <v>42835</v>
      </c>
      <c r="Y2051" s="744" t="s">
        <v>6455</v>
      </c>
      <c r="Z2051" s="749">
        <v>55924</v>
      </c>
      <c r="AA2051" s="594">
        <v>42850</v>
      </c>
      <c r="AB2051" s="250" t="s">
        <v>6443</v>
      </c>
      <c r="AC2051" s="1003"/>
      <c r="AD2051" s="1003"/>
      <c r="AE2051" s="1003"/>
      <c r="AF2051" s="745"/>
      <c r="AG2051" s="251" t="s">
        <v>283</v>
      </c>
    </row>
    <row r="2052" spans="1:33" ht="15.75" customHeight="1">
      <c r="A2052" s="743">
        <v>42814</v>
      </c>
      <c r="B2052" s="970" t="s">
        <v>100</v>
      </c>
      <c r="C2052" s="744" t="s">
        <v>6456</v>
      </c>
      <c r="D2052" s="744" t="s">
        <v>6457</v>
      </c>
      <c r="E2052" s="744" t="s">
        <v>6458</v>
      </c>
      <c r="F2052" s="305">
        <v>10</v>
      </c>
      <c r="G2052" s="323">
        <v>417</v>
      </c>
      <c r="H2052" s="265">
        <f t="shared" si="167"/>
        <v>4170</v>
      </c>
      <c r="I2052" s="264" t="s">
        <v>3315</v>
      </c>
      <c r="J2052" s="367" t="s">
        <v>3578</v>
      </c>
      <c r="K2052" s="256">
        <v>42824</v>
      </c>
      <c r="L2052" s="256"/>
      <c r="M2052" s="256">
        <v>42823</v>
      </c>
      <c r="N2052" s="331" t="s">
        <v>2001</v>
      </c>
      <c r="O2052" s="250" t="s">
        <v>6459</v>
      </c>
      <c r="P2052" s="265">
        <v>3948</v>
      </c>
      <c r="Q2052" s="795"/>
      <c r="R2052" s="1435"/>
      <c r="S2052" s="1435"/>
      <c r="U2052" s="251"/>
      <c r="V2052" s="744" t="s">
        <v>2003</v>
      </c>
      <c r="W2052" s="789">
        <v>42891</v>
      </c>
      <c r="X2052" s="748">
        <v>42822</v>
      </c>
      <c r="Y2052" s="744" t="s">
        <v>6460</v>
      </c>
      <c r="Z2052" s="749">
        <v>119111</v>
      </c>
      <c r="AA2052" s="256">
        <v>42891</v>
      </c>
      <c r="AB2052" s="250" t="s">
        <v>6419</v>
      </c>
      <c r="AC2052" s="1003"/>
      <c r="AD2052" s="1003"/>
      <c r="AE2052" s="1003"/>
      <c r="AF2052" s="745"/>
      <c r="AG2052" s="251" t="s">
        <v>283</v>
      </c>
    </row>
    <row r="2053" spans="1:33" ht="15.75" customHeight="1">
      <c r="A2053" s="743">
        <v>42814</v>
      </c>
      <c r="B2053" s="970" t="s">
        <v>100</v>
      </c>
      <c r="C2053" s="744" t="s">
        <v>6456</v>
      </c>
      <c r="D2053" s="744" t="s">
        <v>6457</v>
      </c>
      <c r="E2053" s="744" t="s">
        <v>6461</v>
      </c>
      <c r="F2053" s="305">
        <v>7</v>
      </c>
      <c r="G2053" s="323">
        <v>155</v>
      </c>
      <c r="H2053" s="265">
        <f t="shared" si="167"/>
        <v>1085</v>
      </c>
      <c r="I2053" s="264" t="s">
        <v>3315</v>
      </c>
      <c r="J2053" s="367" t="s">
        <v>3578</v>
      </c>
      <c r="K2053" s="256">
        <v>42824</v>
      </c>
      <c r="L2053" s="256"/>
      <c r="M2053" s="256">
        <v>42823</v>
      </c>
      <c r="N2053" s="331" t="s">
        <v>3614</v>
      </c>
      <c r="O2053" s="250" t="s">
        <v>6462</v>
      </c>
      <c r="P2053" s="337"/>
      <c r="Q2053" s="630">
        <v>30870</v>
      </c>
      <c r="R2053" s="1415"/>
      <c r="S2053" s="1415"/>
      <c r="U2053" s="251"/>
      <c r="V2053" s="318" t="s">
        <v>6186</v>
      </c>
      <c r="W2053" s="789">
        <v>42860</v>
      </c>
      <c r="X2053" s="748">
        <v>42817</v>
      </c>
      <c r="Y2053" s="744" t="s">
        <v>6463</v>
      </c>
      <c r="Z2053" s="749">
        <v>30870</v>
      </c>
      <c r="AA2053" s="594">
        <v>42853</v>
      </c>
      <c r="AB2053" s="250" t="s">
        <v>6419</v>
      </c>
      <c r="AC2053" s="1003"/>
      <c r="AD2053" s="1003"/>
      <c r="AE2053" s="1003"/>
      <c r="AF2053" s="745"/>
      <c r="AG2053" s="251" t="s">
        <v>283</v>
      </c>
    </row>
    <row r="2054" spans="1:33" ht="15.75" customHeight="1">
      <c r="A2054" s="743">
        <v>42815</v>
      </c>
      <c r="B2054" s="970" t="s">
        <v>629</v>
      </c>
      <c r="C2054" s="744" t="s">
        <v>6464</v>
      </c>
      <c r="D2054" s="744" t="s">
        <v>6465</v>
      </c>
      <c r="E2054" s="744" t="s">
        <v>6466</v>
      </c>
      <c r="F2054" s="305">
        <v>5</v>
      </c>
      <c r="G2054" s="323">
        <v>185.85</v>
      </c>
      <c r="H2054" s="265">
        <f t="shared" si="167"/>
        <v>929.25</v>
      </c>
      <c r="I2054" s="264" t="s">
        <v>170</v>
      </c>
      <c r="J2054" s="251" t="s">
        <v>89</v>
      </c>
      <c r="K2054" s="256">
        <v>42842</v>
      </c>
      <c r="L2054" s="256"/>
      <c r="M2054" s="256">
        <v>42842</v>
      </c>
      <c r="N2054" s="585" t="s">
        <v>89</v>
      </c>
      <c r="O2054" s="250" t="s">
        <v>6467</v>
      </c>
      <c r="P2054" s="574">
        <v>750.75</v>
      </c>
      <c r="Q2054" s="795"/>
      <c r="R2054" s="1435"/>
      <c r="S2054" s="1435"/>
      <c r="U2054" s="744"/>
      <c r="V2054" s="318" t="s">
        <v>5896</v>
      </c>
      <c r="W2054" s="789">
        <v>42860</v>
      </c>
      <c r="X2054" s="750">
        <v>42842</v>
      </c>
      <c r="Y2054" s="250" t="s">
        <v>6468</v>
      </c>
      <c r="Z2054" s="753">
        <v>34241</v>
      </c>
      <c r="AA2054" s="594">
        <v>42860</v>
      </c>
      <c r="AB2054" s="744" t="s">
        <v>6323</v>
      </c>
      <c r="AC2054" s="1003"/>
      <c r="AD2054" s="744" t="s">
        <v>6324</v>
      </c>
      <c r="AE2054" s="251" t="s">
        <v>6469</v>
      </c>
      <c r="AF2054" s="744" t="s">
        <v>6325</v>
      </c>
      <c r="AG2054" s="251" t="s">
        <v>376</v>
      </c>
    </row>
    <row r="2055" spans="1:33" ht="15.75" customHeight="1">
      <c r="A2055" s="743">
        <v>42815</v>
      </c>
      <c r="B2055" s="970" t="s">
        <v>629</v>
      </c>
      <c r="C2055" s="744" t="s">
        <v>6464</v>
      </c>
      <c r="D2055" s="744" t="s">
        <v>6465</v>
      </c>
      <c r="E2055" s="744" t="s">
        <v>6470</v>
      </c>
      <c r="F2055" s="305">
        <v>5</v>
      </c>
      <c r="G2055" s="323">
        <v>86.1</v>
      </c>
      <c r="H2055" s="265">
        <f t="shared" si="167"/>
        <v>430.5</v>
      </c>
      <c r="I2055" s="264" t="s">
        <v>170</v>
      </c>
      <c r="J2055" s="251" t="s">
        <v>89</v>
      </c>
      <c r="K2055" s="256">
        <v>42842</v>
      </c>
      <c r="L2055" s="256"/>
      <c r="M2055" s="256">
        <v>42842</v>
      </c>
      <c r="N2055" s="251" t="s">
        <v>89</v>
      </c>
      <c r="O2055" s="250" t="s">
        <v>6467</v>
      </c>
      <c r="P2055" s="574">
        <v>378</v>
      </c>
      <c r="Q2055" s="795"/>
      <c r="R2055" s="1435"/>
      <c r="S2055" s="1435"/>
      <c r="U2055" s="744"/>
      <c r="V2055" s="318" t="s">
        <v>5896</v>
      </c>
      <c r="W2055" s="789">
        <v>42860</v>
      </c>
      <c r="X2055" s="750">
        <v>42842</v>
      </c>
      <c r="Y2055" s="250" t="s">
        <v>6468</v>
      </c>
      <c r="Z2055" s="250" t="s">
        <v>6471</v>
      </c>
      <c r="AA2055" s="594">
        <v>42860</v>
      </c>
      <c r="AB2055" s="744" t="s">
        <v>6323</v>
      </c>
      <c r="AC2055" s="1003"/>
      <c r="AD2055" s="744" t="s">
        <v>6324</v>
      </c>
      <c r="AE2055" s="251" t="s">
        <v>6469</v>
      </c>
      <c r="AF2055" s="744" t="s">
        <v>6325</v>
      </c>
      <c r="AG2055" s="251" t="s">
        <v>376</v>
      </c>
    </row>
    <row r="2056" spans="1:33" ht="15.75" customHeight="1">
      <c r="A2056" s="743">
        <v>42815</v>
      </c>
      <c r="B2056" s="970" t="s">
        <v>100</v>
      </c>
      <c r="C2056" s="744" t="s">
        <v>6472</v>
      </c>
      <c r="D2056" s="744" t="s">
        <v>6473</v>
      </c>
      <c r="E2056" s="744" t="s">
        <v>6474</v>
      </c>
      <c r="F2056" s="305">
        <v>3</v>
      </c>
      <c r="G2056" s="323">
        <v>550</v>
      </c>
      <c r="H2056" s="265">
        <f t="shared" si="167"/>
        <v>1650</v>
      </c>
      <c r="I2056" s="264" t="s">
        <v>3315</v>
      </c>
      <c r="J2056" s="367" t="s">
        <v>3578</v>
      </c>
      <c r="K2056" s="256">
        <v>42832</v>
      </c>
      <c r="L2056" s="256"/>
      <c r="M2056" s="256">
        <v>42831</v>
      </c>
      <c r="N2056" s="401" t="s">
        <v>1995</v>
      </c>
      <c r="O2056" s="250" t="s">
        <v>6475</v>
      </c>
      <c r="P2056" s="337"/>
      <c r="Q2056" s="630">
        <v>47559</v>
      </c>
      <c r="R2056" s="1415"/>
      <c r="S2056" s="1415"/>
      <c r="U2056" s="251"/>
      <c r="V2056" s="338" t="s">
        <v>1997</v>
      </c>
      <c r="W2056" s="789">
        <v>42821</v>
      </c>
      <c r="X2056" s="748">
        <v>42831</v>
      </c>
      <c r="Y2056" s="744" t="s">
        <v>6476</v>
      </c>
      <c r="Z2056" s="749">
        <v>59664</v>
      </c>
      <c r="AA2056" s="256">
        <v>42821</v>
      </c>
      <c r="AB2056" s="250" t="s">
        <v>6477</v>
      </c>
      <c r="AC2056" s="1003"/>
      <c r="AD2056" s="1003"/>
      <c r="AE2056" s="1003"/>
      <c r="AF2056" s="745"/>
      <c r="AG2056" s="251" t="s">
        <v>283</v>
      </c>
    </row>
    <row r="2057" spans="1:33" ht="15.75" customHeight="1">
      <c r="A2057" s="743">
        <v>42815</v>
      </c>
      <c r="B2057" s="970" t="s">
        <v>100</v>
      </c>
      <c r="C2057" s="744" t="s">
        <v>6472</v>
      </c>
      <c r="D2057" s="744" t="s">
        <v>6473</v>
      </c>
      <c r="E2057" s="744" t="s">
        <v>6478</v>
      </c>
      <c r="F2057" s="305">
        <v>3</v>
      </c>
      <c r="G2057" s="252">
        <v>78</v>
      </c>
      <c r="H2057" s="265">
        <f t="shared" si="167"/>
        <v>234</v>
      </c>
      <c r="I2057" s="264" t="s">
        <v>3315</v>
      </c>
      <c r="J2057" s="367" t="s">
        <v>3578</v>
      </c>
      <c r="K2057" s="256">
        <v>42832</v>
      </c>
      <c r="L2057" s="256"/>
      <c r="M2057" s="256">
        <v>42831</v>
      </c>
      <c r="N2057" s="331" t="s">
        <v>1995</v>
      </c>
      <c r="O2057" s="250" t="s">
        <v>6475</v>
      </c>
      <c r="P2057" s="337"/>
      <c r="Q2057" s="630">
        <v>6725</v>
      </c>
      <c r="R2057" s="1415"/>
      <c r="S2057" s="1415"/>
      <c r="U2057" s="251"/>
      <c r="V2057" s="338" t="s">
        <v>1997</v>
      </c>
      <c r="W2057" s="789">
        <v>42821</v>
      </c>
      <c r="X2057" s="748">
        <v>42831</v>
      </c>
      <c r="Y2057" s="744" t="s">
        <v>6476</v>
      </c>
      <c r="Z2057" s="749">
        <v>59664</v>
      </c>
      <c r="AA2057" s="256">
        <v>42821</v>
      </c>
      <c r="AB2057" s="250" t="s">
        <v>6477</v>
      </c>
      <c r="AC2057" s="1003"/>
      <c r="AD2057" s="1003"/>
      <c r="AE2057" s="1003"/>
      <c r="AF2057" s="745"/>
      <c r="AG2057" s="251" t="s">
        <v>283</v>
      </c>
    </row>
    <row r="2058" spans="1:33" ht="15.75" customHeight="1">
      <c r="A2058" s="743">
        <v>42815</v>
      </c>
      <c r="B2058" s="970" t="s">
        <v>100</v>
      </c>
      <c r="C2058" s="744" t="s">
        <v>6472</v>
      </c>
      <c r="D2058" s="744" t="s">
        <v>6479</v>
      </c>
      <c r="E2058" s="744" t="s">
        <v>6480</v>
      </c>
      <c r="F2058" s="305">
        <v>3</v>
      </c>
      <c r="G2058" s="252">
        <v>31</v>
      </c>
      <c r="H2058" s="265">
        <f t="shared" si="167"/>
        <v>93</v>
      </c>
      <c r="I2058" s="264" t="s">
        <v>3315</v>
      </c>
      <c r="J2058" s="367" t="s">
        <v>3578</v>
      </c>
      <c r="K2058" s="256">
        <v>42832</v>
      </c>
      <c r="L2058" s="256"/>
      <c r="M2058" s="256">
        <v>42831</v>
      </c>
      <c r="N2058" s="331" t="s">
        <v>1995</v>
      </c>
      <c r="O2058" s="250" t="s">
        <v>6475</v>
      </c>
      <c r="P2058" s="337"/>
      <c r="Q2058" s="630">
        <v>2690</v>
      </c>
      <c r="R2058" s="1415"/>
      <c r="S2058" s="1415"/>
      <c r="U2058" s="251"/>
      <c r="V2058" s="338" t="s">
        <v>1997</v>
      </c>
      <c r="W2058" s="789">
        <v>42821</v>
      </c>
      <c r="X2058" s="748">
        <v>42831</v>
      </c>
      <c r="Y2058" s="744" t="s">
        <v>6476</v>
      </c>
      <c r="Z2058" s="749">
        <v>59664</v>
      </c>
      <c r="AA2058" s="256">
        <v>42821</v>
      </c>
      <c r="AB2058" s="250" t="s">
        <v>6477</v>
      </c>
      <c r="AC2058" s="1003"/>
      <c r="AD2058" s="1003"/>
      <c r="AE2058" s="1003"/>
      <c r="AF2058" s="745"/>
      <c r="AG2058" s="251" t="s">
        <v>283</v>
      </c>
    </row>
    <row r="2059" spans="1:33" ht="15.75" customHeight="1">
      <c r="A2059" s="743">
        <v>42815</v>
      </c>
      <c r="B2059" s="970" t="s">
        <v>100</v>
      </c>
      <c r="C2059" s="744" t="s">
        <v>6472</v>
      </c>
      <c r="D2059" s="744" t="s">
        <v>6479</v>
      </c>
      <c r="E2059" s="744" t="s">
        <v>6481</v>
      </c>
      <c r="F2059" s="305">
        <v>3</v>
      </c>
      <c r="G2059" s="252">
        <v>31</v>
      </c>
      <c r="H2059" s="265">
        <f t="shared" si="167"/>
        <v>93</v>
      </c>
      <c r="I2059" s="264" t="s">
        <v>3315</v>
      </c>
      <c r="J2059" s="367" t="s">
        <v>3578</v>
      </c>
      <c r="K2059" s="256">
        <v>42832</v>
      </c>
      <c r="L2059" s="256"/>
      <c r="M2059" s="256">
        <v>42831</v>
      </c>
      <c r="N2059" s="331" t="s">
        <v>1995</v>
      </c>
      <c r="O2059" s="250" t="s">
        <v>6475</v>
      </c>
      <c r="P2059" s="337"/>
      <c r="Q2059" s="630">
        <v>2690</v>
      </c>
      <c r="R2059" s="1415"/>
      <c r="S2059" s="1415"/>
      <c r="U2059" s="744"/>
      <c r="V2059" s="338" t="s">
        <v>1997</v>
      </c>
      <c r="W2059" s="789">
        <v>42821</v>
      </c>
      <c r="X2059" s="748">
        <v>42831</v>
      </c>
      <c r="Y2059" s="744" t="s">
        <v>6476</v>
      </c>
      <c r="Z2059" s="749">
        <v>59664</v>
      </c>
      <c r="AA2059" s="256">
        <v>42821</v>
      </c>
      <c r="AB2059" s="250" t="s">
        <v>6477</v>
      </c>
      <c r="AC2059" s="1003"/>
      <c r="AD2059" s="1003"/>
      <c r="AE2059" s="1003"/>
      <c r="AF2059" s="745"/>
      <c r="AG2059" s="251" t="s">
        <v>283</v>
      </c>
    </row>
    <row r="2060" spans="1:33" ht="15.75" customHeight="1">
      <c r="A2060" s="743">
        <v>42815</v>
      </c>
      <c r="B2060" s="970" t="s">
        <v>100</v>
      </c>
      <c r="C2060" s="744" t="s">
        <v>6472</v>
      </c>
      <c r="D2060" s="744" t="s">
        <v>6473</v>
      </c>
      <c r="E2060" s="744" t="s">
        <v>6482</v>
      </c>
      <c r="F2060" s="305">
        <v>3</v>
      </c>
      <c r="G2060" s="252">
        <v>352</v>
      </c>
      <c r="H2060" s="265">
        <f t="shared" si="167"/>
        <v>1056</v>
      </c>
      <c r="I2060" s="264" t="s">
        <v>3315</v>
      </c>
      <c r="J2060" s="367" t="s">
        <v>3578</v>
      </c>
      <c r="K2060" s="256">
        <v>42832</v>
      </c>
      <c r="L2060" s="256"/>
      <c r="M2060" s="256">
        <v>42822</v>
      </c>
      <c r="N2060" s="254" t="s">
        <v>2091</v>
      </c>
      <c r="O2060" s="250" t="s">
        <v>6483</v>
      </c>
      <c r="P2060" s="574">
        <v>897.75</v>
      </c>
      <c r="Q2060" s="795"/>
      <c r="R2060" s="1435"/>
      <c r="S2060" s="1435"/>
      <c r="U2060" s="251"/>
      <c r="V2060" s="318" t="s">
        <v>3754</v>
      </c>
      <c r="W2060" s="789">
        <v>42848</v>
      </c>
      <c r="X2060" s="748">
        <v>42818</v>
      </c>
      <c r="Y2060" s="744" t="s">
        <v>6484</v>
      </c>
      <c r="Z2060" s="749">
        <v>27370</v>
      </c>
      <c r="AA2060" s="256">
        <v>42842</v>
      </c>
      <c r="AB2060" s="250" t="s">
        <v>6477</v>
      </c>
      <c r="AC2060" s="1003"/>
      <c r="AD2060" s="1003"/>
      <c r="AE2060" s="1003"/>
      <c r="AF2060" s="745"/>
      <c r="AG2060" s="251" t="s">
        <v>283</v>
      </c>
    </row>
    <row r="2061" spans="1:33" ht="15.75" customHeight="1">
      <c r="A2061" s="743">
        <v>42815</v>
      </c>
      <c r="B2061" s="970" t="s">
        <v>100</v>
      </c>
      <c r="C2061" s="744" t="s">
        <v>6472</v>
      </c>
      <c r="D2061" s="744" t="s">
        <v>6473</v>
      </c>
      <c r="E2061" s="744" t="s">
        <v>6485</v>
      </c>
      <c r="F2061" s="305">
        <v>3</v>
      </c>
      <c r="G2061" s="252">
        <v>42</v>
      </c>
      <c r="H2061" s="265">
        <f t="shared" si="167"/>
        <v>126</v>
      </c>
      <c r="I2061" s="264" t="s">
        <v>3315</v>
      </c>
      <c r="J2061" s="367" t="s">
        <v>3578</v>
      </c>
      <c r="K2061" s="256">
        <v>42832</v>
      </c>
      <c r="L2061" s="256"/>
      <c r="M2061" s="256">
        <v>42822</v>
      </c>
      <c r="N2061" s="254" t="s">
        <v>2124</v>
      </c>
      <c r="O2061" s="250" t="s">
        <v>6486</v>
      </c>
      <c r="P2061" s="337"/>
      <c r="Q2061" s="630">
        <v>3204</v>
      </c>
      <c r="R2061" s="1415"/>
      <c r="S2061" s="1415"/>
      <c r="U2061" s="251"/>
      <c r="V2061" s="318" t="s">
        <v>2126</v>
      </c>
      <c r="W2061" s="789">
        <v>42817</v>
      </c>
      <c r="X2061" s="748">
        <v>42818</v>
      </c>
      <c r="Y2061" s="744" t="s">
        <v>6487</v>
      </c>
      <c r="Z2061" s="749">
        <v>3204</v>
      </c>
      <c r="AA2061" s="256">
        <v>42817</v>
      </c>
      <c r="AB2061" s="250" t="s">
        <v>6477</v>
      </c>
      <c r="AC2061" s="1003"/>
      <c r="AD2061" s="1003"/>
      <c r="AE2061" s="1003"/>
      <c r="AF2061" s="745"/>
      <c r="AG2061" s="251" t="s">
        <v>283</v>
      </c>
    </row>
    <row r="2062" spans="1:33" ht="15.75" customHeight="1">
      <c r="A2062" s="743">
        <v>42816</v>
      </c>
      <c r="B2062" s="970" t="s">
        <v>377</v>
      </c>
      <c r="C2062" s="744">
        <v>7978</v>
      </c>
      <c r="D2062" s="744" t="s">
        <v>6488</v>
      </c>
      <c r="E2062" s="744" t="s">
        <v>379</v>
      </c>
      <c r="F2062" s="305">
        <v>2</v>
      </c>
      <c r="G2062" s="252">
        <v>83</v>
      </c>
      <c r="H2062" s="265">
        <f t="shared" si="167"/>
        <v>166</v>
      </c>
      <c r="I2062" s="264" t="s">
        <v>3315</v>
      </c>
      <c r="J2062" s="367" t="s">
        <v>6489</v>
      </c>
      <c r="K2062" s="256">
        <v>42866</v>
      </c>
      <c r="L2062" s="256"/>
      <c r="M2062" s="256">
        <v>42844</v>
      </c>
      <c r="N2062" s="254" t="s">
        <v>2021</v>
      </c>
      <c r="O2062" s="744" t="s">
        <v>6490</v>
      </c>
      <c r="P2062" s="574">
        <v>147</v>
      </c>
      <c r="Q2062" s="630">
        <v>4492</v>
      </c>
      <c r="R2062" s="1415"/>
      <c r="S2062" s="1415"/>
      <c r="U2062" s="744"/>
      <c r="V2062" s="263" t="s">
        <v>2023</v>
      </c>
      <c r="W2062" s="574" t="s">
        <v>421</v>
      </c>
      <c r="X2062" s="748">
        <v>42843</v>
      </c>
      <c r="Y2062" s="744" t="s">
        <v>6491</v>
      </c>
      <c r="Z2062" s="749">
        <v>4492</v>
      </c>
      <c r="AA2062" s="594">
        <v>42839</v>
      </c>
      <c r="AB2062" s="250" t="s">
        <v>6492</v>
      </c>
      <c r="AC2062" s="251" t="s">
        <v>6493</v>
      </c>
      <c r="AD2062" s="1003"/>
      <c r="AE2062" s="1003"/>
      <c r="AF2062" s="745"/>
      <c r="AG2062" s="251" t="s">
        <v>283</v>
      </c>
    </row>
    <row r="2063" spans="1:33" ht="15.75" customHeight="1">
      <c r="A2063" s="743">
        <v>42816</v>
      </c>
      <c r="B2063" s="970" t="s">
        <v>377</v>
      </c>
      <c r="C2063" s="744">
        <v>7978</v>
      </c>
      <c r="D2063" s="744" t="s">
        <v>6488</v>
      </c>
      <c r="E2063" s="744" t="s">
        <v>692</v>
      </c>
      <c r="F2063" s="305">
        <v>1</v>
      </c>
      <c r="G2063" s="323">
        <v>25</v>
      </c>
      <c r="H2063" s="265">
        <f t="shared" si="167"/>
        <v>25</v>
      </c>
      <c r="I2063" s="264" t="s">
        <v>3315</v>
      </c>
      <c r="J2063" s="367" t="s">
        <v>6489</v>
      </c>
      <c r="K2063" s="256">
        <v>42866</v>
      </c>
      <c r="L2063" s="256"/>
      <c r="M2063" s="256">
        <v>42844</v>
      </c>
      <c r="N2063" s="585"/>
      <c r="O2063" s="251"/>
      <c r="P2063" s="337"/>
      <c r="Q2063" s="795"/>
      <c r="R2063" s="1435"/>
      <c r="S2063" s="1435"/>
      <c r="U2063" s="744"/>
      <c r="V2063" s="585"/>
      <c r="W2063" s="329"/>
      <c r="X2063" s="744"/>
      <c r="Y2063" s="744"/>
      <c r="Z2063" s="744"/>
      <c r="AA2063" s="251"/>
      <c r="AB2063" s="250" t="s">
        <v>6492</v>
      </c>
      <c r="AC2063" s="251"/>
      <c r="AD2063" s="1003"/>
      <c r="AE2063" s="1003"/>
      <c r="AF2063" s="745"/>
      <c r="AG2063" s="251" t="s">
        <v>283</v>
      </c>
    </row>
    <row r="2064" spans="1:33" ht="15.75" customHeight="1">
      <c r="A2064" s="743">
        <v>42817</v>
      </c>
      <c r="B2064" s="970" t="s">
        <v>76</v>
      </c>
      <c r="C2064" s="744" t="s">
        <v>6494</v>
      </c>
      <c r="D2064" s="744" t="s">
        <v>6495</v>
      </c>
      <c r="E2064" s="744" t="s">
        <v>6496</v>
      </c>
      <c r="F2064" s="305">
        <v>2</v>
      </c>
      <c r="G2064" s="323">
        <v>270</v>
      </c>
      <c r="H2064" s="574">
        <f t="shared" si="167"/>
        <v>540</v>
      </c>
      <c r="I2064" s="264" t="s">
        <v>42</v>
      </c>
      <c r="J2064" s="367" t="s">
        <v>6440</v>
      </c>
      <c r="K2064" s="256">
        <v>42842</v>
      </c>
      <c r="L2064" s="256"/>
      <c r="M2064" s="256">
        <v>42839</v>
      </c>
      <c r="N2064" s="331" t="s">
        <v>1967</v>
      </c>
      <c r="O2064" s="744" t="s">
        <v>6497</v>
      </c>
      <c r="P2064" s="574">
        <v>462</v>
      </c>
      <c r="Q2064" s="795"/>
      <c r="R2064" s="1435"/>
      <c r="S2064" s="1435"/>
      <c r="U2064" s="744"/>
      <c r="V2064" s="318" t="s">
        <v>1969</v>
      </c>
      <c r="W2064" s="789">
        <v>42891</v>
      </c>
      <c r="X2064" s="748">
        <v>42839</v>
      </c>
      <c r="Y2064" s="744" t="s">
        <v>6498</v>
      </c>
      <c r="Z2064" s="749">
        <v>14049</v>
      </c>
      <c r="AA2064" s="256">
        <v>42923</v>
      </c>
      <c r="AB2064" s="250" t="s">
        <v>6443</v>
      </c>
      <c r="AC2064" s="1003"/>
      <c r="AD2064" s="1003"/>
      <c r="AE2064" s="1003"/>
      <c r="AF2064" s="745"/>
      <c r="AG2064" s="251" t="s">
        <v>283</v>
      </c>
    </row>
    <row r="2065" spans="1:33" ht="15.75" customHeight="1">
      <c r="A2065" s="743">
        <v>42817</v>
      </c>
      <c r="B2065" s="970" t="s">
        <v>76</v>
      </c>
      <c r="C2065" s="744" t="s">
        <v>6499</v>
      </c>
      <c r="D2065" s="744" t="s">
        <v>6500</v>
      </c>
      <c r="E2065" s="744" t="s">
        <v>6501</v>
      </c>
      <c r="F2065" s="305">
        <v>3</v>
      </c>
      <c r="G2065" s="323">
        <v>282</v>
      </c>
      <c r="H2065" s="574">
        <f t="shared" si="167"/>
        <v>846</v>
      </c>
      <c r="I2065" s="264" t="s">
        <v>42</v>
      </c>
      <c r="J2065" s="367" t="s">
        <v>6440</v>
      </c>
      <c r="K2065" s="256">
        <v>42842</v>
      </c>
      <c r="L2065" s="256"/>
      <c r="M2065" s="256">
        <v>42831</v>
      </c>
      <c r="N2065" s="331" t="s">
        <v>1967</v>
      </c>
      <c r="O2065" s="744" t="s">
        <v>6497</v>
      </c>
      <c r="P2065" s="574">
        <v>756</v>
      </c>
      <c r="Q2065" s="795"/>
      <c r="R2065" s="1435"/>
      <c r="S2065" s="1435"/>
      <c r="U2065" s="744"/>
      <c r="V2065" s="318" t="s">
        <v>1969</v>
      </c>
      <c r="W2065" s="789">
        <v>42891</v>
      </c>
      <c r="X2065" s="748">
        <v>42831</v>
      </c>
      <c r="Y2065" s="744" t="s">
        <v>6502</v>
      </c>
      <c r="Z2065" s="749">
        <v>23028</v>
      </c>
      <c r="AA2065" s="256">
        <v>42923</v>
      </c>
      <c r="AB2065" s="250" t="s">
        <v>6443</v>
      </c>
      <c r="AC2065" s="1003"/>
      <c r="AD2065" s="1003"/>
      <c r="AE2065" s="1003"/>
      <c r="AF2065" s="745"/>
      <c r="AG2065" s="251" t="s">
        <v>283</v>
      </c>
    </row>
    <row r="2066" spans="1:33" ht="15.75" customHeight="1">
      <c r="A2066" s="743">
        <v>42817</v>
      </c>
      <c r="B2066" s="970" t="s">
        <v>76</v>
      </c>
      <c r="C2066" s="744" t="s">
        <v>6503</v>
      </c>
      <c r="D2066" s="744" t="s">
        <v>6504</v>
      </c>
      <c r="E2066" s="744" t="s">
        <v>6505</v>
      </c>
      <c r="F2066" s="305">
        <v>10</v>
      </c>
      <c r="G2066" s="252">
        <v>23.7</v>
      </c>
      <c r="H2066" s="574">
        <f t="shared" si="167"/>
        <v>237</v>
      </c>
      <c r="I2066" s="264" t="s">
        <v>42</v>
      </c>
      <c r="J2066" s="367" t="s">
        <v>6506</v>
      </c>
      <c r="K2066" s="256">
        <v>42832</v>
      </c>
      <c r="L2066" s="256"/>
      <c r="M2066" s="256">
        <v>42831</v>
      </c>
      <c r="N2066" s="264" t="s">
        <v>2124</v>
      </c>
      <c r="O2066" s="744" t="s">
        <v>6507</v>
      </c>
      <c r="P2066" s="337"/>
      <c r="Q2066" s="630">
        <v>6048</v>
      </c>
      <c r="R2066" s="1415"/>
      <c r="S2066" s="1415"/>
      <c r="U2066" s="744"/>
      <c r="V2066" s="308" t="s">
        <v>2126</v>
      </c>
      <c r="W2066" s="789">
        <v>42825</v>
      </c>
      <c r="X2066" s="750">
        <v>42830</v>
      </c>
      <c r="Y2066" s="250" t="s">
        <v>6508</v>
      </c>
      <c r="Z2066" s="753">
        <v>6048</v>
      </c>
      <c r="AA2066" s="594">
        <v>42825</v>
      </c>
      <c r="AB2066" s="250" t="s">
        <v>6509</v>
      </c>
      <c r="AC2066" s="1003"/>
      <c r="AD2066" s="1003"/>
      <c r="AE2066" s="1003"/>
      <c r="AF2066" s="745"/>
      <c r="AG2066" s="251" t="s">
        <v>283</v>
      </c>
    </row>
    <row r="2067" spans="1:33" ht="15.75" customHeight="1">
      <c r="A2067" s="743">
        <v>42817</v>
      </c>
      <c r="B2067" s="970" t="s">
        <v>4903</v>
      </c>
      <c r="C2067" s="744" t="s">
        <v>6510</v>
      </c>
      <c r="D2067" s="744" t="s">
        <v>6511</v>
      </c>
      <c r="E2067" s="744" t="s">
        <v>6512</v>
      </c>
      <c r="F2067" s="305">
        <v>1</v>
      </c>
      <c r="G2067" s="252">
        <v>2102</v>
      </c>
      <c r="H2067" s="265">
        <f t="shared" si="167"/>
        <v>2102</v>
      </c>
      <c r="I2067" s="264" t="s">
        <v>3315</v>
      </c>
      <c r="J2067" s="367" t="s">
        <v>3588</v>
      </c>
      <c r="K2067" s="256">
        <v>42824</v>
      </c>
      <c r="L2067" s="256"/>
      <c r="M2067" s="256">
        <v>42821</v>
      </c>
      <c r="N2067" s="264" t="s">
        <v>3432</v>
      </c>
      <c r="O2067" s="744" t="s">
        <v>6513</v>
      </c>
      <c r="P2067" s="337"/>
      <c r="Q2067" s="630">
        <v>64219</v>
      </c>
      <c r="R2067" s="1415"/>
      <c r="S2067" s="1415"/>
      <c r="U2067" s="744"/>
      <c r="V2067" s="308" t="s">
        <v>2045</v>
      </c>
      <c r="W2067" s="789">
        <v>42891</v>
      </c>
      <c r="X2067" s="748">
        <v>42821</v>
      </c>
      <c r="Y2067" s="744" t="s">
        <v>6514</v>
      </c>
      <c r="Z2067" s="749">
        <v>64219</v>
      </c>
      <c r="AA2067" s="256">
        <v>42891</v>
      </c>
      <c r="AB2067" s="250" t="s">
        <v>6515</v>
      </c>
      <c r="AC2067" s="1003"/>
      <c r="AD2067" s="1003"/>
      <c r="AE2067" s="1003"/>
      <c r="AF2067" s="745"/>
      <c r="AG2067" s="251" t="s">
        <v>283</v>
      </c>
    </row>
    <row r="2068" spans="1:33" ht="15.75" customHeight="1">
      <c r="A2068" s="743">
        <v>42818</v>
      </c>
      <c r="B2068" s="970" t="s">
        <v>372</v>
      </c>
      <c r="C2068" s="744">
        <v>201703230028</v>
      </c>
      <c r="D2068" s="744" t="s">
        <v>6516</v>
      </c>
      <c r="E2068" s="744" t="s">
        <v>374</v>
      </c>
      <c r="F2068" s="305">
        <v>100</v>
      </c>
      <c r="G2068" s="252">
        <v>63</v>
      </c>
      <c r="H2068" s="265">
        <f t="shared" si="167"/>
        <v>6300</v>
      </c>
      <c r="I2068" s="264" t="s">
        <v>42</v>
      </c>
      <c r="J2068" s="251" t="s">
        <v>89</v>
      </c>
      <c r="K2068" s="256">
        <v>42824</v>
      </c>
      <c r="L2068" s="256"/>
      <c r="M2068" s="256">
        <v>42824</v>
      </c>
      <c r="N2068" s="251" t="s">
        <v>89</v>
      </c>
      <c r="O2068" s="250" t="s">
        <v>6517</v>
      </c>
      <c r="P2068" s="630">
        <v>5880</v>
      </c>
      <c r="Q2068" s="795"/>
      <c r="R2068" s="1435"/>
      <c r="S2068" s="1435"/>
      <c r="U2068" s="744"/>
      <c r="V2068" s="308" t="s">
        <v>5896</v>
      </c>
      <c r="W2068" s="789">
        <v>42891</v>
      </c>
      <c r="X2068" s="750">
        <v>42824</v>
      </c>
      <c r="Y2068" s="744" t="s">
        <v>6518</v>
      </c>
      <c r="Z2068" s="753">
        <v>181045</v>
      </c>
      <c r="AA2068" s="594">
        <v>42849</v>
      </c>
      <c r="AB2068" s="744" t="s">
        <v>6519</v>
      </c>
      <c r="AC2068" s="251"/>
      <c r="AD2068" s="595" t="s">
        <v>6520</v>
      </c>
      <c r="AE2068" s="260">
        <v>190701</v>
      </c>
      <c r="AF2068" s="744" t="s">
        <v>6392</v>
      </c>
      <c r="AG2068" s="251" t="s">
        <v>283</v>
      </c>
    </row>
    <row r="2069" spans="1:33" ht="15.75" customHeight="1">
      <c r="A2069" s="743">
        <v>42818</v>
      </c>
      <c r="B2069" s="970" t="s">
        <v>100</v>
      </c>
      <c r="C2069" s="744" t="s">
        <v>6521</v>
      </c>
      <c r="D2069" s="250" t="s">
        <v>6522</v>
      </c>
      <c r="E2069" s="250" t="s">
        <v>3407</v>
      </c>
      <c r="F2069" s="305">
        <v>10</v>
      </c>
      <c r="G2069" s="252">
        <v>93</v>
      </c>
      <c r="H2069" s="265">
        <f t="shared" si="167"/>
        <v>930</v>
      </c>
      <c r="I2069" s="264" t="s">
        <v>3315</v>
      </c>
      <c r="J2069" s="367" t="s">
        <v>3578</v>
      </c>
      <c r="K2069" s="256">
        <v>42842</v>
      </c>
      <c r="L2069" s="256"/>
      <c r="M2069" s="256">
        <v>42823</v>
      </c>
      <c r="N2069" s="401" t="s">
        <v>2001</v>
      </c>
      <c r="O2069" s="744" t="s">
        <v>6523</v>
      </c>
      <c r="P2069" s="574">
        <v>924</v>
      </c>
      <c r="Q2069" s="795"/>
      <c r="R2069" s="1435"/>
      <c r="S2069" s="1435"/>
      <c r="U2069" s="744"/>
      <c r="V2069" s="318" t="s">
        <v>2003</v>
      </c>
      <c r="W2069" s="789">
        <v>42891</v>
      </c>
      <c r="X2069" s="748">
        <v>42822</v>
      </c>
      <c r="Y2069" s="744" t="s">
        <v>6524</v>
      </c>
      <c r="Z2069" s="753">
        <v>92818</v>
      </c>
      <c r="AA2069" s="256">
        <v>42891</v>
      </c>
      <c r="AB2069" s="250" t="s">
        <v>6525</v>
      </c>
      <c r="AC2069" s="1003"/>
      <c r="AD2069" s="1003"/>
      <c r="AE2069" s="1003"/>
      <c r="AF2069" s="745"/>
      <c r="AG2069" s="251" t="s">
        <v>283</v>
      </c>
    </row>
    <row r="2070" spans="1:33" ht="15.75" customHeight="1">
      <c r="A2070" s="743">
        <v>42818</v>
      </c>
      <c r="B2070" s="970" t="s">
        <v>100</v>
      </c>
      <c r="C2070" s="744" t="s">
        <v>6521</v>
      </c>
      <c r="D2070" s="250" t="s">
        <v>6526</v>
      </c>
      <c r="E2070" s="250" t="s">
        <v>3413</v>
      </c>
      <c r="F2070" s="305">
        <v>10</v>
      </c>
      <c r="G2070" s="252">
        <v>73</v>
      </c>
      <c r="H2070" s="265">
        <f t="shared" si="167"/>
        <v>730</v>
      </c>
      <c r="I2070" s="264" t="s">
        <v>3315</v>
      </c>
      <c r="J2070" s="367" t="s">
        <v>3578</v>
      </c>
      <c r="K2070" s="256">
        <v>42842</v>
      </c>
      <c r="L2070" s="256"/>
      <c r="M2070" s="256">
        <v>42823</v>
      </c>
      <c r="N2070" s="331" t="s">
        <v>2001</v>
      </c>
      <c r="O2070" s="744" t="s">
        <v>6523</v>
      </c>
      <c r="P2070" s="574">
        <v>724.5</v>
      </c>
      <c r="Q2070" s="795"/>
      <c r="R2070" s="1435"/>
      <c r="S2070" s="1435"/>
      <c r="U2070" s="744"/>
      <c r="V2070" s="318" t="s">
        <v>2003</v>
      </c>
      <c r="W2070" s="789">
        <v>42891</v>
      </c>
      <c r="X2070" s="748">
        <v>42822</v>
      </c>
      <c r="Y2070" s="744" t="s">
        <v>6524</v>
      </c>
      <c r="Z2070" s="753">
        <v>92818</v>
      </c>
      <c r="AA2070" s="256">
        <v>42891</v>
      </c>
      <c r="AB2070" s="250" t="s">
        <v>6525</v>
      </c>
      <c r="AC2070" s="1003"/>
      <c r="AD2070" s="1003"/>
      <c r="AE2070" s="1003"/>
      <c r="AF2070" s="745"/>
      <c r="AG2070" s="251" t="s">
        <v>283</v>
      </c>
    </row>
    <row r="2071" spans="1:33" ht="15.75" customHeight="1">
      <c r="A2071" s="743">
        <v>42818</v>
      </c>
      <c r="B2071" s="970" t="s">
        <v>100</v>
      </c>
      <c r="C2071" s="744" t="s">
        <v>6521</v>
      </c>
      <c r="D2071" s="250" t="s">
        <v>6526</v>
      </c>
      <c r="E2071" s="250" t="s">
        <v>3415</v>
      </c>
      <c r="F2071" s="305">
        <v>10</v>
      </c>
      <c r="G2071" s="252">
        <v>140</v>
      </c>
      <c r="H2071" s="265">
        <f t="shared" si="167"/>
        <v>1400</v>
      </c>
      <c r="I2071" s="264" t="s">
        <v>3315</v>
      </c>
      <c r="J2071" s="367" t="s">
        <v>3578</v>
      </c>
      <c r="K2071" s="256">
        <v>42842</v>
      </c>
      <c r="L2071" s="256"/>
      <c r="M2071" s="256">
        <v>42823</v>
      </c>
      <c r="N2071" s="331" t="s">
        <v>2001</v>
      </c>
      <c r="O2071" s="744" t="s">
        <v>6523</v>
      </c>
      <c r="P2071" s="574">
        <v>1396.5</v>
      </c>
      <c r="Q2071" s="795"/>
      <c r="R2071" s="1435"/>
      <c r="S2071" s="1435"/>
      <c r="U2071" s="744"/>
      <c r="V2071" s="318" t="s">
        <v>2003</v>
      </c>
      <c r="W2071" s="789">
        <v>42891</v>
      </c>
      <c r="X2071" s="748">
        <v>42822</v>
      </c>
      <c r="Y2071" s="744" t="s">
        <v>6524</v>
      </c>
      <c r="Z2071" s="753">
        <v>92818</v>
      </c>
      <c r="AA2071" s="256">
        <v>42891</v>
      </c>
      <c r="AB2071" s="250" t="s">
        <v>6525</v>
      </c>
      <c r="AC2071" s="1003"/>
      <c r="AD2071" s="1003"/>
      <c r="AE2071" s="1003"/>
      <c r="AF2071" s="745"/>
      <c r="AG2071" s="251" t="s">
        <v>283</v>
      </c>
    </row>
    <row r="2072" spans="1:33" ht="15.75" customHeight="1">
      <c r="A2072" s="743">
        <v>42818</v>
      </c>
      <c r="B2072" s="970" t="s">
        <v>100</v>
      </c>
      <c r="C2072" s="744" t="s">
        <v>6521</v>
      </c>
      <c r="D2072" s="250" t="s">
        <v>6526</v>
      </c>
      <c r="E2072" s="250" t="s">
        <v>3420</v>
      </c>
      <c r="F2072" s="305">
        <v>10</v>
      </c>
      <c r="G2072" s="252">
        <v>4</v>
      </c>
      <c r="H2072" s="265">
        <f t="shared" si="167"/>
        <v>40</v>
      </c>
      <c r="I2072" s="264" t="s">
        <v>3315</v>
      </c>
      <c r="J2072" s="367" t="s">
        <v>3578</v>
      </c>
      <c r="K2072" s="256">
        <v>42842</v>
      </c>
      <c r="L2072" s="256"/>
      <c r="M2072" s="256">
        <v>42823</v>
      </c>
      <c r="N2072" s="331" t="s">
        <v>2001</v>
      </c>
      <c r="O2072" s="744" t="s">
        <v>6523</v>
      </c>
      <c r="P2072" s="574">
        <v>31.5</v>
      </c>
      <c r="Q2072" s="795"/>
      <c r="R2072" s="1435"/>
      <c r="S2072" s="1435"/>
      <c r="U2072" s="744"/>
      <c r="V2072" s="318" t="s">
        <v>2003</v>
      </c>
      <c r="W2072" s="789">
        <v>42891</v>
      </c>
      <c r="X2072" s="748">
        <v>42822</v>
      </c>
      <c r="Y2072" s="744" t="s">
        <v>6524</v>
      </c>
      <c r="Z2072" s="753">
        <v>92818</v>
      </c>
      <c r="AA2072" s="256">
        <v>42891</v>
      </c>
      <c r="AB2072" s="250" t="s">
        <v>6525</v>
      </c>
      <c r="AC2072" s="1003"/>
      <c r="AD2072" s="1003"/>
      <c r="AE2072" s="1003"/>
      <c r="AF2072" s="745"/>
      <c r="AG2072" s="251" t="s">
        <v>283</v>
      </c>
    </row>
    <row r="2073" spans="1:33" ht="15.75" customHeight="1">
      <c r="A2073" s="743">
        <v>42818</v>
      </c>
      <c r="B2073" s="970" t="s">
        <v>100</v>
      </c>
      <c r="C2073" s="744" t="s">
        <v>6521</v>
      </c>
      <c r="D2073" s="250" t="s">
        <v>6526</v>
      </c>
      <c r="E2073" s="250" t="s">
        <v>3416</v>
      </c>
      <c r="F2073" s="305">
        <v>10</v>
      </c>
      <c r="G2073" s="252">
        <v>2</v>
      </c>
      <c r="H2073" s="265">
        <f t="shared" si="167"/>
        <v>20</v>
      </c>
      <c r="I2073" s="264" t="s">
        <v>3315</v>
      </c>
      <c r="J2073" s="367" t="s">
        <v>3578</v>
      </c>
      <c r="K2073" s="256">
        <v>42842</v>
      </c>
      <c r="L2073" s="256"/>
      <c r="M2073" s="251"/>
      <c r="N2073" s="331" t="s">
        <v>6527</v>
      </c>
      <c r="O2073" s="744" t="s">
        <v>6528</v>
      </c>
      <c r="P2073" s="337"/>
      <c r="Q2073" s="795"/>
      <c r="R2073" s="1435"/>
      <c r="S2073" s="1435"/>
      <c r="U2073" s="744"/>
      <c r="V2073" s="318" t="s">
        <v>2003</v>
      </c>
      <c r="W2073" s="1002"/>
      <c r="X2073" s="744"/>
      <c r="Y2073" s="744"/>
      <c r="Z2073" s="744"/>
      <c r="AA2073" s="251"/>
      <c r="AB2073" s="250" t="s">
        <v>6525</v>
      </c>
      <c r="AC2073" s="1003"/>
      <c r="AD2073" s="1003"/>
      <c r="AE2073" s="1003"/>
      <c r="AF2073" s="745"/>
      <c r="AG2073" s="251" t="s">
        <v>283</v>
      </c>
    </row>
    <row r="2074" spans="1:33" ht="15.75" customHeight="1">
      <c r="A2074" s="743">
        <v>42818</v>
      </c>
      <c r="B2074" s="970" t="s">
        <v>100</v>
      </c>
      <c r="C2074" s="744" t="s">
        <v>6521</v>
      </c>
      <c r="D2074" s="250" t="s">
        <v>6526</v>
      </c>
      <c r="E2074" s="250" t="s">
        <v>3418</v>
      </c>
      <c r="F2074" s="305">
        <v>10</v>
      </c>
      <c r="G2074" s="252">
        <v>2.5</v>
      </c>
      <c r="H2074" s="265">
        <f t="shared" si="167"/>
        <v>25</v>
      </c>
      <c r="I2074" s="264" t="s">
        <v>3315</v>
      </c>
      <c r="J2074" s="367" t="s">
        <v>3578</v>
      </c>
      <c r="K2074" s="256">
        <v>42842</v>
      </c>
      <c r="L2074" s="256"/>
      <c r="M2074" s="251"/>
      <c r="N2074" s="331" t="s">
        <v>6527</v>
      </c>
      <c r="O2074" s="744" t="s">
        <v>6530</v>
      </c>
      <c r="P2074" s="337"/>
      <c r="Q2074" s="795"/>
      <c r="R2074" s="1435"/>
      <c r="S2074" s="1435"/>
      <c r="U2074" s="744"/>
      <c r="V2074" s="318" t="s">
        <v>2003</v>
      </c>
      <c r="W2074" s="1002"/>
      <c r="X2074" s="744"/>
      <c r="Y2074" s="744"/>
      <c r="Z2074" s="744"/>
      <c r="AA2074" s="251"/>
      <c r="AB2074" s="250" t="s">
        <v>6525</v>
      </c>
      <c r="AC2074" s="1003"/>
      <c r="AD2074" s="1003"/>
      <c r="AE2074" s="1003"/>
      <c r="AF2074" s="745"/>
      <c r="AG2074" s="251" t="s">
        <v>283</v>
      </c>
    </row>
    <row r="2075" spans="1:33" ht="15.75" customHeight="1">
      <c r="A2075" s="743">
        <v>42818</v>
      </c>
      <c r="B2075" s="970" t="s">
        <v>100</v>
      </c>
      <c r="C2075" s="744" t="s">
        <v>6521</v>
      </c>
      <c r="D2075" s="744" t="s">
        <v>6532</v>
      </c>
      <c r="E2075" s="744" t="s">
        <v>3421</v>
      </c>
      <c r="F2075" s="305">
        <v>10</v>
      </c>
      <c r="G2075" s="252">
        <v>8</v>
      </c>
      <c r="H2075" s="265">
        <f t="shared" si="167"/>
        <v>80</v>
      </c>
      <c r="I2075" s="264" t="s">
        <v>3315</v>
      </c>
      <c r="J2075" s="367" t="s">
        <v>3578</v>
      </c>
      <c r="K2075" s="256">
        <v>42842</v>
      </c>
      <c r="L2075" s="256"/>
      <c r="M2075" s="251"/>
      <c r="N2075" s="331" t="s">
        <v>6533</v>
      </c>
      <c r="O2075" s="251"/>
      <c r="P2075" s="337"/>
      <c r="Q2075" s="329" t="s">
        <v>6534</v>
      </c>
      <c r="R2075" s="1442"/>
      <c r="S2075" s="1442"/>
      <c r="U2075" s="744"/>
      <c r="V2075" s="585"/>
      <c r="W2075" s="1002"/>
      <c r="X2075" s="744" t="s">
        <v>6535</v>
      </c>
      <c r="Y2075" s="744" t="s">
        <v>6535</v>
      </c>
      <c r="Z2075" s="744" t="s">
        <v>6535</v>
      </c>
      <c r="AA2075" s="251"/>
      <c r="AB2075" s="250" t="s">
        <v>6525</v>
      </c>
      <c r="AC2075" s="1003"/>
      <c r="AD2075" s="1003"/>
      <c r="AE2075" s="1003"/>
      <c r="AF2075" s="745"/>
      <c r="AG2075" s="251" t="s">
        <v>283</v>
      </c>
    </row>
    <row r="2076" spans="1:33" ht="15.75" customHeight="1">
      <c r="A2076" s="743">
        <v>42821</v>
      </c>
      <c r="B2076" s="970" t="s">
        <v>325</v>
      </c>
      <c r="C2076" s="744">
        <v>1610244</v>
      </c>
      <c r="D2076" s="744" t="s">
        <v>6536</v>
      </c>
      <c r="E2076" s="744" t="s">
        <v>6537</v>
      </c>
      <c r="F2076" s="305">
        <v>30</v>
      </c>
      <c r="G2076" s="252">
        <v>245</v>
      </c>
      <c r="H2076" s="574">
        <f t="shared" si="167"/>
        <v>7350</v>
      </c>
      <c r="I2076" s="264" t="s">
        <v>3315</v>
      </c>
      <c r="J2076" s="367" t="s">
        <v>3613</v>
      </c>
      <c r="K2076" s="256">
        <v>42849</v>
      </c>
      <c r="L2076" s="256"/>
      <c r="M2076" s="594">
        <v>42844</v>
      </c>
      <c r="N2076" s="331" t="s">
        <v>3614</v>
      </c>
      <c r="O2076" s="250" t="s">
        <v>6538</v>
      </c>
      <c r="P2076" s="630">
        <v>6804</v>
      </c>
      <c r="Q2076" s="795"/>
      <c r="R2076" s="1435"/>
      <c r="S2076" s="1435"/>
      <c r="U2076" s="744"/>
      <c r="V2076" s="318" t="s">
        <v>6186</v>
      </c>
      <c r="W2076" s="789">
        <v>42888</v>
      </c>
      <c r="X2076" s="750">
        <v>42843</v>
      </c>
      <c r="Y2076" s="250" t="s">
        <v>6539</v>
      </c>
      <c r="Z2076" s="753">
        <v>206501</v>
      </c>
      <c r="AA2076" s="256">
        <v>42891</v>
      </c>
      <c r="AB2076" s="250" t="s">
        <v>6540</v>
      </c>
      <c r="AC2076" s="251">
        <v>898466913813</v>
      </c>
      <c r="AD2076" s="1003"/>
      <c r="AE2076" s="1003"/>
      <c r="AF2076" s="745"/>
      <c r="AG2076" s="251" t="s">
        <v>283</v>
      </c>
    </row>
    <row r="2077" spans="1:33" ht="15.75" customHeight="1">
      <c r="A2077" s="743">
        <v>42821</v>
      </c>
      <c r="B2077" s="970" t="s">
        <v>325</v>
      </c>
      <c r="C2077" s="744">
        <v>1610244</v>
      </c>
      <c r="D2077" s="744" t="s">
        <v>6536</v>
      </c>
      <c r="E2077" s="744" t="s">
        <v>6541</v>
      </c>
      <c r="F2077" s="305">
        <v>30</v>
      </c>
      <c r="G2077" s="252">
        <v>29</v>
      </c>
      <c r="H2077" s="574">
        <f t="shared" si="167"/>
        <v>870</v>
      </c>
      <c r="I2077" s="264" t="s">
        <v>3315</v>
      </c>
      <c r="J2077" s="367" t="s">
        <v>3613</v>
      </c>
      <c r="K2077" s="256">
        <v>42849</v>
      </c>
      <c r="L2077" s="256"/>
      <c r="M2077" s="256">
        <v>42842</v>
      </c>
      <c r="N2077" s="267" t="s">
        <v>6542</v>
      </c>
      <c r="O2077" s="250" t="s">
        <v>6543</v>
      </c>
      <c r="P2077" s="337"/>
      <c r="Q2077" s="630">
        <v>23940</v>
      </c>
      <c r="R2077" s="1415"/>
      <c r="S2077" s="1415"/>
      <c r="U2077" s="251"/>
      <c r="V2077" s="318" t="s">
        <v>2126</v>
      </c>
      <c r="W2077" s="1002"/>
      <c r="X2077" s="748">
        <v>42839</v>
      </c>
      <c r="Y2077" s="744" t="s">
        <v>6544</v>
      </c>
      <c r="Z2077" s="749">
        <v>23940</v>
      </c>
      <c r="AA2077" s="594">
        <v>42837</v>
      </c>
      <c r="AB2077" s="250" t="s">
        <v>6540</v>
      </c>
      <c r="AC2077" s="251">
        <v>898466913813</v>
      </c>
      <c r="AD2077" s="1003"/>
      <c r="AE2077" s="1003"/>
      <c r="AF2077" s="745"/>
      <c r="AG2077" s="251" t="s">
        <v>283</v>
      </c>
    </row>
    <row r="2078" spans="1:33" ht="15.75" customHeight="1">
      <c r="A2078" s="755">
        <v>42822</v>
      </c>
      <c r="B2078" s="970" t="s">
        <v>76</v>
      </c>
      <c r="C2078" s="744">
        <v>264</v>
      </c>
      <c r="D2078" s="250" t="s">
        <v>6545</v>
      </c>
      <c r="E2078" s="250" t="s">
        <v>6546</v>
      </c>
      <c r="F2078" s="305">
        <v>1</v>
      </c>
      <c r="G2078" s="252">
        <v>162</v>
      </c>
      <c r="H2078" s="574">
        <f t="shared" si="167"/>
        <v>162</v>
      </c>
      <c r="I2078" s="264" t="s">
        <v>42</v>
      </c>
      <c r="J2078" s="367" t="s">
        <v>6440</v>
      </c>
      <c r="K2078" s="256">
        <v>42842</v>
      </c>
      <c r="L2078" s="256"/>
      <c r="M2078" s="256">
        <v>42839</v>
      </c>
      <c r="N2078" s="254" t="s">
        <v>3432</v>
      </c>
      <c r="O2078" s="250" t="s">
        <v>6547</v>
      </c>
      <c r="P2078" s="337"/>
      <c r="Q2078" s="630">
        <v>4622</v>
      </c>
      <c r="R2078" s="1415"/>
      <c r="S2078" s="1415"/>
      <c r="U2078" s="251"/>
      <c r="V2078" s="318" t="s">
        <v>2045</v>
      </c>
      <c r="W2078" s="789">
        <v>42891</v>
      </c>
      <c r="X2078" s="748">
        <v>42838</v>
      </c>
      <c r="Y2078" s="744" t="s">
        <v>6548</v>
      </c>
      <c r="Z2078" s="749">
        <v>4622</v>
      </c>
      <c r="AA2078" s="256">
        <v>42891</v>
      </c>
      <c r="AB2078" s="250" t="s">
        <v>6443</v>
      </c>
      <c r="AC2078" s="1003"/>
      <c r="AD2078" s="1003"/>
      <c r="AE2078" s="1003"/>
      <c r="AF2078" s="745"/>
      <c r="AG2078" s="251" t="s">
        <v>283</v>
      </c>
    </row>
    <row r="2079" spans="1:33" ht="15.75" customHeight="1">
      <c r="A2079" s="755">
        <v>42822</v>
      </c>
      <c r="B2079" s="338" t="s">
        <v>1189</v>
      </c>
      <c r="C2079" s="250" t="s">
        <v>6549</v>
      </c>
      <c r="D2079" s="308" t="s">
        <v>6550</v>
      </c>
      <c r="E2079" s="308" t="s">
        <v>5950</v>
      </c>
      <c r="F2079" s="787">
        <v>100</v>
      </c>
      <c r="G2079" s="265">
        <v>8</v>
      </c>
      <c r="H2079" s="574">
        <f t="shared" si="167"/>
        <v>800</v>
      </c>
      <c r="I2079" s="264" t="s">
        <v>42</v>
      </c>
      <c r="J2079" s="401" t="s">
        <v>5852</v>
      </c>
      <c r="K2079" s="256">
        <v>42838</v>
      </c>
      <c r="L2079" s="256"/>
      <c r="M2079" s="256">
        <v>42836</v>
      </c>
      <c r="N2079" s="401" t="s">
        <v>2411</v>
      </c>
      <c r="O2079" s="250" t="s">
        <v>6551</v>
      </c>
      <c r="P2079" s="337"/>
      <c r="Q2079" s="630">
        <v>23100</v>
      </c>
      <c r="R2079" s="1415"/>
      <c r="S2079" s="1415"/>
      <c r="U2079" s="251"/>
      <c r="V2079" s="318" t="s">
        <v>4328</v>
      </c>
      <c r="W2079" s="1026">
        <v>42860</v>
      </c>
      <c r="X2079" s="748">
        <v>42835</v>
      </c>
      <c r="Y2079" s="744" t="s">
        <v>6552</v>
      </c>
      <c r="Z2079" s="749">
        <v>23100</v>
      </c>
      <c r="AA2079" s="256">
        <v>42863</v>
      </c>
      <c r="AB2079" s="250" t="s">
        <v>6553</v>
      </c>
      <c r="AC2079" s="251">
        <v>958372855</v>
      </c>
      <c r="AD2079" s="1003"/>
      <c r="AE2079" s="1003"/>
      <c r="AF2079" s="745"/>
      <c r="AG2079" s="251" t="s">
        <v>283</v>
      </c>
    </row>
    <row r="2080" spans="1:33" ht="15.75" customHeight="1">
      <c r="A2080" s="755">
        <v>42822</v>
      </c>
      <c r="B2080" s="970" t="s">
        <v>76</v>
      </c>
      <c r="C2080" s="970">
        <v>264</v>
      </c>
      <c r="D2080" s="263" t="s">
        <v>6545</v>
      </c>
      <c r="E2080" s="263" t="s">
        <v>6554</v>
      </c>
      <c r="F2080" s="1007">
        <v>1</v>
      </c>
      <c r="G2080" s="323">
        <v>138</v>
      </c>
      <c r="H2080" s="574">
        <f t="shared" si="167"/>
        <v>138</v>
      </c>
      <c r="I2080" s="264" t="s">
        <v>42</v>
      </c>
      <c r="J2080" s="267" t="s">
        <v>6440</v>
      </c>
      <c r="K2080" s="256">
        <v>42842</v>
      </c>
      <c r="L2080" s="256"/>
      <c r="M2080" s="256">
        <v>42831</v>
      </c>
      <c r="N2080" s="401" t="s">
        <v>3678</v>
      </c>
      <c r="O2080" s="250" t="s">
        <v>6555</v>
      </c>
      <c r="P2080" s="337"/>
      <c r="Q2080" s="630">
        <v>3948</v>
      </c>
      <c r="R2080" s="1415"/>
      <c r="S2080" s="1415"/>
      <c r="U2080" s="251"/>
      <c r="V2080" s="386" t="s">
        <v>3680</v>
      </c>
      <c r="W2080" s="789">
        <v>42860</v>
      </c>
      <c r="X2080" s="748">
        <v>42830</v>
      </c>
      <c r="Y2080" s="744" t="s">
        <v>6556</v>
      </c>
      <c r="Z2080" s="749">
        <v>3948</v>
      </c>
      <c r="AA2080" s="594">
        <v>42859</v>
      </c>
      <c r="AB2080" s="250" t="s">
        <v>6443</v>
      </c>
      <c r="AC2080" s="1003"/>
      <c r="AD2080" s="1003"/>
      <c r="AE2080" s="1003"/>
      <c r="AF2080" s="745"/>
      <c r="AG2080" s="251" t="s">
        <v>283</v>
      </c>
    </row>
    <row r="2081" spans="1:33" ht="15.75" customHeight="1">
      <c r="A2081" s="755">
        <v>42822</v>
      </c>
      <c r="B2081" s="590" t="s">
        <v>5981</v>
      </c>
      <c r="C2081" s="250">
        <v>7000128690</v>
      </c>
      <c r="D2081" s="250" t="s">
        <v>6557</v>
      </c>
      <c r="E2081" s="250" t="s">
        <v>6261</v>
      </c>
      <c r="F2081" s="305">
        <v>1</v>
      </c>
      <c r="G2081" s="252">
        <v>126</v>
      </c>
      <c r="H2081" s="574">
        <f t="shared" si="167"/>
        <v>126</v>
      </c>
      <c r="I2081" s="264" t="s">
        <v>42</v>
      </c>
      <c r="J2081" s="756" t="s">
        <v>3462</v>
      </c>
      <c r="K2081" s="256">
        <v>42824</v>
      </c>
      <c r="L2081" s="256"/>
      <c r="M2081" s="256">
        <v>42824</v>
      </c>
      <c r="N2081" s="264" t="s">
        <v>3432</v>
      </c>
      <c r="O2081" s="744" t="s">
        <v>6558</v>
      </c>
      <c r="P2081" s="337"/>
      <c r="Q2081" s="630">
        <v>3688</v>
      </c>
      <c r="R2081" s="1415"/>
      <c r="S2081" s="1415"/>
      <c r="U2081" s="251"/>
      <c r="V2081" s="308" t="s">
        <v>2045</v>
      </c>
      <c r="W2081" s="789">
        <v>42891</v>
      </c>
      <c r="X2081" s="748">
        <v>42823</v>
      </c>
      <c r="Y2081" s="744" t="s">
        <v>6559</v>
      </c>
      <c r="Z2081" s="749">
        <v>3688</v>
      </c>
      <c r="AA2081" s="256">
        <v>42891</v>
      </c>
      <c r="AB2081" s="250" t="s">
        <v>6412</v>
      </c>
      <c r="AC2081" s="1003"/>
      <c r="AD2081" s="1003"/>
      <c r="AE2081" s="1003"/>
      <c r="AF2081" s="745"/>
      <c r="AG2081" s="251" t="s">
        <v>283</v>
      </c>
    </row>
    <row r="2082" spans="1:33" ht="15.75" customHeight="1">
      <c r="A2082" s="755">
        <v>42825</v>
      </c>
      <c r="B2082" s="970" t="s">
        <v>76</v>
      </c>
      <c r="C2082" s="744">
        <v>272</v>
      </c>
      <c r="D2082" s="250" t="s">
        <v>6560</v>
      </c>
      <c r="E2082" s="250" t="s">
        <v>6561</v>
      </c>
      <c r="F2082" s="305">
        <v>1</v>
      </c>
      <c r="G2082" s="252">
        <v>50</v>
      </c>
      <c r="H2082" s="574">
        <f t="shared" si="167"/>
        <v>50</v>
      </c>
      <c r="I2082" s="264" t="s">
        <v>42</v>
      </c>
      <c r="J2082" s="367" t="s">
        <v>315</v>
      </c>
      <c r="K2082" s="256">
        <v>42852</v>
      </c>
      <c r="L2082" s="256"/>
      <c r="M2082" s="256">
        <v>42846</v>
      </c>
      <c r="N2082" s="267" t="s">
        <v>6101</v>
      </c>
      <c r="O2082" s="250" t="s">
        <v>6562</v>
      </c>
      <c r="P2082" s="574">
        <v>48.3</v>
      </c>
      <c r="Q2082" s="795"/>
      <c r="R2082" s="1435"/>
      <c r="S2082" s="1435"/>
      <c r="U2082" s="251"/>
      <c r="V2082" s="386" t="s">
        <v>2010</v>
      </c>
      <c r="W2082" s="789">
        <v>42860</v>
      </c>
      <c r="X2082" s="748">
        <v>42845</v>
      </c>
      <c r="Y2082" s="744" t="s">
        <v>6563</v>
      </c>
      <c r="Z2082" s="749">
        <v>1469</v>
      </c>
      <c r="AA2082" s="256">
        <v>42859</v>
      </c>
      <c r="AB2082" s="250" t="s">
        <v>6564</v>
      </c>
      <c r="AC2082" s="251">
        <v>967713714</v>
      </c>
      <c r="AD2082" s="1003"/>
      <c r="AE2082" s="1003"/>
      <c r="AF2082" s="745"/>
      <c r="AG2082" s="251" t="s">
        <v>283</v>
      </c>
    </row>
    <row r="2083" spans="1:33" ht="15.75" customHeight="1">
      <c r="A2083" s="743">
        <v>42830</v>
      </c>
      <c r="B2083" s="386" t="s">
        <v>6565</v>
      </c>
      <c r="C2083" s="744">
        <v>47827</v>
      </c>
      <c r="D2083" s="328" t="s">
        <v>6566</v>
      </c>
      <c r="E2083" s="328" t="s">
        <v>4616</v>
      </c>
      <c r="F2083" s="305">
        <v>12</v>
      </c>
      <c r="G2083" s="252">
        <v>90</v>
      </c>
      <c r="H2083" s="574">
        <f t="shared" si="167"/>
        <v>1080</v>
      </c>
      <c r="I2083" s="264" t="s">
        <v>3315</v>
      </c>
      <c r="J2083" s="401" t="s">
        <v>6567</v>
      </c>
      <c r="K2083" s="256">
        <v>42842</v>
      </c>
      <c r="L2083" s="256"/>
      <c r="M2083" s="256">
        <v>42838</v>
      </c>
      <c r="N2083" s="251" t="s">
        <v>89</v>
      </c>
      <c r="O2083" s="250" t="s">
        <v>6568</v>
      </c>
      <c r="P2083" s="574">
        <v>995.4</v>
      </c>
      <c r="Q2083" s="795"/>
      <c r="R2083" s="1435"/>
      <c r="S2083" s="1435"/>
      <c r="U2083" s="251"/>
      <c r="V2083" s="308" t="s">
        <v>5896</v>
      </c>
      <c r="W2083" s="789">
        <v>42891</v>
      </c>
      <c r="X2083" s="748">
        <v>42838</v>
      </c>
      <c r="Y2083" s="744" t="s">
        <v>6569</v>
      </c>
      <c r="Z2083" s="749">
        <v>30195</v>
      </c>
      <c r="AA2083" s="594">
        <v>42849</v>
      </c>
      <c r="AB2083" s="250" t="s">
        <v>6570</v>
      </c>
      <c r="AC2083" s="1003"/>
      <c r="AD2083" s="1003"/>
      <c r="AE2083" s="1003"/>
      <c r="AF2083" s="745"/>
      <c r="AG2083" s="251" t="s">
        <v>283</v>
      </c>
    </row>
    <row r="2084" spans="1:33" ht="15.75" customHeight="1">
      <c r="A2084" s="743">
        <v>42830</v>
      </c>
      <c r="B2084" s="386" t="s">
        <v>6565</v>
      </c>
      <c r="C2084" s="744">
        <v>47827</v>
      </c>
      <c r="D2084" s="328" t="s">
        <v>6566</v>
      </c>
      <c r="E2084" s="328" t="s">
        <v>692</v>
      </c>
      <c r="F2084" s="305">
        <v>1</v>
      </c>
      <c r="G2084" s="252">
        <v>25</v>
      </c>
      <c r="H2084" s="574">
        <f t="shared" si="167"/>
        <v>25</v>
      </c>
      <c r="I2084" s="264" t="s">
        <v>3315</v>
      </c>
      <c r="J2084" s="401" t="s">
        <v>6567</v>
      </c>
      <c r="K2084" s="256">
        <v>42842</v>
      </c>
      <c r="L2084" s="256"/>
      <c r="M2084" s="586"/>
      <c r="N2084" s="251"/>
      <c r="O2084" s="251"/>
      <c r="P2084" s="337"/>
      <c r="Q2084" s="795"/>
      <c r="R2084" s="1435"/>
      <c r="S2084" s="1435"/>
      <c r="U2084" s="251"/>
      <c r="V2084" s="585"/>
      <c r="W2084" s="1002"/>
      <c r="X2084" s="745"/>
      <c r="Y2084" s="745"/>
      <c r="Z2084" s="745"/>
      <c r="AA2084" s="1003"/>
      <c r="AB2084" s="250" t="s">
        <v>6570</v>
      </c>
      <c r="AC2084" s="1003"/>
      <c r="AD2084" s="1003"/>
      <c r="AE2084" s="1003"/>
      <c r="AF2084" s="745"/>
      <c r="AG2084" s="251" t="s">
        <v>283</v>
      </c>
    </row>
    <row r="2085" spans="1:33" ht="15.75" customHeight="1">
      <c r="A2085" s="755">
        <v>42831</v>
      </c>
      <c r="B2085" s="970" t="s">
        <v>3516</v>
      </c>
      <c r="C2085" s="970">
        <v>300030</v>
      </c>
      <c r="D2085" s="970" t="s">
        <v>6571</v>
      </c>
      <c r="E2085" s="970" t="s">
        <v>6572</v>
      </c>
      <c r="F2085" s="305">
        <v>17</v>
      </c>
      <c r="G2085" s="252">
        <v>105</v>
      </c>
      <c r="H2085" s="574">
        <f t="shared" si="167"/>
        <v>1785</v>
      </c>
      <c r="I2085" s="975" t="s">
        <v>3315</v>
      </c>
      <c r="J2085" s="585" t="s">
        <v>6217</v>
      </c>
      <c r="K2085" s="256">
        <v>42838</v>
      </c>
      <c r="L2085" s="256"/>
      <c r="M2085" s="256">
        <v>42838</v>
      </c>
      <c r="N2085" s="254" t="s">
        <v>2124</v>
      </c>
      <c r="O2085" s="744" t="s">
        <v>6573</v>
      </c>
      <c r="P2085" s="337"/>
      <c r="Q2085" s="630">
        <v>48820</v>
      </c>
      <c r="R2085" s="1415"/>
      <c r="S2085" s="1415"/>
      <c r="U2085" s="251"/>
      <c r="V2085" s="318" t="s">
        <v>2126</v>
      </c>
      <c r="W2085" s="789">
        <v>42835</v>
      </c>
      <c r="X2085" s="748">
        <v>42837</v>
      </c>
      <c r="Y2085" s="744" t="s">
        <v>6574</v>
      </c>
      <c r="Z2085" s="749">
        <v>48820</v>
      </c>
      <c r="AA2085" s="594">
        <v>42837</v>
      </c>
      <c r="AB2085" s="250" t="s">
        <v>6575</v>
      </c>
      <c r="AC2085" s="1003"/>
      <c r="AD2085" s="1003"/>
      <c r="AE2085" s="1003"/>
      <c r="AF2085" s="745"/>
      <c r="AG2085" s="251" t="s">
        <v>283</v>
      </c>
    </row>
    <row r="2086" spans="1:33" ht="15.75" customHeight="1">
      <c r="A2086" s="755">
        <v>42831</v>
      </c>
      <c r="B2086" s="590" t="s">
        <v>5981</v>
      </c>
      <c r="C2086" s="263">
        <v>7000128893</v>
      </c>
      <c r="D2086" s="263" t="s">
        <v>6576</v>
      </c>
      <c r="E2086" s="263" t="s">
        <v>6577</v>
      </c>
      <c r="F2086" s="305">
        <v>1</v>
      </c>
      <c r="G2086" s="323">
        <v>191</v>
      </c>
      <c r="H2086" s="574">
        <f t="shared" si="167"/>
        <v>191</v>
      </c>
      <c r="I2086" s="264" t="s">
        <v>42</v>
      </c>
      <c r="J2086" s="331" t="s">
        <v>3462</v>
      </c>
      <c r="K2086" s="256">
        <v>42838</v>
      </c>
      <c r="L2086" s="256"/>
      <c r="M2086" s="256">
        <v>42836</v>
      </c>
      <c r="N2086" s="254" t="s">
        <v>3432</v>
      </c>
      <c r="O2086" s="250" t="s">
        <v>6578</v>
      </c>
      <c r="P2086" s="337"/>
      <c r="Q2086" s="630">
        <v>5577</v>
      </c>
      <c r="R2086" s="1415"/>
      <c r="S2086" s="1415"/>
      <c r="U2086" s="251"/>
      <c r="V2086" s="318" t="s">
        <v>2045</v>
      </c>
      <c r="W2086" s="789">
        <v>42891</v>
      </c>
      <c r="X2086" s="748">
        <v>42832</v>
      </c>
      <c r="Y2086" s="744" t="s">
        <v>6579</v>
      </c>
      <c r="Z2086" s="749">
        <v>11414</v>
      </c>
      <c r="AA2086" s="256">
        <v>42891</v>
      </c>
      <c r="AB2086" s="250" t="s">
        <v>6580</v>
      </c>
      <c r="AC2086" s="251">
        <v>3756656912</v>
      </c>
      <c r="AD2086" s="1003"/>
      <c r="AE2086" s="1003"/>
      <c r="AF2086" s="745"/>
      <c r="AG2086" s="251" t="s">
        <v>283</v>
      </c>
    </row>
    <row r="2087" spans="1:33" ht="15.75" customHeight="1">
      <c r="A2087" s="755">
        <v>42831</v>
      </c>
      <c r="B2087" s="590" t="s">
        <v>5981</v>
      </c>
      <c r="C2087" s="250">
        <v>7000128893</v>
      </c>
      <c r="D2087" s="250" t="s">
        <v>6576</v>
      </c>
      <c r="E2087" s="250" t="s">
        <v>6261</v>
      </c>
      <c r="F2087" s="305">
        <v>1</v>
      </c>
      <c r="G2087" s="252">
        <v>126</v>
      </c>
      <c r="H2087" s="574">
        <f t="shared" si="167"/>
        <v>126</v>
      </c>
      <c r="I2087" s="264" t="s">
        <v>42</v>
      </c>
      <c r="J2087" s="756" t="s">
        <v>3462</v>
      </c>
      <c r="K2087" s="256">
        <v>42838</v>
      </c>
      <c r="L2087" s="256"/>
      <c r="M2087" s="256">
        <v>42836</v>
      </c>
      <c r="N2087" s="264" t="s">
        <v>3432</v>
      </c>
      <c r="O2087" s="250" t="s">
        <v>6578</v>
      </c>
      <c r="P2087" s="337"/>
      <c r="Q2087" s="630">
        <v>3688</v>
      </c>
      <c r="R2087" s="1415"/>
      <c r="S2087" s="1415"/>
      <c r="U2087" s="251"/>
      <c r="V2087" s="308" t="s">
        <v>2045</v>
      </c>
      <c r="W2087" s="789">
        <v>42891</v>
      </c>
      <c r="X2087" s="748">
        <v>42832</v>
      </c>
      <c r="Y2087" s="744" t="s">
        <v>6579</v>
      </c>
      <c r="Z2087" s="744" t="s">
        <v>6581</v>
      </c>
      <c r="AA2087" s="256">
        <v>42891</v>
      </c>
      <c r="AB2087" s="250" t="s">
        <v>6580</v>
      </c>
      <c r="AC2087" s="251">
        <v>3756656912</v>
      </c>
      <c r="AD2087" s="1003"/>
      <c r="AE2087" s="1003"/>
      <c r="AF2087" s="745"/>
      <c r="AG2087" s="251" t="s">
        <v>283</v>
      </c>
    </row>
    <row r="2088" spans="1:33" ht="15.75" customHeight="1">
      <c r="A2088" s="755">
        <v>42831</v>
      </c>
      <c r="B2088" s="590" t="s">
        <v>5981</v>
      </c>
      <c r="C2088" s="250">
        <v>7000128893</v>
      </c>
      <c r="D2088" s="250" t="s">
        <v>6576</v>
      </c>
      <c r="E2088" s="250" t="s">
        <v>4034</v>
      </c>
      <c r="F2088" s="305">
        <v>1</v>
      </c>
      <c r="G2088" s="252">
        <v>74</v>
      </c>
      <c r="H2088" s="574">
        <f t="shared" si="167"/>
        <v>74</v>
      </c>
      <c r="I2088" s="264" t="s">
        <v>42</v>
      </c>
      <c r="J2088" s="756" t="s">
        <v>3462</v>
      </c>
      <c r="K2088" s="256">
        <v>42838</v>
      </c>
      <c r="L2088" s="256"/>
      <c r="M2088" s="256">
        <v>42836</v>
      </c>
      <c r="N2088" s="264" t="s">
        <v>3432</v>
      </c>
      <c r="O2088" s="250" t="s">
        <v>6578</v>
      </c>
      <c r="P2088" s="337"/>
      <c r="Q2088" s="630">
        <v>2149</v>
      </c>
      <c r="R2088" s="1415"/>
      <c r="S2088" s="1415"/>
      <c r="U2088" s="251"/>
      <c r="V2088" s="308" t="s">
        <v>2045</v>
      </c>
      <c r="W2088" s="789">
        <v>42891</v>
      </c>
      <c r="X2088" s="748">
        <v>42832</v>
      </c>
      <c r="Y2088" s="744" t="s">
        <v>6579</v>
      </c>
      <c r="Z2088" s="744" t="s">
        <v>6581</v>
      </c>
      <c r="AA2088" s="256">
        <v>42891</v>
      </c>
      <c r="AB2088" s="250" t="s">
        <v>6580</v>
      </c>
      <c r="AC2088" s="251">
        <v>3756656912</v>
      </c>
      <c r="AD2088" s="1003"/>
      <c r="AE2088" s="1003"/>
      <c r="AF2088" s="745"/>
      <c r="AG2088" s="251" t="s">
        <v>283</v>
      </c>
    </row>
    <row r="2089" spans="1:33" ht="15.75" customHeight="1">
      <c r="A2089" s="743">
        <v>42832</v>
      </c>
      <c r="B2089" s="823" t="s">
        <v>6582</v>
      </c>
      <c r="C2089" s="744" t="s">
        <v>6583</v>
      </c>
      <c r="D2089" s="250" t="s">
        <v>6584</v>
      </c>
      <c r="E2089" s="250" t="s">
        <v>6585</v>
      </c>
      <c r="F2089" s="305">
        <v>10</v>
      </c>
      <c r="G2089" s="252">
        <v>90</v>
      </c>
      <c r="H2089" s="574">
        <f t="shared" si="167"/>
        <v>900</v>
      </c>
      <c r="I2089" s="264" t="s">
        <v>170</v>
      </c>
      <c r="J2089" s="756" t="s">
        <v>6586</v>
      </c>
      <c r="K2089" s="256">
        <v>42873</v>
      </c>
      <c r="L2089" s="256"/>
      <c r="M2089" s="251" t="s">
        <v>178</v>
      </c>
      <c r="N2089" s="367" t="s">
        <v>6587</v>
      </c>
      <c r="O2089" s="595" t="s">
        <v>6588</v>
      </c>
      <c r="P2089" s="337"/>
      <c r="Q2089" s="795"/>
      <c r="R2089" s="1435"/>
      <c r="S2089" s="1435"/>
      <c r="U2089" s="595"/>
      <c r="V2089" s="328" t="s">
        <v>4602</v>
      </c>
      <c r="W2089" s="328"/>
      <c r="X2089" s="744"/>
      <c r="Y2089" s="744"/>
      <c r="Z2089" s="744"/>
      <c r="AA2089" s="251"/>
      <c r="AB2089" s="250" t="s">
        <v>6589</v>
      </c>
      <c r="AC2089" s="1003"/>
      <c r="AD2089" s="1003"/>
      <c r="AE2089" s="1003"/>
      <c r="AF2089" s="745"/>
      <c r="AG2089" s="251" t="s">
        <v>283</v>
      </c>
    </row>
    <row r="2090" spans="1:33" ht="15.75" customHeight="1">
      <c r="A2090" s="743">
        <v>42832</v>
      </c>
      <c r="B2090" s="970" t="s">
        <v>377</v>
      </c>
      <c r="C2090" s="744">
        <v>7978</v>
      </c>
      <c r="D2090" s="744" t="s">
        <v>6590</v>
      </c>
      <c r="E2090" s="744" t="s">
        <v>379</v>
      </c>
      <c r="F2090" s="305">
        <v>3</v>
      </c>
      <c r="G2090" s="252">
        <v>83</v>
      </c>
      <c r="H2090" s="265">
        <f t="shared" si="167"/>
        <v>249</v>
      </c>
      <c r="I2090" s="264" t="s">
        <v>3315</v>
      </c>
      <c r="J2090" s="367" t="s">
        <v>6489</v>
      </c>
      <c r="K2090" s="256">
        <v>42866</v>
      </c>
      <c r="L2090" s="256"/>
      <c r="M2090" s="256">
        <v>42865</v>
      </c>
      <c r="N2090" s="264" t="s">
        <v>2021</v>
      </c>
      <c r="O2090" s="744" t="s">
        <v>6591</v>
      </c>
      <c r="P2090" s="574">
        <v>220.5</v>
      </c>
      <c r="Q2090" s="630">
        <v>6747</v>
      </c>
      <c r="R2090" s="1415"/>
      <c r="S2090" s="1415"/>
      <c r="U2090" s="744"/>
      <c r="V2090" s="263" t="s">
        <v>2023</v>
      </c>
      <c r="W2090" s="574" t="s">
        <v>421</v>
      </c>
      <c r="X2090" s="748">
        <v>42863</v>
      </c>
      <c r="Y2090" s="744" t="s">
        <v>6592</v>
      </c>
      <c r="Z2090" s="749">
        <v>6747</v>
      </c>
      <c r="AA2090" s="594">
        <v>42863</v>
      </c>
      <c r="AB2090" s="250" t="s">
        <v>6492</v>
      </c>
      <c r="AC2090" s="251"/>
      <c r="AD2090" s="1003"/>
      <c r="AE2090" s="1003"/>
      <c r="AF2090" s="745"/>
      <c r="AG2090" s="251" t="s">
        <v>283</v>
      </c>
    </row>
    <row r="2091" spans="1:33" ht="15.75" customHeight="1">
      <c r="A2091" s="594">
        <v>42832</v>
      </c>
      <c r="B2091" s="744" t="s">
        <v>377</v>
      </c>
      <c r="C2091" s="744">
        <v>7978</v>
      </c>
      <c r="D2091" s="744" t="s">
        <v>6590</v>
      </c>
      <c r="E2091" s="744" t="s">
        <v>692</v>
      </c>
      <c r="F2091" s="305">
        <v>1</v>
      </c>
      <c r="G2091" s="252">
        <v>25</v>
      </c>
      <c r="H2091" s="265">
        <f t="shared" si="167"/>
        <v>25</v>
      </c>
      <c r="I2091" s="997" t="s">
        <v>3315</v>
      </c>
      <c r="J2091" s="367" t="s">
        <v>6489</v>
      </c>
      <c r="K2091" s="256">
        <v>42866</v>
      </c>
      <c r="L2091" s="256"/>
      <c r="M2091" s="256">
        <v>42865</v>
      </c>
      <c r="N2091" s="264"/>
      <c r="O2091" s="744"/>
      <c r="P2091" s="337"/>
      <c r="Q2091" s="795"/>
      <c r="R2091" s="1435"/>
      <c r="S2091" s="1435"/>
      <c r="U2091" s="744"/>
      <c r="V2091" s="318"/>
      <c r="W2091" s="1010"/>
      <c r="X2091" s="748"/>
      <c r="Y2091" s="744"/>
      <c r="Z2091" s="749"/>
      <c r="AA2091" s="251"/>
      <c r="AB2091" s="250" t="s">
        <v>6492</v>
      </c>
      <c r="AC2091" s="251"/>
      <c r="AD2091" s="1003"/>
      <c r="AE2091" s="1003"/>
      <c r="AF2091" s="745"/>
      <c r="AG2091" s="251" t="s">
        <v>283</v>
      </c>
    </row>
    <row r="2092" spans="1:33" ht="15.75" customHeight="1">
      <c r="A2092" s="594">
        <v>42832</v>
      </c>
      <c r="B2092" s="595" t="s">
        <v>6582</v>
      </c>
      <c r="C2092" s="744" t="s">
        <v>6583</v>
      </c>
      <c r="D2092" s="250" t="s">
        <v>6584</v>
      </c>
      <c r="E2092" s="250" t="s">
        <v>6593</v>
      </c>
      <c r="F2092" s="305">
        <v>4</v>
      </c>
      <c r="G2092" s="252">
        <v>980</v>
      </c>
      <c r="H2092" s="574">
        <f t="shared" si="167"/>
        <v>3920</v>
      </c>
      <c r="I2092" s="264" t="s">
        <v>170</v>
      </c>
      <c r="J2092" s="401" t="s">
        <v>6586</v>
      </c>
      <c r="K2092" s="256">
        <v>42873</v>
      </c>
      <c r="L2092" s="256"/>
      <c r="M2092" s="256">
        <v>42863</v>
      </c>
      <c r="N2092" s="251" t="s">
        <v>89</v>
      </c>
      <c r="O2092" s="250" t="s">
        <v>6594</v>
      </c>
      <c r="P2092" s="265">
        <v>3402</v>
      </c>
      <c r="Q2092" s="795"/>
      <c r="R2092" s="1435"/>
      <c r="S2092" s="1435"/>
      <c r="U2092" s="251"/>
      <c r="V2092" s="318" t="s">
        <v>5896</v>
      </c>
      <c r="W2092" s="789">
        <v>42921</v>
      </c>
      <c r="X2092" s="750">
        <v>42863</v>
      </c>
      <c r="Y2092" s="250" t="s">
        <v>6595</v>
      </c>
      <c r="Z2092" s="753">
        <v>471580</v>
      </c>
      <c r="AA2092" s="594">
        <v>42881</v>
      </c>
      <c r="AB2092" s="250" t="s">
        <v>6589</v>
      </c>
      <c r="AC2092" s="1003"/>
      <c r="AD2092" s="1003"/>
      <c r="AE2092" s="1003"/>
      <c r="AF2092" s="745"/>
      <c r="AG2092" s="251" t="s">
        <v>283</v>
      </c>
    </row>
    <row r="2093" spans="1:33" ht="15.75" customHeight="1">
      <c r="A2093" s="594">
        <v>42832</v>
      </c>
      <c r="B2093" s="595" t="s">
        <v>6582</v>
      </c>
      <c r="C2093" s="744" t="s">
        <v>6583</v>
      </c>
      <c r="D2093" s="250" t="s">
        <v>6584</v>
      </c>
      <c r="E2093" s="250" t="s">
        <v>6596</v>
      </c>
      <c r="F2093" s="305">
        <v>12</v>
      </c>
      <c r="G2093" s="252">
        <v>730</v>
      </c>
      <c r="H2093" s="574">
        <f t="shared" si="167"/>
        <v>8760</v>
      </c>
      <c r="I2093" s="264" t="s">
        <v>170</v>
      </c>
      <c r="J2093" s="401" t="s">
        <v>6586</v>
      </c>
      <c r="K2093" s="256">
        <v>42873</v>
      </c>
      <c r="L2093" s="256"/>
      <c r="M2093" s="256">
        <v>42863</v>
      </c>
      <c r="N2093" s="251" t="s">
        <v>89</v>
      </c>
      <c r="O2093" s="250" t="s">
        <v>6594</v>
      </c>
      <c r="P2093" s="265">
        <v>7912.8</v>
      </c>
      <c r="Q2093" s="795"/>
      <c r="R2093" s="1435"/>
      <c r="S2093" s="1435"/>
      <c r="U2093" s="251"/>
      <c r="V2093" s="318" t="s">
        <v>5896</v>
      </c>
      <c r="W2093" s="789">
        <v>42921</v>
      </c>
      <c r="X2093" s="750">
        <v>42863</v>
      </c>
      <c r="Y2093" s="250" t="s">
        <v>6595</v>
      </c>
      <c r="Z2093" s="753">
        <v>471580</v>
      </c>
      <c r="AA2093" s="594">
        <v>42881</v>
      </c>
      <c r="AB2093" s="250" t="s">
        <v>6589</v>
      </c>
      <c r="AC2093" s="1003"/>
      <c r="AD2093" s="1003"/>
      <c r="AE2093" s="1003"/>
      <c r="AF2093" s="745"/>
      <c r="AG2093" s="251" t="s">
        <v>283</v>
      </c>
    </row>
    <row r="2094" spans="1:33" ht="15.75" customHeight="1">
      <c r="A2094" s="594">
        <v>42832</v>
      </c>
      <c r="B2094" s="595" t="s">
        <v>6582</v>
      </c>
      <c r="C2094" s="744" t="s">
        <v>6583</v>
      </c>
      <c r="D2094" s="250" t="s">
        <v>6584</v>
      </c>
      <c r="E2094" s="250" t="s">
        <v>6597</v>
      </c>
      <c r="F2094" s="305">
        <v>2</v>
      </c>
      <c r="G2094" s="252">
        <v>2376</v>
      </c>
      <c r="H2094" s="574">
        <f t="shared" si="167"/>
        <v>4752</v>
      </c>
      <c r="I2094" s="264" t="s">
        <v>170</v>
      </c>
      <c r="J2094" s="401" t="s">
        <v>6586</v>
      </c>
      <c r="K2094" s="256">
        <v>42873</v>
      </c>
      <c r="L2094" s="256"/>
      <c r="M2094" s="256">
        <v>42863</v>
      </c>
      <c r="N2094" s="585" t="s">
        <v>89</v>
      </c>
      <c r="O2094" s="250" t="s">
        <v>6594</v>
      </c>
      <c r="P2094" s="265">
        <v>4357.5</v>
      </c>
      <c r="Q2094" s="795"/>
      <c r="R2094" s="1435"/>
      <c r="S2094" s="1435"/>
      <c r="U2094" s="251"/>
      <c r="V2094" s="318" t="s">
        <v>5896</v>
      </c>
      <c r="W2094" s="789">
        <v>42921</v>
      </c>
      <c r="X2094" s="750">
        <v>42863</v>
      </c>
      <c r="Y2094" s="250" t="s">
        <v>6595</v>
      </c>
      <c r="Z2094" s="753">
        <v>471580</v>
      </c>
      <c r="AA2094" s="594">
        <v>42881</v>
      </c>
      <c r="AB2094" s="250" t="s">
        <v>6589</v>
      </c>
      <c r="AC2094" s="1003"/>
      <c r="AD2094" s="1003"/>
      <c r="AE2094" s="1003"/>
      <c r="AF2094" s="745"/>
      <c r="AG2094" s="251" t="s">
        <v>283</v>
      </c>
    </row>
    <row r="2095" spans="1:33" ht="15.75" customHeight="1">
      <c r="A2095" s="594">
        <v>42832</v>
      </c>
      <c r="B2095" s="595" t="s">
        <v>6582</v>
      </c>
      <c r="C2095" s="744" t="s">
        <v>6583</v>
      </c>
      <c r="D2095" s="250" t="s">
        <v>6584</v>
      </c>
      <c r="E2095" s="250" t="s">
        <v>6585</v>
      </c>
      <c r="F2095" s="305">
        <v>8</v>
      </c>
      <c r="G2095" s="252">
        <v>90</v>
      </c>
      <c r="H2095" s="574">
        <f t="shared" si="167"/>
        <v>720</v>
      </c>
      <c r="I2095" s="264" t="s">
        <v>170</v>
      </c>
      <c r="J2095" s="401" t="s">
        <v>6586</v>
      </c>
      <c r="K2095" s="256">
        <v>42873</v>
      </c>
      <c r="L2095" s="256"/>
      <c r="M2095" s="256">
        <v>42853</v>
      </c>
      <c r="N2095" s="331" t="s">
        <v>6598</v>
      </c>
      <c r="O2095" s="250" t="s">
        <v>6599</v>
      </c>
      <c r="P2095" s="337"/>
      <c r="Q2095" s="630">
        <v>5796</v>
      </c>
      <c r="R2095" s="1415"/>
      <c r="S2095" s="1415"/>
      <c r="U2095" s="251"/>
      <c r="V2095" s="386" t="s">
        <v>4602</v>
      </c>
      <c r="W2095" s="574" t="s">
        <v>421</v>
      </c>
      <c r="X2095" s="748">
        <v>42853</v>
      </c>
      <c r="Y2095" s="744" t="s">
        <v>6600</v>
      </c>
      <c r="Z2095" s="749">
        <v>23940</v>
      </c>
      <c r="AA2095" s="594">
        <v>42850</v>
      </c>
      <c r="AB2095" s="250" t="s">
        <v>6589</v>
      </c>
      <c r="AC2095" s="1003"/>
      <c r="AD2095" s="1003"/>
      <c r="AE2095" s="1003"/>
      <c r="AF2095" s="745"/>
      <c r="AG2095" s="251" t="s">
        <v>283</v>
      </c>
    </row>
    <row r="2096" spans="1:33" ht="15.75" customHeight="1">
      <c r="A2096" s="594">
        <v>42832</v>
      </c>
      <c r="B2096" s="595" t="s">
        <v>6582</v>
      </c>
      <c r="C2096" s="744" t="s">
        <v>6583</v>
      </c>
      <c r="D2096" s="250" t="s">
        <v>6584</v>
      </c>
      <c r="E2096" s="250" t="s">
        <v>6601</v>
      </c>
      <c r="F2096" s="305">
        <v>6</v>
      </c>
      <c r="G2096" s="252">
        <v>323</v>
      </c>
      <c r="H2096" s="574">
        <f t="shared" si="167"/>
        <v>1938</v>
      </c>
      <c r="I2096" s="264" t="s">
        <v>170</v>
      </c>
      <c r="J2096" s="401" t="s">
        <v>6586</v>
      </c>
      <c r="K2096" s="256">
        <v>42873</v>
      </c>
      <c r="L2096" s="256"/>
      <c r="M2096" s="256">
        <v>42853</v>
      </c>
      <c r="N2096" s="331" t="s">
        <v>6598</v>
      </c>
      <c r="O2096" s="250" t="s">
        <v>6599</v>
      </c>
      <c r="P2096" s="337"/>
      <c r="Q2096" s="630">
        <v>18144</v>
      </c>
      <c r="R2096" s="1415"/>
      <c r="S2096" s="1415"/>
      <c r="U2096" s="251"/>
      <c r="V2096" s="386" t="s">
        <v>4602</v>
      </c>
      <c r="W2096" s="574" t="s">
        <v>421</v>
      </c>
      <c r="X2096" s="748">
        <v>42853</v>
      </c>
      <c r="Y2096" s="744" t="s">
        <v>6600</v>
      </c>
      <c r="Z2096" s="744" t="s">
        <v>6602</v>
      </c>
      <c r="AA2096" s="594">
        <v>42850</v>
      </c>
      <c r="AB2096" s="250" t="s">
        <v>6589</v>
      </c>
      <c r="AC2096" s="1003"/>
      <c r="AD2096" s="1003"/>
      <c r="AE2096" s="1003"/>
      <c r="AF2096" s="745"/>
      <c r="AG2096" s="251" t="s">
        <v>283</v>
      </c>
    </row>
    <row r="2097" spans="1:33" ht="15.75" customHeight="1">
      <c r="A2097" s="594">
        <v>42832</v>
      </c>
      <c r="B2097" s="970" t="s">
        <v>6357</v>
      </c>
      <c r="C2097" s="744"/>
      <c r="D2097" s="250" t="s">
        <v>6603</v>
      </c>
      <c r="E2097" s="250" t="s">
        <v>6604</v>
      </c>
      <c r="F2097" s="305">
        <v>1</v>
      </c>
      <c r="G2097" s="252">
        <v>380</v>
      </c>
      <c r="H2097" s="574">
        <f t="shared" si="167"/>
        <v>380</v>
      </c>
      <c r="I2097" s="264" t="s">
        <v>3315</v>
      </c>
      <c r="J2097" s="367" t="s">
        <v>3502</v>
      </c>
      <c r="K2097" s="256">
        <v>42842</v>
      </c>
      <c r="L2097" s="256"/>
      <c r="M2097" s="623"/>
      <c r="N2097" s="331"/>
      <c r="O2097" s="250"/>
      <c r="P2097" s="337"/>
      <c r="Q2097" s="795"/>
      <c r="R2097" s="1435"/>
      <c r="S2097" s="1435"/>
      <c r="U2097" s="251"/>
      <c r="V2097" s="338"/>
      <c r="W2097" s="328"/>
      <c r="X2097" s="745"/>
      <c r="Y2097" s="745"/>
      <c r="Z2097" s="745"/>
      <c r="AA2097" s="1003"/>
      <c r="AB2097" s="1003"/>
      <c r="AC2097" s="1003"/>
      <c r="AD2097" s="1003"/>
      <c r="AE2097" s="1003"/>
      <c r="AF2097" s="745"/>
      <c r="AG2097" s="251" t="s">
        <v>6253</v>
      </c>
    </row>
    <row r="2098" spans="1:33" ht="15.75" customHeight="1">
      <c r="A2098" s="594">
        <v>42832</v>
      </c>
      <c r="B2098" s="970" t="s">
        <v>6357</v>
      </c>
      <c r="C2098" s="744"/>
      <c r="D2098" s="250" t="s">
        <v>6603</v>
      </c>
      <c r="E2098" s="250" t="s">
        <v>6605</v>
      </c>
      <c r="F2098" s="305">
        <v>1</v>
      </c>
      <c r="G2098" s="252">
        <v>35</v>
      </c>
      <c r="H2098" s="574">
        <f t="shared" si="167"/>
        <v>35</v>
      </c>
      <c r="I2098" s="264" t="s">
        <v>3315</v>
      </c>
      <c r="J2098" s="367" t="s">
        <v>3502</v>
      </c>
      <c r="K2098" s="256">
        <v>42842</v>
      </c>
      <c r="L2098" s="256"/>
      <c r="M2098" s="623"/>
      <c r="N2098" s="331"/>
      <c r="O2098" s="250"/>
      <c r="P2098" s="337"/>
      <c r="Q2098" s="630">
        <v>840</v>
      </c>
      <c r="R2098" s="1415"/>
      <c r="S2098" s="1415"/>
      <c r="U2098" s="251"/>
      <c r="V2098" s="338" t="s">
        <v>3508</v>
      </c>
      <c r="W2098" s="328"/>
      <c r="X2098" s="745"/>
      <c r="Y2098" s="745"/>
      <c r="Z2098" s="745"/>
      <c r="AA2098" s="1003"/>
      <c r="AB2098" s="1003"/>
      <c r="AC2098" s="1003"/>
      <c r="AD2098" s="1003"/>
      <c r="AE2098" s="1003"/>
      <c r="AF2098" s="745"/>
      <c r="AG2098" s="251" t="s">
        <v>6253</v>
      </c>
    </row>
    <row r="2099" spans="1:33" ht="15.75" customHeight="1">
      <c r="A2099" s="594">
        <v>42835</v>
      </c>
      <c r="B2099" s="970" t="s">
        <v>76</v>
      </c>
      <c r="C2099" s="744">
        <v>308</v>
      </c>
      <c r="D2099" s="250" t="s">
        <v>6606</v>
      </c>
      <c r="E2099" s="250" t="s">
        <v>3983</v>
      </c>
      <c r="F2099" s="305">
        <v>80</v>
      </c>
      <c r="G2099" s="252">
        <v>5</v>
      </c>
      <c r="H2099" s="574">
        <f t="shared" si="167"/>
        <v>400</v>
      </c>
      <c r="I2099" s="264" t="s">
        <v>42</v>
      </c>
      <c r="J2099" s="367" t="s">
        <v>315</v>
      </c>
      <c r="K2099" s="256">
        <v>42881</v>
      </c>
      <c r="L2099" s="256"/>
      <c r="M2099" s="256">
        <v>42880</v>
      </c>
      <c r="N2099" s="585" t="s">
        <v>2006</v>
      </c>
      <c r="O2099" s="250" t="s">
        <v>6607</v>
      </c>
      <c r="P2099" s="337"/>
      <c r="Q2099" s="630">
        <v>4872</v>
      </c>
      <c r="R2099" s="1415"/>
      <c r="S2099" s="1415"/>
      <c r="U2099" s="251"/>
      <c r="V2099" s="970" t="s">
        <v>2146</v>
      </c>
      <c r="W2099" s="789">
        <v>42891</v>
      </c>
      <c r="X2099" s="748">
        <v>42878</v>
      </c>
      <c r="Y2099" s="744" t="s">
        <v>6608</v>
      </c>
      <c r="Z2099" s="749">
        <v>6998</v>
      </c>
      <c r="AA2099" s="256">
        <v>42892</v>
      </c>
      <c r="AB2099" s="250" t="s">
        <v>6609</v>
      </c>
      <c r="AC2099" s="1003"/>
      <c r="AD2099" s="1003"/>
      <c r="AE2099" s="1003"/>
      <c r="AF2099" s="745"/>
      <c r="AG2099" s="251" t="s">
        <v>283</v>
      </c>
    </row>
    <row r="2100" spans="1:33" ht="15.75" customHeight="1">
      <c r="A2100" s="594">
        <v>42835</v>
      </c>
      <c r="B2100" s="970" t="s">
        <v>228</v>
      </c>
      <c r="C2100" s="744"/>
      <c r="D2100" s="250" t="s">
        <v>6610</v>
      </c>
      <c r="E2100" s="250" t="s">
        <v>461</v>
      </c>
      <c r="F2100" s="305">
        <v>25</v>
      </c>
      <c r="G2100" s="265">
        <v>415.8</v>
      </c>
      <c r="H2100" s="265">
        <f t="shared" si="167"/>
        <v>10395</v>
      </c>
      <c r="I2100" s="264" t="s">
        <v>170</v>
      </c>
      <c r="J2100" s="251" t="s">
        <v>89</v>
      </c>
      <c r="K2100" s="256">
        <v>42849</v>
      </c>
      <c r="L2100" s="256"/>
      <c r="M2100" s="256">
        <v>42849</v>
      </c>
      <c r="N2100" s="251" t="s">
        <v>89</v>
      </c>
      <c r="O2100" s="250" t="s">
        <v>6611</v>
      </c>
      <c r="P2100" s="574">
        <v>9318.75</v>
      </c>
      <c r="Q2100" s="795"/>
      <c r="R2100" s="1435"/>
      <c r="S2100" s="1435"/>
      <c r="U2100" s="251"/>
      <c r="V2100" s="318" t="s">
        <v>5896</v>
      </c>
      <c r="W2100" s="789">
        <v>42891</v>
      </c>
      <c r="X2100" s="748">
        <v>42850</v>
      </c>
      <c r="Y2100" s="250" t="s">
        <v>6612</v>
      </c>
      <c r="Z2100" s="753">
        <v>282638</v>
      </c>
      <c r="AA2100" s="594">
        <v>42881</v>
      </c>
      <c r="AB2100" s="744" t="s">
        <v>6613</v>
      </c>
      <c r="AC2100" s="1003"/>
      <c r="AD2100" s="744" t="s">
        <v>6614</v>
      </c>
      <c r="AE2100" s="260">
        <v>314969</v>
      </c>
      <c r="AF2100" s="744" t="s">
        <v>6615</v>
      </c>
      <c r="AG2100" s="251" t="s">
        <v>376</v>
      </c>
    </row>
    <row r="2101" spans="1:33" ht="15.75" customHeight="1">
      <c r="A2101" s="594">
        <v>42835</v>
      </c>
      <c r="B2101" s="970" t="s">
        <v>100</v>
      </c>
      <c r="C2101" s="744" t="s">
        <v>6616</v>
      </c>
      <c r="D2101" s="250" t="s">
        <v>6617</v>
      </c>
      <c r="E2101" s="250" t="s">
        <v>6618</v>
      </c>
      <c r="F2101" s="305">
        <v>2</v>
      </c>
      <c r="G2101" s="252">
        <v>322</v>
      </c>
      <c r="H2101" s="574">
        <f t="shared" si="167"/>
        <v>644</v>
      </c>
      <c r="I2101" s="264" t="s">
        <v>3315</v>
      </c>
      <c r="J2101" s="367" t="s">
        <v>3578</v>
      </c>
      <c r="K2101" s="256">
        <v>42849</v>
      </c>
      <c r="L2101" s="256"/>
      <c r="M2101" s="256">
        <v>42845</v>
      </c>
      <c r="N2101" s="331" t="s">
        <v>1995</v>
      </c>
      <c r="O2101" s="250" t="s">
        <v>6619</v>
      </c>
      <c r="P2101" s="337"/>
      <c r="Q2101" s="630">
        <v>18633</v>
      </c>
      <c r="R2101" s="1415"/>
      <c r="S2101" s="1415"/>
      <c r="U2101" s="251"/>
      <c r="V2101" s="338" t="s">
        <v>1997</v>
      </c>
      <c r="W2101" s="328"/>
      <c r="X2101" s="748">
        <v>42844</v>
      </c>
      <c r="Y2101" s="744" t="s">
        <v>6620</v>
      </c>
      <c r="Z2101" s="749">
        <v>19148</v>
      </c>
      <c r="AA2101" s="594">
        <v>42842</v>
      </c>
      <c r="AB2101" s="250" t="s">
        <v>6621</v>
      </c>
      <c r="AC2101" s="1003"/>
      <c r="AD2101" s="1003"/>
      <c r="AE2101" s="1003"/>
      <c r="AF2101" s="745"/>
      <c r="AG2101" s="251" t="s">
        <v>283</v>
      </c>
    </row>
    <row r="2102" spans="1:33" ht="15.75" customHeight="1">
      <c r="A2102" s="743">
        <v>42835</v>
      </c>
      <c r="B2102" s="970" t="s">
        <v>100</v>
      </c>
      <c r="C2102" s="744" t="s">
        <v>6616</v>
      </c>
      <c r="D2102" s="250" t="s">
        <v>6622</v>
      </c>
      <c r="E2102" s="250" t="s">
        <v>3700</v>
      </c>
      <c r="F2102" s="305">
        <v>2</v>
      </c>
      <c r="G2102" s="252">
        <v>9</v>
      </c>
      <c r="H2102" s="574">
        <f t="shared" si="167"/>
        <v>18</v>
      </c>
      <c r="I2102" s="264" t="s">
        <v>3315</v>
      </c>
      <c r="J2102" s="367" t="s">
        <v>3578</v>
      </c>
      <c r="K2102" s="256">
        <v>42849</v>
      </c>
      <c r="L2102" s="256"/>
      <c r="M2102" s="256">
        <v>42845</v>
      </c>
      <c r="N2102" s="401" t="s">
        <v>1995</v>
      </c>
      <c r="O2102" s="759" t="s">
        <v>6619</v>
      </c>
      <c r="P2102" s="337"/>
      <c r="Q2102" s="630">
        <v>515</v>
      </c>
      <c r="R2102" s="1415"/>
      <c r="S2102" s="1415"/>
      <c r="U2102" s="251"/>
      <c r="V2102" s="571" t="s">
        <v>1997</v>
      </c>
      <c r="W2102" s="328"/>
      <c r="X2102" s="748">
        <v>42844</v>
      </c>
      <c r="Y2102" s="744" t="s">
        <v>6620</v>
      </c>
      <c r="Z2102" s="744" t="s">
        <v>6623</v>
      </c>
      <c r="AA2102" s="594">
        <v>42842</v>
      </c>
      <c r="AB2102" s="250" t="s">
        <v>6621</v>
      </c>
      <c r="AC2102" s="1003"/>
      <c r="AD2102" s="1003"/>
      <c r="AE2102" s="1003"/>
      <c r="AF2102" s="745"/>
      <c r="AG2102" s="251" t="s">
        <v>283</v>
      </c>
    </row>
    <row r="2103" spans="1:33" ht="15.75" customHeight="1">
      <c r="A2103" s="594">
        <v>42835</v>
      </c>
      <c r="B2103" s="970" t="s">
        <v>100</v>
      </c>
      <c r="C2103" s="744" t="s">
        <v>6616</v>
      </c>
      <c r="D2103" s="250" t="s">
        <v>6622</v>
      </c>
      <c r="E2103" s="250" t="s">
        <v>6420</v>
      </c>
      <c r="F2103" s="305">
        <v>2</v>
      </c>
      <c r="G2103" s="252">
        <v>39</v>
      </c>
      <c r="H2103" s="574">
        <f t="shared" si="167"/>
        <v>78</v>
      </c>
      <c r="I2103" s="264" t="s">
        <v>3315</v>
      </c>
      <c r="J2103" s="367" t="s">
        <v>3578</v>
      </c>
      <c r="K2103" s="256">
        <v>42849</v>
      </c>
      <c r="L2103" s="256"/>
      <c r="M2103" s="256">
        <v>42843</v>
      </c>
      <c r="N2103" s="264" t="s">
        <v>2124</v>
      </c>
      <c r="O2103" s="250" t="s">
        <v>6624</v>
      </c>
      <c r="P2103" s="337"/>
      <c r="Q2103" s="630">
        <v>2020</v>
      </c>
      <c r="R2103" s="1415"/>
      <c r="S2103" s="1415"/>
      <c r="U2103" s="251"/>
      <c r="V2103" s="318" t="s">
        <v>2126</v>
      </c>
      <c r="W2103" s="328"/>
      <c r="X2103" s="748">
        <v>42839</v>
      </c>
      <c r="Y2103" s="744" t="s">
        <v>6625</v>
      </c>
      <c r="Z2103" s="749">
        <v>2020</v>
      </c>
      <c r="AA2103" s="594">
        <v>42837</v>
      </c>
      <c r="AB2103" s="250" t="s">
        <v>6621</v>
      </c>
      <c r="AC2103" s="1003"/>
      <c r="AD2103" s="1003"/>
      <c r="AE2103" s="1003"/>
      <c r="AF2103" s="745"/>
      <c r="AG2103" s="251" t="s">
        <v>283</v>
      </c>
    </row>
    <row r="2104" spans="1:33" ht="15.75" customHeight="1">
      <c r="A2104" s="594">
        <v>42835</v>
      </c>
      <c r="B2104" s="970" t="s">
        <v>6626</v>
      </c>
      <c r="C2104" s="744">
        <v>1052017</v>
      </c>
      <c r="D2104" s="744" t="s">
        <v>6627</v>
      </c>
      <c r="E2104" s="744" t="s">
        <v>6628</v>
      </c>
      <c r="F2104" s="305">
        <v>2</v>
      </c>
      <c r="G2104" s="252">
        <v>62</v>
      </c>
      <c r="H2104" s="265">
        <f t="shared" si="167"/>
        <v>124</v>
      </c>
      <c r="I2104" s="264" t="s">
        <v>3315</v>
      </c>
      <c r="J2104" s="367" t="s">
        <v>5189</v>
      </c>
      <c r="K2104" s="256">
        <v>42843</v>
      </c>
      <c r="L2104" s="256"/>
      <c r="M2104" s="256">
        <v>42842</v>
      </c>
      <c r="N2104" s="251" t="s">
        <v>89</v>
      </c>
      <c r="O2104" s="250" t="s">
        <v>6629</v>
      </c>
      <c r="P2104" s="574">
        <v>109.2</v>
      </c>
      <c r="Q2104" s="795"/>
      <c r="R2104" s="1435"/>
      <c r="S2104" s="1435"/>
      <c r="U2104" s="251"/>
      <c r="V2104" s="318" t="s">
        <v>5896</v>
      </c>
      <c r="W2104" s="789">
        <v>42860</v>
      </c>
      <c r="X2104" s="748">
        <v>42842</v>
      </c>
      <c r="Y2104" s="744" t="s">
        <v>6630</v>
      </c>
      <c r="Z2104" s="749">
        <v>3313</v>
      </c>
      <c r="AA2104" s="594">
        <v>42860</v>
      </c>
      <c r="AB2104" s="250" t="s">
        <v>6631</v>
      </c>
      <c r="AC2104" s="251">
        <v>778924600185</v>
      </c>
      <c r="AD2104" s="1003"/>
      <c r="AE2104" s="1003"/>
      <c r="AF2104" s="745"/>
      <c r="AG2104" s="251" t="s">
        <v>283</v>
      </c>
    </row>
    <row r="2105" spans="1:33" ht="15.75" customHeight="1">
      <c r="A2105" s="594">
        <v>42835</v>
      </c>
      <c r="B2105" s="970" t="s">
        <v>6626</v>
      </c>
      <c r="C2105" s="744">
        <v>1052017</v>
      </c>
      <c r="D2105" s="744" t="s">
        <v>6627</v>
      </c>
      <c r="E2105" s="744" t="s">
        <v>692</v>
      </c>
      <c r="F2105" s="305">
        <v>1</v>
      </c>
      <c r="G2105" s="252">
        <v>25</v>
      </c>
      <c r="H2105" s="265">
        <f t="shared" si="167"/>
        <v>25</v>
      </c>
      <c r="I2105" s="264" t="s">
        <v>3315</v>
      </c>
      <c r="J2105" s="367" t="s">
        <v>5189</v>
      </c>
      <c r="K2105" s="256">
        <v>42843</v>
      </c>
      <c r="L2105" s="256"/>
      <c r="M2105" s="251"/>
      <c r="N2105" s="251"/>
      <c r="O2105" s="264"/>
      <c r="P2105" s="337"/>
      <c r="Q2105" s="795"/>
      <c r="R2105" s="1435"/>
      <c r="S2105" s="1435"/>
      <c r="U2105" s="251"/>
      <c r="V2105" s="251"/>
      <c r="W2105" s="1002"/>
      <c r="X2105" s="746"/>
      <c r="Y2105" s="745"/>
      <c r="Z2105" s="745"/>
      <c r="AA2105" s="1003"/>
      <c r="AB2105" s="1003"/>
      <c r="AC2105" s="1003"/>
      <c r="AD2105" s="1003"/>
      <c r="AE2105" s="1003"/>
      <c r="AF2105" s="745"/>
      <c r="AG2105" s="251" t="s">
        <v>283</v>
      </c>
    </row>
    <row r="2106" spans="1:33" ht="15.75" customHeight="1">
      <c r="A2106" s="594">
        <v>42837</v>
      </c>
      <c r="B2106" s="970" t="s">
        <v>76</v>
      </c>
      <c r="C2106" s="744">
        <v>315</v>
      </c>
      <c r="D2106" s="759" t="s">
        <v>6632</v>
      </c>
      <c r="E2106" s="759" t="s">
        <v>361</v>
      </c>
      <c r="F2106" s="305">
        <v>100</v>
      </c>
      <c r="G2106" s="252">
        <v>20</v>
      </c>
      <c r="H2106" s="574">
        <f t="shared" si="167"/>
        <v>2000</v>
      </c>
      <c r="I2106" s="264" t="s">
        <v>42</v>
      </c>
      <c r="J2106" s="367" t="s">
        <v>315</v>
      </c>
      <c r="K2106" s="256">
        <v>42873</v>
      </c>
      <c r="L2106" s="256"/>
      <c r="M2106" s="256">
        <v>42873</v>
      </c>
      <c r="N2106" s="401" t="s">
        <v>6101</v>
      </c>
      <c r="O2106" s="250" t="s">
        <v>6633</v>
      </c>
      <c r="P2106" s="630">
        <v>1827</v>
      </c>
      <c r="Q2106" s="795"/>
      <c r="R2106" s="1435"/>
      <c r="S2106" s="1435"/>
      <c r="U2106" s="251"/>
      <c r="V2106" s="328" t="s">
        <v>2010</v>
      </c>
      <c r="W2106" s="789">
        <v>42891</v>
      </c>
      <c r="X2106" s="748">
        <v>42871</v>
      </c>
      <c r="Y2106" s="744" t="s">
        <v>6634</v>
      </c>
      <c r="Z2106" s="749">
        <v>55084</v>
      </c>
      <c r="AA2106" s="256">
        <v>42891</v>
      </c>
      <c r="AB2106" s="250" t="s">
        <v>6635</v>
      </c>
      <c r="AC2106" s="251">
        <v>983435983</v>
      </c>
      <c r="AD2106" s="1003"/>
      <c r="AE2106" s="1003"/>
      <c r="AF2106" s="745"/>
      <c r="AG2106" s="251" t="s">
        <v>283</v>
      </c>
    </row>
    <row r="2107" spans="1:33" ht="15.75" customHeight="1">
      <c r="A2107" s="594">
        <v>42837</v>
      </c>
      <c r="B2107" s="970" t="s">
        <v>76</v>
      </c>
      <c r="C2107" s="744">
        <v>315</v>
      </c>
      <c r="D2107" s="250" t="s">
        <v>6632</v>
      </c>
      <c r="E2107" s="250" t="s">
        <v>6636</v>
      </c>
      <c r="F2107" s="305">
        <v>1</v>
      </c>
      <c r="G2107" s="252">
        <v>125</v>
      </c>
      <c r="H2107" s="574">
        <f t="shared" si="167"/>
        <v>125</v>
      </c>
      <c r="I2107" s="264" t="s">
        <v>42</v>
      </c>
      <c r="J2107" s="367" t="s">
        <v>315</v>
      </c>
      <c r="K2107" s="256">
        <v>42873</v>
      </c>
      <c r="L2107" s="256"/>
      <c r="M2107" s="256">
        <v>42867</v>
      </c>
      <c r="N2107" s="331" t="s">
        <v>3330</v>
      </c>
      <c r="O2107" s="250" t="s">
        <v>6637</v>
      </c>
      <c r="P2107" s="1011"/>
      <c r="Q2107" s="630">
        <v>3484</v>
      </c>
      <c r="R2107" s="1415"/>
      <c r="S2107" s="1415"/>
      <c r="U2107" s="251"/>
      <c r="V2107" s="862" t="s">
        <v>6447</v>
      </c>
      <c r="W2107" s="789">
        <v>42898</v>
      </c>
      <c r="X2107" s="748">
        <v>42867</v>
      </c>
      <c r="Y2107" s="744" t="s">
        <v>6638</v>
      </c>
      <c r="Z2107" s="749">
        <v>3484</v>
      </c>
      <c r="AA2107" s="594">
        <v>42888</v>
      </c>
      <c r="AB2107" s="250" t="s">
        <v>6635</v>
      </c>
      <c r="AC2107" s="251">
        <v>983435983</v>
      </c>
      <c r="AD2107" s="1003"/>
      <c r="AE2107" s="1003"/>
      <c r="AF2107" s="745"/>
      <c r="AG2107" s="251" t="s">
        <v>283</v>
      </c>
    </row>
    <row r="2108" spans="1:33" ht="15.75" customHeight="1">
      <c r="A2108" s="743">
        <v>42837</v>
      </c>
      <c r="B2108" s="970" t="s">
        <v>100</v>
      </c>
      <c r="C2108" s="744" t="s">
        <v>6639</v>
      </c>
      <c r="D2108" s="744" t="s">
        <v>6640</v>
      </c>
      <c r="E2108" s="744" t="s">
        <v>6641</v>
      </c>
      <c r="F2108" s="305">
        <v>1</v>
      </c>
      <c r="G2108" s="252">
        <v>994</v>
      </c>
      <c r="H2108" s="265">
        <f t="shared" si="167"/>
        <v>994</v>
      </c>
      <c r="I2108" s="264" t="s">
        <v>3315</v>
      </c>
      <c r="J2108" s="367" t="s">
        <v>3578</v>
      </c>
      <c r="K2108" s="256">
        <v>42859</v>
      </c>
      <c r="L2108" s="256"/>
      <c r="M2108" s="256">
        <v>42858</v>
      </c>
      <c r="N2108" s="401" t="s">
        <v>6642</v>
      </c>
      <c r="O2108" s="744" t="s">
        <v>6643</v>
      </c>
      <c r="P2108" s="574">
        <v>918.75</v>
      </c>
      <c r="Q2108" s="795"/>
      <c r="R2108" s="1435"/>
      <c r="S2108" s="1435"/>
      <c r="U2108" s="251"/>
      <c r="V2108" s="770" t="s">
        <v>2274</v>
      </c>
      <c r="W2108" s="1002"/>
      <c r="X2108" s="750">
        <v>42852</v>
      </c>
      <c r="Y2108" s="250" t="s">
        <v>6644</v>
      </c>
      <c r="Z2108" s="753">
        <v>27769</v>
      </c>
      <c r="AA2108" s="594">
        <v>42922</v>
      </c>
      <c r="AB2108" s="250" t="s">
        <v>6645</v>
      </c>
      <c r="AC2108" s="1003"/>
      <c r="AD2108" s="1003"/>
      <c r="AE2108" s="1003"/>
      <c r="AF2108" s="745"/>
      <c r="AG2108" s="251" t="s">
        <v>283</v>
      </c>
    </row>
    <row r="2109" spans="1:33" ht="15.75" customHeight="1">
      <c r="A2109" s="743">
        <v>42837</v>
      </c>
      <c r="B2109" s="970" t="s">
        <v>76</v>
      </c>
      <c r="C2109" s="744">
        <v>315</v>
      </c>
      <c r="D2109" s="250" t="s">
        <v>6632</v>
      </c>
      <c r="E2109" s="250" t="s">
        <v>3381</v>
      </c>
      <c r="F2109" s="305">
        <v>25</v>
      </c>
      <c r="G2109" s="252">
        <v>285</v>
      </c>
      <c r="H2109" s="574">
        <f t="shared" si="167"/>
        <v>7125</v>
      </c>
      <c r="I2109" s="264" t="s">
        <v>42</v>
      </c>
      <c r="J2109" s="367" t="s">
        <v>315</v>
      </c>
      <c r="K2109" s="256">
        <v>42852</v>
      </c>
      <c r="L2109" s="256"/>
      <c r="M2109" s="256">
        <v>42850</v>
      </c>
      <c r="N2109" s="331" t="s">
        <v>1967</v>
      </c>
      <c r="O2109" s="250" t="s">
        <v>6646</v>
      </c>
      <c r="P2109" s="574">
        <v>6562.5</v>
      </c>
      <c r="Q2109" s="795"/>
      <c r="R2109" s="1435"/>
      <c r="S2109" s="1435"/>
      <c r="U2109" s="251"/>
      <c r="V2109" s="308" t="s">
        <v>1969</v>
      </c>
      <c r="W2109" s="789">
        <v>42891</v>
      </c>
      <c r="X2109" s="748">
        <v>42849</v>
      </c>
      <c r="Y2109" s="744" t="s">
        <v>6647</v>
      </c>
      <c r="Z2109" s="749">
        <v>198910</v>
      </c>
      <c r="AA2109" s="256">
        <v>42923</v>
      </c>
      <c r="AB2109" s="250" t="s">
        <v>6564</v>
      </c>
      <c r="AC2109" s="251">
        <v>967713714</v>
      </c>
      <c r="AD2109" s="1003"/>
      <c r="AE2109" s="1003"/>
      <c r="AF2109" s="745"/>
      <c r="AG2109" s="251" t="s">
        <v>283</v>
      </c>
    </row>
    <row r="2110" spans="1:33" ht="15.75" customHeight="1">
      <c r="A2110" s="743">
        <v>42837</v>
      </c>
      <c r="B2110" s="970" t="s">
        <v>100</v>
      </c>
      <c r="C2110" s="744" t="s">
        <v>6648</v>
      </c>
      <c r="D2110" s="328" t="s">
        <v>6649</v>
      </c>
      <c r="E2110" s="328" t="s">
        <v>6650</v>
      </c>
      <c r="F2110" s="305">
        <v>7</v>
      </c>
      <c r="G2110" s="252">
        <v>399</v>
      </c>
      <c r="H2110" s="265">
        <f t="shared" si="167"/>
        <v>2793</v>
      </c>
      <c r="I2110" s="264" t="s">
        <v>3315</v>
      </c>
      <c r="J2110" s="367" t="s">
        <v>3578</v>
      </c>
      <c r="K2110" s="256">
        <v>42849</v>
      </c>
      <c r="L2110" s="256"/>
      <c r="M2110" s="256">
        <v>42844</v>
      </c>
      <c r="N2110" s="251" t="s">
        <v>6651</v>
      </c>
      <c r="O2110" s="744" t="s">
        <v>6652</v>
      </c>
      <c r="P2110" s="337"/>
      <c r="Q2110" s="630">
        <v>79380</v>
      </c>
      <c r="R2110" s="1415"/>
      <c r="S2110" s="1415"/>
      <c r="U2110" s="251"/>
      <c r="V2110" s="318" t="s">
        <v>6653</v>
      </c>
      <c r="W2110" s="1002"/>
      <c r="X2110" s="748">
        <v>42843</v>
      </c>
      <c r="Y2110" s="744" t="s">
        <v>6654</v>
      </c>
      <c r="Z2110" s="749">
        <v>79380</v>
      </c>
      <c r="AA2110" s="594">
        <v>42842</v>
      </c>
      <c r="AB2110" s="250" t="s">
        <v>6621</v>
      </c>
      <c r="AC2110" s="1003"/>
      <c r="AD2110" s="1003"/>
      <c r="AE2110" s="1003"/>
      <c r="AF2110" s="745"/>
      <c r="AG2110" s="251" t="s">
        <v>283</v>
      </c>
    </row>
    <row r="2111" spans="1:33" ht="15.75" customHeight="1">
      <c r="A2111" s="594">
        <v>42838</v>
      </c>
      <c r="B2111" s="571" t="s">
        <v>5940</v>
      </c>
      <c r="C2111" s="744" t="s">
        <v>6655</v>
      </c>
      <c r="D2111" s="308" t="s">
        <v>6656</v>
      </c>
      <c r="E2111" s="308" t="s">
        <v>5943</v>
      </c>
      <c r="F2111" s="305">
        <v>4</v>
      </c>
      <c r="G2111" s="265">
        <v>148</v>
      </c>
      <c r="H2111" s="1027">
        <f t="shared" si="167"/>
        <v>592</v>
      </c>
      <c r="I2111" s="758" t="s">
        <v>3315</v>
      </c>
      <c r="J2111" s="401" t="s">
        <v>3571</v>
      </c>
      <c r="K2111" s="256">
        <v>42852</v>
      </c>
      <c r="L2111" s="256"/>
      <c r="M2111" s="256">
        <v>42845</v>
      </c>
      <c r="N2111" s="401" t="s">
        <v>2001</v>
      </c>
      <c r="O2111" s="744" t="s">
        <v>6657</v>
      </c>
      <c r="P2111" s="574">
        <v>579.6</v>
      </c>
      <c r="Q2111" s="795"/>
      <c r="R2111" s="1435"/>
      <c r="S2111" s="1435"/>
      <c r="U2111" s="251"/>
      <c r="V2111" s="318" t="s">
        <v>2003</v>
      </c>
      <c r="W2111" s="789">
        <v>42891</v>
      </c>
      <c r="X2111" s="748">
        <v>42844</v>
      </c>
      <c r="Y2111" s="744" t="s">
        <v>6658</v>
      </c>
      <c r="Z2111" s="749">
        <v>181434</v>
      </c>
      <c r="AA2111" s="256">
        <v>42891</v>
      </c>
      <c r="AB2111" s="250" t="s">
        <v>6659</v>
      </c>
      <c r="AC2111" s="1003"/>
      <c r="AD2111" s="1003"/>
      <c r="AE2111" s="1003"/>
      <c r="AF2111" s="745"/>
      <c r="AG2111" s="251" t="s">
        <v>283</v>
      </c>
    </row>
    <row r="2112" spans="1:33" ht="15.75" customHeight="1">
      <c r="A2112" s="594">
        <v>42838</v>
      </c>
      <c r="B2112" s="571" t="s">
        <v>5940</v>
      </c>
      <c r="C2112" s="744" t="s">
        <v>6655</v>
      </c>
      <c r="D2112" s="308" t="s">
        <v>6656</v>
      </c>
      <c r="E2112" s="308" t="s">
        <v>5947</v>
      </c>
      <c r="F2112" s="305">
        <v>4</v>
      </c>
      <c r="G2112" s="265">
        <v>148</v>
      </c>
      <c r="H2112" s="1027">
        <f t="shared" si="167"/>
        <v>592</v>
      </c>
      <c r="I2112" s="758" t="s">
        <v>3315</v>
      </c>
      <c r="J2112" s="401" t="s">
        <v>3571</v>
      </c>
      <c r="K2112" s="256">
        <v>42852</v>
      </c>
      <c r="L2112" s="256"/>
      <c r="M2112" s="256">
        <v>42845</v>
      </c>
      <c r="N2112" s="401" t="s">
        <v>2001</v>
      </c>
      <c r="O2112" s="744" t="s">
        <v>6657</v>
      </c>
      <c r="P2112" s="574">
        <v>579.6</v>
      </c>
      <c r="Q2112" s="795"/>
      <c r="R2112" s="1435"/>
      <c r="S2112" s="1435"/>
      <c r="U2112" s="251"/>
      <c r="V2112" s="318" t="s">
        <v>2003</v>
      </c>
      <c r="W2112" s="789">
        <v>42891</v>
      </c>
      <c r="X2112" s="748">
        <v>42844</v>
      </c>
      <c r="Y2112" s="744" t="s">
        <v>6658</v>
      </c>
      <c r="Z2112" s="744" t="s">
        <v>6660</v>
      </c>
      <c r="AA2112" s="256">
        <v>42891</v>
      </c>
      <c r="AB2112" s="250" t="s">
        <v>6659</v>
      </c>
      <c r="AC2112" s="1003"/>
      <c r="AD2112" s="1003"/>
      <c r="AE2112" s="1003"/>
      <c r="AF2112" s="745"/>
      <c r="AG2112" s="251" t="s">
        <v>283</v>
      </c>
    </row>
    <row r="2113" spans="1:33" ht="15.75" customHeight="1">
      <c r="A2113" s="594">
        <v>42838</v>
      </c>
      <c r="B2113" s="571" t="s">
        <v>5940</v>
      </c>
      <c r="C2113" s="744" t="s">
        <v>6655</v>
      </c>
      <c r="D2113" s="308" t="s">
        <v>6656</v>
      </c>
      <c r="E2113" s="308" t="s">
        <v>6661</v>
      </c>
      <c r="F2113" s="305">
        <v>4</v>
      </c>
      <c r="G2113" s="265">
        <v>1239</v>
      </c>
      <c r="H2113" s="1027">
        <f t="shared" si="167"/>
        <v>4956</v>
      </c>
      <c r="I2113" s="758" t="s">
        <v>3315</v>
      </c>
      <c r="J2113" s="401" t="s">
        <v>3571</v>
      </c>
      <c r="K2113" s="256">
        <v>42852</v>
      </c>
      <c r="L2113" s="256"/>
      <c r="M2113" s="256">
        <v>42845</v>
      </c>
      <c r="N2113" s="401" t="s">
        <v>2001</v>
      </c>
      <c r="O2113" s="744" t="s">
        <v>6657</v>
      </c>
      <c r="P2113" s="630">
        <v>4809</v>
      </c>
      <c r="Q2113" s="795"/>
      <c r="R2113" s="1435"/>
      <c r="S2113" s="1435"/>
      <c r="U2113" s="251"/>
      <c r="V2113" s="318" t="s">
        <v>2003</v>
      </c>
      <c r="W2113" s="789">
        <v>42891</v>
      </c>
      <c r="X2113" s="748">
        <v>42844</v>
      </c>
      <c r="Y2113" s="744" t="s">
        <v>6658</v>
      </c>
      <c r="Z2113" s="744" t="s">
        <v>6660</v>
      </c>
      <c r="AA2113" s="256">
        <v>42891</v>
      </c>
      <c r="AB2113" s="250" t="s">
        <v>6659</v>
      </c>
      <c r="AC2113" s="1003"/>
      <c r="AD2113" s="1003"/>
      <c r="AE2113" s="1003"/>
      <c r="AF2113" s="745"/>
      <c r="AG2113" s="251" t="s">
        <v>283</v>
      </c>
    </row>
    <row r="2114" spans="1:33" ht="15.75" customHeight="1">
      <c r="A2114" s="594">
        <v>42839</v>
      </c>
      <c r="B2114" s="590" t="s">
        <v>5981</v>
      </c>
      <c r="C2114" s="744">
        <v>7000129193</v>
      </c>
      <c r="D2114" s="744" t="s">
        <v>6662</v>
      </c>
      <c r="E2114" s="744" t="s">
        <v>3515</v>
      </c>
      <c r="F2114" s="305">
        <v>2</v>
      </c>
      <c r="G2114" s="252">
        <v>46</v>
      </c>
      <c r="H2114" s="1027">
        <f t="shared" si="167"/>
        <v>92</v>
      </c>
      <c r="I2114" s="254" t="s">
        <v>42</v>
      </c>
      <c r="J2114" s="756" t="s">
        <v>3462</v>
      </c>
      <c r="K2114" s="256">
        <v>42852</v>
      </c>
      <c r="L2114" s="256"/>
      <c r="M2114" s="256">
        <v>42850</v>
      </c>
      <c r="N2114" s="264" t="s">
        <v>3432</v>
      </c>
      <c r="O2114" s="250" t="s">
        <v>6663</v>
      </c>
      <c r="P2114" s="337"/>
      <c r="Q2114" s="630">
        <v>2684</v>
      </c>
      <c r="R2114" s="1415"/>
      <c r="S2114" s="1415"/>
      <c r="U2114" s="251"/>
      <c r="V2114" s="308" t="s">
        <v>2045</v>
      </c>
      <c r="W2114" s="789">
        <v>42891</v>
      </c>
      <c r="X2114" s="748">
        <v>42845</v>
      </c>
      <c r="Y2114" s="744" t="s">
        <v>6664</v>
      </c>
      <c r="Z2114" s="749">
        <v>2684</v>
      </c>
      <c r="AA2114" s="256">
        <v>42891</v>
      </c>
      <c r="AB2114" s="250" t="s">
        <v>6665</v>
      </c>
      <c r="AC2114" s="1003"/>
      <c r="AD2114" s="1003"/>
      <c r="AE2114" s="1003"/>
      <c r="AF2114" s="745"/>
      <c r="AG2114" s="251" t="s">
        <v>283</v>
      </c>
    </row>
    <row r="2115" spans="1:33" ht="15.75" customHeight="1">
      <c r="A2115" s="594">
        <v>42839</v>
      </c>
      <c r="B2115" s="590" t="s">
        <v>5981</v>
      </c>
      <c r="C2115" s="744">
        <v>7000129193</v>
      </c>
      <c r="D2115" s="744" t="s">
        <v>6666</v>
      </c>
      <c r="E2115" s="744" t="s">
        <v>6667</v>
      </c>
      <c r="F2115" s="305">
        <v>2</v>
      </c>
      <c r="G2115" s="323">
        <v>260.8</v>
      </c>
      <c r="H2115" s="574">
        <f t="shared" si="167"/>
        <v>521.6</v>
      </c>
      <c r="I2115" s="254" t="s">
        <v>42</v>
      </c>
      <c r="J2115" s="401" t="s">
        <v>3462</v>
      </c>
      <c r="K2115" s="256">
        <v>42845</v>
      </c>
      <c r="L2115" s="256"/>
      <c r="M2115" s="256">
        <v>42844</v>
      </c>
      <c r="N2115" s="254" t="s">
        <v>3432</v>
      </c>
      <c r="O2115" s="744" t="s">
        <v>6668</v>
      </c>
      <c r="P2115" s="795"/>
      <c r="Q2115" s="630">
        <v>15859</v>
      </c>
      <c r="R2115" s="1415"/>
      <c r="S2115" s="1415"/>
      <c r="U2115" s="251"/>
      <c r="V2115" s="318" t="s">
        <v>2045</v>
      </c>
      <c r="W2115" s="789">
        <v>42891</v>
      </c>
      <c r="X2115" s="748">
        <v>42842</v>
      </c>
      <c r="Y2115" s="744" t="s">
        <v>6669</v>
      </c>
      <c r="Z2115" s="749">
        <v>15859</v>
      </c>
      <c r="AA2115" s="256">
        <v>42891</v>
      </c>
      <c r="AB2115" s="250" t="s">
        <v>6670</v>
      </c>
      <c r="AC2115" s="251">
        <v>1549665040</v>
      </c>
      <c r="AD2115" s="1003"/>
      <c r="AE2115" s="1003"/>
      <c r="AF2115" s="745"/>
      <c r="AG2115" s="251" t="s">
        <v>283</v>
      </c>
    </row>
    <row r="2116" spans="1:33" ht="15.75" customHeight="1">
      <c r="A2116" s="594">
        <v>42843</v>
      </c>
      <c r="B2116" s="590" t="s">
        <v>100</v>
      </c>
      <c r="C2116" s="744" t="s">
        <v>6671</v>
      </c>
      <c r="D2116" s="250" t="s">
        <v>6672</v>
      </c>
      <c r="E2116" s="250" t="s">
        <v>6673</v>
      </c>
      <c r="F2116" s="305">
        <v>1</v>
      </c>
      <c r="G2116" s="323">
        <v>407</v>
      </c>
      <c r="H2116" s="1027">
        <f t="shared" si="167"/>
        <v>407</v>
      </c>
      <c r="I2116" s="254" t="s">
        <v>3315</v>
      </c>
      <c r="J2116" s="367" t="s">
        <v>3578</v>
      </c>
      <c r="K2116" s="256">
        <v>42888</v>
      </c>
      <c r="L2116" s="256"/>
      <c r="M2116" s="256">
        <v>42881</v>
      </c>
      <c r="N2116" s="401" t="s">
        <v>1995</v>
      </c>
      <c r="O2116" s="744" t="s">
        <v>6674</v>
      </c>
      <c r="P2116" s="337"/>
      <c r="Q2116" s="630">
        <v>11687</v>
      </c>
      <c r="R2116" s="1415"/>
      <c r="S2116" s="1415"/>
      <c r="U2116" s="251"/>
      <c r="V2116" s="338" t="s">
        <v>1997</v>
      </c>
      <c r="W2116" s="1015"/>
      <c r="X2116" s="748">
        <v>42881</v>
      </c>
      <c r="Y2116" s="744" t="s">
        <v>6675</v>
      </c>
      <c r="Z2116" s="744" t="s">
        <v>6676</v>
      </c>
      <c r="AA2116" s="594">
        <v>42853</v>
      </c>
      <c r="AB2116" s="250" t="s">
        <v>6677</v>
      </c>
      <c r="AC2116" s="251"/>
      <c r="AD2116" s="1003"/>
      <c r="AE2116" s="1003"/>
      <c r="AF2116" s="745"/>
      <c r="AG2116" s="251" t="s">
        <v>283</v>
      </c>
    </row>
    <row r="2117" spans="1:33" ht="15.75" customHeight="1">
      <c r="A2117" s="594">
        <v>42843</v>
      </c>
      <c r="B2117" s="590" t="s">
        <v>100</v>
      </c>
      <c r="C2117" s="744" t="s">
        <v>6678</v>
      </c>
      <c r="D2117" s="744" t="s">
        <v>6679</v>
      </c>
      <c r="E2117" s="744" t="s">
        <v>6680</v>
      </c>
      <c r="F2117" s="305">
        <v>3</v>
      </c>
      <c r="G2117" s="323">
        <v>550</v>
      </c>
      <c r="H2117" s="1027">
        <f t="shared" si="167"/>
        <v>1650</v>
      </c>
      <c r="I2117" s="254" t="s">
        <v>3315</v>
      </c>
      <c r="J2117" s="367" t="s">
        <v>3578</v>
      </c>
      <c r="K2117" s="256">
        <v>42859</v>
      </c>
      <c r="L2117" s="256"/>
      <c r="M2117" s="256">
        <v>42858</v>
      </c>
      <c r="N2117" s="401" t="s">
        <v>1995</v>
      </c>
      <c r="O2117" s="744" t="s">
        <v>6674</v>
      </c>
      <c r="P2117" s="337"/>
      <c r="Q2117" s="630">
        <v>47417</v>
      </c>
      <c r="R2117" s="1415"/>
      <c r="S2117" s="1415"/>
      <c r="U2117" s="251"/>
      <c r="V2117" s="338" t="s">
        <v>1997</v>
      </c>
      <c r="W2117" s="1002"/>
      <c r="X2117" s="748">
        <v>42858</v>
      </c>
      <c r="Y2117" s="744" t="s">
        <v>6681</v>
      </c>
      <c r="Z2117" s="749">
        <v>51440</v>
      </c>
      <c r="AA2117" s="594">
        <v>42853</v>
      </c>
      <c r="AB2117" s="250" t="s">
        <v>6645</v>
      </c>
      <c r="AC2117" s="1003"/>
      <c r="AD2117" s="1003"/>
      <c r="AE2117" s="1003"/>
      <c r="AF2117" s="745"/>
      <c r="AG2117" s="251" t="s">
        <v>283</v>
      </c>
    </row>
    <row r="2118" spans="1:33" ht="15.75" customHeight="1">
      <c r="A2118" s="594">
        <v>42843</v>
      </c>
      <c r="B2118" s="590" t="s">
        <v>100</v>
      </c>
      <c r="C2118" s="744" t="s">
        <v>6678</v>
      </c>
      <c r="D2118" s="744" t="s">
        <v>6679</v>
      </c>
      <c r="E2118" s="744" t="s">
        <v>6682</v>
      </c>
      <c r="F2118" s="305">
        <v>1</v>
      </c>
      <c r="G2118" s="252">
        <v>78</v>
      </c>
      <c r="H2118" s="1027">
        <f t="shared" si="167"/>
        <v>78</v>
      </c>
      <c r="I2118" s="254" t="s">
        <v>3315</v>
      </c>
      <c r="J2118" s="367" t="s">
        <v>3578</v>
      </c>
      <c r="K2118" s="256">
        <v>42859</v>
      </c>
      <c r="L2118" s="256"/>
      <c r="M2118" s="256">
        <v>42858</v>
      </c>
      <c r="N2118" s="331" t="s">
        <v>1995</v>
      </c>
      <c r="O2118" s="744" t="s">
        <v>6674</v>
      </c>
      <c r="P2118" s="337"/>
      <c r="Q2118" s="630">
        <v>2236</v>
      </c>
      <c r="R2118" s="1415"/>
      <c r="S2118" s="1415"/>
      <c r="U2118" s="251"/>
      <c r="V2118" s="338" t="s">
        <v>1997</v>
      </c>
      <c r="W2118" s="1002"/>
      <c r="X2118" s="748">
        <v>42858</v>
      </c>
      <c r="Y2118" s="744" t="s">
        <v>6681</v>
      </c>
      <c r="Z2118" s="744" t="s">
        <v>6683</v>
      </c>
      <c r="AA2118" s="594">
        <v>42853</v>
      </c>
      <c r="AB2118" s="250" t="s">
        <v>6645</v>
      </c>
      <c r="AC2118" s="1003"/>
      <c r="AD2118" s="1003"/>
      <c r="AE2118" s="1003"/>
      <c r="AF2118" s="745"/>
      <c r="AG2118" s="251" t="s">
        <v>283</v>
      </c>
    </row>
    <row r="2119" spans="1:33" ht="15.75" customHeight="1">
      <c r="A2119" s="594">
        <v>42843</v>
      </c>
      <c r="B2119" s="590" t="s">
        <v>100</v>
      </c>
      <c r="C2119" s="744" t="s">
        <v>6678</v>
      </c>
      <c r="D2119" s="744" t="s">
        <v>6679</v>
      </c>
      <c r="E2119" s="744" t="s">
        <v>6480</v>
      </c>
      <c r="F2119" s="305">
        <v>1</v>
      </c>
      <c r="G2119" s="252">
        <v>31</v>
      </c>
      <c r="H2119" s="1027">
        <f t="shared" si="167"/>
        <v>31</v>
      </c>
      <c r="I2119" s="254" t="s">
        <v>3315</v>
      </c>
      <c r="J2119" s="367" t="s">
        <v>3578</v>
      </c>
      <c r="K2119" s="256">
        <v>42859</v>
      </c>
      <c r="L2119" s="256"/>
      <c r="M2119" s="256">
        <v>42858</v>
      </c>
      <c r="N2119" s="331" t="s">
        <v>1995</v>
      </c>
      <c r="O2119" s="744" t="s">
        <v>6674</v>
      </c>
      <c r="P2119" s="337"/>
      <c r="Q2119" s="630">
        <v>894</v>
      </c>
      <c r="R2119" s="1415"/>
      <c r="S2119" s="1415"/>
      <c r="U2119" s="251"/>
      <c r="V2119" s="338" t="s">
        <v>1997</v>
      </c>
      <c r="W2119" s="1002"/>
      <c r="X2119" s="748">
        <v>42858</v>
      </c>
      <c r="Y2119" s="744" t="s">
        <v>6681</v>
      </c>
      <c r="Z2119" s="744" t="s">
        <v>6683</v>
      </c>
      <c r="AA2119" s="594">
        <v>42853</v>
      </c>
      <c r="AB2119" s="250" t="s">
        <v>6645</v>
      </c>
      <c r="AC2119" s="1003"/>
      <c r="AD2119" s="1003"/>
      <c r="AE2119" s="1003"/>
      <c r="AF2119" s="745"/>
      <c r="AG2119" s="251" t="s">
        <v>283</v>
      </c>
    </row>
    <row r="2120" spans="1:33" ht="15.75" customHeight="1">
      <c r="A2120" s="594">
        <v>42843</v>
      </c>
      <c r="B2120" s="590" t="s">
        <v>100</v>
      </c>
      <c r="C2120" s="744" t="s">
        <v>6678</v>
      </c>
      <c r="D2120" s="744" t="s">
        <v>6679</v>
      </c>
      <c r="E2120" s="744" t="s">
        <v>6481</v>
      </c>
      <c r="F2120" s="305">
        <v>1</v>
      </c>
      <c r="G2120" s="252">
        <v>31</v>
      </c>
      <c r="H2120" s="1027">
        <f t="shared" si="167"/>
        <v>31</v>
      </c>
      <c r="I2120" s="254" t="s">
        <v>3315</v>
      </c>
      <c r="J2120" s="367" t="s">
        <v>3578</v>
      </c>
      <c r="K2120" s="256">
        <v>42859</v>
      </c>
      <c r="L2120" s="256"/>
      <c r="M2120" s="256">
        <v>42858</v>
      </c>
      <c r="N2120" s="331" t="s">
        <v>1995</v>
      </c>
      <c r="O2120" s="744" t="s">
        <v>6674</v>
      </c>
      <c r="P2120" s="337"/>
      <c r="Q2120" s="630">
        <v>894</v>
      </c>
      <c r="R2120" s="1415"/>
      <c r="S2120" s="1415"/>
      <c r="U2120" s="251"/>
      <c r="V2120" s="338" t="s">
        <v>1997</v>
      </c>
      <c r="W2120" s="1002"/>
      <c r="X2120" s="748">
        <v>42858</v>
      </c>
      <c r="Y2120" s="744" t="s">
        <v>6681</v>
      </c>
      <c r="Z2120" s="744" t="s">
        <v>6683</v>
      </c>
      <c r="AA2120" s="594">
        <v>42853</v>
      </c>
      <c r="AB2120" s="250" t="s">
        <v>6645</v>
      </c>
      <c r="AC2120" s="1003"/>
      <c r="AD2120" s="1003"/>
      <c r="AE2120" s="1003"/>
      <c r="AF2120" s="745"/>
      <c r="AG2120" s="251" t="s">
        <v>283</v>
      </c>
    </row>
    <row r="2121" spans="1:33" ht="15.75" customHeight="1">
      <c r="A2121" s="594">
        <v>42843</v>
      </c>
      <c r="B2121" s="590" t="s">
        <v>100</v>
      </c>
      <c r="C2121" s="744" t="s">
        <v>6671</v>
      </c>
      <c r="D2121" s="250" t="s">
        <v>6672</v>
      </c>
      <c r="E2121" s="250" t="s">
        <v>6684</v>
      </c>
      <c r="F2121" s="305">
        <v>1</v>
      </c>
      <c r="G2121" s="252">
        <v>76</v>
      </c>
      <c r="H2121" s="1027">
        <f t="shared" si="167"/>
        <v>76</v>
      </c>
      <c r="I2121" s="254" t="s">
        <v>3315</v>
      </c>
      <c r="J2121" s="367" t="s">
        <v>3578</v>
      </c>
      <c r="K2121" s="256">
        <v>42888</v>
      </c>
      <c r="L2121" s="256"/>
      <c r="M2121" s="256">
        <v>42852</v>
      </c>
      <c r="N2121" s="331" t="s">
        <v>6527</v>
      </c>
      <c r="O2121" s="744" t="s">
        <v>6685</v>
      </c>
      <c r="P2121" s="337"/>
      <c r="Q2121" s="744" t="s">
        <v>6686</v>
      </c>
      <c r="R2121" s="1443"/>
      <c r="S2121" s="1443"/>
      <c r="U2121" s="744"/>
      <c r="V2121" s="318" t="s">
        <v>2126</v>
      </c>
      <c r="W2121" s="1002"/>
      <c r="X2121" s="744"/>
      <c r="Y2121" s="744"/>
      <c r="Z2121" s="744"/>
      <c r="AA2121" s="251"/>
      <c r="AB2121" s="250" t="s">
        <v>6677</v>
      </c>
      <c r="AC2121" s="251"/>
      <c r="AD2121" s="1003"/>
      <c r="AE2121" s="1003"/>
      <c r="AF2121" s="745"/>
      <c r="AG2121" s="251" t="s">
        <v>283</v>
      </c>
    </row>
    <row r="2122" spans="1:33" ht="15.75" customHeight="1">
      <c r="A2122" s="594">
        <v>42843</v>
      </c>
      <c r="B2122" s="590" t="s">
        <v>100</v>
      </c>
      <c r="C2122" s="744" t="s">
        <v>6678</v>
      </c>
      <c r="D2122" s="744" t="s">
        <v>6679</v>
      </c>
      <c r="E2122" s="744" t="s">
        <v>6482</v>
      </c>
      <c r="F2122" s="305">
        <v>3</v>
      </c>
      <c r="G2122" s="252">
        <v>352</v>
      </c>
      <c r="H2122" s="1027">
        <f t="shared" si="167"/>
        <v>1056</v>
      </c>
      <c r="I2122" s="254" t="s">
        <v>3315</v>
      </c>
      <c r="J2122" s="367" t="s">
        <v>3578</v>
      </c>
      <c r="K2122" s="256">
        <v>42859</v>
      </c>
      <c r="L2122" s="256"/>
      <c r="M2122" s="256">
        <v>42851</v>
      </c>
      <c r="N2122" s="585" t="s">
        <v>1993</v>
      </c>
      <c r="O2122" s="250" t="s">
        <v>6687</v>
      </c>
      <c r="P2122" s="574">
        <v>897.75</v>
      </c>
      <c r="Q2122" s="795"/>
      <c r="R2122" s="1435"/>
      <c r="S2122" s="1435"/>
      <c r="U2122" s="251"/>
      <c r="V2122" s="318" t="s">
        <v>3754</v>
      </c>
      <c r="W2122" s="789">
        <v>42881</v>
      </c>
      <c r="X2122" s="748">
        <v>42851</v>
      </c>
      <c r="Y2122" s="744" t="s">
        <v>6688</v>
      </c>
      <c r="Z2122" s="749">
        <v>27069</v>
      </c>
      <c r="AA2122" s="256">
        <v>42891</v>
      </c>
      <c r="AB2122" s="250" t="s">
        <v>6645</v>
      </c>
      <c r="AC2122" s="1003"/>
      <c r="AD2122" s="1003"/>
      <c r="AE2122" s="1003"/>
      <c r="AF2122" s="745"/>
      <c r="AG2122" s="251" t="s">
        <v>283</v>
      </c>
    </row>
    <row r="2123" spans="1:33" ht="15.75" customHeight="1">
      <c r="A2123" s="594">
        <v>42843</v>
      </c>
      <c r="B2123" s="590" t="s">
        <v>100</v>
      </c>
      <c r="C2123" s="744" t="s">
        <v>6678</v>
      </c>
      <c r="D2123" s="744" t="s">
        <v>6679</v>
      </c>
      <c r="E2123" s="744" t="s">
        <v>6485</v>
      </c>
      <c r="F2123" s="305">
        <v>3</v>
      </c>
      <c r="G2123" s="323">
        <v>42</v>
      </c>
      <c r="H2123" s="1027">
        <f t="shared" si="167"/>
        <v>126</v>
      </c>
      <c r="I2123" s="254" t="s">
        <v>3315</v>
      </c>
      <c r="J2123" s="361" t="s">
        <v>3578</v>
      </c>
      <c r="K2123" s="256">
        <v>42859</v>
      </c>
      <c r="L2123" s="256"/>
      <c r="M2123" s="256">
        <v>42851</v>
      </c>
      <c r="N2123" s="264" t="s">
        <v>6689</v>
      </c>
      <c r="O2123" s="250" t="s">
        <v>6690</v>
      </c>
      <c r="P2123" s="337"/>
      <c r="Q2123" s="630">
        <v>3200</v>
      </c>
      <c r="R2123" s="1415"/>
      <c r="S2123" s="1415"/>
      <c r="U2123" s="251"/>
      <c r="V2123" s="308" t="s">
        <v>2126</v>
      </c>
      <c r="W2123" s="1028"/>
      <c r="X2123" s="748">
        <v>42850</v>
      </c>
      <c r="Y2123" s="744" t="s">
        <v>6691</v>
      </c>
      <c r="Z2123" s="753">
        <v>3200</v>
      </c>
      <c r="AA2123" s="594">
        <v>42849</v>
      </c>
      <c r="AB2123" s="250" t="s">
        <v>6645</v>
      </c>
      <c r="AC2123" s="1003"/>
      <c r="AD2123" s="1003"/>
      <c r="AE2123" s="1003"/>
      <c r="AF2123" s="745"/>
      <c r="AG2123" s="251" t="s">
        <v>283</v>
      </c>
    </row>
    <row r="2124" spans="1:33" ht="15.75" customHeight="1">
      <c r="A2124" s="594">
        <v>42844</v>
      </c>
      <c r="B2124" s="590" t="s">
        <v>1717</v>
      </c>
      <c r="C2124" s="744" t="s">
        <v>6692</v>
      </c>
      <c r="D2124" s="744" t="s">
        <v>6693</v>
      </c>
      <c r="E2124" s="744" t="s">
        <v>6694</v>
      </c>
      <c r="F2124" s="305">
        <v>10</v>
      </c>
      <c r="G2124" s="252">
        <v>29</v>
      </c>
      <c r="H2124" s="1027">
        <f t="shared" si="167"/>
        <v>290</v>
      </c>
      <c r="I2124" s="1029" t="s">
        <v>3315</v>
      </c>
      <c r="J2124" s="756" t="s">
        <v>6695</v>
      </c>
      <c r="K2124" s="256">
        <v>42866</v>
      </c>
      <c r="L2124" s="256"/>
      <c r="M2124" s="256">
        <v>42859</v>
      </c>
      <c r="N2124" s="251" t="s">
        <v>6696</v>
      </c>
      <c r="O2124" s="250" t="s">
        <v>6697</v>
      </c>
      <c r="P2124" s="337"/>
      <c r="Q2124" s="630">
        <v>8936</v>
      </c>
      <c r="R2124" s="1415"/>
      <c r="S2124" s="1415"/>
      <c r="U2124" s="251"/>
      <c r="V2124" s="328" t="s">
        <v>2109</v>
      </c>
      <c r="W2124" s="789">
        <v>42891</v>
      </c>
      <c r="X2124" s="748">
        <v>42858</v>
      </c>
      <c r="Y2124" s="744" t="s">
        <v>6698</v>
      </c>
      <c r="Z2124" s="749">
        <v>12768</v>
      </c>
      <c r="AA2124" s="256">
        <v>42891</v>
      </c>
      <c r="AB2124" s="250" t="s">
        <v>6699</v>
      </c>
      <c r="AC2124" s="251">
        <v>977699354</v>
      </c>
      <c r="AD2124" s="1003"/>
      <c r="AE2124" s="1003"/>
      <c r="AF2124" s="745"/>
      <c r="AG2124" s="251" t="s">
        <v>283</v>
      </c>
    </row>
    <row r="2125" spans="1:33" ht="15.75" customHeight="1">
      <c r="A2125" s="594">
        <v>42844</v>
      </c>
      <c r="B2125" s="590" t="s">
        <v>1717</v>
      </c>
      <c r="C2125" s="744" t="s">
        <v>6692</v>
      </c>
      <c r="D2125" s="744" t="s">
        <v>6693</v>
      </c>
      <c r="E2125" s="744" t="s">
        <v>5260</v>
      </c>
      <c r="F2125" s="305">
        <v>10</v>
      </c>
      <c r="G2125" s="252">
        <v>13</v>
      </c>
      <c r="H2125" s="1027">
        <f t="shared" si="167"/>
        <v>130</v>
      </c>
      <c r="I2125" s="1029" t="s">
        <v>3315</v>
      </c>
      <c r="J2125" s="756" t="s">
        <v>6695</v>
      </c>
      <c r="K2125" s="256">
        <v>42866</v>
      </c>
      <c r="L2125" s="256"/>
      <c r="M2125" s="256">
        <v>42859</v>
      </c>
      <c r="N2125" s="251" t="s">
        <v>6696</v>
      </c>
      <c r="O2125" s="250" t="s">
        <v>6697</v>
      </c>
      <c r="P2125" s="337"/>
      <c r="Q2125" s="630">
        <v>3832</v>
      </c>
      <c r="R2125" s="1415"/>
      <c r="S2125" s="1415"/>
      <c r="U2125" s="251"/>
      <c r="V2125" s="328" t="s">
        <v>2109</v>
      </c>
      <c r="W2125" s="789">
        <v>42891</v>
      </c>
      <c r="X2125" s="748">
        <v>42858</v>
      </c>
      <c r="Y2125" s="744" t="s">
        <v>6698</v>
      </c>
      <c r="Z2125" s="749">
        <v>12768</v>
      </c>
      <c r="AA2125" s="256">
        <v>42891</v>
      </c>
      <c r="AB2125" s="250" t="s">
        <v>6699</v>
      </c>
      <c r="AC2125" s="251">
        <v>977699354</v>
      </c>
      <c r="AD2125" s="1003"/>
      <c r="AE2125" s="1003"/>
      <c r="AF2125" s="745"/>
      <c r="AG2125" s="251" t="s">
        <v>283</v>
      </c>
    </row>
    <row r="2126" spans="1:33" ht="15.75" customHeight="1">
      <c r="A2126" s="594">
        <v>42844</v>
      </c>
      <c r="B2126" s="590" t="s">
        <v>1717</v>
      </c>
      <c r="C2126" s="744" t="s">
        <v>6692</v>
      </c>
      <c r="D2126" s="744" t="s">
        <v>6693</v>
      </c>
      <c r="E2126" s="744" t="s">
        <v>692</v>
      </c>
      <c r="F2126" s="305">
        <v>1</v>
      </c>
      <c r="G2126" s="252">
        <v>25</v>
      </c>
      <c r="H2126" s="1027">
        <f t="shared" si="167"/>
        <v>25</v>
      </c>
      <c r="I2126" s="1029" t="s">
        <v>3315</v>
      </c>
      <c r="J2126" s="756" t="s">
        <v>6695</v>
      </c>
      <c r="K2126" s="256">
        <v>42866</v>
      </c>
      <c r="L2126" s="256"/>
      <c r="M2126" s="256">
        <v>42859</v>
      </c>
      <c r="N2126" s="251"/>
      <c r="O2126" s="251"/>
      <c r="P2126" s="337"/>
      <c r="Q2126" s="630">
        <v>0</v>
      </c>
      <c r="R2126" s="1415"/>
      <c r="S2126" s="1415"/>
      <c r="U2126" s="251"/>
      <c r="V2126" s="251"/>
      <c r="W2126" s="328"/>
      <c r="X2126" s="744"/>
      <c r="Y2126" s="744"/>
      <c r="Z2126" s="744"/>
      <c r="AA2126" s="251"/>
      <c r="AB2126" s="250" t="s">
        <v>6699</v>
      </c>
      <c r="AC2126" s="251"/>
      <c r="AD2126" s="1003"/>
      <c r="AE2126" s="1003"/>
      <c r="AF2126" s="745"/>
      <c r="AG2126" s="251" t="s">
        <v>283</v>
      </c>
    </row>
    <row r="2127" spans="1:33" ht="15.75" customHeight="1">
      <c r="A2127" s="743">
        <v>42845</v>
      </c>
      <c r="B2127" s="590" t="s">
        <v>228</v>
      </c>
      <c r="C2127" s="744"/>
      <c r="D2127" s="250" t="s">
        <v>6700</v>
      </c>
      <c r="E2127" s="250" t="s">
        <v>461</v>
      </c>
      <c r="F2127" s="305">
        <v>115</v>
      </c>
      <c r="G2127" s="265">
        <v>415.8</v>
      </c>
      <c r="H2127" s="265">
        <f t="shared" si="167"/>
        <v>47817</v>
      </c>
      <c r="I2127" s="264" t="s">
        <v>170</v>
      </c>
      <c r="J2127" s="251" t="s">
        <v>89</v>
      </c>
      <c r="K2127" s="256">
        <v>42866</v>
      </c>
      <c r="L2127" s="256"/>
      <c r="M2127" s="256">
        <v>42866</v>
      </c>
      <c r="N2127" s="251" t="s">
        <v>89</v>
      </c>
      <c r="O2127" s="250" t="s">
        <v>6701</v>
      </c>
      <c r="P2127" s="574">
        <v>42866.25</v>
      </c>
      <c r="Q2127" s="795"/>
      <c r="R2127" s="1435"/>
      <c r="S2127" s="1435"/>
      <c r="U2127" s="251"/>
      <c r="V2127" s="318" t="s">
        <v>5896</v>
      </c>
      <c r="W2127" s="1028"/>
      <c r="X2127" s="750">
        <v>42866</v>
      </c>
      <c r="Y2127" s="250" t="s">
        <v>6702</v>
      </c>
      <c r="Z2127" s="753">
        <v>1436835</v>
      </c>
      <c r="AA2127" s="594">
        <v>42906</v>
      </c>
      <c r="AB2127" s="744" t="s">
        <v>6703</v>
      </c>
      <c r="AC2127" s="251"/>
      <c r="AD2127" s="744" t="s">
        <v>6704</v>
      </c>
      <c r="AE2127" s="260">
        <v>1607492</v>
      </c>
      <c r="AF2127" s="744" t="s">
        <v>6705</v>
      </c>
      <c r="AG2127" s="251" t="s">
        <v>376</v>
      </c>
    </row>
    <row r="2128" spans="1:33" ht="15.75" customHeight="1">
      <c r="A2128" s="743">
        <v>42845</v>
      </c>
      <c r="B2128" s="590" t="s">
        <v>228</v>
      </c>
      <c r="C2128" s="744"/>
      <c r="D2128" s="250" t="s">
        <v>6700</v>
      </c>
      <c r="E2128" s="250" t="s">
        <v>3604</v>
      </c>
      <c r="F2128" s="305">
        <v>16</v>
      </c>
      <c r="G2128" s="464">
        <v>336</v>
      </c>
      <c r="H2128" s="265">
        <f t="shared" si="167"/>
        <v>5376</v>
      </c>
      <c r="I2128" s="264" t="s">
        <v>170</v>
      </c>
      <c r="J2128" s="251" t="s">
        <v>89</v>
      </c>
      <c r="K2128" s="256">
        <v>42866</v>
      </c>
      <c r="L2128" s="256"/>
      <c r="M2128" s="256">
        <v>42866</v>
      </c>
      <c r="N2128" s="251" t="s">
        <v>89</v>
      </c>
      <c r="O2128" s="250" t="s">
        <v>6701</v>
      </c>
      <c r="P2128" s="574">
        <v>4821.6000000000004</v>
      </c>
      <c r="Q2128" s="795"/>
      <c r="R2128" s="1435"/>
      <c r="S2128" s="1435"/>
      <c r="U2128" s="251"/>
      <c r="V2128" s="318" t="s">
        <v>5896</v>
      </c>
      <c r="W2128" s="1002"/>
      <c r="X2128" s="750">
        <v>42866</v>
      </c>
      <c r="Y2128" s="250" t="s">
        <v>6702</v>
      </c>
      <c r="Z2128" s="250" t="s">
        <v>6706</v>
      </c>
      <c r="AA2128" s="594">
        <v>42906</v>
      </c>
      <c r="AB2128" s="744" t="s">
        <v>6703</v>
      </c>
      <c r="AC2128" s="251"/>
      <c r="AD2128" s="744" t="s">
        <v>6704</v>
      </c>
      <c r="AE2128" s="251" t="s">
        <v>6707</v>
      </c>
      <c r="AF2128" s="744" t="s">
        <v>6705</v>
      </c>
      <c r="AG2128" s="251" t="s">
        <v>376</v>
      </c>
    </row>
    <row r="2129" spans="1:33" ht="15.75" customHeight="1">
      <c r="A2129" s="594">
        <v>42846</v>
      </c>
      <c r="B2129" s="970" t="s">
        <v>76</v>
      </c>
      <c r="C2129" s="744">
        <v>347</v>
      </c>
      <c r="D2129" s="250" t="s">
        <v>6708</v>
      </c>
      <c r="E2129" s="250" t="s">
        <v>3381</v>
      </c>
      <c r="F2129" s="305">
        <v>30</v>
      </c>
      <c r="G2129" s="252">
        <v>285</v>
      </c>
      <c r="H2129" s="574">
        <f t="shared" si="167"/>
        <v>8550</v>
      </c>
      <c r="I2129" s="254" t="s">
        <v>42</v>
      </c>
      <c r="J2129" s="367" t="s">
        <v>315</v>
      </c>
      <c r="K2129" s="256">
        <v>42898</v>
      </c>
      <c r="L2129" s="256"/>
      <c r="M2129" s="256">
        <v>42895</v>
      </c>
      <c r="N2129" s="401" t="s">
        <v>1967</v>
      </c>
      <c r="O2129" s="744" t="s">
        <v>6643</v>
      </c>
      <c r="P2129" s="630">
        <v>7875</v>
      </c>
      <c r="Q2129" s="795"/>
      <c r="R2129" s="1435"/>
      <c r="S2129" s="1435"/>
      <c r="U2129" s="251"/>
      <c r="V2129" s="318" t="s">
        <v>1969</v>
      </c>
      <c r="W2129" s="789">
        <v>42952</v>
      </c>
      <c r="X2129" s="748">
        <v>42895</v>
      </c>
      <c r="Y2129" s="744" t="s">
        <v>6709</v>
      </c>
      <c r="Z2129" s="749">
        <v>237116</v>
      </c>
      <c r="AA2129" s="594">
        <v>42958</v>
      </c>
      <c r="AB2129" s="250" t="s">
        <v>6710</v>
      </c>
      <c r="AC2129" s="251">
        <v>410367366</v>
      </c>
      <c r="AD2129" s="1003"/>
      <c r="AE2129" s="1003"/>
      <c r="AF2129" s="745"/>
      <c r="AG2129" s="251" t="s">
        <v>283</v>
      </c>
    </row>
    <row r="2130" spans="1:33" ht="15.75" customHeight="1">
      <c r="A2130" s="755">
        <v>42846</v>
      </c>
      <c r="B2130" s="338" t="s">
        <v>76</v>
      </c>
      <c r="C2130" s="744">
        <v>345</v>
      </c>
      <c r="D2130" s="308" t="s">
        <v>6711</v>
      </c>
      <c r="E2130" s="308" t="s">
        <v>1229</v>
      </c>
      <c r="F2130" s="305">
        <v>100</v>
      </c>
      <c r="G2130" s="265">
        <v>2.2999999999999998</v>
      </c>
      <c r="H2130" s="574">
        <f t="shared" si="167"/>
        <v>229.99999999999997</v>
      </c>
      <c r="I2130" s="254" t="s">
        <v>42</v>
      </c>
      <c r="J2130" s="367" t="s">
        <v>315</v>
      </c>
      <c r="K2130" s="256">
        <v>42873</v>
      </c>
      <c r="L2130" s="256"/>
      <c r="M2130" s="256">
        <v>42871</v>
      </c>
      <c r="N2130" s="401" t="s">
        <v>2006</v>
      </c>
      <c r="O2130" s="250" t="s">
        <v>6712</v>
      </c>
      <c r="P2130" s="337"/>
      <c r="Q2130" s="630">
        <v>5775</v>
      </c>
      <c r="R2130" s="1415"/>
      <c r="S2130" s="1415"/>
      <c r="U2130" s="251"/>
      <c r="V2130" s="308" t="s">
        <v>2146</v>
      </c>
      <c r="W2130" s="789">
        <v>42877</v>
      </c>
      <c r="X2130" s="748">
        <v>42867</v>
      </c>
      <c r="Y2130" s="744" t="s">
        <v>6713</v>
      </c>
      <c r="Z2130" s="749">
        <v>8736</v>
      </c>
      <c r="AA2130" s="594">
        <v>42878</v>
      </c>
      <c r="AB2130" s="250" t="s">
        <v>6635</v>
      </c>
      <c r="AC2130" s="251">
        <v>983435983</v>
      </c>
      <c r="AD2130" s="1003"/>
      <c r="AE2130" s="1003"/>
      <c r="AF2130" s="745"/>
      <c r="AG2130" s="251" t="s">
        <v>283</v>
      </c>
    </row>
    <row r="2131" spans="1:33" ht="15.75" customHeight="1">
      <c r="A2131" s="743">
        <v>42849</v>
      </c>
      <c r="B2131" s="970" t="s">
        <v>100</v>
      </c>
      <c r="C2131" s="744" t="s">
        <v>6714</v>
      </c>
      <c r="D2131" s="744" t="s">
        <v>6715</v>
      </c>
      <c r="E2131" s="744" t="s">
        <v>6716</v>
      </c>
      <c r="F2131" s="305">
        <v>5</v>
      </c>
      <c r="G2131" s="323">
        <v>417</v>
      </c>
      <c r="H2131" s="574">
        <f t="shared" si="167"/>
        <v>2085</v>
      </c>
      <c r="I2131" s="254" t="s">
        <v>3315</v>
      </c>
      <c r="J2131" s="367" t="s">
        <v>3578</v>
      </c>
      <c r="K2131" s="256">
        <v>42859</v>
      </c>
      <c r="L2131" s="256"/>
      <c r="M2131" s="256">
        <v>42857</v>
      </c>
      <c r="N2131" s="401" t="s">
        <v>2001</v>
      </c>
      <c r="O2131" s="250" t="s">
        <v>6717</v>
      </c>
      <c r="P2131" s="630">
        <v>1974</v>
      </c>
      <c r="Q2131" s="795"/>
      <c r="R2131" s="1435"/>
      <c r="S2131" s="1435"/>
      <c r="U2131" s="251"/>
      <c r="V2131" s="318" t="s">
        <v>2003</v>
      </c>
      <c r="W2131" s="789">
        <v>42921</v>
      </c>
      <c r="X2131" s="748">
        <v>42857</v>
      </c>
      <c r="Y2131" s="744" t="s">
        <v>6718</v>
      </c>
      <c r="Z2131" s="749">
        <v>59319</v>
      </c>
      <c r="AA2131" s="594">
        <v>42922</v>
      </c>
      <c r="AB2131" s="250" t="s">
        <v>6645</v>
      </c>
      <c r="AC2131" s="1003"/>
      <c r="AD2131" s="1003"/>
      <c r="AE2131" s="1003"/>
      <c r="AF2131" s="745"/>
      <c r="AG2131" s="251" t="s">
        <v>283</v>
      </c>
    </row>
    <row r="2132" spans="1:33" ht="15.75" customHeight="1">
      <c r="A2132" s="743">
        <v>42849</v>
      </c>
      <c r="B2132" s="744" t="s">
        <v>6719</v>
      </c>
      <c r="C2132" s="744" t="s">
        <v>6720</v>
      </c>
      <c r="D2132" s="308" t="s">
        <v>6721</v>
      </c>
      <c r="E2132" s="308" t="s">
        <v>5881</v>
      </c>
      <c r="F2132" s="305">
        <v>8</v>
      </c>
      <c r="G2132" s="265">
        <v>3587</v>
      </c>
      <c r="H2132" s="265">
        <f t="shared" si="167"/>
        <v>28696</v>
      </c>
      <c r="I2132" s="254" t="s">
        <v>170</v>
      </c>
      <c r="J2132" s="1022" t="s">
        <v>1309</v>
      </c>
      <c r="K2132" s="256">
        <v>42902</v>
      </c>
      <c r="L2132" s="256"/>
      <c r="M2132" s="1030"/>
      <c r="N2132" s="251"/>
      <c r="O2132" s="250" t="s">
        <v>6722</v>
      </c>
      <c r="P2132" s="337"/>
      <c r="Q2132" s="795"/>
      <c r="R2132" s="1435"/>
      <c r="S2132" s="1435"/>
      <c r="U2132" s="251"/>
      <c r="V2132" s="251"/>
      <c r="W2132" s="1002"/>
      <c r="X2132" s="745"/>
      <c r="Y2132" s="745"/>
      <c r="Z2132" s="745"/>
      <c r="AA2132" s="1003"/>
      <c r="AB2132" s="744" t="s">
        <v>6723</v>
      </c>
      <c r="AC2132" s="1003"/>
      <c r="AD2132" s="1003"/>
      <c r="AE2132" s="402">
        <v>1960560</v>
      </c>
      <c r="AF2132" s="744" t="s">
        <v>6724</v>
      </c>
      <c r="AG2132" s="251" t="s">
        <v>376</v>
      </c>
    </row>
    <row r="2133" spans="1:33" ht="15.75" customHeight="1">
      <c r="A2133" s="743">
        <v>42849</v>
      </c>
      <c r="B2133" s="744" t="s">
        <v>6719</v>
      </c>
      <c r="C2133" s="744" t="s">
        <v>6720</v>
      </c>
      <c r="D2133" s="308" t="s">
        <v>6721</v>
      </c>
      <c r="E2133" s="308" t="s">
        <v>5886</v>
      </c>
      <c r="F2133" s="305">
        <v>8</v>
      </c>
      <c r="G2133" s="265">
        <v>100.5</v>
      </c>
      <c r="H2133" s="265">
        <f t="shared" si="167"/>
        <v>804</v>
      </c>
      <c r="I2133" s="254" t="s">
        <v>170</v>
      </c>
      <c r="J2133" s="1022" t="s">
        <v>1309</v>
      </c>
      <c r="K2133" s="256">
        <v>42902</v>
      </c>
      <c r="L2133" s="256"/>
      <c r="M2133" s="251"/>
      <c r="N2133" s="251"/>
      <c r="O2133" s="250" t="s">
        <v>6722</v>
      </c>
      <c r="P2133" s="337"/>
      <c r="Q2133" s="795"/>
      <c r="R2133" s="1435"/>
      <c r="S2133" s="1435"/>
      <c r="U2133" s="251"/>
      <c r="V2133" s="251"/>
      <c r="W2133" s="1002"/>
      <c r="X2133" s="745"/>
      <c r="Y2133" s="745"/>
      <c r="Z2133" s="745"/>
      <c r="AA2133" s="1003"/>
      <c r="AB2133" s="744" t="s">
        <v>6723</v>
      </c>
      <c r="AC2133" s="1003"/>
      <c r="AD2133" s="1003"/>
      <c r="AE2133" s="402">
        <v>1960560</v>
      </c>
      <c r="AF2133" s="744" t="s">
        <v>6724</v>
      </c>
      <c r="AG2133" s="251" t="s">
        <v>376</v>
      </c>
    </row>
    <row r="2134" spans="1:33" ht="15.75" customHeight="1">
      <c r="A2134" s="743">
        <v>42849</v>
      </c>
      <c r="B2134" s="744" t="s">
        <v>6719</v>
      </c>
      <c r="C2134" s="744" t="s">
        <v>6720</v>
      </c>
      <c r="D2134" s="308" t="s">
        <v>6721</v>
      </c>
      <c r="E2134" s="308" t="s">
        <v>5887</v>
      </c>
      <c r="F2134" s="305">
        <v>8</v>
      </c>
      <c r="G2134" s="265">
        <v>74.2</v>
      </c>
      <c r="H2134" s="265">
        <f t="shared" si="167"/>
        <v>593.6</v>
      </c>
      <c r="I2134" s="254" t="s">
        <v>170</v>
      </c>
      <c r="J2134" s="1022" t="s">
        <v>1309</v>
      </c>
      <c r="K2134" s="256">
        <v>42902</v>
      </c>
      <c r="L2134" s="256"/>
      <c r="M2134" s="251"/>
      <c r="N2134" s="251"/>
      <c r="O2134" s="250" t="s">
        <v>6722</v>
      </c>
      <c r="P2134" s="337"/>
      <c r="Q2134" s="795"/>
      <c r="R2134" s="1435"/>
      <c r="S2134" s="1435"/>
      <c r="U2134" s="251"/>
      <c r="V2134" s="251"/>
      <c r="W2134" s="1002"/>
      <c r="X2134" s="745"/>
      <c r="Y2134" s="745"/>
      <c r="Z2134" s="745"/>
      <c r="AA2134" s="1003"/>
      <c r="AB2134" s="744" t="s">
        <v>6723</v>
      </c>
      <c r="AC2134" s="1003"/>
      <c r="AD2134" s="1003"/>
      <c r="AE2134" s="402">
        <v>1960560</v>
      </c>
      <c r="AF2134" s="744" t="s">
        <v>6724</v>
      </c>
      <c r="AG2134" s="251" t="s">
        <v>376</v>
      </c>
    </row>
    <row r="2135" spans="1:33" ht="15.75" customHeight="1">
      <c r="A2135" s="743">
        <v>42849</v>
      </c>
      <c r="B2135" s="744" t="s">
        <v>6719</v>
      </c>
      <c r="C2135" s="744" t="s">
        <v>6720</v>
      </c>
      <c r="D2135" s="308" t="s">
        <v>6721</v>
      </c>
      <c r="E2135" s="308" t="s">
        <v>5889</v>
      </c>
      <c r="F2135" s="305">
        <v>8</v>
      </c>
      <c r="G2135" s="265">
        <v>1575</v>
      </c>
      <c r="H2135" s="265">
        <f t="shared" si="167"/>
        <v>12600</v>
      </c>
      <c r="I2135" s="254" t="s">
        <v>170</v>
      </c>
      <c r="J2135" s="1022" t="s">
        <v>1309</v>
      </c>
      <c r="K2135" s="256">
        <v>42919</v>
      </c>
      <c r="L2135" s="256"/>
      <c r="M2135" s="251"/>
      <c r="N2135" s="251"/>
      <c r="O2135" s="250" t="s">
        <v>6722</v>
      </c>
      <c r="P2135" s="337"/>
      <c r="Q2135" s="795"/>
      <c r="R2135" s="1435"/>
      <c r="S2135" s="1435"/>
      <c r="U2135" s="251"/>
      <c r="V2135" s="251"/>
      <c r="W2135" s="1002"/>
      <c r="X2135" s="745"/>
      <c r="Y2135" s="745"/>
      <c r="Z2135" s="745"/>
      <c r="AA2135" s="1003"/>
      <c r="AB2135" s="744" t="s">
        <v>6723</v>
      </c>
      <c r="AC2135" s="1003"/>
      <c r="AD2135" s="1003"/>
      <c r="AE2135" s="402">
        <v>1960560</v>
      </c>
      <c r="AF2135" s="744" t="s">
        <v>6724</v>
      </c>
      <c r="AG2135" s="251" t="s">
        <v>376</v>
      </c>
    </row>
    <row r="2136" spans="1:33" ht="15.75" customHeight="1">
      <c r="A2136" s="743">
        <v>42849</v>
      </c>
      <c r="B2136" s="744" t="s">
        <v>6719</v>
      </c>
      <c r="C2136" s="744" t="s">
        <v>6720</v>
      </c>
      <c r="D2136" s="308" t="s">
        <v>6721</v>
      </c>
      <c r="E2136" s="308" t="s">
        <v>5892</v>
      </c>
      <c r="F2136" s="305">
        <v>8</v>
      </c>
      <c r="G2136" s="265">
        <v>666</v>
      </c>
      <c r="H2136" s="265">
        <f t="shared" si="167"/>
        <v>5328</v>
      </c>
      <c r="I2136" s="254" t="s">
        <v>170</v>
      </c>
      <c r="J2136" s="1022" t="s">
        <v>1309</v>
      </c>
      <c r="K2136" s="256">
        <v>42902</v>
      </c>
      <c r="L2136" s="256"/>
      <c r="M2136" s="251"/>
      <c r="N2136" s="251"/>
      <c r="O2136" s="250" t="s">
        <v>6722</v>
      </c>
      <c r="P2136" s="337"/>
      <c r="Q2136" s="795"/>
      <c r="R2136" s="1435"/>
      <c r="S2136" s="1435"/>
      <c r="U2136" s="251"/>
      <c r="V2136" s="251"/>
      <c r="W2136" s="1002"/>
      <c r="X2136" s="745"/>
      <c r="Y2136" s="745"/>
      <c r="Z2136" s="745"/>
      <c r="AA2136" s="1003"/>
      <c r="AB2136" s="744" t="s">
        <v>6723</v>
      </c>
      <c r="AC2136" s="1003"/>
      <c r="AD2136" s="1003"/>
      <c r="AE2136" s="402">
        <v>1960560</v>
      </c>
      <c r="AF2136" s="744" t="s">
        <v>6724</v>
      </c>
      <c r="AG2136" s="251" t="s">
        <v>376</v>
      </c>
    </row>
    <row r="2137" spans="1:33" ht="15.75" customHeight="1">
      <c r="A2137" s="743">
        <v>42849</v>
      </c>
      <c r="B2137" s="744" t="s">
        <v>6719</v>
      </c>
      <c r="C2137" s="744" t="s">
        <v>6720</v>
      </c>
      <c r="D2137" s="308" t="s">
        <v>6721</v>
      </c>
      <c r="E2137" s="308" t="s">
        <v>6725</v>
      </c>
      <c r="F2137" s="305">
        <v>2</v>
      </c>
      <c r="G2137" s="252">
        <v>7057</v>
      </c>
      <c r="H2137" s="265">
        <f t="shared" si="167"/>
        <v>14114</v>
      </c>
      <c r="I2137" s="254" t="s">
        <v>170</v>
      </c>
      <c r="J2137" s="1022" t="s">
        <v>1309</v>
      </c>
      <c r="K2137" s="256">
        <v>42902</v>
      </c>
      <c r="L2137" s="256"/>
      <c r="M2137" s="251"/>
      <c r="N2137" s="251"/>
      <c r="O2137" s="250" t="s">
        <v>6722</v>
      </c>
      <c r="P2137" s="337"/>
      <c r="Q2137" s="795"/>
      <c r="R2137" s="1435"/>
      <c r="S2137" s="1435"/>
      <c r="U2137" s="251"/>
      <c r="V2137" s="251"/>
      <c r="W2137" s="1002"/>
      <c r="X2137" s="745"/>
      <c r="Y2137" s="745"/>
      <c r="Z2137" s="745"/>
      <c r="AA2137" s="1003"/>
      <c r="AB2137" s="744" t="s">
        <v>6723</v>
      </c>
      <c r="AC2137" s="1003"/>
      <c r="AD2137" s="1003"/>
      <c r="AE2137" s="402">
        <v>1960560</v>
      </c>
      <c r="AF2137" s="744" t="s">
        <v>6724</v>
      </c>
      <c r="AG2137" s="251" t="s">
        <v>376</v>
      </c>
    </row>
    <row r="2138" spans="1:33" ht="15.75" customHeight="1">
      <c r="A2138" s="743">
        <v>42850</v>
      </c>
      <c r="B2138" s="590" t="s">
        <v>100</v>
      </c>
      <c r="C2138" s="744" t="s">
        <v>6726</v>
      </c>
      <c r="D2138" s="744" t="s">
        <v>6727</v>
      </c>
      <c r="E2138" s="744" t="s">
        <v>6728</v>
      </c>
      <c r="F2138" s="305">
        <v>1</v>
      </c>
      <c r="G2138" s="252">
        <v>847</v>
      </c>
      <c r="H2138" s="265">
        <f t="shared" si="167"/>
        <v>847</v>
      </c>
      <c r="I2138" s="254" t="s">
        <v>3315</v>
      </c>
      <c r="J2138" s="367" t="s">
        <v>3578</v>
      </c>
      <c r="K2138" s="256">
        <v>42866</v>
      </c>
      <c r="L2138" s="256"/>
      <c r="M2138" s="256">
        <v>42866</v>
      </c>
      <c r="N2138" s="331" t="s">
        <v>1414</v>
      </c>
      <c r="O2138" s="250" t="s">
        <v>6729</v>
      </c>
      <c r="P2138" s="337"/>
      <c r="Q2138" s="630">
        <v>23576</v>
      </c>
      <c r="R2138" s="1415"/>
      <c r="S2138" s="1415"/>
      <c r="U2138" s="251"/>
      <c r="V2138" s="744" t="s">
        <v>1947</v>
      </c>
      <c r="W2138" s="1031">
        <v>42916</v>
      </c>
      <c r="X2138" s="748">
        <v>42864</v>
      </c>
      <c r="Y2138" s="744" t="s">
        <v>6730</v>
      </c>
      <c r="Z2138" s="749">
        <v>24684</v>
      </c>
      <c r="AA2138" s="594">
        <v>42922</v>
      </c>
      <c r="AB2138" s="250" t="s">
        <v>6731</v>
      </c>
      <c r="AC2138" s="1003"/>
      <c r="AD2138" s="1003"/>
      <c r="AE2138" s="1003"/>
      <c r="AF2138" s="745"/>
      <c r="AG2138" s="251" t="s">
        <v>283</v>
      </c>
    </row>
    <row r="2139" spans="1:33" ht="15.75" customHeight="1">
      <c r="A2139" s="743">
        <v>42850</v>
      </c>
      <c r="B2139" s="590" t="s">
        <v>100</v>
      </c>
      <c r="C2139" s="744" t="s">
        <v>6726</v>
      </c>
      <c r="D2139" s="744" t="s">
        <v>6727</v>
      </c>
      <c r="E2139" s="744" t="s">
        <v>6732</v>
      </c>
      <c r="F2139" s="305">
        <v>1</v>
      </c>
      <c r="G2139" s="252">
        <v>41</v>
      </c>
      <c r="H2139" s="265">
        <f t="shared" si="167"/>
        <v>41</v>
      </c>
      <c r="I2139" s="254" t="s">
        <v>3315</v>
      </c>
      <c r="J2139" s="367" t="s">
        <v>3578</v>
      </c>
      <c r="K2139" s="256">
        <v>42866</v>
      </c>
      <c r="L2139" s="256"/>
      <c r="M2139" s="256">
        <v>42866</v>
      </c>
      <c r="N2139" s="401" t="s">
        <v>1414</v>
      </c>
      <c r="O2139" s="250" t="s">
        <v>6729</v>
      </c>
      <c r="P2139" s="337"/>
      <c r="Q2139" s="630">
        <v>1108</v>
      </c>
      <c r="R2139" s="1415"/>
      <c r="S2139" s="1415"/>
      <c r="U2139" s="251"/>
      <c r="V2139" s="970" t="s">
        <v>1947</v>
      </c>
      <c r="W2139" s="1031">
        <v>42916</v>
      </c>
      <c r="X2139" s="748">
        <v>42864</v>
      </c>
      <c r="Y2139" s="744" t="s">
        <v>6730</v>
      </c>
      <c r="Z2139" s="744" t="s">
        <v>6733</v>
      </c>
      <c r="AA2139" s="594">
        <v>42922</v>
      </c>
      <c r="AB2139" s="250" t="s">
        <v>6731</v>
      </c>
      <c r="AC2139" s="1003"/>
      <c r="AD2139" s="1003"/>
      <c r="AE2139" s="1003"/>
      <c r="AF2139" s="745"/>
      <c r="AG2139" s="251" t="s">
        <v>283</v>
      </c>
    </row>
    <row r="2140" spans="1:33" ht="15.75" customHeight="1">
      <c r="A2140" s="743">
        <v>42850</v>
      </c>
      <c r="B2140" s="590" t="s">
        <v>100</v>
      </c>
      <c r="C2140" s="744" t="s">
        <v>6726</v>
      </c>
      <c r="D2140" s="744" t="s">
        <v>6727</v>
      </c>
      <c r="E2140" s="744" t="s">
        <v>6734</v>
      </c>
      <c r="F2140" s="305">
        <v>1</v>
      </c>
      <c r="G2140" s="252">
        <v>81</v>
      </c>
      <c r="H2140" s="265">
        <f t="shared" si="167"/>
        <v>81</v>
      </c>
      <c r="I2140" s="254" t="s">
        <v>3315</v>
      </c>
      <c r="J2140" s="367" t="s">
        <v>3578</v>
      </c>
      <c r="K2140" s="256">
        <v>42866</v>
      </c>
      <c r="L2140" s="256"/>
      <c r="M2140" s="256">
        <v>42859</v>
      </c>
      <c r="N2140" s="331" t="s">
        <v>6735</v>
      </c>
      <c r="O2140" s="250" t="s">
        <v>6736</v>
      </c>
      <c r="P2140" s="337"/>
      <c r="Q2140" s="630">
        <v>2042</v>
      </c>
      <c r="R2140" s="1415"/>
      <c r="S2140" s="1415"/>
      <c r="U2140" s="251"/>
      <c r="V2140" s="308" t="s">
        <v>2126</v>
      </c>
      <c r="W2140" s="1015"/>
      <c r="X2140" s="750">
        <v>42858</v>
      </c>
      <c r="Y2140" s="250" t="s">
        <v>6737</v>
      </c>
      <c r="Z2140" s="753">
        <v>2042</v>
      </c>
      <c r="AA2140" s="594">
        <v>42853</v>
      </c>
      <c r="AB2140" s="250" t="s">
        <v>6731</v>
      </c>
      <c r="AC2140" s="1003"/>
      <c r="AD2140" s="1003"/>
      <c r="AE2140" s="1003"/>
      <c r="AF2140" s="745"/>
      <c r="AG2140" s="251" t="s">
        <v>283</v>
      </c>
    </row>
    <row r="2141" spans="1:33" ht="15.75" customHeight="1">
      <c r="A2141" s="743">
        <v>42850</v>
      </c>
      <c r="B2141" s="590" t="s">
        <v>100</v>
      </c>
      <c r="C2141" s="744" t="s">
        <v>6726</v>
      </c>
      <c r="D2141" s="744" t="s">
        <v>6727</v>
      </c>
      <c r="E2141" s="744" t="s">
        <v>6738</v>
      </c>
      <c r="F2141" s="305">
        <v>1</v>
      </c>
      <c r="G2141" s="252">
        <v>44</v>
      </c>
      <c r="H2141" s="265">
        <f t="shared" si="167"/>
        <v>44</v>
      </c>
      <c r="I2141" s="254" t="s">
        <v>3315</v>
      </c>
      <c r="J2141" s="367" t="s">
        <v>3578</v>
      </c>
      <c r="K2141" s="256">
        <v>42866</v>
      </c>
      <c r="L2141" s="256"/>
      <c r="M2141" s="256">
        <v>42852</v>
      </c>
      <c r="N2141" s="401" t="s">
        <v>2411</v>
      </c>
      <c r="O2141" s="250" t="s">
        <v>6739</v>
      </c>
      <c r="P2141" s="337"/>
      <c r="Q2141" s="630">
        <v>1145</v>
      </c>
      <c r="R2141" s="1415"/>
      <c r="S2141" s="1415"/>
      <c r="U2141" s="251"/>
      <c r="V2141" s="318" t="s">
        <v>4328</v>
      </c>
      <c r="W2141" s="789">
        <v>42891</v>
      </c>
      <c r="X2141" s="748">
        <v>42857</v>
      </c>
      <c r="Y2141" s="744" t="s">
        <v>6740</v>
      </c>
      <c r="Z2141" s="749">
        <v>1145</v>
      </c>
      <c r="AA2141" s="256">
        <v>42891</v>
      </c>
      <c r="AB2141" s="250" t="s">
        <v>6731</v>
      </c>
      <c r="AC2141" s="1003"/>
      <c r="AD2141" s="1003"/>
      <c r="AE2141" s="1003"/>
      <c r="AF2141" s="745"/>
      <c r="AG2141" s="251" t="s">
        <v>283</v>
      </c>
    </row>
    <row r="2142" spans="1:33" ht="15.75" customHeight="1">
      <c r="A2142" s="743">
        <v>42853</v>
      </c>
      <c r="B2142" s="338" t="s">
        <v>3479</v>
      </c>
      <c r="C2142" s="744"/>
      <c r="D2142" s="308" t="s">
        <v>6741</v>
      </c>
      <c r="E2142" s="308" t="s">
        <v>3487</v>
      </c>
      <c r="F2142" s="264">
        <v>20</v>
      </c>
      <c r="G2142" s="252">
        <v>102</v>
      </c>
      <c r="H2142" s="574">
        <f t="shared" si="167"/>
        <v>2040</v>
      </c>
      <c r="I2142" s="1029" t="s">
        <v>3315</v>
      </c>
      <c r="J2142" s="267" t="s">
        <v>6742</v>
      </c>
      <c r="K2142" s="264" t="s">
        <v>6743</v>
      </c>
      <c r="L2142" s="264"/>
      <c r="M2142" s="264" t="s">
        <v>6744</v>
      </c>
      <c r="N2142" s="401" t="s">
        <v>2001</v>
      </c>
      <c r="O2142" s="250" t="s">
        <v>6745</v>
      </c>
      <c r="P2142" s="790">
        <v>1995</v>
      </c>
      <c r="Q2142" s="795"/>
      <c r="R2142" s="1435"/>
      <c r="S2142" s="1435"/>
      <c r="U2142" s="251"/>
      <c r="V2142" s="318" t="s">
        <v>2003</v>
      </c>
      <c r="W2142" s="574" t="s">
        <v>6746</v>
      </c>
      <c r="X2142" s="744" t="s">
        <v>6747</v>
      </c>
      <c r="Y2142" s="744" t="s">
        <v>6748</v>
      </c>
      <c r="Z2142" s="744" t="s">
        <v>6749</v>
      </c>
      <c r="AA2142" s="251" t="s">
        <v>6750</v>
      </c>
      <c r="AB2142" s="250" t="s">
        <v>6751</v>
      </c>
      <c r="AC2142" s="1003"/>
      <c r="AD2142" s="1003"/>
      <c r="AE2142" s="1003"/>
      <c r="AF2142" s="745"/>
      <c r="AG2142" s="251" t="s">
        <v>283</v>
      </c>
    </row>
    <row r="2143" spans="1:33" ht="15.75" customHeight="1">
      <c r="A2143" s="743">
        <v>42853</v>
      </c>
      <c r="B2143" s="590" t="s">
        <v>76</v>
      </c>
      <c r="C2143" s="744">
        <v>354</v>
      </c>
      <c r="D2143" s="744" t="s">
        <v>6752</v>
      </c>
      <c r="E2143" s="744" t="s">
        <v>3381</v>
      </c>
      <c r="F2143" s="305">
        <v>30</v>
      </c>
      <c r="G2143" s="252">
        <v>285</v>
      </c>
      <c r="H2143" s="574">
        <f t="shared" si="167"/>
        <v>8550</v>
      </c>
      <c r="I2143" s="254" t="s">
        <v>42</v>
      </c>
      <c r="J2143" s="267" t="s">
        <v>315</v>
      </c>
      <c r="K2143" s="256">
        <v>42898</v>
      </c>
      <c r="L2143" s="256"/>
      <c r="M2143" s="256">
        <v>42895</v>
      </c>
      <c r="N2143" s="401" t="s">
        <v>1967</v>
      </c>
      <c r="O2143" s="250" t="s">
        <v>6753</v>
      </c>
      <c r="P2143" s="630">
        <v>7875</v>
      </c>
      <c r="Q2143" s="795"/>
      <c r="R2143" s="1435"/>
      <c r="S2143" s="1435"/>
      <c r="U2143" s="251"/>
      <c r="V2143" s="318" t="s">
        <v>1969</v>
      </c>
      <c r="W2143" s="789">
        <v>42952</v>
      </c>
      <c r="X2143" s="748">
        <v>42895</v>
      </c>
      <c r="Y2143" s="744" t="s">
        <v>6754</v>
      </c>
      <c r="Z2143" s="749">
        <v>237116</v>
      </c>
      <c r="AA2143" s="594">
        <v>42958</v>
      </c>
      <c r="AB2143" s="250" t="s">
        <v>6710</v>
      </c>
      <c r="AC2143" s="251">
        <v>410367366</v>
      </c>
      <c r="AD2143" s="1003"/>
      <c r="AE2143" s="1003"/>
      <c r="AF2143" s="745"/>
      <c r="AG2143" s="251" t="s">
        <v>283</v>
      </c>
    </row>
    <row r="2144" spans="1:33" ht="15.75" customHeight="1">
      <c r="A2144" s="743">
        <v>42853</v>
      </c>
      <c r="B2144" s="338" t="s">
        <v>3479</v>
      </c>
      <c r="C2144" s="744"/>
      <c r="D2144" s="308" t="s">
        <v>6741</v>
      </c>
      <c r="E2144" s="308" t="s">
        <v>3481</v>
      </c>
      <c r="F2144" s="264">
        <v>10</v>
      </c>
      <c r="G2144" s="252">
        <f>281</f>
        <v>281</v>
      </c>
      <c r="H2144" s="574">
        <f t="shared" si="167"/>
        <v>2810</v>
      </c>
      <c r="I2144" s="1029" t="s">
        <v>3315</v>
      </c>
      <c r="J2144" s="367" t="s">
        <v>6742</v>
      </c>
      <c r="K2144" s="594">
        <v>42877</v>
      </c>
      <c r="L2144" s="594"/>
      <c r="M2144" s="256">
        <v>42871</v>
      </c>
      <c r="N2144" s="401" t="s">
        <v>2001</v>
      </c>
      <c r="O2144" s="250" t="s">
        <v>6745</v>
      </c>
      <c r="P2144" s="790">
        <v>2761.5</v>
      </c>
      <c r="Q2144" s="795"/>
      <c r="R2144" s="1435"/>
      <c r="S2144" s="1435"/>
      <c r="U2144" s="251"/>
      <c r="V2144" s="308" t="s">
        <v>2003</v>
      </c>
      <c r="W2144" s="789">
        <v>42921</v>
      </c>
      <c r="X2144" s="748">
        <v>42870</v>
      </c>
      <c r="Y2144" s="744" t="s">
        <v>6755</v>
      </c>
      <c r="Z2144" s="749">
        <v>119349</v>
      </c>
      <c r="AA2144" s="594">
        <v>42922</v>
      </c>
      <c r="AB2144" s="250" t="s">
        <v>6756</v>
      </c>
      <c r="AC2144" s="1003"/>
      <c r="AD2144" s="1003"/>
      <c r="AE2144" s="1003"/>
      <c r="AF2144" s="745"/>
      <c r="AG2144" s="251" t="s">
        <v>283</v>
      </c>
    </row>
    <row r="2145" spans="1:33" ht="15.75" customHeight="1">
      <c r="A2145" s="594">
        <v>42853</v>
      </c>
      <c r="B2145" s="338" t="s">
        <v>3479</v>
      </c>
      <c r="C2145" s="744"/>
      <c r="D2145" s="308" t="s">
        <v>6741</v>
      </c>
      <c r="E2145" s="308" t="s">
        <v>6757</v>
      </c>
      <c r="F2145" s="264">
        <v>1</v>
      </c>
      <c r="G2145" s="252">
        <v>170</v>
      </c>
      <c r="H2145" s="574">
        <f t="shared" si="167"/>
        <v>170</v>
      </c>
      <c r="I2145" s="254" t="s">
        <v>3315</v>
      </c>
      <c r="J2145" s="361" t="s">
        <v>6742</v>
      </c>
      <c r="K2145" s="594">
        <v>42877</v>
      </c>
      <c r="L2145" s="594"/>
      <c r="M2145" s="256">
        <v>42867</v>
      </c>
      <c r="N2145" s="401" t="s">
        <v>89</v>
      </c>
      <c r="O2145" s="250" t="s">
        <v>6758</v>
      </c>
      <c r="P2145" s="574">
        <v>158.34</v>
      </c>
      <c r="Q2145" s="795"/>
      <c r="R2145" s="1435"/>
      <c r="S2145" s="1435"/>
      <c r="U2145" s="251"/>
      <c r="V2145" s="308" t="s">
        <v>5896</v>
      </c>
      <c r="W2145" s="1010"/>
      <c r="X2145" s="750">
        <v>42867</v>
      </c>
      <c r="Y2145" s="250" t="s">
        <v>6759</v>
      </c>
      <c r="Z2145" s="753">
        <v>4771</v>
      </c>
      <c r="AA2145" s="594">
        <v>42906</v>
      </c>
      <c r="AB2145" s="250" t="s">
        <v>6756</v>
      </c>
      <c r="AC2145" s="1003"/>
      <c r="AD2145" s="1003"/>
      <c r="AE2145" s="1003"/>
      <c r="AF2145" s="745"/>
      <c r="AG2145" s="251" t="s">
        <v>283</v>
      </c>
    </row>
    <row r="2146" spans="1:33" ht="15.75" customHeight="1">
      <c r="A2146" s="256">
        <v>42853</v>
      </c>
      <c r="B2146" s="338" t="s">
        <v>53</v>
      </c>
      <c r="C2146" s="250" t="s">
        <v>6760</v>
      </c>
      <c r="D2146" s="308" t="s">
        <v>6761</v>
      </c>
      <c r="E2146" s="308" t="s">
        <v>3632</v>
      </c>
      <c r="F2146" s="264">
        <v>5</v>
      </c>
      <c r="G2146" s="252">
        <v>150.15</v>
      </c>
      <c r="H2146" s="574">
        <f t="shared" si="167"/>
        <v>750.75</v>
      </c>
      <c r="I2146" s="254" t="s">
        <v>42</v>
      </c>
      <c r="J2146" s="1022" t="s">
        <v>89</v>
      </c>
      <c r="K2146" s="256">
        <v>42863</v>
      </c>
      <c r="L2146" s="256"/>
      <c r="M2146" s="256">
        <v>42863</v>
      </c>
      <c r="N2146" s="251" t="s">
        <v>89</v>
      </c>
      <c r="O2146" s="250" t="s">
        <v>6762</v>
      </c>
      <c r="P2146" s="574">
        <v>672</v>
      </c>
      <c r="Q2146" s="795"/>
      <c r="R2146" s="1435"/>
      <c r="S2146" s="1435"/>
      <c r="U2146" s="251"/>
      <c r="V2146" s="308" t="s">
        <v>5896</v>
      </c>
      <c r="W2146" s="789">
        <v>42921</v>
      </c>
      <c r="X2146" s="750">
        <v>42863</v>
      </c>
      <c r="Y2146" s="250" t="s">
        <v>6763</v>
      </c>
      <c r="Z2146" s="753">
        <v>20220</v>
      </c>
      <c r="AA2146" s="594">
        <v>42906</v>
      </c>
      <c r="AB2146" s="744" t="s">
        <v>6764</v>
      </c>
      <c r="AC2146" s="251">
        <v>995422334010</v>
      </c>
      <c r="AD2146" s="744" t="s">
        <v>6765</v>
      </c>
      <c r="AE2146" s="260">
        <v>22659</v>
      </c>
      <c r="AF2146" s="744" t="s">
        <v>6766</v>
      </c>
      <c r="AG2146" s="251" t="s">
        <v>376</v>
      </c>
    </row>
    <row r="2147" spans="1:33" ht="15.75" customHeight="1">
      <c r="A2147" s="594">
        <v>42853</v>
      </c>
      <c r="B2147" s="590" t="s">
        <v>5981</v>
      </c>
      <c r="C2147" s="744">
        <v>7000129391</v>
      </c>
      <c r="D2147" s="744" t="s">
        <v>6767</v>
      </c>
      <c r="E2147" s="744" t="s">
        <v>6768</v>
      </c>
      <c r="F2147" s="305">
        <v>2</v>
      </c>
      <c r="G2147" s="252">
        <v>110</v>
      </c>
      <c r="H2147" s="574">
        <f t="shared" si="167"/>
        <v>220</v>
      </c>
      <c r="I2147" s="254" t="s">
        <v>42</v>
      </c>
      <c r="J2147" s="756" t="s">
        <v>3462</v>
      </c>
      <c r="K2147" s="256">
        <v>42863</v>
      </c>
      <c r="L2147" s="256"/>
      <c r="M2147" s="256">
        <v>42859</v>
      </c>
      <c r="N2147" s="264" t="s">
        <v>3432</v>
      </c>
      <c r="O2147" s="250" t="s">
        <v>6769</v>
      </c>
      <c r="P2147" s="337"/>
      <c r="Q2147" s="630">
        <v>6430</v>
      </c>
      <c r="R2147" s="1415"/>
      <c r="S2147" s="1415"/>
      <c r="U2147" s="251"/>
      <c r="V2147" s="308" t="s">
        <v>2045</v>
      </c>
      <c r="W2147" s="789">
        <v>42947</v>
      </c>
      <c r="X2147" s="748">
        <v>42857</v>
      </c>
      <c r="Y2147" s="744" t="s">
        <v>6770</v>
      </c>
      <c r="Z2147" s="749">
        <v>42228</v>
      </c>
      <c r="AA2147" s="594">
        <v>42948</v>
      </c>
      <c r="AB2147" s="250" t="s">
        <v>6771</v>
      </c>
      <c r="AC2147" s="251">
        <v>2161795716</v>
      </c>
      <c r="AD2147" s="1003"/>
      <c r="AE2147" s="1003"/>
      <c r="AF2147" s="745"/>
      <c r="AG2147" s="251" t="s">
        <v>283</v>
      </c>
    </row>
    <row r="2148" spans="1:33" ht="15.75" customHeight="1">
      <c r="A2148" s="594">
        <v>42853</v>
      </c>
      <c r="B2148" s="590" t="s">
        <v>5981</v>
      </c>
      <c r="C2148" s="744">
        <v>7000129391</v>
      </c>
      <c r="D2148" s="744" t="s">
        <v>6767</v>
      </c>
      <c r="E2148" s="744" t="s">
        <v>6404</v>
      </c>
      <c r="F2148" s="305">
        <v>7</v>
      </c>
      <c r="G2148" s="252">
        <v>116</v>
      </c>
      <c r="H2148" s="574">
        <f t="shared" si="167"/>
        <v>812</v>
      </c>
      <c r="I2148" s="254" t="s">
        <v>42</v>
      </c>
      <c r="J2148" s="756" t="s">
        <v>3462</v>
      </c>
      <c r="K2148" s="256">
        <v>42863</v>
      </c>
      <c r="L2148" s="256"/>
      <c r="M2148" s="256">
        <v>42859</v>
      </c>
      <c r="N2148" s="264" t="s">
        <v>3432</v>
      </c>
      <c r="O2148" s="250" t="s">
        <v>6769</v>
      </c>
      <c r="P2148" s="337"/>
      <c r="Q2148" s="630">
        <v>23807</v>
      </c>
      <c r="R2148" s="1415"/>
      <c r="S2148" s="1415"/>
      <c r="U2148" s="251"/>
      <c r="V2148" s="308" t="s">
        <v>2045</v>
      </c>
      <c r="W2148" s="789">
        <v>42947</v>
      </c>
      <c r="X2148" s="748">
        <v>42857</v>
      </c>
      <c r="Y2148" s="744" t="s">
        <v>6770</v>
      </c>
      <c r="Z2148" s="744" t="s">
        <v>6772</v>
      </c>
      <c r="AA2148" s="594">
        <v>42948</v>
      </c>
      <c r="AB2148" s="250" t="s">
        <v>6771</v>
      </c>
      <c r="AC2148" s="251">
        <v>2161795716</v>
      </c>
      <c r="AD2148" s="1003"/>
      <c r="AE2148" s="1003"/>
      <c r="AF2148" s="745"/>
      <c r="AG2148" s="251" t="s">
        <v>283</v>
      </c>
    </row>
    <row r="2149" spans="1:33" ht="15.75" customHeight="1">
      <c r="A2149" s="743">
        <v>42853</v>
      </c>
      <c r="B2149" s="590" t="s">
        <v>5981</v>
      </c>
      <c r="C2149" s="970">
        <v>7000129391</v>
      </c>
      <c r="D2149" s="744" t="s">
        <v>6767</v>
      </c>
      <c r="E2149" s="744" t="s">
        <v>6142</v>
      </c>
      <c r="F2149" s="1007">
        <v>2</v>
      </c>
      <c r="G2149" s="252">
        <v>127</v>
      </c>
      <c r="H2149" s="574">
        <f t="shared" si="167"/>
        <v>254</v>
      </c>
      <c r="I2149" s="254" t="s">
        <v>42</v>
      </c>
      <c r="J2149" s="401" t="s">
        <v>3462</v>
      </c>
      <c r="K2149" s="256">
        <v>42863</v>
      </c>
      <c r="L2149" s="256"/>
      <c r="M2149" s="256">
        <v>42859</v>
      </c>
      <c r="N2149" s="264" t="s">
        <v>3432</v>
      </c>
      <c r="O2149" s="250" t="s">
        <v>6769</v>
      </c>
      <c r="P2149" s="337"/>
      <c r="Q2149" s="630">
        <v>7398</v>
      </c>
      <c r="R2149" s="1415"/>
      <c r="S2149" s="1415"/>
      <c r="U2149" s="251"/>
      <c r="V2149" s="318" t="s">
        <v>2045</v>
      </c>
      <c r="W2149" s="789">
        <v>42947</v>
      </c>
      <c r="X2149" s="748">
        <v>42857</v>
      </c>
      <c r="Y2149" s="744" t="s">
        <v>6770</v>
      </c>
      <c r="Z2149" s="744" t="s">
        <v>6772</v>
      </c>
      <c r="AA2149" s="594">
        <v>42948</v>
      </c>
      <c r="AB2149" s="250" t="s">
        <v>6771</v>
      </c>
      <c r="AC2149" s="251">
        <v>2161795716</v>
      </c>
      <c r="AD2149" s="1003"/>
      <c r="AE2149" s="1003"/>
      <c r="AF2149" s="745"/>
      <c r="AG2149" s="251" t="s">
        <v>283</v>
      </c>
    </row>
    <row r="2150" spans="1:33" ht="15.75" customHeight="1">
      <c r="A2150" s="743">
        <v>42853</v>
      </c>
      <c r="B2150" s="590" t="s">
        <v>5981</v>
      </c>
      <c r="C2150" s="744">
        <v>7000129391</v>
      </c>
      <c r="D2150" s="744" t="s">
        <v>6767</v>
      </c>
      <c r="E2150" s="744" t="s">
        <v>6773</v>
      </c>
      <c r="F2150" s="1007">
        <v>2</v>
      </c>
      <c r="G2150" s="252">
        <v>79</v>
      </c>
      <c r="H2150" s="574">
        <f t="shared" si="167"/>
        <v>158</v>
      </c>
      <c r="I2150" s="264" t="s">
        <v>42</v>
      </c>
      <c r="J2150" s="401" t="s">
        <v>3462</v>
      </c>
      <c r="K2150" s="256">
        <v>42863</v>
      </c>
      <c r="L2150" s="256"/>
      <c r="M2150" s="256">
        <v>42859</v>
      </c>
      <c r="N2150" s="264" t="s">
        <v>3432</v>
      </c>
      <c r="O2150" s="250" t="s">
        <v>6769</v>
      </c>
      <c r="P2150" s="337"/>
      <c r="Q2150" s="630">
        <v>4593</v>
      </c>
      <c r="R2150" s="1415"/>
      <c r="S2150" s="1415"/>
      <c r="U2150" s="251"/>
      <c r="V2150" s="318" t="s">
        <v>2045</v>
      </c>
      <c r="W2150" s="789">
        <v>42947</v>
      </c>
      <c r="X2150" s="748">
        <v>42857</v>
      </c>
      <c r="Y2150" s="744" t="s">
        <v>6770</v>
      </c>
      <c r="Z2150" s="744" t="s">
        <v>6772</v>
      </c>
      <c r="AA2150" s="594">
        <v>42948</v>
      </c>
      <c r="AB2150" s="250" t="s">
        <v>6771</v>
      </c>
      <c r="AC2150" s="251">
        <v>2161795716</v>
      </c>
      <c r="AD2150" s="1003"/>
      <c r="AE2150" s="1003"/>
      <c r="AF2150" s="745"/>
      <c r="AG2150" s="251" t="s">
        <v>283</v>
      </c>
    </row>
    <row r="2151" spans="1:33" ht="15.75" customHeight="1">
      <c r="A2151" s="272">
        <v>42853</v>
      </c>
      <c r="B2151" s="783" t="s">
        <v>1189</v>
      </c>
      <c r="C2151" s="768" t="s">
        <v>6774</v>
      </c>
      <c r="D2151" s="768" t="s">
        <v>6775</v>
      </c>
      <c r="E2151" s="768" t="s">
        <v>6776</v>
      </c>
      <c r="F2151" s="1032">
        <v>10</v>
      </c>
      <c r="G2151" s="278">
        <v>17.5</v>
      </c>
      <c r="H2151" s="1011"/>
      <c r="I2151" s="776" t="s">
        <v>42</v>
      </c>
      <c r="J2151" s="981" t="s">
        <v>5852</v>
      </c>
      <c r="K2151" s="776" t="s">
        <v>70</v>
      </c>
      <c r="L2151" s="776"/>
      <c r="M2151" s="277"/>
      <c r="N2151" s="981" t="s">
        <v>2411</v>
      </c>
      <c r="O2151" s="274" t="s">
        <v>6777</v>
      </c>
      <c r="P2151" s="1011"/>
      <c r="Q2151" s="1033"/>
      <c r="R2151" s="1444"/>
      <c r="S2151" s="1444"/>
      <c r="U2151" s="277"/>
      <c r="V2151" s="779" t="s">
        <v>4328</v>
      </c>
      <c r="W2151" s="1012"/>
      <c r="X2151" s="766"/>
      <c r="Y2151" s="766"/>
      <c r="Z2151" s="766"/>
      <c r="AA2151" s="1013"/>
      <c r="AB2151" s="1013"/>
      <c r="AC2151" s="1013"/>
      <c r="AD2151" s="1013"/>
      <c r="AE2151" s="1013"/>
      <c r="AF2151" s="766"/>
      <c r="AG2151" s="251" t="s">
        <v>3456</v>
      </c>
    </row>
    <row r="2152" spans="1:33" ht="15.75" customHeight="1">
      <c r="A2152" s="272">
        <v>42853</v>
      </c>
      <c r="B2152" s="783" t="s">
        <v>1189</v>
      </c>
      <c r="C2152" s="768" t="s">
        <v>6774</v>
      </c>
      <c r="D2152" s="768" t="s">
        <v>6775</v>
      </c>
      <c r="E2152" s="768" t="s">
        <v>6778</v>
      </c>
      <c r="F2152" s="1032">
        <v>20</v>
      </c>
      <c r="G2152" s="278">
        <v>17.5</v>
      </c>
      <c r="H2152" s="1011"/>
      <c r="I2152" s="776" t="s">
        <v>42</v>
      </c>
      <c r="J2152" s="981" t="s">
        <v>5852</v>
      </c>
      <c r="K2152" s="776" t="s">
        <v>70</v>
      </c>
      <c r="L2152" s="776"/>
      <c r="M2152" s="277"/>
      <c r="N2152" s="281" t="s">
        <v>2411</v>
      </c>
      <c r="O2152" s="993" t="s">
        <v>6777</v>
      </c>
      <c r="P2152" s="1011"/>
      <c r="Q2152" s="1033"/>
      <c r="R2152" s="1444"/>
      <c r="S2152" s="1444"/>
      <c r="U2152" s="277"/>
      <c r="V2152" s="779" t="s">
        <v>4328</v>
      </c>
      <c r="W2152" s="1012"/>
      <c r="X2152" s="766"/>
      <c r="Y2152" s="766"/>
      <c r="Z2152" s="766"/>
      <c r="AA2152" s="1013"/>
      <c r="AB2152" s="1013"/>
      <c r="AC2152" s="1013"/>
      <c r="AD2152" s="1013"/>
      <c r="AE2152" s="1013"/>
      <c r="AF2152" s="766"/>
      <c r="AG2152" s="251" t="s">
        <v>3456</v>
      </c>
    </row>
    <row r="2153" spans="1:33" ht="15.75" customHeight="1">
      <c r="A2153" s="755">
        <v>42858</v>
      </c>
      <c r="B2153" s="338" t="s">
        <v>4590</v>
      </c>
      <c r="C2153" s="744">
        <v>63386</v>
      </c>
      <c r="D2153" s="308" t="s">
        <v>6779</v>
      </c>
      <c r="E2153" s="308" t="s">
        <v>6195</v>
      </c>
      <c r="F2153" s="254">
        <v>10</v>
      </c>
      <c r="G2153" s="252">
        <v>66</v>
      </c>
      <c r="H2153" s="574">
        <f t="shared" ref="H2153:H2175" si="168">G2153*F2153</f>
        <v>660</v>
      </c>
      <c r="I2153" s="975" t="s">
        <v>3315</v>
      </c>
      <c r="J2153" s="1022" t="s">
        <v>532</v>
      </c>
      <c r="K2153" s="256">
        <v>42881</v>
      </c>
      <c r="L2153" s="256"/>
      <c r="M2153" s="256">
        <v>42881</v>
      </c>
      <c r="N2153" s="331" t="s">
        <v>6196</v>
      </c>
      <c r="O2153" s="250" t="s">
        <v>6780</v>
      </c>
      <c r="P2153" s="574">
        <v>556.5</v>
      </c>
      <c r="Q2153" s="630">
        <v>16762</v>
      </c>
      <c r="R2153" s="1415"/>
      <c r="S2153" s="1415"/>
      <c r="U2153" s="251"/>
      <c r="V2153" s="597" t="s">
        <v>6198</v>
      </c>
      <c r="W2153" s="1010"/>
      <c r="X2153" s="748">
        <v>42881</v>
      </c>
      <c r="Y2153" s="744" t="s">
        <v>6781</v>
      </c>
      <c r="Z2153" s="749">
        <v>16762</v>
      </c>
      <c r="AA2153" s="594">
        <v>42878</v>
      </c>
      <c r="AB2153" s="250" t="s">
        <v>6782</v>
      </c>
      <c r="AC2153" s="1003"/>
      <c r="AD2153" s="1003"/>
      <c r="AE2153" s="1003"/>
      <c r="AF2153" s="745"/>
      <c r="AG2153" s="251" t="s">
        <v>283</v>
      </c>
    </row>
    <row r="2154" spans="1:33" ht="15.75" customHeight="1">
      <c r="A2154" s="755">
        <v>42858</v>
      </c>
      <c r="B2154" s="338" t="s">
        <v>4590</v>
      </c>
      <c r="C2154" s="744">
        <v>63386</v>
      </c>
      <c r="D2154" s="308" t="s">
        <v>6779</v>
      </c>
      <c r="E2154" s="308" t="s">
        <v>6783</v>
      </c>
      <c r="F2154" s="254">
        <v>1</v>
      </c>
      <c r="G2154" s="252">
        <v>58</v>
      </c>
      <c r="H2154" s="574">
        <f t="shared" si="168"/>
        <v>58</v>
      </c>
      <c r="I2154" s="975" t="s">
        <v>3315</v>
      </c>
      <c r="J2154" s="1022" t="s">
        <v>532</v>
      </c>
      <c r="K2154" s="256">
        <v>42881</v>
      </c>
      <c r="L2154" s="256"/>
      <c r="M2154" s="623"/>
      <c r="N2154" s="264" t="s">
        <v>1999</v>
      </c>
      <c r="O2154" s="744"/>
      <c r="P2154" s="337"/>
      <c r="Q2154" s="630">
        <v>2149</v>
      </c>
      <c r="R2154" s="1415"/>
      <c r="S2154" s="1415"/>
      <c r="U2154" s="251"/>
      <c r="V2154" s="308" t="s">
        <v>2000</v>
      </c>
      <c r="W2154" s="789">
        <v>42916</v>
      </c>
      <c r="X2154" s="748">
        <v>42886</v>
      </c>
      <c r="Y2154" s="744" t="s">
        <v>6784</v>
      </c>
      <c r="Z2154" s="749">
        <v>2149</v>
      </c>
      <c r="AA2154" s="594">
        <v>42921</v>
      </c>
      <c r="AB2154" s="250" t="s">
        <v>6782</v>
      </c>
      <c r="AC2154" s="1003"/>
      <c r="AD2154" s="1003"/>
      <c r="AE2154" s="1003"/>
      <c r="AF2154" s="745"/>
      <c r="AG2154" s="251" t="s">
        <v>283</v>
      </c>
    </row>
    <row r="2155" spans="1:33" ht="15.75" customHeight="1">
      <c r="A2155" s="755">
        <v>42858</v>
      </c>
      <c r="B2155" s="338" t="s">
        <v>4590</v>
      </c>
      <c r="C2155" s="744">
        <v>63386</v>
      </c>
      <c r="D2155" s="308" t="s">
        <v>6779</v>
      </c>
      <c r="E2155" s="308" t="s">
        <v>692</v>
      </c>
      <c r="F2155" s="305">
        <v>1</v>
      </c>
      <c r="G2155" s="252">
        <v>25</v>
      </c>
      <c r="H2155" s="574">
        <f t="shared" si="168"/>
        <v>25</v>
      </c>
      <c r="I2155" s="975" t="s">
        <v>3315</v>
      </c>
      <c r="J2155" s="1022" t="s">
        <v>532</v>
      </c>
      <c r="K2155" s="256">
        <v>42881</v>
      </c>
      <c r="L2155" s="256"/>
      <c r="M2155" s="623"/>
      <c r="N2155" s="264"/>
      <c r="O2155" s="744"/>
      <c r="P2155" s="337"/>
      <c r="Q2155" s="630">
        <v>0</v>
      </c>
      <c r="R2155" s="1415"/>
      <c r="S2155" s="1415"/>
      <c r="U2155" s="251"/>
      <c r="V2155" s="318"/>
      <c r="W2155" s="1010"/>
      <c r="X2155" s="745"/>
      <c r="Y2155" s="745"/>
      <c r="Z2155" s="745"/>
      <c r="AA2155" s="1003"/>
      <c r="AB2155" s="1003"/>
      <c r="AC2155" s="1003"/>
      <c r="AD2155" s="1003"/>
      <c r="AE2155" s="1003"/>
      <c r="AF2155" s="745"/>
      <c r="AG2155" s="251" t="s">
        <v>283</v>
      </c>
    </row>
    <row r="2156" spans="1:33" ht="15.75" customHeight="1">
      <c r="A2156" s="256">
        <v>42863</v>
      </c>
      <c r="B2156" s="970" t="s">
        <v>100</v>
      </c>
      <c r="C2156" s="744" t="s">
        <v>6785</v>
      </c>
      <c r="D2156" s="250" t="s">
        <v>6786</v>
      </c>
      <c r="E2156" s="250" t="s">
        <v>6787</v>
      </c>
      <c r="F2156" s="1007">
        <v>6</v>
      </c>
      <c r="G2156" s="252">
        <v>339</v>
      </c>
      <c r="H2156" s="574">
        <f t="shared" si="168"/>
        <v>2034</v>
      </c>
      <c r="I2156" s="254" t="s">
        <v>3315</v>
      </c>
      <c r="J2156" s="361" t="s">
        <v>3578</v>
      </c>
      <c r="K2156" s="256">
        <v>42880</v>
      </c>
      <c r="L2156" s="256"/>
      <c r="M2156" s="256">
        <v>42872</v>
      </c>
      <c r="N2156" s="401" t="s">
        <v>1995</v>
      </c>
      <c r="O2156" s="250" t="s">
        <v>6788</v>
      </c>
      <c r="P2156" s="337"/>
      <c r="Q2156" s="630">
        <v>58106</v>
      </c>
      <c r="R2156" s="1415"/>
      <c r="S2156" s="1415"/>
      <c r="U2156" s="251"/>
      <c r="V2156" s="571" t="s">
        <v>1997</v>
      </c>
      <c r="W2156" s="789">
        <v>42921</v>
      </c>
      <c r="X2156" s="748">
        <v>42872</v>
      </c>
      <c r="Y2156" s="744" t="s">
        <v>6789</v>
      </c>
      <c r="Z2156" s="749">
        <v>59631</v>
      </c>
      <c r="AA2156" s="594">
        <v>42923</v>
      </c>
      <c r="AB2156" s="250" t="s">
        <v>6790</v>
      </c>
      <c r="AC2156" s="1003"/>
      <c r="AD2156" s="1003"/>
      <c r="AE2156" s="1003"/>
      <c r="AF2156" s="745"/>
      <c r="AG2156" s="251" t="s">
        <v>283</v>
      </c>
    </row>
    <row r="2157" spans="1:33" ht="15.75" customHeight="1">
      <c r="A2157" s="256">
        <v>42863</v>
      </c>
      <c r="B2157" s="970" t="s">
        <v>100</v>
      </c>
      <c r="C2157" s="744" t="s">
        <v>6785</v>
      </c>
      <c r="D2157" s="250" t="s">
        <v>6791</v>
      </c>
      <c r="E2157" s="250" t="s">
        <v>3700</v>
      </c>
      <c r="F2157" s="1007">
        <v>6</v>
      </c>
      <c r="G2157" s="252">
        <v>9</v>
      </c>
      <c r="H2157" s="574">
        <f t="shared" si="168"/>
        <v>54</v>
      </c>
      <c r="I2157" s="254" t="s">
        <v>3315</v>
      </c>
      <c r="J2157" s="361" t="s">
        <v>3578</v>
      </c>
      <c r="K2157" s="256">
        <v>42880</v>
      </c>
      <c r="L2157" s="256"/>
      <c r="M2157" s="256">
        <v>42872</v>
      </c>
      <c r="N2157" s="401" t="s">
        <v>1995</v>
      </c>
      <c r="O2157" s="250" t="s">
        <v>6788</v>
      </c>
      <c r="P2157" s="337"/>
      <c r="Q2157" s="630">
        <v>1525</v>
      </c>
      <c r="R2157" s="1415"/>
      <c r="S2157" s="1415"/>
      <c r="U2157" s="251"/>
      <c r="V2157" s="571" t="s">
        <v>1997</v>
      </c>
      <c r="W2157" s="789">
        <v>42921</v>
      </c>
      <c r="X2157" s="748">
        <v>42872</v>
      </c>
      <c r="Y2157" s="744" t="s">
        <v>6789</v>
      </c>
      <c r="Z2157" s="744" t="s">
        <v>6792</v>
      </c>
      <c r="AA2157" s="594">
        <v>42923</v>
      </c>
      <c r="AB2157" s="250" t="s">
        <v>6790</v>
      </c>
      <c r="AC2157" s="1003"/>
      <c r="AD2157" s="1003"/>
      <c r="AE2157" s="1003"/>
      <c r="AF2157" s="745"/>
      <c r="AG2157" s="251" t="s">
        <v>283</v>
      </c>
    </row>
    <row r="2158" spans="1:33" ht="15.75" customHeight="1">
      <c r="A2158" s="755">
        <v>42863</v>
      </c>
      <c r="B2158" s="970" t="s">
        <v>100</v>
      </c>
      <c r="C2158" s="744" t="s">
        <v>6785</v>
      </c>
      <c r="D2158" s="250" t="s">
        <v>6791</v>
      </c>
      <c r="E2158" s="250" t="s">
        <v>6420</v>
      </c>
      <c r="F2158" s="305">
        <v>6</v>
      </c>
      <c r="G2158" s="323">
        <v>39</v>
      </c>
      <c r="H2158" s="574">
        <f t="shared" si="168"/>
        <v>234</v>
      </c>
      <c r="I2158" s="264" t="s">
        <v>3315</v>
      </c>
      <c r="J2158" s="367" t="s">
        <v>3578</v>
      </c>
      <c r="K2158" s="256">
        <v>42880</v>
      </c>
      <c r="L2158" s="256"/>
      <c r="M2158" s="256">
        <v>42871</v>
      </c>
      <c r="N2158" s="254" t="s">
        <v>2124</v>
      </c>
      <c r="O2158" s="250" t="s">
        <v>6793</v>
      </c>
      <c r="P2158" s="337"/>
      <c r="Q2158" s="630">
        <v>5982</v>
      </c>
      <c r="R2158" s="1415"/>
      <c r="S2158" s="1415"/>
      <c r="U2158" s="251"/>
      <c r="V2158" s="318" t="s">
        <v>2126</v>
      </c>
      <c r="W2158" s="1034"/>
      <c r="X2158" s="748">
        <v>42870</v>
      </c>
      <c r="Y2158" s="744" t="s">
        <v>6794</v>
      </c>
      <c r="Z2158" s="749">
        <v>5982</v>
      </c>
      <c r="AA2158" s="594">
        <v>42865</v>
      </c>
      <c r="AB2158" s="250" t="s">
        <v>6790</v>
      </c>
      <c r="AC2158" s="1003"/>
      <c r="AD2158" s="1003"/>
      <c r="AE2158" s="1003"/>
      <c r="AF2158" s="745"/>
      <c r="AG2158" s="251" t="s">
        <v>283</v>
      </c>
    </row>
    <row r="2159" spans="1:33" ht="15.75" customHeight="1">
      <c r="A2159" s="743">
        <v>42863</v>
      </c>
      <c r="B2159" s="590" t="s">
        <v>5981</v>
      </c>
      <c r="C2159" s="744">
        <v>7000129562</v>
      </c>
      <c r="D2159" s="744" t="s">
        <v>6795</v>
      </c>
      <c r="E2159" s="744" t="s">
        <v>6261</v>
      </c>
      <c r="F2159" s="305">
        <v>2</v>
      </c>
      <c r="G2159" s="323">
        <v>126</v>
      </c>
      <c r="H2159" s="574">
        <f t="shared" si="168"/>
        <v>252</v>
      </c>
      <c r="I2159" s="264" t="s">
        <v>42</v>
      </c>
      <c r="J2159" s="401" t="s">
        <v>3462</v>
      </c>
      <c r="K2159" s="256">
        <v>42870</v>
      </c>
      <c r="L2159" s="256"/>
      <c r="M2159" s="256">
        <v>42867</v>
      </c>
      <c r="N2159" s="264" t="s">
        <v>3432</v>
      </c>
      <c r="O2159" s="250" t="s">
        <v>6796</v>
      </c>
      <c r="P2159" s="337"/>
      <c r="Q2159" s="630">
        <v>7377</v>
      </c>
      <c r="R2159" s="1415"/>
      <c r="S2159" s="1415"/>
      <c r="U2159" s="251"/>
      <c r="V2159" s="318" t="s">
        <v>2045</v>
      </c>
      <c r="W2159" s="789">
        <v>42947</v>
      </c>
      <c r="X2159" s="748">
        <v>42865</v>
      </c>
      <c r="Y2159" s="744" t="s">
        <v>6797</v>
      </c>
      <c r="Z2159" s="749">
        <v>25532</v>
      </c>
      <c r="AA2159" s="594">
        <v>42948</v>
      </c>
      <c r="AB2159" s="250" t="s">
        <v>6798</v>
      </c>
      <c r="AC2159" s="1003"/>
      <c r="AD2159" s="1003"/>
      <c r="AE2159" s="1003"/>
      <c r="AF2159" s="745"/>
      <c r="AG2159" s="251" t="s">
        <v>283</v>
      </c>
    </row>
    <row r="2160" spans="1:33" ht="15.75" customHeight="1">
      <c r="A2160" s="743">
        <v>42863</v>
      </c>
      <c r="B2160" s="590" t="s">
        <v>5981</v>
      </c>
      <c r="C2160" s="744">
        <v>7000129562</v>
      </c>
      <c r="D2160" s="744" t="s">
        <v>6795</v>
      </c>
      <c r="E2160" s="744" t="s">
        <v>6799</v>
      </c>
      <c r="F2160" s="305">
        <v>5</v>
      </c>
      <c r="G2160" s="252">
        <v>124</v>
      </c>
      <c r="H2160" s="574">
        <f t="shared" si="168"/>
        <v>620</v>
      </c>
      <c r="I2160" s="264" t="s">
        <v>42</v>
      </c>
      <c r="J2160" s="401" t="s">
        <v>3462</v>
      </c>
      <c r="K2160" s="256">
        <v>42870</v>
      </c>
      <c r="L2160" s="256"/>
      <c r="M2160" s="256">
        <v>42867</v>
      </c>
      <c r="N2160" s="254" t="s">
        <v>3432</v>
      </c>
      <c r="O2160" s="250" t="s">
        <v>6796</v>
      </c>
      <c r="P2160" s="337"/>
      <c r="Q2160" s="630">
        <v>18155</v>
      </c>
      <c r="R2160" s="1415"/>
      <c r="S2160" s="1415"/>
      <c r="U2160" s="251"/>
      <c r="V2160" s="318" t="s">
        <v>2045</v>
      </c>
      <c r="W2160" s="789">
        <v>42947</v>
      </c>
      <c r="X2160" s="748">
        <v>42865</v>
      </c>
      <c r="Y2160" s="744" t="s">
        <v>6797</v>
      </c>
      <c r="Z2160" s="744" t="s">
        <v>6800</v>
      </c>
      <c r="AA2160" s="594">
        <v>42948</v>
      </c>
      <c r="AB2160" s="250" t="s">
        <v>6798</v>
      </c>
      <c r="AC2160" s="1003"/>
      <c r="AD2160" s="1003"/>
      <c r="AE2160" s="1003"/>
      <c r="AF2160" s="745"/>
      <c r="AG2160" s="251" t="s">
        <v>283</v>
      </c>
    </row>
    <row r="2161" spans="1:33" ht="15.75" customHeight="1">
      <c r="A2161" s="594">
        <v>42864</v>
      </c>
      <c r="B2161" s="590" t="s">
        <v>5981</v>
      </c>
      <c r="C2161" s="744">
        <v>7000129598</v>
      </c>
      <c r="D2161" s="250" t="s">
        <v>6801</v>
      </c>
      <c r="E2161" s="250" t="s">
        <v>6802</v>
      </c>
      <c r="F2161" s="1007">
        <v>2</v>
      </c>
      <c r="G2161" s="323">
        <v>124</v>
      </c>
      <c r="H2161" s="574">
        <f t="shared" si="168"/>
        <v>248</v>
      </c>
      <c r="I2161" s="254" t="s">
        <v>42</v>
      </c>
      <c r="J2161" s="756" t="s">
        <v>6092</v>
      </c>
      <c r="K2161" s="256">
        <v>42901</v>
      </c>
      <c r="L2161" s="256"/>
      <c r="M2161" s="256">
        <v>42899</v>
      </c>
      <c r="N2161" s="264" t="s">
        <v>3432</v>
      </c>
      <c r="O2161" s="744" t="s">
        <v>6803</v>
      </c>
      <c r="P2161" s="337"/>
      <c r="Q2161" s="630">
        <v>7262</v>
      </c>
      <c r="R2161" s="1415"/>
      <c r="S2161" s="1415"/>
      <c r="U2161" s="251"/>
      <c r="V2161" s="308" t="s">
        <v>2045</v>
      </c>
      <c r="W2161" s="789">
        <v>42978</v>
      </c>
      <c r="X2161" s="748">
        <v>42895</v>
      </c>
      <c r="Y2161" s="744" t="s">
        <v>6804</v>
      </c>
      <c r="Z2161" s="749">
        <v>7262</v>
      </c>
      <c r="AA2161" s="256">
        <v>42979</v>
      </c>
      <c r="AB2161" s="250" t="s">
        <v>6805</v>
      </c>
      <c r="AC2161" s="1003"/>
      <c r="AD2161" s="1003"/>
      <c r="AE2161" s="1003"/>
      <c r="AF2161" s="745"/>
      <c r="AG2161" s="251" t="s">
        <v>283</v>
      </c>
    </row>
    <row r="2162" spans="1:33" ht="15.75" customHeight="1">
      <c r="A2162" s="256">
        <v>42864</v>
      </c>
      <c r="B2162" s="590" t="s">
        <v>3709</v>
      </c>
      <c r="C2162" s="744" t="s">
        <v>6806</v>
      </c>
      <c r="D2162" s="250" t="s">
        <v>6807</v>
      </c>
      <c r="E2162" s="250" t="s">
        <v>3715</v>
      </c>
      <c r="F2162" s="1007">
        <v>10</v>
      </c>
      <c r="G2162" s="323">
        <v>140</v>
      </c>
      <c r="H2162" s="265">
        <f t="shared" si="168"/>
        <v>1400</v>
      </c>
      <c r="I2162" s="254" t="s">
        <v>3712</v>
      </c>
      <c r="J2162" s="367" t="s">
        <v>6020</v>
      </c>
      <c r="K2162" s="256">
        <v>42873</v>
      </c>
      <c r="L2162" s="256"/>
      <c r="M2162" s="256">
        <v>42871</v>
      </c>
      <c r="N2162" s="264" t="s">
        <v>89</v>
      </c>
      <c r="O2162" s="744" t="s">
        <v>6808</v>
      </c>
      <c r="P2162" s="574">
        <v>1081.5</v>
      </c>
      <c r="Q2162" s="795"/>
      <c r="R2162" s="1435"/>
      <c r="S2162" s="1435"/>
      <c r="U2162" s="251"/>
      <c r="V2162" s="308" t="s">
        <v>5896</v>
      </c>
      <c r="W2162" s="1010"/>
      <c r="X2162" s="748">
        <v>42871</v>
      </c>
      <c r="Y2162" s="744" t="s">
        <v>6809</v>
      </c>
      <c r="Z2162" s="749">
        <v>40685</v>
      </c>
      <c r="AA2162" s="594">
        <v>42906</v>
      </c>
      <c r="AB2162" s="250" t="s">
        <v>6810</v>
      </c>
      <c r="AC2162" s="251">
        <v>983409733</v>
      </c>
      <c r="AD2162" s="1003"/>
      <c r="AE2162" s="1003"/>
      <c r="AF2162" s="745"/>
      <c r="AG2162" s="251" t="s">
        <v>283</v>
      </c>
    </row>
    <row r="2163" spans="1:33" ht="15.75" customHeight="1">
      <c r="A2163" s="755">
        <v>42864</v>
      </c>
      <c r="B2163" s="590" t="s">
        <v>3709</v>
      </c>
      <c r="C2163" s="744" t="s">
        <v>6806</v>
      </c>
      <c r="D2163" s="250" t="s">
        <v>6807</v>
      </c>
      <c r="E2163" s="250" t="s">
        <v>6811</v>
      </c>
      <c r="F2163" s="1007">
        <v>2</v>
      </c>
      <c r="G2163" s="252">
        <v>170</v>
      </c>
      <c r="H2163" s="265">
        <f t="shared" si="168"/>
        <v>340</v>
      </c>
      <c r="I2163" s="264" t="s">
        <v>3712</v>
      </c>
      <c r="J2163" s="361" t="s">
        <v>6020</v>
      </c>
      <c r="K2163" s="256">
        <v>42873</v>
      </c>
      <c r="L2163" s="256"/>
      <c r="M2163" s="256">
        <v>42871</v>
      </c>
      <c r="N2163" s="264" t="s">
        <v>89</v>
      </c>
      <c r="O2163" s="744" t="s">
        <v>6808</v>
      </c>
      <c r="P2163" s="574">
        <v>268.8</v>
      </c>
      <c r="Q2163" s="795"/>
      <c r="R2163" s="1435"/>
      <c r="S2163" s="1435"/>
      <c r="U2163" s="251"/>
      <c r="V2163" s="318" t="s">
        <v>5896</v>
      </c>
      <c r="W2163" s="1010"/>
      <c r="X2163" s="748">
        <v>42871</v>
      </c>
      <c r="Y2163" s="744" t="s">
        <v>6809</v>
      </c>
      <c r="Z2163" s="744" t="s">
        <v>6812</v>
      </c>
      <c r="AA2163" s="594">
        <v>42906</v>
      </c>
      <c r="AB2163" s="250" t="s">
        <v>6810</v>
      </c>
      <c r="AC2163" s="251">
        <v>983409733</v>
      </c>
      <c r="AD2163" s="1003"/>
      <c r="AE2163" s="1003"/>
      <c r="AF2163" s="745"/>
      <c r="AG2163" s="251" t="s">
        <v>283</v>
      </c>
    </row>
    <row r="2164" spans="1:33" ht="15.75" customHeight="1">
      <c r="A2164" s="743">
        <v>42864</v>
      </c>
      <c r="B2164" s="590" t="s">
        <v>5981</v>
      </c>
      <c r="C2164" s="744">
        <v>7000129598</v>
      </c>
      <c r="D2164" s="250" t="s">
        <v>6801</v>
      </c>
      <c r="E2164" s="250" t="s">
        <v>6813</v>
      </c>
      <c r="F2164" s="1007">
        <v>1</v>
      </c>
      <c r="G2164" s="252">
        <v>55</v>
      </c>
      <c r="H2164" s="574">
        <f t="shared" si="168"/>
        <v>55</v>
      </c>
      <c r="I2164" s="264" t="s">
        <v>42</v>
      </c>
      <c r="J2164" s="756" t="s">
        <v>3462</v>
      </c>
      <c r="K2164" s="256">
        <v>42870</v>
      </c>
      <c r="L2164" s="256"/>
      <c r="M2164" s="256">
        <v>42867</v>
      </c>
      <c r="N2164" s="264" t="s">
        <v>3432</v>
      </c>
      <c r="O2164" s="744" t="s">
        <v>6803</v>
      </c>
      <c r="P2164" s="337"/>
      <c r="Q2164" s="630">
        <v>1611</v>
      </c>
      <c r="R2164" s="1415"/>
      <c r="S2164" s="1415"/>
      <c r="U2164" s="251"/>
      <c r="V2164" s="318" t="s">
        <v>2045</v>
      </c>
      <c r="W2164" s="789">
        <v>42947</v>
      </c>
      <c r="X2164" s="748">
        <v>42865</v>
      </c>
      <c r="Y2164" s="744" t="s">
        <v>6814</v>
      </c>
      <c r="Z2164" s="749">
        <v>1611</v>
      </c>
      <c r="AA2164" s="594">
        <v>42948</v>
      </c>
      <c r="AB2164" s="250" t="s">
        <v>6798</v>
      </c>
      <c r="AC2164" s="1003"/>
      <c r="AD2164" s="1003"/>
      <c r="AE2164" s="1003"/>
      <c r="AF2164" s="745"/>
      <c r="AG2164" s="251" t="s">
        <v>283</v>
      </c>
    </row>
    <row r="2165" spans="1:33" ht="15.75" customHeight="1">
      <c r="A2165" s="755">
        <v>42867</v>
      </c>
      <c r="B2165" s="590" t="s">
        <v>377</v>
      </c>
      <c r="C2165" s="744">
        <v>8026</v>
      </c>
      <c r="D2165" s="744" t="s">
        <v>6815</v>
      </c>
      <c r="E2165" s="744" t="s">
        <v>6816</v>
      </c>
      <c r="F2165" s="1007">
        <v>2</v>
      </c>
      <c r="G2165" s="252">
        <v>413</v>
      </c>
      <c r="H2165" s="574">
        <f t="shared" si="168"/>
        <v>826</v>
      </c>
      <c r="I2165" s="975" t="s">
        <v>3315</v>
      </c>
      <c r="J2165" s="361" t="s">
        <v>6817</v>
      </c>
      <c r="K2165" s="256">
        <v>42901</v>
      </c>
      <c r="L2165" s="256"/>
      <c r="M2165" s="623"/>
      <c r="N2165" s="264"/>
      <c r="O2165" s="744" t="s">
        <v>6818</v>
      </c>
      <c r="P2165" s="337"/>
      <c r="Q2165" s="795"/>
      <c r="R2165" s="1435"/>
      <c r="S2165" s="1435"/>
      <c r="U2165" s="251"/>
      <c r="V2165" s="318"/>
      <c r="W2165" s="1010"/>
      <c r="X2165" s="744" t="s">
        <v>6818</v>
      </c>
      <c r="Y2165" s="745"/>
      <c r="Z2165" s="745"/>
      <c r="AA2165" s="1003"/>
      <c r="AB2165" s="250" t="s">
        <v>6819</v>
      </c>
      <c r="AC2165" s="367" t="s">
        <v>6820</v>
      </c>
      <c r="AD2165" s="1003"/>
      <c r="AE2165" s="1003"/>
      <c r="AF2165" s="745"/>
      <c r="AG2165" s="251" t="s">
        <v>283</v>
      </c>
    </row>
    <row r="2166" spans="1:33" ht="15.75" customHeight="1">
      <c r="A2166" s="755">
        <v>42867</v>
      </c>
      <c r="B2166" s="590" t="s">
        <v>377</v>
      </c>
      <c r="C2166" s="744">
        <v>8026</v>
      </c>
      <c r="D2166" s="744" t="s">
        <v>6815</v>
      </c>
      <c r="E2166" s="744" t="s">
        <v>692</v>
      </c>
      <c r="F2166" s="1007">
        <v>1</v>
      </c>
      <c r="G2166" s="252">
        <v>25</v>
      </c>
      <c r="H2166" s="574">
        <f t="shared" si="168"/>
        <v>25</v>
      </c>
      <c r="I2166" s="975" t="s">
        <v>3315</v>
      </c>
      <c r="J2166" s="361" t="s">
        <v>6817</v>
      </c>
      <c r="K2166" s="256">
        <v>42901</v>
      </c>
      <c r="L2166" s="256"/>
      <c r="M2166" s="623"/>
      <c r="N2166" s="264"/>
      <c r="O2166" s="744"/>
      <c r="P2166" s="337"/>
      <c r="Q2166" s="630">
        <v>0</v>
      </c>
      <c r="R2166" s="1415"/>
      <c r="S2166" s="1415"/>
      <c r="U2166" s="251"/>
      <c r="V2166" s="318"/>
      <c r="W2166" s="1010"/>
      <c r="X2166" s="744" t="s">
        <v>6818</v>
      </c>
      <c r="Y2166" s="745"/>
      <c r="Z2166" s="745"/>
      <c r="AA2166" s="1003"/>
      <c r="AB2166" s="250" t="s">
        <v>6819</v>
      </c>
      <c r="AC2166" s="367" t="s">
        <v>6820</v>
      </c>
      <c r="AD2166" s="1003"/>
      <c r="AE2166" s="1003"/>
      <c r="AF2166" s="745"/>
      <c r="AG2166" s="251" t="s">
        <v>283</v>
      </c>
    </row>
    <row r="2167" spans="1:33" ht="15.75" customHeight="1">
      <c r="A2167" s="755">
        <v>42870</v>
      </c>
      <c r="B2167" s="590" t="s">
        <v>100</v>
      </c>
      <c r="C2167" s="744" t="s">
        <v>6821</v>
      </c>
      <c r="D2167" s="744" t="s">
        <v>6822</v>
      </c>
      <c r="E2167" s="744" t="s">
        <v>6823</v>
      </c>
      <c r="F2167" s="1007">
        <v>6</v>
      </c>
      <c r="G2167" s="252">
        <v>6</v>
      </c>
      <c r="H2167" s="574">
        <f t="shared" si="168"/>
        <v>36</v>
      </c>
      <c r="I2167" s="264" t="s">
        <v>3315</v>
      </c>
      <c r="J2167" s="367" t="s">
        <v>3578</v>
      </c>
      <c r="K2167" s="256">
        <v>42888</v>
      </c>
      <c r="L2167" s="256"/>
      <c r="M2167" s="264" t="s">
        <v>6824</v>
      </c>
      <c r="N2167" s="331" t="s">
        <v>1414</v>
      </c>
      <c r="O2167" s="250" t="s">
        <v>6825</v>
      </c>
      <c r="P2167" s="337"/>
      <c r="Q2167" s="630">
        <v>951</v>
      </c>
      <c r="R2167" s="1415"/>
      <c r="S2167" s="1415"/>
      <c r="U2167" s="251"/>
      <c r="V2167" s="744" t="s">
        <v>1947</v>
      </c>
      <c r="W2167" s="1026">
        <v>42916</v>
      </c>
      <c r="X2167" s="748">
        <v>42886</v>
      </c>
      <c r="Y2167" s="744" t="s">
        <v>6826</v>
      </c>
      <c r="Z2167" s="749">
        <v>136263</v>
      </c>
      <c r="AA2167" s="594">
        <v>42922</v>
      </c>
      <c r="AB2167" s="250" t="s">
        <v>6677</v>
      </c>
      <c r="AC2167" s="251"/>
      <c r="AD2167" s="1003"/>
      <c r="AE2167" s="1003"/>
      <c r="AF2167" s="745"/>
      <c r="AG2167" s="251" t="s">
        <v>283</v>
      </c>
    </row>
    <row r="2168" spans="1:33" ht="15.75" customHeight="1">
      <c r="A2168" s="755">
        <v>42870</v>
      </c>
      <c r="B2168" s="590" t="s">
        <v>100</v>
      </c>
      <c r="C2168" s="744" t="s">
        <v>6821</v>
      </c>
      <c r="D2168" s="744" t="s">
        <v>6822</v>
      </c>
      <c r="E2168" s="744" t="s">
        <v>6827</v>
      </c>
      <c r="F2168" s="1007">
        <v>5</v>
      </c>
      <c r="G2168" s="252">
        <v>847</v>
      </c>
      <c r="H2168" s="574">
        <f t="shared" si="168"/>
        <v>4235</v>
      </c>
      <c r="I2168" s="264" t="s">
        <v>3315</v>
      </c>
      <c r="J2168" s="367" t="s">
        <v>3578</v>
      </c>
      <c r="K2168" s="256">
        <v>42888</v>
      </c>
      <c r="L2168" s="256"/>
      <c r="M2168" s="264" t="s">
        <v>6824</v>
      </c>
      <c r="N2168" s="331" t="s">
        <v>1414</v>
      </c>
      <c r="O2168" s="250" t="s">
        <v>6825</v>
      </c>
      <c r="P2168" s="337"/>
      <c r="Q2168" s="630">
        <v>129775</v>
      </c>
      <c r="R2168" s="1415"/>
      <c r="S2168" s="1415"/>
      <c r="U2168" s="251"/>
      <c r="V2168" s="744" t="s">
        <v>1947</v>
      </c>
      <c r="W2168" s="1026">
        <v>42916</v>
      </c>
      <c r="X2168" s="748">
        <v>42886</v>
      </c>
      <c r="Y2168" s="744" t="s">
        <v>6826</v>
      </c>
      <c r="Z2168" s="744" t="s">
        <v>6828</v>
      </c>
      <c r="AA2168" s="594">
        <v>42922</v>
      </c>
      <c r="AB2168" s="250" t="s">
        <v>6677</v>
      </c>
      <c r="AC2168" s="251"/>
      <c r="AD2168" s="1003"/>
      <c r="AE2168" s="1003"/>
      <c r="AF2168" s="745"/>
      <c r="AG2168" s="251" t="s">
        <v>283</v>
      </c>
    </row>
    <row r="2169" spans="1:33" ht="15.75" customHeight="1">
      <c r="A2169" s="755">
        <v>42870</v>
      </c>
      <c r="B2169" s="590" t="s">
        <v>100</v>
      </c>
      <c r="C2169" s="744" t="s">
        <v>6821</v>
      </c>
      <c r="D2169" s="744" t="s">
        <v>6822</v>
      </c>
      <c r="E2169" s="744" t="s">
        <v>6829</v>
      </c>
      <c r="F2169" s="1007">
        <v>5</v>
      </c>
      <c r="G2169" s="252">
        <f>G2168*10%</f>
        <v>84.7</v>
      </c>
      <c r="H2169" s="574">
        <f t="shared" si="168"/>
        <v>423.5</v>
      </c>
      <c r="I2169" s="264" t="s">
        <v>3315</v>
      </c>
      <c r="J2169" s="367" t="s">
        <v>3578</v>
      </c>
      <c r="K2169" s="256">
        <v>42888</v>
      </c>
      <c r="L2169" s="256"/>
      <c r="M2169" s="264" t="s">
        <v>6824</v>
      </c>
      <c r="N2169" s="331" t="s">
        <v>1414</v>
      </c>
      <c r="O2169" s="250" t="s">
        <v>6825</v>
      </c>
      <c r="P2169" s="337"/>
      <c r="Q2169" s="630" t="s">
        <v>6830</v>
      </c>
      <c r="R2169" s="1415"/>
      <c r="S2169" s="1415"/>
      <c r="U2169" s="251"/>
      <c r="V2169" s="744" t="s">
        <v>1947</v>
      </c>
      <c r="W2169" s="1026">
        <v>42916</v>
      </c>
      <c r="X2169" s="748">
        <v>42886</v>
      </c>
      <c r="Y2169" s="744" t="s">
        <v>6826</v>
      </c>
      <c r="Z2169" s="744" t="s">
        <v>6828</v>
      </c>
      <c r="AA2169" s="594">
        <v>42922</v>
      </c>
      <c r="AB2169" s="250" t="s">
        <v>6677</v>
      </c>
      <c r="AC2169" s="251"/>
      <c r="AD2169" s="1003"/>
      <c r="AE2169" s="1003"/>
      <c r="AF2169" s="745"/>
      <c r="AG2169" s="251" t="s">
        <v>283</v>
      </c>
    </row>
    <row r="2170" spans="1:33" ht="15.75" customHeight="1">
      <c r="A2170" s="755">
        <v>42870</v>
      </c>
      <c r="B2170" s="590" t="s">
        <v>100</v>
      </c>
      <c r="C2170" s="744" t="s">
        <v>6821</v>
      </c>
      <c r="D2170" s="744" t="s">
        <v>6822</v>
      </c>
      <c r="E2170" s="744" t="s">
        <v>6732</v>
      </c>
      <c r="F2170" s="1007">
        <v>5</v>
      </c>
      <c r="G2170" s="252">
        <v>41</v>
      </c>
      <c r="H2170" s="574">
        <f t="shared" si="168"/>
        <v>205</v>
      </c>
      <c r="I2170" s="264" t="s">
        <v>3315</v>
      </c>
      <c r="J2170" s="367" t="s">
        <v>3578</v>
      </c>
      <c r="K2170" s="256">
        <v>42888</v>
      </c>
      <c r="L2170" s="256"/>
      <c r="M2170" s="264" t="s">
        <v>6824</v>
      </c>
      <c r="N2170" s="331" t="s">
        <v>1414</v>
      </c>
      <c r="O2170" s="250" t="s">
        <v>6825</v>
      </c>
      <c r="P2170" s="337"/>
      <c r="Q2170" s="630">
        <v>5539</v>
      </c>
      <c r="R2170" s="1415"/>
      <c r="S2170" s="1415"/>
      <c r="U2170" s="251"/>
      <c r="V2170" s="744" t="s">
        <v>1947</v>
      </c>
      <c r="W2170" s="1026">
        <v>42916</v>
      </c>
      <c r="X2170" s="748">
        <v>42886</v>
      </c>
      <c r="Y2170" s="744" t="s">
        <v>6826</v>
      </c>
      <c r="Z2170" s="744" t="s">
        <v>6828</v>
      </c>
      <c r="AA2170" s="594">
        <v>42922</v>
      </c>
      <c r="AB2170" s="250" t="s">
        <v>6677</v>
      </c>
      <c r="AC2170" s="251"/>
      <c r="AD2170" s="1003"/>
      <c r="AE2170" s="1003"/>
      <c r="AF2170" s="745"/>
      <c r="AG2170" s="251" t="s">
        <v>283</v>
      </c>
    </row>
    <row r="2171" spans="1:33" ht="15.75" customHeight="1">
      <c r="A2171" s="256">
        <v>42870</v>
      </c>
      <c r="B2171" s="420" t="s">
        <v>3347</v>
      </c>
      <c r="C2171" s="744" t="s">
        <v>6278</v>
      </c>
      <c r="D2171" s="250" t="s">
        <v>6831</v>
      </c>
      <c r="E2171" s="250" t="s">
        <v>3349</v>
      </c>
      <c r="F2171" s="1007">
        <v>100</v>
      </c>
      <c r="G2171" s="265">
        <v>174.5</v>
      </c>
      <c r="H2171" s="265">
        <f t="shared" si="168"/>
        <v>17450</v>
      </c>
      <c r="I2171" s="264" t="s">
        <v>170</v>
      </c>
      <c r="J2171" s="361" t="s">
        <v>3350</v>
      </c>
      <c r="K2171" s="256">
        <v>42901</v>
      </c>
      <c r="L2171" s="256"/>
      <c r="M2171" s="256">
        <v>42894</v>
      </c>
      <c r="N2171" s="401" t="s">
        <v>3351</v>
      </c>
      <c r="O2171" s="250" t="s">
        <v>6832</v>
      </c>
      <c r="P2171" s="337"/>
      <c r="Q2171" s="630">
        <v>525903</v>
      </c>
      <c r="R2171" s="1415"/>
      <c r="S2171" s="1415"/>
      <c r="U2171" s="251"/>
      <c r="V2171" s="597" t="s">
        <v>5967</v>
      </c>
      <c r="W2171" s="1010"/>
      <c r="X2171" s="750">
        <v>42898</v>
      </c>
      <c r="Y2171" s="250" t="s">
        <v>6833</v>
      </c>
      <c r="Z2171" s="753">
        <v>525903</v>
      </c>
      <c r="AA2171" s="594">
        <v>42891</v>
      </c>
      <c r="AB2171" s="250" t="s">
        <v>6282</v>
      </c>
      <c r="AC2171" s="1003"/>
      <c r="AD2171" s="1003"/>
      <c r="AE2171" s="1003"/>
      <c r="AF2171" s="745"/>
      <c r="AG2171" s="251" t="s">
        <v>283</v>
      </c>
    </row>
    <row r="2172" spans="1:33" ht="15.75" customHeight="1">
      <c r="A2172" s="755">
        <v>42870</v>
      </c>
      <c r="B2172" s="338" t="s">
        <v>6834</v>
      </c>
      <c r="C2172" s="744"/>
      <c r="D2172" s="308" t="s">
        <v>6835</v>
      </c>
      <c r="E2172" s="308" t="s">
        <v>6836</v>
      </c>
      <c r="F2172" s="1007">
        <v>1</v>
      </c>
      <c r="G2172" s="252">
        <v>1008</v>
      </c>
      <c r="H2172" s="574">
        <f t="shared" si="168"/>
        <v>1008</v>
      </c>
      <c r="I2172" s="264" t="s">
        <v>42</v>
      </c>
      <c r="J2172" s="585" t="s">
        <v>1309</v>
      </c>
      <c r="K2172" s="256">
        <v>42886</v>
      </c>
      <c r="L2172" s="256"/>
      <c r="M2172" s="256">
        <v>42881</v>
      </c>
      <c r="N2172" s="254" t="s">
        <v>3432</v>
      </c>
      <c r="O2172" s="744" t="s">
        <v>6837</v>
      </c>
      <c r="P2172" s="337"/>
      <c r="Q2172" s="630">
        <v>26544</v>
      </c>
      <c r="R2172" s="1415"/>
      <c r="S2172" s="1415"/>
      <c r="U2172" s="251"/>
      <c r="V2172" s="308" t="s">
        <v>2045</v>
      </c>
      <c r="W2172" s="789">
        <v>42978</v>
      </c>
      <c r="X2172" s="748">
        <v>42881</v>
      </c>
      <c r="Y2172" s="744" t="s">
        <v>6838</v>
      </c>
      <c r="Z2172" s="749">
        <v>26544</v>
      </c>
      <c r="AA2172" s="256">
        <v>42979</v>
      </c>
      <c r="AB2172" s="744" t="s">
        <v>6839</v>
      </c>
      <c r="AC2172" s="251"/>
      <c r="AD2172" s="744" t="s">
        <v>6840</v>
      </c>
      <c r="AE2172" s="260">
        <v>30240</v>
      </c>
      <c r="AF2172" s="744" t="s">
        <v>6841</v>
      </c>
      <c r="AG2172" s="251" t="s">
        <v>376</v>
      </c>
    </row>
    <row r="2173" spans="1:33" ht="15.75" customHeight="1">
      <c r="A2173" s="755">
        <v>42871</v>
      </c>
      <c r="B2173" s="590" t="s">
        <v>100</v>
      </c>
      <c r="C2173" s="744" t="s">
        <v>6842</v>
      </c>
      <c r="D2173" s="744" t="s">
        <v>6843</v>
      </c>
      <c r="E2173" s="744" t="s">
        <v>6844</v>
      </c>
      <c r="F2173" s="1007">
        <v>2</v>
      </c>
      <c r="G2173" s="252">
        <v>1118</v>
      </c>
      <c r="H2173" s="1027">
        <f t="shared" si="168"/>
        <v>2236</v>
      </c>
      <c r="I2173" s="264" t="s">
        <v>3315</v>
      </c>
      <c r="J2173" s="361" t="s">
        <v>3578</v>
      </c>
      <c r="K2173" s="256">
        <v>42915</v>
      </c>
      <c r="L2173" s="256"/>
      <c r="M2173" s="256">
        <v>42909</v>
      </c>
      <c r="N2173" s="401" t="s">
        <v>1414</v>
      </c>
      <c r="O2173" s="250" t="s">
        <v>6845</v>
      </c>
      <c r="P2173" s="337"/>
      <c r="Q2173" s="630">
        <v>63103</v>
      </c>
      <c r="R2173" s="1415"/>
      <c r="S2173" s="1415"/>
      <c r="U2173" s="251"/>
      <c r="V2173" s="318" t="s">
        <v>1947</v>
      </c>
      <c r="W2173" s="789">
        <v>42947</v>
      </c>
      <c r="X2173" s="750">
        <v>42908</v>
      </c>
      <c r="Y2173" s="308" t="s">
        <v>6846</v>
      </c>
      <c r="Z2173" s="753">
        <v>63103</v>
      </c>
      <c r="AA2173" s="256">
        <v>42951</v>
      </c>
      <c r="AB2173" s="250" t="s">
        <v>6847</v>
      </c>
      <c r="AC2173" s="251">
        <v>5510824815</v>
      </c>
      <c r="AD2173" s="1003"/>
      <c r="AE2173" s="1003"/>
      <c r="AF2173" s="745"/>
      <c r="AG2173" s="251" t="s">
        <v>283</v>
      </c>
    </row>
    <row r="2174" spans="1:33" ht="15.75" customHeight="1">
      <c r="A2174" s="755">
        <v>42871</v>
      </c>
      <c r="B2174" s="590" t="s">
        <v>1717</v>
      </c>
      <c r="C2174" s="744" t="s">
        <v>6848</v>
      </c>
      <c r="D2174" s="744" t="s">
        <v>6849</v>
      </c>
      <c r="E2174" s="744" t="s">
        <v>6850</v>
      </c>
      <c r="F2174" s="1007">
        <v>1</v>
      </c>
      <c r="G2174" s="252">
        <v>72</v>
      </c>
      <c r="H2174" s="574">
        <f t="shared" si="168"/>
        <v>72</v>
      </c>
      <c r="I2174" s="997" t="s">
        <v>3315</v>
      </c>
      <c r="J2174" s="361" t="s">
        <v>6851</v>
      </c>
      <c r="K2174" s="256">
        <v>42901</v>
      </c>
      <c r="L2174" s="256"/>
      <c r="M2174" s="256">
        <v>42894</v>
      </c>
      <c r="N2174" s="264"/>
      <c r="O2174" s="744" t="s">
        <v>6852</v>
      </c>
      <c r="P2174" s="337"/>
      <c r="Q2174" s="795"/>
      <c r="R2174" s="1435"/>
      <c r="S2174" s="1435"/>
      <c r="U2174" s="251"/>
      <c r="V2174" s="318"/>
      <c r="W2174" s="1010"/>
      <c r="X2174" s="744" t="s">
        <v>6852</v>
      </c>
      <c r="Y2174" s="744"/>
      <c r="Z2174" s="744"/>
      <c r="AA2174" s="251"/>
      <c r="AB2174" s="250" t="s">
        <v>6853</v>
      </c>
      <c r="AC2174" s="251">
        <v>413682964</v>
      </c>
      <c r="AD2174" s="1003"/>
      <c r="AE2174" s="1003"/>
      <c r="AF2174" s="745"/>
      <c r="AG2174" s="251" t="s">
        <v>283</v>
      </c>
    </row>
    <row r="2175" spans="1:33" ht="15.75" customHeight="1">
      <c r="A2175" s="755">
        <v>42871</v>
      </c>
      <c r="B2175" s="590" t="s">
        <v>100</v>
      </c>
      <c r="C2175" s="744" t="s">
        <v>6842</v>
      </c>
      <c r="D2175" s="744" t="s">
        <v>6843</v>
      </c>
      <c r="E2175" s="744" t="s">
        <v>6854</v>
      </c>
      <c r="F2175" s="1007">
        <v>2</v>
      </c>
      <c r="G2175" s="252">
        <v>70</v>
      </c>
      <c r="H2175" s="1027">
        <f t="shared" si="168"/>
        <v>140</v>
      </c>
      <c r="I2175" s="264" t="s">
        <v>3315</v>
      </c>
      <c r="J2175" s="361" t="s">
        <v>3578</v>
      </c>
      <c r="K2175" s="256">
        <v>42915</v>
      </c>
      <c r="L2175" s="256"/>
      <c r="M2175" s="256">
        <v>42892</v>
      </c>
      <c r="N2175" s="367" t="s">
        <v>6039</v>
      </c>
      <c r="O2175" s="250" t="s">
        <v>6855</v>
      </c>
      <c r="P2175" s="337"/>
      <c r="Q2175" s="630">
        <v>3742</v>
      </c>
      <c r="R2175" s="1415"/>
      <c r="S2175" s="1415"/>
      <c r="U2175" s="251"/>
      <c r="V2175" s="318" t="s">
        <v>6042</v>
      </c>
      <c r="W2175" s="1010"/>
      <c r="X2175" s="748">
        <v>42888</v>
      </c>
      <c r="Y2175" s="744" t="s">
        <v>6856</v>
      </c>
      <c r="Z2175" s="749">
        <v>3742</v>
      </c>
      <c r="AA2175" s="594">
        <v>42887</v>
      </c>
      <c r="AB2175" s="250" t="s">
        <v>6847</v>
      </c>
      <c r="AC2175" s="251">
        <v>5510824815</v>
      </c>
      <c r="AD2175" s="1003"/>
      <c r="AE2175" s="1003"/>
      <c r="AF2175" s="745"/>
      <c r="AG2175" s="251" t="s">
        <v>283</v>
      </c>
    </row>
    <row r="2176" spans="1:33" ht="15.75" customHeight="1">
      <c r="A2176" s="775">
        <v>42871</v>
      </c>
      <c r="B2176" s="783" t="s">
        <v>1717</v>
      </c>
      <c r="C2176" s="768" t="s">
        <v>6848</v>
      </c>
      <c r="D2176" s="768" t="s">
        <v>6849</v>
      </c>
      <c r="E2176" s="768" t="s">
        <v>6857</v>
      </c>
      <c r="F2176" s="1032">
        <v>1</v>
      </c>
      <c r="G2176" s="278">
        <v>72</v>
      </c>
      <c r="H2176" s="837">
        <v>0</v>
      </c>
      <c r="I2176" s="776" t="s">
        <v>3315</v>
      </c>
      <c r="J2176" s="1035" t="s">
        <v>70</v>
      </c>
      <c r="K2176" s="289">
        <v>42901</v>
      </c>
      <c r="L2176" s="289"/>
      <c r="M2176" s="833"/>
      <c r="N2176" s="776"/>
      <c r="O2176" s="768" t="s">
        <v>6858</v>
      </c>
      <c r="P2176" s="1011"/>
      <c r="Q2176" s="1033"/>
      <c r="R2176" s="1444"/>
      <c r="S2176" s="1444"/>
      <c r="U2176" s="277"/>
      <c r="V2176" s="779"/>
      <c r="W2176" s="1036"/>
      <c r="X2176" s="766"/>
      <c r="Y2176" s="766"/>
      <c r="Z2176" s="766"/>
      <c r="AA2176" s="1013"/>
      <c r="AB2176" s="1013"/>
      <c r="AC2176" s="1013"/>
      <c r="AD2176" s="1013"/>
      <c r="AE2176" s="1013"/>
      <c r="AF2176" s="766"/>
      <c r="AG2176" s="251" t="s">
        <v>3456</v>
      </c>
    </row>
    <row r="2177" spans="1:33" ht="15.75" customHeight="1">
      <c r="A2177" s="775">
        <v>42871</v>
      </c>
      <c r="B2177" s="783" t="s">
        <v>1717</v>
      </c>
      <c r="C2177" s="768" t="s">
        <v>6848</v>
      </c>
      <c r="D2177" s="768" t="s">
        <v>6849</v>
      </c>
      <c r="E2177" s="768" t="s">
        <v>6859</v>
      </c>
      <c r="F2177" s="878">
        <v>1</v>
      </c>
      <c r="G2177" s="278">
        <v>25</v>
      </c>
      <c r="H2177" s="837">
        <v>0</v>
      </c>
      <c r="I2177" s="280" t="s">
        <v>3315</v>
      </c>
      <c r="J2177" s="1035" t="s">
        <v>70</v>
      </c>
      <c r="K2177" s="289">
        <v>42901</v>
      </c>
      <c r="L2177" s="289"/>
      <c r="M2177" s="833"/>
      <c r="N2177" s="776"/>
      <c r="O2177" s="768" t="s">
        <v>6858</v>
      </c>
      <c r="P2177" s="1011"/>
      <c r="Q2177" s="1033"/>
      <c r="R2177" s="1444"/>
      <c r="S2177" s="1444"/>
      <c r="U2177" s="277"/>
      <c r="V2177" s="779"/>
      <c r="W2177" s="1036"/>
      <c r="X2177" s="766"/>
      <c r="Y2177" s="766"/>
      <c r="Z2177" s="766"/>
      <c r="AA2177" s="1013"/>
      <c r="AB2177" s="1013"/>
      <c r="AC2177" s="1013"/>
      <c r="AD2177" s="1013"/>
      <c r="AE2177" s="1013"/>
      <c r="AF2177" s="766"/>
      <c r="AG2177" s="251" t="s">
        <v>3456</v>
      </c>
    </row>
    <row r="2178" spans="1:33" ht="15.75" customHeight="1">
      <c r="A2178" s="775">
        <v>42871</v>
      </c>
      <c r="B2178" s="783" t="s">
        <v>1717</v>
      </c>
      <c r="C2178" s="768" t="s">
        <v>6848</v>
      </c>
      <c r="D2178" s="768" t="s">
        <v>6849</v>
      </c>
      <c r="E2178" s="768" t="s">
        <v>6860</v>
      </c>
      <c r="F2178" s="1032">
        <v>1</v>
      </c>
      <c r="G2178" s="278">
        <v>22</v>
      </c>
      <c r="H2178" s="837">
        <v>0</v>
      </c>
      <c r="I2178" s="776" t="s">
        <v>3315</v>
      </c>
      <c r="J2178" s="277" t="s">
        <v>70</v>
      </c>
      <c r="K2178" s="289">
        <v>42901</v>
      </c>
      <c r="L2178" s="289"/>
      <c r="M2178" s="833"/>
      <c r="N2178" s="280"/>
      <c r="O2178" s="768" t="s">
        <v>6858</v>
      </c>
      <c r="P2178" s="1011"/>
      <c r="Q2178" s="1033"/>
      <c r="R2178" s="1444"/>
      <c r="S2178" s="1444"/>
      <c r="U2178" s="277"/>
      <c r="V2178" s="779"/>
      <c r="W2178" s="1036"/>
      <c r="X2178" s="766"/>
      <c r="Y2178" s="766"/>
      <c r="Z2178" s="766"/>
      <c r="AA2178" s="1013"/>
      <c r="AB2178" s="1013"/>
      <c r="AC2178" s="1013"/>
      <c r="AD2178" s="1013"/>
      <c r="AE2178" s="1013"/>
      <c r="AF2178" s="766"/>
      <c r="AG2178" s="251" t="s">
        <v>3456</v>
      </c>
    </row>
    <row r="2179" spans="1:33" ht="15.75" customHeight="1">
      <c r="A2179" s="755">
        <v>42871</v>
      </c>
      <c r="B2179" s="590" t="s">
        <v>1717</v>
      </c>
      <c r="C2179" s="744" t="s">
        <v>6848</v>
      </c>
      <c r="D2179" s="744" t="s">
        <v>6849</v>
      </c>
      <c r="E2179" s="744" t="s">
        <v>692</v>
      </c>
      <c r="F2179" s="1007">
        <v>1</v>
      </c>
      <c r="G2179" s="252">
        <v>25</v>
      </c>
      <c r="H2179" s="1027">
        <f t="shared" ref="H2179:H2214" si="169">G2179*F2179</f>
        <v>25</v>
      </c>
      <c r="I2179" s="264" t="s">
        <v>3315</v>
      </c>
      <c r="J2179" s="251" t="s">
        <v>70</v>
      </c>
      <c r="K2179" s="256">
        <v>42901</v>
      </c>
      <c r="L2179" s="256"/>
      <c r="M2179" s="623"/>
      <c r="N2179" s="264"/>
      <c r="O2179" s="744"/>
      <c r="P2179" s="337"/>
      <c r="Q2179" s="630">
        <v>0</v>
      </c>
      <c r="R2179" s="1415"/>
      <c r="S2179" s="1415"/>
      <c r="U2179" s="251"/>
      <c r="V2179" s="308"/>
      <c r="W2179" s="1010"/>
      <c r="X2179" s="745"/>
      <c r="Y2179" s="745"/>
      <c r="Z2179" s="745"/>
      <c r="AA2179" s="1003"/>
      <c r="AB2179" s="1003"/>
      <c r="AC2179" s="1003"/>
      <c r="AD2179" s="1003"/>
      <c r="AE2179" s="1003"/>
      <c r="AF2179" s="745"/>
      <c r="AG2179" s="251" t="s">
        <v>283</v>
      </c>
    </row>
    <row r="2180" spans="1:33" ht="15.75" customHeight="1">
      <c r="A2180" s="755">
        <v>42872</v>
      </c>
      <c r="B2180" s="590" t="s">
        <v>629</v>
      </c>
      <c r="C2180" s="744" t="s">
        <v>6861</v>
      </c>
      <c r="D2180" s="744" t="s">
        <v>6862</v>
      </c>
      <c r="E2180" s="744" t="s">
        <v>6863</v>
      </c>
      <c r="F2180" s="1007">
        <v>1</v>
      </c>
      <c r="G2180" s="252">
        <v>155.4</v>
      </c>
      <c r="H2180" s="1027">
        <f t="shared" si="169"/>
        <v>155.4</v>
      </c>
      <c r="I2180" s="264" t="s">
        <v>170</v>
      </c>
      <c r="J2180" s="1022" t="s">
        <v>89</v>
      </c>
      <c r="K2180" s="256">
        <v>42879</v>
      </c>
      <c r="L2180" s="256"/>
      <c r="M2180" s="256">
        <v>42879</v>
      </c>
      <c r="N2180" s="264" t="s">
        <v>89</v>
      </c>
      <c r="O2180" s="250" t="s">
        <v>6864</v>
      </c>
      <c r="P2180" s="574">
        <v>134.4</v>
      </c>
      <c r="Q2180" s="795"/>
      <c r="R2180" s="1435"/>
      <c r="S2180" s="1435"/>
      <c r="U2180" s="251"/>
      <c r="V2180" s="318" t="s">
        <v>5896</v>
      </c>
      <c r="W2180" s="1010"/>
      <c r="X2180" s="750">
        <v>42879</v>
      </c>
      <c r="Y2180" s="250" t="s">
        <v>6865</v>
      </c>
      <c r="Z2180" s="753">
        <v>14093</v>
      </c>
      <c r="AA2180" s="594">
        <v>42906</v>
      </c>
      <c r="AB2180" s="744" t="s">
        <v>6866</v>
      </c>
      <c r="AC2180" s="251"/>
      <c r="AD2180" s="595" t="s">
        <v>6867</v>
      </c>
      <c r="AE2180" s="260">
        <v>15576</v>
      </c>
      <c r="AF2180" s="744" t="s">
        <v>6868</v>
      </c>
      <c r="AG2180" s="251" t="s">
        <v>376</v>
      </c>
    </row>
    <row r="2181" spans="1:33" ht="15.75" customHeight="1">
      <c r="A2181" s="755">
        <v>42872</v>
      </c>
      <c r="B2181" s="590" t="s">
        <v>629</v>
      </c>
      <c r="C2181" s="744" t="s">
        <v>6861</v>
      </c>
      <c r="D2181" s="744" t="s">
        <v>6862</v>
      </c>
      <c r="E2181" s="744" t="s">
        <v>6869</v>
      </c>
      <c r="F2181" s="1007">
        <v>2</v>
      </c>
      <c r="G2181" s="252">
        <v>180.6</v>
      </c>
      <c r="H2181" s="1027">
        <f t="shared" si="169"/>
        <v>361.2</v>
      </c>
      <c r="I2181" s="264" t="s">
        <v>170</v>
      </c>
      <c r="J2181" s="1022" t="s">
        <v>89</v>
      </c>
      <c r="K2181" s="256">
        <v>42879</v>
      </c>
      <c r="L2181" s="256"/>
      <c r="M2181" s="256">
        <v>42879</v>
      </c>
      <c r="N2181" s="264" t="s">
        <v>89</v>
      </c>
      <c r="O2181" s="250" t="s">
        <v>6864</v>
      </c>
      <c r="P2181" s="574">
        <v>333.9</v>
      </c>
      <c r="Q2181" s="795"/>
      <c r="R2181" s="1435"/>
      <c r="S2181" s="1435"/>
      <c r="U2181" s="251"/>
      <c r="V2181" s="318" t="s">
        <v>5896</v>
      </c>
      <c r="W2181" s="1010"/>
      <c r="X2181" s="750">
        <v>42879</v>
      </c>
      <c r="Y2181" s="250" t="s">
        <v>6865</v>
      </c>
      <c r="Z2181" s="744" t="s">
        <v>6870</v>
      </c>
      <c r="AA2181" s="594">
        <v>42906</v>
      </c>
      <c r="AB2181" s="744" t="s">
        <v>6866</v>
      </c>
      <c r="AC2181" s="251"/>
      <c r="AD2181" s="595" t="s">
        <v>6867</v>
      </c>
      <c r="AE2181" s="251" t="s">
        <v>6871</v>
      </c>
      <c r="AF2181" s="744" t="s">
        <v>6868</v>
      </c>
      <c r="AG2181" s="251" t="s">
        <v>376</v>
      </c>
    </row>
    <row r="2182" spans="1:33" ht="15.75" customHeight="1">
      <c r="A2182" s="743">
        <v>42873</v>
      </c>
      <c r="B2182" s="970" t="s">
        <v>76</v>
      </c>
      <c r="C2182" s="744">
        <v>430</v>
      </c>
      <c r="D2182" s="250" t="s">
        <v>6872</v>
      </c>
      <c r="E2182" s="250" t="s">
        <v>6873</v>
      </c>
      <c r="F2182" s="305">
        <v>50</v>
      </c>
      <c r="G2182" s="252">
        <v>5</v>
      </c>
      <c r="H2182" s="574">
        <f t="shared" si="169"/>
        <v>250</v>
      </c>
      <c r="I2182" s="264" t="s">
        <v>42</v>
      </c>
      <c r="J2182" s="267" t="s">
        <v>1896</v>
      </c>
      <c r="K2182" s="256">
        <v>42929</v>
      </c>
      <c r="L2182" s="256"/>
      <c r="M2182" s="865">
        <v>42930</v>
      </c>
      <c r="N2182" s="251" t="s">
        <v>2006</v>
      </c>
      <c r="O2182" s="250" t="s">
        <v>6874</v>
      </c>
      <c r="P2182" s="337"/>
      <c r="Q2182" s="630">
        <v>3045</v>
      </c>
      <c r="R2182" s="1415"/>
      <c r="S2182" s="1415"/>
      <c r="U2182" s="251"/>
      <c r="V2182" s="970" t="s">
        <v>2146</v>
      </c>
      <c r="W2182" s="789">
        <v>42932</v>
      </c>
      <c r="X2182" s="748">
        <v>42922</v>
      </c>
      <c r="Y2182" s="744" t="s">
        <v>6875</v>
      </c>
      <c r="Z2182" s="749">
        <v>3045</v>
      </c>
      <c r="AA2182" s="256">
        <v>42937</v>
      </c>
      <c r="AB2182" s="308" t="s">
        <v>6876</v>
      </c>
      <c r="AC2182" s="1003"/>
      <c r="AD2182" s="1003"/>
      <c r="AE2182" s="1003"/>
      <c r="AF2182" s="745"/>
      <c r="AG2182" s="251" t="s">
        <v>283</v>
      </c>
    </row>
    <row r="2183" spans="1:33" ht="15.75" customHeight="1">
      <c r="A2183" s="743">
        <v>42873</v>
      </c>
      <c r="B2183" s="590" t="s">
        <v>5981</v>
      </c>
      <c r="C2183" s="744">
        <v>7000129798</v>
      </c>
      <c r="D2183" s="744" t="s">
        <v>6877</v>
      </c>
      <c r="E2183" s="744" t="s">
        <v>3933</v>
      </c>
      <c r="F2183" s="1007">
        <v>1</v>
      </c>
      <c r="G2183" s="252">
        <v>485</v>
      </c>
      <c r="H2183" s="574">
        <f t="shared" si="169"/>
        <v>485</v>
      </c>
      <c r="I2183" s="264" t="s">
        <v>42</v>
      </c>
      <c r="J2183" s="331" t="s">
        <v>3462</v>
      </c>
      <c r="K2183" s="256">
        <v>42887</v>
      </c>
      <c r="L2183" s="256"/>
      <c r="M2183" s="256">
        <v>42886</v>
      </c>
      <c r="N2183" s="264" t="s">
        <v>3432</v>
      </c>
      <c r="O2183" s="250" t="s">
        <v>6878</v>
      </c>
      <c r="P2183" s="337"/>
      <c r="Q2183" s="630">
        <v>14163</v>
      </c>
      <c r="R2183" s="1415"/>
      <c r="S2183" s="1415"/>
      <c r="U2183" s="251"/>
      <c r="V2183" s="318" t="s">
        <v>2045</v>
      </c>
      <c r="W2183" s="789">
        <v>42978</v>
      </c>
      <c r="X2183" s="748">
        <v>42881</v>
      </c>
      <c r="Y2183" s="744" t="s">
        <v>6879</v>
      </c>
      <c r="Z2183" s="749">
        <v>14163</v>
      </c>
      <c r="AA2183" s="256">
        <v>42979</v>
      </c>
      <c r="AB2183" s="250" t="s">
        <v>6880</v>
      </c>
      <c r="AC2183" s="251" t="s">
        <v>6881</v>
      </c>
      <c r="AD2183" s="1003"/>
      <c r="AE2183" s="1003"/>
      <c r="AF2183" s="745"/>
      <c r="AG2183" s="251" t="s">
        <v>283</v>
      </c>
    </row>
    <row r="2184" spans="1:33" ht="15.75" customHeight="1">
      <c r="A2184" s="594">
        <v>42873</v>
      </c>
      <c r="B2184" s="590" t="s">
        <v>5981</v>
      </c>
      <c r="C2184" s="744">
        <v>7000129798</v>
      </c>
      <c r="D2184" s="744" t="s">
        <v>6877</v>
      </c>
      <c r="E2184" s="744" t="s">
        <v>4493</v>
      </c>
      <c r="F2184" s="1007">
        <v>3</v>
      </c>
      <c r="G2184" s="252">
        <v>110</v>
      </c>
      <c r="H2184" s="574">
        <f t="shared" si="169"/>
        <v>330</v>
      </c>
      <c r="I2184" s="264" t="s">
        <v>42</v>
      </c>
      <c r="J2184" s="756" t="s">
        <v>3462</v>
      </c>
      <c r="K2184" s="256">
        <v>42887</v>
      </c>
      <c r="L2184" s="256"/>
      <c r="M2184" s="256">
        <v>42886</v>
      </c>
      <c r="N2184" s="264" t="s">
        <v>3432</v>
      </c>
      <c r="O2184" s="250" t="s">
        <v>6878</v>
      </c>
      <c r="P2184" s="337"/>
      <c r="Q2184" s="630">
        <v>9645</v>
      </c>
      <c r="R2184" s="1415"/>
      <c r="S2184" s="1415"/>
      <c r="U2184" s="251"/>
      <c r="V2184" s="308" t="s">
        <v>2045</v>
      </c>
      <c r="W2184" s="789">
        <v>42978</v>
      </c>
      <c r="X2184" s="748">
        <v>42881</v>
      </c>
      <c r="Y2184" s="744" t="s">
        <v>6882</v>
      </c>
      <c r="Z2184" s="749">
        <v>9645</v>
      </c>
      <c r="AA2184" s="256">
        <v>42979</v>
      </c>
      <c r="AB2184" s="250" t="s">
        <v>6880</v>
      </c>
      <c r="AC2184" s="251" t="s">
        <v>6881</v>
      </c>
      <c r="AD2184" s="1003"/>
      <c r="AE2184" s="1003"/>
      <c r="AF2184" s="745"/>
      <c r="AG2184" s="251" t="s">
        <v>283</v>
      </c>
    </row>
    <row r="2185" spans="1:33" ht="15.75" customHeight="1">
      <c r="A2185" s="256">
        <v>42873</v>
      </c>
      <c r="B2185" s="590" t="s">
        <v>1189</v>
      </c>
      <c r="C2185" s="744" t="s">
        <v>6774</v>
      </c>
      <c r="D2185" s="744" t="s">
        <v>6883</v>
      </c>
      <c r="E2185" s="744" t="s">
        <v>6776</v>
      </c>
      <c r="F2185" s="1007">
        <v>10</v>
      </c>
      <c r="G2185" s="252">
        <v>17.5</v>
      </c>
      <c r="H2185" s="574">
        <f t="shared" si="169"/>
        <v>175</v>
      </c>
      <c r="I2185" s="264" t="s">
        <v>42</v>
      </c>
      <c r="J2185" s="756" t="s">
        <v>5852</v>
      </c>
      <c r="K2185" s="256">
        <v>42880</v>
      </c>
      <c r="L2185" s="256"/>
      <c r="M2185" s="256">
        <v>42878</v>
      </c>
      <c r="N2185" s="401" t="s">
        <v>2411</v>
      </c>
      <c r="O2185" s="250" t="s">
        <v>6884</v>
      </c>
      <c r="P2185" s="337"/>
      <c r="Q2185" s="630">
        <v>4452</v>
      </c>
      <c r="R2185" s="1415"/>
      <c r="S2185" s="1415"/>
      <c r="U2185" s="251"/>
      <c r="V2185" s="308" t="s">
        <v>4328</v>
      </c>
      <c r="W2185" s="789">
        <v>42891</v>
      </c>
      <c r="X2185" s="748">
        <v>42877</v>
      </c>
      <c r="Y2185" s="744" t="s">
        <v>6885</v>
      </c>
      <c r="Z2185" s="749">
        <v>6342</v>
      </c>
      <c r="AA2185" s="256">
        <v>42891</v>
      </c>
      <c r="AB2185" s="250" t="s">
        <v>6886</v>
      </c>
      <c r="AC2185" s="1003"/>
      <c r="AD2185" s="1003"/>
      <c r="AE2185" s="1003"/>
      <c r="AF2185" s="745"/>
      <c r="AG2185" s="251" t="s">
        <v>283</v>
      </c>
    </row>
    <row r="2186" spans="1:33" ht="15.75" customHeight="1">
      <c r="A2186" s="755">
        <v>42873</v>
      </c>
      <c r="B2186" s="590" t="s">
        <v>1189</v>
      </c>
      <c r="C2186" s="744" t="s">
        <v>6887</v>
      </c>
      <c r="D2186" s="744" t="s">
        <v>6888</v>
      </c>
      <c r="E2186" s="744" t="s">
        <v>6889</v>
      </c>
      <c r="F2186" s="305">
        <v>10</v>
      </c>
      <c r="G2186" s="252">
        <v>11.5</v>
      </c>
      <c r="H2186" s="574">
        <f t="shared" si="169"/>
        <v>115</v>
      </c>
      <c r="I2186" s="264" t="s">
        <v>42</v>
      </c>
      <c r="J2186" s="401" t="s">
        <v>5852</v>
      </c>
      <c r="K2186" s="256">
        <v>42880</v>
      </c>
      <c r="L2186" s="256"/>
      <c r="M2186" s="256">
        <v>42878</v>
      </c>
      <c r="N2186" s="401" t="s">
        <v>2411</v>
      </c>
      <c r="O2186" s="250" t="s">
        <v>6884</v>
      </c>
      <c r="P2186" s="337"/>
      <c r="Q2186" s="630">
        <v>1890</v>
      </c>
      <c r="R2186" s="1415"/>
      <c r="S2186" s="1415"/>
      <c r="U2186" s="251"/>
      <c r="V2186" s="308" t="s">
        <v>4328</v>
      </c>
      <c r="W2186" s="789">
        <v>42891</v>
      </c>
      <c r="X2186" s="748">
        <v>42877</v>
      </c>
      <c r="Y2186" s="744" t="s">
        <v>6885</v>
      </c>
      <c r="Z2186" s="744" t="s">
        <v>6890</v>
      </c>
      <c r="AA2186" s="256">
        <v>42891</v>
      </c>
      <c r="AB2186" s="250" t="s">
        <v>6886</v>
      </c>
      <c r="AC2186" s="1003"/>
      <c r="AD2186" s="1003"/>
      <c r="AE2186" s="1003"/>
      <c r="AF2186" s="745"/>
      <c r="AG2186" s="251" t="s">
        <v>283</v>
      </c>
    </row>
    <row r="2187" spans="1:33" ht="15.75" customHeight="1">
      <c r="A2187" s="755">
        <v>42874</v>
      </c>
      <c r="B2187" s="590" t="s">
        <v>100</v>
      </c>
      <c r="C2187" s="744"/>
      <c r="D2187" s="744" t="s">
        <v>6891</v>
      </c>
      <c r="E2187" s="744" t="s">
        <v>6892</v>
      </c>
      <c r="F2187" s="1007">
        <v>1</v>
      </c>
      <c r="G2187" s="252">
        <v>509</v>
      </c>
      <c r="H2187" s="574">
        <f t="shared" si="169"/>
        <v>509</v>
      </c>
      <c r="I2187" s="264" t="s">
        <v>3315</v>
      </c>
      <c r="J2187" s="367" t="s">
        <v>3578</v>
      </c>
      <c r="K2187" s="256">
        <v>42915</v>
      </c>
      <c r="L2187" s="256"/>
      <c r="M2187" s="256">
        <v>42901</v>
      </c>
      <c r="N2187" s="331" t="s">
        <v>1995</v>
      </c>
      <c r="O2187" s="250" t="s">
        <v>6893</v>
      </c>
      <c r="P2187" s="265">
        <v>480.9</v>
      </c>
      <c r="Q2187" s="630">
        <v>14524</v>
      </c>
      <c r="R2187" s="1415"/>
      <c r="S2187" s="1415"/>
      <c r="U2187" s="251"/>
      <c r="V2187" s="338" t="s">
        <v>1997</v>
      </c>
      <c r="W2187" s="789">
        <v>42952</v>
      </c>
      <c r="X2187" s="748">
        <v>42901</v>
      </c>
      <c r="Y2187" s="744" t="s">
        <v>6894</v>
      </c>
      <c r="Z2187" s="749">
        <v>14524</v>
      </c>
      <c r="AA2187" s="256">
        <v>42955</v>
      </c>
      <c r="AB2187" s="250" t="s">
        <v>6847</v>
      </c>
      <c r="AC2187" s="251">
        <v>5510824815</v>
      </c>
      <c r="AD2187" s="1003"/>
      <c r="AE2187" s="1003"/>
      <c r="AF2187" s="745"/>
      <c r="AG2187" s="251" t="s">
        <v>283</v>
      </c>
    </row>
    <row r="2188" spans="1:33" ht="15.75" customHeight="1">
      <c r="A2188" s="755">
        <v>42874</v>
      </c>
      <c r="B2188" s="970" t="s">
        <v>6060</v>
      </c>
      <c r="C2188" s="744" t="s">
        <v>6895</v>
      </c>
      <c r="D2188" s="308" t="s">
        <v>6896</v>
      </c>
      <c r="E2188" s="308" t="s">
        <v>6063</v>
      </c>
      <c r="F2188" s="787">
        <v>13</v>
      </c>
      <c r="G2188" s="252">
        <v>58</v>
      </c>
      <c r="H2188" s="574">
        <f t="shared" si="169"/>
        <v>754</v>
      </c>
      <c r="I2188" s="264" t="s">
        <v>42</v>
      </c>
      <c r="J2188" s="401" t="s">
        <v>6433</v>
      </c>
      <c r="K2188" s="256">
        <v>42887</v>
      </c>
      <c r="L2188" s="256"/>
      <c r="M2188" s="256">
        <v>42886</v>
      </c>
      <c r="N2188" s="254" t="s">
        <v>89</v>
      </c>
      <c r="O2188" s="250" t="s">
        <v>6897</v>
      </c>
      <c r="P2188" s="265">
        <v>709.8</v>
      </c>
      <c r="Q2188" s="795"/>
      <c r="R2188" s="1435"/>
      <c r="S2188" s="1435"/>
      <c r="U2188" s="251"/>
      <c r="V2188" s="318" t="s">
        <v>5896</v>
      </c>
      <c r="W2188" s="789">
        <v>42947</v>
      </c>
      <c r="X2188" s="748">
        <v>42886</v>
      </c>
      <c r="Y2188" s="744" t="s">
        <v>6898</v>
      </c>
      <c r="Z2188" s="749">
        <v>43165</v>
      </c>
      <c r="AA2188" s="594">
        <v>42930</v>
      </c>
      <c r="AB2188" s="250" t="s">
        <v>6899</v>
      </c>
      <c r="AC2188" s="251" t="s">
        <v>6900</v>
      </c>
      <c r="AD2188" s="1003"/>
      <c r="AE2188" s="1003"/>
      <c r="AF2188" s="745"/>
      <c r="AG2188" s="251" t="s">
        <v>283</v>
      </c>
    </row>
    <row r="2189" spans="1:33" ht="15.75" customHeight="1">
      <c r="A2189" s="755">
        <v>42874</v>
      </c>
      <c r="B2189" s="970" t="s">
        <v>6060</v>
      </c>
      <c r="C2189" s="744" t="s">
        <v>6895</v>
      </c>
      <c r="D2189" s="744" t="s">
        <v>6896</v>
      </c>
      <c r="E2189" s="744" t="s">
        <v>6097</v>
      </c>
      <c r="F2189" s="787">
        <v>15</v>
      </c>
      <c r="G2189" s="252">
        <v>50</v>
      </c>
      <c r="H2189" s="574">
        <f t="shared" si="169"/>
        <v>750</v>
      </c>
      <c r="I2189" s="264" t="s">
        <v>42</v>
      </c>
      <c r="J2189" s="401" t="s">
        <v>6433</v>
      </c>
      <c r="K2189" s="256">
        <v>42887</v>
      </c>
      <c r="L2189" s="256"/>
      <c r="M2189" s="256">
        <v>42886</v>
      </c>
      <c r="N2189" s="264" t="s">
        <v>89</v>
      </c>
      <c r="O2189" s="250" t="s">
        <v>6897</v>
      </c>
      <c r="P2189" s="265">
        <v>724.5</v>
      </c>
      <c r="Q2189" s="795"/>
      <c r="R2189" s="1435"/>
      <c r="S2189" s="1435"/>
      <c r="U2189" s="251"/>
      <c r="V2189" s="318" t="s">
        <v>5896</v>
      </c>
      <c r="W2189" s="789">
        <v>42947</v>
      </c>
      <c r="X2189" s="748">
        <v>42886</v>
      </c>
      <c r="Y2189" s="744" t="s">
        <v>6898</v>
      </c>
      <c r="Z2189" s="744" t="s">
        <v>6901</v>
      </c>
      <c r="AA2189" s="594">
        <v>42930</v>
      </c>
      <c r="AB2189" s="250" t="s">
        <v>6899</v>
      </c>
      <c r="AC2189" s="251" t="s">
        <v>6900</v>
      </c>
      <c r="AD2189" s="1003"/>
      <c r="AE2189" s="1003"/>
      <c r="AF2189" s="745"/>
      <c r="AG2189" s="251" t="s">
        <v>283</v>
      </c>
    </row>
    <row r="2190" spans="1:33" ht="15.75" customHeight="1">
      <c r="A2190" s="755">
        <v>42874</v>
      </c>
      <c r="B2190" s="590" t="s">
        <v>100</v>
      </c>
      <c r="C2190" s="744" t="s">
        <v>6902</v>
      </c>
      <c r="D2190" s="250" t="s">
        <v>6903</v>
      </c>
      <c r="E2190" s="250" t="s">
        <v>6904</v>
      </c>
      <c r="F2190" s="305">
        <v>2</v>
      </c>
      <c r="G2190" s="252">
        <v>322</v>
      </c>
      <c r="H2190" s="574">
        <f t="shared" si="169"/>
        <v>644</v>
      </c>
      <c r="I2190" s="264" t="s">
        <v>3315</v>
      </c>
      <c r="J2190" s="367" t="s">
        <v>3578</v>
      </c>
      <c r="K2190" s="256">
        <v>42888</v>
      </c>
      <c r="L2190" s="256"/>
      <c r="M2190" s="256">
        <v>42881</v>
      </c>
      <c r="N2190" s="331" t="s">
        <v>1995</v>
      </c>
      <c r="O2190" s="250" t="s">
        <v>6905</v>
      </c>
      <c r="P2190" s="265">
        <v>609</v>
      </c>
      <c r="Q2190" s="630">
        <v>18392</v>
      </c>
      <c r="R2190" s="1415"/>
      <c r="S2190" s="1415"/>
      <c r="U2190" s="251"/>
      <c r="V2190" s="338" t="s">
        <v>1997</v>
      </c>
      <c r="W2190" s="789">
        <v>42921</v>
      </c>
      <c r="X2190" s="748">
        <v>42881</v>
      </c>
      <c r="Y2190" s="744" t="s">
        <v>6675</v>
      </c>
      <c r="Z2190" s="749">
        <v>30587</v>
      </c>
      <c r="AA2190" s="594">
        <v>42923</v>
      </c>
      <c r="AB2190" s="250" t="s">
        <v>6677</v>
      </c>
      <c r="AC2190" s="251"/>
      <c r="AD2190" s="1003"/>
      <c r="AE2190" s="1003"/>
      <c r="AF2190" s="745"/>
      <c r="AG2190" s="251" t="s">
        <v>283</v>
      </c>
    </row>
    <row r="2191" spans="1:33" ht="15.75" customHeight="1">
      <c r="A2191" s="755">
        <v>42874</v>
      </c>
      <c r="B2191" s="420" t="s">
        <v>100</v>
      </c>
      <c r="C2191" s="744" t="s">
        <v>6902</v>
      </c>
      <c r="D2191" s="250" t="s">
        <v>6903</v>
      </c>
      <c r="E2191" s="250" t="s">
        <v>3700</v>
      </c>
      <c r="F2191" s="1007">
        <v>2</v>
      </c>
      <c r="G2191" s="252">
        <v>9</v>
      </c>
      <c r="H2191" s="574">
        <f t="shared" si="169"/>
        <v>18</v>
      </c>
      <c r="I2191" s="264" t="s">
        <v>3315</v>
      </c>
      <c r="J2191" s="367" t="s">
        <v>3578</v>
      </c>
      <c r="K2191" s="256">
        <v>42888</v>
      </c>
      <c r="L2191" s="256"/>
      <c r="M2191" s="256">
        <v>42881</v>
      </c>
      <c r="N2191" s="401" t="s">
        <v>1995</v>
      </c>
      <c r="O2191" s="250" t="s">
        <v>6905</v>
      </c>
      <c r="P2191" s="265">
        <v>16.8</v>
      </c>
      <c r="Q2191" s="630">
        <v>508</v>
      </c>
      <c r="R2191" s="1415"/>
      <c r="S2191" s="1415"/>
      <c r="U2191" s="251"/>
      <c r="V2191" s="338" t="s">
        <v>1997</v>
      </c>
      <c r="W2191" s="789">
        <v>42921</v>
      </c>
      <c r="X2191" s="748">
        <v>42881</v>
      </c>
      <c r="Y2191" s="744" t="s">
        <v>6675</v>
      </c>
      <c r="Z2191" s="744" t="s">
        <v>6676</v>
      </c>
      <c r="AA2191" s="594">
        <v>42923</v>
      </c>
      <c r="AB2191" s="250" t="s">
        <v>6677</v>
      </c>
      <c r="AC2191" s="251"/>
      <c r="AD2191" s="1003"/>
      <c r="AE2191" s="1003"/>
      <c r="AF2191" s="745"/>
      <c r="AG2191" s="251" t="s">
        <v>283</v>
      </c>
    </row>
    <row r="2192" spans="1:33" ht="15.75" customHeight="1">
      <c r="A2192" s="755">
        <v>42874</v>
      </c>
      <c r="B2192" s="420" t="s">
        <v>100</v>
      </c>
      <c r="C2192" s="744" t="s">
        <v>6902</v>
      </c>
      <c r="D2192" s="250" t="s">
        <v>6903</v>
      </c>
      <c r="E2192" s="250" t="s">
        <v>6420</v>
      </c>
      <c r="F2192" s="1007">
        <v>2</v>
      </c>
      <c r="G2192" s="323">
        <v>39</v>
      </c>
      <c r="H2192" s="574">
        <f t="shared" si="169"/>
        <v>78</v>
      </c>
      <c r="I2192" s="264" t="s">
        <v>3315</v>
      </c>
      <c r="J2192" s="367" t="s">
        <v>3578</v>
      </c>
      <c r="K2192" s="256">
        <v>42888</v>
      </c>
      <c r="L2192" s="256"/>
      <c r="M2192" s="256">
        <v>42880</v>
      </c>
      <c r="N2192" s="264" t="s">
        <v>2124</v>
      </c>
      <c r="O2192" s="250" t="s">
        <v>6906</v>
      </c>
      <c r="P2192" s="830"/>
      <c r="Q2192" s="630">
        <v>1991</v>
      </c>
      <c r="R2192" s="1415"/>
      <c r="S2192" s="1415"/>
      <c r="U2192" s="251"/>
      <c r="V2192" s="318" t="s">
        <v>2126</v>
      </c>
      <c r="W2192" s="574" t="s">
        <v>421</v>
      </c>
      <c r="X2192" s="748">
        <v>42879</v>
      </c>
      <c r="Y2192" s="744" t="s">
        <v>6907</v>
      </c>
      <c r="Z2192" s="749">
        <v>1991</v>
      </c>
      <c r="AA2192" s="594">
        <v>42878</v>
      </c>
      <c r="AB2192" s="250" t="s">
        <v>6677</v>
      </c>
      <c r="AC2192" s="251"/>
      <c r="AD2192" s="1003"/>
      <c r="AE2192" s="1003"/>
      <c r="AF2192" s="745"/>
      <c r="AG2192" s="251" t="s">
        <v>283</v>
      </c>
    </row>
    <row r="2193" spans="1:33" ht="15.75" customHeight="1">
      <c r="A2193" s="755">
        <v>42877</v>
      </c>
      <c r="B2193" s="590" t="s">
        <v>6908</v>
      </c>
      <c r="C2193" s="744" t="s">
        <v>6909</v>
      </c>
      <c r="D2193" s="744" t="s">
        <v>6910</v>
      </c>
      <c r="E2193" s="744" t="s">
        <v>6911</v>
      </c>
      <c r="F2193" s="1007">
        <v>23</v>
      </c>
      <c r="G2193" s="323">
        <v>885</v>
      </c>
      <c r="H2193" s="574">
        <f t="shared" si="169"/>
        <v>20355</v>
      </c>
      <c r="I2193" s="264" t="s">
        <v>3712</v>
      </c>
      <c r="J2193" s="361" t="s">
        <v>6912</v>
      </c>
      <c r="K2193" s="256">
        <v>42922</v>
      </c>
      <c r="L2193" s="256"/>
      <c r="M2193" s="256">
        <v>42916</v>
      </c>
      <c r="N2193" s="264" t="s">
        <v>89</v>
      </c>
      <c r="O2193" s="250" t="s">
        <v>6913</v>
      </c>
      <c r="P2193" s="265">
        <v>18643.8</v>
      </c>
      <c r="Q2193" s="795"/>
      <c r="R2193" s="1435"/>
      <c r="S2193" s="1435"/>
      <c r="U2193" s="251"/>
      <c r="V2193" s="318" t="s">
        <v>5896</v>
      </c>
      <c r="W2193" s="1034"/>
      <c r="X2193" s="748">
        <v>42916</v>
      </c>
      <c r="Y2193" s="744" t="s">
        <v>6914</v>
      </c>
      <c r="Z2193" s="749">
        <v>728930</v>
      </c>
      <c r="AA2193" s="594">
        <v>42955</v>
      </c>
      <c r="AB2193" s="250" t="s">
        <v>6915</v>
      </c>
      <c r="AC2193" s="1003"/>
      <c r="AD2193" s="1003"/>
      <c r="AE2193" s="1003"/>
      <c r="AF2193" s="745"/>
      <c r="AG2193" s="251" t="s">
        <v>6916</v>
      </c>
    </row>
    <row r="2194" spans="1:33" ht="15.75" customHeight="1">
      <c r="A2194" s="755">
        <v>42877</v>
      </c>
      <c r="B2194" s="590" t="s">
        <v>6908</v>
      </c>
      <c r="C2194" s="744" t="s">
        <v>6909</v>
      </c>
      <c r="D2194" s="744" t="s">
        <v>6910</v>
      </c>
      <c r="E2194" s="744" t="s">
        <v>6917</v>
      </c>
      <c r="F2194" s="1007">
        <v>3</v>
      </c>
      <c r="G2194" s="323">
        <v>1200</v>
      </c>
      <c r="H2194" s="574">
        <f t="shared" si="169"/>
        <v>3600</v>
      </c>
      <c r="I2194" s="264" t="s">
        <v>3712</v>
      </c>
      <c r="J2194" s="361" t="s">
        <v>6912</v>
      </c>
      <c r="K2194" s="256">
        <v>42922</v>
      </c>
      <c r="L2194" s="256"/>
      <c r="M2194" s="256">
        <v>42916</v>
      </c>
      <c r="N2194" s="264" t="s">
        <v>89</v>
      </c>
      <c r="O2194" s="250" t="s">
        <v>6913</v>
      </c>
      <c r="P2194" s="265">
        <v>3398.85</v>
      </c>
      <c r="Q2194" s="795"/>
      <c r="R2194" s="1435"/>
      <c r="S2194" s="1435"/>
      <c r="U2194" s="251"/>
      <c r="V2194" s="318" t="s">
        <v>5896</v>
      </c>
      <c r="W2194" s="1034"/>
      <c r="X2194" s="748">
        <v>42916</v>
      </c>
      <c r="Y2194" s="744" t="s">
        <v>6914</v>
      </c>
      <c r="Z2194" s="744" t="s">
        <v>6918</v>
      </c>
      <c r="AA2194" s="594">
        <v>42955</v>
      </c>
      <c r="AB2194" s="250" t="s">
        <v>6915</v>
      </c>
      <c r="AC2194" s="1003"/>
      <c r="AD2194" s="1003"/>
      <c r="AE2194" s="1003"/>
      <c r="AF2194" s="745"/>
      <c r="AG2194" s="251" t="s">
        <v>6916</v>
      </c>
    </row>
    <row r="2195" spans="1:33" ht="15.75" customHeight="1">
      <c r="A2195" s="755">
        <v>42877</v>
      </c>
      <c r="B2195" s="590" t="s">
        <v>6908</v>
      </c>
      <c r="C2195" s="744" t="s">
        <v>6909</v>
      </c>
      <c r="D2195" s="744" t="s">
        <v>6910</v>
      </c>
      <c r="E2195" s="744" t="s">
        <v>3711</v>
      </c>
      <c r="F2195" s="1007">
        <v>2</v>
      </c>
      <c r="G2195" s="323">
        <v>420</v>
      </c>
      <c r="H2195" s="574">
        <f t="shared" si="169"/>
        <v>840</v>
      </c>
      <c r="I2195" s="264" t="s">
        <v>3712</v>
      </c>
      <c r="J2195" s="361" t="s">
        <v>6912</v>
      </c>
      <c r="K2195" s="256">
        <v>42922</v>
      </c>
      <c r="L2195" s="256"/>
      <c r="M2195" s="256">
        <v>42916</v>
      </c>
      <c r="N2195" s="264" t="s">
        <v>89</v>
      </c>
      <c r="O2195" s="250" t="s">
        <v>6913</v>
      </c>
      <c r="P2195" s="265">
        <v>791.7</v>
      </c>
      <c r="Q2195" s="795"/>
      <c r="R2195" s="1435"/>
      <c r="S2195" s="1435"/>
      <c r="U2195" s="251"/>
      <c r="V2195" s="318" t="s">
        <v>5896</v>
      </c>
      <c r="W2195" s="1034"/>
      <c r="X2195" s="748">
        <v>42916</v>
      </c>
      <c r="Y2195" s="744" t="s">
        <v>6914</v>
      </c>
      <c r="Z2195" s="744" t="s">
        <v>6918</v>
      </c>
      <c r="AA2195" s="594">
        <v>42955</v>
      </c>
      <c r="AB2195" s="250" t="s">
        <v>6915</v>
      </c>
      <c r="AC2195" s="1003"/>
      <c r="AD2195" s="1003"/>
      <c r="AE2195" s="1003"/>
      <c r="AF2195" s="745"/>
      <c r="AG2195" s="251" t="s">
        <v>6916</v>
      </c>
    </row>
    <row r="2196" spans="1:33" ht="15.75" customHeight="1">
      <c r="A2196" s="755">
        <v>42877</v>
      </c>
      <c r="B2196" s="590" t="s">
        <v>6908</v>
      </c>
      <c r="C2196" s="744" t="s">
        <v>6909</v>
      </c>
      <c r="D2196" s="744" t="s">
        <v>6910</v>
      </c>
      <c r="E2196" s="744" t="s">
        <v>6919</v>
      </c>
      <c r="F2196" s="1007">
        <v>240</v>
      </c>
      <c r="G2196" s="323">
        <v>6.5</v>
      </c>
      <c r="H2196" s="574">
        <f t="shared" si="169"/>
        <v>1560</v>
      </c>
      <c r="I2196" s="264" t="s">
        <v>3712</v>
      </c>
      <c r="J2196" s="361" t="s">
        <v>6912</v>
      </c>
      <c r="K2196" s="256">
        <v>42922</v>
      </c>
      <c r="L2196" s="256"/>
      <c r="M2196" s="256">
        <v>42916</v>
      </c>
      <c r="N2196" s="264" t="s">
        <v>89</v>
      </c>
      <c r="O2196" s="250" t="s">
        <v>6913</v>
      </c>
      <c r="P2196" s="265">
        <v>1310.4000000000001</v>
      </c>
      <c r="Q2196" s="795"/>
      <c r="R2196" s="1435"/>
      <c r="S2196" s="1435"/>
      <c r="U2196" s="251"/>
      <c r="V2196" s="318" t="s">
        <v>5896</v>
      </c>
      <c r="W2196" s="1034"/>
      <c r="X2196" s="748">
        <v>42916</v>
      </c>
      <c r="Y2196" s="744" t="s">
        <v>6914</v>
      </c>
      <c r="Z2196" s="744" t="s">
        <v>6918</v>
      </c>
      <c r="AA2196" s="594">
        <v>42955</v>
      </c>
      <c r="AB2196" s="250" t="s">
        <v>6915</v>
      </c>
      <c r="AC2196" s="1003"/>
      <c r="AD2196" s="1003"/>
      <c r="AE2196" s="1003"/>
      <c r="AF2196" s="745"/>
      <c r="AG2196" s="251" t="s">
        <v>6916</v>
      </c>
    </row>
    <row r="2197" spans="1:33" ht="15.75" customHeight="1">
      <c r="A2197" s="755">
        <v>42878</v>
      </c>
      <c r="B2197" s="590" t="s">
        <v>100</v>
      </c>
      <c r="C2197" s="744" t="s">
        <v>6920</v>
      </c>
      <c r="D2197" s="744" t="s">
        <v>6921</v>
      </c>
      <c r="E2197" s="744" t="s">
        <v>6922</v>
      </c>
      <c r="F2197" s="1007">
        <v>20</v>
      </c>
      <c r="G2197" s="252">
        <v>322</v>
      </c>
      <c r="H2197" s="1037">
        <f t="shared" si="169"/>
        <v>6440</v>
      </c>
      <c r="I2197" s="264" t="s">
        <v>3315</v>
      </c>
      <c r="J2197" s="367" t="s">
        <v>3578</v>
      </c>
      <c r="K2197" s="256">
        <v>42908</v>
      </c>
      <c r="L2197" s="256"/>
      <c r="M2197" s="256">
        <v>42905</v>
      </c>
      <c r="N2197" s="331" t="s">
        <v>1995</v>
      </c>
      <c r="O2197" s="250" t="s">
        <v>6923</v>
      </c>
      <c r="P2197" s="265">
        <v>6090</v>
      </c>
      <c r="Q2197" s="630">
        <v>183435</v>
      </c>
      <c r="R2197" s="1415"/>
      <c r="S2197" s="1415"/>
      <c r="U2197" s="251"/>
      <c r="V2197" s="338" t="s">
        <v>1997</v>
      </c>
      <c r="W2197" s="789">
        <v>42952</v>
      </c>
      <c r="X2197" s="750">
        <v>42905</v>
      </c>
      <c r="Y2197" s="744" t="s">
        <v>6924</v>
      </c>
      <c r="Z2197" s="749">
        <v>183435</v>
      </c>
      <c r="AA2197" s="256">
        <v>42955</v>
      </c>
      <c r="AB2197" s="308" t="s">
        <v>6925</v>
      </c>
      <c r="AC2197" s="251"/>
      <c r="AD2197" s="1003"/>
      <c r="AE2197" s="1003"/>
      <c r="AF2197" s="745"/>
      <c r="AG2197" s="251" t="s">
        <v>283</v>
      </c>
    </row>
    <row r="2198" spans="1:33" ht="15.75" customHeight="1">
      <c r="A2198" s="755">
        <v>42878</v>
      </c>
      <c r="B2198" s="590" t="s">
        <v>100</v>
      </c>
      <c r="C2198" s="744" t="s">
        <v>6920</v>
      </c>
      <c r="D2198" s="744" t="s">
        <v>6921</v>
      </c>
      <c r="E2198" s="744" t="s">
        <v>6926</v>
      </c>
      <c r="F2198" s="1007">
        <v>20</v>
      </c>
      <c r="G2198" s="252">
        <v>61</v>
      </c>
      <c r="H2198" s="1027">
        <f t="shared" si="169"/>
        <v>1220</v>
      </c>
      <c r="I2198" s="264" t="s">
        <v>3315</v>
      </c>
      <c r="J2198" s="367" t="s">
        <v>3578</v>
      </c>
      <c r="K2198" s="256">
        <v>42908</v>
      </c>
      <c r="L2198" s="256"/>
      <c r="M2198" s="256">
        <v>42905</v>
      </c>
      <c r="N2198" s="264" t="s">
        <v>2124</v>
      </c>
      <c r="O2198" s="250" t="s">
        <v>6927</v>
      </c>
      <c r="P2198" s="830"/>
      <c r="Q2198" s="630">
        <v>30744</v>
      </c>
      <c r="R2198" s="1415"/>
      <c r="S2198" s="1415"/>
      <c r="U2198" s="251"/>
      <c r="V2198" s="318" t="s">
        <v>2126</v>
      </c>
      <c r="W2198" s="789">
        <v>42899</v>
      </c>
      <c r="X2198" s="748">
        <v>42900</v>
      </c>
      <c r="Y2198" s="744" t="s">
        <v>6928</v>
      </c>
      <c r="Z2198" s="749">
        <v>91350</v>
      </c>
      <c r="AA2198" s="594">
        <v>42899</v>
      </c>
      <c r="AB2198" s="308" t="s">
        <v>6925</v>
      </c>
      <c r="AC2198" s="251"/>
      <c r="AD2198" s="1003"/>
      <c r="AE2198" s="1003"/>
      <c r="AF2198" s="745"/>
      <c r="AG2198" s="251" t="s">
        <v>283</v>
      </c>
    </row>
    <row r="2199" spans="1:33" ht="15.75" customHeight="1">
      <c r="A2199" s="755">
        <v>42878</v>
      </c>
      <c r="B2199" s="590" t="s">
        <v>100</v>
      </c>
      <c r="C2199" s="744" t="s">
        <v>6920</v>
      </c>
      <c r="D2199" s="744" t="s">
        <v>6921</v>
      </c>
      <c r="E2199" s="744" t="s">
        <v>6929</v>
      </c>
      <c r="F2199" s="1007">
        <v>20</v>
      </c>
      <c r="G2199" s="252">
        <v>105</v>
      </c>
      <c r="H2199" s="1027">
        <f t="shared" si="169"/>
        <v>2100</v>
      </c>
      <c r="I2199" s="264" t="s">
        <v>3315</v>
      </c>
      <c r="J2199" s="367" t="s">
        <v>3578</v>
      </c>
      <c r="K2199" s="256">
        <v>42908</v>
      </c>
      <c r="L2199" s="256"/>
      <c r="M2199" s="256">
        <v>42905</v>
      </c>
      <c r="N2199" s="264" t="s">
        <v>2124</v>
      </c>
      <c r="O2199" s="250" t="s">
        <v>6927</v>
      </c>
      <c r="P2199" s="830"/>
      <c r="Q2199" s="630">
        <v>60606</v>
      </c>
      <c r="R2199" s="1415"/>
      <c r="S2199" s="1415"/>
      <c r="U2199" s="251"/>
      <c r="V2199" s="318" t="s">
        <v>2126</v>
      </c>
      <c r="W2199" s="789">
        <v>42899</v>
      </c>
      <c r="X2199" s="748">
        <v>42900</v>
      </c>
      <c r="Y2199" s="744" t="s">
        <v>6928</v>
      </c>
      <c r="Z2199" s="744" t="s">
        <v>6930</v>
      </c>
      <c r="AA2199" s="594">
        <v>42899</v>
      </c>
      <c r="AB2199" s="308" t="s">
        <v>6925</v>
      </c>
      <c r="AC2199" s="251"/>
      <c r="AD2199" s="1003"/>
      <c r="AE2199" s="1003"/>
      <c r="AF2199" s="745"/>
      <c r="AG2199" s="251" t="s">
        <v>283</v>
      </c>
    </row>
    <row r="2200" spans="1:33" ht="15.75" customHeight="1">
      <c r="A2200" s="743">
        <v>42879</v>
      </c>
      <c r="B2200" s="590" t="s">
        <v>5981</v>
      </c>
      <c r="C2200" s="744">
        <v>7000129928</v>
      </c>
      <c r="D2200" s="250" t="s">
        <v>6931</v>
      </c>
      <c r="E2200" s="250" t="s">
        <v>3567</v>
      </c>
      <c r="F2200" s="305">
        <v>7</v>
      </c>
      <c r="G2200" s="252">
        <v>39</v>
      </c>
      <c r="H2200" s="574">
        <f t="shared" si="169"/>
        <v>273</v>
      </c>
      <c r="I2200" s="264" t="s">
        <v>42</v>
      </c>
      <c r="J2200" s="401" t="s">
        <v>6092</v>
      </c>
      <c r="K2200" s="256">
        <v>42901</v>
      </c>
      <c r="L2200" s="256"/>
      <c r="M2200" s="256">
        <v>42898</v>
      </c>
      <c r="N2200" s="264" t="s">
        <v>3432</v>
      </c>
      <c r="O2200" s="744" t="s">
        <v>6932</v>
      </c>
      <c r="P2200" s="337"/>
      <c r="Q2200" s="630">
        <v>7659</v>
      </c>
      <c r="R2200" s="1415"/>
      <c r="S2200" s="1415"/>
      <c r="U2200" s="251"/>
      <c r="V2200" s="308" t="s">
        <v>2045</v>
      </c>
      <c r="W2200" s="789">
        <v>42978</v>
      </c>
      <c r="X2200" s="748">
        <v>42894</v>
      </c>
      <c r="Y2200" s="328" t="s">
        <v>6933</v>
      </c>
      <c r="Z2200" s="749">
        <v>130139</v>
      </c>
      <c r="AA2200" s="256">
        <v>42979</v>
      </c>
      <c r="AB2200" s="250" t="s">
        <v>6805</v>
      </c>
      <c r="AC2200" s="1003"/>
      <c r="AD2200" s="1003"/>
      <c r="AE2200" s="1003"/>
      <c r="AF2200" s="745"/>
      <c r="AG2200" s="251" t="s">
        <v>283</v>
      </c>
    </row>
    <row r="2201" spans="1:33" ht="15.75" customHeight="1">
      <c r="A2201" s="743">
        <v>42879</v>
      </c>
      <c r="B2201" s="590" t="s">
        <v>5981</v>
      </c>
      <c r="C2201" s="744">
        <v>7000129928</v>
      </c>
      <c r="D2201" s="250" t="s">
        <v>6931</v>
      </c>
      <c r="E2201" s="250" t="s">
        <v>4485</v>
      </c>
      <c r="F2201" s="1007">
        <v>7</v>
      </c>
      <c r="G2201" s="252">
        <v>249</v>
      </c>
      <c r="H2201" s="574">
        <f t="shared" si="169"/>
        <v>1743</v>
      </c>
      <c r="I2201" s="264" t="s">
        <v>42</v>
      </c>
      <c r="J2201" s="756" t="s">
        <v>6092</v>
      </c>
      <c r="K2201" s="256">
        <v>42901</v>
      </c>
      <c r="L2201" s="256"/>
      <c r="M2201" s="256">
        <v>42898</v>
      </c>
      <c r="N2201" s="254" t="s">
        <v>3432</v>
      </c>
      <c r="O2201" s="744" t="s">
        <v>6932</v>
      </c>
      <c r="P2201" s="337"/>
      <c r="Q2201" s="630">
        <v>49392</v>
      </c>
      <c r="R2201" s="1415"/>
      <c r="S2201" s="1415"/>
      <c r="U2201" s="251"/>
      <c r="V2201" s="308" t="s">
        <v>2045</v>
      </c>
      <c r="W2201" s="789">
        <v>42978</v>
      </c>
      <c r="X2201" s="748">
        <v>42894</v>
      </c>
      <c r="Y2201" s="328" t="s">
        <v>6933</v>
      </c>
      <c r="Z2201" s="744" t="s">
        <v>6934</v>
      </c>
      <c r="AA2201" s="256">
        <v>42979</v>
      </c>
      <c r="AB2201" s="250" t="s">
        <v>6805</v>
      </c>
      <c r="AC2201" s="1003"/>
      <c r="AD2201" s="1003"/>
      <c r="AE2201" s="1003"/>
      <c r="AF2201" s="745"/>
      <c r="AG2201" s="251" t="s">
        <v>283</v>
      </c>
    </row>
    <row r="2202" spans="1:33" ht="15.75" customHeight="1">
      <c r="A2202" s="743">
        <v>42879</v>
      </c>
      <c r="B2202" s="590" t="s">
        <v>5981</v>
      </c>
      <c r="C2202" s="744">
        <v>7000129928</v>
      </c>
      <c r="D2202" s="250" t="s">
        <v>6931</v>
      </c>
      <c r="E2202" s="250" t="s">
        <v>4488</v>
      </c>
      <c r="F2202" s="1007">
        <v>7</v>
      </c>
      <c r="G2202" s="252">
        <v>285</v>
      </c>
      <c r="H2202" s="574">
        <f t="shared" si="169"/>
        <v>1995</v>
      </c>
      <c r="I2202" s="264" t="s">
        <v>42</v>
      </c>
      <c r="J2202" s="756" t="s">
        <v>6092</v>
      </c>
      <c r="K2202" s="256">
        <v>42901</v>
      </c>
      <c r="L2202" s="256"/>
      <c r="M2202" s="256">
        <v>42898</v>
      </c>
      <c r="N2202" s="264" t="s">
        <v>3432</v>
      </c>
      <c r="O2202" s="744" t="s">
        <v>6932</v>
      </c>
      <c r="P2202" s="337"/>
      <c r="Q2202" s="630">
        <v>56448</v>
      </c>
      <c r="R2202" s="1415"/>
      <c r="S2202" s="1415"/>
      <c r="U2202" s="251"/>
      <c r="V2202" s="308" t="s">
        <v>2045</v>
      </c>
      <c r="W2202" s="789">
        <v>42978</v>
      </c>
      <c r="X2202" s="748">
        <v>42894</v>
      </c>
      <c r="Y2202" s="328" t="s">
        <v>6933</v>
      </c>
      <c r="Z2202" s="744" t="s">
        <v>6934</v>
      </c>
      <c r="AA2202" s="256">
        <v>42979</v>
      </c>
      <c r="AB2202" s="250" t="s">
        <v>6805</v>
      </c>
      <c r="AC2202" s="1003"/>
      <c r="AD2202" s="1003"/>
      <c r="AE2202" s="1003"/>
      <c r="AF2202" s="745"/>
      <c r="AG2202" s="251" t="s">
        <v>283</v>
      </c>
    </row>
    <row r="2203" spans="1:33" ht="15.75" customHeight="1">
      <c r="A2203" s="594">
        <v>42879</v>
      </c>
      <c r="B2203" s="590" t="s">
        <v>5981</v>
      </c>
      <c r="C2203" s="744">
        <v>7000129928</v>
      </c>
      <c r="D2203" s="250" t="s">
        <v>6931</v>
      </c>
      <c r="E2203" s="250" t="s">
        <v>6935</v>
      </c>
      <c r="F2203" s="305">
        <v>7</v>
      </c>
      <c r="G2203" s="252">
        <v>85</v>
      </c>
      <c r="H2203" s="574">
        <f t="shared" si="169"/>
        <v>595</v>
      </c>
      <c r="I2203" s="264" t="s">
        <v>42</v>
      </c>
      <c r="J2203" s="756" t="s">
        <v>6092</v>
      </c>
      <c r="K2203" s="256">
        <v>42901</v>
      </c>
      <c r="L2203" s="256"/>
      <c r="M2203" s="256">
        <v>42898</v>
      </c>
      <c r="N2203" s="264" t="s">
        <v>3432</v>
      </c>
      <c r="O2203" s="744" t="s">
        <v>6932</v>
      </c>
      <c r="P2203" s="337"/>
      <c r="Q2203" s="630">
        <v>16640</v>
      </c>
      <c r="R2203" s="1415"/>
      <c r="S2203" s="1415"/>
      <c r="U2203" s="251"/>
      <c r="V2203" s="308" t="s">
        <v>2045</v>
      </c>
      <c r="W2203" s="789">
        <v>42978</v>
      </c>
      <c r="X2203" s="748">
        <v>42894</v>
      </c>
      <c r="Y2203" s="328" t="s">
        <v>6933</v>
      </c>
      <c r="Z2203" s="744" t="s">
        <v>6934</v>
      </c>
      <c r="AA2203" s="256">
        <v>42979</v>
      </c>
      <c r="AB2203" s="250" t="s">
        <v>6805</v>
      </c>
      <c r="AC2203" s="1003"/>
      <c r="AD2203" s="1003"/>
      <c r="AE2203" s="1003"/>
      <c r="AF2203" s="745"/>
      <c r="AG2203" s="251" t="s">
        <v>283</v>
      </c>
    </row>
    <row r="2204" spans="1:33" ht="15.75" customHeight="1">
      <c r="A2204" s="755">
        <v>42879</v>
      </c>
      <c r="B2204" s="338" t="s">
        <v>4590</v>
      </c>
      <c r="C2204" s="744">
        <v>63409</v>
      </c>
      <c r="D2204" s="744" t="s">
        <v>6936</v>
      </c>
      <c r="E2204" s="744" t="s">
        <v>6195</v>
      </c>
      <c r="F2204" s="254">
        <v>26</v>
      </c>
      <c r="G2204" s="252">
        <v>66</v>
      </c>
      <c r="H2204" s="574">
        <f t="shared" si="169"/>
        <v>1716</v>
      </c>
      <c r="I2204" s="975" t="s">
        <v>3315</v>
      </c>
      <c r="J2204" s="251" t="s">
        <v>532</v>
      </c>
      <c r="K2204" s="256">
        <v>42898</v>
      </c>
      <c r="L2204" s="256"/>
      <c r="M2204" s="256">
        <v>42895</v>
      </c>
      <c r="N2204" s="401" t="s">
        <v>6196</v>
      </c>
      <c r="O2204" s="250" t="s">
        <v>6937</v>
      </c>
      <c r="P2204" s="337"/>
      <c r="Q2204" s="630">
        <v>43571</v>
      </c>
      <c r="R2204" s="1415"/>
      <c r="S2204" s="1415"/>
      <c r="U2204" s="251"/>
      <c r="V2204" s="592" t="s">
        <v>6198</v>
      </c>
      <c r="W2204" s="1010"/>
      <c r="X2204" s="748">
        <v>42893</v>
      </c>
      <c r="Y2204" s="744" t="s">
        <v>6938</v>
      </c>
      <c r="Z2204" s="749">
        <v>43571</v>
      </c>
      <c r="AA2204" s="594">
        <v>42881</v>
      </c>
      <c r="AB2204" s="744" t="s">
        <v>6939</v>
      </c>
      <c r="AC2204" s="1003"/>
      <c r="AD2204" s="1003"/>
      <c r="AE2204" s="1003"/>
      <c r="AF2204" s="745"/>
      <c r="AG2204" s="251" t="s">
        <v>283</v>
      </c>
    </row>
    <row r="2205" spans="1:33" ht="15.75" customHeight="1">
      <c r="A2205" s="755">
        <v>42879</v>
      </c>
      <c r="B2205" s="590" t="s">
        <v>228</v>
      </c>
      <c r="C2205" s="744"/>
      <c r="D2205" s="744" t="s">
        <v>6940</v>
      </c>
      <c r="E2205" s="744" t="s">
        <v>461</v>
      </c>
      <c r="F2205" s="1007">
        <v>91</v>
      </c>
      <c r="G2205" s="323">
        <v>407.4</v>
      </c>
      <c r="H2205" s="265">
        <f t="shared" si="169"/>
        <v>37073.4</v>
      </c>
      <c r="I2205" s="264" t="s">
        <v>170</v>
      </c>
      <c r="J2205" s="251" t="s">
        <v>89</v>
      </c>
      <c r="K2205" s="256">
        <v>42894</v>
      </c>
      <c r="L2205" s="256"/>
      <c r="M2205" s="256">
        <v>42894</v>
      </c>
      <c r="N2205" s="251" t="s">
        <v>89</v>
      </c>
      <c r="O2205" s="250" t="s">
        <v>6941</v>
      </c>
      <c r="P2205" s="574">
        <v>33920.25</v>
      </c>
      <c r="Q2205" s="795"/>
      <c r="R2205" s="1435"/>
      <c r="S2205" s="1435"/>
      <c r="U2205" s="251"/>
      <c r="V2205" s="318" t="s">
        <v>5896</v>
      </c>
      <c r="W2205" s="789">
        <v>42947</v>
      </c>
      <c r="X2205" s="750">
        <v>42894</v>
      </c>
      <c r="Y2205" s="250" t="s">
        <v>6942</v>
      </c>
      <c r="Z2205" s="753">
        <v>1045251</v>
      </c>
      <c r="AA2205" s="594">
        <v>42930</v>
      </c>
      <c r="AB2205" s="744" t="s">
        <v>6943</v>
      </c>
      <c r="AC2205" s="1003"/>
      <c r="AD2205" s="744" t="s">
        <v>6944</v>
      </c>
      <c r="AE2205" s="260">
        <v>1146250</v>
      </c>
      <c r="AF2205" s="744" t="s">
        <v>6945</v>
      </c>
      <c r="AG2205" s="251" t="s">
        <v>376</v>
      </c>
    </row>
    <row r="2206" spans="1:33" ht="15.75" customHeight="1">
      <c r="A2206" s="256">
        <v>42879</v>
      </c>
      <c r="B2206" s="590" t="s">
        <v>228</v>
      </c>
      <c r="C2206" s="744"/>
      <c r="D2206" s="744" t="s">
        <v>6940</v>
      </c>
      <c r="E2206" s="744" t="s">
        <v>3604</v>
      </c>
      <c r="F2206" s="1007">
        <v>3</v>
      </c>
      <c r="G2206" s="265">
        <v>336</v>
      </c>
      <c r="H2206" s="265">
        <f t="shared" si="169"/>
        <v>1008</v>
      </c>
      <c r="I2206" s="264" t="s">
        <v>170</v>
      </c>
      <c r="J2206" s="251" t="s">
        <v>89</v>
      </c>
      <c r="K2206" s="256">
        <v>42894</v>
      </c>
      <c r="L2206" s="256"/>
      <c r="M2206" s="256">
        <v>42894</v>
      </c>
      <c r="N2206" s="251" t="s">
        <v>89</v>
      </c>
      <c r="O2206" s="250" t="s">
        <v>6941</v>
      </c>
      <c r="P2206" s="574">
        <v>904.05</v>
      </c>
      <c r="Q2206" s="795"/>
      <c r="R2206" s="1435"/>
      <c r="S2206" s="1435"/>
      <c r="U2206" s="251"/>
      <c r="V2206" s="308" t="s">
        <v>5896</v>
      </c>
      <c r="W2206" s="789">
        <v>42947</v>
      </c>
      <c r="X2206" s="750">
        <v>42894</v>
      </c>
      <c r="Y2206" s="250" t="s">
        <v>6942</v>
      </c>
      <c r="Z2206" s="250" t="s">
        <v>6946</v>
      </c>
      <c r="AA2206" s="594">
        <v>42930</v>
      </c>
      <c r="AB2206" s="744" t="s">
        <v>6943</v>
      </c>
      <c r="AC2206" s="1003"/>
      <c r="AD2206" s="744" t="s">
        <v>6944</v>
      </c>
      <c r="AE2206" s="251" t="s">
        <v>6947</v>
      </c>
      <c r="AF2206" s="744" t="s">
        <v>6945</v>
      </c>
      <c r="AG2206" s="251" t="s">
        <v>376</v>
      </c>
    </row>
    <row r="2207" spans="1:33" ht="15.75" customHeight="1">
      <c r="A2207" s="256">
        <v>42879</v>
      </c>
      <c r="B2207" s="970" t="s">
        <v>76</v>
      </c>
      <c r="C2207" s="744">
        <v>447</v>
      </c>
      <c r="D2207" s="744" t="s">
        <v>6948</v>
      </c>
      <c r="E2207" s="744" t="s">
        <v>317</v>
      </c>
      <c r="F2207" s="1007">
        <v>10</v>
      </c>
      <c r="G2207" s="252">
        <v>270</v>
      </c>
      <c r="H2207" s="574">
        <f t="shared" si="169"/>
        <v>2700</v>
      </c>
      <c r="I2207" s="264" t="s">
        <v>42</v>
      </c>
      <c r="J2207" s="367" t="s">
        <v>315</v>
      </c>
      <c r="K2207" s="256">
        <v>42891</v>
      </c>
      <c r="L2207" s="256"/>
      <c r="M2207" s="256">
        <v>42887</v>
      </c>
      <c r="N2207" s="401" t="s">
        <v>1967</v>
      </c>
      <c r="O2207" s="744" t="s">
        <v>6949</v>
      </c>
      <c r="P2207" s="265">
        <v>2310</v>
      </c>
      <c r="Q2207" s="795"/>
      <c r="R2207" s="1435"/>
      <c r="S2207" s="1435"/>
      <c r="U2207" s="251"/>
      <c r="V2207" s="308" t="s">
        <v>1969</v>
      </c>
      <c r="W2207" s="789">
        <v>42952</v>
      </c>
      <c r="X2207" s="748">
        <v>42887</v>
      </c>
      <c r="Y2207" s="744" t="s">
        <v>6950</v>
      </c>
      <c r="Z2207" s="749">
        <v>69485</v>
      </c>
      <c r="AA2207" s="594">
        <v>42958</v>
      </c>
      <c r="AB2207" s="250" t="s">
        <v>6951</v>
      </c>
      <c r="AC2207" s="1003"/>
      <c r="AD2207" s="1003"/>
      <c r="AE2207" s="1003"/>
      <c r="AF2207" s="745"/>
      <c r="AG2207" s="251" t="s">
        <v>283</v>
      </c>
    </row>
    <row r="2208" spans="1:33" ht="15.75" customHeight="1">
      <c r="A2208" s="594">
        <v>42879</v>
      </c>
      <c r="B2208" s="590" t="s">
        <v>5981</v>
      </c>
      <c r="C2208" s="744">
        <v>7000129913</v>
      </c>
      <c r="D2208" s="250" t="s">
        <v>6952</v>
      </c>
      <c r="E2208" s="250" t="s">
        <v>6261</v>
      </c>
      <c r="F2208" s="1007">
        <v>5</v>
      </c>
      <c r="G2208" s="252">
        <v>126</v>
      </c>
      <c r="H2208" s="574">
        <f t="shared" si="169"/>
        <v>630</v>
      </c>
      <c r="I2208" s="264" t="s">
        <v>42</v>
      </c>
      <c r="J2208" s="401" t="s">
        <v>3462</v>
      </c>
      <c r="K2208" s="256">
        <v>42887</v>
      </c>
      <c r="L2208" s="256"/>
      <c r="M2208" s="256">
        <v>42886</v>
      </c>
      <c r="N2208" s="264" t="s">
        <v>3432</v>
      </c>
      <c r="O2208" s="250" t="s">
        <v>6953</v>
      </c>
      <c r="P2208" s="337"/>
      <c r="Q2208" s="630">
        <v>18443</v>
      </c>
      <c r="R2208" s="1415"/>
      <c r="S2208" s="1415"/>
      <c r="U2208" s="251"/>
      <c r="V2208" s="308" t="s">
        <v>2045</v>
      </c>
      <c r="W2208" s="789">
        <v>42978</v>
      </c>
      <c r="X2208" s="748">
        <v>42881</v>
      </c>
      <c r="Y2208" s="744" t="s">
        <v>6954</v>
      </c>
      <c r="Z2208" s="749">
        <v>18443</v>
      </c>
      <c r="AA2208" s="256">
        <v>42979</v>
      </c>
      <c r="AB2208" s="250" t="s">
        <v>6880</v>
      </c>
      <c r="AC2208" s="251" t="s">
        <v>6881</v>
      </c>
      <c r="AD2208" s="1003"/>
      <c r="AE2208" s="1003"/>
      <c r="AF2208" s="745"/>
      <c r="AG2208" s="251" t="s">
        <v>283</v>
      </c>
    </row>
    <row r="2209" spans="1:33" ht="15.75" customHeight="1">
      <c r="A2209" s="256">
        <v>42879</v>
      </c>
      <c r="B2209" s="338" t="s">
        <v>4590</v>
      </c>
      <c r="C2209" s="744">
        <v>63409</v>
      </c>
      <c r="D2209" s="744" t="s">
        <v>6936</v>
      </c>
      <c r="E2209" s="744" t="s">
        <v>6955</v>
      </c>
      <c r="F2209" s="254">
        <v>1</v>
      </c>
      <c r="G2209" s="252">
        <v>116</v>
      </c>
      <c r="H2209" s="574">
        <f t="shared" si="169"/>
        <v>116</v>
      </c>
      <c r="I2209" s="975" t="s">
        <v>3315</v>
      </c>
      <c r="J2209" s="251" t="s">
        <v>532</v>
      </c>
      <c r="K2209" s="256">
        <v>42898</v>
      </c>
      <c r="L2209" s="256"/>
      <c r="M2209" s="623"/>
      <c r="N2209" s="264" t="s">
        <v>1999</v>
      </c>
      <c r="O2209" s="744"/>
      <c r="P2209" s="337"/>
      <c r="Q2209" s="630">
        <v>4835</v>
      </c>
      <c r="R2209" s="1415"/>
      <c r="S2209" s="1415"/>
      <c r="U2209" s="251"/>
      <c r="V2209" s="308" t="s">
        <v>2000</v>
      </c>
      <c r="W2209" s="789">
        <v>42916</v>
      </c>
      <c r="X2209" s="750">
        <v>42904</v>
      </c>
      <c r="Y2209" s="250" t="s">
        <v>6956</v>
      </c>
      <c r="Z2209" s="753">
        <v>4835</v>
      </c>
      <c r="AA2209" s="594">
        <v>42921</v>
      </c>
      <c r="AB2209" s="744" t="s">
        <v>6939</v>
      </c>
      <c r="AC2209" s="1003"/>
      <c r="AD2209" s="1003"/>
      <c r="AE2209" s="1003"/>
      <c r="AF2209" s="745"/>
      <c r="AG2209" s="251" t="s">
        <v>283</v>
      </c>
    </row>
    <row r="2210" spans="1:33" ht="15.75" customHeight="1">
      <c r="A2210" s="755">
        <v>42881</v>
      </c>
      <c r="B2210" s="338" t="s">
        <v>53</v>
      </c>
      <c r="C2210" s="263" t="s">
        <v>6957</v>
      </c>
      <c r="D2210" s="318" t="s">
        <v>6958</v>
      </c>
      <c r="E2210" s="318" t="s">
        <v>3632</v>
      </c>
      <c r="F2210" s="254">
        <v>4</v>
      </c>
      <c r="G2210" s="323">
        <v>150.15</v>
      </c>
      <c r="H2210" s="574">
        <f t="shared" si="169"/>
        <v>600.6</v>
      </c>
      <c r="I2210" s="264" t="s">
        <v>42</v>
      </c>
      <c r="J2210" s="585" t="s">
        <v>89</v>
      </c>
      <c r="K2210" s="256">
        <v>42901</v>
      </c>
      <c r="L2210" s="256"/>
      <c r="M2210" s="256">
        <v>42901</v>
      </c>
      <c r="N2210" s="264" t="s">
        <v>89</v>
      </c>
      <c r="O2210" s="250" t="s">
        <v>6959</v>
      </c>
      <c r="P2210" s="574">
        <v>537.6</v>
      </c>
      <c r="Q2210" s="795"/>
      <c r="R2210" s="1435"/>
      <c r="S2210" s="1435"/>
      <c r="U2210" s="251"/>
      <c r="V2210" s="318" t="s">
        <v>5896</v>
      </c>
      <c r="W2210" s="789">
        <v>42952</v>
      </c>
      <c r="X2210" s="750">
        <v>42901</v>
      </c>
      <c r="Y2210" s="250" t="s">
        <v>6960</v>
      </c>
      <c r="Z2210" s="753">
        <v>16144</v>
      </c>
      <c r="AA2210" s="594">
        <v>42899</v>
      </c>
      <c r="AB2210" s="744" t="s">
        <v>6961</v>
      </c>
      <c r="AC2210" s="1003"/>
      <c r="AD2210" s="744" t="s">
        <v>6962</v>
      </c>
      <c r="AE2210" s="260">
        <v>18166</v>
      </c>
      <c r="AF2210" s="744" t="s">
        <v>6963</v>
      </c>
      <c r="AG2210" s="251" t="s">
        <v>376</v>
      </c>
    </row>
    <row r="2211" spans="1:33" ht="15.75" customHeight="1">
      <c r="A2211" s="755">
        <v>42881</v>
      </c>
      <c r="B2211" s="338" t="s">
        <v>415</v>
      </c>
      <c r="C2211" s="263" t="s">
        <v>6964</v>
      </c>
      <c r="D2211" s="318" t="s">
        <v>6965</v>
      </c>
      <c r="E2211" s="318" t="s">
        <v>6966</v>
      </c>
      <c r="F2211" s="1007">
        <v>21</v>
      </c>
      <c r="G2211" s="265">
        <v>147</v>
      </c>
      <c r="H2211" s="265">
        <f t="shared" si="169"/>
        <v>3087</v>
      </c>
      <c r="I2211" s="264" t="s">
        <v>42</v>
      </c>
      <c r="J2211" s="331" t="s">
        <v>6967</v>
      </c>
      <c r="K2211" s="256">
        <v>42895</v>
      </c>
      <c r="L2211" s="256"/>
      <c r="M2211" s="256">
        <v>42894</v>
      </c>
      <c r="N2211" s="264" t="s">
        <v>89</v>
      </c>
      <c r="O2211" s="250" t="s">
        <v>6968</v>
      </c>
      <c r="P2211" s="574">
        <v>2822.4</v>
      </c>
      <c r="Q2211" s="795"/>
      <c r="R2211" s="1435"/>
      <c r="S2211" s="1435"/>
      <c r="U2211" s="251"/>
      <c r="V2211" s="318" t="s">
        <v>5896</v>
      </c>
      <c r="W2211" s="1010"/>
      <c r="X2211" s="748">
        <v>42894</v>
      </c>
      <c r="Y2211" s="744" t="s">
        <v>6969</v>
      </c>
      <c r="Z2211" s="749">
        <v>86700</v>
      </c>
      <c r="AA2211" s="594">
        <v>42893</v>
      </c>
      <c r="AB2211" s="250" t="s">
        <v>6970</v>
      </c>
      <c r="AC2211" s="1003"/>
      <c r="AD2211" s="1003"/>
      <c r="AE2211" s="1003"/>
      <c r="AF2211" s="745"/>
      <c r="AG2211" s="251" t="s">
        <v>283</v>
      </c>
    </row>
    <row r="2212" spans="1:33" ht="15.75" customHeight="1">
      <c r="A2212" s="755">
        <v>42881</v>
      </c>
      <c r="B2212" s="338" t="s">
        <v>415</v>
      </c>
      <c r="C2212" s="263" t="s">
        <v>6964</v>
      </c>
      <c r="D2212" s="308" t="s">
        <v>6965</v>
      </c>
      <c r="E2212" s="308" t="s">
        <v>4644</v>
      </c>
      <c r="F2212" s="1007">
        <v>21</v>
      </c>
      <c r="G2212" s="252">
        <v>4</v>
      </c>
      <c r="H2212" s="574">
        <f t="shared" si="169"/>
        <v>84</v>
      </c>
      <c r="I2212" s="264" t="s">
        <v>42</v>
      </c>
      <c r="J2212" s="756" t="s">
        <v>6967</v>
      </c>
      <c r="K2212" s="256">
        <v>42895</v>
      </c>
      <c r="L2212" s="256"/>
      <c r="M2212" s="256">
        <v>42894</v>
      </c>
      <c r="N2212" s="264" t="s">
        <v>89</v>
      </c>
      <c r="O2212" s="250" t="s">
        <v>6968</v>
      </c>
      <c r="P2212" s="574">
        <v>66.150000000000006</v>
      </c>
      <c r="Q2212" s="795"/>
      <c r="R2212" s="1435"/>
      <c r="S2212" s="1435"/>
      <c r="U2212" s="251"/>
      <c r="V2212" s="318" t="s">
        <v>5896</v>
      </c>
      <c r="W2212" s="1010"/>
      <c r="X2212" s="748">
        <v>42894</v>
      </c>
      <c r="Y2212" s="744" t="s">
        <v>6969</v>
      </c>
      <c r="Z2212" s="749">
        <v>86700</v>
      </c>
      <c r="AA2212" s="594">
        <v>42893</v>
      </c>
      <c r="AB2212" s="250" t="s">
        <v>6970</v>
      </c>
      <c r="AC2212" s="1003"/>
      <c r="AD2212" s="1003"/>
      <c r="AE2212" s="1003"/>
      <c r="AF2212" s="745"/>
      <c r="AG2212" s="251" t="s">
        <v>283</v>
      </c>
    </row>
    <row r="2213" spans="1:33" ht="15.75" customHeight="1">
      <c r="A2213" s="755">
        <v>42881</v>
      </c>
      <c r="B2213" s="338" t="s">
        <v>76</v>
      </c>
      <c r="C2213" s="263">
        <v>464</v>
      </c>
      <c r="D2213" s="318" t="s">
        <v>6971</v>
      </c>
      <c r="E2213" s="318" t="s">
        <v>819</v>
      </c>
      <c r="F2213" s="254">
        <v>10</v>
      </c>
      <c r="G2213" s="464">
        <v>14</v>
      </c>
      <c r="H2213" s="574">
        <f t="shared" si="169"/>
        <v>140</v>
      </c>
      <c r="I2213" s="264" t="s">
        <v>42</v>
      </c>
      <c r="J2213" s="367" t="s">
        <v>315</v>
      </c>
      <c r="K2213" s="256">
        <v>42891</v>
      </c>
      <c r="L2213" s="256"/>
      <c r="M2213" s="256">
        <v>42887</v>
      </c>
      <c r="N2213" s="331" t="s">
        <v>6101</v>
      </c>
      <c r="O2213" s="744" t="s">
        <v>6972</v>
      </c>
      <c r="P2213" s="574">
        <v>129.15</v>
      </c>
      <c r="Q2213" s="795"/>
      <c r="R2213" s="1435"/>
      <c r="S2213" s="1435"/>
      <c r="U2213" s="251"/>
      <c r="V2213" s="386" t="s">
        <v>2010</v>
      </c>
      <c r="W2213" s="789">
        <v>42900</v>
      </c>
      <c r="X2213" s="748">
        <v>42886</v>
      </c>
      <c r="Y2213" s="744" t="s">
        <v>6973</v>
      </c>
      <c r="Z2213" s="749">
        <v>3889</v>
      </c>
      <c r="AA2213" s="256">
        <v>42900</v>
      </c>
      <c r="AB2213" s="250" t="s">
        <v>6951</v>
      </c>
      <c r="AC2213" s="1003"/>
      <c r="AD2213" s="1003"/>
      <c r="AE2213" s="1003"/>
      <c r="AF2213" s="745"/>
      <c r="AG2213" s="251" t="s">
        <v>283</v>
      </c>
    </row>
    <row r="2214" spans="1:33" ht="15.75" customHeight="1">
      <c r="A2214" s="755">
        <v>42885</v>
      </c>
      <c r="B2214" s="338" t="s">
        <v>76</v>
      </c>
      <c r="C2214" s="250">
        <v>471</v>
      </c>
      <c r="D2214" s="308" t="s">
        <v>6974</v>
      </c>
      <c r="E2214" s="308" t="s">
        <v>6975</v>
      </c>
      <c r="F2214" s="254">
        <v>1</v>
      </c>
      <c r="G2214" s="265">
        <v>120</v>
      </c>
      <c r="H2214" s="574">
        <f t="shared" si="169"/>
        <v>120</v>
      </c>
      <c r="I2214" s="264" t="s">
        <v>42</v>
      </c>
      <c r="J2214" s="361" t="s">
        <v>315</v>
      </c>
      <c r="K2214" s="256">
        <v>42919</v>
      </c>
      <c r="L2214" s="256"/>
      <c r="M2214" s="256">
        <v>42914</v>
      </c>
      <c r="N2214" s="401" t="s">
        <v>3330</v>
      </c>
      <c r="O2214" s="308" t="s">
        <v>6976</v>
      </c>
      <c r="P2214" s="328"/>
      <c r="Q2214" s="572">
        <v>3445</v>
      </c>
      <c r="R2214" s="1413"/>
      <c r="S2214" s="1413"/>
      <c r="U2214" s="328"/>
      <c r="V2214" s="592" t="s">
        <v>6447</v>
      </c>
      <c r="W2214" s="789">
        <v>42921</v>
      </c>
      <c r="X2214" s="748">
        <v>42914</v>
      </c>
      <c r="Y2214" s="328" t="s">
        <v>6977</v>
      </c>
      <c r="Z2214" s="749">
        <v>105505</v>
      </c>
      <c r="AA2214" s="256">
        <v>42922</v>
      </c>
      <c r="AB2214" s="308" t="s">
        <v>6978</v>
      </c>
      <c r="AC2214" s="367" t="s">
        <v>6979</v>
      </c>
      <c r="AD2214" s="328"/>
      <c r="AE2214" s="328"/>
      <c r="AF2214" s="328"/>
      <c r="AG2214" s="251" t="s">
        <v>283</v>
      </c>
    </row>
    <row r="2215" spans="1:33" ht="15.75" customHeight="1">
      <c r="A2215" s="775">
        <v>42885</v>
      </c>
      <c r="B2215" s="783" t="s">
        <v>6357</v>
      </c>
      <c r="C2215" s="768"/>
      <c r="D2215" s="768" t="s">
        <v>6980</v>
      </c>
      <c r="E2215" s="768" t="s">
        <v>6981</v>
      </c>
      <c r="F2215" s="1032">
        <v>1</v>
      </c>
      <c r="G2215" s="278">
        <v>1400</v>
      </c>
      <c r="H2215" s="837">
        <v>0</v>
      </c>
      <c r="I2215" s="776" t="s">
        <v>3315</v>
      </c>
      <c r="J2215" s="1035" t="s">
        <v>3502</v>
      </c>
      <c r="K2215" s="289"/>
      <c r="L2215" s="289"/>
      <c r="M2215" s="833"/>
      <c r="N2215" s="776"/>
      <c r="O2215" s="768"/>
      <c r="P2215" s="1011"/>
      <c r="Q2215" s="815" t="s">
        <v>6982</v>
      </c>
      <c r="R2215" s="1445"/>
      <c r="S2215" s="1445"/>
      <c r="U2215" s="277"/>
      <c r="V2215" s="779"/>
      <c r="W2215" s="1036"/>
      <c r="X2215" s="766"/>
      <c r="Y2215" s="766"/>
      <c r="Z2215" s="766"/>
      <c r="AA2215" s="1013"/>
      <c r="AB2215" s="1013"/>
      <c r="AC2215" s="1013"/>
      <c r="AD2215" s="1013"/>
      <c r="AE2215" s="1013"/>
      <c r="AF2215" s="766"/>
      <c r="AG2215" s="277" t="s">
        <v>3456</v>
      </c>
    </row>
    <row r="2216" spans="1:33" ht="15.75" customHeight="1">
      <c r="A2216" s="775">
        <v>42885</v>
      </c>
      <c r="B2216" s="783" t="s">
        <v>6357</v>
      </c>
      <c r="C2216" s="768"/>
      <c r="D2216" s="768" t="s">
        <v>6980</v>
      </c>
      <c r="E2216" s="768" t="s">
        <v>6605</v>
      </c>
      <c r="F2216" s="1032">
        <v>1</v>
      </c>
      <c r="G2216" s="278">
        <v>40</v>
      </c>
      <c r="H2216" s="837">
        <v>0</v>
      </c>
      <c r="I2216" s="776" t="s">
        <v>3315</v>
      </c>
      <c r="J2216" s="1035" t="s">
        <v>3502</v>
      </c>
      <c r="K2216" s="289"/>
      <c r="L2216" s="289"/>
      <c r="M2216" s="833"/>
      <c r="N2216" s="776"/>
      <c r="O2216" s="768"/>
      <c r="P2216" s="1011"/>
      <c r="Q2216" s="815" t="s">
        <v>6982</v>
      </c>
      <c r="R2216" s="1445"/>
      <c r="S2216" s="1445"/>
      <c r="U2216" s="277"/>
      <c r="V2216" s="779"/>
      <c r="W2216" s="1036"/>
      <c r="X2216" s="766"/>
      <c r="Y2216" s="766"/>
      <c r="Z2216" s="766"/>
      <c r="AA2216" s="1013"/>
      <c r="AB2216" s="1013"/>
      <c r="AC2216" s="1013"/>
      <c r="AD2216" s="1013"/>
      <c r="AE2216" s="1013"/>
      <c r="AF2216" s="766"/>
      <c r="AG2216" s="277" t="s">
        <v>3456</v>
      </c>
    </row>
    <row r="2217" spans="1:33" ht="15.75" customHeight="1">
      <c r="A2217" s="775">
        <v>42885</v>
      </c>
      <c r="B2217" s="783" t="s">
        <v>6357</v>
      </c>
      <c r="C2217" s="1024"/>
      <c r="D2217" s="1024" t="s">
        <v>6980</v>
      </c>
      <c r="E2217" s="1024" t="s">
        <v>6604</v>
      </c>
      <c r="F2217" s="1032">
        <v>1</v>
      </c>
      <c r="G2217" s="879">
        <v>70</v>
      </c>
      <c r="H2217" s="837">
        <v>0</v>
      </c>
      <c r="I2217" s="776" t="s">
        <v>3315</v>
      </c>
      <c r="J2217" s="277" t="s">
        <v>3502</v>
      </c>
      <c r="K2217" s="289"/>
      <c r="L2217" s="289"/>
      <c r="M2217" s="833"/>
      <c r="N2217" s="280"/>
      <c r="O2217" s="768"/>
      <c r="P2217" s="1011"/>
      <c r="Q2217" s="815" t="s">
        <v>6982</v>
      </c>
      <c r="R2217" s="1445"/>
      <c r="S2217" s="1445"/>
      <c r="U2217" s="277"/>
      <c r="V2217" s="777"/>
      <c r="W2217" s="1036"/>
      <c r="X2217" s="766"/>
      <c r="Y2217" s="766"/>
      <c r="Z2217" s="766"/>
      <c r="AA2217" s="1013"/>
      <c r="AB2217" s="1013"/>
      <c r="AC2217" s="1013"/>
      <c r="AD2217" s="1013"/>
      <c r="AE2217" s="1013"/>
      <c r="AF2217" s="766"/>
      <c r="AG2217" s="277" t="s">
        <v>3456</v>
      </c>
    </row>
    <row r="2218" spans="1:33" ht="15.75" customHeight="1">
      <c r="A2218" s="755">
        <v>42886</v>
      </c>
      <c r="B2218" s="338" t="s">
        <v>4590</v>
      </c>
      <c r="C2218" s="744">
        <v>63421</v>
      </c>
      <c r="D2218" s="744" t="s">
        <v>6983</v>
      </c>
      <c r="E2218" s="744" t="s">
        <v>6195</v>
      </c>
      <c r="F2218" s="254">
        <v>15</v>
      </c>
      <c r="G2218" s="252">
        <v>66</v>
      </c>
      <c r="H2218" s="574">
        <f t="shared" ref="H2218:H2227" si="170">G2218*F2218</f>
        <v>990</v>
      </c>
      <c r="I2218" s="975" t="s">
        <v>3315</v>
      </c>
      <c r="J2218" s="1022" t="s">
        <v>532</v>
      </c>
      <c r="K2218" s="256">
        <v>42898</v>
      </c>
      <c r="L2218" s="256"/>
      <c r="M2218" s="256">
        <v>42895</v>
      </c>
      <c r="N2218" s="331" t="s">
        <v>6196</v>
      </c>
      <c r="O2218" s="308" t="s">
        <v>6984</v>
      </c>
      <c r="P2218" s="328"/>
      <c r="Q2218" s="572">
        <v>25122</v>
      </c>
      <c r="R2218" s="1413"/>
      <c r="S2218" s="1413"/>
      <c r="U2218" s="328"/>
      <c r="V2218" s="597" t="s">
        <v>6198</v>
      </c>
      <c r="W2218" s="328"/>
      <c r="X2218" s="748">
        <v>42893</v>
      </c>
      <c r="Y2218" s="328" t="s">
        <v>6985</v>
      </c>
      <c r="Z2218" s="749">
        <v>25122</v>
      </c>
      <c r="AA2218" s="594">
        <v>42891</v>
      </c>
      <c r="AB2218" s="744" t="s">
        <v>6939</v>
      </c>
      <c r="AC2218" s="328"/>
      <c r="AD2218" s="328"/>
      <c r="AE2218" s="328"/>
      <c r="AF2218" s="328"/>
      <c r="AG2218" s="251" t="s">
        <v>283</v>
      </c>
    </row>
    <row r="2219" spans="1:33" ht="15.75" customHeight="1">
      <c r="A2219" s="755">
        <v>42886</v>
      </c>
      <c r="B2219" s="338" t="s">
        <v>4590</v>
      </c>
      <c r="C2219" s="744">
        <v>63421</v>
      </c>
      <c r="D2219" s="744" t="s">
        <v>6983</v>
      </c>
      <c r="E2219" s="744" t="s">
        <v>6986</v>
      </c>
      <c r="F2219" s="254">
        <v>1</v>
      </c>
      <c r="G2219" s="252">
        <v>70</v>
      </c>
      <c r="H2219" s="574">
        <f t="shared" si="170"/>
        <v>70</v>
      </c>
      <c r="I2219" s="975" t="s">
        <v>3315</v>
      </c>
      <c r="J2219" s="1022" t="s">
        <v>532</v>
      </c>
      <c r="K2219" s="256">
        <v>42898</v>
      </c>
      <c r="L2219" s="256"/>
      <c r="M2219" s="256">
        <v>42895</v>
      </c>
      <c r="N2219" s="264" t="s">
        <v>1999</v>
      </c>
      <c r="O2219" s="744"/>
      <c r="P2219" s="337"/>
      <c r="Q2219" s="630" t="s">
        <v>6987</v>
      </c>
      <c r="R2219" s="1415"/>
      <c r="S2219" s="1415"/>
      <c r="U2219" s="328"/>
      <c r="V2219" s="308" t="s">
        <v>2000</v>
      </c>
      <c r="W2219" s="747">
        <v>42932</v>
      </c>
      <c r="X2219" s="750">
        <v>42904</v>
      </c>
      <c r="Y2219" s="250" t="s">
        <v>6956</v>
      </c>
      <c r="Z2219" s="753" t="s">
        <v>6988</v>
      </c>
      <c r="AA2219" s="594">
        <v>42921</v>
      </c>
      <c r="AB2219" s="744" t="s">
        <v>6939</v>
      </c>
      <c r="AC2219" s="328"/>
      <c r="AD2219" s="328"/>
      <c r="AE2219" s="328"/>
      <c r="AF2219" s="328"/>
      <c r="AG2219" s="251" t="s">
        <v>283</v>
      </c>
    </row>
    <row r="2220" spans="1:33" ht="15.75" customHeight="1">
      <c r="A2220" s="755">
        <v>42886</v>
      </c>
      <c r="B2220" s="338" t="s">
        <v>4590</v>
      </c>
      <c r="C2220" s="744">
        <v>63421</v>
      </c>
      <c r="D2220" s="744" t="s">
        <v>6983</v>
      </c>
      <c r="E2220" s="744" t="s">
        <v>692</v>
      </c>
      <c r="F2220" s="305">
        <v>1</v>
      </c>
      <c r="G2220" s="252">
        <v>25</v>
      </c>
      <c r="H2220" s="574">
        <f t="shared" si="170"/>
        <v>25</v>
      </c>
      <c r="I2220" s="975" t="s">
        <v>3315</v>
      </c>
      <c r="J2220" s="1022" t="s">
        <v>532</v>
      </c>
      <c r="K2220" s="256">
        <v>42898</v>
      </c>
      <c r="L2220" s="256"/>
      <c r="M2220" s="256">
        <v>42895</v>
      </c>
      <c r="N2220" s="264"/>
      <c r="O2220" s="593"/>
      <c r="P2220" s="328"/>
      <c r="Q2220" s="328">
        <v>0</v>
      </c>
      <c r="R2220" s="1407"/>
      <c r="S2220" s="1407"/>
      <c r="U2220" s="328"/>
      <c r="V2220" s="318"/>
      <c r="W2220" s="328"/>
      <c r="X2220" s="328"/>
      <c r="Y2220" s="328"/>
      <c r="Z2220" s="328"/>
      <c r="AA2220" s="328"/>
      <c r="AB2220" s="744" t="s">
        <v>6939</v>
      </c>
      <c r="AC2220" s="328"/>
      <c r="AD2220" s="328"/>
      <c r="AE2220" s="328"/>
      <c r="AF2220" s="328"/>
      <c r="AG2220" s="251" t="s">
        <v>283</v>
      </c>
    </row>
    <row r="2221" spans="1:33" ht="15.75" customHeight="1">
      <c r="A2221" s="594">
        <v>42887</v>
      </c>
      <c r="B2221" s="590" t="s">
        <v>5981</v>
      </c>
      <c r="C2221" s="744">
        <v>7000130075</v>
      </c>
      <c r="D2221" s="250" t="s">
        <v>6989</v>
      </c>
      <c r="E2221" s="250" t="s">
        <v>3515</v>
      </c>
      <c r="F2221" s="1007">
        <v>2</v>
      </c>
      <c r="G2221" s="252">
        <v>46</v>
      </c>
      <c r="H2221" s="574">
        <f t="shared" si="170"/>
        <v>92</v>
      </c>
      <c r="I2221" s="264" t="s">
        <v>42</v>
      </c>
      <c r="J2221" s="401" t="s">
        <v>6092</v>
      </c>
      <c r="K2221" s="256">
        <v>42901</v>
      </c>
      <c r="L2221" s="256"/>
      <c r="M2221" s="256">
        <v>42898</v>
      </c>
      <c r="N2221" s="264" t="s">
        <v>3432</v>
      </c>
      <c r="O2221" s="308" t="s">
        <v>6990</v>
      </c>
      <c r="P2221" s="328"/>
      <c r="Q2221" s="572">
        <v>2684</v>
      </c>
      <c r="R2221" s="1413"/>
      <c r="S2221" s="1413"/>
      <c r="U2221" s="328"/>
      <c r="V2221" s="308" t="s">
        <v>2045</v>
      </c>
      <c r="W2221" s="789">
        <v>42978</v>
      </c>
      <c r="X2221" s="748">
        <v>42892</v>
      </c>
      <c r="Y2221" s="328" t="s">
        <v>6991</v>
      </c>
      <c r="Z2221" s="749">
        <v>2684</v>
      </c>
      <c r="AA2221" s="256">
        <v>42979</v>
      </c>
      <c r="AB2221" s="250" t="s">
        <v>6805</v>
      </c>
      <c r="AC2221" s="328"/>
      <c r="AD2221" s="328"/>
      <c r="AE2221" s="328"/>
      <c r="AF2221" s="328"/>
      <c r="AG2221" s="251" t="s">
        <v>283</v>
      </c>
    </row>
    <row r="2222" spans="1:33" ht="15.75" customHeight="1">
      <c r="A2222" s="594">
        <v>42887</v>
      </c>
      <c r="B2222" s="590" t="s">
        <v>5981</v>
      </c>
      <c r="C2222" s="744">
        <v>7000130075</v>
      </c>
      <c r="D2222" s="250" t="s">
        <v>6989</v>
      </c>
      <c r="E2222" s="250" t="s">
        <v>6992</v>
      </c>
      <c r="F2222" s="1007">
        <v>2</v>
      </c>
      <c r="G2222" s="252">
        <v>126</v>
      </c>
      <c r="H2222" s="574">
        <f t="shared" si="170"/>
        <v>252</v>
      </c>
      <c r="I2222" s="264" t="s">
        <v>42</v>
      </c>
      <c r="J2222" s="401" t="s">
        <v>6092</v>
      </c>
      <c r="K2222" s="256">
        <v>42901</v>
      </c>
      <c r="L2222" s="256"/>
      <c r="M2222" s="256">
        <v>42898</v>
      </c>
      <c r="N2222" s="264" t="s">
        <v>3432</v>
      </c>
      <c r="O2222" s="308" t="s">
        <v>6993</v>
      </c>
      <c r="P2222" s="328"/>
      <c r="Q2222" s="572">
        <v>7377</v>
      </c>
      <c r="R2222" s="1413"/>
      <c r="S2222" s="1413"/>
      <c r="U2222" s="328"/>
      <c r="V2222" s="308" t="s">
        <v>2045</v>
      </c>
      <c r="W2222" s="789">
        <v>42978</v>
      </c>
      <c r="X2222" s="748">
        <v>42892</v>
      </c>
      <c r="Y2222" s="328" t="s">
        <v>6994</v>
      </c>
      <c r="Z2222" s="749">
        <v>7377</v>
      </c>
      <c r="AA2222" s="256">
        <v>42979</v>
      </c>
      <c r="AB2222" s="250" t="s">
        <v>6805</v>
      </c>
      <c r="AC2222" s="328"/>
      <c r="AD2222" s="328"/>
      <c r="AE2222" s="328"/>
      <c r="AF2222" s="328"/>
      <c r="AG2222" s="251" t="s">
        <v>283</v>
      </c>
    </row>
    <row r="2223" spans="1:33" ht="15.75" customHeight="1">
      <c r="A2223" s="743">
        <v>42887</v>
      </c>
      <c r="B2223" s="386" t="s">
        <v>6626</v>
      </c>
      <c r="C2223" s="744">
        <v>1262017</v>
      </c>
      <c r="D2223" s="328" t="s">
        <v>6995</v>
      </c>
      <c r="E2223" s="328" t="s">
        <v>3723</v>
      </c>
      <c r="F2223" s="1007">
        <v>1</v>
      </c>
      <c r="G2223" s="336">
        <v>1053</v>
      </c>
      <c r="H2223" s="574">
        <f t="shared" si="170"/>
        <v>1053</v>
      </c>
      <c r="I2223" s="264" t="s">
        <v>3315</v>
      </c>
      <c r="J2223" s="267" t="s">
        <v>5189</v>
      </c>
      <c r="K2223" s="256">
        <v>42901</v>
      </c>
      <c r="L2223" s="256"/>
      <c r="M2223" s="256">
        <v>42898</v>
      </c>
      <c r="N2223" s="254" t="s">
        <v>89</v>
      </c>
      <c r="O2223" s="308" t="s">
        <v>6996</v>
      </c>
      <c r="P2223" s="574">
        <v>973.25</v>
      </c>
      <c r="Q2223" s="328"/>
      <c r="R2223" s="1407"/>
      <c r="S2223" s="1407"/>
      <c r="U2223" s="328"/>
      <c r="V2223" s="318" t="s">
        <v>5896</v>
      </c>
      <c r="W2223" s="328"/>
      <c r="X2223" s="748">
        <v>42898</v>
      </c>
      <c r="Y2223" s="328" t="s">
        <v>6997</v>
      </c>
      <c r="Z2223" s="749">
        <v>29227</v>
      </c>
      <c r="AA2223" s="594">
        <v>42893</v>
      </c>
      <c r="AB2223" s="250" t="s">
        <v>6998</v>
      </c>
      <c r="AC2223" s="251">
        <v>779406404719</v>
      </c>
      <c r="AD2223" s="328"/>
      <c r="AE2223" s="328"/>
      <c r="AF2223" s="328"/>
      <c r="AG2223" s="251" t="s">
        <v>283</v>
      </c>
    </row>
    <row r="2224" spans="1:33" ht="15.75" customHeight="1">
      <c r="A2224" s="743">
        <v>42887</v>
      </c>
      <c r="B2224" s="386" t="s">
        <v>6626</v>
      </c>
      <c r="C2224" s="744">
        <v>1262017</v>
      </c>
      <c r="D2224" s="328" t="s">
        <v>6995</v>
      </c>
      <c r="E2224" s="328" t="s">
        <v>692</v>
      </c>
      <c r="F2224" s="1007">
        <v>1</v>
      </c>
      <c r="G2224" s="252">
        <v>25</v>
      </c>
      <c r="H2224" s="574">
        <f t="shared" si="170"/>
        <v>25</v>
      </c>
      <c r="I2224" s="264" t="s">
        <v>3315</v>
      </c>
      <c r="J2224" s="267" t="s">
        <v>5189</v>
      </c>
      <c r="K2224" s="256">
        <v>42901</v>
      </c>
      <c r="L2224" s="256"/>
      <c r="M2224" s="256">
        <v>42898</v>
      </c>
      <c r="N2224" s="585"/>
      <c r="O2224" s="328"/>
      <c r="P2224" s="328"/>
      <c r="Q2224" s="328">
        <v>0</v>
      </c>
      <c r="R2224" s="1407"/>
      <c r="S2224" s="1407"/>
      <c r="U2224" s="328"/>
      <c r="V2224" s="386"/>
      <c r="W2224" s="328"/>
      <c r="X2224" s="328"/>
      <c r="Y2224" s="328"/>
      <c r="Z2224" s="328"/>
      <c r="AA2224" s="328"/>
      <c r="AB2224" s="250" t="s">
        <v>6998</v>
      </c>
      <c r="AC2224" s="251">
        <v>779406404719</v>
      </c>
      <c r="AD2224" s="328"/>
      <c r="AE2224" s="328"/>
      <c r="AF2224" s="328"/>
      <c r="AG2224" s="251" t="s">
        <v>283</v>
      </c>
    </row>
    <row r="2225" spans="1:33" ht="15.75" customHeight="1">
      <c r="A2225" s="743">
        <v>42887</v>
      </c>
      <c r="B2225" s="592" t="s">
        <v>5940</v>
      </c>
      <c r="C2225" s="328" t="s">
        <v>6999</v>
      </c>
      <c r="D2225" s="328" t="s">
        <v>7000</v>
      </c>
      <c r="E2225" s="328" t="s">
        <v>6661</v>
      </c>
      <c r="F2225" s="1007">
        <v>4</v>
      </c>
      <c r="G2225" s="252">
        <v>1239</v>
      </c>
      <c r="H2225" s="574">
        <f t="shared" si="170"/>
        <v>4956</v>
      </c>
      <c r="I2225" s="975" t="s">
        <v>3315</v>
      </c>
      <c r="J2225" s="331" t="s">
        <v>3571</v>
      </c>
      <c r="K2225" s="256">
        <v>42894</v>
      </c>
      <c r="L2225" s="256"/>
      <c r="M2225" s="256">
        <v>42894</v>
      </c>
      <c r="N2225" s="331" t="s">
        <v>2001</v>
      </c>
      <c r="O2225" s="308" t="s">
        <v>7001</v>
      </c>
      <c r="P2225" s="572">
        <v>4809</v>
      </c>
      <c r="Q2225" s="328"/>
      <c r="R2225" s="1407"/>
      <c r="S2225" s="1407"/>
      <c r="U2225" s="328"/>
      <c r="V2225" s="318" t="s">
        <v>2003</v>
      </c>
      <c r="W2225" s="789">
        <v>42952</v>
      </c>
      <c r="X2225" s="748">
        <v>42894</v>
      </c>
      <c r="Y2225" s="328" t="s">
        <v>7002</v>
      </c>
      <c r="Z2225" s="749">
        <v>179642</v>
      </c>
      <c r="AA2225" s="594">
        <v>42951</v>
      </c>
      <c r="AB2225" s="328" t="s">
        <v>7003</v>
      </c>
      <c r="AC2225" s="328"/>
      <c r="AD2225" s="328"/>
      <c r="AE2225" s="328"/>
      <c r="AF2225" s="328"/>
      <c r="AG2225" s="251" t="s">
        <v>283</v>
      </c>
    </row>
    <row r="2226" spans="1:33" ht="15.75" customHeight="1">
      <c r="A2226" s="743">
        <v>42887</v>
      </c>
      <c r="B2226" s="592" t="s">
        <v>5940</v>
      </c>
      <c r="C2226" s="328" t="s">
        <v>6999</v>
      </c>
      <c r="D2226" s="328" t="s">
        <v>7000</v>
      </c>
      <c r="E2226" s="328" t="s">
        <v>5943</v>
      </c>
      <c r="F2226" s="1007">
        <v>4</v>
      </c>
      <c r="G2226" s="252">
        <v>148</v>
      </c>
      <c r="H2226" s="574">
        <f t="shared" si="170"/>
        <v>592</v>
      </c>
      <c r="I2226" s="975" t="s">
        <v>3315</v>
      </c>
      <c r="J2226" s="756" t="s">
        <v>3571</v>
      </c>
      <c r="K2226" s="256">
        <v>42894</v>
      </c>
      <c r="L2226" s="256"/>
      <c r="M2226" s="256">
        <v>42894</v>
      </c>
      <c r="N2226" s="401" t="s">
        <v>2001</v>
      </c>
      <c r="O2226" s="308" t="s">
        <v>7001</v>
      </c>
      <c r="P2226" s="308">
        <v>579.6</v>
      </c>
      <c r="Q2226" s="328"/>
      <c r="R2226" s="1407"/>
      <c r="S2226" s="1407"/>
      <c r="U2226" s="328"/>
      <c r="V2226" s="318" t="s">
        <v>2003</v>
      </c>
      <c r="W2226" s="789">
        <v>42952</v>
      </c>
      <c r="X2226" s="748">
        <v>42894</v>
      </c>
      <c r="Y2226" s="328" t="s">
        <v>7002</v>
      </c>
      <c r="Z2226" s="328" t="s">
        <v>7004</v>
      </c>
      <c r="AA2226" s="594">
        <v>42951</v>
      </c>
      <c r="AB2226" s="328" t="s">
        <v>7003</v>
      </c>
      <c r="AC2226" s="328"/>
      <c r="AD2226" s="328"/>
      <c r="AE2226" s="328"/>
      <c r="AF2226" s="328"/>
      <c r="AG2226" s="251" t="s">
        <v>283</v>
      </c>
    </row>
    <row r="2227" spans="1:33" ht="15.75" customHeight="1">
      <c r="A2227" s="743">
        <v>42887</v>
      </c>
      <c r="B2227" s="592" t="s">
        <v>5940</v>
      </c>
      <c r="C2227" s="328" t="s">
        <v>6999</v>
      </c>
      <c r="D2227" s="328" t="s">
        <v>7000</v>
      </c>
      <c r="E2227" s="328" t="s">
        <v>5947</v>
      </c>
      <c r="F2227" s="305">
        <v>4</v>
      </c>
      <c r="G2227" s="252">
        <v>148</v>
      </c>
      <c r="H2227" s="574">
        <f t="shared" si="170"/>
        <v>592</v>
      </c>
      <c r="I2227" s="975" t="s">
        <v>3315</v>
      </c>
      <c r="J2227" s="756" t="s">
        <v>3571</v>
      </c>
      <c r="K2227" s="256">
        <v>42894</v>
      </c>
      <c r="L2227" s="256"/>
      <c r="M2227" s="256">
        <v>42894</v>
      </c>
      <c r="N2227" s="401" t="s">
        <v>2001</v>
      </c>
      <c r="O2227" s="308" t="s">
        <v>7001</v>
      </c>
      <c r="P2227" s="308">
        <v>579.6</v>
      </c>
      <c r="Q2227" s="328"/>
      <c r="R2227" s="1407"/>
      <c r="S2227" s="1407"/>
      <c r="U2227" s="328"/>
      <c r="V2227" s="318" t="s">
        <v>2003</v>
      </c>
      <c r="W2227" s="789">
        <v>42952</v>
      </c>
      <c r="X2227" s="748">
        <v>42894</v>
      </c>
      <c r="Y2227" s="328" t="s">
        <v>7002</v>
      </c>
      <c r="Z2227" s="328" t="s">
        <v>7004</v>
      </c>
      <c r="AA2227" s="594">
        <v>42951</v>
      </c>
      <c r="AB2227" s="328" t="s">
        <v>7003</v>
      </c>
      <c r="AC2227" s="328"/>
      <c r="AD2227" s="328"/>
      <c r="AE2227" s="328"/>
      <c r="AF2227" s="328"/>
      <c r="AG2227" s="251" t="s">
        <v>283</v>
      </c>
    </row>
    <row r="2228" spans="1:33" ht="15.75" customHeight="1">
      <c r="A2228" s="1038">
        <v>42891</v>
      </c>
      <c r="B2228" s="592" t="s">
        <v>7005</v>
      </c>
      <c r="C2228" s="597"/>
      <c r="D2228" s="595" t="s">
        <v>7006</v>
      </c>
      <c r="E2228" s="595" t="s">
        <v>7007</v>
      </c>
      <c r="F2228" s="305">
        <v>1</v>
      </c>
      <c r="G2228" s="323">
        <v>510</v>
      </c>
      <c r="H2228" s="265">
        <v>510</v>
      </c>
      <c r="I2228" s="264" t="s">
        <v>3315</v>
      </c>
      <c r="J2228" s="367"/>
      <c r="K2228" s="256">
        <v>42912</v>
      </c>
      <c r="L2228" s="256"/>
      <c r="M2228" s="256">
        <v>42909</v>
      </c>
      <c r="N2228" s="367"/>
      <c r="O2228" s="597" t="s">
        <v>7008</v>
      </c>
      <c r="P2228" s="597"/>
      <c r="Q2228" s="597"/>
      <c r="R2228" s="1446"/>
      <c r="S2228" s="1446"/>
      <c r="U2228" s="597"/>
      <c r="V2228" s="592"/>
      <c r="W2228" s="597"/>
      <c r="X2228" s="250"/>
      <c r="Y2228" s="250"/>
      <c r="Z2228" s="250"/>
      <c r="AA2228" s="597"/>
      <c r="AB2228" s="597" t="s">
        <v>7009</v>
      </c>
      <c r="AC2228" s="597"/>
      <c r="AD2228" s="597">
        <v>30.3</v>
      </c>
      <c r="AE2228" s="260">
        <v>16226</v>
      </c>
      <c r="AF2228" s="597" t="s">
        <v>7010</v>
      </c>
      <c r="AG2228" s="597"/>
    </row>
    <row r="2229" spans="1:33" ht="15.75" customHeight="1">
      <c r="A2229" s="743">
        <v>42891</v>
      </c>
      <c r="B2229" s="386" t="s">
        <v>1717</v>
      </c>
      <c r="C2229" s="744" t="s">
        <v>7011</v>
      </c>
      <c r="D2229" s="744" t="s">
        <v>7012</v>
      </c>
      <c r="E2229" s="744" t="s">
        <v>6178</v>
      </c>
      <c r="F2229" s="305">
        <v>10</v>
      </c>
      <c r="G2229" s="323">
        <f>75+29+5</f>
        <v>109</v>
      </c>
      <c r="H2229" s="574">
        <f t="shared" ref="H2229:H2483" si="171">G2229*F2229</f>
        <v>1090</v>
      </c>
      <c r="I2229" s="997" t="s">
        <v>3315</v>
      </c>
      <c r="J2229" s="251" t="s">
        <v>6168</v>
      </c>
      <c r="K2229" s="256">
        <v>42905</v>
      </c>
      <c r="L2229" s="256"/>
      <c r="M2229" s="256">
        <v>42902</v>
      </c>
      <c r="N2229" s="251" t="s">
        <v>7013</v>
      </c>
      <c r="O2229" s="250" t="s">
        <v>7014</v>
      </c>
      <c r="P2229" s="328"/>
      <c r="Q2229" s="328"/>
      <c r="R2229" s="1407"/>
      <c r="S2229" s="1407"/>
      <c r="U2229" s="328"/>
      <c r="V2229" s="386"/>
      <c r="W2229" s="328"/>
      <c r="X2229" s="250" t="s">
        <v>7014</v>
      </c>
      <c r="Y2229" s="328"/>
      <c r="Z2229" s="328"/>
      <c r="AA2229" s="328"/>
      <c r="AB2229" s="308" t="s">
        <v>7015</v>
      </c>
      <c r="AC2229" s="251">
        <v>477855925</v>
      </c>
      <c r="AD2229" s="328"/>
      <c r="AE2229" s="328"/>
      <c r="AF2229" s="328"/>
      <c r="AG2229" s="251" t="s">
        <v>283</v>
      </c>
    </row>
    <row r="2230" spans="1:33" ht="15.75" customHeight="1">
      <c r="A2230" s="743">
        <v>42891</v>
      </c>
      <c r="B2230" s="386" t="s">
        <v>1717</v>
      </c>
      <c r="C2230" s="744" t="s">
        <v>7011</v>
      </c>
      <c r="D2230" s="744" t="s">
        <v>7012</v>
      </c>
      <c r="E2230" s="744" t="s">
        <v>5260</v>
      </c>
      <c r="F2230" s="305">
        <v>10</v>
      </c>
      <c r="G2230" s="323">
        <v>13</v>
      </c>
      <c r="H2230" s="574">
        <f t="shared" si="171"/>
        <v>130</v>
      </c>
      <c r="I2230" s="997" t="s">
        <v>3315</v>
      </c>
      <c r="J2230" s="251" t="s">
        <v>6168</v>
      </c>
      <c r="K2230" s="256">
        <v>42905</v>
      </c>
      <c r="L2230" s="256"/>
      <c r="M2230" s="256">
        <v>42902</v>
      </c>
      <c r="N2230" s="251" t="s">
        <v>6112</v>
      </c>
      <c r="O2230" s="250" t="s">
        <v>7014</v>
      </c>
      <c r="P2230" s="328"/>
      <c r="Q2230" s="328"/>
      <c r="R2230" s="1407"/>
      <c r="S2230" s="1407"/>
      <c r="U2230" s="328"/>
      <c r="V2230" s="386"/>
      <c r="W2230" s="328"/>
      <c r="X2230" s="250" t="s">
        <v>7014</v>
      </c>
      <c r="Y2230" s="328"/>
      <c r="Z2230" s="328"/>
      <c r="AA2230" s="328"/>
      <c r="AB2230" s="308" t="s">
        <v>7015</v>
      </c>
      <c r="AC2230" s="251">
        <v>477855925</v>
      </c>
      <c r="AD2230" s="328"/>
      <c r="AE2230" s="328"/>
      <c r="AF2230" s="328"/>
      <c r="AG2230" s="251" t="s">
        <v>283</v>
      </c>
    </row>
    <row r="2231" spans="1:33" ht="15.75" customHeight="1">
      <c r="A2231" s="743">
        <v>42891</v>
      </c>
      <c r="B2231" s="386" t="s">
        <v>1717</v>
      </c>
      <c r="C2231" s="744" t="s">
        <v>7011</v>
      </c>
      <c r="D2231" s="744" t="s">
        <v>7012</v>
      </c>
      <c r="E2231" s="744" t="s">
        <v>6177</v>
      </c>
      <c r="F2231" s="305">
        <v>10</v>
      </c>
      <c r="G2231" s="323">
        <v>75</v>
      </c>
      <c r="H2231" s="574">
        <f t="shared" si="171"/>
        <v>750</v>
      </c>
      <c r="I2231" s="997" t="s">
        <v>3315</v>
      </c>
      <c r="J2231" s="1022" t="s">
        <v>7016</v>
      </c>
      <c r="K2231" s="256">
        <v>42905</v>
      </c>
      <c r="L2231" s="256"/>
      <c r="M2231" s="256">
        <v>42895</v>
      </c>
      <c r="N2231" s="251" t="s">
        <v>2091</v>
      </c>
      <c r="O2231" s="250" t="s">
        <v>7014</v>
      </c>
      <c r="P2231" s="328"/>
      <c r="Q2231" s="328"/>
      <c r="R2231" s="1407"/>
      <c r="S2231" s="1407"/>
      <c r="U2231" s="328"/>
      <c r="V2231" s="386"/>
      <c r="W2231" s="328"/>
      <c r="X2231" s="250" t="s">
        <v>7014</v>
      </c>
      <c r="Y2231" s="328"/>
      <c r="Z2231" s="328"/>
      <c r="AA2231" s="328"/>
      <c r="AB2231" s="308" t="s">
        <v>7015</v>
      </c>
      <c r="AC2231" s="251">
        <v>477855925</v>
      </c>
      <c r="AD2231" s="328"/>
      <c r="AE2231" s="328"/>
      <c r="AF2231" s="328"/>
      <c r="AG2231" s="251" t="s">
        <v>283</v>
      </c>
    </row>
    <row r="2232" spans="1:33" ht="15.75" customHeight="1">
      <c r="A2232" s="1038">
        <v>42892</v>
      </c>
      <c r="B2232" s="592" t="s">
        <v>3479</v>
      </c>
      <c r="C2232" s="328"/>
      <c r="D2232" s="328" t="s">
        <v>7017</v>
      </c>
      <c r="E2232" s="328" t="s">
        <v>7018</v>
      </c>
      <c r="F2232" s="305">
        <v>14</v>
      </c>
      <c r="G2232" s="336">
        <v>155</v>
      </c>
      <c r="H2232" s="308">
        <f t="shared" si="171"/>
        <v>2170</v>
      </c>
      <c r="I2232" s="997" t="s">
        <v>3315</v>
      </c>
      <c r="J2232" s="1022" t="s">
        <v>262</v>
      </c>
      <c r="K2232" s="256">
        <v>42902</v>
      </c>
      <c r="L2232" s="256"/>
      <c r="M2232" s="256">
        <v>42900</v>
      </c>
      <c r="N2232" s="251" t="s">
        <v>89</v>
      </c>
      <c r="O2232" s="308" t="s">
        <v>7019</v>
      </c>
      <c r="P2232" s="308">
        <v>2054.33</v>
      </c>
      <c r="Q2232" s="328"/>
      <c r="R2232" s="1407"/>
      <c r="S2232" s="1407"/>
      <c r="U2232" s="328"/>
      <c r="V2232" s="318" t="s">
        <v>5896</v>
      </c>
      <c r="W2232" s="328"/>
      <c r="X2232" s="748">
        <v>42900</v>
      </c>
      <c r="Y2232" s="328" t="s">
        <v>7020</v>
      </c>
      <c r="Z2232" s="749">
        <v>61692</v>
      </c>
      <c r="AA2232" s="594">
        <v>42899</v>
      </c>
      <c r="AB2232" s="308" t="s">
        <v>7021</v>
      </c>
      <c r="AC2232" s="328"/>
      <c r="AD2232" s="328"/>
      <c r="AE2232" s="328"/>
      <c r="AF2232" s="328"/>
      <c r="AG2232" s="251" t="s">
        <v>283</v>
      </c>
    </row>
    <row r="2233" spans="1:33" ht="15.75" customHeight="1">
      <c r="A2233" s="1038">
        <v>42893</v>
      </c>
      <c r="B2233" s="386" t="s">
        <v>377</v>
      </c>
      <c r="C2233" s="744">
        <v>8063</v>
      </c>
      <c r="D2233" s="328" t="s">
        <v>7022</v>
      </c>
      <c r="E2233" s="328" t="s">
        <v>379</v>
      </c>
      <c r="F2233" s="305">
        <v>27</v>
      </c>
      <c r="G2233" s="336">
        <v>62</v>
      </c>
      <c r="H2233" s="572">
        <f t="shared" si="171"/>
        <v>1674</v>
      </c>
      <c r="I2233" s="975" t="s">
        <v>3315</v>
      </c>
      <c r="J2233" s="361" t="s">
        <v>6817</v>
      </c>
      <c r="K2233" s="256">
        <v>42936</v>
      </c>
      <c r="L2233" s="256"/>
      <c r="M2233" s="256">
        <v>42935</v>
      </c>
      <c r="N2233" s="254" t="s">
        <v>2021</v>
      </c>
      <c r="O2233" s="308" t="s">
        <v>7023</v>
      </c>
      <c r="P2233" s="328"/>
      <c r="Q2233" s="572">
        <v>40427</v>
      </c>
      <c r="R2233" s="1413"/>
      <c r="S2233" s="1413"/>
      <c r="U2233" s="328"/>
      <c r="V2233" s="263" t="s">
        <v>2023</v>
      </c>
      <c r="W2233" s="789">
        <v>42928</v>
      </c>
      <c r="X2233" s="748">
        <v>42935</v>
      </c>
      <c r="Y2233" s="328" t="s">
        <v>7024</v>
      </c>
      <c r="Z2233" s="749">
        <v>40427</v>
      </c>
      <c r="AA2233" s="594">
        <v>42935</v>
      </c>
      <c r="AB2233" s="308" t="s">
        <v>7025</v>
      </c>
      <c r="AC2233" s="597" t="s">
        <v>7026</v>
      </c>
      <c r="AD2233" s="328"/>
      <c r="AE2233" s="328"/>
      <c r="AF2233" s="328"/>
      <c r="AG2233" s="251" t="s">
        <v>283</v>
      </c>
    </row>
    <row r="2234" spans="1:33" ht="15.75" customHeight="1">
      <c r="A2234" s="1038">
        <v>42893</v>
      </c>
      <c r="B2234" s="386" t="s">
        <v>377</v>
      </c>
      <c r="C2234" s="744">
        <v>8063</v>
      </c>
      <c r="D2234" s="328" t="s">
        <v>7027</v>
      </c>
      <c r="E2234" s="328" t="s">
        <v>379</v>
      </c>
      <c r="F2234" s="305">
        <v>40</v>
      </c>
      <c r="G2234" s="336">
        <v>62</v>
      </c>
      <c r="H2234" s="572">
        <f t="shared" si="171"/>
        <v>2480</v>
      </c>
      <c r="I2234" s="975" t="s">
        <v>3315</v>
      </c>
      <c r="J2234" s="361" t="s">
        <v>6817</v>
      </c>
      <c r="K2234" s="256">
        <v>42922</v>
      </c>
      <c r="L2234" s="256"/>
      <c r="M2234" s="256">
        <v>42922</v>
      </c>
      <c r="N2234" s="254" t="s">
        <v>2021</v>
      </c>
      <c r="O2234" s="598" t="s">
        <v>7023</v>
      </c>
      <c r="P2234" s="328"/>
      <c r="Q2234" s="572">
        <v>59892</v>
      </c>
      <c r="R2234" s="1413"/>
      <c r="S2234" s="1413"/>
      <c r="U2234" s="328"/>
      <c r="V2234" s="263" t="s">
        <v>2023</v>
      </c>
      <c r="W2234" s="747">
        <v>42921</v>
      </c>
      <c r="X2234" s="748">
        <v>42921</v>
      </c>
      <c r="Y2234" s="328" t="s">
        <v>7028</v>
      </c>
      <c r="Z2234" s="749">
        <v>59892</v>
      </c>
      <c r="AA2234" s="256">
        <v>42921</v>
      </c>
      <c r="AB2234" s="308" t="s">
        <v>7029</v>
      </c>
      <c r="AC2234" s="597" t="s">
        <v>7030</v>
      </c>
      <c r="AD2234" s="328"/>
      <c r="AE2234" s="328"/>
      <c r="AF2234" s="328"/>
      <c r="AG2234" s="251" t="s">
        <v>283</v>
      </c>
    </row>
    <row r="2235" spans="1:33" ht="15.75" customHeight="1">
      <c r="A2235" s="755">
        <v>42894</v>
      </c>
      <c r="B2235" s="386" t="s">
        <v>463</v>
      </c>
      <c r="C2235" s="970">
        <v>500775</v>
      </c>
      <c r="D2235" s="386" t="s">
        <v>7031</v>
      </c>
      <c r="E2235" s="386" t="s">
        <v>7032</v>
      </c>
      <c r="F2235" s="254">
        <v>1</v>
      </c>
      <c r="G2235" s="323">
        <v>1290</v>
      </c>
      <c r="H2235" s="574">
        <f t="shared" si="171"/>
        <v>1290</v>
      </c>
      <c r="I2235" s="975" t="s">
        <v>3315</v>
      </c>
      <c r="J2235" s="251" t="s">
        <v>7033</v>
      </c>
      <c r="K2235" s="256">
        <v>42957</v>
      </c>
      <c r="L2235" s="256"/>
      <c r="M2235" s="256">
        <v>42947</v>
      </c>
      <c r="N2235" s="585" t="s">
        <v>6112</v>
      </c>
      <c r="O2235" s="328" t="s">
        <v>7034</v>
      </c>
      <c r="P2235" s="328"/>
      <c r="Q2235" s="328"/>
      <c r="R2235" s="1407"/>
      <c r="S2235" s="1407"/>
      <c r="U2235" s="328"/>
      <c r="V2235" s="386"/>
      <c r="W2235" s="328"/>
      <c r="X2235" s="328"/>
      <c r="Y2235" s="328"/>
      <c r="Z2235" s="328"/>
      <c r="AA2235" s="328"/>
      <c r="AB2235" s="308" t="s">
        <v>7035</v>
      </c>
      <c r="AC2235" s="251">
        <v>805576332</v>
      </c>
      <c r="AD2235" s="328"/>
      <c r="AE2235" s="328"/>
      <c r="AF2235" s="328"/>
      <c r="AG2235" s="251" t="s">
        <v>283</v>
      </c>
    </row>
    <row r="2236" spans="1:33" ht="15.75" customHeight="1">
      <c r="A2236" s="755">
        <v>42894</v>
      </c>
      <c r="B2236" s="386" t="s">
        <v>463</v>
      </c>
      <c r="C2236" s="744">
        <v>500775</v>
      </c>
      <c r="D2236" s="328" t="s">
        <v>7031</v>
      </c>
      <c r="E2236" s="328" t="s">
        <v>1926</v>
      </c>
      <c r="F2236" s="254">
        <v>1</v>
      </c>
      <c r="G2236" s="323">
        <v>356</v>
      </c>
      <c r="H2236" s="574">
        <f t="shared" si="171"/>
        <v>356</v>
      </c>
      <c r="I2236" s="975" t="s">
        <v>3315</v>
      </c>
      <c r="J2236" s="1022" t="s">
        <v>7033</v>
      </c>
      <c r="K2236" s="256">
        <v>42957</v>
      </c>
      <c r="L2236" s="256"/>
      <c r="M2236" s="256">
        <v>42947</v>
      </c>
      <c r="N2236" s="367" t="s">
        <v>6179</v>
      </c>
      <c r="O2236" s="308" t="s">
        <v>7036</v>
      </c>
      <c r="P2236" s="328"/>
      <c r="Q2236" s="328"/>
      <c r="R2236" s="1407"/>
      <c r="S2236" s="1407"/>
      <c r="U2236" s="328"/>
      <c r="V2236" s="386"/>
      <c r="W2236" s="328"/>
      <c r="X2236" s="328"/>
      <c r="Y2236" s="328"/>
      <c r="Z2236" s="328"/>
      <c r="AA2236" s="328"/>
      <c r="AB2236" s="308" t="s">
        <v>7035</v>
      </c>
      <c r="AC2236" s="251">
        <v>805576332</v>
      </c>
      <c r="AD2236" s="328"/>
      <c r="AE2236" s="328"/>
      <c r="AF2236" s="328"/>
      <c r="AG2236" s="251" t="s">
        <v>283</v>
      </c>
    </row>
    <row r="2237" spans="1:33" ht="15.75" customHeight="1">
      <c r="A2237" s="755">
        <v>42894</v>
      </c>
      <c r="B2237" s="386" t="s">
        <v>463</v>
      </c>
      <c r="C2237" s="744">
        <v>500775</v>
      </c>
      <c r="D2237" s="328" t="s">
        <v>7031</v>
      </c>
      <c r="E2237" s="328" t="s">
        <v>7037</v>
      </c>
      <c r="F2237" s="254">
        <v>1</v>
      </c>
      <c r="G2237" s="323">
        <v>123</v>
      </c>
      <c r="H2237" s="574">
        <f t="shared" si="171"/>
        <v>123</v>
      </c>
      <c r="I2237" s="975" t="s">
        <v>3315</v>
      </c>
      <c r="J2237" s="1022" t="s">
        <v>7033</v>
      </c>
      <c r="K2237" s="256">
        <v>42957</v>
      </c>
      <c r="L2237" s="256"/>
      <c r="M2237" s="256">
        <v>42947</v>
      </c>
      <c r="N2237" s="401" t="s">
        <v>7038</v>
      </c>
      <c r="O2237" s="308" t="s">
        <v>7039</v>
      </c>
      <c r="P2237" s="328"/>
      <c r="Q2237" s="328"/>
      <c r="R2237" s="1407"/>
      <c r="S2237" s="1407"/>
      <c r="U2237" s="328"/>
      <c r="V2237" s="386"/>
      <c r="W2237" s="328"/>
      <c r="X2237" s="328"/>
      <c r="Y2237" s="328"/>
      <c r="Z2237" s="328"/>
      <c r="AA2237" s="328"/>
      <c r="AB2237" s="308" t="s">
        <v>7035</v>
      </c>
      <c r="AC2237" s="251">
        <v>805576332</v>
      </c>
      <c r="AD2237" s="328"/>
      <c r="AE2237" s="328"/>
      <c r="AF2237" s="328"/>
      <c r="AG2237" s="251" t="s">
        <v>283</v>
      </c>
    </row>
    <row r="2238" spans="1:33" ht="15.75" customHeight="1">
      <c r="A2238" s="755">
        <v>42894</v>
      </c>
      <c r="B2238" s="386" t="s">
        <v>463</v>
      </c>
      <c r="C2238" s="744">
        <v>500775</v>
      </c>
      <c r="D2238" s="328" t="s">
        <v>7031</v>
      </c>
      <c r="E2238" s="328" t="s">
        <v>7040</v>
      </c>
      <c r="F2238" s="254">
        <v>1</v>
      </c>
      <c r="G2238" s="323">
        <v>62</v>
      </c>
      <c r="H2238" s="574">
        <f t="shared" si="171"/>
        <v>62</v>
      </c>
      <c r="I2238" s="975" t="s">
        <v>3315</v>
      </c>
      <c r="J2238" s="1022" t="s">
        <v>7033</v>
      </c>
      <c r="K2238" s="256">
        <v>42957</v>
      </c>
      <c r="L2238" s="256"/>
      <c r="M2238" s="256">
        <v>42947</v>
      </c>
      <c r="N2238" s="1039" t="s">
        <v>7038</v>
      </c>
      <c r="O2238" s="643" t="s">
        <v>7041</v>
      </c>
      <c r="P2238" s="328"/>
      <c r="Q2238" s="328"/>
      <c r="R2238" s="1407"/>
      <c r="S2238" s="1407"/>
      <c r="U2238" s="328"/>
      <c r="V2238" s="386"/>
      <c r="W2238" s="328"/>
      <c r="X2238" s="328"/>
      <c r="Y2238" s="328"/>
      <c r="Z2238" s="328"/>
      <c r="AA2238" s="328"/>
      <c r="AB2238" s="308" t="s">
        <v>7035</v>
      </c>
      <c r="AC2238" s="251">
        <v>805576332</v>
      </c>
      <c r="AD2238" s="328"/>
      <c r="AE2238" s="328"/>
      <c r="AF2238" s="328"/>
      <c r="AG2238" s="251" t="s">
        <v>283</v>
      </c>
    </row>
    <row r="2239" spans="1:33" ht="15.75" customHeight="1">
      <c r="A2239" s="755">
        <v>42894</v>
      </c>
      <c r="B2239" s="386" t="s">
        <v>463</v>
      </c>
      <c r="C2239" s="744">
        <v>500775</v>
      </c>
      <c r="D2239" s="328" t="s">
        <v>7042</v>
      </c>
      <c r="E2239" s="328" t="s">
        <v>7043</v>
      </c>
      <c r="F2239" s="254">
        <v>1</v>
      </c>
      <c r="G2239" s="323">
        <v>170</v>
      </c>
      <c r="H2239" s="574">
        <f t="shared" si="171"/>
        <v>170</v>
      </c>
      <c r="I2239" s="975" t="s">
        <v>3315</v>
      </c>
      <c r="J2239" s="1022" t="s">
        <v>7033</v>
      </c>
      <c r="K2239" s="256">
        <v>42957</v>
      </c>
      <c r="L2239" s="256"/>
      <c r="M2239" s="256">
        <v>42947</v>
      </c>
      <c r="N2239" s="1040" t="s">
        <v>2091</v>
      </c>
      <c r="O2239" s="643" t="s">
        <v>7044</v>
      </c>
      <c r="P2239" s="328"/>
      <c r="Q2239" s="328"/>
      <c r="R2239" s="1407"/>
      <c r="S2239" s="1407"/>
      <c r="U2239" s="328"/>
      <c r="V2239" s="386"/>
      <c r="W2239" s="328"/>
      <c r="X2239" s="328"/>
      <c r="Y2239" s="328"/>
      <c r="Z2239" s="328"/>
      <c r="AA2239" s="328"/>
      <c r="AB2239" s="308" t="s">
        <v>7035</v>
      </c>
      <c r="AC2239" s="251">
        <v>805576332</v>
      </c>
      <c r="AD2239" s="328"/>
      <c r="AE2239" s="328"/>
      <c r="AF2239" s="328"/>
      <c r="AG2239" s="251" t="s">
        <v>283</v>
      </c>
    </row>
    <row r="2240" spans="1:33" ht="15.75" customHeight="1">
      <c r="A2240" s="755">
        <v>42894</v>
      </c>
      <c r="B2240" s="386" t="s">
        <v>463</v>
      </c>
      <c r="C2240" s="744">
        <v>500775</v>
      </c>
      <c r="D2240" s="328" t="s">
        <v>7045</v>
      </c>
      <c r="E2240" s="328" t="s">
        <v>7046</v>
      </c>
      <c r="F2240" s="254">
        <v>1</v>
      </c>
      <c r="G2240" s="323">
        <v>150</v>
      </c>
      <c r="H2240" s="574">
        <f t="shared" si="171"/>
        <v>150</v>
      </c>
      <c r="I2240" s="975" t="s">
        <v>3315</v>
      </c>
      <c r="J2240" s="1022" t="s">
        <v>7033</v>
      </c>
      <c r="K2240" s="256">
        <v>42957</v>
      </c>
      <c r="L2240" s="256"/>
      <c r="M2240" s="256">
        <v>42947</v>
      </c>
      <c r="N2240" s="251" t="s">
        <v>2021</v>
      </c>
      <c r="O2240" s="1041" t="s">
        <v>7047</v>
      </c>
      <c r="P2240" s="328"/>
      <c r="Q2240" s="328"/>
      <c r="R2240" s="1407"/>
      <c r="S2240" s="1407"/>
      <c r="U2240" s="328"/>
      <c r="V2240" s="250" t="s">
        <v>2023</v>
      </c>
      <c r="W2240" s="337"/>
      <c r="X2240" s="328"/>
      <c r="Y2240" s="328"/>
      <c r="Z2240" s="328"/>
      <c r="AA2240" s="328"/>
      <c r="AB2240" s="308" t="s">
        <v>7035</v>
      </c>
      <c r="AC2240" s="251">
        <v>805576332</v>
      </c>
      <c r="AD2240" s="328"/>
      <c r="AE2240" s="328"/>
      <c r="AF2240" s="328"/>
      <c r="AG2240" s="251" t="s">
        <v>283</v>
      </c>
    </row>
    <row r="2241" spans="1:33" ht="15.75" customHeight="1">
      <c r="A2241" s="755">
        <v>42894</v>
      </c>
      <c r="B2241" s="338" t="s">
        <v>76</v>
      </c>
      <c r="C2241" s="250">
        <v>492</v>
      </c>
      <c r="D2241" s="308" t="s">
        <v>7048</v>
      </c>
      <c r="E2241" s="308" t="s">
        <v>712</v>
      </c>
      <c r="F2241" s="254">
        <v>50</v>
      </c>
      <c r="G2241" s="464">
        <v>1.9</v>
      </c>
      <c r="H2241" s="574">
        <f t="shared" si="171"/>
        <v>95</v>
      </c>
      <c r="I2241" s="264" t="s">
        <v>42</v>
      </c>
      <c r="J2241" s="361" t="s">
        <v>315</v>
      </c>
      <c r="K2241" s="256">
        <v>42919</v>
      </c>
      <c r="L2241" s="256"/>
      <c r="M2241" s="256">
        <v>42919</v>
      </c>
      <c r="N2241" s="401" t="s">
        <v>3608</v>
      </c>
      <c r="O2241" s="308" t="s">
        <v>7049</v>
      </c>
      <c r="P2241" s="328"/>
      <c r="Q2241" s="328"/>
      <c r="R2241" s="1407"/>
      <c r="S2241" s="1407"/>
      <c r="U2241" s="328"/>
      <c r="V2241" s="386"/>
      <c r="W2241" s="328"/>
      <c r="X2241" s="328"/>
      <c r="Y2241" s="328"/>
      <c r="Z2241" s="328"/>
      <c r="AA2241" s="328"/>
      <c r="AB2241" s="308" t="s">
        <v>6978</v>
      </c>
      <c r="AC2241" s="367" t="s">
        <v>6979</v>
      </c>
      <c r="AD2241" s="328"/>
      <c r="AE2241" s="328"/>
      <c r="AF2241" s="328"/>
      <c r="AG2241" s="251" t="s">
        <v>283</v>
      </c>
    </row>
    <row r="2242" spans="1:33" ht="15.75" customHeight="1">
      <c r="A2242" s="755">
        <v>42896</v>
      </c>
      <c r="B2242" s="386" t="s">
        <v>3709</v>
      </c>
      <c r="C2242" s="328" t="s">
        <v>7050</v>
      </c>
      <c r="D2242" s="328" t="s">
        <v>7051</v>
      </c>
      <c r="E2242" s="328" t="s">
        <v>7052</v>
      </c>
      <c r="F2242" s="585">
        <v>17</v>
      </c>
      <c r="G2242" s="772">
        <v>92</v>
      </c>
      <c r="H2242" s="574">
        <f t="shared" si="171"/>
        <v>1564</v>
      </c>
      <c r="I2242" s="264" t="s">
        <v>3712</v>
      </c>
      <c r="J2242" s="361" t="s">
        <v>6020</v>
      </c>
      <c r="K2242" s="256">
        <v>42908</v>
      </c>
      <c r="L2242" s="256"/>
      <c r="M2242" s="256">
        <v>42905</v>
      </c>
      <c r="N2242" s="251" t="s">
        <v>89</v>
      </c>
      <c r="O2242" s="308" t="s">
        <v>7053</v>
      </c>
      <c r="P2242" s="308">
        <v>1392.3</v>
      </c>
      <c r="Q2242" s="328"/>
      <c r="R2242" s="1407"/>
      <c r="S2242" s="1407"/>
      <c r="U2242" s="328"/>
      <c r="V2242" s="318" t="s">
        <v>5896</v>
      </c>
      <c r="W2242" s="328"/>
      <c r="X2242" s="748">
        <v>42905</v>
      </c>
      <c r="Y2242" s="744" t="s">
        <v>7054</v>
      </c>
      <c r="Z2242" s="749">
        <v>45689</v>
      </c>
      <c r="AA2242" s="594">
        <v>42901</v>
      </c>
      <c r="AB2242" s="308" t="s">
        <v>7055</v>
      </c>
      <c r="AC2242" s="328"/>
      <c r="AD2242" s="328"/>
      <c r="AE2242" s="328"/>
      <c r="AF2242" s="328"/>
      <c r="AG2242" s="251" t="s">
        <v>283</v>
      </c>
    </row>
    <row r="2243" spans="1:33" ht="15.75" customHeight="1">
      <c r="A2243" s="755">
        <v>42896</v>
      </c>
      <c r="B2243" s="386" t="s">
        <v>3709</v>
      </c>
      <c r="C2243" s="328" t="s">
        <v>7050</v>
      </c>
      <c r="D2243" s="328" t="s">
        <v>7051</v>
      </c>
      <c r="E2243" s="328" t="s">
        <v>4644</v>
      </c>
      <c r="F2243" s="585">
        <v>15</v>
      </c>
      <c r="G2243" s="772">
        <v>4</v>
      </c>
      <c r="H2243" s="574">
        <f t="shared" si="171"/>
        <v>60</v>
      </c>
      <c r="I2243" s="264" t="s">
        <v>3712</v>
      </c>
      <c r="J2243" s="361" t="s">
        <v>6020</v>
      </c>
      <c r="K2243" s="256">
        <v>42908</v>
      </c>
      <c r="L2243" s="256"/>
      <c r="M2243" s="256">
        <v>42905</v>
      </c>
      <c r="N2243" s="251" t="s">
        <v>89</v>
      </c>
      <c r="O2243" s="308" t="s">
        <v>7053</v>
      </c>
      <c r="P2243" s="308">
        <v>47.25</v>
      </c>
      <c r="Q2243" s="328"/>
      <c r="R2243" s="1407"/>
      <c r="S2243" s="1407"/>
      <c r="U2243" s="328"/>
      <c r="V2243" s="318" t="s">
        <v>5896</v>
      </c>
      <c r="W2243" s="328"/>
      <c r="X2243" s="748">
        <v>42905</v>
      </c>
      <c r="Y2243" s="744" t="s">
        <v>7054</v>
      </c>
      <c r="Z2243" s="744" t="s">
        <v>7056</v>
      </c>
      <c r="AA2243" s="594">
        <v>42901</v>
      </c>
      <c r="AB2243" s="308" t="s">
        <v>7055</v>
      </c>
      <c r="AC2243" s="328"/>
      <c r="AD2243" s="328"/>
      <c r="AE2243" s="328"/>
      <c r="AF2243" s="328"/>
      <c r="AG2243" s="251" t="s">
        <v>283</v>
      </c>
    </row>
    <row r="2244" spans="1:33" ht="15.75" customHeight="1">
      <c r="A2244" s="755">
        <v>42896</v>
      </c>
      <c r="B2244" s="386" t="s">
        <v>3709</v>
      </c>
      <c r="C2244" s="328" t="s">
        <v>7050</v>
      </c>
      <c r="D2244" s="328" t="s">
        <v>7051</v>
      </c>
      <c r="E2244" s="328" t="s">
        <v>7057</v>
      </c>
      <c r="F2244" s="585">
        <v>15</v>
      </c>
      <c r="G2244" s="772">
        <v>6.5</v>
      </c>
      <c r="H2244" s="574">
        <f t="shared" si="171"/>
        <v>97.5</v>
      </c>
      <c r="I2244" s="264" t="s">
        <v>3712</v>
      </c>
      <c r="J2244" s="361" t="s">
        <v>6020</v>
      </c>
      <c r="K2244" s="256">
        <v>42908</v>
      </c>
      <c r="L2244" s="256"/>
      <c r="M2244" s="256">
        <v>42905</v>
      </c>
      <c r="N2244" s="251" t="s">
        <v>89</v>
      </c>
      <c r="O2244" s="308" t="s">
        <v>7053</v>
      </c>
      <c r="P2244" s="308">
        <v>81.900000000000006</v>
      </c>
      <c r="Q2244" s="328"/>
      <c r="R2244" s="1407"/>
      <c r="S2244" s="1407"/>
      <c r="U2244" s="328"/>
      <c r="V2244" s="318" t="s">
        <v>5896</v>
      </c>
      <c r="W2244" s="328"/>
      <c r="X2244" s="748">
        <v>42905</v>
      </c>
      <c r="Y2244" s="744" t="s">
        <v>7054</v>
      </c>
      <c r="Z2244" s="744" t="s">
        <v>7056</v>
      </c>
      <c r="AA2244" s="594">
        <v>42901</v>
      </c>
      <c r="AB2244" s="308" t="s">
        <v>7055</v>
      </c>
      <c r="AC2244" s="328"/>
      <c r="AD2244" s="328"/>
      <c r="AE2244" s="328"/>
      <c r="AF2244" s="328"/>
      <c r="AG2244" s="251" t="s">
        <v>283</v>
      </c>
    </row>
    <row r="2245" spans="1:33" ht="15.75" customHeight="1">
      <c r="A2245" s="755">
        <v>42898</v>
      </c>
      <c r="B2245" s="386" t="s">
        <v>100</v>
      </c>
      <c r="C2245" s="328" t="s">
        <v>7058</v>
      </c>
      <c r="D2245" s="328" t="s">
        <v>7059</v>
      </c>
      <c r="E2245" s="328" t="s">
        <v>7060</v>
      </c>
      <c r="F2245" s="1007">
        <v>5</v>
      </c>
      <c r="G2245" s="323">
        <v>237</v>
      </c>
      <c r="H2245" s="1027">
        <f t="shared" si="171"/>
        <v>1185</v>
      </c>
      <c r="I2245" s="264" t="s">
        <v>3315</v>
      </c>
      <c r="J2245" s="361" t="s">
        <v>7061</v>
      </c>
      <c r="K2245" s="256">
        <v>42915</v>
      </c>
      <c r="L2245" s="256"/>
      <c r="M2245" s="256">
        <v>42914</v>
      </c>
      <c r="N2245" s="251" t="s">
        <v>6112</v>
      </c>
      <c r="O2245" s="250" t="s">
        <v>7062</v>
      </c>
      <c r="P2245" s="337"/>
      <c r="Q2245" s="630">
        <v>28502</v>
      </c>
      <c r="R2245" s="1415"/>
      <c r="S2245" s="1415"/>
      <c r="U2245" s="328"/>
      <c r="V2245" s="970" t="s">
        <v>2109</v>
      </c>
      <c r="W2245" s="789">
        <v>42952</v>
      </c>
      <c r="X2245" s="748">
        <v>42913</v>
      </c>
      <c r="Y2245" s="328" t="s">
        <v>7063</v>
      </c>
      <c r="Z2245" s="749">
        <v>28502</v>
      </c>
      <c r="AA2245" s="256">
        <v>42952</v>
      </c>
      <c r="AB2245" s="250" t="s">
        <v>6847</v>
      </c>
      <c r="AC2245" s="251">
        <v>5510824815</v>
      </c>
      <c r="AD2245" s="328"/>
      <c r="AE2245" s="328"/>
      <c r="AF2245" s="328"/>
      <c r="AG2245" s="251" t="s">
        <v>283</v>
      </c>
    </row>
    <row r="2246" spans="1:33" ht="15.75" customHeight="1">
      <c r="A2246" s="755">
        <v>42898</v>
      </c>
      <c r="B2246" s="386" t="s">
        <v>100</v>
      </c>
      <c r="C2246" s="328" t="s">
        <v>7064</v>
      </c>
      <c r="D2246" s="308" t="s">
        <v>7065</v>
      </c>
      <c r="E2246" s="308" t="s">
        <v>6420</v>
      </c>
      <c r="F2246" s="1007">
        <v>3</v>
      </c>
      <c r="G2246" s="252">
        <v>39</v>
      </c>
      <c r="H2246" s="574">
        <f t="shared" si="171"/>
        <v>117</v>
      </c>
      <c r="I2246" s="264" t="s">
        <v>3315</v>
      </c>
      <c r="J2246" s="367" t="s">
        <v>3578</v>
      </c>
      <c r="K2246" s="256">
        <v>42915</v>
      </c>
      <c r="L2246" s="256"/>
      <c r="M2246" s="256">
        <v>42906</v>
      </c>
      <c r="N2246" s="264" t="s">
        <v>2124</v>
      </c>
      <c r="O2246" s="308" t="s">
        <v>7066</v>
      </c>
      <c r="P2246" s="328"/>
      <c r="Q2246" s="572">
        <v>2983</v>
      </c>
      <c r="R2246" s="1413"/>
      <c r="S2246" s="1413"/>
      <c r="U2246" s="328"/>
      <c r="V2246" s="308" t="s">
        <v>2126</v>
      </c>
      <c r="W2246" s="789">
        <v>42899</v>
      </c>
      <c r="X2246" s="748">
        <v>42902</v>
      </c>
      <c r="Y2246" s="328" t="s">
        <v>7067</v>
      </c>
      <c r="Z2246" s="749">
        <v>2983</v>
      </c>
      <c r="AA2246" s="594">
        <v>42899</v>
      </c>
      <c r="AB2246" s="250" t="s">
        <v>6847</v>
      </c>
      <c r="AC2246" s="251">
        <v>5510824815</v>
      </c>
      <c r="AD2246" s="328"/>
      <c r="AE2246" s="328"/>
      <c r="AF2246" s="328"/>
      <c r="AG2246" s="251" t="s">
        <v>283</v>
      </c>
    </row>
    <row r="2247" spans="1:33" ht="15.75" customHeight="1">
      <c r="A2247" s="755">
        <v>42898</v>
      </c>
      <c r="B2247" s="386" t="s">
        <v>100</v>
      </c>
      <c r="C2247" s="328" t="s">
        <v>7064</v>
      </c>
      <c r="D2247" s="308" t="s">
        <v>7065</v>
      </c>
      <c r="E2247" s="308" t="s">
        <v>7068</v>
      </c>
      <c r="F2247" s="305">
        <v>3</v>
      </c>
      <c r="G2247" s="252">
        <v>322</v>
      </c>
      <c r="H2247" s="574">
        <f t="shared" si="171"/>
        <v>966</v>
      </c>
      <c r="I2247" s="264" t="s">
        <v>3315</v>
      </c>
      <c r="J2247" s="367" t="s">
        <v>3578</v>
      </c>
      <c r="K2247" s="256">
        <v>42915</v>
      </c>
      <c r="L2247" s="256"/>
      <c r="M2247" s="256">
        <v>42905</v>
      </c>
      <c r="N2247" s="331" t="s">
        <v>1995</v>
      </c>
      <c r="O2247" s="308" t="s">
        <v>7069</v>
      </c>
      <c r="P2247" s="328"/>
      <c r="Q2247" s="572">
        <v>27550</v>
      </c>
      <c r="R2247" s="1413"/>
      <c r="S2247" s="1413"/>
      <c r="U2247" s="328"/>
      <c r="V2247" s="338" t="s">
        <v>1997</v>
      </c>
      <c r="W2247" s="789">
        <v>42952</v>
      </c>
      <c r="X2247" s="750">
        <v>42905</v>
      </c>
      <c r="Y2247" s="744" t="s">
        <v>7070</v>
      </c>
      <c r="Z2247" s="749">
        <v>28309</v>
      </c>
      <c r="AA2247" s="256">
        <v>42955</v>
      </c>
      <c r="AB2247" s="250" t="s">
        <v>6847</v>
      </c>
      <c r="AC2247" s="251">
        <v>5510824815</v>
      </c>
      <c r="AD2247" s="328"/>
      <c r="AE2247" s="328"/>
      <c r="AF2247" s="328"/>
      <c r="AG2247" s="251" t="s">
        <v>283</v>
      </c>
    </row>
    <row r="2248" spans="1:33" ht="15.75" customHeight="1">
      <c r="A2248" s="755">
        <v>42898</v>
      </c>
      <c r="B2248" s="386" t="s">
        <v>100</v>
      </c>
      <c r="C2248" s="328" t="s">
        <v>7064</v>
      </c>
      <c r="D2248" s="308" t="s">
        <v>7065</v>
      </c>
      <c r="E2248" s="308" t="s">
        <v>3700</v>
      </c>
      <c r="F2248" s="305">
        <v>3</v>
      </c>
      <c r="G2248" s="252">
        <v>9</v>
      </c>
      <c r="H2248" s="574">
        <f t="shared" si="171"/>
        <v>27</v>
      </c>
      <c r="I2248" s="264" t="s">
        <v>3315</v>
      </c>
      <c r="J2248" s="367" t="s">
        <v>3578</v>
      </c>
      <c r="K2248" s="256">
        <v>42915</v>
      </c>
      <c r="L2248" s="256"/>
      <c r="M2248" s="256">
        <v>42905</v>
      </c>
      <c r="N2248" s="401" t="s">
        <v>1995</v>
      </c>
      <c r="O2248" s="308" t="s">
        <v>7069</v>
      </c>
      <c r="P2248" s="328"/>
      <c r="Q2248" s="308">
        <v>759</v>
      </c>
      <c r="R2248" s="1410"/>
      <c r="S2248" s="1410"/>
      <c r="U2248" s="328"/>
      <c r="V2248" s="571" t="s">
        <v>1997</v>
      </c>
      <c r="W2248" s="789">
        <v>42952</v>
      </c>
      <c r="X2248" s="750">
        <v>42905</v>
      </c>
      <c r="Y2248" s="744" t="s">
        <v>7070</v>
      </c>
      <c r="Z2248" s="744" t="s">
        <v>7071</v>
      </c>
      <c r="AA2248" s="256">
        <v>42955</v>
      </c>
      <c r="AB2248" s="250" t="s">
        <v>6847</v>
      </c>
      <c r="AC2248" s="251">
        <v>5510824815</v>
      </c>
      <c r="AD2248" s="328"/>
      <c r="AE2248" s="328"/>
      <c r="AF2248" s="328"/>
      <c r="AG2248" s="251" t="s">
        <v>283</v>
      </c>
    </row>
    <row r="2249" spans="1:33" ht="15.75" customHeight="1">
      <c r="A2249" s="755">
        <v>42899</v>
      </c>
      <c r="B2249" s="590" t="s">
        <v>3347</v>
      </c>
      <c r="C2249" s="744" t="s">
        <v>6273</v>
      </c>
      <c r="D2249" s="250" t="s">
        <v>7072</v>
      </c>
      <c r="E2249" s="250" t="s">
        <v>3349</v>
      </c>
      <c r="F2249" s="251">
        <v>100</v>
      </c>
      <c r="G2249" s="265">
        <v>174.5</v>
      </c>
      <c r="H2249" s="265">
        <f t="shared" si="171"/>
        <v>17450</v>
      </c>
      <c r="I2249" s="264" t="s">
        <v>170</v>
      </c>
      <c r="J2249" s="367" t="s">
        <v>3350</v>
      </c>
      <c r="K2249" s="256">
        <v>42940</v>
      </c>
      <c r="L2249" s="256"/>
      <c r="M2249" s="256">
        <v>42937</v>
      </c>
      <c r="N2249" s="331" t="s">
        <v>3351</v>
      </c>
      <c r="O2249" s="308" t="s">
        <v>7073</v>
      </c>
      <c r="P2249" s="572">
        <v>16590</v>
      </c>
      <c r="Q2249" s="328"/>
      <c r="R2249" s="1407"/>
      <c r="S2249" s="1407"/>
      <c r="U2249" s="328"/>
      <c r="V2249" s="318" t="s">
        <v>7074</v>
      </c>
      <c r="W2249" s="328"/>
      <c r="X2249" s="748">
        <v>42941</v>
      </c>
      <c r="Y2249" s="308" t="s">
        <v>7075</v>
      </c>
      <c r="Z2249" s="753">
        <v>503507</v>
      </c>
      <c r="AA2249" s="594">
        <v>42935</v>
      </c>
      <c r="AB2249" s="250" t="s">
        <v>6277</v>
      </c>
      <c r="AC2249" s="328"/>
      <c r="AD2249" s="328"/>
      <c r="AE2249" s="328"/>
      <c r="AF2249" s="328"/>
      <c r="AG2249" s="251" t="s">
        <v>283</v>
      </c>
    </row>
    <row r="2250" spans="1:33" ht="15.75" customHeight="1">
      <c r="A2250" s="755">
        <v>42899</v>
      </c>
      <c r="B2250" s="338" t="s">
        <v>415</v>
      </c>
      <c r="C2250" s="744" t="s">
        <v>7076</v>
      </c>
      <c r="D2250" s="308" t="s">
        <v>7077</v>
      </c>
      <c r="E2250" s="308" t="s">
        <v>7078</v>
      </c>
      <c r="F2250" s="264">
        <v>3</v>
      </c>
      <c r="G2250" s="265">
        <v>56</v>
      </c>
      <c r="H2250" s="265">
        <f t="shared" si="171"/>
        <v>168</v>
      </c>
      <c r="I2250" s="264" t="s">
        <v>42</v>
      </c>
      <c r="J2250" s="401" t="s">
        <v>7079</v>
      </c>
      <c r="K2250" s="256">
        <v>42926</v>
      </c>
      <c r="L2250" s="256"/>
      <c r="M2250" s="256">
        <v>42916</v>
      </c>
      <c r="N2250" s="585" t="s">
        <v>7080</v>
      </c>
      <c r="O2250" s="308" t="s">
        <v>7081</v>
      </c>
      <c r="P2250" s="328"/>
      <c r="Q2250" s="572">
        <v>3780</v>
      </c>
      <c r="R2250" s="1413"/>
      <c r="S2250" s="1413"/>
      <c r="U2250" s="328"/>
      <c r="V2250" s="592" t="s">
        <v>2053</v>
      </c>
      <c r="W2250" s="574" t="s">
        <v>421</v>
      </c>
      <c r="X2250" s="748">
        <v>42915</v>
      </c>
      <c r="Y2250" s="328" t="s">
        <v>7082</v>
      </c>
      <c r="Z2250" s="749">
        <v>3780</v>
      </c>
      <c r="AA2250" s="594">
        <v>42912</v>
      </c>
      <c r="AB2250" s="308" t="s">
        <v>7083</v>
      </c>
      <c r="AC2250" s="328"/>
      <c r="AD2250" s="328"/>
      <c r="AE2250" s="328"/>
      <c r="AF2250" s="328"/>
      <c r="AG2250" s="251" t="s">
        <v>283</v>
      </c>
    </row>
    <row r="2251" spans="1:33" ht="15.75" customHeight="1">
      <c r="A2251" s="256">
        <v>42899</v>
      </c>
      <c r="B2251" s="328" t="s">
        <v>100</v>
      </c>
      <c r="C2251" s="328" t="s">
        <v>7084</v>
      </c>
      <c r="D2251" s="328" t="s">
        <v>7085</v>
      </c>
      <c r="E2251" s="328" t="s">
        <v>7086</v>
      </c>
      <c r="F2251" s="305">
        <v>8</v>
      </c>
      <c r="G2251" s="252">
        <v>1118</v>
      </c>
      <c r="H2251" s="630">
        <f t="shared" si="171"/>
        <v>8944</v>
      </c>
      <c r="I2251" s="254" t="s">
        <v>3315</v>
      </c>
      <c r="J2251" s="267" t="s">
        <v>3578</v>
      </c>
      <c r="K2251" s="256">
        <v>42915</v>
      </c>
      <c r="L2251" s="256"/>
      <c r="M2251" s="256">
        <v>42914</v>
      </c>
      <c r="N2251" s="401" t="s">
        <v>1414</v>
      </c>
      <c r="O2251" s="308" t="s">
        <v>7087</v>
      </c>
      <c r="P2251" s="328"/>
      <c r="Q2251" s="572">
        <v>252412</v>
      </c>
      <c r="R2251" s="1413"/>
      <c r="S2251" s="1413"/>
      <c r="U2251" s="328"/>
      <c r="V2251" s="308" t="s">
        <v>1947</v>
      </c>
      <c r="W2251" s="789">
        <v>42947</v>
      </c>
      <c r="X2251" s="750">
        <v>42914</v>
      </c>
      <c r="Y2251" s="744" t="s">
        <v>7088</v>
      </c>
      <c r="Z2251" s="749">
        <v>252412</v>
      </c>
      <c r="AA2251" s="256">
        <v>42951</v>
      </c>
      <c r="AB2251" s="250" t="s">
        <v>6847</v>
      </c>
      <c r="AC2251" s="251">
        <v>5510824815</v>
      </c>
      <c r="AD2251" s="328"/>
      <c r="AE2251" s="328"/>
      <c r="AF2251" s="328"/>
      <c r="AG2251" s="251" t="s">
        <v>283</v>
      </c>
    </row>
    <row r="2252" spans="1:33" ht="15.75" customHeight="1">
      <c r="A2252" s="256">
        <v>42899</v>
      </c>
      <c r="B2252" s="571" t="s">
        <v>415</v>
      </c>
      <c r="C2252" s="744" t="s">
        <v>7076</v>
      </c>
      <c r="D2252" s="308" t="s">
        <v>7077</v>
      </c>
      <c r="E2252" s="308" t="s">
        <v>3430</v>
      </c>
      <c r="F2252" s="264">
        <v>2</v>
      </c>
      <c r="G2252" s="265">
        <v>352</v>
      </c>
      <c r="H2252" s="265">
        <f t="shared" si="171"/>
        <v>704</v>
      </c>
      <c r="I2252" s="254" t="s">
        <v>42</v>
      </c>
      <c r="J2252" s="331" t="s">
        <v>7079</v>
      </c>
      <c r="K2252" s="256">
        <v>42926</v>
      </c>
      <c r="L2252" s="256"/>
      <c r="M2252" s="256">
        <v>42912</v>
      </c>
      <c r="N2252" s="264" t="s">
        <v>7089</v>
      </c>
      <c r="O2252" s="308" t="s">
        <v>7090</v>
      </c>
      <c r="P2252" s="328"/>
      <c r="Q2252" s="572">
        <v>20803</v>
      </c>
      <c r="R2252" s="1413"/>
      <c r="S2252" s="1413"/>
      <c r="U2252" s="328"/>
      <c r="V2252" s="308" t="s">
        <v>2045</v>
      </c>
      <c r="W2252" s="789">
        <v>43007</v>
      </c>
      <c r="X2252" s="748">
        <v>42912</v>
      </c>
      <c r="Y2252" s="328" t="s">
        <v>7091</v>
      </c>
      <c r="Z2252" s="749">
        <v>20803</v>
      </c>
      <c r="AA2252" s="256">
        <v>43013</v>
      </c>
      <c r="AB2252" s="308" t="s">
        <v>7083</v>
      </c>
      <c r="AC2252" s="328"/>
      <c r="AD2252" s="328"/>
      <c r="AE2252" s="328"/>
      <c r="AF2252" s="328"/>
      <c r="AG2252" s="251" t="s">
        <v>283</v>
      </c>
    </row>
    <row r="2253" spans="1:33" ht="15.75" customHeight="1">
      <c r="A2253" s="256">
        <v>42899</v>
      </c>
      <c r="B2253" s="338" t="s">
        <v>415</v>
      </c>
      <c r="C2253" s="263" t="s">
        <v>7092</v>
      </c>
      <c r="D2253" s="318" t="s">
        <v>7093</v>
      </c>
      <c r="E2253" s="318" t="s">
        <v>7094</v>
      </c>
      <c r="F2253" s="254">
        <v>6</v>
      </c>
      <c r="G2253" s="464">
        <v>453</v>
      </c>
      <c r="H2253" s="265">
        <f t="shared" si="171"/>
        <v>2718</v>
      </c>
      <c r="I2253" s="264" t="s">
        <v>42</v>
      </c>
      <c r="J2253" s="331" t="s">
        <v>6967</v>
      </c>
      <c r="K2253" s="256">
        <v>42926</v>
      </c>
      <c r="L2253" s="256"/>
      <c r="M2253" s="256">
        <v>42908</v>
      </c>
      <c r="N2253" s="251" t="s">
        <v>89</v>
      </c>
      <c r="O2253" s="308" t="s">
        <v>7095</v>
      </c>
      <c r="P2253" s="308">
        <v>2457</v>
      </c>
      <c r="Q2253" s="328"/>
      <c r="R2253" s="1407"/>
      <c r="S2253" s="1407"/>
      <c r="U2253" s="328"/>
      <c r="V2253" s="318" t="s">
        <v>5896</v>
      </c>
      <c r="W2253" s="328"/>
      <c r="X2253" s="748">
        <v>42908</v>
      </c>
      <c r="Y2253" s="744" t="s">
        <v>7096</v>
      </c>
      <c r="Z2253" s="749">
        <v>79883</v>
      </c>
      <c r="AA2253" s="594">
        <v>42901</v>
      </c>
      <c r="AB2253" s="308" t="s">
        <v>7097</v>
      </c>
      <c r="AC2253" s="328"/>
      <c r="AD2253" s="328"/>
      <c r="AE2253" s="328"/>
      <c r="AF2253" s="328"/>
      <c r="AG2253" s="251" t="s">
        <v>283</v>
      </c>
    </row>
    <row r="2254" spans="1:33" ht="15.75" customHeight="1">
      <c r="A2254" s="755">
        <v>42899</v>
      </c>
      <c r="B2254" s="338" t="s">
        <v>415</v>
      </c>
      <c r="C2254" s="263" t="s">
        <v>7092</v>
      </c>
      <c r="D2254" s="318" t="s">
        <v>7093</v>
      </c>
      <c r="E2254" s="318" t="s">
        <v>7098</v>
      </c>
      <c r="F2254" s="254">
        <v>6</v>
      </c>
      <c r="G2254" s="464">
        <v>41</v>
      </c>
      <c r="H2254" s="265">
        <f t="shared" si="171"/>
        <v>246</v>
      </c>
      <c r="I2254" s="264" t="s">
        <v>42</v>
      </c>
      <c r="J2254" s="331" t="s">
        <v>6967</v>
      </c>
      <c r="K2254" s="256">
        <v>42926</v>
      </c>
      <c r="L2254" s="256"/>
      <c r="M2254" s="256">
        <v>42908</v>
      </c>
      <c r="N2254" s="251" t="s">
        <v>89</v>
      </c>
      <c r="O2254" s="308" t="s">
        <v>7095</v>
      </c>
      <c r="P2254" s="308">
        <v>189</v>
      </c>
      <c r="Q2254" s="328"/>
      <c r="R2254" s="1407"/>
      <c r="S2254" s="1407"/>
      <c r="U2254" s="328"/>
      <c r="V2254" s="318" t="s">
        <v>5896</v>
      </c>
      <c r="W2254" s="328"/>
      <c r="X2254" s="748">
        <v>42908</v>
      </c>
      <c r="Y2254" s="744" t="s">
        <v>7096</v>
      </c>
      <c r="Z2254" s="744" t="s">
        <v>7099</v>
      </c>
      <c r="AA2254" s="594">
        <v>42901</v>
      </c>
      <c r="AB2254" s="308" t="s">
        <v>7097</v>
      </c>
      <c r="AC2254" s="328"/>
      <c r="AD2254" s="328"/>
      <c r="AE2254" s="328"/>
      <c r="AF2254" s="328"/>
      <c r="AG2254" s="251" t="s">
        <v>283</v>
      </c>
    </row>
    <row r="2255" spans="1:33" ht="15.75" customHeight="1">
      <c r="A2255" s="755">
        <v>42900</v>
      </c>
      <c r="B2255" s="338" t="s">
        <v>325</v>
      </c>
      <c r="C2255" s="250">
        <v>1611972</v>
      </c>
      <c r="D2255" s="328" t="s">
        <v>7100</v>
      </c>
      <c r="E2255" s="328" t="s">
        <v>3612</v>
      </c>
      <c r="F2255" s="585">
        <v>10</v>
      </c>
      <c r="G2255" s="336">
        <v>567</v>
      </c>
      <c r="H2255" s="265">
        <f t="shared" si="171"/>
        <v>5670</v>
      </c>
      <c r="I2255" s="264" t="s">
        <v>3315</v>
      </c>
      <c r="J2255" s="267" t="s">
        <v>3613</v>
      </c>
      <c r="K2255" s="256">
        <v>42940</v>
      </c>
      <c r="L2255" s="256"/>
      <c r="M2255" s="256">
        <v>42941</v>
      </c>
      <c r="N2255" s="331" t="s">
        <v>3614</v>
      </c>
      <c r="O2255" s="308" t="s">
        <v>7101</v>
      </c>
      <c r="P2255" s="572">
        <v>5355</v>
      </c>
      <c r="Q2255" s="328"/>
      <c r="R2255" s="1407"/>
      <c r="S2255" s="1407"/>
      <c r="U2255" s="328"/>
      <c r="V2255" s="308" t="s">
        <v>6186</v>
      </c>
      <c r="W2255" s="789">
        <v>42978</v>
      </c>
      <c r="X2255" s="750">
        <v>42937</v>
      </c>
      <c r="Y2255" s="308" t="s">
        <v>7102</v>
      </c>
      <c r="Z2255" s="753">
        <v>170605</v>
      </c>
      <c r="AA2255" s="594">
        <v>42979</v>
      </c>
      <c r="AB2255" s="308" t="s">
        <v>7103</v>
      </c>
      <c r="AC2255" s="251">
        <v>779712352869</v>
      </c>
      <c r="AD2255" s="328"/>
      <c r="AE2255" s="328"/>
      <c r="AF2255" s="328"/>
      <c r="AG2255" s="251" t="s">
        <v>283</v>
      </c>
    </row>
    <row r="2256" spans="1:33" ht="15.75" customHeight="1">
      <c r="A2256" s="755">
        <v>42900</v>
      </c>
      <c r="B2256" s="338" t="s">
        <v>325</v>
      </c>
      <c r="C2256" s="263">
        <v>1611972</v>
      </c>
      <c r="D2256" s="328" t="s">
        <v>7100</v>
      </c>
      <c r="E2256" s="328" t="s">
        <v>52</v>
      </c>
      <c r="F2256" s="585">
        <v>10</v>
      </c>
      <c r="G2256" s="772">
        <v>31</v>
      </c>
      <c r="H2256" s="265">
        <f t="shared" si="171"/>
        <v>310</v>
      </c>
      <c r="I2256" s="264" t="s">
        <v>3315</v>
      </c>
      <c r="J2256" s="367" t="s">
        <v>3613</v>
      </c>
      <c r="K2256" s="256">
        <v>42940</v>
      </c>
      <c r="L2256" s="256"/>
      <c r="M2256" s="256">
        <v>42941</v>
      </c>
      <c r="N2256" s="331" t="s">
        <v>3614</v>
      </c>
      <c r="O2256" s="308" t="s">
        <v>7101</v>
      </c>
      <c r="P2256" s="308">
        <v>226.8</v>
      </c>
      <c r="Q2256" s="328"/>
      <c r="R2256" s="1407"/>
      <c r="S2256" s="1407"/>
      <c r="U2256" s="328"/>
      <c r="V2256" s="318" t="s">
        <v>6186</v>
      </c>
      <c r="W2256" s="789">
        <v>42978</v>
      </c>
      <c r="X2256" s="750">
        <v>42937</v>
      </c>
      <c r="Y2256" s="308" t="s">
        <v>7102</v>
      </c>
      <c r="Z2256" s="308" t="s">
        <v>7104</v>
      </c>
      <c r="AA2256" s="594">
        <v>42979</v>
      </c>
      <c r="AB2256" s="308" t="s">
        <v>7103</v>
      </c>
      <c r="AC2256" s="251">
        <v>779712352869</v>
      </c>
      <c r="AD2256" s="328"/>
      <c r="AE2256" s="328"/>
      <c r="AF2256" s="328"/>
      <c r="AG2256" s="251" t="s">
        <v>283</v>
      </c>
    </row>
    <row r="2257" spans="1:33" ht="15.75" customHeight="1">
      <c r="A2257" s="755">
        <v>42900</v>
      </c>
      <c r="B2257" s="338" t="s">
        <v>325</v>
      </c>
      <c r="C2257" s="263">
        <v>1611972</v>
      </c>
      <c r="D2257" s="328" t="s">
        <v>7100</v>
      </c>
      <c r="E2257" s="328" t="s">
        <v>58</v>
      </c>
      <c r="F2257" s="585">
        <v>10</v>
      </c>
      <c r="G2257" s="772">
        <v>4</v>
      </c>
      <c r="H2257" s="265">
        <f t="shared" si="171"/>
        <v>40</v>
      </c>
      <c r="I2257" s="264" t="s">
        <v>3315</v>
      </c>
      <c r="J2257" s="367" t="s">
        <v>3613</v>
      </c>
      <c r="K2257" s="256">
        <v>42940</v>
      </c>
      <c r="L2257" s="256"/>
      <c r="M2257" s="256">
        <v>42937</v>
      </c>
      <c r="N2257" s="401" t="s">
        <v>3614</v>
      </c>
      <c r="O2257" s="308" t="s">
        <v>7101</v>
      </c>
      <c r="P2257" s="308">
        <v>21</v>
      </c>
      <c r="Q2257" s="328"/>
      <c r="R2257" s="1407"/>
      <c r="S2257" s="1407"/>
      <c r="U2257" s="328"/>
      <c r="V2257" s="318" t="s">
        <v>6186</v>
      </c>
      <c r="W2257" s="789">
        <v>42978</v>
      </c>
      <c r="X2257" s="750">
        <v>42937</v>
      </c>
      <c r="Y2257" s="308" t="s">
        <v>7102</v>
      </c>
      <c r="Z2257" s="308" t="s">
        <v>7104</v>
      </c>
      <c r="AA2257" s="594">
        <v>42979</v>
      </c>
      <c r="AB2257" s="308" t="s">
        <v>7103</v>
      </c>
      <c r="AC2257" s="251">
        <v>779712352869</v>
      </c>
      <c r="AD2257" s="328"/>
      <c r="AE2257" s="328"/>
      <c r="AF2257" s="328"/>
      <c r="AG2257" s="251" t="s">
        <v>283</v>
      </c>
    </row>
    <row r="2258" spans="1:33" ht="15.75" customHeight="1">
      <c r="A2258" s="755">
        <v>42900</v>
      </c>
      <c r="B2258" s="338" t="s">
        <v>325</v>
      </c>
      <c r="C2258" s="263">
        <v>1611972</v>
      </c>
      <c r="D2258" s="328" t="s">
        <v>7100</v>
      </c>
      <c r="E2258" s="328" t="s">
        <v>3620</v>
      </c>
      <c r="F2258" s="585">
        <v>10</v>
      </c>
      <c r="G2258" s="772">
        <v>273</v>
      </c>
      <c r="H2258" s="265">
        <f t="shared" si="171"/>
        <v>2730</v>
      </c>
      <c r="I2258" s="264" t="s">
        <v>3315</v>
      </c>
      <c r="J2258" s="367" t="s">
        <v>3613</v>
      </c>
      <c r="K2258" s="256">
        <v>42940</v>
      </c>
      <c r="L2258" s="256"/>
      <c r="M2258" s="256">
        <v>42933</v>
      </c>
      <c r="N2258" s="267" t="s">
        <v>44</v>
      </c>
      <c r="O2258" s="308" t="s">
        <v>7105</v>
      </c>
      <c r="P2258" s="572">
        <v>2289</v>
      </c>
      <c r="Q2258" s="328"/>
      <c r="R2258" s="1407"/>
      <c r="S2258" s="1407"/>
      <c r="U2258" s="328"/>
      <c r="V2258" s="318" t="s">
        <v>3754</v>
      </c>
      <c r="W2258" s="747">
        <v>42960</v>
      </c>
      <c r="X2258" s="748">
        <v>42930</v>
      </c>
      <c r="Y2258" s="328" t="s">
        <v>7106</v>
      </c>
      <c r="Z2258" s="749">
        <v>69551</v>
      </c>
      <c r="AA2258" s="594">
        <v>42965</v>
      </c>
      <c r="AB2258" s="308" t="s">
        <v>7103</v>
      </c>
      <c r="AC2258" s="251">
        <v>779712352869</v>
      </c>
      <c r="AD2258" s="328"/>
      <c r="AE2258" s="328"/>
      <c r="AF2258" s="328"/>
      <c r="AG2258" s="251" t="s">
        <v>283</v>
      </c>
    </row>
    <row r="2259" spans="1:33" ht="15.75" customHeight="1">
      <c r="A2259" s="743">
        <v>42900</v>
      </c>
      <c r="B2259" s="590" t="s">
        <v>7107</v>
      </c>
      <c r="C2259" s="970">
        <v>7000130397</v>
      </c>
      <c r="D2259" s="250" t="s">
        <v>7108</v>
      </c>
      <c r="E2259" s="250" t="s">
        <v>4759</v>
      </c>
      <c r="F2259" s="585">
        <v>1</v>
      </c>
      <c r="G2259" s="772">
        <v>170</v>
      </c>
      <c r="H2259" s="265">
        <f t="shared" si="171"/>
        <v>170</v>
      </c>
      <c r="I2259" s="264" t="s">
        <v>42</v>
      </c>
      <c r="J2259" s="401" t="s">
        <v>3462</v>
      </c>
      <c r="K2259" s="256">
        <v>42919</v>
      </c>
      <c r="L2259" s="256"/>
      <c r="M2259" s="256">
        <v>42916</v>
      </c>
      <c r="N2259" s="254" t="s">
        <v>3432</v>
      </c>
      <c r="O2259" s="308" t="s">
        <v>7109</v>
      </c>
      <c r="P2259" s="328"/>
      <c r="Q2259" s="572">
        <v>4838</v>
      </c>
      <c r="R2259" s="1413"/>
      <c r="S2259" s="1413"/>
      <c r="U2259" s="328"/>
      <c r="V2259" s="318" t="s">
        <v>2045</v>
      </c>
      <c r="W2259" s="789">
        <v>43007</v>
      </c>
      <c r="X2259" s="748">
        <v>42914</v>
      </c>
      <c r="Y2259" s="328" t="s">
        <v>7110</v>
      </c>
      <c r="Z2259" s="749">
        <v>6476</v>
      </c>
      <c r="AA2259" s="256">
        <v>43013</v>
      </c>
      <c r="AB2259" s="308" t="s">
        <v>7111</v>
      </c>
      <c r="AC2259" s="328"/>
      <c r="AD2259" s="328"/>
      <c r="AE2259" s="328"/>
      <c r="AF2259" s="328"/>
      <c r="AG2259" s="251" t="s">
        <v>283</v>
      </c>
    </row>
    <row r="2260" spans="1:33" ht="15.75" customHeight="1">
      <c r="A2260" s="256">
        <v>42900</v>
      </c>
      <c r="B2260" s="590" t="s">
        <v>5981</v>
      </c>
      <c r="C2260" s="744">
        <v>7000130397</v>
      </c>
      <c r="D2260" s="250" t="s">
        <v>7108</v>
      </c>
      <c r="E2260" s="250" t="s">
        <v>3566</v>
      </c>
      <c r="F2260" s="585">
        <v>1</v>
      </c>
      <c r="G2260" s="772">
        <v>55</v>
      </c>
      <c r="H2260" s="265">
        <f t="shared" si="171"/>
        <v>55</v>
      </c>
      <c r="I2260" s="264" t="s">
        <v>42</v>
      </c>
      <c r="J2260" s="756" t="s">
        <v>3462</v>
      </c>
      <c r="K2260" s="256">
        <v>42919</v>
      </c>
      <c r="L2260" s="256"/>
      <c r="M2260" s="256">
        <v>42916</v>
      </c>
      <c r="N2260" s="264" t="s">
        <v>3432</v>
      </c>
      <c r="O2260" s="308" t="s">
        <v>7109</v>
      </c>
      <c r="P2260" s="328"/>
      <c r="Q2260" s="572">
        <v>1638</v>
      </c>
      <c r="R2260" s="1413"/>
      <c r="S2260" s="1413"/>
      <c r="U2260" s="328"/>
      <c r="V2260" s="308" t="s">
        <v>2045</v>
      </c>
      <c r="W2260" s="789">
        <v>43007</v>
      </c>
      <c r="X2260" s="748">
        <v>42914</v>
      </c>
      <c r="Y2260" s="328" t="s">
        <v>7110</v>
      </c>
      <c r="Z2260" s="744" t="s">
        <v>7112</v>
      </c>
      <c r="AA2260" s="256">
        <v>43013</v>
      </c>
      <c r="AB2260" s="308" t="s">
        <v>7111</v>
      </c>
      <c r="AC2260" s="328"/>
      <c r="AD2260" s="328"/>
      <c r="AE2260" s="328"/>
      <c r="AF2260" s="328"/>
      <c r="AG2260" s="251" t="s">
        <v>283</v>
      </c>
    </row>
    <row r="2261" spans="1:33" ht="15.75" customHeight="1">
      <c r="A2261" s="755">
        <v>42902</v>
      </c>
      <c r="B2261" s="338" t="s">
        <v>325</v>
      </c>
      <c r="C2261" s="744">
        <v>1612053</v>
      </c>
      <c r="D2261" s="328" t="s">
        <v>7113</v>
      </c>
      <c r="E2261" s="328" t="s">
        <v>6184</v>
      </c>
      <c r="F2261" s="585">
        <v>10</v>
      </c>
      <c r="G2261" s="772">
        <v>438</v>
      </c>
      <c r="H2261" s="265">
        <f t="shared" si="171"/>
        <v>4380</v>
      </c>
      <c r="I2261" s="264" t="s">
        <v>3315</v>
      </c>
      <c r="J2261" s="361" t="s">
        <v>3613</v>
      </c>
      <c r="K2261" s="256">
        <v>42969</v>
      </c>
      <c r="L2261" s="256"/>
      <c r="M2261" s="256">
        <v>42944</v>
      </c>
      <c r="N2261" s="401" t="s">
        <v>3614</v>
      </c>
      <c r="O2261" s="308" t="s">
        <v>7114</v>
      </c>
      <c r="P2261" s="308">
        <v>4042.5</v>
      </c>
      <c r="Q2261" s="328"/>
      <c r="R2261" s="1407"/>
      <c r="S2261" s="1407"/>
      <c r="U2261" s="328"/>
      <c r="V2261" s="308" t="s">
        <v>6186</v>
      </c>
      <c r="W2261" s="789">
        <v>43008</v>
      </c>
      <c r="X2261" s="750">
        <v>42944</v>
      </c>
      <c r="Y2261" s="308" t="s">
        <v>7115</v>
      </c>
      <c r="Z2261" s="753">
        <v>129823</v>
      </c>
      <c r="AA2261" s="256">
        <v>43007</v>
      </c>
      <c r="AB2261" s="308" t="s">
        <v>7116</v>
      </c>
      <c r="AC2261" s="251">
        <v>770077588248</v>
      </c>
      <c r="AD2261" s="328"/>
      <c r="AE2261" s="328"/>
      <c r="AF2261" s="328"/>
      <c r="AG2261" s="251" t="s">
        <v>283</v>
      </c>
    </row>
    <row r="2262" spans="1:33" ht="15.75" customHeight="1">
      <c r="A2262" s="755">
        <v>42902</v>
      </c>
      <c r="B2262" s="338" t="s">
        <v>325</v>
      </c>
      <c r="C2262" s="744">
        <v>1612053</v>
      </c>
      <c r="D2262" s="328" t="s">
        <v>7113</v>
      </c>
      <c r="E2262" s="328" t="s">
        <v>52</v>
      </c>
      <c r="F2262" s="585">
        <v>10</v>
      </c>
      <c r="G2262" s="772">
        <v>31</v>
      </c>
      <c r="H2262" s="265">
        <f t="shared" si="171"/>
        <v>310</v>
      </c>
      <c r="I2262" s="264" t="s">
        <v>3315</v>
      </c>
      <c r="J2262" s="267" t="s">
        <v>3613</v>
      </c>
      <c r="K2262" s="256">
        <v>42969</v>
      </c>
      <c r="L2262" s="256"/>
      <c r="M2262" s="256">
        <v>42944</v>
      </c>
      <c r="N2262" s="401" t="s">
        <v>3614</v>
      </c>
      <c r="O2262" s="308" t="s">
        <v>7114</v>
      </c>
      <c r="P2262" s="308">
        <v>226.8</v>
      </c>
      <c r="Q2262" s="328"/>
      <c r="R2262" s="1407"/>
      <c r="S2262" s="1407"/>
      <c r="U2262" s="328"/>
      <c r="V2262" s="318" t="s">
        <v>6186</v>
      </c>
      <c r="W2262" s="789">
        <v>43008</v>
      </c>
      <c r="X2262" s="750">
        <v>42944</v>
      </c>
      <c r="Y2262" s="308" t="s">
        <v>7115</v>
      </c>
      <c r="Z2262" s="308" t="s">
        <v>7117</v>
      </c>
      <c r="AA2262" s="256">
        <v>43007</v>
      </c>
      <c r="AB2262" s="308" t="s">
        <v>7116</v>
      </c>
      <c r="AC2262" s="251">
        <v>770077588248</v>
      </c>
      <c r="AD2262" s="328"/>
      <c r="AE2262" s="328"/>
      <c r="AF2262" s="328"/>
      <c r="AG2262" s="251" t="s">
        <v>283</v>
      </c>
    </row>
    <row r="2263" spans="1:33" ht="15.75" customHeight="1">
      <c r="A2263" s="755">
        <v>42902</v>
      </c>
      <c r="B2263" s="338" t="s">
        <v>325</v>
      </c>
      <c r="C2263" s="744">
        <v>1612053</v>
      </c>
      <c r="D2263" s="328" t="s">
        <v>7113</v>
      </c>
      <c r="E2263" s="328" t="s">
        <v>58</v>
      </c>
      <c r="F2263" s="251">
        <v>10</v>
      </c>
      <c r="G2263" s="336">
        <v>4</v>
      </c>
      <c r="H2263" s="265">
        <f t="shared" si="171"/>
        <v>40</v>
      </c>
      <c r="I2263" s="264" t="s">
        <v>3315</v>
      </c>
      <c r="J2263" s="367" t="s">
        <v>3613</v>
      </c>
      <c r="K2263" s="256">
        <v>42969</v>
      </c>
      <c r="L2263" s="256"/>
      <c r="M2263" s="256">
        <v>42944</v>
      </c>
      <c r="N2263" s="331" t="s">
        <v>3614</v>
      </c>
      <c r="O2263" s="308" t="s">
        <v>7114</v>
      </c>
      <c r="P2263" s="308">
        <v>21</v>
      </c>
      <c r="Q2263" s="328"/>
      <c r="R2263" s="1407"/>
      <c r="S2263" s="1407"/>
      <c r="U2263" s="328"/>
      <c r="V2263" s="318" t="s">
        <v>6186</v>
      </c>
      <c r="W2263" s="789">
        <v>43008</v>
      </c>
      <c r="X2263" s="750">
        <v>42944</v>
      </c>
      <c r="Y2263" s="308" t="s">
        <v>7115</v>
      </c>
      <c r="Z2263" s="308" t="s">
        <v>7117</v>
      </c>
      <c r="AA2263" s="256">
        <v>43007</v>
      </c>
      <c r="AB2263" s="308" t="s">
        <v>7116</v>
      </c>
      <c r="AC2263" s="251">
        <v>770077588248</v>
      </c>
      <c r="AD2263" s="328"/>
      <c r="AE2263" s="328"/>
      <c r="AF2263" s="328"/>
      <c r="AG2263" s="251" t="s">
        <v>283</v>
      </c>
    </row>
    <row r="2264" spans="1:33" ht="15.75" customHeight="1">
      <c r="A2264" s="755">
        <v>42902</v>
      </c>
      <c r="B2264" s="338" t="s">
        <v>325</v>
      </c>
      <c r="C2264" s="744">
        <v>1612053</v>
      </c>
      <c r="D2264" s="328" t="s">
        <v>7113</v>
      </c>
      <c r="E2264" s="328" t="s">
        <v>7118</v>
      </c>
      <c r="F2264" s="585">
        <v>10</v>
      </c>
      <c r="G2264" s="772">
        <v>48</v>
      </c>
      <c r="H2264" s="265">
        <f t="shared" si="171"/>
        <v>480</v>
      </c>
      <c r="I2264" s="264" t="s">
        <v>3315</v>
      </c>
      <c r="J2264" s="367" t="s">
        <v>3613</v>
      </c>
      <c r="K2264" s="256">
        <v>42969</v>
      </c>
      <c r="L2264" s="256"/>
      <c r="M2264" s="256">
        <v>42934</v>
      </c>
      <c r="N2264" s="267" t="s">
        <v>44</v>
      </c>
      <c r="O2264" s="308" t="s">
        <v>7119</v>
      </c>
      <c r="P2264" s="308">
        <v>399</v>
      </c>
      <c r="Q2264" s="328"/>
      <c r="R2264" s="1407"/>
      <c r="S2264" s="1407"/>
      <c r="U2264" s="328"/>
      <c r="V2264" s="318" t="s">
        <v>3754</v>
      </c>
      <c r="W2264" s="747">
        <v>42963</v>
      </c>
      <c r="X2264" s="748">
        <v>42933</v>
      </c>
      <c r="Y2264" s="328" t="s">
        <v>7120</v>
      </c>
      <c r="Z2264" s="749">
        <v>12136</v>
      </c>
      <c r="AA2264" s="594">
        <v>42965</v>
      </c>
      <c r="AB2264" s="308" t="s">
        <v>7116</v>
      </c>
      <c r="AC2264" s="251">
        <v>770077588248</v>
      </c>
      <c r="AD2264" s="328"/>
      <c r="AE2264" s="328"/>
      <c r="AF2264" s="328"/>
      <c r="AG2264" s="251" t="s">
        <v>283</v>
      </c>
    </row>
    <row r="2265" spans="1:33" ht="15.75" customHeight="1">
      <c r="A2265" s="755">
        <v>42902</v>
      </c>
      <c r="B2265" s="386" t="s">
        <v>100</v>
      </c>
      <c r="C2265" s="328"/>
      <c r="D2265" s="328" t="s">
        <v>7121</v>
      </c>
      <c r="E2265" s="328" t="s">
        <v>7122</v>
      </c>
      <c r="F2265" s="1007">
        <v>5</v>
      </c>
      <c r="G2265" s="323">
        <v>754</v>
      </c>
      <c r="H2265" s="265">
        <f t="shared" si="171"/>
        <v>3770</v>
      </c>
      <c r="I2265" s="264" t="s">
        <v>3315</v>
      </c>
      <c r="J2265" s="367" t="s">
        <v>3578</v>
      </c>
      <c r="K2265" s="256">
        <v>42922</v>
      </c>
      <c r="L2265" s="256"/>
      <c r="M2265" s="256">
        <v>42922</v>
      </c>
      <c r="N2265" s="401" t="s">
        <v>2001</v>
      </c>
      <c r="O2265" s="308" t="s">
        <v>7123</v>
      </c>
      <c r="P2265" s="266">
        <v>3207.75</v>
      </c>
      <c r="Q2265" s="328"/>
      <c r="R2265" s="1407"/>
      <c r="S2265" s="1407"/>
      <c r="U2265" s="328"/>
      <c r="V2265" s="318" t="s">
        <v>2003</v>
      </c>
      <c r="W2265" s="747">
        <v>42983</v>
      </c>
      <c r="X2265" s="748">
        <v>42921</v>
      </c>
      <c r="Y2265" s="328" t="s">
        <v>7124</v>
      </c>
      <c r="Z2265" s="749">
        <v>260598</v>
      </c>
      <c r="AA2265" s="256">
        <v>42985</v>
      </c>
      <c r="AB2265" s="308" t="s">
        <v>7125</v>
      </c>
      <c r="AC2265" s="251">
        <v>2903602122</v>
      </c>
      <c r="AD2265" s="328"/>
      <c r="AE2265" s="328"/>
      <c r="AF2265" s="328"/>
      <c r="AG2265" s="251" t="s">
        <v>283</v>
      </c>
    </row>
    <row r="2266" spans="1:33" ht="15.75" customHeight="1">
      <c r="A2266" s="755">
        <v>42902</v>
      </c>
      <c r="B2266" s="386" t="s">
        <v>3516</v>
      </c>
      <c r="C2266" s="744">
        <v>300049</v>
      </c>
      <c r="D2266" s="328" t="s">
        <v>7126</v>
      </c>
      <c r="E2266" s="328" t="s">
        <v>7127</v>
      </c>
      <c r="F2266" s="585">
        <v>20</v>
      </c>
      <c r="G2266" s="772">
        <v>82</v>
      </c>
      <c r="H2266" s="265">
        <f t="shared" si="171"/>
        <v>1640</v>
      </c>
      <c r="I2266" s="997" t="s">
        <v>3315</v>
      </c>
      <c r="J2266" s="367" t="s">
        <v>3519</v>
      </c>
      <c r="K2266" s="256">
        <v>42912</v>
      </c>
      <c r="L2266" s="256"/>
      <c r="M2266" s="256">
        <v>42907</v>
      </c>
      <c r="N2266" s="585" t="s">
        <v>89</v>
      </c>
      <c r="O2266" s="308" t="s">
        <v>7128</v>
      </c>
      <c r="P2266" s="308">
        <v>1554</v>
      </c>
      <c r="Q2266" s="328"/>
      <c r="R2266" s="1407"/>
      <c r="S2266" s="1407"/>
      <c r="U2266" s="328"/>
      <c r="V2266" s="318" t="s">
        <v>5896</v>
      </c>
      <c r="W2266" s="789">
        <v>42947</v>
      </c>
      <c r="X2266" s="750">
        <v>42907</v>
      </c>
      <c r="Y2266" s="308" t="s">
        <v>7129</v>
      </c>
      <c r="Z2266" s="753">
        <v>46915</v>
      </c>
      <c r="AA2266" s="594">
        <v>42930</v>
      </c>
      <c r="AB2266" s="308" t="s">
        <v>7130</v>
      </c>
      <c r="AC2266" s="251">
        <v>779486764396</v>
      </c>
      <c r="AD2266" s="328"/>
      <c r="AE2266" s="328"/>
      <c r="AF2266" s="328"/>
      <c r="AG2266" s="251" t="s">
        <v>283</v>
      </c>
    </row>
    <row r="2267" spans="1:33" ht="15.75" customHeight="1">
      <c r="A2267" s="755">
        <v>42905</v>
      </c>
      <c r="B2267" s="386" t="s">
        <v>377</v>
      </c>
      <c r="C2267" s="744">
        <v>8080</v>
      </c>
      <c r="D2267" s="328" t="s">
        <v>7131</v>
      </c>
      <c r="E2267" s="328" t="s">
        <v>379</v>
      </c>
      <c r="F2267" s="1007">
        <v>198</v>
      </c>
      <c r="G2267" s="323">
        <v>62</v>
      </c>
      <c r="H2267" s="265">
        <f t="shared" si="171"/>
        <v>12276</v>
      </c>
      <c r="I2267" s="975" t="s">
        <v>3315</v>
      </c>
      <c r="J2267" s="367" t="s">
        <v>6817</v>
      </c>
      <c r="K2267" s="256">
        <v>42957</v>
      </c>
      <c r="L2267" s="256"/>
      <c r="M2267" s="256">
        <v>42951</v>
      </c>
      <c r="N2267" s="254" t="s">
        <v>2021</v>
      </c>
      <c r="O2267" s="328" t="s">
        <v>7132</v>
      </c>
      <c r="P2267" s="328"/>
      <c r="Q2267" s="572">
        <v>296465</v>
      </c>
      <c r="R2267" s="1413"/>
      <c r="S2267" s="1413"/>
      <c r="U2267" s="328"/>
      <c r="V2267" s="263" t="s">
        <v>2023</v>
      </c>
      <c r="W2267" s="789">
        <v>42983</v>
      </c>
      <c r="X2267" s="748">
        <v>42950</v>
      </c>
      <c r="Y2267" s="328" t="s">
        <v>7133</v>
      </c>
      <c r="Z2267" s="749">
        <v>296465</v>
      </c>
      <c r="AA2267" s="256">
        <v>42985</v>
      </c>
      <c r="AB2267" s="308" t="s">
        <v>7134</v>
      </c>
      <c r="AC2267" s="597" t="s">
        <v>7135</v>
      </c>
      <c r="AD2267" s="328"/>
      <c r="AE2267" s="328"/>
      <c r="AF2267" s="328"/>
      <c r="AG2267" s="251" t="s">
        <v>283</v>
      </c>
    </row>
    <row r="2268" spans="1:33" ht="15.75" customHeight="1">
      <c r="A2268" s="755">
        <v>42905</v>
      </c>
      <c r="B2268" s="386" t="s">
        <v>463</v>
      </c>
      <c r="C2268" s="744">
        <v>500775</v>
      </c>
      <c r="D2268" s="328" t="s">
        <v>7136</v>
      </c>
      <c r="E2268" s="328" t="s">
        <v>7137</v>
      </c>
      <c r="F2268" s="585">
        <v>1</v>
      </c>
      <c r="G2268" s="323">
        <v>160</v>
      </c>
      <c r="H2268" s="265">
        <f t="shared" si="171"/>
        <v>160</v>
      </c>
      <c r="I2268" s="975" t="s">
        <v>3315</v>
      </c>
      <c r="J2268" s="1022" t="s">
        <v>7033</v>
      </c>
      <c r="K2268" s="256">
        <v>42957</v>
      </c>
      <c r="L2268" s="256"/>
      <c r="M2268" s="256">
        <v>42947</v>
      </c>
      <c r="N2268" s="585" t="s">
        <v>6112</v>
      </c>
      <c r="O2268" s="328"/>
      <c r="P2268" s="308"/>
      <c r="Q2268" s="328"/>
      <c r="R2268" s="1407"/>
      <c r="S2268" s="1407"/>
      <c r="U2268" s="328"/>
      <c r="V2268" s="318"/>
      <c r="W2268" s="328"/>
      <c r="X2268" s="328"/>
      <c r="Y2268" s="328"/>
      <c r="Z2268" s="328"/>
      <c r="AA2268" s="1042"/>
      <c r="AB2268" s="308" t="s">
        <v>7035</v>
      </c>
      <c r="AC2268" s="251">
        <v>805576332</v>
      </c>
      <c r="AD2268" s="328"/>
      <c r="AE2268" s="328"/>
      <c r="AF2268" s="328"/>
      <c r="AG2268" s="251" t="s">
        <v>283</v>
      </c>
    </row>
    <row r="2269" spans="1:33" ht="15.75" customHeight="1">
      <c r="A2269" s="755">
        <v>42905</v>
      </c>
      <c r="B2269" s="386" t="s">
        <v>6626</v>
      </c>
      <c r="C2269" s="1043" t="s">
        <v>7138</v>
      </c>
      <c r="D2269" s="328" t="s">
        <v>7139</v>
      </c>
      <c r="E2269" s="328" t="s">
        <v>7140</v>
      </c>
      <c r="F2269" s="251">
        <v>6</v>
      </c>
      <c r="G2269" s="336">
        <v>200</v>
      </c>
      <c r="H2269" s="265">
        <f t="shared" si="171"/>
        <v>1200</v>
      </c>
      <c r="I2269" s="264" t="s">
        <v>3315</v>
      </c>
      <c r="J2269" s="361" t="s">
        <v>5189</v>
      </c>
      <c r="K2269" s="256">
        <v>42922</v>
      </c>
      <c r="L2269" s="256"/>
      <c r="M2269" s="256">
        <v>42920</v>
      </c>
      <c r="N2269" s="585" t="s">
        <v>7141</v>
      </c>
      <c r="O2269" s="308" t="s">
        <v>7142</v>
      </c>
      <c r="P2269" s="572">
        <v>1134</v>
      </c>
      <c r="Q2269" s="770">
        <v>34541</v>
      </c>
      <c r="R2269" s="1447"/>
      <c r="S2269" s="1447"/>
      <c r="U2269" s="328"/>
      <c r="V2269" s="318" t="s">
        <v>7143</v>
      </c>
      <c r="W2269" s="624">
        <v>42919</v>
      </c>
      <c r="X2269" s="750">
        <v>42920</v>
      </c>
      <c r="Y2269" s="308" t="s">
        <v>7144</v>
      </c>
      <c r="Z2269" s="753">
        <v>34530</v>
      </c>
      <c r="AA2269" s="328"/>
      <c r="AB2269" s="308" t="s">
        <v>7145</v>
      </c>
      <c r="AC2269" s="251">
        <v>77956330743</v>
      </c>
      <c r="AD2269" s="328"/>
      <c r="AE2269" s="328"/>
      <c r="AF2269" s="328"/>
      <c r="AG2269" s="251" t="s">
        <v>283</v>
      </c>
    </row>
    <row r="2270" spans="1:33" ht="15.75" customHeight="1">
      <c r="A2270" s="755">
        <v>42905</v>
      </c>
      <c r="B2270" s="386" t="s">
        <v>6626</v>
      </c>
      <c r="C2270" s="744">
        <v>1262017</v>
      </c>
      <c r="D2270" s="328" t="s">
        <v>7139</v>
      </c>
      <c r="E2270" s="328" t="s">
        <v>692</v>
      </c>
      <c r="F2270" s="1007">
        <v>1</v>
      </c>
      <c r="G2270" s="252">
        <v>25</v>
      </c>
      <c r="H2270" s="265">
        <f t="shared" si="171"/>
        <v>25</v>
      </c>
      <c r="I2270" s="264" t="s">
        <v>3315</v>
      </c>
      <c r="J2270" s="361" t="s">
        <v>5189</v>
      </c>
      <c r="K2270" s="256">
        <v>42922</v>
      </c>
      <c r="L2270" s="256"/>
      <c r="M2270" s="256">
        <v>42914</v>
      </c>
      <c r="N2270" s="585"/>
      <c r="O2270" s="328"/>
      <c r="P2270" s="328"/>
      <c r="Q2270" s="328"/>
      <c r="R2270" s="1407"/>
      <c r="S2270" s="1407"/>
      <c r="U2270" s="328"/>
      <c r="V2270" s="328"/>
      <c r="W2270" s="328"/>
      <c r="X2270" s="1044"/>
      <c r="Y2270" s="1044"/>
      <c r="Z2270" s="1044"/>
      <c r="AA2270" s="328"/>
      <c r="AB2270" s="308" t="s">
        <v>7145</v>
      </c>
      <c r="AC2270" s="251">
        <v>77956330743</v>
      </c>
      <c r="AD2270" s="328"/>
      <c r="AE2270" s="328"/>
      <c r="AF2270" s="328"/>
      <c r="AG2270" s="251" t="s">
        <v>283</v>
      </c>
    </row>
    <row r="2271" spans="1:33" ht="15.75" customHeight="1">
      <c r="A2271" s="755">
        <v>42905</v>
      </c>
      <c r="B2271" s="386" t="s">
        <v>4590</v>
      </c>
      <c r="C2271" s="1043" t="s">
        <v>7146</v>
      </c>
      <c r="D2271" s="328" t="s">
        <v>7136</v>
      </c>
      <c r="E2271" s="328" t="s">
        <v>6195</v>
      </c>
      <c r="F2271" s="254">
        <v>19</v>
      </c>
      <c r="G2271" s="252">
        <v>66</v>
      </c>
      <c r="H2271" s="265">
        <f t="shared" si="171"/>
        <v>1254</v>
      </c>
      <c r="I2271" s="997" t="s">
        <v>3315</v>
      </c>
      <c r="J2271" s="1022" t="s">
        <v>532</v>
      </c>
      <c r="K2271" s="256">
        <v>42919</v>
      </c>
      <c r="L2271" s="256"/>
      <c r="M2271" s="256">
        <v>42914</v>
      </c>
      <c r="N2271" s="401" t="s">
        <v>6196</v>
      </c>
      <c r="O2271" s="308" t="s">
        <v>7147</v>
      </c>
      <c r="P2271" s="328"/>
      <c r="Q2271" s="770">
        <v>32191</v>
      </c>
      <c r="R2271" s="1447"/>
      <c r="S2271" s="1447"/>
      <c r="U2271" s="328"/>
      <c r="V2271" s="597" t="s">
        <v>6198</v>
      </c>
      <c r="W2271" s="328"/>
      <c r="X2271" s="748">
        <v>42913</v>
      </c>
      <c r="Y2271" s="328" t="s">
        <v>7148</v>
      </c>
      <c r="Z2271" s="749">
        <v>32191</v>
      </c>
      <c r="AA2271" s="594">
        <v>42908</v>
      </c>
      <c r="AB2271" s="308" t="s">
        <v>7149</v>
      </c>
      <c r="AC2271" s="328"/>
      <c r="AD2271" s="328"/>
      <c r="AE2271" s="328"/>
      <c r="AF2271" s="328"/>
      <c r="AG2271" s="251" t="s">
        <v>283</v>
      </c>
    </row>
    <row r="2272" spans="1:33" ht="15.75" customHeight="1">
      <c r="A2272" s="755">
        <v>42905</v>
      </c>
      <c r="B2272" s="386" t="s">
        <v>4590</v>
      </c>
      <c r="C2272" s="1043" t="s">
        <v>7146</v>
      </c>
      <c r="D2272" s="328" t="s">
        <v>7136</v>
      </c>
      <c r="E2272" s="328" t="s">
        <v>7150</v>
      </c>
      <c r="F2272" s="264">
        <v>1</v>
      </c>
      <c r="G2272" s="252">
        <v>95</v>
      </c>
      <c r="H2272" s="265">
        <f t="shared" si="171"/>
        <v>95</v>
      </c>
      <c r="I2272" s="997" t="s">
        <v>3315</v>
      </c>
      <c r="J2272" s="1022" t="s">
        <v>532</v>
      </c>
      <c r="K2272" s="256">
        <v>42919</v>
      </c>
      <c r="L2272" s="256"/>
      <c r="M2272" s="256">
        <v>42914</v>
      </c>
      <c r="N2272" s="254" t="s">
        <v>1999</v>
      </c>
      <c r="O2272" s="744"/>
      <c r="P2272" s="337"/>
      <c r="Q2272" s="630">
        <v>2962</v>
      </c>
      <c r="R2272" s="1415"/>
      <c r="S2272" s="1415"/>
      <c r="U2272" s="328"/>
      <c r="V2272" s="318" t="s">
        <v>2000</v>
      </c>
      <c r="W2272" s="747">
        <v>42953</v>
      </c>
      <c r="X2272" s="748">
        <v>42925</v>
      </c>
      <c r="Y2272" s="328" t="s">
        <v>7151</v>
      </c>
      <c r="Z2272" s="749">
        <v>2962</v>
      </c>
      <c r="AA2272" s="594">
        <v>42951</v>
      </c>
      <c r="AB2272" s="308" t="s">
        <v>7149</v>
      </c>
      <c r="AC2272" s="328"/>
      <c r="AD2272" s="328"/>
      <c r="AE2272" s="328"/>
      <c r="AF2272" s="328"/>
      <c r="AG2272" s="251" t="s">
        <v>283</v>
      </c>
    </row>
    <row r="2273" spans="1:33" ht="15.75" customHeight="1">
      <c r="A2273" s="755">
        <v>42907</v>
      </c>
      <c r="B2273" s="592" t="s">
        <v>3386</v>
      </c>
      <c r="C2273" s="328"/>
      <c r="D2273" s="328" t="s">
        <v>7152</v>
      </c>
      <c r="E2273" s="328" t="s">
        <v>7153</v>
      </c>
      <c r="F2273" s="305">
        <v>1</v>
      </c>
      <c r="G2273" s="336">
        <v>410</v>
      </c>
      <c r="H2273" s="265">
        <f t="shared" si="171"/>
        <v>410</v>
      </c>
      <c r="I2273" s="975" t="s">
        <v>3315</v>
      </c>
      <c r="J2273" s="367" t="s">
        <v>532</v>
      </c>
      <c r="K2273" s="256">
        <v>42999</v>
      </c>
      <c r="L2273" s="256"/>
      <c r="M2273" s="256">
        <v>42998</v>
      </c>
      <c r="N2273" s="585" t="s">
        <v>6112</v>
      </c>
      <c r="O2273" s="308" t="s">
        <v>7154</v>
      </c>
      <c r="P2273" s="328"/>
      <c r="Q2273" s="328"/>
      <c r="R2273" s="1407"/>
      <c r="S2273" s="1407"/>
      <c r="U2273" s="328"/>
      <c r="V2273" s="386"/>
      <c r="W2273" s="771"/>
      <c r="X2273" s="748">
        <v>42943</v>
      </c>
      <c r="Y2273" s="328" t="s">
        <v>7155</v>
      </c>
      <c r="Z2273" s="328" t="s">
        <v>7156</v>
      </c>
      <c r="AA2273" s="328"/>
      <c r="AB2273" s="250" t="s">
        <v>7157</v>
      </c>
      <c r="AC2273" s="251">
        <v>9860739136</v>
      </c>
      <c r="AD2273" s="328"/>
      <c r="AE2273" s="328"/>
      <c r="AF2273" s="328"/>
      <c r="AG2273" s="251" t="s">
        <v>283</v>
      </c>
    </row>
    <row r="2274" spans="1:33" ht="15.75" customHeight="1">
      <c r="A2274" s="755">
        <v>42907</v>
      </c>
      <c r="B2274" s="592" t="s">
        <v>3386</v>
      </c>
      <c r="C2274" s="328"/>
      <c r="D2274" s="328" t="s">
        <v>7152</v>
      </c>
      <c r="E2274" s="328" t="s">
        <v>7158</v>
      </c>
      <c r="F2274" s="305">
        <v>1</v>
      </c>
      <c r="G2274" s="336">
        <v>225</v>
      </c>
      <c r="H2274" s="265">
        <f t="shared" si="171"/>
        <v>225</v>
      </c>
      <c r="I2274" s="975" t="s">
        <v>3315</v>
      </c>
      <c r="J2274" s="367" t="s">
        <v>3389</v>
      </c>
      <c r="K2274" s="256">
        <v>42950</v>
      </c>
      <c r="L2274" s="256"/>
      <c r="M2274" s="256">
        <v>42937</v>
      </c>
      <c r="N2274" s="251" t="s">
        <v>7159</v>
      </c>
      <c r="O2274" s="308" t="s">
        <v>7160</v>
      </c>
      <c r="P2274" s="328"/>
      <c r="Q2274" s="328"/>
      <c r="R2274" s="1407"/>
      <c r="S2274" s="1407"/>
      <c r="U2274" s="328"/>
      <c r="V2274" s="386"/>
      <c r="W2274" s="789">
        <v>42937</v>
      </c>
      <c r="X2274" s="748">
        <v>42940</v>
      </c>
      <c r="Y2274" s="250" t="s">
        <v>7161</v>
      </c>
      <c r="Z2274" s="753">
        <v>4725</v>
      </c>
      <c r="AA2274" s="818"/>
      <c r="AB2274" s="308" t="s">
        <v>7162</v>
      </c>
      <c r="AC2274" s="328"/>
      <c r="AD2274" s="328"/>
      <c r="AE2274" s="328"/>
      <c r="AF2274" s="328"/>
      <c r="AG2274" s="251" t="s">
        <v>283</v>
      </c>
    </row>
    <row r="2275" spans="1:33" ht="15.75" customHeight="1">
      <c r="A2275" s="755">
        <v>42907</v>
      </c>
      <c r="B2275" s="592" t="s">
        <v>3386</v>
      </c>
      <c r="C2275" s="328"/>
      <c r="D2275" s="328" t="s">
        <v>7152</v>
      </c>
      <c r="E2275" s="328" t="s">
        <v>7163</v>
      </c>
      <c r="F2275" s="305">
        <v>10</v>
      </c>
      <c r="G2275" s="336">
        <v>61</v>
      </c>
      <c r="H2275" s="265">
        <f t="shared" si="171"/>
        <v>610</v>
      </c>
      <c r="I2275" s="975" t="s">
        <v>3315</v>
      </c>
      <c r="J2275" s="367" t="s">
        <v>3389</v>
      </c>
      <c r="K2275" s="256">
        <v>42950</v>
      </c>
      <c r="L2275" s="256"/>
      <c r="M2275" s="865">
        <v>42930</v>
      </c>
      <c r="N2275" s="254" t="s">
        <v>2124</v>
      </c>
      <c r="O2275" s="308" t="s">
        <v>7164</v>
      </c>
      <c r="P2275" s="328"/>
      <c r="Q2275" s="572">
        <v>16454</v>
      </c>
      <c r="R2275" s="1413"/>
      <c r="S2275" s="1413"/>
      <c r="U2275" s="328"/>
      <c r="V2275" s="318" t="s">
        <v>2126</v>
      </c>
      <c r="W2275" s="747">
        <v>42927</v>
      </c>
      <c r="X2275" s="748">
        <v>42926</v>
      </c>
      <c r="Y2275" s="328" t="s">
        <v>7165</v>
      </c>
      <c r="Z2275" s="749">
        <v>16454</v>
      </c>
      <c r="AA2275" s="256">
        <v>42923</v>
      </c>
      <c r="AB2275" s="308" t="s">
        <v>7162</v>
      </c>
      <c r="AC2275" s="328"/>
      <c r="AD2275" s="328"/>
      <c r="AE2275" s="328"/>
      <c r="AF2275" s="328"/>
      <c r="AG2275" s="251" t="s">
        <v>283</v>
      </c>
    </row>
    <row r="2276" spans="1:33" ht="15.75" customHeight="1">
      <c r="A2276" s="755">
        <v>42907</v>
      </c>
      <c r="B2276" s="592" t="s">
        <v>3386</v>
      </c>
      <c r="C2276" s="328"/>
      <c r="D2276" s="328" t="s">
        <v>7152</v>
      </c>
      <c r="E2276" s="328" t="s">
        <v>6929</v>
      </c>
      <c r="F2276" s="305">
        <v>10</v>
      </c>
      <c r="G2276" s="336">
        <v>103</v>
      </c>
      <c r="H2276" s="265">
        <f t="shared" si="171"/>
        <v>1030</v>
      </c>
      <c r="I2276" s="975" t="s">
        <v>3315</v>
      </c>
      <c r="J2276" s="367" t="s">
        <v>3389</v>
      </c>
      <c r="K2276" s="256">
        <v>42950</v>
      </c>
      <c r="L2276" s="256"/>
      <c r="M2276" s="256">
        <v>42930</v>
      </c>
      <c r="N2276" s="254" t="s">
        <v>2124</v>
      </c>
      <c r="O2276" s="308" t="s">
        <v>7164</v>
      </c>
      <c r="P2276" s="328"/>
      <c r="Q2276" s="572">
        <v>26659</v>
      </c>
      <c r="R2276" s="1413"/>
      <c r="S2276" s="1413"/>
      <c r="U2276" s="328"/>
      <c r="V2276" s="318" t="s">
        <v>2126</v>
      </c>
      <c r="W2276" s="747">
        <v>42927</v>
      </c>
      <c r="X2276" s="748">
        <v>42926</v>
      </c>
      <c r="Y2276" s="328" t="s">
        <v>7166</v>
      </c>
      <c r="Z2276" s="749">
        <v>26660</v>
      </c>
      <c r="AA2276" s="256">
        <v>42923</v>
      </c>
      <c r="AB2276" s="308" t="s">
        <v>7162</v>
      </c>
      <c r="AC2276" s="328"/>
      <c r="AD2276" s="328"/>
      <c r="AE2276" s="328"/>
      <c r="AF2276" s="328"/>
      <c r="AG2276" s="251" t="s">
        <v>283</v>
      </c>
    </row>
    <row r="2277" spans="1:33" ht="15.75" customHeight="1">
      <c r="A2277" s="755">
        <v>42907</v>
      </c>
      <c r="B2277" s="386" t="s">
        <v>100</v>
      </c>
      <c r="C2277" s="328" t="s">
        <v>7167</v>
      </c>
      <c r="D2277" s="328" t="s">
        <v>7168</v>
      </c>
      <c r="E2277" s="328" t="s">
        <v>7169</v>
      </c>
      <c r="F2277" s="305">
        <v>9</v>
      </c>
      <c r="G2277" s="323">
        <v>847</v>
      </c>
      <c r="H2277" s="265">
        <f t="shared" si="171"/>
        <v>7623</v>
      </c>
      <c r="I2277" s="264" t="s">
        <v>3315</v>
      </c>
      <c r="J2277" s="267" t="s">
        <v>7061</v>
      </c>
      <c r="K2277" s="256">
        <v>42922</v>
      </c>
      <c r="L2277" s="256"/>
      <c r="M2277" s="256">
        <v>42921</v>
      </c>
      <c r="N2277" s="401" t="s">
        <v>1414</v>
      </c>
      <c r="O2277" s="308" t="s">
        <v>7170</v>
      </c>
      <c r="P2277" s="328"/>
      <c r="Q2277" s="572">
        <v>235881</v>
      </c>
      <c r="R2277" s="1413"/>
      <c r="S2277" s="1413"/>
      <c r="U2277" s="328"/>
      <c r="V2277" s="318" t="s">
        <v>1947</v>
      </c>
      <c r="W2277" s="789">
        <v>42978</v>
      </c>
      <c r="X2277" s="748">
        <v>42921</v>
      </c>
      <c r="Y2277" s="328" t="s">
        <v>7171</v>
      </c>
      <c r="Z2277" s="749">
        <v>237318</v>
      </c>
      <c r="AA2277" s="256">
        <v>42979</v>
      </c>
      <c r="AB2277" s="308" t="s">
        <v>7125</v>
      </c>
      <c r="AC2277" s="251">
        <v>2903602122</v>
      </c>
      <c r="AD2277" s="328"/>
      <c r="AE2277" s="328"/>
      <c r="AF2277" s="328"/>
      <c r="AG2277" s="251" t="s">
        <v>283</v>
      </c>
    </row>
    <row r="2278" spans="1:33" ht="15.75" customHeight="1">
      <c r="A2278" s="755">
        <v>42907</v>
      </c>
      <c r="B2278" s="386" t="s">
        <v>100</v>
      </c>
      <c r="C2278" s="328" t="s">
        <v>7167</v>
      </c>
      <c r="D2278" s="328" t="s">
        <v>7168</v>
      </c>
      <c r="E2278" s="328" t="s">
        <v>6823</v>
      </c>
      <c r="F2278" s="305">
        <v>9</v>
      </c>
      <c r="G2278" s="323">
        <v>6</v>
      </c>
      <c r="H2278" s="265">
        <f t="shared" si="171"/>
        <v>54</v>
      </c>
      <c r="I2278" s="264" t="s">
        <v>3315</v>
      </c>
      <c r="J2278" s="267" t="s">
        <v>7061</v>
      </c>
      <c r="K2278" s="256">
        <v>42922</v>
      </c>
      <c r="L2278" s="256"/>
      <c r="M2278" s="256">
        <v>42921</v>
      </c>
      <c r="N2278" s="331" t="s">
        <v>1414</v>
      </c>
      <c r="O2278" s="308" t="s">
        <v>7170</v>
      </c>
      <c r="P2278" s="328"/>
      <c r="Q2278" s="572">
        <v>1436</v>
      </c>
      <c r="R2278" s="1413"/>
      <c r="S2278" s="1413"/>
      <c r="U2278" s="328"/>
      <c r="V2278" s="318" t="s">
        <v>1947</v>
      </c>
      <c r="W2278" s="789">
        <v>42978</v>
      </c>
      <c r="X2278" s="748">
        <v>42921</v>
      </c>
      <c r="Y2278" s="1045" t="s">
        <v>7171</v>
      </c>
      <c r="Z2278" s="1045" t="s">
        <v>7172</v>
      </c>
      <c r="AA2278" s="1046">
        <v>42979</v>
      </c>
      <c r="AB2278" s="308" t="s">
        <v>7125</v>
      </c>
      <c r="AC2278" s="251">
        <v>2903602122</v>
      </c>
      <c r="AD2278" s="328"/>
      <c r="AE2278" s="328"/>
      <c r="AF2278" s="328"/>
      <c r="AG2278" s="251" t="s">
        <v>283</v>
      </c>
    </row>
    <row r="2279" spans="1:33" ht="15.75" customHeight="1">
      <c r="A2279" s="755">
        <v>42907</v>
      </c>
      <c r="B2279" s="386" t="s">
        <v>100</v>
      </c>
      <c r="C2279" s="328" t="s">
        <v>7167</v>
      </c>
      <c r="D2279" s="328" t="s">
        <v>7168</v>
      </c>
      <c r="E2279" s="328" t="s">
        <v>6829</v>
      </c>
      <c r="F2279" s="305">
        <v>9</v>
      </c>
      <c r="G2279" s="323">
        <f>G2276*10%</f>
        <v>10.3</v>
      </c>
      <c r="H2279" s="265">
        <f t="shared" si="171"/>
        <v>92.7</v>
      </c>
      <c r="I2279" s="264" t="s">
        <v>3315</v>
      </c>
      <c r="J2279" s="267" t="s">
        <v>7061</v>
      </c>
      <c r="K2279" s="256">
        <v>42922</v>
      </c>
      <c r="L2279" s="256"/>
      <c r="M2279" s="256">
        <v>42921</v>
      </c>
      <c r="N2279" s="401" t="s">
        <v>1414</v>
      </c>
      <c r="O2279" s="308" t="s">
        <v>7170</v>
      </c>
      <c r="P2279" s="328"/>
      <c r="Q2279" s="574" t="s">
        <v>7173</v>
      </c>
      <c r="R2279" s="1405"/>
      <c r="S2279" s="1405"/>
      <c r="U2279" s="328"/>
      <c r="V2279" s="308" t="s">
        <v>1947</v>
      </c>
      <c r="W2279" s="789">
        <v>42978</v>
      </c>
      <c r="X2279" s="748">
        <v>42921</v>
      </c>
      <c r="Y2279" s="328" t="s">
        <v>7171</v>
      </c>
      <c r="Z2279" s="328" t="s">
        <v>7172</v>
      </c>
      <c r="AA2279" s="256">
        <v>42979</v>
      </c>
      <c r="AB2279" s="308" t="s">
        <v>7125</v>
      </c>
      <c r="AC2279" s="251">
        <v>2903602122</v>
      </c>
      <c r="AD2279" s="328"/>
      <c r="AE2279" s="328"/>
      <c r="AF2279" s="328"/>
      <c r="AG2279" s="251" t="s">
        <v>283</v>
      </c>
    </row>
    <row r="2280" spans="1:33" ht="15.75" customHeight="1">
      <c r="A2280" s="755">
        <v>42907</v>
      </c>
      <c r="B2280" s="386" t="s">
        <v>100</v>
      </c>
      <c r="C2280" s="328" t="s">
        <v>7167</v>
      </c>
      <c r="D2280" s="328" t="s">
        <v>7168</v>
      </c>
      <c r="E2280" s="328" t="s">
        <v>6738</v>
      </c>
      <c r="F2280" s="305">
        <v>9</v>
      </c>
      <c r="G2280" s="323">
        <v>44</v>
      </c>
      <c r="H2280" s="265">
        <f t="shared" si="171"/>
        <v>396</v>
      </c>
      <c r="I2280" s="264" t="s">
        <v>3315</v>
      </c>
      <c r="J2280" s="267" t="s">
        <v>7061</v>
      </c>
      <c r="K2280" s="256">
        <v>42922</v>
      </c>
      <c r="L2280" s="256"/>
      <c r="M2280" s="256">
        <v>42920</v>
      </c>
      <c r="N2280" s="401" t="s">
        <v>2411</v>
      </c>
      <c r="O2280" s="308" t="s">
        <v>7174</v>
      </c>
      <c r="P2280" s="328"/>
      <c r="Q2280" s="572">
        <v>9356</v>
      </c>
      <c r="R2280" s="1413"/>
      <c r="S2280" s="1413"/>
      <c r="U2280" s="328"/>
      <c r="V2280" s="308" t="s">
        <v>4328</v>
      </c>
      <c r="W2280" s="624">
        <v>42952</v>
      </c>
      <c r="X2280" s="748">
        <v>42919</v>
      </c>
      <c r="Y2280" s="328" t="s">
        <v>7175</v>
      </c>
      <c r="Z2280" s="749">
        <v>9356</v>
      </c>
      <c r="AA2280" s="594">
        <v>42951</v>
      </c>
      <c r="AB2280" s="308" t="s">
        <v>7125</v>
      </c>
      <c r="AC2280" s="251">
        <v>2903602122</v>
      </c>
      <c r="AD2280" s="328"/>
      <c r="AE2280" s="328"/>
      <c r="AF2280" s="328"/>
      <c r="AG2280" s="251" t="s">
        <v>283</v>
      </c>
    </row>
    <row r="2281" spans="1:33" ht="15.75" customHeight="1">
      <c r="A2281" s="594">
        <v>42907</v>
      </c>
      <c r="B2281" s="590" t="s">
        <v>7107</v>
      </c>
      <c r="C2281" s="744">
        <v>7000130574</v>
      </c>
      <c r="D2281" s="308" t="s">
        <v>7176</v>
      </c>
      <c r="E2281" s="308" t="s">
        <v>3567</v>
      </c>
      <c r="F2281" s="305">
        <v>5</v>
      </c>
      <c r="G2281" s="252">
        <v>39</v>
      </c>
      <c r="H2281" s="265">
        <f t="shared" si="171"/>
        <v>195</v>
      </c>
      <c r="I2281" s="264" t="s">
        <v>42</v>
      </c>
      <c r="J2281" s="401" t="s">
        <v>6092</v>
      </c>
      <c r="K2281" s="256">
        <v>42912</v>
      </c>
      <c r="L2281" s="256"/>
      <c r="M2281" s="256">
        <v>42909</v>
      </c>
      <c r="N2281" s="264" t="s">
        <v>3432</v>
      </c>
      <c r="O2281" s="308" t="s">
        <v>7177</v>
      </c>
      <c r="P2281" s="328"/>
      <c r="Q2281" s="572">
        <v>5470</v>
      </c>
      <c r="R2281" s="1413"/>
      <c r="S2281" s="1413"/>
      <c r="U2281" s="328"/>
      <c r="V2281" s="308" t="s">
        <v>2045</v>
      </c>
      <c r="W2281" s="789">
        <v>42978</v>
      </c>
      <c r="X2281" s="748">
        <v>42909</v>
      </c>
      <c r="Y2281" s="328" t="s">
        <v>7178</v>
      </c>
      <c r="Z2281" s="749">
        <v>110602</v>
      </c>
      <c r="AA2281" s="256">
        <v>42979</v>
      </c>
      <c r="AB2281" s="308" t="s">
        <v>7179</v>
      </c>
      <c r="AC2281" s="328"/>
      <c r="AD2281" s="328"/>
      <c r="AE2281" s="328"/>
      <c r="AF2281" s="328"/>
      <c r="AG2281" s="251" t="s">
        <v>283</v>
      </c>
    </row>
    <row r="2282" spans="1:33" ht="15.75" customHeight="1">
      <c r="A2282" s="594">
        <v>42907</v>
      </c>
      <c r="B2282" s="590" t="s">
        <v>7107</v>
      </c>
      <c r="C2282" s="744">
        <v>7000130574</v>
      </c>
      <c r="D2282" s="308" t="s">
        <v>7176</v>
      </c>
      <c r="E2282" s="308" t="s">
        <v>4485</v>
      </c>
      <c r="F2282" s="305">
        <v>5</v>
      </c>
      <c r="G2282" s="252">
        <v>249</v>
      </c>
      <c r="H2282" s="265">
        <f t="shared" si="171"/>
        <v>1245</v>
      </c>
      <c r="I2282" s="264" t="s">
        <v>42</v>
      </c>
      <c r="J2282" s="401" t="s">
        <v>6092</v>
      </c>
      <c r="K2282" s="256">
        <v>42912</v>
      </c>
      <c r="L2282" s="256"/>
      <c r="M2282" s="256">
        <v>42909</v>
      </c>
      <c r="N2282" s="264" t="s">
        <v>3432</v>
      </c>
      <c r="O2282" s="308" t="s">
        <v>7177</v>
      </c>
      <c r="P2282" s="328"/>
      <c r="Q2282" s="572">
        <v>35280</v>
      </c>
      <c r="R2282" s="1413"/>
      <c r="S2282" s="1413"/>
      <c r="U2282" s="328"/>
      <c r="V2282" s="308" t="s">
        <v>2045</v>
      </c>
      <c r="W2282" s="789">
        <v>42978</v>
      </c>
      <c r="X2282" s="748">
        <v>42909</v>
      </c>
      <c r="Y2282" s="328" t="s">
        <v>7178</v>
      </c>
      <c r="Z2282" s="328" t="s">
        <v>7180</v>
      </c>
      <c r="AA2282" s="256">
        <v>42979</v>
      </c>
      <c r="AB2282" s="308" t="s">
        <v>7179</v>
      </c>
      <c r="AC2282" s="328"/>
      <c r="AD2282" s="328"/>
      <c r="AE2282" s="328"/>
      <c r="AF2282" s="328"/>
      <c r="AG2282" s="251" t="s">
        <v>283</v>
      </c>
    </row>
    <row r="2283" spans="1:33" ht="15.75" customHeight="1">
      <c r="A2283" s="594">
        <v>42907</v>
      </c>
      <c r="B2283" s="590" t="s">
        <v>7107</v>
      </c>
      <c r="C2283" s="744">
        <v>7000130574</v>
      </c>
      <c r="D2283" s="308" t="s">
        <v>7176</v>
      </c>
      <c r="E2283" s="308" t="s">
        <v>4488</v>
      </c>
      <c r="F2283" s="305">
        <v>5</v>
      </c>
      <c r="G2283" s="252">
        <v>285</v>
      </c>
      <c r="H2283" s="265">
        <f t="shared" si="171"/>
        <v>1425</v>
      </c>
      <c r="I2283" s="264" t="s">
        <v>42</v>
      </c>
      <c r="J2283" s="401" t="s">
        <v>6092</v>
      </c>
      <c r="K2283" s="256">
        <v>42912</v>
      </c>
      <c r="L2283" s="256"/>
      <c r="M2283" s="256">
        <v>42909</v>
      </c>
      <c r="N2283" s="264" t="s">
        <v>3432</v>
      </c>
      <c r="O2283" s="308" t="s">
        <v>7177</v>
      </c>
      <c r="P2283" s="328"/>
      <c r="Q2283" s="572">
        <v>40320</v>
      </c>
      <c r="R2283" s="1413"/>
      <c r="S2283" s="1413"/>
      <c r="U2283" s="328"/>
      <c r="V2283" s="308" t="s">
        <v>2045</v>
      </c>
      <c r="W2283" s="789">
        <v>42978</v>
      </c>
      <c r="X2283" s="748">
        <v>42909</v>
      </c>
      <c r="Y2283" s="328" t="s">
        <v>7178</v>
      </c>
      <c r="Z2283" s="328" t="s">
        <v>7180</v>
      </c>
      <c r="AA2283" s="256">
        <v>42979</v>
      </c>
      <c r="AB2283" s="308" t="s">
        <v>7179</v>
      </c>
      <c r="AC2283" s="328"/>
      <c r="AD2283" s="328"/>
      <c r="AE2283" s="328"/>
      <c r="AF2283" s="328"/>
      <c r="AG2283" s="251" t="s">
        <v>283</v>
      </c>
    </row>
    <row r="2284" spans="1:33" ht="15.75" customHeight="1">
      <c r="A2284" s="594">
        <v>42907</v>
      </c>
      <c r="B2284" s="590" t="s">
        <v>7107</v>
      </c>
      <c r="C2284" s="744">
        <v>7000130574</v>
      </c>
      <c r="D2284" s="308" t="s">
        <v>7176</v>
      </c>
      <c r="E2284" s="308" t="s">
        <v>6935</v>
      </c>
      <c r="F2284" s="305">
        <v>3</v>
      </c>
      <c r="G2284" s="252">
        <v>85</v>
      </c>
      <c r="H2284" s="265">
        <f t="shared" si="171"/>
        <v>255</v>
      </c>
      <c r="I2284" s="264" t="s">
        <v>42</v>
      </c>
      <c r="J2284" s="401" t="s">
        <v>6092</v>
      </c>
      <c r="K2284" s="256">
        <v>42912</v>
      </c>
      <c r="L2284" s="256"/>
      <c r="M2284" s="256">
        <v>42909</v>
      </c>
      <c r="N2284" s="264" t="s">
        <v>3432</v>
      </c>
      <c r="O2284" s="308" t="s">
        <v>7177</v>
      </c>
      <c r="P2284" s="328"/>
      <c r="Q2284" s="572">
        <v>7132</v>
      </c>
      <c r="R2284" s="1413"/>
      <c r="S2284" s="1413"/>
      <c r="U2284" s="328"/>
      <c r="V2284" s="308" t="s">
        <v>2045</v>
      </c>
      <c r="W2284" s="789">
        <v>42978</v>
      </c>
      <c r="X2284" s="748">
        <v>42909</v>
      </c>
      <c r="Y2284" s="328" t="s">
        <v>7178</v>
      </c>
      <c r="Z2284" s="328" t="s">
        <v>7180</v>
      </c>
      <c r="AA2284" s="256">
        <v>42979</v>
      </c>
      <c r="AB2284" s="308" t="s">
        <v>7179</v>
      </c>
      <c r="AC2284" s="328"/>
      <c r="AD2284" s="328"/>
      <c r="AE2284" s="328"/>
      <c r="AF2284" s="328"/>
      <c r="AG2284" s="251" t="s">
        <v>283</v>
      </c>
    </row>
    <row r="2285" spans="1:33" ht="15.75" customHeight="1">
      <c r="A2285" s="594">
        <v>42907</v>
      </c>
      <c r="B2285" s="590" t="s">
        <v>7107</v>
      </c>
      <c r="C2285" s="744">
        <v>7000130574</v>
      </c>
      <c r="D2285" s="308" t="s">
        <v>7176</v>
      </c>
      <c r="E2285" s="308" t="s">
        <v>7181</v>
      </c>
      <c r="F2285" s="305">
        <v>3</v>
      </c>
      <c r="G2285" s="252">
        <v>263</v>
      </c>
      <c r="H2285" s="265">
        <f t="shared" si="171"/>
        <v>789</v>
      </c>
      <c r="I2285" s="264" t="s">
        <v>42</v>
      </c>
      <c r="J2285" s="401" t="s">
        <v>6092</v>
      </c>
      <c r="K2285" s="256">
        <v>42912</v>
      </c>
      <c r="L2285" s="256"/>
      <c r="M2285" s="256">
        <v>42909</v>
      </c>
      <c r="N2285" s="264" t="s">
        <v>3432</v>
      </c>
      <c r="O2285" s="308" t="s">
        <v>7177</v>
      </c>
      <c r="P2285" s="328"/>
      <c r="Q2285" s="572">
        <v>22400</v>
      </c>
      <c r="R2285" s="1413"/>
      <c r="S2285" s="1413"/>
      <c r="U2285" s="328"/>
      <c r="V2285" s="308" t="s">
        <v>2045</v>
      </c>
      <c r="W2285" s="789">
        <v>42978</v>
      </c>
      <c r="X2285" s="748">
        <v>42909</v>
      </c>
      <c r="Y2285" s="328" t="s">
        <v>7178</v>
      </c>
      <c r="Z2285" s="328" t="s">
        <v>7180</v>
      </c>
      <c r="AA2285" s="256">
        <v>42979</v>
      </c>
      <c r="AB2285" s="308" t="s">
        <v>7179</v>
      </c>
      <c r="AC2285" s="328"/>
      <c r="AD2285" s="328"/>
      <c r="AE2285" s="328"/>
      <c r="AF2285" s="328"/>
      <c r="AG2285" s="251" t="s">
        <v>283</v>
      </c>
    </row>
    <row r="2286" spans="1:33" ht="15.75" customHeight="1">
      <c r="A2286" s="743">
        <v>42908</v>
      </c>
      <c r="B2286" s="970" t="s">
        <v>372</v>
      </c>
      <c r="C2286" s="744">
        <v>201706210005</v>
      </c>
      <c r="D2286" s="250" t="s">
        <v>7182</v>
      </c>
      <c r="E2286" s="250" t="s">
        <v>374</v>
      </c>
      <c r="F2286" s="305">
        <v>60</v>
      </c>
      <c r="G2286" s="252">
        <v>63</v>
      </c>
      <c r="H2286" s="308">
        <f t="shared" si="171"/>
        <v>3780</v>
      </c>
      <c r="I2286" s="264" t="s">
        <v>42</v>
      </c>
      <c r="J2286" s="254" t="s">
        <v>89</v>
      </c>
      <c r="K2286" s="256">
        <v>43047</v>
      </c>
      <c r="L2286" s="256"/>
      <c r="M2286" s="256">
        <v>43047</v>
      </c>
      <c r="N2286" s="251" t="s">
        <v>89</v>
      </c>
      <c r="O2286" s="308" t="s">
        <v>7183</v>
      </c>
      <c r="P2286" s="572">
        <v>3528</v>
      </c>
      <c r="Q2286" s="328"/>
      <c r="R2286" s="1407"/>
      <c r="S2286" s="1407"/>
      <c r="U2286" s="328"/>
      <c r="V2286" s="338" t="s">
        <v>93</v>
      </c>
      <c r="W2286" s="747">
        <v>43100</v>
      </c>
      <c r="X2286" s="748">
        <v>43047</v>
      </c>
      <c r="Y2286" s="328" t="s">
        <v>7184</v>
      </c>
      <c r="Z2286" s="749">
        <v>106581</v>
      </c>
      <c r="AA2286" s="594">
        <v>43110</v>
      </c>
      <c r="AB2286" s="328" t="s">
        <v>7185</v>
      </c>
      <c r="AC2286" s="328"/>
      <c r="AD2286" s="595" t="s">
        <v>7186</v>
      </c>
      <c r="AE2286" s="260">
        <v>114099</v>
      </c>
      <c r="AF2286" s="328" t="s">
        <v>5537</v>
      </c>
      <c r="AG2286" s="251" t="s">
        <v>283</v>
      </c>
    </row>
    <row r="2287" spans="1:33" ht="15.75" customHeight="1">
      <c r="A2287" s="743">
        <v>42908</v>
      </c>
      <c r="B2287" s="970" t="s">
        <v>372</v>
      </c>
      <c r="C2287" s="744">
        <v>201706210005</v>
      </c>
      <c r="D2287" s="250" t="s">
        <v>7187</v>
      </c>
      <c r="E2287" s="250" t="s">
        <v>374</v>
      </c>
      <c r="F2287" s="305">
        <v>60</v>
      </c>
      <c r="G2287" s="252">
        <v>63</v>
      </c>
      <c r="H2287" s="308">
        <f t="shared" si="171"/>
        <v>3780</v>
      </c>
      <c r="I2287" s="264" t="s">
        <v>42</v>
      </c>
      <c r="J2287" s="254" t="s">
        <v>89</v>
      </c>
      <c r="K2287" s="256">
        <v>42976</v>
      </c>
      <c r="L2287" s="256"/>
      <c r="M2287" s="256">
        <v>42975</v>
      </c>
      <c r="N2287" s="251" t="s">
        <v>89</v>
      </c>
      <c r="O2287" s="308" t="s">
        <v>7188</v>
      </c>
      <c r="P2287" s="572">
        <v>3528</v>
      </c>
      <c r="Q2287" s="328"/>
      <c r="R2287" s="1407"/>
      <c r="S2287" s="1407"/>
      <c r="U2287" s="328"/>
      <c r="V2287" s="338" t="s">
        <v>93</v>
      </c>
      <c r="W2287" s="747">
        <v>43039</v>
      </c>
      <c r="X2287" s="750">
        <v>42975</v>
      </c>
      <c r="Y2287" s="308" t="s">
        <v>7189</v>
      </c>
      <c r="Z2287" s="753">
        <v>106669</v>
      </c>
      <c r="AA2287" s="256">
        <v>43034</v>
      </c>
      <c r="AB2287" s="328" t="s">
        <v>7190</v>
      </c>
      <c r="AC2287" s="328"/>
      <c r="AD2287" s="595" t="s">
        <v>7191</v>
      </c>
      <c r="AE2287" s="260">
        <v>114269</v>
      </c>
      <c r="AF2287" s="328" t="s">
        <v>5005</v>
      </c>
      <c r="AG2287" s="251" t="s">
        <v>376</v>
      </c>
    </row>
    <row r="2288" spans="1:33" ht="15.75" customHeight="1">
      <c r="A2288" s="755">
        <v>42908</v>
      </c>
      <c r="B2288" s="823" t="s">
        <v>3479</v>
      </c>
      <c r="C2288" s="744"/>
      <c r="D2288" s="744" t="s">
        <v>7192</v>
      </c>
      <c r="E2288" s="744" t="s">
        <v>3481</v>
      </c>
      <c r="F2288" s="305">
        <v>10</v>
      </c>
      <c r="G2288" s="252">
        <f>281</f>
        <v>281</v>
      </c>
      <c r="H2288" s="308">
        <f t="shared" si="171"/>
        <v>2810</v>
      </c>
      <c r="I2288" s="975" t="s">
        <v>3315</v>
      </c>
      <c r="J2288" s="367" t="s">
        <v>6742</v>
      </c>
      <c r="K2288" s="256">
        <v>42926</v>
      </c>
      <c r="L2288" s="256"/>
      <c r="M2288" s="256">
        <v>42922</v>
      </c>
      <c r="N2288" s="401" t="s">
        <v>2001</v>
      </c>
      <c r="O2288" s="308" t="s">
        <v>7193</v>
      </c>
      <c r="P2288" s="266">
        <v>2761.5</v>
      </c>
      <c r="Q2288" s="328"/>
      <c r="R2288" s="1407"/>
      <c r="S2288" s="1407"/>
      <c r="U2288" s="328"/>
      <c r="V2288" s="318" t="s">
        <v>2003</v>
      </c>
      <c r="W2288" s="747">
        <v>42983</v>
      </c>
      <c r="X2288" s="748">
        <v>42921</v>
      </c>
      <c r="Y2288" s="328" t="s">
        <v>7124</v>
      </c>
      <c r="Z2288" s="328" t="s">
        <v>7194</v>
      </c>
      <c r="AA2288" s="256">
        <v>42985</v>
      </c>
      <c r="AB2288" s="308" t="s">
        <v>7195</v>
      </c>
      <c r="AC2288" s="328"/>
      <c r="AD2288" s="328"/>
      <c r="AE2288" s="328"/>
      <c r="AF2288" s="328"/>
      <c r="AG2288" s="251" t="s">
        <v>283</v>
      </c>
    </row>
    <row r="2289" spans="1:33" ht="15.75" customHeight="1">
      <c r="A2289" s="755">
        <v>42908</v>
      </c>
      <c r="B2289" s="823" t="s">
        <v>3479</v>
      </c>
      <c r="C2289" s="744"/>
      <c r="D2289" s="744" t="s">
        <v>7192</v>
      </c>
      <c r="E2289" s="744" t="s">
        <v>3487</v>
      </c>
      <c r="F2289" s="305">
        <v>20</v>
      </c>
      <c r="G2289" s="252">
        <v>102</v>
      </c>
      <c r="H2289" s="308">
        <f t="shared" si="171"/>
        <v>2040</v>
      </c>
      <c r="I2289" s="975" t="s">
        <v>3315</v>
      </c>
      <c r="J2289" s="367" t="s">
        <v>6742</v>
      </c>
      <c r="K2289" s="256">
        <v>42926</v>
      </c>
      <c r="L2289" s="256"/>
      <c r="M2289" s="256">
        <v>42922</v>
      </c>
      <c r="N2289" s="401" t="s">
        <v>2001</v>
      </c>
      <c r="O2289" s="308" t="s">
        <v>7193</v>
      </c>
      <c r="P2289" s="266">
        <v>1995</v>
      </c>
      <c r="Q2289" s="328"/>
      <c r="R2289" s="1407"/>
      <c r="S2289" s="1407"/>
      <c r="U2289" s="328"/>
      <c r="V2289" s="318" t="s">
        <v>2003</v>
      </c>
      <c r="W2289" s="747">
        <v>42983</v>
      </c>
      <c r="X2289" s="748">
        <v>42921</v>
      </c>
      <c r="Y2289" s="328" t="s">
        <v>7124</v>
      </c>
      <c r="Z2289" s="328" t="s">
        <v>7194</v>
      </c>
      <c r="AA2289" s="256">
        <v>42985</v>
      </c>
      <c r="AB2289" s="308" t="s">
        <v>7195</v>
      </c>
      <c r="AC2289" s="328"/>
      <c r="AD2289" s="328"/>
      <c r="AE2289" s="328"/>
      <c r="AF2289" s="328"/>
      <c r="AG2289" s="251" t="s">
        <v>283</v>
      </c>
    </row>
    <row r="2290" spans="1:33" ht="15.75" customHeight="1">
      <c r="A2290" s="755">
        <v>42908</v>
      </c>
      <c r="B2290" s="823" t="s">
        <v>3479</v>
      </c>
      <c r="C2290" s="328"/>
      <c r="D2290" s="744" t="s">
        <v>7192</v>
      </c>
      <c r="E2290" s="744" t="s">
        <v>7196</v>
      </c>
      <c r="F2290" s="305">
        <v>3</v>
      </c>
      <c r="G2290" s="252">
        <v>226</v>
      </c>
      <c r="H2290" s="308">
        <f t="shared" si="171"/>
        <v>678</v>
      </c>
      <c r="I2290" s="975" t="s">
        <v>3315</v>
      </c>
      <c r="J2290" s="367" t="s">
        <v>6742</v>
      </c>
      <c r="K2290" s="256">
        <v>42926</v>
      </c>
      <c r="L2290" s="256"/>
      <c r="M2290" s="256">
        <v>42922</v>
      </c>
      <c r="N2290" s="401" t="s">
        <v>2001</v>
      </c>
      <c r="O2290" s="308" t="s">
        <v>7193</v>
      </c>
      <c r="P2290" s="266">
        <v>582.75</v>
      </c>
      <c r="Q2290" s="328"/>
      <c r="R2290" s="1407"/>
      <c r="S2290" s="1407"/>
      <c r="U2290" s="328"/>
      <c r="V2290" s="318" t="s">
        <v>2003</v>
      </c>
      <c r="W2290" s="747">
        <v>42983</v>
      </c>
      <c r="X2290" s="748">
        <v>42921</v>
      </c>
      <c r="Y2290" s="328" t="s">
        <v>7124</v>
      </c>
      <c r="Z2290" s="328" t="s">
        <v>7194</v>
      </c>
      <c r="AA2290" s="256">
        <v>42985</v>
      </c>
      <c r="AB2290" s="308" t="s">
        <v>7195</v>
      </c>
      <c r="AC2290" s="328"/>
      <c r="AD2290" s="328"/>
      <c r="AE2290" s="328"/>
      <c r="AF2290" s="328"/>
      <c r="AG2290" s="251" t="s">
        <v>283</v>
      </c>
    </row>
    <row r="2291" spans="1:33" ht="15.75" customHeight="1">
      <c r="A2291" s="755">
        <v>42908</v>
      </c>
      <c r="B2291" s="823" t="s">
        <v>3479</v>
      </c>
      <c r="C2291" s="744"/>
      <c r="D2291" s="744" t="s">
        <v>7192</v>
      </c>
      <c r="E2291" s="744" t="s">
        <v>6366</v>
      </c>
      <c r="F2291" s="305">
        <v>3</v>
      </c>
      <c r="G2291" s="252">
        <v>355</v>
      </c>
      <c r="H2291" s="308">
        <f t="shared" si="171"/>
        <v>1065</v>
      </c>
      <c r="I2291" s="997" t="s">
        <v>3315</v>
      </c>
      <c r="J2291" s="367" t="s">
        <v>6742</v>
      </c>
      <c r="K2291" s="256">
        <v>42926</v>
      </c>
      <c r="L2291" s="256"/>
      <c r="M2291" s="256">
        <v>42921</v>
      </c>
      <c r="N2291" s="251" t="s">
        <v>89</v>
      </c>
      <c r="O2291" s="308" t="s">
        <v>7197</v>
      </c>
      <c r="P2291" s="308">
        <v>982.8</v>
      </c>
      <c r="Q2291" s="328"/>
      <c r="R2291" s="1407"/>
      <c r="S2291" s="1407"/>
      <c r="U2291" s="328"/>
      <c r="V2291" s="318" t="s">
        <v>5896</v>
      </c>
      <c r="W2291" s="328"/>
      <c r="X2291" s="748">
        <v>42921</v>
      </c>
      <c r="Y2291" s="328" t="s">
        <v>7198</v>
      </c>
      <c r="Z2291" s="749">
        <v>32669</v>
      </c>
      <c r="AA2291" s="594">
        <v>42955</v>
      </c>
      <c r="AB2291" s="308" t="s">
        <v>7195</v>
      </c>
      <c r="AC2291" s="328"/>
      <c r="AD2291" s="328"/>
      <c r="AE2291" s="328"/>
      <c r="AF2291" s="328"/>
      <c r="AG2291" s="251" t="s">
        <v>283</v>
      </c>
    </row>
    <row r="2292" spans="1:33" ht="15.75" customHeight="1">
      <c r="A2292" s="755">
        <v>42908</v>
      </c>
      <c r="B2292" s="823" t="s">
        <v>3479</v>
      </c>
      <c r="C2292" s="744"/>
      <c r="D2292" s="744" t="s">
        <v>7192</v>
      </c>
      <c r="E2292" s="744" t="s">
        <v>6370</v>
      </c>
      <c r="F2292" s="305">
        <v>3</v>
      </c>
      <c r="G2292" s="252">
        <v>35</v>
      </c>
      <c r="H2292" s="308">
        <f t="shared" si="171"/>
        <v>105</v>
      </c>
      <c r="I2292" s="997" t="s">
        <v>3315</v>
      </c>
      <c r="J2292" s="367" t="s">
        <v>6742</v>
      </c>
      <c r="K2292" s="256">
        <v>42926</v>
      </c>
      <c r="L2292" s="256"/>
      <c r="M2292" s="256">
        <v>42921</v>
      </c>
      <c r="N2292" s="251" t="s">
        <v>89</v>
      </c>
      <c r="O2292" s="308" t="s">
        <v>7197</v>
      </c>
      <c r="P2292" s="308">
        <v>94.5</v>
      </c>
      <c r="Q2292" s="328"/>
      <c r="R2292" s="1407"/>
      <c r="S2292" s="1407"/>
      <c r="U2292" s="328"/>
      <c r="V2292" s="318" t="s">
        <v>5896</v>
      </c>
      <c r="W2292" s="328"/>
      <c r="X2292" s="748">
        <v>42921</v>
      </c>
      <c r="Y2292" s="328" t="s">
        <v>7198</v>
      </c>
      <c r="Z2292" s="328" t="s">
        <v>7199</v>
      </c>
      <c r="AA2292" s="594">
        <v>42955</v>
      </c>
      <c r="AB2292" s="308" t="s">
        <v>7195</v>
      </c>
      <c r="AC2292" s="328"/>
      <c r="AD2292" s="328"/>
      <c r="AE2292" s="328"/>
      <c r="AF2292" s="328"/>
      <c r="AG2292" s="251" t="s">
        <v>283</v>
      </c>
    </row>
    <row r="2293" spans="1:33" ht="15.75" customHeight="1">
      <c r="A2293" s="743">
        <v>42908</v>
      </c>
      <c r="B2293" s="970" t="s">
        <v>76</v>
      </c>
      <c r="C2293" s="744">
        <v>530</v>
      </c>
      <c r="D2293" s="250" t="s">
        <v>7200</v>
      </c>
      <c r="E2293" s="250" t="s">
        <v>3329</v>
      </c>
      <c r="F2293" s="264">
        <v>40</v>
      </c>
      <c r="G2293" s="265">
        <v>90</v>
      </c>
      <c r="H2293" s="308">
        <f t="shared" si="171"/>
        <v>3600</v>
      </c>
      <c r="I2293" s="264" t="s">
        <v>42</v>
      </c>
      <c r="J2293" s="367" t="s">
        <v>315</v>
      </c>
      <c r="K2293" s="256">
        <v>42919</v>
      </c>
      <c r="L2293" s="256"/>
      <c r="M2293" s="256">
        <v>42914</v>
      </c>
      <c r="N2293" s="331" t="s">
        <v>3330</v>
      </c>
      <c r="O2293" s="308" t="s">
        <v>7201</v>
      </c>
      <c r="P2293" s="328"/>
      <c r="Q2293" s="572">
        <v>102060</v>
      </c>
      <c r="R2293" s="1413"/>
      <c r="S2293" s="1413"/>
      <c r="U2293" s="328"/>
      <c r="V2293" s="597" t="s">
        <v>6447</v>
      </c>
      <c r="W2293" s="789">
        <v>42921</v>
      </c>
      <c r="X2293" s="748">
        <v>42914</v>
      </c>
      <c r="Y2293" s="328" t="s">
        <v>6977</v>
      </c>
      <c r="Z2293" s="328" t="s">
        <v>7202</v>
      </c>
      <c r="AA2293" s="256">
        <v>42922</v>
      </c>
      <c r="AB2293" s="308" t="s">
        <v>6978</v>
      </c>
      <c r="AC2293" s="367" t="s">
        <v>6979</v>
      </c>
      <c r="AD2293" s="328"/>
      <c r="AE2293" s="328"/>
      <c r="AF2293" s="328"/>
      <c r="AG2293" s="251" t="s">
        <v>283</v>
      </c>
    </row>
    <row r="2294" spans="1:33" ht="15.75" customHeight="1">
      <c r="A2294" s="743">
        <v>42908</v>
      </c>
      <c r="B2294" s="970" t="s">
        <v>76</v>
      </c>
      <c r="C2294" s="744">
        <v>530</v>
      </c>
      <c r="D2294" s="250" t="s">
        <v>7200</v>
      </c>
      <c r="E2294" s="250" t="s">
        <v>1730</v>
      </c>
      <c r="F2294" s="305">
        <v>50</v>
      </c>
      <c r="G2294" s="323">
        <v>3</v>
      </c>
      <c r="H2294" s="308">
        <f t="shared" si="171"/>
        <v>150</v>
      </c>
      <c r="I2294" s="264" t="s">
        <v>42</v>
      </c>
      <c r="J2294" s="367" t="s">
        <v>315</v>
      </c>
      <c r="K2294" s="256">
        <v>42919</v>
      </c>
      <c r="L2294" s="256"/>
      <c r="M2294" s="594">
        <v>42912</v>
      </c>
      <c r="N2294" s="254" t="s">
        <v>3608</v>
      </c>
      <c r="O2294" s="250" t="s">
        <v>7203</v>
      </c>
      <c r="P2294" s="328"/>
      <c r="Q2294" s="328"/>
      <c r="R2294" s="1407"/>
      <c r="S2294" s="1407"/>
      <c r="U2294" s="328"/>
      <c r="V2294" s="328"/>
      <c r="W2294" s="328"/>
      <c r="X2294" s="328"/>
      <c r="Y2294" s="328"/>
      <c r="Z2294" s="328"/>
      <c r="AA2294" s="328"/>
      <c r="AB2294" s="308" t="s">
        <v>6978</v>
      </c>
      <c r="AC2294" s="367" t="s">
        <v>6979</v>
      </c>
      <c r="AD2294" s="328"/>
      <c r="AE2294" s="328"/>
      <c r="AF2294" s="328"/>
      <c r="AG2294" s="251" t="s">
        <v>283</v>
      </c>
    </row>
    <row r="2295" spans="1:33" ht="15.75" customHeight="1">
      <c r="A2295" s="755">
        <v>42912</v>
      </c>
      <c r="B2295" s="970" t="s">
        <v>7204</v>
      </c>
      <c r="C2295" s="744" t="s">
        <v>7205</v>
      </c>
      <c r="D2295" s="250" t="s">
        <v>7206</v>
      </c>
      <c r="E2295" s="250" t="s">
        <v>7207</v>
      </c>
      <c r="F2295" s="305">
        <v>6</v>
      </c>
      <c r="G2295" s="323">
        <v>231</v>
      </c>
      <c r="H2295" s="308">
        <f t="shared" si="171"/>
        <v>1386</v>
      </c>
      <c r="I2295" s="264" t="s">
        <v>3315</v>
      </c>
      <c r="J2295" s="367" t="s">
        <v>403</v>
      </c>
      <c r="K2295" s="256">
        <v>43013</v>
      </c>
      <c r="L2295" s="256"/>
      <c r="M2295" s="256">
        <v>43004</v>
      </c>
      <c r="N2295" s="251" t="s">
        <v>89</v>
      </c>
      <c r="O2295" s="308" t="s">
        <v>7208</v>
      </c>
      <c r="P2295" s="308">
        <v>1071</v>
      </c>
      <c r="Q2295" s="328"/>
      <c r="R2295" s="1407"/>
      <c r="S2295" s="1407"/>
      <c r="U2295" s="328"/>
      <c r="V2295" s="318" t="s">
        <v>5896</v>
      </c>
      <c r="W2295" s="747">
        <v>43069</v>
      </c>
      <c r="X2295" s="748">
        <v>42912</v>
      </c>
      <c r="Y2295" s="328" t="s">
        <v>7209</v>
      </c>
      <c r="Z2295" s="749">
        <v>32141</v>
      </c>
      <c r="AA2295" s="256">
        <v>43052</v>
      </c>
      <c r="AB2295" s="308" t="s">
        <v>7210</v>
      </c>
      <c r="AC2295" s="251">
        <v>841411093</v>
      </c>
      <c r="AD2295" s="328"/>
      <c r="AE2295" s="328"/>
      <c r="AF2295" s="328"/>
      <c r="AG2295" s="251" t="s">
        <v>283</v>
      </c>
    </row>
    <row r="2296" spans="1:33" ht="15.75" customHeight="1">
      <c r="A2296" s="755">
        <v>42912</v>
      </c>
      <c r="B2296" s="386" t="s">
        <v>100</v>
      </c>
      <c r="C2296" s="328" t="s">
        <v>7211</v>
      </c>
      <c r="D2296" s="250" t="s">
        <v>7212</v>
      </c>
      <c r="E2296" s="250" t="s">
        <v>3413</v>
      </c>
      <c r="F2296" s="305">
        <v>10</v>
      </c>
      <c r="G2296" s="323">
        <v>73</v>
      </c>
      <c r="H2296" s="265">
        <f t="shared" si="171"/>
        <v>730</v>
      </c>
      <c r="I2296" s="264" t="s">
        <v>3315</v>
      </c>
      <c r="J2296" s="1047" t="s">
        <v>3408</v>
      </c>
      <c r="K2296" s="256">
        <v>42968</v>
      </c>
      <c r="L2296" s="256"/>
      <c r="M2296" s="256">
        <v>42954</v>
      </c>
      <c r="N2296" s="401" t="s">
        <v>2001</v>
      </c>
      <c r="O2296" s="250" t="s">
        <v>7213</v>
      </c>
      <c r="P2296" s="308">
        <v>724.5</v>
      </c>
      <c r="Q2296" s="328"/>
      <c r="R2296" s="1407"/>
      <c r="S2296" s="1407"/>
      <c r="U2296" s="328"/>
      <c r="V2296" s="308" t="s">
        <v>2003</v>
      </c>
      <c r="W2296" s="789">
        <v>43013</v>
      </c>
      <c r="X2296" s="748">
        <v>42954</v>
      </c>
      <c r="Y2296" s="328" t="s">
        <v>7214</v>
      </c>
      <c r="Z2296" s="749">
        <v>64054</v>
      </c>
      <c r="AA2296" s="594">
        <v>43021</v>
      </c>
      <c r="AB2296" s="308" t="s">
        <v>7215</v>
      </c>
      <c r="AC2296" s="251" t="s">
        <v>7216</v>
      </c>
      <c r="AD2296" s="328"/>
      <c r="AE2296" s="328"/>
      <c r="AF2296" s="328"/>
      <c r="AG2296" s="251" t="s">
        <v>283</v>
      </c>
    </row>
    <row r="2297" spans="1:33" ht="15.75" customHeight="1">
      <c r="A2297" s="755">
        <v>42912</v>
      </c>
      <c r="B2297" s="386" t="s">
        <v>100</v>
      </c>
      <c r="C2297" s="328" t="s">
        <v>7211</v>
      </c>
      <c r="D2297" s="250" t="s">
        <v>7212</v>
      </c>
      <c r="E2297" s="250" t="s">
        <v>3415</v>
      </c>
      <c r="F2297" s="305">
        <v>10</v>
      </c>
      <c r="G2297" s="252">
        <v>140</v>
      </c>
      <c r="H2297" s="265">
        <f t="shared" si="171"/>
        <v>1400</v>
      </c>
      <c r="I2297" s="264" t="s">
        <v>3315</v>
      </c>
      <c r="J2297" s="1047" t="s">
        <v>3408</v>
      </c>
      <c r="K2297" s="256">
        <v>42968</v>
      </c>
      <c r="L2297" s="256"/>
      <c r="M2297" s="256">
        <v>42954</v>
      </c>
      <c r="N2297" s="331" t="s">
        <v>2001</v>
      </c>
      <c r="O2297" s="250" t="s">
        <v>7213</v>
      </c>
      <c r="P2297" s="308">
        <v>1396.5</v>
      </c>
      <c r="Q2297" s="328"/>
      <c r="R2297" s="1407"/>
      <c r="S2297" s="1407"/>
      <c r="U2297" s="328"/>
      <c r="V2297" s="318" t="s">
        <v>2003</v>
      </c>
      <c r="W2297" s="789">
        <v>43013</v>
      </c>
      <c r="X2297" s="748">
        <v>42954</v>
      </c>
      <c r="Y2297" s="328" t="s">
        <v>7214</v>
      </c>
      <c r="Z2297" s="328" t="s">
        <v>7217</v>
      </c>
      <c r="AA2297" s="594">
        <v>43021</v>
      </c>
      <c r="AB2297" s="308" t="s">
        <v>7215</v>
      </c>
      <c r="AC2297" s="251" t="s">
        <v>7216</v>
      </c>
      <c r="AD2297" s="328"/>
      <c r="AE2297" s="328"/>
      <c r="AF2297" s="328"/>
      <c r="AG2297" s="251" t="s">
        <v>283</v>
      </c>
    </row>
    <row r="2298" spans="1:33" ht="15.75" customHeight="1">
      <c r="A2298" s="755">
        <v>42912</v>
      </c>
      <c r="B2298" s="386" t="s">
        <v>100</v>
      </c>
      <c r="C2298" s="328" t="s">
        <v>7211</v>
      </c>
      <c r="D2298" s="250" t="s">
        <v>7212</v>
      </c>
      <c r="E2298" s="250" t="s">
        <v>3407</v>
      </c>
      <c r="F2298" s="305">
        <v>10</v>
      </c>
      <c r="G2298" s="252">
        <v>93</v>
      </c>
      <c r="H2298" s="265">
        <f t="shared" si="171"/>
        <v>930</v>
      </c>
      <c r="I2298" s="264" t="s">
        <v>3315</v>
      </c>
      <c r="J2298" s="1047" t="s">
        <v>3408</v>
      </c>
      <c r="K2298" s="256">
        <v>42968</v>
      </c>
      <c r="L2298" s="256"/>
      <c r="M2298" s="256">
        <v>42919</v>
      </c>
      <c r="N2298" s="331" t="s">
        <v>2001</v>
      </c>
      <c r="O2298" s="250" t="s">
        <v>7213</v>
      </c>
      <c r="P2298" s="1048">
        <v>924</v>
      </c>
      <c r="Q2298" s="328"/>
      <c r="R2298" s="1407"/>
      <c r="S2298" s="1407"/>
      <c r="U2298" s="328"/>
      <c r="V2298" s="318" t="s">
        <v>2003</v>
      </c>
      <c r="W2298" s="789">
        <v>42983</v>
      </c>
      <c r="X2298" s="748">
        <v>42915</v>
      </c>
      <c r="Y2298" s="328" t="s">
        <v>7218</v>
      </c>
      <c r="Z2298" s="749">
        <v>29028</v>
      </c>
      <c r="AA2298" s="256">
        <v>42985</v>
      </c>
      <c r="AB2298" s="308" t="s">
        <v>7215</v>
      </c>
      <c r="AC2298" s="251" t="s">
        <v>7216</v>
      </c>
      <c r="AD2298" s="328"/>
      <c r="AE2298" s="328"/>
      <c r="AF2298" s="328"/>
      <c r="AG2298" s="251" t="s">
        <v>283</v>
      </c>
    </row>
    <row r="2299" spans="1:33" ht="15.75" customHeight="1">
      <c r="A2299" s="755">
        <v>42912</v>
      </c>
      <c r="B2299" s="386" t="s">
        <v>100</v>
      </c>
      <c r="C2299" s="328" t="s">
        <v>7211</v>
      </c>
      <c r="D2299" s="250" t="s">
        <v>7212</v>
      </c>
      <c r="E2299" s="250" t="s">
        <v>3416</v>
      </c>
      <c r="F2299" s="305">
        <v>10</v>
      </c>
      <c r="G2299" s="252">
        <v>2</v>
      </c>
      <c r="H2299" s="265">
        <f t="shared" si="171"/>
        <v>20</v>
      </c>
      <c r="I2299" s="264" t="s">
        <v>3315</v>
      </c>
      <c r="J2299" s="1047" t="s">
        <v>3408</v>
      </c>
      <c r="K2299" s="256">
        <v>42968</v>
      </c>
      <c r="L2299" s="256"/>
      <c r="M2299" s="256">
        <v>42919</v>
      </c>
      <c r="N2299" s="331" t="s">
        <v>6527</v>
      </c>
      <c r="O2299" s="744" t="s">
        <v>6528</v>
      </c>
      <c r="P2299" s="328"/>
      <c r="Q2299" s="328"/>
      <c r="R2299" s="1407"/>
      <c r="S2299" s="1407"/>
      <c r="U2299" s="328"/>
      <c r="V2299" s="386"/>
      <c r="W2299" s="328"/>
      <c r="X2299" s="328"/>
      <c r="Y2299" s="328"/>
      <c r="Z2299" s="328"/>
      <c r="AA2299" s="328"/>
      <c r="AB2299" s="308" t="s">
        <v>7215</v>
      </c>
      <c r="AC2299" s="251" t="s">
        <v>7216</v>
      </c>
      <c r="AD2299" s="328"/>
      <c r="AE2299" s="328"/>
      <c r="AF2299" s="328"/>
      <c r="AG2299" s="251" t="s">
        <v>283</v>
      </c>
    </row>
    <row r="2300" spans="1:33" ht="15.75" customHeight="1">
      <c r="A2300" s="755">
        <v>42912</v>
      </c>
      <c r="B2300" s="386" t="s">
        <v>100</v>
      </c>
      <c r="C2300" s="328" t="s">
        <v>7211</v>
      </c>
      <c r="D2300" s="250" t="s">
        <v>7212</v>
      </c>
      <c r="E2300" s="250" t="s">
        <v>3418</v>
      </c>
      <c r="F2300" s="305">
        <v>10</v>
      </c>
      <c r="G2300" s="252">
        <v>2.5</v>
      </c>
      <c r="H2300" s="265">
        <f t="shared" si="171"/>
        <v>25</v>
      </c>
      <c r="I2300" s="264" t="s">
        <v>3315</v>
      </c>
      <c r="J2300" s="1047" t="s">
        <v>3408</v>
      </c>
      <c r="K2300" s="256">
        <v>42968</v>
      </c>
      <c r="L2300" s="256"/>
      <c r="M2300" s="256">
        <v>42919</v>
      </c>
      <c r="N2300" s="331" t="s">
        <v>6527</v>
      </c>
      <c r="O2300" s="744" t="s">
        <v>6530</v>
      </c>
      <c r="P2300" s="328"/>
      <c r="Q2300" s="328"/>
      <c r="R2300" s="1407"/>
      <c r="S2300" s="1407"/>
      <c r="U2300" s="328"/>
      <c r="V2300" s="328"/>
      <c r="W2300" s="328"/>
      <c r="X2300" s="328"/>
      <c r="Y2300" s="328"/>
      <c r="Z2300" s="328"/>
      <c r="AA2300" s="328"/>
      <c r="AB2300" s="308" t="s">
        <v>7215</v>
      </c>
      <c r="AC2300" s="251" t="s">
        <v>7216</v>
      </c>
      <c r="AD2300" s="328"/>
      <c r="AE2300" s="328"/>
      <c r="AF2300" s="328"/>
      <c r="AG2300" s="251" t="s">
        <v>283</v>
      </c>
    </row>
    <row r="2301" spans="1:33" ht="15.75" customHeight="1">
      <c r="A2301" s="755">
        <v>42912</v>
      </c>
      <c r="B2301" s="386" t="s">
        <v>100</v>
      </c>
      <c r="C2301" s="328" t="s">
        <v>7211</v>
      </c>
      <c r="D2301" s="250" t="s">
        <v>7212</v>
      </c>
      <c r="E2301" s="250" t="s">
        <v>3420</v>
      </c>
      <c r="F2301" s="305">
        <v>10</v>
      </c>
      <c r="G2301" s="252">
        <v>4</v>
      </c>
      <c r="H2301" s="265">
        <f t="shared" si="171"/>
        <v>40</v>
      </c>
      <c r="I2301" s="264" t="s">
        <v>3315</v>
      </c>
      <c r="J2301" s="1047" t="s">
        <v>3408</v>
      </c>
      <c r="K2301" s="256">
        <v>42968</v>
      </c>
      <c r="L2301" s="256"/>
      <c r="M2301" s="256">
        <v>42919</v>
      </c>
      <c r="N2301" s="331" t="s">
        <v>2001</v>
      </c>
      <c r="O2301" s="250" t="s">
        <v>7213</v>
      </c>
      <c r="P2301" s="1048">
        <v>31.5</v>
      </c>
      <c r="Q2301" s="328"/>
      <c r="R2301" s="1407"/>
      <c r="S2301" s="1407"/>
      <c r="U2301" s="328"/>
      <c r="V2301" s="308" t="s">
        <v>2003</v>
      </c>
      <c r="W2301" s="789">
        <v>42983</v>
      </c>
      <c r="X2301" s="748">
        <v>42915</v>
      </c>
      <c r="Y2301" s="328" t="s">
        <v>7218</v>
      </c>
      <c r="Z2301" s="749" t="s">
        <v>7219</v>
      </c>
      <c r="AA2301" s="256">
        <v>42985</v>
      </c>
      <c r="AB2301" s="308" t="s">
        <v>7215</v>
      </c>
      <c r="AC2301" s="251" t="s">
        <v>7216</v>
      </c>
      <c r="AD2301" s="328"/>
      <c r="AE2301" s="328"/>
      <c r="AF2301" s="328"/>
      <c r="AG2301" s="251" t="s">
        <v>283</v>
      </c>
    </row>
    <row r="2302" spans="1:33" ht="15.75" customHeight="1">
      <c r="A2302" s="755">
        <v>42912</v>
      </c>
      <c r="B2302" s="970" t="s">
        <v>7204</v>
      </c>
      <c r="C2302" s="744" t="s">
        <v>7205</v>
      </c>
      <c r="D2302" s="250" t="s">
        <v>7206</v>
      </c>
      <c r="E2302" s="250" t="s">
        <v>692</v>
      </c>
      <c r="F2302" s="305">
        <v>1</v>
      </c>
      <c r="G2302" s="252">
        <v>25</v>
      </c>
      <c r="H2302" s="308">
        <f t="shared" si="171"/>
        <v>25</v>
      </c>
      <c r="I2302" s="264" t="s">
        <v>3315</v>
      </c>
      <c r="J2302" s="367" t="s">
        <v>403</v>
      </c>
      <c r="K2302" s="256">
        <v>43013</v>
      </c>
      <c r="L2302" s="256"/>
      <c r="M2302" s="328"/>
      <c r="N2302" s="585"/>
      <c r="O2302" s="328"/>
      <c r="P2302" s="328">
        <v>0</v>
      </c>
      <c r="Q2302" s="328"/>
      <c r="R2302" s="1407"/>
      <c r="S2302" s="1407"/>
      <c r="U2302" s="328"/>
      <c r="V2302" s="386"/>
      <c r="W2302" s="328"/>
      <c r="X2302" s="881"/>
      <c r="Y2302" s="881"/>
      <c r="Z2302" s="881"/>
      <c r="AA2302" s="881"/>
      <c r="AB2302" s="308" t="s">
        <v>7210</v>
      </c>
      <c r="AC2302" s="251">
        <v>841411093</v>
      </c>
      <c r="AD2302" s="328"/>
      <c r="AE2302" s="328"/>
      <c r="AF2302" s="328"/>
      <c r="AG2302" s="251" t="s">
        <v>283</v>
      </c>
    </row>
    <row r="2303" spans="1:33" ht="15.75" customHeight="1">
      <c r="A2303" s="755">
        <v>42912</v>
      </c>
      <c r="B2303" s="386" t="s">
        <v>100</v>
      </c>
      <c r="C2303" s="328" t="s">
        <v>7211</v>
      </c>
      <c r="D2303" s="250" t="s">
        <v>7212</v>
      </c>
      <c r="E2303" s="250" t="s">
        <v>3421</v>
      </c>
      <c r="F2303" s="305">
        <v>10</v>
      </c>
      <c r="G2303" s="252">
        <v>8</v>
      </c>
      <c r="H2303" s="265">
        <f t="shared" si="171"/>
        <v>80</v>
      </c>
      <c r="I2303" s="264" t="s">
        <v>3315</v>
      </c>
      <c r="J2303" s="1047" t="s">
        <v>3408</v>
      </c>
      <c r="K2303" s="256">
        <v>42968</v>
      </c>
      <c r="L2303" s="256"/>
      <c r="M2303" s="328"/>
      <c r="N2303" s="331" t="s">
        <v>6533</v>
      </c>
      <c r="O2303" s="251"/>
      <c r="P2303" s="328"/>
      <c r="Q2303" s="329" t="s">
        <v>6534</v>
      </c>
      <c r="R2303" s="1442"/>
      <c r="S2303" s="1442"/>
      <c r="U2303" s="328"/>
      <c r="V2303" s="328"/>
      <c r="W2303" s="328"/>
      <c r="X2303" s="328"/>
      <c r="Y2303" s="328"/>
      <c r="Z2303" s="328"/>
      <c r="AA2303" s="328"/>
      <c r="AB2303" s="308" t="s">
        <v>7215</v>
      </c>
      <c r="AC2303" s="251" t="s">
        <v>7216</v>
      </c>
      <c r="AD2303" s="328"/>
      <c r="AE2303" s="328"/>
      <c r="AF2303" s="328"/>
      <c r="AG2303" s="251" t="s">
        <v>283</v>
      </c>
    </row>
    <row r="2304" spans="1:33" ht="15.75" customHeight="1">
      <c r="A2304" s="755">
        <v>42913</v>
      </c>
      <c r="B2304" s="592" t="s">
        <v>5940</v>
      </c>
      <c r="C2304" s="328" t="s">
        <v>7220</v>
      </c>
      <c r="D2304" s="250" t="s">
        <v>7221</v>
      </c>
      <c r="E2304" s="250" t="s">
        <v>6661</v>
      </c>
      <c r="F2304" s="1007">
        <v>15</v>
      </c>
      <c r="G2304" s="252">
        <v>1239</v>
      </c>
      <c r="H2304" s="265">
        <f t="shared" si="171"/>
        <v>18585</v>
      </c>
      <c r="I2304" s="997" t="s">
        <v>3315</v>
      </c>
      <c r="J2304" s="331" t="s">
        <v>3571</v>
      </c>
      <c r="K2304" s="256">
        <v>42975</v>
      </c>
      <c r="L2304" s="256"/>
      <c r="M2304" s="256">
        <v>42972</v>
      </c>
      <c r="N2304" s="331" t="s">
        <v>2001</v>
      </c>
      <c r="O2304" s="250" t="s">
        <v>7222</v>
      </c>
      <c r="P2304" s="266">
        <v>18033.75</v>
      </c>
      <c r="Q2304" s="329"/>
      <c r="R2304" s="1442"/>
      <c r="S2304" s="1442"/>
      <c r="U2304" s="328"/>
      <c r="V2304" s="318" t="s">
        <v>2003</v>
      </c>
      <c r="W2304" s="789">
        <v>43013</v>
      </c>
      <c r="X2304" s="748">
        <v>42972</v>
      </c>
      <c r="Y2304" s="328" t="s">
        <v>7223</v>
      </c>
      <c r="Z2304" s="749">
        <v>896179</v>
      </c>
      <c r="AA2304" s="594">
        <v>43021</v>
      </c>
      <c r="AB2304" s="328" t="s">
        <v>7224</v>
      </c>
      <c r="AC2304" s="328"/>
      <c r="AD2304" s="328"/>
      <c r="AE2304" s="328"/>
      <c r="AF2304" s="328"/>
      <c r="AG2304" s="251" t="s">
        <v>283</v>
      </c>
    </row>
    <row r="2305" spans="1:33" ht="15.75" customHeight="1">
      <c r="A2305" s="755">
        <v>42913</v>
      </c>
      <c r="B2305" s="592" t="s">
        <v>5940</v>
      </c>
      <c r="C2305" s="328" t="s">
        <v>7220</v>
      </c>
      <c r="D2305" s="250" t="s">
        <v>7221</v>
      </c>
      <c r="E2305" s="250" t="s">
        <v>5943</v>
      </c>
      <c r="F2305" s="1007">
        <v>40</v>
      </c>
      <c r="G2305" s="252">
        <v>146.5</v>
      </c>
      <c r="H2305" s="265">
        <f t="shared" si="171"/>
        <v>5860</v>
      </c>
      <c r="I2305" s="997" t="s">
        <v>3315</v>
      </c>
      <c r="J2305" s="331" t="s">
        <v>3571</v>
      </c>
      <c r="K2305" s="256">
        <v>42975</v>
      </c>
      <c r="L2305" s="256"/>
      <c r="M2305" s="256">
        <v>42972</v>
      </c>
      <c r="N2305" s="331" t="s">
        <v>2001</v>
      </c>
      <c r="O2305" s="250" t="s">
        <v>7222</v>
      </c>
      <c r="P2305" s="572">
        <v>5796</v>
      </c>
      <c r="Q2305" s="328"/>
      <c r="R2305" s="1407"/>
      <c r="S2305" s="1407"/>
      <c r="U2305" s="328"/>
      <c r="V2305" s="318" t="s">
        <v>2003</v>
      </c>
      <c r="W2305" s="789">
        <v>43013</v>
      </c>
      <c r="X2305" s="748">
        <v>42972</v>
      </c>
      <c r="Y2305" s="328" t="s">
        <v>7223</v>
      </c>
      <c r="Z2305" s="749" t="s">
        <v>7225</v>
      </c>
      <c r="AA2305" s="594">
        <v>43021</v>
      </c>
      <c r="AB2305" s="328" t="s">
        <v>7224</v>
      </c>
      <c r="AC2305" s="328"/>
      <c r="AD2305" s="328"/>
      <c r="AE2305" s="328"/>
      <c r="AF2305" s="328"/>
      <c r="AG2305" s="251" t="s">
        <v>283</v>
      </c>
    </row>
    <row r="2306" spans="1:33" ht="15.75" customHeight="1">
      <c r="A2306" s="755">
        <v>42913</v>
      </c>
      <c r="B2306" s="592" t="s">
        <v>5940</v>
      </c>
      <c r="C2306" s="328" t="s">
        <v>7220</v>
      </c>
      <c r="D2306" s="250" t="s">
        <v>7221</v>
      </c>
      <c r="E2306" s="250" t="s">
        <v>5947</v>
      </c>
      <c r="F2306" s="1007">
        <v>40</v>
      </c>
      <c r="G2306" s="252">
        <v>146.5</v>
      </c>
      <c r="H2306" s="265">
        <f t="shared" si="171"/>
        <v>5860</v>
      </c>
      <c r="I2306" s="997" t="s">
        <v>3315</v>
      </c>
      <c r="J2306" s="331" t="s">
        <v>3571</v>
      </c>
      <c r="K2306" s="256">
        <v>42975</v>
      </c>
      <c r="L2306" s="256"/>
      <c r="M2306" s="256">
        <v>42972</v>
      </c>
      <c r="N2306" s="331" t="s">
        <v>2001</v>
      </c>
      <c r="O2306" s="250" t="s">
        <v>7222</v>
      </c>
      <c r="P2306" s="572">
        <v>5796</v>
      </c>
      <c r="Q2306" s="328"/>
      <c r="R2306" s="1407"/>
      <c r="S2306" s="1407"/>
      <c r="U2306" s="328"/>
      <c r="V2306" s="318" t="s">
        <v>2003</v>
      </c>
      <c r="W2306" s="789">
        <v>43013</v>
      </c>
      <c r="X2306" s="748">
        <v>42972</v>
      </c>
      <c r="Y2306" s="328" t="s">
        <v>7223</v>
      </c>
      <c r="Z2306" s="749" t="s">
        <v>7225</v>
      </c>
      <c r="AA2306" s="594">
        <v>43021</v>
      </c>
      <c r="AB2306" s="328" t="s">
        <v>7224</v>
      </c>
      <c r="AC2306" s="328"/>
      <c r="AD2306" s="328"/>
      <c r="AE2306" s="328"/>
      <c r="AF2306" s="328"/>
      <c r="AG2306" s="251" t="s">
        <v>283</v>
      </c>
    </row>
    <row r="2307" spans="1:33" ht="15.75" customHeight="1">
      <c r="A2307" s="755">
        <v>42913</v>
      </c>
      <c r="B2307" s="386" t="s">
        <v>228</v>
      </c>
      <c r="C2307" s="328" t="s">
        <v>7226</v>
      </c>
      <c r="D2307" s="328" t="s">
        <v>7227</v>
      </c>
      <c r="E2307" s="328" t="s">
        <v>461</v>
      </c>
      <c r="F2307" s="585">
        <v>36</v>
      </c>
      <c r="G2307" s="252">
        <v>407.4</v>
      </c>
      <c r="H2307" s="265">
        <f t="shared" si="171"/>
        <v>14666.4</v>
      </c>
      <c r="I2307" s="264" t="s">
        <v>170</v>
      </c>
      <c r="J2307" s="251" t="s">
        <v>89</v>
      </c>
      <c r="K2307" s="256">
        <v>42933</v>
      </c>
      <c r="L2307" s="256"/>
      <c r="M2307" s="256">
        <v>42933</v>
      </c>
      <c r="N2307" s="251" t="s">
        <v>89</v>
      </c>
      <c r="O2307" s="250" t="s">
        <v>7228</v>
      </c>
      <c r="P2307" s="572">
        <v>13419</v>
      </c>
      <c r="Q2307" s="328"/>
      <c r="R2307" s="1407"/>
      <c r="S2307" s="1407"/>
      <c r="U2307" s="328"/>
      <c r="V2307" s="318" t="s">
        <v>5896</v>
      </c>
      <c r="W2307" s="747">
        <v>42978</v>
      </c>
      <c r="X2307" s="750">
        <v>42933</v>
      </c>
      <c r="Y2307" s="308" t="s">
        <v>7229</v>
      </c>
      <c r="Z2307" s="753">
        <v>417716</v>
      </c>
      <c r="AA2307" s="594">
        <v>42983</v>
      </c>
      <c r="AB2307" s="328" t="s">
        <v>7230</v>
      </c>
      <c r="AC2307" s="328"/>
      <c r="AD2307" s="744" t="s">
        <v>7231</v>
      </c>
      <c r="AE2307" s="260">
        <v>595567</v>
      </c>
      <c r="AF2307" s="744" t="s">
        <v>7232</v>
      </c>
      <c r="AG2307" s="251" t="s">
        <v>376</v>
      </c>
    </row>
    <row r="2308" spans="1:33" ht="15.75" customHeight="1">
      <c r="A2308" s="755">
        <v>42913</v>
      </c>
      <c r="B2308" s="386" t="s">
        <v>228</v>
      </c>
      <c r="C2308" s="328" t="s">
        <v>7226</v>
      </c>
      <c r="D2308" s="328" t="s">
        <v>7227</v>
      </c>
      <c r="E2308" s="328" t="s">
        <v>3604</v>
      </c>
      <c r="F2308" s="585">
        <v>1</v>
      </c>
      <c r="G2308" s="464">
        <v>336</v>
      </c>
      <c r="H2308" s="265">
        <f t="shared" si="171"/>
        <v>336</v>
      </c>
      <c r="I2308" s="264" t="s">
        <v>170</v>
      </c>
      <c r="J2308" s="251" t="s">
        <v>89</v>
      </c>
      <c r="K2308" s="256">
        <v>42933</v>
      </c>
      <c r="L2308" s="256"/>
      <c r="M2308" s="256">
        <v>42933</v>
      </c>
      <c r="N2308" s="251" t="s">
        <v>89</v>
      </c>
      <c r="O2308" s="250" t="s">
        <v>7228</v>
      </c>
      <c r="P2308" s="308">
        <v>301.35000000000002</v>
      </c>
      <c r="Q2308" s="328"/>
      <c r="R2308" s="1407"/>
      <c r="S2308" s="1407"/>
      <c r="U2308" s="328"/>
      <c r="V2308" s="318" t="s">
        <v>5896</v>
      </c>
      <c r="W2308" s="747">
        <v>42978</v>
      </c>
      <c r="X2308" s="750">
        <v>42933</v>
      </c>
      <c r="Y2308" s="308" t="s">
        <v>7229</v>
      </c>
      <c r="Z2308" s="308" t="s">
        <v>7233</v>
      </c>
      <c r="AA2308" s="594">
        <v>42983</v>
      </c>
      <c r="AB2308" s="328" t="s">
        <v>7230</v>
      </c>
      <c r="AC2308" s="328"/>
      <c r="AD2308" s="744" t="s">
        <v>7231</v>
      </c>
      <c r="AE2308" s="251" t="s">
        <v>7234</v>
      </c>
      <c r="AF2308" s="744" t="s">
        <v>7232</v>
      </c>
      <c r="AG2308" s="251" t="s">
        <v>376</v>
      </c>
    </row>
    <row r="2309" spans="1:33" ht="15.75" customHeight="1">
      <c r="A2309" s="743">
        <v>42914</v>
      </c>
      <c r="B2309" s="970" t="s">
        <v>4903</v>
      </c>
      <c r="C2309" s="744" t="s">
        <v>7235</v>
      </c>
      <c r="D2309" s="744" t="s">
        <v>7236</v>
      </c>
      <c r="E2309" s="744" t="s">
        <v>4355</v>
      </c>
      <c r="F2309" s="305">
        <v>2</v>
      </c>
      <c r="G2309" s="252">
        <v>582</v>
      </c>
      <c r="H2309" s="265">
        <f t="shared" si="171"/>
        <v>1164</v>
      </c>
      <c r="I2309" s="254" t="s">
        <v>3315</v>
      </c>
      <c r="J2309" s="361" t="s">
        <v>3588</v>
      </c>
      <c r="K2309" s="256">
        <v>42922</v>
      </c>
      <c r="L2309" s="256"/>
      <c r="M2309" s="256">
        <v>42921</v>
      </c>
      <c r="N2309" s="254" t="s">
        <v>3432</v>
      </c>
      <c r="O2309" s="308" t="s">
        <v>7237</v>
      </c>
      <c r="P2309" s="328"/>
      <c r="Q2309" s="572">
        <v>36271</v>
      </c>
      <c r="R2309" s="1413"/>
      <c r="S2309" s="1413"/>
      <c r="U2309" s="328"/>
      <c r="V2309" s="308" t="s">
        <v>2045</v>
      </c>
      <c r="W2309" s="789">
        <v>43008</v>
      </c>
      <c r="X2309" s="748">
        <v>42919</v>
      </c>
      <c r="Y2309" s="328" t="s">
        <v>7238</v>
      </c>
      <c r="Z2309" s="749">
        <v>36271</v>
      </c>
      <c r="AA2309" s="256">
        <v>43013</v>
      </c>
      <c r="AB2309" s="308" t="s">
        <v>7239</v>
      </c>
      <c r="AC2309" s="251">
        <v>2903614291</v>
      </c>
      <c r="AD2309" s="328"/>
      <c r="AE2309" s="328"/>
      <c r="AF2309" s="328"/>
      <c r="AG2309" s="251" t="s">
        <v>283</v>
      </c>
    </row>
    <row r="2310" spans="1:33" ht="15.75" customHeight="1">
      <c r="A2310" s="743">
        <v>42915</v>
      </c>
      <c r="B2310" s="590" t="s">
        <v>7107</v>
      </c>
      <c r="C2310" s="744">
        <v>7000130765</v>
      </c>
      <c r="D2310" s="250" t="s">
        <v>7240</v>
      </c>
      <c r="E2310" s="250" t="s">
        <v>1102</v>
      </c>
      <c r="F2310" s="305">
        <v>1</v>
      </c>
      <c r="G2310" s="336">
        <v>104</v>
      </c>
      <c r="H2310" s="308">
        <f t="shared" si="171"/>
        <v>104</v>
      </c>
      <c r="I2310" s="254" t="s">
        <v>42</v>
      </c>
      <c r="J2310" s="756" t="s">
        <v>3462</v>
      </c>
      <c r="K2310" s="256">
        <v>42940</v>
      </c>
      <c r="L2310" s="256"/>
      <c r="M2310" s="256">
        <v>42929</v>
      </c>
      <c r="N2310" s="254" t="s">
        <v>3432</v>
      </c>
      <c r="O2310" s="328" t="s">
        <v>7241</v>
      </c>
      <c r="P2310" s="593"/>
      <c r="Q2310" s="572">
        <v>3031</v>
      </c>
      <c r="R2310" s="1413"/>
      <c r="S2310" s="1413"/>
      <c r="U2310" s="328"/>
      <c r="V2310" s="308" t="s">
        <v>2045</v>
      </c>
      <c r="W2310" s="789">
        <v>43008</v>
      </c>
      <c r="X2310" s="748">
        <v>42923</v>
      </c>
      <c r="Y2310" s="328" t="s">
        <v>7242</v>
      </c>
      <c r="Z2310" s="749">
        <v>3031</v>
      </c>
      <c r="AA2310" s="256">
        <v>43013</v>
      </c>
      <c r="AB2310" s="308" t="s">
        <v>7243</v>
      </c>
      <c r="AC2310" s="251">
        <v>7153233743</v>
      </c>
      <c r="AD2310" s="328"/>
      <c r="AE2310" s="328"/>
      <c r="AF2310" s="328"/>
      <c r="AG2310" s="251" t="s">
        <v>283</v>
      </c>
    </row>
    <row r="2311" spans="1:33" ht="15.75" customHeight="1">
      <c r="A2311" s="755">
        <v>42915</v>
      </c>
      <c r="B2311" s="970" t="s">
        <v>6060</v>
      </c>
      <c r="C2311" s="744" t="s">
        <v>7244</v>
      </c>
      <c r="D2311" s="308" t="s">
        <v>7245</v>
      </c>
      <c r="E2311" s="308" t="s">
        <v>7246</v>
      </c>
      <c r="F2311" s="305">
        <v>10</v>
      </c>
      <c r="G2311" s="772">
        <v>94.5</v>
      </c>
      <c r="H2311" s="308">
        <f t="shared" si="171"/>
        <v>945</v>
      </c>
      <c r="I2311" s="254" t="s">
        <v>42</v>
      </c>
      <c r="J2311" s="361" t="s">
        <v>3361</v>
      </c>
      <c r="K2311" s="256">
        <v>42926</v>
      </c>
      <c r="L2311" s="256"/>
      <c r="M2311" s="256">
        <v>42922</v>
      </c>
      <c r="N2311" s="585" t="s">
        <v>89</v>
      </c>
      <c r="O2311" s="308" t="s">
        <v>7247</v>
      </c>
      <c r="P2311" s="308">
        <v>900.9</v>
      </c>
      <c r="Q2311" s="328"/>
      <c r="R2311" s="1407"/>
      <c r="S2311" s="1407"/>
      <c r="U2311" s="328"/>
      <c r="V2311" s="308" t="s">
        <v>5896</v>
      </c>
      <c r="W2311" s="328"/>
      <c r="X2311" s="748">
        <v>42922</v>
      </c>
      <c r="Y2311" s="328" t="s">
        <v>7248</v>
      </c>
      <c r="Z2311" s="749">
        <v>53366</v>
      </c>
      <c r="AA2311" s="594">
        <v>42955</v>
      </c>
      <c r="AB2311" s="308" t="s">
        <v>7249</v>
      </c>
      <c r="AC2311" s="251" t="s">
        <v>7250</v>
      </c>
      <c r="AD2311" s="328"/>
      <c r="AE2311" s="328"/>
      <c r="AF2311" s="328"/>
      <c r="AG2311" s="251" t="s">
        <v>283</v>
      </c>
    </row>
    <row r="2312" spans="1:33" ht="15.75" customHeight="1">
      <c r="A2312" s="755">
        <v>42915</v>
      </c>
      <c r="B2312" s="970" t="s">
        <v>6060</v>
      </c>
      <c r="C2312" s="744" t="s">
        <v>7244</v>
      </c>
      <c r="D2312" s="308" t="s">
        <v>7245</v>
      </c>
      <c r="E2312" s="308" t="s">
        <v>7251</v>
      </c>
      <c r="F2312" s="305">
        <v>4</v>
      </c>
      <c r="G2312" s="336">
        <v>66</v>
      </c>
      <c r="H2312" s="308">
        <f t="shared" si="171"/>
        <v>264</v>
      </c>
      <c r="I2312" s="254" t="s">
        <v>42</v>
      </c>
      <c r="J2312" s="361" t="s">
        <v>3361</v>
      </c>
      <c r="K2312" s="256">
        <v>42926</v>
      </c>
      <c r="L2312" s="256"/>
      <c r="M2312" s="256">
        <v>42922</v>
      </c>
      <c r="N2312" s="585" t="s">
        <v>89</v>
      </c>
      <c r="O2312" s="308" t="s">
        <v>7247</v>
      </c>
      <c r="P2312" s="308">
        <v>252</v>
      </c>
      <c r="Q2312" s="328"/>
      <c r="R2312" s="1407"/>
      <c r="S2312" s="1407"/>
      <c r="U2312" s="328"/>
      <c r="V2312" s="308" t="s">
        <v>5896</v>
      </c>
      <c r="W2312" s="328"/>
      <c r="X2312" s="748">
        <v>42922</v>
      </c>
      <c r="Y2312" s="328" t="s">
        <v>7248</v>
      </c>
      <c r="Z2312" s="328" t="s">
        <v>7252</v>
      </c>
      <c r="AA2312" s="594">
        <v>42955</v>
      </c>
      <c r="AB2312" s="308" t="s">
        <v>7249</v>
      </c>
      <c r="AC2312" s="251" t="s">
        <v>7250</v>
      </c>
      <c r="AD2312" s="328"/>
      <c r="AE2312" s="328"/>
      <c r="AF2312" s="328"/>
      <c r="AG2312" s="251" t="s">
        <v>283</v>
      </c>
    </row>
    <row r="2313" spans="1:33" ht="15.75" customHeight="1">
      <c r="A2313" s="755">
        <v>42915</v>
      </c>
      <c r="B2313" s="970" t="s">
        <v>6060</v>
      </c>
      <c r="C2313" s="744" t="s">
        <v>7244</v>
      </c>
      <c r="D2313" s="308" t="s">
        <v>7245</v>
      </c>
      <c r="E2313" s="308" t="s">
        <v>7253</v>
      </c>
      <c r="F2313" s="305">
        <v>2</v>
      </c>
      <c r="G2313" s="772">
        <v>85</v>
      </c>
      <c r="H2313" s="308">
        <f t="shared" si="171"/>
        <v>170</v>
      </c>
      <c r="I2313" s="254" t="s">
        <v>42</v>
      </c>
      <c r="J2313" s="361" t="s">
        <v>3361</v>
      </c>
      <c r="K2313" s="256">
        <v>42926</v>
      </c>
      <c r="L2313" s="256"/>
      <c r="M2313" s="256">
        <v>42922</v>
      </c>
      <c r="N2313" s="251" t="s">
        <v>89</v>
      </c>
      <c r="O2313" s="308" t="s">
        <v>7247</v>
      </c>
      <c r="P2313" s="308">
        <v>155.4</v>
      </c>
      <c r="Q2313" s="328"/>
      <c r="R2313" s="1407"/>
      <c r="S2313" s="1407"/>
      <c r="U2313" s="328"/>
      <c r="V2313" s="308" t="s">
        <v>5896</v>
      </c>
      <c r="W2313" s="328"/>
      <c r="X2313" s="748">
        <v>42922</v>
      </c>
      <c r="Y2313" s="328" t="s">
        <v>7248</v>
      </c>
      <c r="Z2313" s="328" t="s">
        <v>7252</v>
      </c>
      <c r="AA2313" s="594">
        <v>42955</v>
      </c>
      <c r="AB2313" s="308" t="s">
        <v>7249</v>
      </c>
      <c r="AC2313" s="251" t="s">
        <v>7250</v>
      </c>
      <c r="AD2313" s="328"/>
      <c r="AE2313" s="328"/>
      <c r="AF2313" s="328"/>
      <c r="AG2313" s="251" t="s">
        <v>283</v>
      </c>
    </row>
    <row r="2314" spans="1:33" ht="15.75" customHeight="1">
      <c r="A2314" s="755">
        <v>42915</v>
      </c>
      <c r="B2314" s="744" t="s">
        <v>6060</v>
      </c>
      <c r="C2314" s="744" t="s">
        <v>7244</v>
      </c>
      <c r="D2314" s="308" t="s">
        <v>7245</v>
      </c>
      <c r="E2314" s="308" t="s">
        <v>7254</v>
      </c>
      <c r="F2314" s="305">
        <v>2</v>
      </c>
      <c r="G2314" s="336">
        <v>90</v>
      </c>
      <c r="H2314" s="308">
        <f t="shared" si="171"/>
        <v>180</v>
      </c>
      <c r="I2314" s="254" t="s">
        <v>42</v>
      </c>
      <c r="J2314" s="367" t="s">
        <v>3361</v>
      </c>
      <c r="K2314" s="256">
        <v>42926</v>
      </c>
      <c r="L2314" s="256"/>
      <c r="M2314" s="256">
        <v>42922</v>
      </c>
      <c r="N2314" s="251" t="s">
        <v>89</v>
      </c>
      <c r="O2314" s="308" t="s">
        <v>7247</v>
      </c>
      <c r="P2314" s="308">
        <v>178.5</v>
      </c>
      <c r="Q2314" s="328"/>
      <c r="R2314" s="1407"/>
      <c r="S2314" s="1407"/>
      <c r="U2314" s="328"/>
      <c r="V2314" s="308" t="s">
        <v>5896</v>
      </c>
      <c r="W2314" s="328"/>
      <c r="X2314" s="748">
        <v>42922</v>
      </c>
      <c r="Y2314" s="328" t="s">
        <v>7248</v>
      </c>
      <c r="Z2314" s="328" t="s">
        <v>7252</v>
      </c>
      <c r="AA2314" s="594">
        <v>42955</v>
      </c>
      <c r="AB2314" s="308" t="s">
        <v>7249</v>
      </c>
      <c r="AC2314" s="251" t="s">
        <v>7250</v>
      </c>
      <c r="AD2314" s="328"/>
      <c r="AE2314" s="328"/>
      <c r="AF2314" s="328"/>
      <c r="AG2314" s="251" t="s">
        <v>283</v>
      </c>
    </row>
    <row r="2315" spans="1:33" ht="15.75" customHeight="1">
      <c r="A2315" s="256">
        <v>42915</v>
      </c>
      <c r="B2315" s="970" t="s">
        <v>6060</v>
      </c>
      <c r="C2315" s="744" t="s">
        <v>7244</v>
      </c>
      <c r="D2315" s="308" t="s">
        <v>7245</v>
      </c>
      <c r="E2315" s="308" t="s">
        <v>7255</v>
      </c>
      <c r="F2315" s="305">
        <v>5</v>
      </c>
      <c r="G2315" s="323">
        <v>58</v>
      </c>
      <c r="H2315" s="308">
        <f t="shared" si="171"/>
        <v>290</v>
      </c>
      <c r="I2315" s="254" t="s">
        <v>42</v>
      </c>
      <c r="J2315" s="361" t="s">
        <v>3361</v>
      </c>
      <c r="K2315" s="256">
        <v>42926</v>
      </c>
      <c r="L2315" s="256"/>
      <c r="M2315" s="256">
        <v>42922</v>
      </c>
      <c r="N2315" s="251" t="s">
        <v>89</v>
      </c>
      <c r="O2315" s="308" t="s">
        <v>7247</v>
      </c>
      <c r="P2315" s="308">
        <v>273</v>
      </c>
      <c r="Q2315" s="328"/>
      <c r="R2315" s="1407"/>
      <c r="S2315" s="1407"/>
      <c r="U2315" s="328"/>
      <c r="V2315" s="308" t="s">
        <v>5896</v>
      </c>
      <c r="W2315" s="328"/>
      <c r="X2315" s="748">
        <v>42922</v>
      </c>
      <c r="Y2315" s="328" t="s">
        <v>7248</v>
      </c>
      <c r="Z2315" s="328" t="s">
        <v>7252</v>
      </c>
      <c r="AA2315" s="594">
        <v>42955</v>
      </c>
      <c r="AB2315" s="308" t="s">
        <v>7249</v>
      </c>
      <c r="AC2315" s="251" t="s">
        <v>7250</v>
      </c>
      <c r="AD2315" s="328"/>
      <c r="AE2315" s="328"/>
      <c r="AF2315" s="328"/>
      <c r="AG2315" s="251" t="s">
        <v>283</v>
      </c>
    </row>
    <row r="2316" spans="1:33" ht="15.75" customHeight="1">
      <c r="A2316" s="256">
        <v>42915</v>
      </c>
      <c r="B2316" s="970" t="s">
        <v>5017</v>
      </c>
      <c r="C2316" s="328" t="s">
        <v>7256</v>
      </c>
      <c r="D2316" s="328" t="s">
        <v>7257</v>
      </c>
      <c r="E2316" s="328" t="s">
        <v>7258</v>
      </c>
      <c r="F2316" s="305">
        <v>10</v>
      </c>
      <c r="G2316" s="772">
        <f>11*1.05</f>
        <v>11.55</v>
      </c>
      <c r="H2316" s="308">
        <f t="shared" si="171"/>
        <v>115.5</v>
      </c>
      <c r="I2316" s="758" t="s">
        <v>3315</v>
      </c>
      <c r="J2316" s="756" t="s">
        <v>1309</v>
      </c>
      <c r="K2316" s="256">
        <v>42922</v>
      </c>
      <c r="L2316" s="256"/>
      <c r="M2316" s="256">
        <v>42922</v>
      </c>
      <c r="N2316" s="401" t="s">
        <v>2411</v>
      </c>
      <c r="O2316" s="308" t="s">
        <v>7259</v>
      </c>
      <c r="P2316" s="328"/>
      <c r="Q2316" s="572">
        <v>3780</v>
      </c>
      <c r="R2316" s="1413"/>
      <c r="S2316" s="1413"/>
      <c r="U2316" s="328"/>
      <c r="V2316" s="308" t="s">
        <v>4328</v>
      </c>
      <c r="W2316" s="624">
        <v>42952</v>
      </c>
      <c r="X2316" s="748">
        <v>42919</v>
      </c>
      <c r="Y2316" s="328" t="s">
        <v>7260</v>
      </c>
      <c r="Z2316" s="749">
        <v>6458</v>
      </c>
      <c r="AA2316" s="594">
        <v>42951</v>
      </c>
      <c r="AB2316" s="328" t="s">
        <v>7261</v>
      </c>
      <c r="AC2316" s="328" t="s">
        <v>7262</v>
      </c>
      <c r="AD2316" s="597" t="s">
        <v>7263</v>
      </c>
      <c r="AE2316" s="260">
        <v>6202</v>
      </c>
      <c r="AF2316" s="328" t="s">
        <v>7264</v>
      </c>
      <c r="AG2316" s="251" t="s">
        <v>376</v>
      </c>
    </row>
    <row r="2317" spans="1:33" ht="15.75" customHeight="1">
      <c r="A2317" s="256">
        <v>42915</v>
      </c>
      <c r="B2317" s="970" t="s">
        <v>5017</v>
      </c>
      <c r="C2317" s="328" t="s">
        <v>7256</v>
      </c>
      <c r="D2317" s="328" t="s">
        <v>7257</v>
      </c>
      <c r="E2317" s="328" t="s">
        <v>7265</v>
      </c>
      <c r="F2317" s="305">
        <v>10</v>
      </c>
      <c r="G2317" s="772">
        <f>8.4*1.05</f>
        <v>8.82</v>
      </c>
      <c r="H2317" s="308">
        <f t="shared" si="171"/>
        <v>88.2</v>
      </c>
      <c r="I2317" s="758" t="s">
        <v>3315</v>
      </c>
      <c r="J2317" s="756" t="s">
        <v>1309</v>
      </c>
      <c r="K2317" s="256">
        <v>42922</v>
      </c>
      <c r="L2317" s="256"/>
      <c r="M2317" s="256">
        <v>42922</v>
      </c>
      <c r="N2317" s="401" t="s">
        <v>2411</v>
      </c>
      <c r="O2317" s="308" t="s">
        <v>7259</v>
      </c>
      <c r="P2317" s="328"/>
      <c r="Q2317" s="572">
        <v>2678</v>
      </c>
      <c r="R2317" s="1413"/>
      <c r="S2317" s="1413"/>
      <c r="U2317" s="328"/>
      <c r="V2317" s="308" t="s">
        <v>4328</v>
      </c>
      <c r="W2317" s="624">
        <v>42952</v>
      </c>
      <c r="X2317" s="748">
        <v>42919</v>
      </c>
      <c r="Y2317" s="328" t="s">
        <v>7260</v>
      </c>
      <c r="Z2317" s="328" t="s">
        <v>7266</v>
      </c>
      <c r="AA2317" s="594">
        <v>42951</v>
      </c>
      <c r="AB2317" s="328" t="s">
        <v>7261</v>
      </c>
      <c r="AC2317" s="328" t="s">
        <v>7262</v>
      </c>
      <c r="AD2317" s="597" t="s">
        <v>7263</v>
      </c>
      <c r="AE2317" s="251" t="s">
        <v>7267</v>
      </c>
      <c r="AF2317" s="328" t="s">
        <v>7264</v>
      </c>
      <c r="AG2317" s="251" t="s">
        <v>376</v>
      </c>
    </row>
    <row r="2318" spans="1:33" ht="15.75" customHeight="1">
      <c r="A2318" s="594">
        <v>42915</v>
      </c>
      <c r="B2318" s="590" t="s">
        <v>7107</v>
      </c>
      <c r="C2318" s="744">
        <v>7000130765</v>
      </c>
      <c r="D2318" s="250" t="s">
        <v>7240</v>
      </c>
      <c r="E2318" s="250" t="s">
        <v>6008</v>
      </c>
      <c r="F2318" s="305">
        <v>2</v>
      </c>
      <c r="G2318" s="772">
        <v>86</v>
      </c>
      <c r="H2318" s="308">
        <f t="shared" si="171"/>
        <v>172</v>
      </c>
      <c r="I2318" s="254" t="s">
        <v>42</v>
      </c>
      <c r="J2318" s="756" t="s">
        <v>3462</v>
      </c>
      <c r="K2318" s="256">
        <v>42919</v>
      </c>
      <c r="L2318" s="256"/>
      <c r="M2318" s="256">
        <v>42919</v>
      </c>
      <c r="N2318" s="264" t="s">
        <v>3432</v>
      </c>
      <c r="O2318" s="328" t="s">
        <v>7241</v>
      </c>
      <c r="P2318" s="328"/>
      <c r="Q2318" s="572">
        <v>5013</v>
      </c>
      <c r="R2318" s="1413"/>
      <c r="S2318" s="1413"/>
      <c r="U2318" s="328"/>
      <c r="V2318" s="308" t="s">
        <v>2045</v>
      </c>
      <c r="W2318" s="789">
        <v>43008</v>
      </c>
      <c r="X2318" s="748">
        <v>42916</v>
      </c>
      <c r="Y2318" s="328" t="s">
        <v>7268</v>
      </c>
      <c r="Z2318" s="749">
        <v>22990</v>
      </c>
      <c r="AA2318" s="256">
        <v>43013</v>
      </c>
      <c r="AB2318" s="308" t="s">
        <v>7111</v>
      </c>
      <c r="AC2318" s="328"/>
      <c r="AD2318" s="328"/>
      <c r="AE2318" s="328"/>
      <c r="AF2318" s="328"/>
      <c r="AG2318" s="251" t="s">
        <v>283</v>
      </c>
    </row>
    <row r="2319" spans="1:33" ht="15.75" customHeight="1">
      <c r="A2319" s="594">
        <v>42915</v>
      </c>
      <c r="B2319" s="590" t="s">
        <v>7107</v>
      </c>
      <c r="C2319" s="744">
        <v>7000130765</v>
      </c>
      <c r="D2319" s="250" t="s">
        <v>7240</v>
      </c>
      <c r="E2319" s="250" t="s">
        <v>3515</v>
      </c>
      <c r="F2319" s="305">
        <v>1</v>
      </c>
      <c r="G2319" s="772">
        <v>46</v>
      </c>
      <c r="H2319" s="308">
        <f t="shared" si="171"/>
        <v>46</v>
      </c>
      <c r="I2319" s="254" t="s">
        <v>42</v>
      </c>
      <c r="J2319" s="756" t="s">
        <v>3462</v>
      </c>
      <c r="K2319" s="256">
        <v>42919</v>
      </c>
      <c r="L2319" s="256"/>
      <c r="M2319" s="256">
        <v>42919</v>
      </c>
      <c r="N2319" s="264" t="s">
        <v>3432</v>
      </c>
      <c r="O2319" s="328" t="s">
        <v>7241</v>
      </c>
      <c r="P2319" s="328"/>
      <c r="Q2319" s="572">
        <v>1342</v>
      </c>
      <c r="R2319" s="1413"/>
      <c r="S2319" s="1413"/>
      <c r="U2319" s="328"/>
      <c r="V2319" s="308" t="s">
        <v>2045</v>
      </c>
      <c r="W2319" s="789">
        <v>43008</v>
      </c>
      <c r="X2319" s="748">
        <v>42916</v>
      </c>
      <c r="Y2319" s="328" t="s">
        <v>7268</v>
      </c>
      <c r="Z2319" s="749" t="s">
        <v>7269</v>
      </c>
      <c r="AA2319" s="256">
        <v>43013</v>
      </c>
      <c r="AB2319" s="308" t="s">
        <v>7111</v>
      </c>
      <c r="AC2319" s="328"/>
      <c r="AD2319" s="328"/>
      <c r="AE2319" s="328"/>
      <c r="AF2319" s="328"/>
      <c r="AG2319" s="251" t="s">
        <v>283</v>
      </c>
    </row>
    <row r="2320" spans="1:33" ht="15.75" customHeight="1">
      <c r="A2320" s="743">
        <v>42915</v>
      </c>
      <c r="B2320" s="420" t="s">
        <v>7107</v>
      </c>
      <c r="C2320" s="744">
        <v>7000130765</v>
      </c>
      <c r="D2320" s="250" t="s">
        <v>7240</v>
      </c>
      <c r="E2320" s="250" t="s">
        <v>6404</v>
      </c>
      <c r="F2320" s="305">
        <v>4</v>
      </c>
      <c r="G2320" s="772">
        <v>116</v>
      </c>
      <c r="H2320" s="308">
        <f t="shared" si="171"/>
        <v>464</v>
      </c>
      <c r="I2320" s="254" t="s">
        <v>42</v>
      </c>
      <c r="J2320" s="401" t="s">
        <v>3462</v>
      </c>
      <c r="K2320" s="256">
        <v>42919</v>
      </c>
      <c r="L2320" s="256"/>
      <c r="M2320" s="256">
        <v>42919</v>
      </c>
      <c r="N2320" s="264" t="s">
        <v>3432</v>
      </c>
      <c r="O2320" s="328" t="s">
        <v>7241</v>
      </c>
      <c r="P2320" s="328"/>
      <c r="Q2320" s="572">
        <v>13604</v>
      </c>
      <c r="R2320" s="1413"/>
      <c r="S2320" s="1413"/>
      <c r="U2320" s="328"/>
      <c r="V2320" s="318" t="s">
        <v>2045</v>
      </c>
      <c r="W2320" s="789">
        <v>43008</v>
      </c>
      <c r="X2320" s="748">
        <v>42916</v>
      </c>
      <c r="Y2320" s="328" t="s">
        <v>7268</v>
      </c>
      <c r="Z2320" s="749" t="s">
        <v>7269</v>
      </c>
      <c r="AA2320" s="256">
        <v>43013</v>
      </c>
      <c r="AB2320" s="308" t="s">
        <v>7111</v>
      </c>
      <c r="AC2320" s="328"/>
      <c r="AD2320" s="328"/>
      <c r="AE2320" s="328"/>
      <c r="AF2320" s="328"/>
      <c r="AG2320" s="251" t="s">
        <v>283</v>
      </c>
    </row>
    <row r="2321" spans="1:33" ht="15.75" customHeight="1">
      <c r="A2321" s="743">
        <v>42915</v>
      </c>
      <c r="B2321" s="420" t="s">
        <v>7107</v>
      </c>
      <c r="C2321" s="744">
        <v>7000130765</v>
      </c>
      <c r="D2321" s="250" t="s">
        <v>7240</v>
      </c>
      <c r="E2321" s="250" t="s">
        <v>1102</v>
      </c>
      <c r="F2321" s="305">
        <v>1</v>
      </c>
      <c r="G2321" s="772">
        <v>104</v>
      </c>
      <c r="H2321" s="308">
        <f t="shared" si="171"/>
        <v>104</v>
      </c>
      <c r="I2321" s="254" t="s">
        <v>42</v>
      </c>
      <c r="J2321" s="401" t="s">
        <v>3462</v>
      </c>
      <c r="K2321" s="256">
        <v>42919</v>
      </c>
      <c r="L2321" s="256"/>
      <c r="M2321" s="256">
        <v>42919</v>
      </c>
      <c r="N2321" s="264" t="s">
        <v>3432</v>
      </c>
      <c r="O2321" s="328" t="s">
        <v>7241</v>
      </c>
      <c r="P2321" s="328"/>
      <c r="Q2321" s="572">
        <v>3031</v>
      </c>
      <c r="R2321" s="1413"/>
      <c r="S2321" s="1413"/>
      <c r="U2321" s="328"/>
      <c r="V2321" s="318" t="s">
        <v>2045</v>
      </c>
      <c r="W2321" s="789">
        <v>43008</v>
      </c>
      <c r="X2321" s="748">
        <v>42916</v>
      </c>
      <c r="Y2321" s="328" t="s">
        <v>7268</v>
      </c>
      <c r="Z2321" s="749" t="s">
        <v>7269</v>
      </c>
      <c r="AA2321" s="256">
        <v>43013</v>
      </c>
      <c r="AB2321" s="308" t="s">
        <v>7111</v>
      </c>
      <c r="AC2321" s="328"/>
      <c r="AD2321" s="328"/>
      <c r="AE2321" s="328"/>
      <c r="AF2321" s="328"/>
      <c r="AG2321" s="251" t="s">
        <v>283</v>
      </c>
    </row>
    <row r="2322" spans="1:33" ht="15.75" customHeight="1">
      <c r="A2322" s="755">
        <v>42919</v>
      </c>
      <c r="B2322" s="571" t="s">
        <v>53</v>
      </c>
      <c r="C2322" s="250" t="s">
        <v>7270</v>
      </c>
      <c r="D2322" s="308" t="s">
        <v>7271</v>
      </c>
      <c r="E2322" s="308" t="s">
        <v>3632</v>
      </c>
      <c r="F2322" s="264">
        <v>4</v>
      </c>
      <c r="G2322" s="323">
        <v>150.15</v>
      </c>
      <c r="H2322" s="574">
        <f t="shared" si="171"/>
        <v>600.6</v>
      </c>
      <c r="I2322" s="254" t="s">
        <v>42</v>
      </c>
      <c r="J2322" s="251" t="s">
        <v>89</v>
      </c>
      <c r="K2322" s="256">
        <v>42954</v>
      </c>
      <c r="L2322" s="256"/>
      <c r="M2322" s="256">
        <v>42954</v>
      </c>
      <c r="N2322" s="401" t="s">
        <v>89</v>
      </c>
      <c r="O2322" s="328" t="s">
        <v>7272</v>
      </c>
      <c r="P2322" s="308">
        <v>537.6</v>
      </c>
      <c r="Q2322" s="328"/>
      <c r="R2322" s="1407"/>
      <c r="S2322" s="1407"/>
      <c r="U2322" s="328"/>
      <c r="V2322" s="318" t="s">
        <v>5896</v>
      </c>
      <c r="W2322" s="747">
        <v>43008</v>
      </c>
      <c r="X2322" s="750">
        <v>42954</v>
      </c>
      <c r="Y2322" s="308" t="s">
        <v>7273</v>
      </c>
      <c r="Z2322" s="753">
        <v>16281</v>
      </c>
      <c r="AA2322" s="594">
        <v>42998</v>
      </c>
      <c r="AB2322" s="328" t="s">
        <v>7274</v>
      </c>
      <c r="AC2322" s="328"/>
      <c r="AD2322" s="328" t="s">
        <v>7275</v>
      </c>
      <c r="AE2322" s="260">
        <v>18150</v>
      </c>
      <c r="AF2322" s="744" t="s">
        <v>7276</v>
      </c>
      <c r="AG2322" s="251" t="s">
        <v>376</v>
      </c>
    </row>
    <row r="2323" spans="1:33" ht="15.75" customHeight="1">
      <c r="A2323" s="755">
        <v>42919</v>
      </c>
      <c r="B2323" s="328" t="s">
        <v>100</v>
      </c>
      <c r="C2323" s="328" t="s">
        <v>7277</v>
      </c>
      <c r="D2323" s="328" t="s">
        <v>7278</v>
      </c>
      <c r="E2323" s="328" t="s">
        <v>7279</v>
      </c>
      <c r="F2323" s="305">
        <v>1</v>
      </c>
      <c r="G2323" s="772">
        <v>622</v>
      </c>
      <c r="H2323" s="308">
        <f t="shared" si="171"/>
        <v>622</v>
      </c>
      <c r="I2323" s="254" t="s">
        <v>3315</v>
      </c>
      <c r="J2323" s="367" t="s">
        <v>3578</v>
      </c>
      <c r="K2323" s="256">
        <v>42933</v>
      </c>
      <c r="L2323" s="256"/>
      <c r="M2323" s="256">
        <v>42928</v>
      </c>
      <c r="N2323" s="401" t="s">
        <v>1995</v>
      </c>
      <c r="O2323" s="250" t="s">
        <v>7280</v>
      </c>
      <c r="P2323" s="328"/>
      <c r="Q2323" s="572">
        <v>17937</v>
      </c>
      <c r="R2323" s="1413"/>
      <c r="S2323" s="1413"/>
      <c r="U2323" s="328"/>
      <c r="V2323" s="338" t="s">
        <v>1997</v>
      </c>
      <c r="W2323" s="789">
        <v>42983</v>
      </c>
      <c r="X2323" s="748">
        <v>42928</v>
      </c>
      <c r="Y2323" s="328" t="s">
        <v>7281</v>
      </c>
      <c r="Z2323" s="749">
        <v>20083</v>
      </c>
      <c r="AA2323" s="256">
        <v>42983</v>
      </c>
      <c r="AB2323" s="308" t="s">
        <v>7282</v>
      </c>
      <c r="AC2323" s="328"/>
      <c r="AD2323" s="328"/>
      <c r="AE2323" s="328"/>
      <c r="AF2323" s="328"/>
      <c r="AG2323" s="251" t="s">
        <v>283</v>
      </c>
    </row>
    <row r="2324" spans="1:33" ht="15.75" customHeight="1">
      <c r="A2324" s="755">
        <v>42919</v>
      </c>
      <c r="B2324" s="328" t="s">
        <v>100</v>
      </c>
      <c r="C2324" s="328" t="s">
        <v>7277</v>
      </c>
      <c r="D2324" s="328" t="s">
        <v>7278</v>
      </c>
      <c r="E2324" s="328" t="s">
        <v>7283</v>
      </c>
      <c r="F2324" s="305">
        <v>1</v>
      </c>
      <c r="G2324" s="772">
        <v>74</v>
      </c>
      <c r="H2324" s="308">
        <f t="shared" si="171"/>
        <v>74</v>
      </c>
      <c r="I2324" s="254" t="s">
        <v>3315</v>
      </c>
      <c r="J2324" s="367" t="s">
        <v>3578</v>
      </c>
      <c r="K2324" s="256">
        <v>42933</v>
      </c>
      <c r="L2324" s="256"/>
      <c r="M2324" s="256">
        <v>42928</v>
      </c>
      <c r="N2324" s="401" t="s">
        <v>1995</v>
      </c>
      <c r="O2324" s="250" t="s">
        <v>7280</v>
      </c>
      <c r="P2324" s="328"/>
      <c r="Q2324" s="572">
        <v>2146</v>
      </c>
      <c r="R2324" s="1413"/>
      <c r="S2324" s="1413"/>
      <c r="U2324" s="328"/>
      <c r="V2324" s="338" t="s">
        <v>1997</v>
      </c>
      <c r="W2324" s="789">
        <v>42983</v>
      </c>
      <c r="X2324" s="748">
        <v>42928</v>
      </c>
      <c r="Y2324" s="328" t="s">
        <v>7281</v>
      </c>
      <c r="Z2324" s="328" t="s">
        <v>7284</v>
      </c>
      <c r="AA2324" s="256">
        <v>42983</v>
      </c>
      <c r="AB2324" s="308" t="s">
        <v>7282</v>
      </c>
      <c r="AC2324" s="328"/>
      <c r="AD2324" s="328"/>
      <c r="AE2324" s="328"/>
      <c r="AF2324" s="328"/>
      <c r="AG2324" s="251" t="s">
        <v>283</v>
      </c>
    </row>
    <row r="2325" spans="1:33" ht="15.75" customHeight="1">
      <c r="A2325" s="755">
        <v>42919</v>
      </c>
      <c r="B2325" s="328" t="s">
        <v>100</v>
      </c>
      <c r="C2325" s="328" t="s">
        <v>7285</v>
      </c>
      <c r="D2325" s="328" t="s">
        <v>7286</v>
      </c>
      <c r="E2325" s="328" t="s">
        <v>7287</v>
      </c>
      <c r="F2325" s="305">
        <v>2</v>
      </c>
      <c r="G2325" s="772">
        <v>1413</v>
      </c>
      <c r="H2325" s="308">
        <f t="shared" si="171"/>
        <v>2826</v>
      </c>
      <c r="I2325" s="254" t="s">
        <v>3315</v>
      </c>
      <c r="J2325" s="367" t="s">
        <v>3578</v>
      </c>
      <c r="K2325" s="256">
        <v>42933</v>
      </c>
      <c r="L2325" s="256"/>
      <c r="M2325" s="256">
        <v>42927</v>
      </c>
      <c r="N2325" s="367" t="s">
        <v>2001</v>
      </c>
      <c r="O2325" s="308" t="s">
        <v>7288</v>
      </c>
      <c r="P2325" s="1049">
        <v>2671.2</v>
      </c>
      <c r="Q2325" s="328"/>
      <c r="R2325" s="1407"/>
      <c r="S2325" s="1407"/>
      <c r="U2325" s="328"/>
      <c r="V2325" s="318" t="s">
        <v>2003</v>
      </c>
      <c r="W2325" s="789">
        <v>42983</v>
      </c>
      <c r="X2325" s="748">
        <v>42923</v>
      </c>
      <c r="Y2325" s="328" t="s">
        <v>7289</v>
      </c>
      <c r="Z2325" s="749">
        <v>81738</v>
      </c>
      <c r="AA2325" s="256">
        <v>42985</v>
      </c>
      <c r="AB2325" s="308" t="s">
        <v>7282</v>
      </c>
      <c r="AC2325" s="328"/>
      <c r="AD2325" s="328"/>
      <c r="AE2325" s="328"/>
      <c r="AF2325" s="328"/>
      <c r="AG2325" s="251" t="s">
        <v>283</v>
      </c>
    </row>
    <row r="2326" spans="1:33" ht="15.75" customHeight="1">
      <c r="A2326" s="755">
        <v>42919</v>
      </c>
      <c r="B2326" s="328" t="s">
        <v>100</v>
      </c>
      <c r="C2326" s="328" t="s">
        <v>7277</v>
      </c>
      <c r="D2326" s="328" t="s">
        <v>7278</v>
      </c>
      <c r="E2326" s="328" t="s">
        <v>7290</v>
      </c>
      <c r="F2326" s="305">
        <v>1</v>
      </c>
      <c r="G2326" s="772">
        <v>138</v>
      </c>
      <c r="H2326" s="308">
        <f t="shared" si="171"/>
        <v>138</v>
      </c>
      <c r="I2326" s="254" t="s">
        <v>3315</v>
      </c>
      <c r="J2326" s="367" t="s">
        <v>3578</v>
      </c>
      <c r="K2326" s="256">
        <v>42933</v>
      </c>
      <c r="L2326" s="256"/>
      <c r="M2326" s="256">
        <v>42926</v>
      </c>
      <c r="N2326" s="367" t="s">
        <v>4682</v>
      </c>
      <c r="O2326" s="250" t="s">
        <v>7291</v>
      </c>
      <c r="P2326" s="328"/>
      <c r="Q2326" s="572">
        <v>4135</v>
      </c>
      <c r="R2326" s="1413"/>
      <c r="S2326" s="1413"/>
      <c r="U2326" s="328"/>
      <c r="V2326" s="318" t="s">
        <v>2126</v>
      </c>
      <c r="W2326" s="328"/>
      <c r="X2326" s="750">
        <v>42927</v>
      </c>
      <c r="Y2326" s="308" t="s">
        <v>7292</v>
      </c>
      <c r="Z2326" s="753">
        <v>4135</v>
      </c>
      <c r="AA2326" s="594">
        <v>42922</v>
      </c>
      <c r="AB2326" s="308" t="s">
        <v>7282</v>
      </c>
      <c r="AC2326" s="328"/>
      <c r="AD2326" s="328"/>
      <c r="AE2326" s="328"/>
      <c r="AF2326" s="328"/>
      <c r="AG2326" s="251" t="s">
        <v>283</v>
      </c>
    </row>
    <row r="2327" spans="1:33" ht="26.25" customHeight="1">
      <c r="A2327" s="755">
        <v>42919</v>
      </c>
      <c r="B2327" s="386" t="s">
        <v>100</v>
      </c>
      <c r="C2327" s="328" t="s">
        <v>7277</v>
      </c>
      <c r="D2327" s="328" t="s">
        <v>7278</v>
      </c>
      <c r="E2327" s="328" t="s">
        <v>6482</v>
      </c>
      <c r="F2327" s="305">
        <v>1</v>
      </c>
      <c r="G2327" s="772">
        <v>352</v>
      </c>
      <c r="H2327" s="308">
        <f t="shared" si="171"/>
        <v>352</v>
      </c>
      <c r="I2327" s="254" t="s">
        <v>3315</v>
      </c>
      <c r="J2327" s="367" t="s">
        <v>3578</v>
      </c>
      <c r="K2327" s="256">
        <v>42933</v>
      </c>
      <c r="L2327" s="256"/>
      <c r="M2327" s="256">
        <v>42923</v>
      </c>
      <c r="N2327" s="267" t="s">
        <v>7293</v>
      </c>
      <c r="O2327" s="250" t="s">
        <v>7294</v>
      </c>
      <c r="P2327" s="308">
        <v>299.25</v>
      </c>
      <c r="Q2327" s="328"/>
      <c r="R2327" s="1407"/>
      <c r="S2327" s="1407"/>
      <c r="U2327" s="328"/>
      <c r="V2327" s="318" t="s">
        <v>6159</v>
      </c>
      <c r="W2327" s="789">
        <v>42952</v>
      </c>
      <c r="X2327" s="750">
        <v>42922</v>
      </c>
      <c r="Y2327" s="308" t="s">
        <v>7295</v>
      </c>
      <c r="Z2327" s="753">
        <v>9130</v>
      </c>
      <c r="AA2327" s="594">
        <v>42965</v>
      </c>
      <c r="AB2327" s="308" t="s">
        <v>7282</v>
      </c>
      <c r="AC2327" s="328"/>
      <c r="AD2327" s="328"/>
      <c r="AE2327" s="328"/>
      <c r="AF2327" s="328"/>
      <c r="AG2327" s="251" t="s">
        <v>283</v>
      </c>
    </row>
    <row r="2328" spans="1:33" ht="15.75" customHeight="1">
      <c r="A2328" s="755">
        <v>42919</v>
      </c>
      <c r="B2328" s="386" t="s">
        <v>100</v>
      </c>
      <c r="C2328" s="328" t="s">
        <v>7277</v>
      </c>
      <c r="D2328" s="328" t="s">
        <v>7296</v>
      </c>
      <c r="E2328" s="328" t="s">
        <v>7297</v>
      </c>
      <c r="F2328" s="305">
        <v>1</v>
      </c>
      <c r="G2328" s="772">
        <v>40</v>
      </c>
      <c r="H2328" s="308">
        <f t="shared" si="171"/>
        <v>40</v>
      </c>
      <c r="I2328" s="254" t="s">
        <v>3315</v>
      </c>
      <c r="J2328" s="367" t="s">
        <v>3578</v>
      </c>
      <c r="K2328" s="256">
        <v>42933</v>
      </c>
      <c r="L2328" s="256"/>
      <c r="M2328" s="256">
        <v>42923</v>
      </c>
      <c r="N2328" s="331" t="s">
        <v>7298</v>
      </c>
      <c r="O2328" s="308" t="s">
        <v>3750</v>
      </c>
      <c r="P2328" s="328"/>
      <c r="Q2328" s="328"/>
      <c r="R2328" s="1407"/>
      <c r="S2328" s="1407"/>
      <c r="U2328" s="328"/>
      <c r="V2328" s="592" t="s">
        <v>7299</v>
      </c>
      <c r="W2328" s="337"/>
      <c r="X2328" s="308" t="s">
        <v>3750</v>
      </c>
      <c r="Y2328" s="308"/>
      <c r="Z2328" s="308"/>
      <c r="AA2328" s="328"/>
      <c r="AB2328" s="308" t="s">
        <v>7282</v>
      </c>
      <c r="AC2328" s="328"/>
      <c r="AD2328" s="328"/>
      <c r="AE2328" s="328"/>
      <c r="AF2328" s="328"/>
      <c r="AG2328" s="251" t="s">
        <v>283</v>
      </c>
    </row>
    <row r="2329" spans="1:33" ht="26.25" customHeight="1">
      <c r="A2329" s="755">
        <v>42919</v>
      </c>
      <c r="B2329" s="386" t="s">
        <v>7300</v>
      </c>
      <c r="C2329" s="328"/>
      <c r="D2329" s="308" t="s">
        <v>7301</v>
      </c>
      <c r="E2329" s="308" t="s">
        <v>7302</v>
      </c>
      <c r="F2329" s="305">
        <v>1</v>
      </c>
      <c r="G2329" s="772">
        <f>152*1.05</f>
        <v>159.6</v>
      </c>
      <c r="H2329" s="574">
        <f t="shared" si="171"/>
        <v>159.6</v>
      </c>
      <c r="I2329" s="254" t="s">
        <v>3315</v>
      </c>
      <c r="J2329" s="251"/>
      <c r="K2329" s="256">
        <v>42922</v>
      </c>
      <c r="L2329" s="256"/>
      <c r="M2329" s="328"/>
      <c r="N2329" s="251" t="s">
        <v>5455</v>
      </c>
      <c r="O2329" s="328" t="s">
        <v>7303</v>
      </c>
      <c r="P2329" s="593"/>
      <c r="Q2329" s="336"/>
      <c r="R2329" s="1420"/>
      <c r="S2329" s="1420"/>
      <c r="U2329" s="328"/>
      <c r="V2329" s="328"/>
      <c r="W2329" s="328"/>
      <c r="X2329" s="748">
        <v>42929</v>
      </c>
      <c r="Y2329" s="328" t="s">
        <v>7304</v>
      </c>
      <c r="Z2329" s="749">
        <v>4495</v>
      </c>
      <c r="AA2329" s="328"/>
      <c r="AB2329" s="328" t="s">
        <v>7305</v>
      </c>
      <c r="AC2329" s="328" t="s">
        <v>7306</v>
      </c>
      <c r="AD2329" s="328"/>
      <c r="AE2329" s="260">
        <v>4839</v>
      </c>
      <c r="AF2329" s="328" t="s">
        <v>7264</v>
      </c>
      <c r="AG2329" s="251" t="s">
        <v>376</v>
      </c>
    </row>
    <row r="2330" spans="1:33" ht="15.75" customHeight="1">
      <c r="A2330" s="755">
        <v>42921</v>
      </c>
      <c r="B2330" s="386" t="s">
        <v>325</v>
      </c>
      <c r="C2330" s="250">
        <v>1612451</v>
      </c>
      <c r="D2330" s="308" t="s">
        <v>7307</v>
      </c>
      <c r="E2330" s="308" t="s">
        <v>4251</v>
      </c>
      <c r="F2330" s="305">
        <v>5</v>
      </c>
      <c r="G2330" s="772">
        <v>607</v>
      </c>
      <c r="H2330" s="265">
        <f t="shared" si="171"/>
        <v>3035</v>
      </c>
      <c r="I2330" s="254" t="s">
        <v>3315</v>
      </c>
      <c r="J2330" s="367" t="s">
        <v>3613</v>
      </c>
      <c r="K2330" s="256">
        <v>42969</v>
      </c>
      <c r="L2330" s="256"/>
      <c r="M2330" s="256">
        <v>42963</v>
      </c>
      <c r="N2330" s="401" t="s">
        <v>3614</v>
      </c>
      <c r="O2330" s="250" t="s">
        <v>7308</v>
      </c>
      <c r="P2330" s="265">
        <v>2966.25</v>
      </c>
      <c r="Q2330" s="574"/>
      <c r="R2330" s="1405"/>
      <c r="S2330" s="1405"/>
      <c r="U2330" s="328"/>
      <c r="V2330" s="590" t="s">
        <v>2159</v>
      </c>
      <c r="W2330" s="789">
        <v>43008</v>
      </c>
      <c r="X2330" s="750">
        <v>42964</v>
      </c>
      <c r="Y2330" s="308" t="s">
        <v>7309</v>
      </c>
      <c r="Z2330" s="753">
        <v>94010</v>
      </c>
      <c r="AA2330" s="256">
        <v>43007</v>
      </c>
      <c r="AB2330" s="308" t="s">
        <v>7116</v>
      </c>
      <c r="AC2330" s="251">
        <v>770077588248</v>
      </c>
      <c r="AD2330" s="328"/>
      <c r="AE2330" s="328"/>
      <c r="AF2330" s="328"/>
      <c r="AG2330" s="251" t="s">
        <v>283</v>
      </c>
    </row>
    <row r="2331" spans="1:33" ht="15.75" customHeight="1">
      <c r="A2331" s="755">
        <v>42921</v>
      </c>
      <c r="B2331" s="386" t="s">
        <v>325</v>
      </c>
      <c r="C2331" s="250">
        <v>1612451</v>
      </c>
      <c r="D2331" s="308" t="s">
        <v>7307</v>
      </c>
      <c r="E2331" s="308" t="s">
        <v>4256</v>
      </c>
      <c r="F2331" s="305">
        <v>5</v>
      </c>
      <c r="G2331" s="772">
        <v>27</v>
      </c>
      <c r="H2331" s="265">
        <f t="shared" si="171"/>
        <v>135</v>
      </c>
      <c r="I2331" s="254" t="s">
        <v>3315</v>
      </c>
      <c r="J2331" s="367" t="s">
        <v>3613</v>
      </c>
      <c r="K2331" s="256">
        <v>42969</v>
      </c>
      <c r="L2331" s="256"/>
      <c r="M2331" s="256">
        <v>42963</v>
      </c>
      <c r="N2331" s="331" t="s">
        <v>3614</v>
      </c>
      <c r="O2331" s="250" t="s">
        <v>7308</v>
      </c>
      <c r="P2331" s="265">
        <v>131.25</v>
      </c>
      <c r="Q2331" s="574"/>
      <c r="R2331" s="1405"/>
      <c r="S2331" s="1405"/>
      <c r="U2331" s="328"/>
      <c r="V2331" s="420" t="s">
        <v>2159</v>
      </c>
      <c r="W2331" s="789">
        <v>43008</v>
      </c>
      <c r="X2331" s="750">
        <v>42964</v>
      </c>
      <c r="Y2331" s="308" t="s">
        <v>7309</v>
      </c>
      <c r="Z2331" s="308" t="s">
        <v>7310</v>
      </c>
      <c r="AA2331" s="256">
        <v>43007</v>
      </c>
      <c r="AB2331" s="308" t="s">
        <v>7116</v>
      </c>
      <c r="AC2331" s="251">
        <v>770077588248</v>
      </c>
      <c r="AD2331" s="328"/>
      <c r="AE2331" s="328"/>
      <c r="AF2331" s="328"/>
      <c r="AG2331" s="251" t="s">
        <v>283</v>
      </c>
    </row>
    <row r="2332" spans="1:33" ht="15.75" customHeight="1">
      <c r="A2332" s="755">
        <v>42922</v>
      </c>
      <c r="B2332" s="386" t="s">
        <v>100</v>
      </c>
      <c r="C2332" s="328" t="s">
        <v>7311</v>
      </c>
      <c r="D2332" s="1050" t="s">
        <v>7312</v>
      </c>
      <c r="E2332" s="1050" t="s">
        <v>7313</v>
      </c>
      <c r="F2332" s="305">
        <v>50</v>
      </c>
      <c r="G2332" s="772">
        <v>291</v>
      </c>
      <c r="H2332" s="266">
        <f t="shared" si="171"/>
        <v>14550</v>
      </c>
      <c r="I2332" s="254" t="s">
        <v>3315</v>
      </c>
      <c r="J2332" s="367" t="s">
        <v>3578</v>
      </c>
      <c r="K2332" s="256">
        <v>42996</v>
      </c>
      <c r="L2332" s="256"/>
      <c r="M2332" s="256">
        <v>42986</v>
      </c>
      <c r="N2332" s="331" t="s">
        <v>1995</v>
      </c>
      <c r="O2332" s="308" t="s">
        <v>7314</v>
      </c>
      <c r="P2332" s="266">
        <v>13755</v>
      </c>
      <c r="Q2332" s="770">
        <v>413963</v>
      </c>
      <c r="R2332" s="1447"/>
      <c r="S2332" s="1447"/>
      <c r="U2332" s="328"/>
      <c r="V2332" s="338" t="s">
        <v>1997</v>
      </c>
      <c r="W2332" s="574" t="s">
        <v>7315</v>
      </c>
      <c r="X2332" s="748">
        <v>42986</v>
      </c>
      <c r="Y2332" s="328" t="s">
        <v>7316</v>
      </c>
      <c r="Z2332" s="749">
        <v>413963</v>
      </c>
      <c r="AA2332" s="256">
        <v>42983</v>
      </c>
      <c r="AB2332" s="328" t="s">
        <v>7317</v>
      </c>
      <c r="AC2332" s="251">
        <v>5818143181</v>
      </c>
      <c r="AD2332" s="328"/>
      <c r="AE2332" s="328"/>
      <c r="AF2332" s="328"/>
      <c r="AG2332" s="251" t="s">
        <v>283</v>
      </c>
    </row>
    <row r="2333" spans="1:33" ht="15.75" customHeight="1">
      <c r="A2333" s="755">
        <v>42922</v>
      </c>
      <c r="B2333" s="386" t="s">
        <v>100</v>
      </c>
      <c r="C2333" s="386" t="s">
        <v>7311</v>
      </c>
      <c r="D2333" s="1050" t="s">
        <v>7312</v>
      </c>
      <c r="E2333" s="1050" t="s">
        <v>6926</v>
      </c>
      <c r="F2333" s="1007">
        <v>50</v>
      </c>
      <c r="G2333" s="336">
        <v>62</v>
      </c>
      <c r="H2333" s="266">
        <f t="shared" si="171"/>
        <v>3100</v>
      </c>
      <c r="I2333" s="254" t="s">
        <v>3315</v>
      </c>
      <c r="J2333" s="367" t="s">
        <v>3578</v>
      </c>
      <c r="K2333" s="256">
        <v>42996</v>
      </c>
      <c r="L2333" s="256"/>
      <c r="M2333" s="256">
        <v>42986</v>
      </c>
      <c r="N2333" s="267" t="s">
        <v>2124</v>
      </c>
      <c r="O2333" s="308" t="s">
        <v>7318</v>
      </c>
      <c r="P2333" s="591"/>
      <c r="Q2333" s="572">
        <v>75443</v>
      </c>
      <c r="R2333" s="1413"/>
      <c r="S2333" s="1413"/>
      <c r="U2333" s="328"/>
      <c r="V2333" s="318" t="s">
        <v>2126</v>
      </c>
      <c r="W2333" s="624"/>
      <c r="X2333" s="750">
        <v>42983</v>
      </c>
      <c r="Y2333" s="328" t="s">
        <v>7319</v>
      </c>
      <c r="Z2333" s="753">
        <v>75443</v>
      </c>
      <c r="AA2333" s="594">
        <v>42979</v>
      </c>
      <c r="AB2333" s="328" t="s">
        <v>7317</v>
      </c>
      <c r="AC2333" s="251">
        <v>5818143181</v>
      </c>
      <c r="AD2333" s="328"/>
      <c r="AE2333" s="328"/>
      <c r="AF2333" s="328"/>
      <c r="AG2333" s="251" t="s">
        <v>283</v>
      </c>
    </row>
    <row r="2334" spans="1:33" ht="15.75" customHeight="1">
      <c r="A2334" s="755">
        <v>42922</v>
      </c>
      <c r="B2334" s="386" t="s">
        <v>100</v>
      </c>
      <c r="C2334" s="328" t="s">
        <v>7311</v>
      </c>
      <c r="D2334" s="1050" t="s">
        <v>7312</v>
      </c>
      <c r="E2334" s="1050" t="s">
        <v>7320</v>
      </c>
      <c r="F2334" s="305">
        <v>50</v>
      </c>
      <c r="G2334" s="772">
        <v>110</v>
      </c>
      <c r="H2334" s="266">
        <f t="shared" si="171"/>
        <v>5500</v>
      </c>
      <c r="I2334" s="254" t="s">
        <v>3315</v>
      </c>
      <c r="J2334" s="267" t="s">
        <v>3578</v>
      </c>
      <c r="K2334" s="256">
        <v>42996</v>
      </c>
      <c r="L2334" s="256"/>
      <c r="M2334" s="256">
        <v>42986</v>
      </c>
      <c r="N2334" s="251" t="s">
        <v>1952</v>
      </c>
      <c r="O2334" s="308" t="s">
        <v>7321</v>
      </c>
      <c r="P2334" s="266">
        <v>3675</v>
      </c>
      <c r="Q2334" s="589"/>
      <c r="R2334" s="1404"/>
      <c r="S2334" s="1404"/>
      <c r="U2334" s="328"/>
      <c r="V2334" s="592" t="s">
        <v>3744</v>
      </c>
      <c r="W2334" s="1051">
        <v>42983</v>
      </c>
      <c r="X2334" s="748">
        <v>42984</v>
      </c>
      <c r="Y2334" s="328" t="s">
        <v>7322</v>
      </c>
      <c r="Z2334" s="749">
        <v>116555</v>
      </c>
      <c r="AA2334" s="594">
        <v>42983</v>
      </c>
      <c r="AB2334" s="328" t="s">
        <v>7317</v>
      </c>
      <c r="AC2334" s="251">
        <v>5818143181</v>
      </c>
      <c r="AD2334" s="328"/>
      <c r="AE2334" s="328"/>
      <c r="AF2334" s="328"/>
      <c r="AG2334" s="251" t="s">
        <v>283</v>
      </c>
    </row>
    <row r="2335" spans="1:33" ht="15.75" customHeight="1">
      <c r="A2335" s="755">
        <v>42922</v>
      </c>
      <c r="B2335" s="386" t="s">
        <v>100</v>
      </c>
      <c r="C2335" s="386" t="s">
        <v>7311</v>
      </c>
      <c r="D2335" s="1050" t="s">
        <v>7323</v>
      </c>
      <c r="E2335" s="1050" t="s">
        <v>7324</v>
      </c>
      <c r="F2335" s="305">
        <v>50</v>
      </c>
      <c r="G2335" s="772">
        <v>291</v>
      </c>
      <c r="H2335" s="266">
        <f t="shared" si="171"/>
        <v>14550</v>
      </c>
      <c r="I2335" s="254" t="s">
        <v>3315</v>
      </c>
      <c r="J2335" s="367" t="s">
        <v>3578</v>
      </c>
      <c r="K2335" s="256">
        <v>42978</v>
      </c>
      <c r="L2335" s="256"/>
      <c r="M2335" s="256">
        <v>42965</v>
      </c>
      <c r="N2335" s="331" t="s">
        <v>1995</v>
      </c>
      <c r="O2335" s="318" t="s">
        <v>7314</v>
      </c>
      <c r="P2335" s="1052">
        <v>13167</v>
      </c>
      <c r="Q2335" s="386"/>
      <c r="R2335" s="1407"/>
      <c r="S2335" s="1407"/>
      <c r="U2335" s="328"/>
      <c r="V2335" s="338" t="s">
        <v>1997</v>
      </c>
      <c r="W2335" s="1015"/>
      <c r="X2335" s="748">
        <v>42965</v>
      </c>
      <c r="Y2335" s="328" t="s">
        <v>7325</v>
      </c>
      <c r="Z2335" s="749">
        <v>398948</v>
      </c>
      <c r="AA2335" s="594">
        <v>42964</v>
      </c>
      <c r="AB2335" s="308" t="s">
        <v>7326</v>
      </c>
      <c r="AC2335" s="251">
        <v>7463232781</v>
      </c>
      <c r="AD2335" s="328"/>
      <c r="AE2335" s="328"/>
      <c r="AF2335" s="328"/>
      <c r="AG2335" s="251" t="s">
        <v>283</v>
      </c>
    </row>
    <row r="2336" spans="1:33" ht="15.75" customHeight="1">
      <c r="A2336" s="755">
        <v>42922</v>
      </c>
      <c r="B2336" s="386" t="s">
        <v>100</v>
      </c>
      <c r="C2336" s="386" t="s">
        <v>7311</v>
      </c>
      <c r="D2336" s="1050" t="s">
        <v>7323</v>
      </c>
      <c r="E2336" s="1050" t="s">
        <v>6926</v>
      </c>
      <c r="F2336" s="305">
        <v>50</v>
      </c>
      <c r="G2336" s="772">
        <v>62</v>
      </c>
      <c r="H2336" s="266">
        <f t="shared" si="171"/>
        <v>3100</v>
      </c>
      <c r="I2336" s="254" t="s">
        <v>3315</v>
      </c>
      <c r="J2336" s="367" t="s">
        <v>3578</v>
      </c>
      <c r="K2336" s="256">
        <v>42978</v>
      </c>
      <c r="L2336" s="256"/>
      <c r="M2336" s="256">
        <v>42965</v>
      </c>
      <c r="N2336" s="267" t="s">
        <v>2124</v>
      </c>
      <c r="O2336" s="318" t="s">
        <v>7318</v>
      </c>
      <c r="P2336" s="1053"/>
      <c r="Q2336" s="1054">
        <v>75443</v>
      </c>
      <c r="R2336" s="1413"/>
      <c r="S2336" s="1413"/>
      <c r="U2336" s="328"/>
      <c r="V2336" s="318" t="s">
        <v>2126</v>
      </c>
      <c r="W2336" s="328"/>
      <c r="X2336" s="750">
        <v>42962</v>
      </c>
      <c r="Y2336" s="308" t="s">
        <v>7327</v>
      </c>
      <c r="Z2336" s="753">
        <v>75443</v>
      </c>
      <c r="AA2336" s="594">
        <v>42944</v>
      </c>
      <c r="AB2336" s="308" t="s">
        <v>7326</v>
      </c>
      <c r="AC2336" s="251">
        <v>7463232781</v>
      </c>
      <c r="AD2336" s="328"/>
      <c r="AE2336" s="328"/>
      <c r="AF2336" s="328"/>
      <c r="AG2336" s="251" t="s">
        <v>283</v>
      </c>
    </row>
    <row r="2337" spans="1:33" ht="15.75" customHeight="1">
      <c r="A2337" s="755">
        <v>42922</v>
      </c>
      <c r="B2337" s="386" t="s">
        <v>100</v>
      </c>
      <c r="C2337" s="328" t="s">
        <v>7311</v>
      </c>
      <c r="D2337" s="1050" t="s">
        <v>7323</v>
      </c>
      <c r="E2337" s="1050" t="s">
        <v>7320</v>
      </c>
      <c r="F2337" s="305">
        <v>50</v>
      </c>
      <c r="G2337" s="772">
        <v>110</v>
      </c>
      <c r="H2337" s="266">
        <f t="shared" si="171"/>
        <v>5500</v>
      </c>
      <c r="I2337" s="254" t="s">
        <v>3315</v>
      </c>
      <c r="J2337" s="367" t="s">
        <v>3578</v>
      </c>
      <c r="K2337" s="256">
        <v>42978</v>
      </c>
      <c r="L2337" s="256"/>
      <c r="M2337" s="256">
        <v>42963</v>
      </c>
      <c r="N2337" s="251" t="s">
        <v>1952</v>
      </c>
      <c r="O2337" s="308" t="s">
        <v>7321</v>
      </c>
      <c r="P2337" s="266">
        <v>3675</v>
      </c>
      <c r="Q2337" s="589"/>
      <c r="R2337" s="1404"/>
      <c r="S2337" s="1404"/>
      <c r="U2337" s="328"/>
      <c r="V2337" s="592" t="s">
        <v>3744</v>
      </c>
      <c r="W2337" s="747">
        <v>42957</v>
      </c>
      <c r="X2337" s="748">
        <v>42962</v>
      </c>
      <c r="Y2337" s="328" t="s">
        <v>7328</v>
      </c>
      <c r="Z2337" s="749">
        <v>111360</v>
      </c>
      <c r="AA2337" s="594">
        <v>42962</v>
      </c>
      <c r="AB2337" s="308" t="s">
        <v>7326</v>
      </c>
      <c r="AC2337" s="251">
        <v>7463232781</v>
      </c>
      <c r="AD2337" s="328"/>
      <c r="AE2337" s="328"/>
      <c r="AF2337" s="328"/>
      <c r="AG2337" s="251" t="s">
        <v>283</v>
      </c>
    </row>
    <row r="2338" spans="1:33" ht="15.75" customHeight="1">
      <c r="A2338" s="755">
        <v>42922</v>
      </c>
      <c r="B2338" s="386" t="s">
        <v>100</v>
      </c>
      <c r="C2338" s="328" t="s">
        <v>7311</v>
      </c>
      <c r="D2338" s="308" t="s">
        <v>7329</v>
      </c>
      <c r="E2338" s="308" t="s">
        <v>7320</v>
      </c>
      <c r="F2338" s="305">
        <v>30</v>
      </c>
      <c r="G2338" s="336">
        <v>110</v>
      </c>
      <c r="H2338" s="266">
        <f t="shared" si="171"/>
        <v>3300</v>
      </c>
      <c r="I2338" s="254" t="s">
        <v>3315</v>
      </c>
      <c r="J2338" s="367" t="s">
        <v>3578</v>
      </c>
      <c r="K2338" s="256">
        <v>42968</v>
      </c>
      <c r="L2338" s="256"/>
      <c r="M2338" s="256">
        <v>42950</v>
      </c>
      <c r="N2338" s="251" t="s">
        <v>1952</v>
      </c>
      <c r="O2338" s="308" t="s">
        <v>7321</v>
      </c>
      <c r="P2338" s="1052">
        <v>2205</v>
      </c>
      <c r="Q2338" s="589"/>
      <c r="R2338" s="1404"/>
      <c r="S2338" s="1404"/>
      <c r="U2338" s="328"/>
      <c r="V2338" s="592" t="s">
        <v>3744</v>
      </c>
      <c r="W2338" s="747">
        <v>42948</v>
      </c>
      <c r="X2338" s="748">
        <v>42949</v>
      </c>
      <c r="Y2338" s="328" t="s">
        <v>7330</v>
      </c>
      <c r="Z2338" s="749">
        <v>133301</v>
      </c>
      <c r="AA2338" s="594">
        <v>42948</v>
      </c>
      <c r="AB2338" s="308" t="s">
        <v>7331</v>
      </c>
      <c r="AC2338" s="251">
        <v>5799470972</v>
      </c>
      <c r="AD2338" s="328"/>
      <c r="AE2338" s="328"/>
      <c r="AF2338" s="328"/>
      <c r="AG2338" s="251" t="s">
        <v>283</v>
      </c>
    </row>
    <row r="2339" spans="1:33" ht="15.75" customHeight="1">
      <c r="A2339" s="755">
        <v>42922</v>
      </c>
      <c r="B2339" s="386" t="s">
        <v>100</v>
      </c>
      <c r="C2339" s="328" t="s">
        <v>7311</v>
      </c>
      <c r="D2339" s="1050" t="s">
        <v>7332</v>
      </c>
      <c r="E2339" s="1050" t="s">
        <v>7320</v>
      </c>
      <c r="F2339" s="305">
        <v>30</v>
      </c>
      <c r="G2339" s="772">
        <v>110</v>
      </c>
      <c r="H2339" s="266">
        <f t="shared" si="171"/>
        <v>3300</v>
      </c>
      <c r="I2339" s="254" t="s">
        <v>3315</v>
      </c>
      <c r="J2339" s="267" t="s">
        <v>3578</v>
      </c>
      <c r="K2339" s="256">
        <v>42968</v>
      </c>
      <c r="L2339" s="256"/>
      <c r="M2339" s="256">
        <v>42950</v>
      </c>
      <c r="N2339" s="251" t="s">
        <v>1952</v>
      </c>
      <c r="O2339" s="308" t="s">
        <v>7321</v>
      </c>
      <c r="P2339" s="1052">
        <v>2205</v>
      </c>
      <c r="Q2339" s="328"/>
      <c r="R2339" s="1407"/>
      <c r="S2339" s="1407"/>
      <c r="U2339" s="328"/>
      <c r="V2339" s="592" t="s">
        <v>3744</v>
      </c>
      <c r="W2339" s="747">
        <v>42948</v>
      </c>
      <c r="X2339" s="748">
        <v>42949</v>
      </c>
      <c r="Y2339" s="328" t="s">
        <v>7330</v>
      </c>
      <c r="Z2339" s="328" t="s">
        <v>7333</v>
      </c>
      <c r="AA2339" s="594">
        <v>42948</v>
      </c>
      <c r="AB2339" s="308" t="s">
        <v>7331</v>
      </c>
      <c r="AC2339" s="251">
        <v>5799470972</v>
      </c>
      <c r="AD2339" s="328"/>
      <c r="AE2339" s="328"/>
      <c r="AF2339" s="328"/>
      <c r="AG2339" s="251" t="s">
        <v>283</v>
      </c>
    </row>
    <row r="2340" spans="1:33" ht="15.75" customHeight="1">
      <c r="A2340" s="755">
        <v>42922</v>
      </c>
      <c r="B2340" s="386" t="s">
        <v>100</v>
      </c>
      <c r="C2340" s="328" t="s">
        <v>7311</v>
      </c>
      <c r="D2340" s="308" t="s">
        <v>7329</v>
      </c>
      <c r="E2340" s="308" t="s">
        <v>7334</v>
      </c>
      <c r="F2340" s="305">
        <v>30</v>
      </c>
      <c r="G2340" s="772">
        <v>291</v>
      </c>
      <c r="H2340" s="266">
        <f t="shared" si="171"/>
        <v>8730</v>
      </c>
      <c r="I2340" s="254" t="s">
        <v>3315</v>
      </c>
      <c r="J2340" s="367" t="s">
        <v>3578</v>
      </c>
      <c r="K2340" s="256">
        <v>42968</v>
      </c>
      <c r="L2340" s="256"/>
      <c r="M2340" s="256">
        <v>42948</v>
      </c>
      <c r="N2340" s="331" t="s">
        <v>1995</v>
      </c>
      <c r="O2340" s="308" t="s">
        <v>7314</v>
      </c>
      <c r="P2340" s="266">
        <v>8253</v>
      </c>
      <c r="Q2340" s="572">
        <v>249199</v>
      </c>
      <c r="R2340" s="1413"/>
      <c r="S2340" s="1413"/>
      <c r="U2340" s="328"/>
      <c r="V2340" s="338" t="s">
        <v>1997</v>
      </c>
      <c r="W2340" s="328"/>
      <c r="X2340" s="748">
        <v>42948</v>
      </c>
      <c r="Y2340" s="328" t="s">
        <v>7335</v>
      </c>
      <c r="Z2340" s="749">
        <v>498393</v>
      </c>
      <c r="AA2340" s="594">
        <v>42948</v>
      </c>
      <c r="AB2340" s="308" t="s">
        <v>7331</v>
      </c>
      <c r="AC2340" s="251">
        <v>5799470972</v>
      </c>
      <c r="AD2340" s="328"/>
      <c r="AE2340" s="328"/>
      <c r="AF2340" s="328"/>
      <c r="AG2340" s="251" t="s">
        <v>283</v>
      </c>
    </row>
    <row r="2341" spans="1:33" ht="15.75" customHeight="1">
      <c r="A2341" s="755">
        <v>42922</v>
      </c>
      <c r="B2341" s="386" t="s">
        <v>100</v>
      </c>
      <c r="C2341" s="328" t="s">
        <v>7311</v>
      </c>
      <c r="D2341" s="308" t="s">
        <v>7332</v>
      </c>
      <c r="E2341" s="308" t="s">
        <v>7336</v>
      </c>
      <c r="F2341" s="305">
        <v>30</v>
      </c>
      <c r="G2341" s="772">
        <v>291</v>
      </c>
      <c r="H2341" s="266">
        <f t="shared" si="171"/>
        <v>8730</v>
      </c>
      <c r="I2341" s="254" t="s">
        <v>3315</v>
      </c>
      <c r="J2341" s="367" t="s">
        <v>3578</v>
      </c>
      <c r="K2341" s="256">
        <v>42968</v>
      </c>
      <c r="L2341" s="256"/>
      <c r="M2341" s="256">
        <v>42948</v>
      </c>
      <c r="N2341" s="401" t="s">
        <v>1995</v>
      </c>
      <c r="O2341" s="308" t="s">
        <v>7314</v>
      </c>
      <c r="P2341" s="266">
        <v>8253</v>
      </c>
      <c r="Q2341" s="572">
        <v>249199</v>
      </c>
      <c r="R2341" s="1413"/>
      <c r="S2341" s="1413"/>
      <c r="U2341" s="328"/>
      <c r="V2341" s="571" t="s">
        <v>1997</v>
      </c>
      <c r="W2341" s="328"/>
      <c r="X2341" s="748">
        <v>42948</v>
      </c>
      <c r="Y2341" s="328" t="s">
        <v>7335</v>
      </c>
      <c r="Z2341" s="328" t="s">
        <v>7337</v>
      </c>
      <c r="AA2341" s="594">
        <v>42948</v>
      </c>
      <c r="AB2341" s="308" t="s">
        <v>7331</v>
      </c>
      <c r="AC2341" s="251">
        <v>5799470972</v>
      </c>
      <c r="AD2341" s="328"/>
      <c r="AE2341" s="328"/>
      <c r="AF2341" s="328"/>
      <c r="AG2341" s="251" t="s">
        <v>283</v>
      </c>
    </row>
    <row r="2342" spans="1:33" ht="15.75" customHeight="1">
      <c r="A2342" s="755">
        <v>42922</v>
      </c>
      <c r="B2342" s="386" t="s">
        <v>100</v>
      </c>
      <c r="C2342" s="328" t="s">
        <v>7311</v>
      </c>
      <c r="D2342" s="308" t="s">
        <v>7329</v>
      </c>
      <c r="E2342" s="308" t="s">
        <v>6926</v>
      </c>
      <c r="F2342" s="305">
        <v>30</v>
      </c>
      <c r="G2342" s="772">
        <v>62</v>
      </c>
      <c r="H2342" s="266">
        <f t="shared" si="171"/>
        <v>1860</v>
      </c>
      <c r="I2342" s="254" t="s">
        <v>3315</v>
      </c>
      <c r="J2342" s="367" t="s">
        <v>3578</v>
      </c>
      <c r="K2342" s="256">
        <v>42968</v>
      </c>
      <c r="L2342" s="256"/>
      <c r="M2342" s="256">
        <v>42947</v>
      </c>
      <c r="N2342" s="367" t="s">
        <v>2124</v>
      </c>
      <c r="O2342" s="308" t="s">
        <v>7318</v>
      </c>
      <c r="P2342" s="591"/>
      <c r="Q2342" s="572">
        <v>90531</v>
      </c>
      <c r="R2342" s="1413"/>
      <c r="S2342" s="1413"/>
      <c r="U2342" s="328"/>
      <c r="V2342" s="308" t="s">
        <v>2126</v>
      </c>
      <c r="W2342" s="328"/>
      <c r="X2342" s="750">
        <v>42947</v>
      </c>
      <c r="Y2342" s="308" t="s">
        <v>7338</v>
      </c>
      <c r="Z2342" s="753">
        <v>90531</v>
      </c>
      <c r="AA2342" s="594">
        <v>42944</v>
      </c>
      <c r="AB2342" s="308" t="s">
        <v>7331</v>
      </c>
      <c r="AC2342" s="251">
        <v>5799470972</v>
      </c>
      <c r="AD2342" s="328"/>
      <c r="AE2342" s="328"/>
      <c r="AF2342" s="328"/>
      <c r="AG2342" s="251" t="s">
        <v>283</v>
      </c>
    </row>
    <row r="2343" spans="1:33" ht="15.75" customHeight="1">
      <c r="A2343" s="755">
        <v>42922</v>
      </c>
      <c r="B2343" s="386" t="s">
        <v>100</v>
      </c>
      <c r="C2343" s="328" t="s">
        <v>7311</v>
      </c>
      <c r="D2343" s="308" t="s">
        <v>7332</v>
      </c>
      <c r="E2343" s="308" t="s">
        <v>6926</v>
      </c>
      <c r="F2343" s="305">
        <v>30</v>
      </c>
      <c r="G2343" s="772">
        <v>62</v>
      </c>
      <c r="H2343" s="266">
        <f t="shared" si="171"/>
        <v>1860</v>
      </c>
      <c r="I2343" s="254" t="s">
        <v>3315</v>
      </c>
      <c r="J2343" s="367" t="s">
        <v>3578</v>
      </c>
      <c r="K2343" s="256">
        <v>42968</v>
      </c>
      <c r="L2343" s="256"/>
      <c r="M2343" s="256">
        <v>42947</v>
      </c>
      <c r="N2343" s="267" t="s">
        <v>2124</v>
      </c>
      <c r="O2343" s="308" t="s">
        <v>7318</v>
      </c>
      <c r="P2343" s="591"/>
      <c r="Q2343" s="329" t="s">
        <v>7339</v>
      </c>
      <c r="R2343" s="1442"/>
      <c r="S2343" s="1442"/>
      <c r="U2343" s="328"/>
      <c r="V2343" s="318" t="s">
        <v>2126</v>
      </c>
      <c r="W2343" s="328"/>
      <c r="X2343" s="750">
        <v>42947</v>
      </c>
      <c r="Y2343" s="308" t="s">
        <v>7338</v>
      </c>
      <c r="Z2343" s="308" t="s">
        <v>7340</v>
      </c>
      <c r="AA2343" s="594">
        <v>42944</v>
      </c>
      <c r="AB2343" s="308" t="s">
        <v>7331</v>
      </c>
      <c r="AC2343" s="251">
        <v>5799470972</v>
      </c>
      <c r="AD2343" s="328"/>
      <c r="AE2343" s="328"/>
      <c r="AF2343" s="328"/>
      <c r="AG2343" s="251" t="s">
        <v>283</v>
      </c>
    </row>
    <row r="2344" spans="1:33" ht="15.75" customHeight="1">
      <c r="A2344" s="755">
        <v>42922</v>
      </c>
      <c r="B2344" s="386" t="s">
        <v>3347</v>
      </c>
      <c r="C2344" s="744" t="s">
        <v>7341</v>
      </c>
      <c r="D2344" s="308" t="s">
        <v>7342</v>
      </c>
      <c r="E2344" s="308" t="s">
        <v>7343</v>
      </c>
      <c r="F2344" s="305">
        <v>5</v>
      </c>
      <c r="G2344" s="772">
        <v>350</v>
      </c>
      <c r="H2344" s="265">
        <f t="shared" si="171"/>
        <v>1750</v>
      </c>
      <c r="I2344" s="254" t="s">
        <v>170</v>
      </c>
      <c r="J2344" s="367" t="s">
        <v>3350</v>
      </c>
      <c r="K2344" s="256">
        <v>42961</v>
      </c>
      <c r="L2344" s="256"/>
      <c r="M2344" s="256">
        <v>42941</v>
      </c>
      <c r="N2344" s="251" t="s">
        <v>89</v>
      </c>
      <c r="O2344" s="308" t="s">
        <v>7344</v>
      </c>
      <c r="P2344" s="574">
        <v>1611.75</v>
      </c>
      <c r="Q2344" s="328"/>
      <c r="R2344" s="1407"/>
      <c r="S2344" s="1407"/>
      <c r="U2344" s="328"/>
      <c r="V2344" s="308" t="s">
        <v>5896</v>
      </c>
      <c r="W2344" s="747">
        <v>42978</v>
      </c>
      <c r="X2344" s="750">
        <v>42941</v>
      </c>
      <c r="Y2344" s="308" t="s">
        <v>7345</v>
      </c>
      <c r="Z2344" s="753">
        <v>48917</v>
      </c>
      <c r="AA2344" s="594">
        <v>42983</v>
      </c>
      <c r="AB2344" s="250" t="s">
        <v>7346</v>
      </c>
      <c r="AC2344" s="328"/>
      <c r="AD2344" s="328"/>
      <c r="AE2344" s="328"/>
      <c r="AF2344" s="328"/>
      <c r="AG2344" s="251" t="s">
        <v>283</v>
      </c>
    </row>
    <row r="2345" spans="1:33" ht="15.75" customHeight="1">
      <c r="A2345" s="755">
        <v>42922</v>
      </c>
      <c r="B2345" s="386" t="s">
        <v>228</v>
      </c>
      <c r="C2345" s="328"/>
      <c r="D2345" s="308" t="s">
        <v>7347</v>
      </c>
      <c r="E2345" s="308" t="s">
        <v>3604</v>
      </c>
      <c r="F2345" s="305">
        <v>10</v>
      </c>
      <c r="G2345" s="464">
        <v>336</v>
      </c>
      <c r="H2345" s="265">
        <f t="shared" si="171"/>
        <v>3360</v>
      </c>
      <c r="I2345" s="254" t="s">
        <v>170</v>
      </c>
      <c r="J2345" s="251" t="s">
        <v>89</v>
      </c>
      <c r="K2345" s="256">
        <v>42933</v>
      </c>
      <c r="L2345" s="256"/>
      <c r="M2345" s="256">
        <v>42933</v>
      </c>
      <c r="N2345" s="251" t="s">
        <v>89</v>
      </c>
      <c r="O2345" s="308" t="s">
        <v>7348</v>
      </c>
      <c r="P2345" s="308">
        <v>3013.5</v>
      </c>
      <c r="Q2345" s="328"/>
      <c r="R2345" s="1407"/>
      <c r="S2345" s="1407"/>
      <c r="U2345" s="328"/>
      <c r="V2345" s="308" t="s">
        <v>5896</v>
      </c>
      <c r="W2345" s="747">
        <v>42978</v>
      </c>
      <c r="X2345" s="750">
        <v>42933</v>
      </c>
      <c r="Y2345" s="308" t="s">
        <v>7349</v>
      </c>
      <c r="Z2345" s="753">
        <v>91746</v>
      </c>
      <c r="AA2345" s="594">
        <v>42983</v>
      </c>
      <c r="AB2345" s="328" t="s">
        <v>7230</v>
      </c>
      <c r="AC2345" s="328"/>
      <c r="AD2345" s="744" t="s">
        <v>7231</v>
      </c>
      <c r="AE2345" s="251" t="s">
        <v>7234</v>
      </c>
      <c r="AF2345" s="744" t="s">
        <v>7232</v>
      </c>
      <c r="AG2345" s="251" t="s">
        <v>376</v>
      </c>
    </row>
    <row r="2346" spans="1:33" ht="15.75" customHeight="1">
      <c r="A2346" s="755">
        <v>42922</v>
      </c>
      <c r="B2346" s="386" t="s">
        <v>228</v>
      </c>
      <c r="C2346" s="328"/>
      <c r="D2346" s="308" t="s">
        <v>7347</v>
      </c>
      <c r="E2346" s="308" t="s">
        <v>461</v>
      </c>
      <c r="F2346" s="305">
        <v>3</v>
      </c>
      <c r="G2346" s="323">
        <v>407.4</v>
      </c>
      <c r="H2346" s="265">
        <f t="shared" si="171"/>
        <v>1222.1999999999998</v>
      </c>
      <c r="I2346" s="254" t="s">
        <v>170</v>
      </c>
      <c r="J2346" s="251" t="s">
        <v>89</v>
      </c>
      <c r="K2346" s="256">
        <v>42933</v>
      </c>
      <c r="L2346" s="256"/>
      <c r="M2346" s="256">
        <v>42933</v>
      </c>
      <c r="N2346" s="585" t="s">
        <v>89</v>
      </c>
      <c r="O2346" s="308" t="s">
        <v>7350</v>
      </c>
      <c r="P2346" s="574">
        <v>1118.25</v>
      </c>
      <c r="Q2346" s="328"/>
      <c r="R2346" s="1407"/>
      <c r="S2346" s="1407"/>
      <c r="U2346" s="328"/>
      <c r="V2346" s="318" t="s">
        <v>5896</v>
      </c>
      <c r="W2346" s="747">
        <v>42978</v>
      </c>
      <c r="X2346" s="750">
        <v>42933</v>
      </c>
      <c r="Y2346" s="308" t="s">
        <v>7351</v>
      </c>
      <c r="Z2346" s="753">
        <v>34045</v>
      </c>
      <c r="AA2346" s="594">
        <v>42983</v>
      </c>
      <c r="AB2346" s="328" t="s">
        <v>7230</v>
      </c>
      <c r="AC2346" s="328"/>
      <c r="AD2346" s="744" t="s">
        <v>7231</v>
      </c>
      <c r="AE2346" s="251" t="s">
        <v>7234</v>
      </c>
      <c r="AF2346" s="744" t="s">
        <v>7232</v>
      </c>
      <c r="AG2346" s="251" t="s">
        <v>376</v>
      </c>
    </row>
    <row r="2347" spans="1:33" ht="15.75" customHeight="1">
      <c r="A2347" s="755">
        <v>42923</v>
      </c>
      <c r="B2347" s="386" t="s">
        <v>4590</v>
      </c>
      <c r="C2347" s="1043" t="s">
        <v>7352</v>
      </c>
      <c r="D2347" s="308" t="s">
        <v>7353</v>
      </c>
      <c r="E2347" s="308" t="s">
        <v>7354</v>
      </c>
      <c r="F2347" s="305">
        <v>50</v>
      </c>
      <c r="G2347" s="772">
        <v>60</v>
      </c>
      <c r="H2347" s="265">
        <f t="shared" si="171"/>
        <v>3000</v>
      </c>
      <c r="I2347" s="758" t="s">
        <v>3315</v>
      </c>
      <c r="J2347" s="251" t="s">
        <v>532</v>
      </c>
      <c r="K2347" s="256">
        <v>42936</v>
      </c>
      <c r="L2347" s="256"/>
      <c r="M2347" s="256">
        <v>42934</v>
      </c>
      <c r="N2347" s="401" t="s">
        <v>6196</v>
      </c>
      <c r="O2347" s="308" t="s">
        <v>7355</v>
      </c>
      <c r="P2347" s="266">
        <v>2677.5</v>
      </c>
      <c r="Q2347" s="572">
        <v>81292</v>
      </c>
      <c r="R2347" s="1413"/>
      <c r="S2347" s="1413"/>
      <c r="U2347" s="328"/>
      <c r="V2347" s="597" t="s">
        <v>6198</v>
      </c>
      <c r="W2347" s="1009">
        <v>42951</v>
      </c>
      <c r="X2347" s="748">
        <v>42930</v>
      </c>
      <c r="Y2347" s="328" t="s">
        <v>7356</v>
      </c>
      <c r="Z2347" s="749">
        <v>81292</v>
      </c>
      <c r="AA2347" s="594">
        <v>42955</v>
      </c>
      <c r="AB2347" s="308" t="s">
        <v>7357</v>
      </c>
      <c r="AC2347" s="328"/>
      <c r="AD2347" s="328"/>
      <c r="AE2347" s="328"/>
      <c r="AF2347" s="328"/>
      <c r="AG2347" s="251" t="s">
        <v>283</v>
      </c>
    </row>
    <row r="2348" spans="1:33" ht="15.75" customHeight="1">
      <c r="A2348" s="755">
        <v>42923</v>
      </c>
      <c r="B2348" s="386" t="s">
        <v>6626</v>
      </c>
      <c r="C2348" s="1043" t="s">
        <v>7358</v>
      </c>
      <c r="D2348" s="308" t="s">
        <v>7359</v>
      </c>
      <c r="E2348" s="308" t="s">
        <v>7360</v>
      </c>
      <c r="F2348" s="305">
        <v>10</v>
      </c>
      <c r="G2348" s="772">
        <v>107</v>
      </c>
      <c r="H2348" s="265">
        <f t="shared" si="171"/>
        <v>1070</v>
      </c>
      <c r="I2348" s="254" t="s">
        <v>3315</v>
      </c>
      <c r="J2348" s="367" t="s">
        <v>5189</v>
      </c>
      <c r="K2348" s="256">
        <v>42933</v>
      </c>
      <c r="L2348" s="256"/>
      <c r="M2348" s="256">
        <v>42930</v>
      </c>
      <c r="N2348" s="251" t="s">
        <v>89</v>
      </c>
      <c r="O2348" s="308" t="s">
        <v>7361</v>
      </c>
      <c r="P2348" s="266">
        <v>1008</v>
      </c>
      <c r="Q2348" s="328"/>
      <c r="R2348" s="1407"/>
      <c r="S2348" s="1407"/>
      <c r="U2348" s="328"/>
      <c r="V2348" s="308" t="s">
        <v>5896</v>
      </c>
      <c r="W2348" s="747">
        <v>42978</v>
      </c>
      <c r="X2348" s="748">
        <v>42930</v>
      </c>
      <c r="Y2348" s="328" t="s">
        <v>7362</v>
      </c>
      <c r="Z2348" s="749">
        <v>30689</v>
      </c>
      <c r="AA2348" s="594">
        <v>42983</v>
      </c>
      <c r="AB2348" s="308" t="s">
        <v>7363</v>
      </c>
      <c r="AC2348" s="251">
        <v>779657355297</v>
      </c>
      <c r="AD2348" s="328"/>
      <c r="AE2348" s="328"/>
      <c r="AF2348" s="328"/>
      <c r="AG2348" s="251" t="s">
        <v>283</v>
      </c>
    </row>
    <row r="2349" spans="1:33" ht="15.75" customHeight="1">
      <c r="A2349" s="755">
        <v>42923</v>
      </c>
      <c r="B2349" s="386" t="s">
        <v>4590</v>
      </c>
      <c r="C2349" s="1043" t="s">
        <v>7352</v>
      </c>
      <c r="D2349" s="308" t="s">
        <v>7353</v>
      </c>
      <c r="E2349" s="308" t="s">
        <v>7364</v>
      </c>
      <c r="F2349" s="305">
        <v>1</v>
      </c>
      <c r="G2349" s="772">
        <v>185</v>
      </c>
      <c r="H2349" s="265">
        <f t="shared" si="171"/>
        <v>185</v>
      </c>
      <c r="I2349" s="758" t="s">
        <v>3315</v>
      </c>
      <c r="J2349" s="251" t="s">
        <v>532</v>
      </c>
      <c r="K2349" s="256">
        <v>42936</v>
      </c>
      <c r="L2349" s="256"/>
      <c r="M2349" s="623"/>
      <c r="N2349" s="254" t="s">
        <v>1999</v>
      </c>
      <c r="O2349" s="744"/>
      <c r="P2349" s="337"/>
      <c r="Q2349" s="630">
        <v>4792</v>
      </c>
      <c r="R2349" s="1415"/>
      <c r="S2349" s="1415"/>
      <c r="U2349" s="328"/>
      <c r="V2349" s="318" t="s">
        <v>2000</v>
      </c>
      <c r="W2349" s="747">
        <v>42977</v>
      </c>
      <c r="X2349" s="750">
        <v>42947</v>
      </c>
      <c r="Y2349" s="308" t="s">
        <v>7365</v>
      </c>
      <c r="Z2349" s="753">
        <v>4792</v>
      </c>
      <c r="AA2349" s="594">
        <v>42983</v>
      </c>
      <c r="AB2349" s="308" t="s">
        <v>7357</v>
      </c>
      <c r="AC2349" s="328"/>
      <c r="AD2349" s="328"/>
      <c r="AE2349" s="328"/>
      <c r="AF2349" s="328"/>
      <c r="AG2349" s="251" t="s">
        <v>283</v>
      </c>
    </row>
    <row r="2350" spans="1:33" ht="15.75" customHeight="1">
      <c r="A2350" s="755">
        <v>42927</v>
      </c>
      <c r="B2350" s="970" t="s">
        <v>3347</v>
      </c>
      <c r="C2350" s="744" t="s">
        <v>7366</v>
      </c>
      <c r="D2350" s="250" t="s">
        <v>7367</v>
      </c>
      <c r="E2350" s="250" t="s">
        <v>3349</v>
      </c>
      <c r="F2350" s="251">
        <v>100</v>
      </c>
      <c r="G2350" s="323">
        <v>174.5</v>
      </c>
      <c r="H2350" s="265">
        <f t="shared" si="171"/>
        <v>17450</v>
      </c>
      <c r="I2350" s="254" t="s">
        <v>170</v>
      </c>
      <c r="J2350" s="367" t="s">
        <v>3350</v>
      </c>
      <c r="K2350" s="256">
        <v>42961</v>
      </c>
      <c r="L2350" s="256"/>
      <c r="M2350" s="256">
        <v>42957</v>
      </c>
      <c r="N2350" s="401" t="s">
        <v>3351</v>
      </c>
      <c r="O2350" s="308" t="s">
        <v>7368</v>
      </c>
      <c r="P2350" s="572">
        <v>16590</v>
      </c>
      <c r="Q2350" s="251"/>
      <c r="R2350" s="1432"/>
      <c r="S2350" s="1432"/>
      <c r="U2350" s="251"/>
      <c r="V2350" s="308" t="s">
        <v>3353</v>
      </c>
      <c r="W2350" s="251"/>
      <c r="X2350" s="750">
        <v>42961</v>
      </c>
      <c r="Y2350" s="250" t="s">
        <v>7369</v>
      </c>
      <c r="Z2350" s="753">
        <v>502429</v>
      </c>
      <c r="AA2350" s="251"/>
      <c r="AB2350" s="250" t="s">
        <v>7346</v>
      </c>
      <c r="AC2350" s="251"/>
      <c r="AD2350" s="251"/>
      <c r="AE2350" s="251"/>
      <c r="AF2350" s="251"/>
      <c r="AG2350" s="251" t="s">
        <v>283</v>
      </c>
    </row>
    <row r="2351" spans="1:33" ht="15.75" customHeight="1">
      <c r="A2351" s="755">
        <v>42928</v>
      </c>
      <c r="B2351" s="970" t="s">
        <v>3516</v>
      </c>
      <c r="C2351" s="328"/>
      <c r="D2351" s="328" t="s">
        <v>7370</v>
      </c>
      <c r="E2351" s="328" t="s">
        <v>7371</v>
      </c>
      <c r="F2351" s="251">
        <v>5</v>
      </c>
      <c r="G2351" s="772">
        <f>35.5</f>
        <v>35.5</v>
      </c>
      <c r="H2351" s="265">
        <f t="shared" si="171"/>
        <v>177.5</v>
      </c>
      <c r="I2351" s="758" t="s">
        <v>3315</v>
      </c>
      <c r="J2351" s="367" t="s">
        <v>3519</v>
      </c>
      <c r="K2351" s="256">
        <v>42940</v>
      </c>
      <c r="L2351" s="256"/>
      <c r="M2351" s="256">
        <v>42940</v>
      </c>
      <c r="N2351" s="251" t="s">
        <v>1952</v>
      </c>
      <c r="O2351" s="250" t="s">
        <v>7372</v>
      </c>
      <c r="P2351" s="308">
        <v>148.05000000000001</v>
      </c>
      <c r="Q2351" s="328"/>
      <c r="R2351" s="1407"/>
      <c r="S2351" s="1407"/>
      <c r="U2351" s="328"/>
      <c r="V2351" s="597" t="s">
        <v>3744</v>
      </c>
      <c r="W2351" s="747">
        <v>42937</v>
      </c>
      <c r="X2351" s="748">
        <v>42937</v>
      </c>
      <c r="Y2351" s="328" t="s">
        <v>7373</v>
      </c>
      <c r="Z2351" s="749">
        <v>4509</v>
      </c>
      <c r="AA2351" s="256">
        <v>42937</v>
      </c>
      <c r="AB2351" s="308" t="s">
        <v>7374</v>
      </c>
      <c r="AC2351" s="251">
        <v>779712271243</v>
      </c>
      <c r="AD2351" s="328"/>
      <c r="AE2351" s="328"/>
      <c r="AF2351" s="328"/>
      <c r="AG2351" s="251" t="s">
        <v>283</v>
      </c>
    </row>
    <row r="2352" spans="1:33" ht="15.75" customHeight="1">
      <c r="A2352" s="755">
        <v>42928</v>
      </c>
      <c r="B2352" s="970" t="s">
        <v>3516</v>
      </c>
      <c r="C2352" s="328"/>
      <c r="D2352" s="328" t="s">
        <v>7370</v>
      </c>
      <c r="E2352" s="328" t="s">
        <v>692</v>
      </c>
      <c r="F2352" s="305">
        <v>1</v>
      </c>
      <c r="G2352" s="252">
        <v>25</v>
      </c>
      <c r="H2352" s="308">
        <f t="shared" si="171"/>
        <v>25</v>
      </c>
      <c r="I2352" s="254" t="s">
        <v>3315</v>
      </c>
      <c r="J2352" s="367" t="s">
        <v>3519</v>
      </c>
      <c r="K2352" s="256">
        <v>42940</v>
      </c>
      <c r="L2352" s="256"/>
      <c r="M2352" s="623"/>
      <c r="N2352" s="251"/>
      <c r="O2352" s="328"/>
      <c r="P2352" s="328"/>
      <c r="Q2352" s="328"/>
      <c r="R2352" s="1407"/>
      <c r="S2352" s="1407"/>
      <c r="U2352" s="328"/>
      <c r="V2352" s="386"/>
      <c r="W2352" s="328"/>
      <c r="X2352" s="328"/>
      <c r="Y2352" s="328"/>
      <c r="Z2352" s="328"/>
      <c r="AA2352" s="328"/>
      <c r="AB2352" s="308" t="s">
        <v>7374</v>
      </c>
      <c r="AC2352" s="251">
        <v>779712271243</v>
      </c>
      <c r="AD2352" s="328"/>
      <c r="AE2352" s="328"/>
      <c r="AF2352" s="328"/>
      <c r="AG2352" s="251" t="s">
        <v>283</v>
      </c>
    </row>
    <row r="2353" spans="1:33" ht="15.75" customHeight="1">
      <c r="A2353" s="743">
        <v>42929</v>
      </c>
      <c r="B2353" s="590" t="s">
        <v>7107</v>
      </c>
      <c r="C2353" s="744">
        <v>7000131085</v>
      </c>
      <c r="D2353" s="250" t="s">
        <v>7375</v>
      </c>
      <c r="E2353" s="250" t="s">
        <v>7376</v>
      </c>
      <c r="F2353" s="305">
        <v>1</v>
      </c>
      <c r="G2353" s="252">
        <v>116</v>
      </c>
      <c r="H2353" s="308">
        <f t="shared" si="171"/>
        <v>116</v>
      </c>
      <c r="I2353" s="254" t="s">
        <v>42</v>
      </c>
      <c r="J2353" s="756" t="s">
        <v>3462</v>
      </c>
      <c r="K2353" s="256">
        <v>42940</v>
      </c>
      <c r="L2353" s="256"/>
      <c r="M2353" s="256">
        <v>42934</v>
      </c>
      <c r="N2353" s="254" t="s">
        <v>3432</v>
      </c>
      <c r="O2353" s="308" t="s">
        <v>7377</v>
      </c>
      <c r="P2353" s="328"/>
      <c r="Q2353" s="572">
        <v>3401</v>
      </c>
      <c r="R2353" s="1413"/>
      <c r="S2353" s="1413"/>
      <c r="U2353" s="328"/>
      <c r="V2353" s="308" t="s">
        <v>2045</v>
      </c>
      <c r="W2353" s="789">
        <v>43008</v>
      </c>
      <c r="X2353" s="748">
        <v>42930</v>
      </c>
      <c r="Y2353" s="328" t="s">
        <v>7378</v>
      </c>
      <c r="Z2353" s="749">
        <v>3401</v>
      </c>
      <c r="AA2353" s="256">
        <v>43013</v>
      </c>
      <c r="AB2353" s="308" t="s">
        <v>7243</v>
      </c>
      <c r="AC2353" s="251">
        <v>7153233743</v>
      </c>
      <c r="AD2353" s="328"/>
      <c r="AE2353" s="328"/>
      <c r="AF2353" s="328"/>
      <c r="AG2353" s="251" t="s">
        <v>283</v>
      </c>
    </row>
    <row r="2354" spans="1:33" ht="15.75" customHeight="1">
      <c r="A2354" s="743">
        <v>42932</v>
      </c>
      <c r="B2354" s="338" t="s">
        <v>7379</v>
      </c>
      <c r="C2354" s="744"/>
      <c r="D2354" s="308" t="s">
        <v>7380</v>
      </c>
      <c r="E2354" s="308" t="s">
        <v>5073</v>
      </c>
      <c r="F2354" s="264">
        <v>2</v>
      </c>
      <c r="G2354" s="265">
        <v>106</v>
      </c>
      <c r="H2354" s="308">
        <f t="shared" si="171"/>
        <v>212</v>
      </c>
      <c r="I2354" s="254" t="s">
        <v>42</v>
      </c>
      <c r="J2354" s="756" t="s">
        <v>7381</v>
      </c>
      <c r="K2354" s="256">
        <v>42944</v>
      </c>
      <c r="L2354" s="256"/>
      <c r="M2354" s="256">
        <v>42943</v>
      </c>
      <c r="N2354" s="251" t="s">
        <v>3678</v>
      </c>
      <c r="O2354" s="308" t="s">
        <v>7382</v>
      </c>
      <c r="P2354" s="589"/>
      <c r="Q2354" s="572">
        <v>6510</v>
      </c>
      <c r="R2354" s="1413"/>
      <c r="S2354" s="1413"/>
      <c r="U2354" s="328"/>
      <c r="V2354" s="328" t="s">
        <v>3680</v>
      </c>
      <c r="W2354" s="789">
        <v>42983</v>
      </c>
      <c r="X2354" s="748">
        <v>42942</v>
      </c>
      <c r="Y2354" s="308" t="s">
        <v>7383</v>
      </c>
      <c r="Z2354" s="753">
        <v>26670</v>
      </c>
      <c r="AA2354" s="256">
        <v>42985</v>
      </c>
      <c r="AB2354" s="308" t="s">
        <v>7384</v>
      </c>
      <c r="AC2354" s="328"/>
      <c r="AD2354" s="328"/>
      <c r="AE2354" s="328"/>
      <c r="AF2354" s="328"/>
      <c r="AG2354" s="251" t="s">
        <v>283</v>
      </c>
    </row>
    <row r="2355" spans="1:33" ht="15.75" customHeight="1">
      <c r="A2355" s="743">
        <v>42932</v>
      </c>
      <c r="B2355" s="338" t="s">
        <v>7379</v>
      </c>
      <c r="C2355" s="744"/>
      <c r="D2355" s="308" t="s">
        <v>7380</v>
      </c>
      <c r="E2355" s="308" t="s">
        <v>5077</v>
      </c>
      <c r="F2355" s="264">
        <v>2</v>
      </c>
      <c r="G2355" s="265">
        <v>240</v>
      </c>
      <c r="H2355" s="308">
        <f t="shared" si="171"/>
        <v>480</v>
      </c>
      <c r="I2355" s="254" t="s">
        <v>42</v>
      </c>
      <c r="J2355" s="331" t="s">
        <v>7381</v>
      </c>
      <c r="K2355" s="256">
        <v>42944</v>
      </c>
      <c r="L2355" s="256"/>
      <c r="M2355" s="256">
        <v>42943</v>
      </c>
      <c r="N2355" s="585" t="s">
        <v>3678</v>
      </c>
      <c r="O2355" s="308" t="s">
        <v>7382</v>
      </c>
      <c r="P2355" s="589"/>
      <c r="Q2355" s="572">
        <v>15120</v>
      </c>
      <c r="R2355" s="1413"/>
      <c r="S2355" s="1413"/>
      <c r="U2355" s="328"/>
      <c r="V2355" s="328" t="s">
        <v>3680</v>
      </c>
      <c r="W2355" s="789">
        <v>42983</v>
      </c>
      <c r="X2355" s="748">
        <v>42942</v>
      </c>
      <c r="Y2355" s="308" t="s">
        <v>7383</v>
      </c>
      <c r="Z2355" s="308" t="s">
        <v>7385</v>
      </c>
      <c r="AA2355" s="256">
        <v>42985</v>
      </c>
      <c r="AB2355" s="308" t="s">
        <v>7384</v>
      </c>
      <c r="AC2355" s="328"/>
      <c r="AD2355" s="328"/>
      <c r="AE2355" s="328"/>
      <c r="AF2355" s="328"/>
      <c r="AG2355" s="251" t="s">
        <v>283</v>
      </c>
    </row>
    <row r="2356" spans="1:33" ht="15.75" customHeight="1">
      <c r="A2356" s="743">
        <v>42932</v>
      </c>
      <c r="B2356" s="338" t="s">
        <v>7379</v>
      </c>
      <c r="C2356" s="744"/>
      <c r="D2356" s="308" t="s">
        <v>7380</v>
      </c>
      <c r="E2356" s="308" t="s">
        <v>5079</v>
      </c>
      <c r="F2356" s="264">
        <v>2</v>
      </c>
      <c r="G2356" s="265">
        <v>82</v>
      </c>
      <c r="H2356" s="308">
        <f t="shared" si="171"/>
        <v>164</v>
      </c>
      <c r="I2356" s="254" t="s">
        <v>42</v>
      </c>
      <c r="J2356" s="331" t="s">
        <v>7381</v>
      </c>
      <c r="K2356" s="256">
        <v>42944</v>
      </c>
      <c r="L2356" s="256"/>
      <c r="M2356" s="256">
        <v>42943</v>
      </c>
      <c r="N2356" s="251" t="s">
        <v>3678</v>
      </c>
      <c r="O2356" s="598" t="s">
        <v>7382</v>
      </c>
      <c r="P2356" s="589"/>
      <c r="Q2356" s="572">
        <v>5040</v>
      </c>
      <c r="R2356" s="1413"/>
      <c r="S2356" s="1413"/>
      <c r="U2356" s="328"/>
      <c r="V2356" s="328" t="s">
        <v>3680</v>
      </c>
      <c r="W2356" s="789">
        <v>42983</v>
      </c>
      <c r="X2356" s="748">
        <v>42942</v>
      </c>
      <c r="Y2356" s="308" t="s">
        <v>7383</v>
      </c>
      <c r="Z2356" s="308" t="s">
        <v>7385</v>
      </c>
      <c r="AA2356" s="256">
        <v>42985</v>
      </c>
      <c r="AB2356" s="308" t="s">
        <v>7384</v>
      </c>
      <c r="AC2356" s="328"/>
      <c r="AD2356" s="328"/>
      <c r="AE2356" s="328"/>
      <c r="AF2356" s="328"/>
      <c r="AG2356" s="251" t="s">
        <v>283</v>
      </c>
    </row>
    <row r="2357" spans="1:33" ht="15.75" customHeight="1">
      <c r="A2357" s="743">
        <v>42935</v>
      </c>
      <c r="B2357" s="386" t="s">
        <v>100</v>
      </c>
      <c r="C2357" s="328" t="s">
        <v>7386</v>
      </c>
      <c r="D2357" s="328" t="s">
        <v>7387</v>
      </c>
      <c r="E2357" s="328" t="s">
        <v>7388</v>
      </c>
      <c r="F2357" s="305">
        <v>6</v>
      </c>
      <c r="G2357" s="772">
        <v>291</v>
      </c>
      <c r="H2357" s="308">
        <f t="shared" si="171"/>
        <v>1746</v>
      </c>
      <c r="I2357" s="891" t="s">
        <v>3315</v>
      </c>
      <c r="J2357" s="267" t="s">
        <v>3578</v>
      </c>
      <c r="K2357" s="256">
        <v>42957</v>
      </c>
      <c r="L2357" s="256"/>
      <c r="M2357" s="256">
        <v>42954</v>
      </c>
      <c r="N2357" s="401" t="s">
        <v>1995</v>
      </c>
      <c r="O2357" s="308" t="s">
        <v>7314</v>
      </c>
      <c r="P2357" s="308">
        <v>1650.6</v>
      </c>
      <c r="Q2357" s="328"/>
      <c r="R2357" s="1407"/>
      <c r="S2357" s="1407"/>
      <c r="U2357" s="328"/>
      <c r="V2357" s="571" t="s">
        <v>1997</v>
      </c>
      <c r="W2357" s="789">
        <v>43013</v>
      </c>
      <c r="X2357" s="748">
        <v>42954</v>
      </c>
      <c r="Y2357" s="328" t="s">
        <v>7389</v>
      </c>
      <c r="Z2357" s="749">
        <v>49846</v>
      </c>
      <c r="AA2357" s="594">
        <v>43020</v>
      </c>
      <c r="AB2357" s="308" t="s">
        <v>7390</v>
      </c>
      <c r="AC2357" s="251">
        <v>5140051652</v>
      </c>
      <c r="AD2357" s="328"/>
      <c r="AE2357" s="328"/>
      <c r="AF2357" s="328"/>
      <c r="AG2357" s="251" t="s">
        <v>283</v>
      </c>
    </row>
    <row r="2358" spans="1:33" ht="15.75" customHeight="1">
      <c r="A2358" s="594">
        <v>42935</v>
      </c>
      <c r="B2358" s="386" t="s">
        <v>100</v>
      </c>
      <c r="C2358" s="328" t="s">
        <v>7386</v>
      </c>
      <c r="D2358" s="328" t="s">
        <v>7391</v>
      </c>
      <c r="E2358" s="328" t="s">
        <v>7392</v>
      </c>
      <c r="F2358" s="305">
        <v>4</v>
      </c>
      <c r="G2358" s="323">
        <v>237</v>
      </c>
      <c r="H2358" s="308">
        <f t="shared" si="171"/>
        <v>948</v>
      </c>
      <c r="I2358" s="891" t="s">
        <v>3315</v>
      </c>
      <c r="J2358" s="361" t="s">
        <v>3578</v>
      </c>
      <c r="K2358" s="256">
        <v>42957</v>
      </c>
      <c r="L2358" s="256"/>
      <c r="M2358" s="256">
        <v>42950</v>
      </c>
      <c r="N2358" s="251" t="s">
        <v>6112</v>
      </c>
      <c r="O2358" s="308" t="s">
        <v>7393</v>
      </c>
      <c r="P2358" s="328"/>
      <c r="Q2358" s="572">
        <v>23013</v>
      </c>
      <c r="R2358" s="1413"/>
      <c r="S2358" s="1413"/>
      <c r="U2358" s="328"/>
      <c r="V2358" s="744" t="s">
        <v>2109</v>
      </c>
      <c r="W2358" s="789">
        <v>42983</v>
      </c>
      <c r="X2358" s="748">
        <v>42949</v>
      </c>
      <c r="Y2358" s="328" t="s">
        <v>7394</v>
      </c>
      <c r="Z2358" s="749">
        <v>29647</v>
      </c>
      <c r="AA2358" s="256">
        <v>42985</v>
      </c>
      <c r="AB2358" s="308" t="s">
        <v>7390</v>
      </c>
      <c r="AC2358" s="251">
        <v>5140051652</v>
      </c>
      <c r="AD2358" s="328"/>
      <c r="AE2358" s="328"/>
      <c r="AF2358" s="328"/>
      <c r="AG2358" s="251" t="s">
        <v>283</v>
      </c>
    </row>
    <row r="2359" spans="1:33" ht="15.75" customHeight="1">
      <c r="A2359" s="594">
        <v>42935</v>
      </c>
      <c r="B2359" s="386" t="s">
        <v>100</v>
      </c>
      <c r="C2359" s="328" t="s">
        <v>7386</v>
      </c>
      <c r="D2359" s="328" t="s">
        <v>7391</v>
      </c>
      <c r="E2359" s="328" t="s">
        <v>3700</v>
      </c>
      <c r="F2359" s="305">
        <v>6</v>
      </c>
      <c r="G2359" s="252">
        <v>9</v>
      </c>
      <c r="H2359" s="308">
        <f t="shared" si="171"/>
        <v>54</v>
      </c>
      <c r="I2359" s="891" t="s">
        <v>3315</v>
      </c>
      <c r="J2359" s="367" t="s">
        <v>3578</v>
      </c>
      <c r="K2359" s="256">
        <v>42957</v>
      </c>
      <c r="L2359" s="256"/>
      <c r="M2359" s="256">
        <v>42948</v>
      </c>
      <c r="N2359" s="401" t="s">
        <v>1995</v>
      </c>
      <c r="O2359" s="308" t="s">
        <v>7395</v>
      </c>
      <c r="P2359" s="328"/>
      <c r="Q2359" s="572">
        <v>1537</v>
      </c>
      <c r="R2359" s="1413"/>
      <c r="S2359" s="1413"/>
      <c r="U2359" s="328"/>
      <c r="V2359" s="338" t="s">
        <v>1997</v>
      </c>
      <c r="W2359" s="789">
        <v>43013</v>
      </c>
      <c r="X2359" s="748">
        <v>42948</v>
      </c>
      <c r="Y2359" s="328" t="s">
        <v>7396</v>
      </c>
      <c r="Z2359" s="749">
        <v>1537</v>
      </c>
      <c r="AA2359" s="594">
        <v>43020</v>
      </c>
      <c r="AB2359" s="308" t="s">
        <v>7390</v>
      </c>
      <c r="AC2359" s="251">
        <v>5140051652</v>
      </c>
      <c r="AD2359" s="328"/>
      <c r="AE2359" s="328"/>
      <c r="AF2359" s="328"/>
      <c r="AG2359" s="251" t="s">
        <v>283</v>
      </c>
    </row>
    <row r="2360" spans="1:33" ht="15.75" customHeight="1">
      <c r="A2360" s="594">
        <v>42935</v>
      </c>
      <c r="B2360" s="386" t="s">
        <v>4903</v>
      </c>
      <c r="C2360" s="328" t="s">
        <v>7397</v>
      </c>
      <c r="D2360" s="328" t="s">
        <v>7398</v>
      </c>
      <c r="E2360" s="328" t="s">
        <v>7399</v>
      </c>
      <c r="F2360" s="305">
        <v>1</v>
      </c>
      <c r="G2360" s="336">
        <v>293</v>
      </c>
      <c r="H2360" s="308">
        <f t="shared" si="171"/>
        <v>293</v>
      </c>
      <c r="I2360" s="254" t="s">
        <v>3315</v>
      </c>
      <c r="J2360" s="367" t="s">
        <v>3588</v>
      </c>
      <c r="K2360" s="256">
        <v>42950</v>
      </c>
      <c r="L2360" s="256"/>
      <c r="M2360" s="256">
        <v>42948</v>
      </c>
      <c r="N2360" s="264" t="s">
        <v>89</v>
      </c>
      <c r="O2360" s="308" t="s">
        <v>7400</v>
      </c>
      <c r="P2360" s="308">
        <v>238.6</v>
      </c>
      <c r="Q2360" s="328"/>
      <c r="R2360" s="1407"/>
      <c r="S2360" s="1407"/>
      <c r="U2360" s="328"/>
      <c r="V2360" s="338" t="s">
        <v>93</v>
      </c>
      <c r="W2360" s="747">
        <v>43008</v>
      </c>
      <c r="X2360" s="748">
        <v>42948</v>
      </c>
      <c r="Y2360" s="328" t="s">
        <v>7401</v>
      </c>
      <c r="Z2360" s="749">
        <v>9706</v>
      </c>
      <c r="AA2360" s="594">
        <v>42998</v>
      </c>
      <c r="AB2360" s="308" t="s">
        <v>7402</v>
      </c>
      <c r="AC2360" s="251">
        <v>4709499815</v>
      </c>
      <c r="AD2360" s="328"/>
      <c r="AE2360" s="328"/>
      <c r="AF2360" s="328"/>
      <c r="AG2360" s="251" t="s">
        <v>283</v>
      </c>
    </row>
    <row r="2361" spans="1:33" ht="15.75" customHeight="1">
      <c r="A2361" s="594">
        <v>42935</v>
      </c>
      <c r="B2361" s="386" t="s">
        <v>4903</v>
      </c>
      <c r="C2361" s="328" t="s">
        <v>7397</v>
      </c>
      <c r="D2361" s="328" t="s">
        <v>7398</v>
      </c>
      <c r="E2361" s="328" t="s">
        <v>7403</v>
      </c>
      <c r="F2361" s="305">
        <v>1</v>
      </c>
      <c r="G2361" s="336">
        <v>89</v>
      </c>
      <c r="H2361" s="308">
        <f t="shared" si="171"/>
        <v>89</v>
      </c>
      <c r="I2361" s="254" t="s">
        <v>3315</v>
      </c>
      <c r="J2361" s="367" t="s">
        <v>3588</v>
      </c>
      <c r="K2361" s="256">
        <v>42950</v>
      </c>
      <c r="L2361" s="256"/>
      <c r="M2361" s="256">
        <v>42948</v>
      </c>
      <c r="N2361" s="264" t="s">
        <v>89</v>
      </c>
      <c r="O2361" s="308" t="s">
        <v>7400</v>
      </c>
      <c r="P2361" s="308">
        <v>81.900000000000006</v>
      </c>
      <c r="Q2361" s="328"/>
      <c r="R2361" s="1407"/>
      <c r="S2361" s="1407"/>
      <c r="U2361" s="328"/>
      <c r="V2361" s="338" t="s">
        <v>93</v>
      </c>
      <c r="W2361" s="747">
        <v>43008</v>
      </c>
      <c r="X2361" s="748">
        <v>42948</v>
      </c>
      <c r="Y2361" s="328" t="s">
        <v>7401</v>
      </c>
      <c r="Z2361" s="328" t="s">
        <v>7404</v>
      </c>
      <c r="AA2361" s="594">
        <v>42998</v>
      </c>
      <c r="AB2361" s="308" t="s">
        <v>7402</v>
      </c>
      <c r="AC2361" s="251">
        <v>4709499815</v>
      </c>
      <c r="AD2361" s="328"/>
      <c r="AE2361" s="328"/>
      <c r="AF2361" s="328"/>
      <c r="AG2361" s="251" t="s">
        <v>283</v>
      </c>
    </row>
    <row r="2362" spans="1:33" ht="15.75" customHeight="1">
      <c r="A2362" s="594">
        <v>42935</v>
      </c>
      <c r="B2362" s="386" t="s">
        <v>4903</v>
      </c>
      <c r="C2362" s="328" t="s">
        <v>7397</v>
      </c>
      <c r="D2362" s="328" t="s">
        <v>7398</v>
      </c>
      <c r="E2362" s="328" t="s">
        <v>7405</v>
      </c>
      <c r="F2362" s="305">
        <v>1</v>
      </c>
      <c r="G2362" s="772">
        <v>136</v>
      </c>
      <c r="H2362" s="308">
        <f t="shared" si="171"/>
        <v>136</v>
      </c>
      <c r="I2362" s="254" t="s">
        <v>3315</v>
      </c>
      <c r="J2362" s="367" t="s">
        <v>3588</v>
      </c>
      <c r="K2362" s="256">
        <v>42950</v>
      </c>
      <c r="L2362" s="256"/>
      <c r="M2362" s="256">
        <v>42948</v>
      </c>
      <c r="N2362" s="254" t="s">
        <v>3432</v>
      </c>
      <c r="O2362" s="328" t="s">
        <v>7406</v>
      </c>
      <c r="P2362" s="593"/>
      <c r="Q2362" s="572">
        <v>3904</v>
      </c>
      <c r="R2362" s="1413"/>
      <c r="S2362" s="1413"/>
      <c r="U2362" s="328"/>
      <c r="V2362" s="318" t="s">
        <v>2045</v>
      </c>
      <c r="W2362" s="789">
        <v>43039</v>
      </c>
      <c r="X2362" s="748">
        <v>42948</v>
      </c>
      <c r="Y2362" s="328" t="s">
        <v>7407</v>
      </c>
      <c r="Z2362" s="749">
        <v>3904</v>
      </c>
      <c r="AA2362" s="594">
        <v>43045</v>
      </c>
      <c r="AB2362" s="308" t="s">
        <v>7402</v>
      </c>
      <c r="AC2362" s="251">
        <v>4709499815</v>
      </c>
      <c r="AD2362" s="328"/>
      <c r="AE2362" s="328"/>
      <c r="AF2362" s="328"/>
      <c r="AG2362" s="251" t="s">
        <v>283</v>
      </c>
    </row>
    <row r="2363" spans="1:33" ht="15.75" customHeight="1">
      <c r="A2363" s="594">
        <v>42935</v>
      </c>
      <c r="B2363" s="386" t="s">
        <v>100</v>
      </c>
      <c r="C2363" s="328" t="s">
        <v>7386</v>
      </c>
      <c r="D2363" s="328" t="s">
        <v>7387</v>
      </c>
      <c r="E2363" s="328" t="s">
        <v>6420</v>
      </c>
      <c r="F2363" s="305">
        <v>6</v>
      </c>
      <c r="G2363" s="252">
        <v>39</v>
      </c>
      <c r="H2363" s="308">
        <f t="shared" si="171"/>
        <v>234</v>
      </c>
      <c r="I2363" s="891" t="s">
        <v>3315</v>
      </c>
      <c r="J2363" s="367" t="s">
        <v>3578</v>
      </c>
      <c r="K2363" s="256">
        <v>42957</v>
      </c>
      <c r="L2363" s="256"/>
      <c r="M2363" s="256">
        <v>42943</v>
      </c>
      <c r="N2363" s="367" t="s">
        <v>2124</v>
      </c>
      <c r="O2363" s="308" t="s">
        <v>7408</v>
      </c>
      <c r="P2363" s="328"/>
      <c r="Q2363" s="572">
        <v>6080</v>
      </c>
      <c r="R2363" s="1413"/>
      <c r="S2363" s="1413"/>
      <c r="U2363" s="328"/>
      <c r="V2363" s="308" t="s">
        <v>2126</v>
      </c>
      <c r="W2363" s="328"/>
      <c r="X2363" s="748">
        <v>42942</v>
      </c>
      <c r="Y2363" s="308" t="s">
        <v>7409</v>
      </c>
      <c r="Z2363" s="753">
        <v>6080</v>
      </c>
      <c r="AA2363" s="594">
        <v>42937</v>
      </c>
      <c r="AB2363" s="308" t="s">
        <v>7390</v>
      </c>
      <c r="AC2363" s="251">
        <v>5140051652</v>
      </c>
      <c r="AD2363" s="328"/>
      <c r="AE2363" s="328"/>
      <c r="AF2363" s="328"/>
      <c r="AG2363" s="251" t="s">
        <v>283</v>
      </c>
    </row>
    <row r="2364" spans="1:33" ht="15.75" customHeight="1">
      <c r="A2364" s="594">
        <v>42936</v>
      </c>
      <c r="B2364" s="386" t="s">
        <v>6626</v>
      </c>
      <c r="C2364" s="1043" t="s">
        <v>7410</v>
      </c>
      <c r="D2364" s="328" t="s">
        <v>7411</v>
      </c>
      <c r="E2364" s="328" t="s">
        <v>7412</v>
      </c>
      <c r="F2364" s="305">
        <v>70</v>
      </c>
      <c r="G2364" s="336">
        <v>165</v>
      </c>
      <c r="H2364" s="266">
        <f t="shared" si="171"/>
        <v>11550</v>
      </c>
      <c r="I2364" s="254" t="s">
        <v>3315</v>
      </c>
      <c r="J2364" s="367" t="s">
        <v>5189</v>
      </c>
      <c r="K2364" s="256">
        <v>42971</v>
      </c>
      <c r="L2364" s="256"/>
      <c r="M2364" s="256">
        <v>42968</v>
      </c>
      <c r="N2364" s="254" t="s">
        <v>89</v>
      </c>
      <c r="O2364" s="308" t="s">
        <v>7413</v>
      </c>
      <c r="P2364" s="308">
        <v>10290</v>
      </c>
      <c r="Q2364" s="328"/>
      <c r="R2364" s="1407"/>
      <c r="S2364" s="1407"/>
      <c r="U2364" s="328"/>
      <c r="V2364" s="338" t="s">
        <v>93</v>
      </c>
      <c r="W2364" s="747">
        <v>43008</v>
      </c>
      <c r="X2364" s="748">
        <v>42968</v>
      </c>
      <c r="Y2364" s="328" t="s">
        <v>7414</v>
      </c>
      <c r="Z2364" s="749">
        <v>311118</v>
      </c>
      <c r="AA2364" s="594">
        <v>42998</v>
      </c>
      <c r="AB2364" s="308" t="s">
        <v>7415</v>
      </c>
      <c r="AC2364" s="251">
        <v>770098820259</v>
      </c>
      <c r="AD2364" s="328"/>
      <c r="AE2364" s="328"/>
      <c r="AF2364" s="328"/>
      <c r="AG2364" s="251" t="s">
        <v>283</v>
      </c>
    </row>
    <row r="2365" spans="1:33" ht="15.75" customHeight="1">
      <c r="A2365" s="594">
        <v>42937</v>
      </c>
      <c r="B2365" s="590" t="s">
        <v>7107</v>
      </c>
      <c r="C2365" s="744">
        <v>7000131323</v>
      </c>
      <c r="D2365" s="250" t="s">
        <v>7416</v>
      </c>
      <c r="E2365" s="250" t="s">
        <v>3515</v>
      </c>
      <c r="F2365" s="1007">
        <v>1</v>
      </c>
      <c r="G2365" s="336">
        <v>46</v>
      </c>
      <c r="H2365" s="308">
        <f t="shared" si="171"/>
        <v>46</v>
      </c>
      <c r="I2365" s="254" t="s">
        <v>42</v>
      </c>
      <c r="J2365" s="401" t="s">
        <v>3462</v>
      </c>
      <c r="K2365" s="256">
        <v>42940</v>
      </c>
      <c r="L2365" s="256"/>
      <c r="M2365" s="256">
        <v>42940</v>
      </c>
      <c r="N2365" s="264" t="s">
        <v>3432</v>
      </c>
      <c r="O2365" s="308" t="s">
        <v>7417</v>
      </c>
      <c r="P2365" s="328"/>
      <c r="Q2365" s="572">
        <v>1342</v>
      </c>
      <c r="R2365" s="1413"/>
      <c r="S2365" s="1413"/>
      <c r="U2365" s="328"/>
      <c r="V2365" s="308" t="s">
        <v>2045</v>
      </c>
      <c r="W2365" s="789">
        <v>43008</v>
      </c>
      <c r="X2365" s="748">
        <v>42937</v>
      </c>
      <c r="Y2365" s="328" t="s">
        <v>7418</v>
      </c>
      <c r="Z2365" s="749">
        <v>1342</v>
      </c>
      <c r="AA2365" s="256">
        <v>43013</v>
      </c>
      <c r="AB2365" s="308" t="s">
        <v>7243</v>
      </c>
      <c r="AC2365" s="251">
        <v>7153233743</v>
      </c>
      <c r="AD2365" s="328"/>
      <c r="AE2365" s="328"/>
      <c r="AF2365" s="328"/>
      <c r="AG2365" s="251" t="s">
        <v>283</v>
      </c>
    </row>
    <row r="2366" spans="1:33" ht="15.75" customHeight="1">
      <c r="A2366" s="980">
        <v>42940</v>
      </c>
      <c r="B2366" s="836" t="s">
        <v>6626</v>
      </c>
      <c r="C2366" s="575"/>
      <c r="D2366" s="575" t="s">
        <v>7419</v>
      </c>
      <c r="E2366" s="575" t="s">
        <v>7412</v>
      </c>
      <c r="F2366" s="1032">
        <v>30</v>
      </c>
      <c r="G2366" s="1055"/>
      <c r="H2366" s="777">
        <f t="shared" si="171"/>
        <v>0</v>
      </c>
      <c r="I2366" s="280" t="s">
        <v>3315</v>
      </c>
      <c r="J2366" s="867" t="s">
        <v>5189</v>
      </c>
      <c r="K2366" s="289">
        <v>42971</v>
      </c>
      <c r="L2366" s="289"/>
      <c r="M2366" s="289">
        <v>42968</v>
      </c>
      <c r="N2366" s="776" t="s">
        <v>89</v>
      </c>
      <c r="O2366" s="274" t="s">
        <v>7420</v>
      </c>
      <c r="P2366" s="764"/>
      <c r="Q2366" s="575"/>
      <c r="R2366" s="1448"/>
      <c r="S2366" s="1448"/>
      <c r="U2366" s="575"/>
      <c r="V2366" s="779" t="s">
        <v>5896</v>
      </c>
      <c r="W2366" s="575"/>
      <c r="X2366" s="575"/>
      <c r="Y2366" s="575"/>
      <c r="Z2366" s="575"/>
      <c r="AA2366" s="575"/>
      <c r="AB2366" s="575"/>
      <c r="AC2366" s="575"/>
      <c r="AD2366" s="575"/>
      <c r="AE2366" s="575"/>
      <c r="AF2366" s="575"/>
      <c r="AG2366" s="277" t="s">
        <v>3456</v>
      </c>
    </row>
    <row r="2367" spans="1:33" ht="15.75" customHeight="1">
      <c r="A2367" s="594">
        <v>42940</v>
      </c>
      <c r="B2367" s="338" t="s">
        <v>325</v>
      </c>
      <c r="C2367" s="761" t="s">
        <v>7421</v>
      </c>
      <c r="D2367" s="328" t="s">
        <v>7422</v>
      </c>
      <c r="E2367" s="328" t="s">
        <v>3612</v>
      </c>
      <c r="F2367" s="585">
        <v>10</v>
      </c>
      <c r="G2367" s="336">
        <v>567</v>
      </c>
      <c r="H2367" s="265">
        <f t="shared" si="171"/>
        <v>5670</v>
      </c>
      <c r="I2367" s="254" t="s">
        <v>3315</v>
      </c>
      <c r="J2367" s="367" t="s">
        <v>3613</v>
      </c>
      <c r="K2367" s="256">
        <v>42969</v>
      </c>
      <c r="L2367" s="256"/>
      <c r="M2367" s="256">
        <v>42961</v>
      </c>
      <c r="N2367" s="401" t="s">
        <v>3614</v>
      </c>
      <c r="O2367" s="308" t="s">
        <v>7423</v>
      </c>
      <c r="P2367" s="572">
        <v>5355</v>
      </c>
      <c r="Q2367" s="328"/>
      <c r="R2367" s="1407"/>
      <c r="S2367" s="1407"/>
      <c r="U2367" s="328"/>
      <c r="V2367" s="590" t="s">
        <v>2159</v>
      </c>
      <c r="W2367" s="789">
        <v>43008</v>
      </c>
      <c r="X2367" s="748">
        <v>42961</v>
      </c>
      <c r="Y2367" s="328" t="s">
        <v>7424</v>
      </c>
      <c r="Z2367" s="749">
        <v>169961</v>
      </c>
      <c r="AA2367" s="256">
        <v>43007</v>
      </c>
      <c r="AB2367" s="308" t="s">
        <v>7116</v>
      </c>
      <c r="AC2367" s="251">
        <v>770077588248</v>
      </c>
      <c r="AD2367" s="328"/>
      <c r="AE2367" s="328"/>
      <c r="AF2367" s="328"/>
      <c r="AG2367" s="251" t="s">
        <v>283</v>
      </c>
    </row>
    <row r="2368" spans="1:33" ht="15.75" customHeight="1">
      <c r="A2368" s="594">
        <v>42940</v>
      </c>
      <c r="B2368" s="338" t="s">
        <v>325</v>
      </c>
      <c r="C2368" s="761" t="s">
        <v>7421</v>
      </c>
      <c r="D2368" s="328" t="s">
        <v>7422</v>
      </c>
      <c r="E2368" s="328" t="s">
        <v>52</v>
      </c>
      <c r="F2368" s="585">
        <v>10</v>
      </c>
      <c r="G2368" s="336">
        <v>31</v>
      </c>
      <c r="H2368" s="265">
        <f t="shared" si="171"/>
        <v>310</v>
      </c>
      <c r="I2368" s="254" t="s">
        <v>3315</v>
      </c>
      <c r="J2368" s="367" t="s">
        <v>3613</v>
      </c>
      <c r="K2368" s="256">
        <v>42969</v>
      </c>
      <c r="L2368" s="256"/>
      <c r="M2368" s="256">
        <v>42961</v>
      </c>
      <c r="N2368" s="401" t="s">
        <v>3614</v>
      </c>
      <c r="O2368" s="308" t="s">
        <v>7423</v>
      </c>
      <c r="P2368" s="308">
        <v>226.8</v>
      </c>
      <c r="Q2368" s="328"/>
      <c r="R2368" s="1407"/>
      <c r="S2368" s="1407"/>
      <c r="U2368" s="328"/>
      <c r="V2368" s="420" t="s">
        <v>2159</v>
      </c>
      <c r="W2368" s="789">
        <v>43008</v>
      </c>
      <c r="X2368" s="748">
        <v>42961</v>
      </c>
      <c r="Y2368" s="328" t="s">
        <v>7424</v>
      </c>
      <c r="Z2368" s="328" t="s">
        <v>7425</v>
      </c>
      <c r="AA2368" s="256">
        <v>43007</v>
      </c>
      <c r="AB2368" s="308" t="s">
        <v>7116</v>
      </c>
      <c r="AC2368" s="251">
        <v>770077588248</v>
      </c>
      <c r="AD2368" s="328"/>
      <c r="AE2368" s="328"/>
      <c r="AF2368" s="328"/>
      <c r="AG2368" s="251" t="s">
        <v>283</v>
      </c>
    </row>
    <row r="2369" spans="1:33" ht="15.75" customHeight="1">
      <c r="A2369" s="594">
        <v>42940</v>
      </c>
      <c r="B2369" s="338" t="s">
        <v>325</v>
      </c>
      <c r="C2369" s="761" t="s">
        <v>7421</v>
      </c>
      <c r="D2369" s="328" t="s">
        <v>7422</v>
      </c>
      <c r="E2369" s="328" t="s">
        <v>58</v>
      </c>
      <c r="F2369" s="585">
        <v>10</v>
      </c>
      <c r="G2369" s="336">
        <v>4</v>
      </c>
      <c r="H2369" s="265">
        <f t="shared" si="171"/>
        <v>40</v>
      </c>
      <c r="I2369" s="254" t="s">
        <v>3315</v>
      </c>
      <c r="J2369" s="367" t="s">
        <v>3613</v>
      </c>
      <c r="K2369" s="256">
        <v>42969</v>
      </c>
      <c r="L2369" s="256"/>
      <c r="M2369" s="256">
        <v>42961</v>
      </c>
      <c r="N2369" s="401" t="s">
        <v>3614</v>
      </c>
      <c r="O2369" s="308" t="s">
        <v>7423</v>
      </c>
      <c r="P2369" s="308">
        <v>21</v>
      </c>
      <c r="Q2369" s="328"/>
      <c r="R2369" s="1407"/>
      <c r="S2369" s="1407"/>
      <c r="U2369" s="328"/>
      <c r="V2369" s="590" t="s">
        <v>2159</v>
      </c>
      <c r="W2369" s="789">
        <v>43008</v>
      </c>
      <c r="X2369" s="748">
        <v>42961</v>
      </c>
      <c r="Y2369" s="328" t="s">
        <v>7424</v>
      </c>
      <c r="Z2369" s="328" t="s">
        <v>7425</v>
      </c>
      <c r="AA2369" s="256">
        <v>43007</v>
      </c>
      <c r="AB2369" s="308" t="s">
        <v>7116</v>
      </c>
      <c r="AC2369" s="251">
        <v>770077588248</v>
      </c>
      <c r="AD2369" s="328"/>
      <c r="AE2369" s="328"/>
      <c r="AF2369" s="328"/>
      <c r="AG2369" s="251" t="s">
        <v>283</v>
      </c>
    </row>
    <row r="2370" spans="1:33" ht="15.75" customHeight="1">
      <c r="A2370" s="594">
        <v>42940</v>
      </c>
      <c r="B2370" s="338" t="s">
        <v>325</v>
      </c>
      <c r="C2370" s="761" t="s">
        <v>7421</v>
      </c>
      <c r="D2370" s="328" t="s">
        <v>7422</v>
      </c>
      <c r="E2370" s="328" t="s">
        <v>3620</v>
      </c>
      <c r="F2370" s="251">
        <v>10</v>
      </c>
      <c r="G2370" s="772">
        <v>273</v>
      </c>
      <c r="H2370" s="265">
        <f t="shared" si="171"/>
        <v>2730</v>
      </c>
      <c r="I2370" s="254" t="s">
        <v>3315</v>
      </c>
      <c r="J2370" s="361" t="s">
        <v>3613</v>
      </c>
      <c r="K2370" s="256">
        <v>42969</v>
      </c>
      <c r="L2370" s="256"/>
      <c r="M2370" s="256">
        <v>42955</v>
      </c>
      <c r="N2370" s="367" t="s">
        <v>44</v>
      </c>
      <c r="O2370" s="308" t="s">
        <v>7426</v>
      </c>
      <c r="P2370" s="572">
        <v>2289</v>
      </c>
      <c r="Q2370" s="328"/>
      <c r="R2370" s="1407"/>
      <c r="S2370" s="1407"/>
      <c r="U2370" s="328"/>
      <c r="V2370" s="308" t="s">
        <v>3754</v>
      </c>
      <c r="W2370" s="789">
        <v>42984</v>
      </c>
      <c r="X2370" s="748">
        <v>42954</v>
      </c>
      <c r="Y2370" s="328" t="s">
        <v>7427</v>
      </c>
      <c r="Z2370" s="749">
        <v>69174</v>
      </c>
      <c r="AA2370" s="594">
        <v>42983</v>
      </c>
      <c r="AB2370" s="308" t="s">
        <v>7116</v>
      </c>
      <c r="AC2370" s="251">
        <v>770077588248</v>
      </c>
      <c r="AD2370" s="328"/>
      <c r="AE2370" s="328"/>
      <c r="AF2370" s="328"/>
      <c r="AG2370" s="251" t="s">
        <v>283</v>
      </c>
    </row>
    <row r="2371" spans="1:33" ht="15.75" customHeight="1">
      <c r="A2371" s="594">
        <v>42940</v>
      </c>
      <c r="B2371" s="970" t="s">
        <v>76</v>
      </c>
      <c r="C2371" s="744">
        <v>639</v>
      </c>
      <c r="D2371" s="250" t="s">
        <v>7428</v>
      </c>
      <c r="E2371" s="250" t="s">
        <v>317</v>
      </c>
      <c r="F2371" s="1007">
        <v>10</v>
      </c>
      <c r="G2371" s="252">
        <v>270</v>
      </c>
      <c r="H2371" s="574">
        <f t="shared" si="171"/>
        <v>2700</v>
      </c>
      <c r="I2371" s="254" t="s">
        <v>42</v>
      </c>
      <c r="J2371" s="367" t="s">
        <v>6440</v>
      </c>
      <c r="K2371" s="256">
        <v>42978</v>
      </c>
      <c r="L2371" s="256"/>
      <c r="M2371" s="256">
        <v>42949</v>
      </c>
      <c r="N2371" s="401" t="s">
        <v>1967</v>
      </c>
      <c r="O2371" s="328" t="s">
        <v>7429</v>
      </c>
      <c r="P2371" s="265">
        <v>2310</v>
      </c>
      <c r="Q2371" s="328"/>
      <c r="R2371" s="1407"/>
      <c r="S2371" s="1407"/>
      <c r="U2371" s="328"/>
      <c r="V2371" s="318" t="s">
        <v>1969</v>
      </c>
      <c r="W2371" s="789">
        <v>42983</v>
      </c>
      <c r="X2371" s="748">
        <v>42949</v>
      </c>
      <c r="Y2371" s="328" t="s">
        <v>7430</v>
      </c>
      <c r="Z2371" s="749">
        <v>69785</v>
      </c>
      <c r="AA2371" s="594">
        <v>42989</v>
      </c>
      <c r="AB2371" s="308" t="s">
        <v>7431</v>
      </c>
      <c r="AC2371" s="328"/>
      <c r="AD2371" s="328"/>
      <c r="AE2371" s="328"/>
      <c r="AF2371" s="328"/>
      <c r="AG2371" s="251" t="s">
        <v>283</v>
      </c>
    </row>
    <row r="2372" spans="1:33" ht="15.75" customHeight="1">
      <c r="A2372" s="256">
        <v>42941</v>
      </c>
      <c r="B2372" s="970" t="s">
        <v>6060</v>
      </c>
      <c r="C2372" s="970" t="s">
        <v>7432</v>
      </c>
      <c r="D2372" s="308" t="s">
        <v>7433</v>
      </c>
      <c r="E2372" s="308" t="s">
        <v>7251</v>
      </c>
      <c r="F2372" s="1007">
        <v>8</v>
      </c>
      <c r="G2372" s="772">
        <v>66</v>
      </c>
      <c r="H2372" s="308">
        <f t="shared" si="171"/>
        <v>528</v>
      </c>
      <c r="I2372" s="264" t="s">
        <v>42</v>
      </c>
      <c r="J2372" s="367" t="s">
        <v>3361</v>
      </c>
      <c r="K2372" s="256">
        <v>42964</v>
      </c>
      <c r="L2372" s="256"/>
      <c r="M2372" s="256">
        <v>42962</v>
      </c>
      <c r="N2372" s="585" t="s">
        <v>89</v>
      </c>
      <c r="O2372" s="250" t="s">
        <v>7434</v>
      </c>
      <c r="P2372" s="308">
        <v>504</v>
      </c>
      <c r="Q2372" s="328"/>
      <c r="R2372" s="1407"/>
      <c r="S2372" s="1407"/>
      <c r="U2372" s="328"/>
      <c r="V2372" s="338" t="s">
        <v>93</v>
      </c>
      <c r="W2372" s="747">
        <v>43008</v>
      </c>
      <c r="X2372" s="748">
        <v>42962</v>
      </c>
      <c r="Y2372" s="328" t="s">
        <v>7435</v>
      </c>
      <c r="Z2372" s="749">
        <v>68599</v>
      </c>
      <c r="AA2372" s="594">
        <v>42998</v>
      </c>
      <c r="AB2372" s="308" t="s">
        <v>7436</v>
      </c>
      <c r="AC2372" s="251">
        <v>6287430844</v>
      </c>
      <c r="AD2372" s="328"/>
      <c r="AE2372" s="328"/>
      <c r="AF2372" s="328"/>
      <c r="AG2372" s="251" t="s">
        <v>283</v>
      </c>
    </row>
    <row r="2373" spans="1:33" ht="15.75" customHeight="1">
      <c r="A2373" s="256">
        <v>42941</v>
      </c>
      <c r="B2373" s="970" t="s">
        <v>6060</v>
      </c>
      <c r="C2373" s="970" t="s">
        <v>7432</v>
      </c>
      <c r="D2373" s="308" t="s">
        <v>7433</v>
      </c>
      <c r="E2373" s="308" t="s">
        <v>7253</v>
      </c>
      <c r="F2373" s="1007">
        <v>8</v>
      </c>
      <c r="G2373" s="772">
        <v>85</v>
      </c>
      <c r="H2373" s="308">
        <f t="shared" si="171"/>
        <v>680</v>
      </c>
      <c r="I2373" s="264" t="s">
        <v>42</v>
      </c>
      <c r="J2373" s="367" t="s">
        <v>3361</v>
      </c>
      <c r="K2373" s="256">
        <v>42964</v>
      </c>
      <c r="L2373" s="256"/>
      <c r="M2373" s="256">
        <v>42962</v>
      </c>
      <c r="N2373" s="251" t="s">
        <v>89</v>
      </c>
      <c r="O2373" s="250" t="s">
        <v>7434</v>
      </c>
      <c r="P2373" s="308">
        <v>621.6</v>
      </c>
      <c r="Q2373" s="328"/>
      <c r="R2373" s="1407"/>
      <c r="S2373" s="1407"/>
      <c r="U2373" s="328"/>
      <c r="V2373" s="338" t="s">
        <v>93</v>
      </c>
      <c r="W2373" s="747">
        <v>43008</v>
      </c>
      <c r="X2373" s="748">
        <v>42962</v>
      </c>
      <c r="Y2373" s="328" t="s">
        <v>7435</v>
      </c>
      <c r="Z2373" s="328" t="s">
        <v>7437</v>
      </c>
      <c r="AA2373" s="594">
        <v>42998</v>
      </c>
      <c r="AB2373" s="308" t="s">
        <v>7436</v>
      </c>
      <c r="AC2373" s="251">
        <v>6287430844</v>
      </c>
      <c r="AD2373" s="328"/>
      <c r="AE2373" s="328"/>
      <c r="AF2373" s="328"/>
      <c r="AG2373" s="251" t="s">
        <v>283</v>
      </c>
    </row>
    <row r="2374" spans="1:33" ht="15.75" customHeight="1">
      <c r="A2374" s="256">
        <v>42941</v>
      </c>
      <c r="B2374" s="970" t="s">
        <v>6060</v>
      </c>
      <c r="C2374" s="970" t="s">
        <v>7432</v>
      </c>
      <c r="D2374" s="308" t="s">
        <v>7433</v>
      </c>
      <c r="E2374" s="308" t="s">
        <v>7438</v>
      </c>
      <c r="F2374" s="1007">
        <v>8</v>
      </c>
      <c r="G2374" s="772">
        <v>90</v>
      </c>
      <c r="H2374" s="308">
        <f t="shared" si="171"/>
        <v>720</v>
      </c>
      <c r="I2374" s="264" t="s">
        <v>42</v>
      </c>
      <c r="J2374" s="367" t="s">
        <v>3361</v>
      </c>
      <c r="K2374" s="256">
        <v>42964</v>
      </c>
      <c r="L2374" s="256"/>
      <c r="M2374" s="256">
        <v>42962</v>
      </c>
      <c r="N2374" s="585" t="s">
        <v>89</v>
      </c>
      <c r="O2374" s="250" t="s">
        <v>7434</v>
      </c>
      <c r="P2374" s="308">
        <v>714</v>
      </c>
      <c r="Q2374" s="328"/>
      <c r="R2374" s="1407"/>
      <c r="S2374" s="1407"/>
      <c r="U2374" s="328"/>
      <c r="V2374" s="338" t="s">
        <v>93</v>
      </c>
      <c r="W2374" s="747">
        <v>43008</v>
      </c>
      <c r="X2374" s="748">
        <v>42962</v>
      </c>
      <c r="Y2374" s="328" t="s">
        <v>7435</v>
      </c>
      <c r="Z2374" s="328" t="s">
        <v>7437</v>
      </c>
      <c r="AA2374" s="594">
        <v>42998</v>
      </c>
      <c r="AB2374" s="308" t="s">
        <v>7436</v>
      </c>
      <c r="AC2374" s="251">
        <v>6287430844</v>
      </c>
      <c r="AD2374" s="328"/>
      <c r="AE2374" s="328"/>
      <c r="AF2374" s="328"/>
      <c r="AG2374" s="251" t="s">
        <v>283</v>
      </c>
    </row>
    <row r="2375" spans="1:33" ht="15.75" customHeight="1">
      <c r="A2375" s="256">
        <v>42941</v>
      </c>
      <c r="B2375" s="970" t="s">
        <v>6060</v>
      </c>
      <c r="C2375" s="970" t="s">
        <v>7432</v>
      </c>
      <c r="D2375" s="308" t="s">
        <v>7433</v>
      </c>
      <c r="E2375" s="308" t="s">
        <v>7255</v>
      </c>
      <c r="F2375" s="1007">
        <v>8</v>
      </c>
      <c r="G2375" s="323">
        <v>58</v>
      </c>
      <c r="H2375" s="308">
        <f t="shared" si="171"/>
        <v>464</v>
      </c>
      <c r="I2375" s="264" t="s">
        <v>42</v>
      </c>
      <c r="J2375" s="367" t="s">
        <v>3361</v>
      </c>
      <c r="K2375" s="256">
        <v>42964</v>
      </c>
      <c r="L2375" s="256"/>
      <c r="M2375" s="256">
        <v>42962</v>
      </c>
      <c r="N2375" s="585" t="s">
        <v>89</v>
      </c>
      <c r="O2375" s="250" t="s">
        <v>7434</v>
      </c>
      <c r="P2375" s="308">
        <v>436.8</v>
      </c>
      <c r="Q2375" s="328"/>
      <c r="R2375" s="1407"/>
      <c r="S2375" s="1407"/>
      <c r="U2375" s="328"/>
      <c r="V2375" s="338" t="s">
        <v>93</v>
      </c>
      <c r="W2375" s="747">
        <v>43008</v>
      </c>
      <c r="X2375" s="748">
        <v>42962</v>
      </c>
      <c r="Y2375" s="328" t="s">
        <v>7435</v>
      </c>
      <c r="Z2375" s="328" t="s">
        <v>7437</v>
      </c>
      <c r="AA2375" s="594">
        <v>42998</v>
      </c>
      <c r="AB2375" s="308" t="s">
        <v>7436</v>
      </c>
      <c r="AC2375" s="251">
        <v>6287430844</v>
      </c>
      <c r="AD2375" s="328"/>
      <c r="AE2375" s="328"/>
      <c r="AF2375" s="328"/>
      <c r="AG2375" s="251" t="s">
        <v>283</v>
      </c>
    </row>
    <row r="2376" spans="1:33" ht="15.75" customHeight="1">
      <c r="A2376" s="755">
        <v>42942</v>
      </c>
      <c r="B2376" s="970" t="s">
        <v>3347</v>
      </c>
      <c r="C2376" s="595" t="s">
        <v>7439</v>
      </c>
      <c r="D2376" s="308" t="s">
        <v>7440</v>
      </c>
      <c r="E2376" s="308" t="s">
        <v>7441</v>
      </c>
      <c r="F2376" s="251">
        <v>20</v>
      </c>
      <c r="G2376" s="336">
        <v>430</v>
      </c>
      <c r="H2376" s="265">
        <f t="shared" si="171"/>
        <v>8600</v>
      </c>
      <c r="I2376" s="264" t="s">
        <v>170</v>
      </c>
      <c r="J2376" s="367" t="s">
        <v>3350</v>
      </c>
      <c r="K2376" s="256">
        <v>43013</v>
      </c>
      <c r="L2376" s="256"/>
      <c r="M2376" s="256">
        <v>43004</v>
      </c>
      <c r="N2376" s="251" t="s">
        <v>89</v>
      </c>
      <c r="O2376" s="308" t="s">
        <v>7442</v>
      </c>
      <c r="P2376" s="572">
        <v>8190</v>
      </c>
      <c r="Q2376" s="328"/>
      <c r="R2376" s="1407"/>
      <c r="S2376" s="1407"/>
      <c r="U2376" s="328"/>
      <c r="V2376" s="571" t="s">
        <v>93</v>
      </c>
      <c r="W2376" s="747">
        <v>43069</v>
      </c>
      <c r="X2376" s="748">
        <v>43004</v>
      </c>
      <c r="Y2376" s="328" t="s">
        <v>7443</v>
      </c>
      <c r="Z2376" s="749">
        <v>245782</v>
      </c>
      <c r="AA2376" s="256">
        <v>43052</v>
      </c>
      <c r="AB2376" s="744" t="s">
        <v>7444</v>
      </c>
      <c r="AC2376" s="328"/>
      <c r="AD2376" s="328"/>
      <c r="AE2376" s="328"/>
      <c r="AF2376" s="328"/>
      <c r="AG2376" s="251" t="s">
        <v>283</v>
      </c>
    </row>
    <row r="2377" spans="1:33" ht="15.75" customHeight="1">
      <c r="A2377" s="755">
        <v>42942</v>
      </c>
      <c r="B2377" s="744" t="s">
        <v>3347</v>
      </c>
      <c r="C2377" s="744" t="s">
        <v>7445</v>
      </c>
      <c r="D2377" s="308" t="s">
        <v>7446</v>
      </c>
      <c r="E2377" s="308" t="s">
        <v>7441</v>
      </c>
      <c r="F2377" s="251">
        <v>1</v>
      </c>
      <c r="G2377" s="772">
        <v>430</v>
      </c>
      <c r="H2377" s="265">
        <f t="shared" si="171"/>
        <v>430</v>
      </c>
      <c r="I2377" s="254" t="s">
        <v>170</v>
      </c>
      <c r="J2377" s="251" t="s">
        <v>7447</v>
      </c>
      <c r="K2377" s="256">
        <v>42950</v>
      </c>
      <c r="L2377" s="256"/>
      <c r="M2377" s="256">
        <v>42950</v>
      </c>
      <c r="N2377" s="251" t="s">
        <v>89</v>
      </c>
      <c r="O2377" s="308" t="s">
        <v>7448</v>
      </c>
      <c r="P2377" s="1056">
        <v>409.5</v>
      </c>
      <c r="Q2377" s="328"/>
      <c r="R2377" s="1407"/>
      <c r="S2377" s="1407"/>
      <c r="U2377" s="328"/>
      <c r="V2377" s="338" t="s">
        <v>93</v>
      </c>
      <c r="W2377" s="1057"/>
      <c r="X2377" s="1044" t="s">
        <v>1734</v>
      </c>
      <c r="Y2377" s="1044" t="s">
        <v>1734</v>
      </c>
      <c r="Z2377" s="1044" t="s">
        <v>1734</v>
      </c>
      <c r="AA2377" s="624"/>
      <c r="AB2377" s="881" t="s">
        <v>6356</v>
      </c>
      <c r="AC2377" s="1003">
        <v>671003353278</v>
      </c>
      <c r="AD2377" s="328"/>
      <c r="AE2377" s="328"/>
      <c r="AF2377" s="328"/>
      <c r="AG2377" s="1003" t="s">
        <v>283</v>
      </c>
    </row>
    <row r="2378" spans="1:33" ht="15.75" customHeight="1">
      <c r="A2378" s="755">
        <v>42942</v>
      </c>
      <c r="B2378" s="744" t="s">
        <v>3347</v>
      </c>
      <c r="C2378" s="595" t="s">
        <v>7449</v>
      </c>
      <c r="D2378" s="308" t="s">
        <v>7450</v>
      </c>
      <c r="E2378" s="308" t="s">
        <v>7451</v>
      </c>
      <c r="F2378" s="251">
        <v>1</v>
      </c>
      <c r="G2378" s="772">
        <v>0</v>
      </c>
      <c r="H2378" s="265">
        <f t="shared" si="171"/>
        <v>0</v>
      </c>
      <c r="I2378" s="254" t="s">
        <v>170</v>
      </c>
      <c r="J2378" s="251" t="s">
        <v>7447</v>
      </c>
      <c r="K2378" s="256">
        <v>42950</v>
      </c>
      <c r="L2378" s="256"/>
      <c r="M2378" s="256">
        <v>42950</v>
      </c>
      <c r="N2378" s="251"/>
      <c r="O2378" s="308"/>
      <c r="P2378" s="328"/>
      <c r="Q2378" s="328"/>
      <c r="R2378" s="1407"/>
      <c r="S2378" s="1407"/>
      <c r="U2378" s="328"/>
      <c r="V2378" s="386"/>
      <c r="W2378" s="328"/>
      <c r="X2378" s="328" t="s">
        <v>7452</v>
      </c>
      <c r="Y2378" s="328" t="s">
        <v>7452</v>
      </c>
      <c r="Z2378" s="328" t="s">
        <v>7452</v>
      </c>
      <c r="AA2378" s="328"/>
      <c r="AB2378" s="328"/>
      <c r="AC2378" s="251">
        <v>671003353278</v>
      </c>
      <c r="AD2378" s="328"/>
      <c r="AE2378" s="328"/>
      <c r="AF2378" s="328"/>
      <c r="AG2378" s="251" t="s">
        <v>7452</v>
      </c>
    </row>
    <row r="2379" spans="1:33" ht="15.75" customHeight="1">
      <c r="A2379" s="755">
        <v>42947</v>
      </c>
      <c r="B2379" s="328" t="s">
        <v>100</v>
      </c>
      <c r="C2379" s="328" t="s">
        <v>7453</v>
      </c>
      <c r="D2379" s="328" t="s">
        <v>7454</v>
      </c>
      <c r="E2379" s="328" t="s">
        <v>7455</v>
      </c>
      <c r="F2379" s="251">
        <v>1</v>
      </c>
      <c r="G2379" s="323">
        <v>1307</v>
      </c>
      <c r="H2379" s="308">
        <f t="shared" si="171"/>
        <v>1307</v>
      </c>
      <c r="I2379" s="254" t="s">
        <v>3315</v>
      </c>
      <c r="J2379" s="367" t="s">
        <v>3578</v>
      </c>
      <c r="K2379" s="256">
        <v>42971</v>
      </c>
      <c r="L2379" s="256"/>
      <c r="M2379" s="256">
        <v>42968</v>
      </c>
      <c r="N2379" s="401" t="s">
        <v>1414</v>
      </c>
      <c r="O2379" s="308" t="s">
        <v>7456</v>
      </c>
      <c r="P2379" s="328"/>
      <c r="Q2379" s="572">
        <v>36460</v>
      </c>
      <c r="R2379" s="1413"/>
      <c r="S2379" s="1413"/>
      <c r="U2379" s="328"/>
      <c r="V2379" s="318" t="s">
        <v>1947</v>
      </c>
      <c r="W2379" s="789">
        <v>43008</v>
      </c>
      <c r="X2379" s="750">
        <v>42968</v>
      </c>
      <c r="Y2379" s="308" t="s">
        <v>7457</v>
      </c>
      <c r="Z2379" s="753">
        <v>39156</v>
      </c>
      <c r="AA2379" s="256">
        <v>43007</v>
      </c>
      <c r="AB2379" s="308" t="s">
        <v>7458</v>
      </c>
      <c r="AC2379" s="251">
        <v>1397125446</v>
      </c>
      <c r="AD2379" s="328"/>
      <c r="AE2379" s="328"/>
      <c r="AF2379" s="328"/>
      <c r="AG2379" s="251" t="s">
        <v>283</v>
      </c>
    </row>
    <row r="2380" spans="1:33" ht="15.75" customHeight="1">
      <c r="A2380" s="755">
        <v>42947</v>
      </c>
      <c r="B2380" s="328" t="s">
        <v>100</v>
      </c>
      <c r="C2380" s="328" t="s">
        <v>7453</v>
      </c>
      <c r="D2380" s="328" t="s">
        <v>7454</v>
      </c>
      <c r="E2380" s="328" t="s">
        <v>5316</v>
      </c>
      <c r="F2380" s="251">
        <v>1</v>
      </c>
      <c r="G2380" s="772">
        <v>97</v>
      </c>
      <c r="H2380" s="308">
        <f t="shared" si="171"/>
        <v>97</v>
      </c>
      <c r="I2380" s="254" t="s">
        <v>3315</v>
      </c>
      <c r="J2380" s="367" t="s">
        <v>3578</v>
      </c>
      <c r="K2380" s="256">
        <v>42971</v>
      </c>
      <c r="L2380" s="256"/>
      <c r="M2380" s="256">
        <v>42968</v>
      </c>
      <c r="N2380" s="401" t="s">
        <v>1414</v>
      </c>
      <c r="O2380" s="308" t="s">
        <v>7456</v>
      </c>
      <c r="P2380" s="328"/>
      <c r="Q2380" s="572">
        <v>2695</v>
      </c>
      <c r="R2380" s="1413"/>
      <c r="S2380" s="1413"/>
      <c r="U2380" s="328"/>
      <c r="V2380" s="318" t="s">
        <v>1947</v>
      </c>
      <c r="W2380" s="789">
        <v>43008</v>
      </c>
      <c r="X2380" s="750">
        <v>42968</v>
      </c>
      <c r="Y2380" s="308" t="s">
        <v>7457</v>
      </c>
      <c r="Z2380" s="328" t="s">
        <v>7459</v>
      </c>
      <c r="AA2380" s="256">
        <v>43007</v>
      </c>
      <c r="AB2380" s="308" t="s">
        <v>7458</v>
      </c>
      <c r="AC2380" s="251">
        <v>1397125446</v>
      </c>
      <c r="AD2380" s="328"/>
      <c r="AE2380" s="328"/>
      <c r="AF2380" s="328"/>
      <c r="AG2380" s="251" t="s">
        <v>283</v>
      </c>
    </row>
    <row r="2381" spans="1:33" ht="15.75" customHeight="1">
      <c r="A2381" s="755">
        <v>42947</v>
      </c>
      <c r="B2381" s="386" t="s">
        <v>100</v>
      </c>
      <c r="C2381" s="328" t="s">
        <v>7453</v>
      </c>
      <c r="D2381" s="328" t="s">
        <v>7454</v>
      </c>
      <c r="E2381" s="328" t="s">
        <v>7460</v>
      </c>
      <c r="F2381" s="251">
        <v>1</v>
      </c>
      <c r="G2381" s="336">
        <v>356</v>
      </c>
      <c r="H2381" s="308">
        <f t="shared" si="171"/>
        <v>356</v>
      </c>
      <c r="I2381" s="254" t="s">
        <v>3315</v>
      </c>
      <c r="J2381" s="367" t="s">
        <v>3578</v>
      </c>
      <c r="K2381" s="256">
        <v>42971</v>
      </c>
      <c r="L2381" s="256"/>
      <c r="M2381" s="256">
        <v>42962</v>
      </c>
      <c r="N2381" s="367" t="s">
        <v>4477</v>
      </c>
      <c r="O2381" s="308" t="s">
        <v>7461</v>
      </c>
      <c r="P2381" s="308">
        <v>302.39999999999998</v>
      </c>
      <c r="Q2381" s="328"/>
      <c r="R2381" s="1407"/>
      <c r="S2381" s="1407"/>
      <c r="U2381" s="328"/>
      <c r="V2381" s="318" t="s">
        <v>3754</v>
      </c>
      <c r="W2381" s="789">
        <v>42989</v>
      </c>
      <c r="X2381" s="750">
        <v>42958</v>
      </c>
      <c r="Y2381" s="308" t="s">
        <v>7462</v>
      </c>
      <c r="Z2381" s="753">
        <v>9190</v>
      </c>
      <c r="AA2381" s="594">
        <v>42983</v>
      </c>
      <c r="AB2381" s="308" t="s">
        <v>7458</v>
      </c>
      <c r="AC2381" s="251">
        <v>1397125446</v>
      </c>
      <c r="AD2381" s="328"/>
      <c r="AE2381" s="328"/>
      <c r="AF2381" s="328"/>
      <c r="AG2381" s="251" t="s">
        <v>283</v>
      </c>
    </row>
    <row r="2382" spans="1:33" ht="15.75" customHeight="1">
      <c r="A2382" s="755">
        <v>42947</v>
      </c>
      <c r="B2382" s="386" t="s">
        <v>100</v>
      </c>
      <c r="C2382" s="328" t="s">
        <v>7453</v>
      </c>
      <c r="D2382" s="328" t="s">
        <v>7454</v>
      </c>
      <c r="E2382" s="328" t="s">
        <v>7463</v>
      </c>
      <c r="F2382" s="251">
        <v>1</v>
      </c>
      <c r="G2382" s="336">
        <v>171</v>
      </c>
      <c r="H2382" s="308">
        <f t="shared" si="171"/>
        <v>171</v>
      </c>
      <c r="I2382" s="254" t="s">
        <v>3315</v>
      </c>
      <c r="J2382" s="367" t="s">
        <v>3578</v>
      </c>
      <c r="K2382" s="256">
        <v>42971</v>
      </c>
      <c r="L2382" s="256"/>
      <c r="M2382" s="256">
        <v>42955</v>
      </c>
      <c r="N2382" s="367" t="s">
        <v>7464</v>
      </c>
      <c r="O2382" s="598" t="s">
        <v>7465</v>
      </c>
      <c r="P2382" s="328"/>
      <c r="Q2382" s="572">
        <v>4606</v>
      </c>
      <c r="R2382" s="1413"/>
      <c r="S2382" s="1413"/>
      <c r="U2382" s="328"/>
      <c r="V2382" s="308" t="s">
        <v>2126</v>
      </c>
      <c r="W2382" s="747">
        <v>42951</v>
      </c>
      <c r="X2382" s="750">
        <v>42955</v>
      </c>
      <c r="Y2382" s="308" t="s">
        <v>7466</v>
      </c>
      <c r="Z2382" s="753">
        <v>4606</v>
      </c>
      <c r="AA2382" s="594">
        <v>42954</v>
      </c>
      <c r="AB2382" s="308" t="s">
        <v>7458</v>
      </c>
      <c r="AC2382" s="251">
        <v>1397125446</v>
      </c>
      <c r="AD2382" s="328"/>
      <c r="AE2382" s="328"/>
      <c r="AF2382" s="328"/>
      <c r="AG2382" s="251" t="s">
        <v>283</v>
      </c>
    </row>
    <row r="2383" spans="1:33" ht="15.75" customHeight="1">
      <c r="A2383" s="755">
        <v>42947</v>
      </c>
      <c r="B2383" s="386" t="s">
        <v>4590</v>
      </c>
      <c r="C2383" s="1043" t="s">
        <v>7467</v>
      </c>
      <c r="D2383" s="328" t="s">
        <v>7468</v>
      </c>
      <c r="E2383" s="328" t="s">
        <v>7469</v>
      </c>
      <c r="F2383" s="251">
        <v>8</v>
      </c>
      <c r="G2383" s="336">
        <v>66</v>
      </c>
      <c r="H2383" s="308">
        <f t="shared" si="171"/>
        <v>528</v>
      </c>
      <c r="I2383" s="1029" t="s">
        <v>3315</v>
      </c>
      <c r="J2383" s="585" t="s">
        <v>532</v>
      </c>
      <c r="K2383" s="256">
        <v>42957</v>
      </c>
      <c r="L2383" s="256"/>
      <c r="M2383" s="256">
        <v>42955</v>
      </c>
      <c r="N2383" s="401" t="s">
        <v>6196</v>
      </c>
      <c r="O2383" s="308" t="s">
        <v>7470</v>
      </c>
      <c r="P2383" s="308">
        <v>445.2</v>
      </c>
      <c r="Q2383" s="328"/>
      <c r="R2383" s="1407"/>
      <c r="S2383" s="1407"/>
      <c r="U2383" s="328"/>
      <c r="V2383" s="592" t="s">
        <v>6198</v>
      </c>
      <c r="W2383" s="747">
        <v>42983</v>
      </c>
      <c r="X2383" s="748">
        <v>42954</v>
      </c>
      <c r="Y2383" s="328" t="s">
        <v>7471</v>
      </c>
      <c r="Z2383" s="749">
        <v>13441</v>
      </c>
      <c r="AA2383" s="256">
        <v>42985</v>
      </c>
      <c r="AB2383" s="308" t="s">
        <v>7472</v>
      </c>
      <c r="AC2383" s="251">
        <v>5140065033</v>
      </c>
      <c r="AD2383" s="328"/>
      <c r="AE2383" s="328"/>
      <c r="AF2383" s="328"/>
      <c r="AG2383" s="251" t="s">
        <v>283</v>
      </c>
    </row>
    <row r="2384" spans="1:33" ht="15.75" customHeight="1">
      <c r="A2384" s="755">
        <v>42947</v>
      </c>
      <c r="B2384" s="386" t="s">
        <v>4590</v>
      </c>
      <c r="C2384" s="1043" t="s">
        <v>7467</v>
      </c>
      <c r="D2384" s="328" t="s">
        <v>7468</v>
      </c>
      <c r="E2384" s="328" t="s">
        <v>7473</v>
      </c>
      <c r="F2384" s="251">
        <v>1</v>
      </c>
      <c r="G2384" s="772">
        <v>68</v>
      </c>
      <c r="H2384" s="308">
        <f t="shared" si="171"/>
        <v>68</v>
      </c>
      <c r="I2384" s="975" t="s">
        <v>3315</v>
      </c>
      <c r="J2384" s="251" t="s">
        <v>532</v>
      </c>
      <c r="K2384" s="256">
        <v>42957</v>
      </c>
      <c r="L2384" s="256"/>
      <c r="M2384" s="328"/>
      <c r="N2384" s="254" t="s">
        <v>1999</v>
      </c>
      <c r="O2384" s="328"/>
      <c r="P2384" s="328"/>
      <c r="Q2384" s="630">
        <v>1587</v>
      </c>
      <c r="R2384" s="1415"/>
      <c r="S2384" s="1415"/>
      <c r="U2384" s="328"/>
      <c r="V2384" s="318" t="s">
        <v>2000</v>
      </c>
      <c r="W2384" s="328"/>
      <c r="X2384" s="750">
        <v>42965</v>
      </c>
      <c r="Y2384" s="308" t="s">
        <v>7474</v>
      </c>
      <c r="Z2384" s="753">
        <v>1587</v>
      </c>
      <c r="AA2384" s="256">
        <v>42996</v>
      </c>
      <c r="AB2384" s="308" t="s">
        <v>7472</v>
      </c>
      <c r="AC2384" s="251">
        <v>5140065033</v>
      </c>
      <c r="AD2384" s="328"/>
      <c r="AE2384" s="328"/>
      <c r="AF2384" s="328"/>
      <c r="AG2384" s="251" t="s">
        <v>283</v>
      </c>
    </row>
    <row r="2385" spans="1:33" ht="15.75" customHeight="1">
      <c r="A2385" s="743">
        <v>42948</v>
      </c>
      <c r="B2385" s="970" t="s">
        <v>76</v>
      </c>
      <c r="C2385" s="744">
        <v>664</v>
      </c>
      <c r="D2385" s="250" t="s">
        <v>7475</v>
      </c>
      <c r="E2385" s="250" t="s">
        <v>3983</v>
      </c>
      <c r="F2385" s="305">
        <v>150</v>
      </c>
      <c r="G2385" s="252">
        <v>5</v>
      </c>
      <c r="H2385" s="574">
        <f t="shared" si="171"/>
        <v>750</v>
      </c>
      <c r="I2385" s="264" t="s">
        <v>42</v>
      </c>
      <c r="J2385" s="367" t="s">
        <v>315</v>
      </c>
      <c r="K2385" s="256">
        <v>42999</v>
      </c>
      <c r="L2385" s="256"/>
      <c r="M2385" s="256">
        <v>42993</v>
      </c>
      <c r="N2385" s="251" t="s">
        <v>2006</v>
      </c>
      <c r="O2385" s="308" t="s">
        <v>7476</v>
      </c>
      <c r="P2385" s="328"/>
      <c r="Q2385" s="572">
        <v>9135</v>
      </c>
      <c r="R2385" s="1413"/>
      <c r="S2385" s="1413"/>
      <c r="U2385" s="328"/>
      <c r="V2385" s="318" t="s">
        <v>2146</v>
      </c>
      <c r="W2385" s="789">
        <v>42999</v>
      </c>
      <c r="X2385" s="748">
        <v>42989</v>
      </c>
      <c r="Y2385" s="328" t="s">
        <v>7477</v>
      </c>
      <c r="Z2385" s="749">
        <v>9135</v>
      </c>
      <c r="AA2385" s="594">
        <v>42996</v>
      </c>
      <c r="AB2385" s="250" t="s">
        <v>7478</v>
      </c>
      <c r="AC2385" s="251">
        <v>832078505</v>
      </c>
      <c r="AD2385" s="328"/>
      <c r="AE2385" s="328"/>
      <c r="AF2385" s="328"/>
      <c r="AG2385" s="251" t="s">
        <v>283</v>
      </c>
    </row>
    <row r="2386" spans="1:33" ht="15.75" customHeight="1">
      <c r="A2386" s="755">
        <v>42948</v>
      </c>
      <c r="B2386" s="386" t="s">
        <v>4590</v>
      </c>
      <c r="C2386" s="744">
        <v>63515</v>
      </c>
      <c r="D2386" s="328" t="s">
        <v>7479</v>
      </c>
      <c r="E2386" s="328" t="s">
        <v>7480</v>
      </c>
      <c r="F2386" s="305">
        <v>5</v>
      </c>
      <c r="G2386" s="336">
        <v>664</v>
      </c>
      <c r="H2386" s="308">
        <f t="shared" si="171"/>
        <v>3320</v>
      </c>
      <c r="I2386" s="975" t="s">
        <v>3315</v>
      </c>
      <c r="J2386" s="251" t="s">
        <v>532</v>
      </c>
      <c r="K2386" s="256">
        <v>42971</v>
      </c>
      <c r="L2386" s="256"/>
      <c r="M2386" s="256">
        <v>42968</v>
      </c>
      <c r="N2386" s="251" t="s">
        <v>89</v>
      </c>
      <c r="O2386" s="308" t="s">
        <v>7481</v>
      </c>
      <c r="P2386" s="308">
        <v>3139.5</v>
      </c>
      <c r="Q2386" s="328"/>
      <c r="R2386" s="1407"/>
      <c r="S2386" s="1407"/>
      <c r="U2386" s="328"/>
      <c r="V2386" s="571" t="s">
        <v>93</v>
      </c>
      <c r="W2386" s="747">
        <v>43008</v>
      </c>
      <c r="X2386" s="748">
        <v>42968</v>
      </c>
      <c r="Y2386" s="328" t="s">
        <v>7482</v>
      </c>
      <c r="Z2386" s="749">
        <v>94923</v>
      </c>
      <c r="AA2386" s="594">
        <v>42998</v>
      </c>
      <c r="AB2386" s="308" t="s">
        <v>7483</v>
      </c>
      <c r="AC2386" s="251">
        <v>4502215675</v>
      </c>
      <c r="AD2386" s="328"/>
      <c r="AE2386" s="328"/>
      <c r="AF2386" s="328"/>
      <c r="AG2386" s="251" t="s">
        <v>283</v>
      </c>
    </row>
    <row r="2387" spans="1:33" ht="15.75" customHeight="1">
      <c r="A2387" s="755">
        <v>42948</v>
      </c>
      <c r="B2387" s="386" t="s">
        <v>100</v>
      </c>
      <c r="C2387" s="328" t="s">
        <v>7484</v>
      </c>
      <c r="D2387" s="328" t="s">
        <v>7485</v>
      </c>
      <c r="E2387" s="328" t="s">
        <v>7486</v>
      </c>
      <c r="F2387" s="251">
        <v>12</v>
      </c>
      <c r="G2387" s="336">
        <v>1118</v>
      </c>
      <c r="H2387" s="308">
        <f t="shared" si="171"/>
        <v>13416</v>
      </c>
      <c r="I2387" s="264" t="s">
        <v>3315</v>
      </c>
      <c r="J2387" s="367" t="s">
        <v>3578</v>
      </c>
      <c r="K2387" s="256">
        <v>42964</v>
      </c>
      <c r="L2387" s="256"/>
      <c r="M2387" s="256">
        <v>42963</v>
      </c>
      <c r="N2387" s="331" t="s">
        <v>1414</v>
      </c>
      <c r="O2387" s="308" t="s">
        <v>7487</v>
      </c>
      <c r="P2387" s="328"/>
      <c r="Q2387" s="572">
        <v>378617</v>
      </c>
      <c r="R2387" s="1413"/>
      <c r="S2387" s="1413"/>
      <c r="U2387" s="328"/>
      <c r="V2387" s="318" t="s">
        <v>1947</v>
      </c>
      <c r="W2387" s="789">
        <v>43008</v>
      </c>
      <c r="X2387" s="748">
        <v>42963</v>
      </c>
      <c r="Y2387" s="328" t="s">
        <v>7488</v>
      </c>
      <c r="Z2387" s="749">
        <v>378617</v>
      </c>
      <c r="AA2387" s="256">
        <v>43007</v>
      </c>
      <c r="AB2387" s="308" t="s">
        <v>7489</v>
      </c>
      <c r="AC2387" s="251">
        <v>6287621270</v>
      </c>
      <c r="AD2387" s="328"/>
      <c r="AE2387" s="328"/>
      <c r="AF2387" s="328"/>
      <c r="AG2387" s="251" t="s">
        <v>283</v>
      </c>
    </row>
    <row r="2388" spans="1:33" ht="15.75" customHeight="1">
      <c r="A2388" s="755">
        <v>42948</v>
      </c>
      <c r="B2388" s="386" t="s">
        <v>100</v>
      </c>
      <c r="C2388" s="328" t="s">
        <v>7490</v>
      </c>
      <c r="D2388" s="328" t="s">
        <v>7491</v>
      </c>
      <c r="E2388" s="328" t="s">
        <v>7320</v>
      </c>
      <c r="F2388" s="305">
        <v>2</v>
      </c>
      <c r="G2388" s="336">
        <v>100</v>
      </c>
      <c r="H2388" s="308">
        <f t="shared" si="171"/>
        <v>200</v>
      </c>
      <c r="I2388" s="264" t="s">
        <v>3315</v>
      </c>
      <c r="J2388" s="367" t="s">
        <v>3578</v>
      </c>
      <c r="K2388" s="256">
        <v>42957</v>
      </c>
      <c r="L2388" s="256"/>
      <c r="M2388" s="256">
        <v>42950</v>
      </c>
      <c r="N2388" s="585" t="s">
        <v>1952</v>
      </c>
      <c r="O2388" s="308" t="s">
        <v>7492</v>
      </c>
      <c r="P2388" s="328"/>
      <c r="Q2388" s="572">
        <v>4448</v>
      </c>
      <c r="R2388" s="1413"/>
      <c r="S2388" s="1413"/>
      <c r="U2388" s="328"/>
      <c r="V2388" s="597" t="s">
        <v>3744</v>
      </c>
      <c r="W2388" s="328"/>
      <c r="X2388" s="748">
        <v>42949</v>
      </c>
      <c r="Y2388" s="328" t="s">
        <v>7493</v>
      </c>
      <c r="Z2388" s="749">
        <v>4448</v>
      </c>
      <c r="AA2388" s="594">
        <v>42948</v>
      </c>
      <c r="AB2388" s="308" t="s">
        <v>7390</v>
      </c>
      <c r="AC2388" s="251">
        <v>5140051652</v>
      </c>
      <c r="AD2388" s="328"/>
      <c r="AE2388" s="328"/>
      <c r="AF2388" s="328"/>
      <c r="AG2388" s="251" t="s">
        <v>283</v>
      </c>
    </row>
    <row r="2389" spans="1:33" ht="15.75" customHeight="1">
      <c r="A2389" s="755">
        <v>42948</v>
      </c>
      <c r="B2389" s="386" t="s">
        <v>4590</v>
      </c>
      <c r="C2389" s="744">
        <v>63515</v>
      </c>
      <c r="D2389" s="328" t="s">
        <v>7479</v>
      </c>
      <c r="E2389" s="328" t="s">
        <v>7494</v>
      </c>
      <c r="F2389" s="305">
        <v>1</v>
      </c>
      <c r="G2389" s="336">
        <v>150</v>
      </c>
      <c r="H2389" s="308">
        <f t="shared" si="171"/>
        <v>150</v>
      </c>
      <c r="I2389" s="997" t="s">
        <v>3315</v>
      </c>
      <c r="J2389" s="251" t="s">
        <v>532</v>
      </c>
      <c r="K2389" s="256">
        <v>42971</v>
      </c>
      <c r="L2389" s="256"/>
      <c r="M2389" s="328"/>
      <c r="N2389" s="264" t="s">
        <v>1999</v>
      </c>
      <c r="O2389" s="328"/>
      <c r="P2389" s="328"/>
      <c r="Q2389" s="630">
        <v>6179</v>
      </c>
      <c r="R2389" s="1415"/>
      <c r="S2389" s="1415"/>
      <c r="U2389" s="328"/>
      <c r="V2389" s="308" t="s">
        <v>2000</v>
      </c>
      <c r="W2389" s="747">
        <v>43008</v>
      </c>
      <c r="X2389" s="750">
        <v>42978</v>
      </c>
      <c r="Y2389" s="308" t="s">
        <v>7495</v>
      </c>
      <c r="Z2389" s="753">
        <v>6179</v>
      </c>
      <c r="AA2389" s="256">
        <v>43007</v>
      </c>
      <c r="AB2389" s="308" t="s">
        <v>7483</v>
      </c>
      <c r="AC2389" s="251">
        <v>4502215675</v>
      </c>
      <c r="AD2389" s="328"/>
      <c r="AE2389" s="328"/>
      <c r="AF2389" s="328"/>
      <c r="AG2389" s="251" t="s">
        <v>283</v>
      </c>
    </row>
    <row r="2390" spans="1:33" ht="15.75" customHeight="1">
      <c r="A2390" s="743">
        <v>42949</v>
      </c>
      <c r="B2390" s="386" t="s">
        <v>228</v>
      </c>
      <c r="C2390" s="328"/>
      <c r="D2390" s="328" t="s">
        <v>7496</v>
      </c>
      <c r="E2390" s="328" t="s">
        <v>461</v>
      </c>
      <c r="F2390" s="305">
        <v>45</v>
      </c>
      <c r="G2390" s="252">
        <v>407.4</v>
      </c>
      <c r="H2390" s="265">
        <f t="shared" si="171"/>
        <v>18333</v>
      </c>
      <c r="I2390" s="264" t="s">
        <v>170</v>
      </c>
      <c r="J2390" s="251" t="s">
        <v>89</v>
      </c>
      <c r="K2390" s="256">
        <v>42968</v>
      </c>
      <c r="L2390" s="256"/>
      <c r="M2390" s="256">
        <v>42968</v>
      </c>
      <c r="N2390" s="585" t="s">
        <v>89</v>
      </c>
      <c r="O2390" s="308" t="s">
        <v>7497</v>
      </c>
      <c r="P2390" s="308">
        <v>16773.75</v>
      </c>
      <c r="Q2390" s="328"/>
      <c r="R2390" s="1407"/>
      <c r="S2390" s="1407"/>
      <c r="U2390" s="328"/>
      <c r="V2390" s="338" t="s">
        <v>93</v>
      </c>
      <c r="W2390" s="747">
        <v>43008</v>
      </c>
      <c r="X2390" s="748">
        <v>42968</v>
      </c>
      <c r="Y2390" s="328" t="s">
        <v>7498</v>
      </c>
      <c r="Z2390" s="753">
        <v>507154</v>
      </c>
      <c r="AA2390" s="594">
        <v>42998</v>
      </c>
      <c r="AB2390" s="328" t="s">
        <v>7499</v>
      </c>
      <c r="AC2390" s="328"/>
      <c r="AD2390" s="250" t="s">
        <v>7500</v>
      </c>
      <c r="AE2390" s="260">
        <v>555306</v>
      </c>
      <c r="AF2390" s="744" t="s">
        <v>7276</v>
      </c>
      <c r="AG2390" s="251" t="s">
        <v>376</v>
      </c>
    </row>
    <row r="2391" spans="1:33" ht="15.75" customHeight="1">
      <c r="A2391" s="743">
        <v>42951</v>
      </c>
      <c r="B2391" s="386" t="s">
        <v>4590</v>
      </c>
      <c r="C2391" s="744">
        <v>63521</v>
      </c>
      <c r="D2391" s="328" t="s">
        <v>7501</v>
      </c>
      <c r="E2391" s="328" t="s">
        <v>7502</v>
      </c>
      <c r="F2391" s="305">
        <v>15</v>
      </c>
      <c r="G2391" s="772">
        <v>58</v>
      </c>
      <c r="H2391" s="265">
        <f t="shared" si="171"/>
        <v>870</v>
      </c>
      <c r="I2391" s="997" t="s">
        <v>3315</v>
      </c>
      <c r="J2391" s="251" t="s">
        <v>532</v>
      </c>
      <c r="K2391" s="256">
        <v>42989</v>
      </c>
      <c r="L2391" s="256"/>
      <c r="M2391" s="256">
        <v>42986</v>
      </c>
      <c r="N2391" s="401" t="s">
        <v>6196</v>
      </c>
      <c r="O2391" s="308" t="s">
        <v>7503</v>
      </c>
      <c r="P2391" s="308">
        <v>1338.75</v>
      </c>
      <c r="Q2391" s="795"/>
      <c r="R2391" s="1435"/>
      <c r="S2391" s="1435"/>
      <c r="U2391" s="328"/>
      <c r="V2391" s="597" t="s">
        <v>6198</v>
      </c>
      <c r="W2391" s="747">
        <v>43013</v>
      </c>
      <c r="X2391" s="748">
        <v>42986</v>
      </c>
      <c r="Y2391" s="328" t="s">
        <v>7504</v>
      </c>
      <c r="Z2391" s="749">
        <v>40208</v>
      </c>
      <c r="AA2391" s="256">
        <v>43013</v>
      </c>
      <c r="AB2391" s="250" t="s">
        <v>7505</v>
      </c>
      <c r="AC2391" s="251">
        <v>6691079150</v>
      </c>
      <c r="AD2391" s="328"/>
      <c r="AE2391" s="328"/>
      <c r="AF2391" s="328"/>
      <c r="AG2391" s="251" t="s">
        <v>283</v>
      </c>
    </row>
    <row r="2392" spans="1:33" ht="15.75" customHeight="1">
      <c r="A2392" s="743">
        <v>42951</v>
      </c>
      <c r="B2392" s="386" t="s">
        <v>4590</v>
      </c>
      <c r="C2392" s="1043" t="s">
        <v>7506</v>
      </c>
      <c r="D2392" s="328" t="s">
        <v>7507</v>
      </c>
      <c r="E2392" s="328" t="s">
        <v>7508</v>
      </c>
      <c r="F2392" s="305">
        <v>10</v>
      </c>
      <c r="G2392" s="336">
        <v>58</v>
      </c>
      <c r="H2392" s="265">
        <f t="shared" si="171"/>
        <v>580</v>
      </c>
      <c r="I2392" s="997" t="s">
        <v>3315</v>
      </c>
      <c r="J2392" s="251" t="s">
        <v>532</v>
      </c>
      <c r="K2392" s="256">
        <v>42989</v>
      </c>
      <c r="L2392" s="256"/>
      <c r="M2392" s="256">
        <v>42986</v>
      </c>
      <c r="N2392" s="331" t="s">
        <v>6196</v>
      </c>
      <c r="O2392" s="308" t="s">
        <v>7503</v>
      </c>
      <c r="P2392" s="574" t="s">
        <v>7509</v>
      </c>
      <c r="Q2392" s="328"/>
      <c r="R2392" s="1407"/>
      <c r="S2392" s="1407"/>
      <c r="U2392" s="328"/>
      <c r="V2392" s="592" t="s">
        <v>6198</v>
      </c>
      <c r="W2392" s="747">
        <v>43013</v>
      </c>
      <c r="X2392" s="748">
        <v>42986</v>
      </c>
      <c r="Y2392" s="328" t="s">
        <v>7504</v>
      </c>
      <c r="Z2392" s="328" t="s">
        <v>7510</v>
      </c>
      <c r="AA2392" s="256">
        <v>43013</v>
      </c>
      <c r="AB2392" s="250" t="s">
        <v>7505</v>
      </c>
      <c r="AC2392" s="251">
        <v>6691079150</v>
      </c>
      <c r="AD2392" s="328"/>
      <c r="AE2392" s="328"/>
      <c r="AF2392" s="328"/>
      <c r="AG2392" s="251" t="s">
        <v>283</v>
      </c>
    </row>
    <row r="2393" spans="1:33" ht="15.75" customHeight="1">
      <c r="A2393" s="743">
        <v>42951</v>
      </c>
      <c r="B2393" s="386" t="s">
        <v>4590</v>
      </c>
      <c r="C2393" s="744">
        <v>63521</v>
      </c>
      <c r="D2393" s="328" t="s">
        <v>7511</v>
      </c>
      <c r="E2393" s="328" t="s">
        <v>7512</v>
      </c>
      <c r="F2393" s="305">
        <v>35</v>
      </c>
      <c r="G2393" s="336">
        <v>58</v>
      </c>
      <c r="H2393" s="265">
        <f t="shared" si="171"/>
        <v>2030</v>
      </c>
      <c r="I2393" s="975" t="s">
        <v>3315</v>
      </c>
      <c r="J2393" s="251" t="s">
        <v>532</v>
      </c>
      <c r="K2393" s="256">
        <v>42971</v>
      </c>
      <c r="L2393" s="256"/>
      <c r="M2393" s="256">
        <v>42958</v>
      </c>
      <c r="N2393" s="401" t="s">
        <v>6196</v>
      </c>
      <c r="O2393" s="308" t="s">
        <v>7503</v>
      </c>
      <c r="P2393" s="308">
        <v>1874.25</v>
      </c>
      <c r="Q2393" s="328"/>
      <c r="R2393" s="1407"/>
      <c r="S2393" s="1407"/>
      <c r="U2393" s="328"/>
      <c r="V2393" s="597" t="s">
        <v>6198</v>
      </c>
      <c r="W2393" s="747">
        <v>42983</v>
      </c>
      <c r="X2393" s="748">
        <v>42957</v>
      </c>
      <c r="Y2393" s="328" t="s">
        <v>7513</v>
      </c>
      <c r="Z2393" s="749">
        <v>56624</v>
      </c>
      <c r="AA2393" s="256">
        <v>42985</v>
      </c>
      <c r="AB2393" s="308" t="s">
        <v>7483</v>
      </c>
      <c r="AC2393" s="251">
        <v>4502215675</v>
      </c>
      <c r="AD2393" s="328"/>
      <c r="AE2393" s="328"/>
      <c r="AF2393" s="328"/>
      <c r="AG2393" s="251" t="s">
        <v>283</v>
      </c>
    </row>
    <row r="2394" spans="1:33" ht="15.75" customHeight="1">
      <c r="A2394" s="743">
        <v>42951</v>
      </c>
      <c r="B2394" s="386" t="s">
        <v>4590</v>
      </c>
      <c r="C2394" s="744">
        <v>63521</v>
      </c>
      <c r="D2394" s="328" t="s">
        <v>7511</v>
      </c>
      <c r="E2394" s="328" t="s">
        <v>7514</v>
      </c>
      <c r="F2394" s="305">
        <v>1</v>
      </c>
      <c r="G2394" s="336">
        <v>135</v>
      </c>
      <c r="H2394" s="265">
        <f t="shared" si="171"/>
        <v>135</v>
      </c>
      <c r="I2394" s="997" t="s">
        <v>3315</v>
      </c>
      <c r="J2394" s="251" t="s">
        <v>532</v>
      </c>
      <c r="K2394" s="256">
        <v>42971</v>
      </c>
      <c r="L2394" s="256"/>
      <c r="M2394" s="328"/>
      <c r="N2394" s="264" t="s">
        <v>1999</v>
      </c>
      <c r="O2394" s="328"/>
      <c r="P2394" s="328"/>
      <c r="Q2394" s="630" t="s">
        <v>7515</v>
      </c>
      <c r="R2394" s="1415"/>
      <c r="S2394" s="1415"/>
      <c r="U2394" s="328"/>
      <c r="V2394" s="318" t="s">
        <v>2000</v>
      </c>
      <c r="W2394" s="747">
        <v>43008</v>
      </c>
      <c r="X2394" s="750">
        <v>42978</v>
      </c>
      <c r="Y2394" s="308" t="s">
        <v>7495</v>
      </c>
      <c r="Z2394" s="753" t="s">
        <v>7516</v>
      </c>
      <c r="AA2394" s="256">
        <v>43007</v>
      </c>
      <c r="AB2394" s="308" t="s">
        <v>7483</v>
      </c>
      <c r="AC2394" s="251">
        <v>4502215675</v>
      </c>
      <c r="AD2394" s="328"/>
      <c r="AE2394" s="328"/>
      <c r="AF2394" s="328"/>
      <c r="AG2394" s="251" t="s">
        <v>283</v>
      </c>
    </row>
    <row r="2395" spans="1:33" ht="15.75" customHeight="1">
      <c r="A2395" s="743">
        <v>42951</v>
      </c>
      <c r="B2395" s="386" t="s">
        <v>4590</v>
      </c>
      <c r="C2395" s="744">
        <v>63521</v>
      </c>
      <c r="D2395" s="328" t="s">
        <v>7501</v>
      </c>
      <c r="E2395" s="328" t="s">
        <v>7517</v>
      </c>
      <c r="F2395" s="305">
        <v>1</v>
      </c>
      <c r="G2395" s="336">
        <v>78</v>
      </c>
      <c r="H2395" s="265">
        <f t="shared" si="171"/>
        <v>78</v>
      </c>
      <c r="I2395" s="758" t="s">
        <v>3315</v>
      </c>
      <c r="J2395" s="251" t="s">
        <v>532</v>
      </c>
      <c r="K2395" s="256">
        <v>42989</v>
      </c>
      <c r="L2395" s="256"/>
      <c r="M2395" s="256"/>
      <c r="N2395" s="264" t="s">
        <v>1999</v>
      </c>
      <c r="O2395" s="308"/>
      <c r="P2395" s="328"/>
      <c r="Q2395" s="630">
        <v>3694</v>
      </c>
      <c r="R2395" s="1415"/>
      <c r="S2395" s="1415"/>
      <c r="U2395" s="328"/>
      <c r="V2395" s="318" t="s">
        <v>2000</v>
      </c>
      <c r="W2395" s="747">
        <v>43030</v>
      </c>
      <c r="X2395" s="750">
        <v>43000</v>
      </c>
      <c r="Y2395" s="308" t="s">
        <v>7518</v>
      </c>
      <c r="Z2395" s="753">
        <v>3694</v>
      </c>
      <c r="AA2395" s="256">
        <v>43041</v>
      </c>
      <c r="AB2395" s="250" t="s">
        <v>7505</v>
      </c>
      <c r="AC2395" s="251">
        <v>6691079150</v>
      </c>
      <c r="AD2395" s="328"/>
      <c r="AE2395" s="328"/>
      <c r="AF2395" s="328"/>
      <c r="AG2395" s="251" t="s">
        <v>283</v>
      </c>
    </row>
    <row r="2396" spans="1:33" ht="15.75" customHeight="1">
      <c r="A2396" s="743">
        <v>42951</v>
      </c>
      <c r="B2396" s="386" t="s">
        <v>4590</v>
      </c>
      <c r="C2396" s="1043" t="s">
        <v>7506</v>
      </c>
      <c r="D2396" s="328" t="s">
        <v>7507</v>
      </c>
      <c r="E2396" s="328" t="s">
        <v>7519</v>
      </c>
      <c r="F2396" s="305">
        <v>1</v>
      </c>
      <c r="G2396" s="336">
        <v>61</v>
      </c>
      <c r="H2396" s="265">
        <f t="shared" si="171"/>
        <v>61</v>
      </c>
      <c r="I2396" s="997" t="s">
        <v>3315</v>
      </c>
      <c r="J2396" s="251" t="s">
        <v>532</v>
      </c>
      <c r="K2396" s="256">
        <v>42989</v>
      </c>
      <c r="L2396" s="256"/>
      <c r="M2396" s="308"/>
      <c r="N2396" s="254" t="s">
        <v>1999</v>
      </c>
      <c r="O2396" s="328"/>
      <c r="P2396" s="328"/>
      <c r="Q2396" s="630" t="s">
        <v>7520</v>
      </c>
      <c r="R2396" s="1415"/>
      <c r="S2396" s="1415"/>
      <c r="U2396" s="328"/>
      <c r="V2396" s="308" t="s">
        <v>2000</v>
      </c>
      <c r="W2396" s="747">
        <v>43030</v>
      </c>
      <c r="X2396" s="750">
        <v>43000</v>
      </c>
      <c r="Y2396" s="308" t="s">
        <v>7518</v>
      </c>
      <c r="Z2396" s="753" t="s">
        <v>7521</v>
      </c>
      <c r="AA2396" s="256">
        <v>43041</v>
      </c>
      <c r="AB2396" s="250" t="s">
        <v>7505</v>
      </c>
      <c r="AC2396" s="251">
        <v>6691079150</v>
      </c>
      <c r="AD2396" s="328"/>
      <c r="AE2396" s="328"/>
      <c r="AF2396" s="328"/>
      <c r="AG2396" s="251" t="s">
        <v>283</v>
      </c>
    </row>
    <row r="2397" spans="1:33" ht="15.75" customHeight="1">
      <c r="A2397" s="743">
        <v>42954</v>
      </c>
      <c r="B2397" s="590" t="s">
        <v>7107</v>
      </c>
      <c r="C2397" s="744">
        <v>7000131704</v>
      </c>
      <c r="D2397" s="250" t="s">
        <v>7522</v>
      </c>
      <c r="E2397" s="250" t="s">
        <v>3923</v>
      </c>
      <c r="F2397" s="251">
        <v>2</v>
      </c>
      <c r="G2397" s="336">
        <v>177</v>
      </c>
      <c r="H2397" s="308">
        <f t="shared" si="171"/>
        <v>354</v>
      </c>
      <c r="I2397" s="264" t="s">
        <v>42</v>
      </c>
      <c r="J2397" s="401" t="s">
        <v>3462</v>
      </c>
      <c r="K2397" s="256">
        <v>42962</v>
      </c>
      <c r="L2397" s="256"/>
      <c r="M2397" s="256">
        <v>42956</v>
      </c>
      <c r="N2397" s="264" t="s">
        <v>3432</v>
      </c>
      <c r="O2397" s="308" t="s">
        <v>7523</v>
      </c>
      <c r="P2397" s="328"/>
      <c r="Q2397" s="572">
        <v>10340</v>
      </c>
      <c r="R2397" s="1413"/>
      <c r="S2397" s="1413"/>
      <c r="U2397" s="328"/>
      <c r="V2397" s="308" t="s">
        <v>2045</v>
      </c>
      <c r="W2397" s="789">
        <v>43039</v>
      </c>
      <c r="X2397" s="748">
        <v>42955</v>
      </c>
      <c r="Y2397" s="328" t="s">
        <v>7524</v>
      </c>
      <c r="Z2397" s="749">
        <v>22331</v>
      </c>
      <c r="AA2397" s="594">
        <v>43045</v>
      </c>
      <c r="AB2397" s="308" t="s">
        <v>7525</v>
      </c>
      <c r="AC2397" s="251">
        <v>6478165352</v>
      </c>
      <c r="AD2397" s="328"/>
      <c r="AE2397" s="328"/>
      <c r="AF2397" s="328"/>
      <c r="AG2397" s="251" t="s">
        <v>283</v>
      </c>
    </row>
    <row r="2398" spans="1:33" ht="15.75" customHeight="1">
      <c r="A2398" s="743">
        <v>42954</v>
      </c>
      <c r="B2398" s="590" t="s">
        <v>7107</v>
      </c>
      <c r="C2398" s="744">
        <v>7000131704</v>
      </c>
      <c r="D2398" s="250" t="s">
        <v>7522</v>
      </c>
      <c r="E2398" s="250" t="s">
        <v>7526</v>
      </c>
      <c r="F2398" s="251">
        <v>4</v>
      </c>
      <c r="G2398" s="336">
        <v>103</v>
      </c>
      <c r="H2398" s="308">
        <f t="shared" si="171"/>
        <v>412</v>
      </c>
      <c r="I2398" s="264" t="s">
        <v>42</v>
      </c>
      <c r="J2398" s="401" t="s">
        <v>3462</v>
      </c>
      <c r="K2398" s="256">
        <v>42962</v>
      </c>
      <c r="L2398" s="256"/>
      <c r="M2398" s="256">
        <v>42956</v>
      </c>
      <c r="N2398" s="254" t="s">
        <v>3432</v>
      </c>
      <c r="O2398" s="308" t="s">
        <v>7523</v>
      </c>
      <c r="P2398" s="328"/>
      <c r="Q2398" s="572">
        <v>11991</v>
      </c>
      <c r="R2398" s="1413"/>
      <c r="S2398" s="1413"/>
      <c r="U2398" s="328"/>
      <c r="V2398" s="308" t="s">
        <v>2045</v>
      </c>
      <c r="W2398" s="789">
        <v>43039</v>
      </c>
      <c r="X2398" s="748">
        <v>42955</v>
      </c>
      <c r="Y2398" s="328" t="s">
        <v>7524</v>
      </c>
      <c r="Z2398" s="328" t="s">
        <v>7527</v>
      </c>
      <c r="AA2398" s="594">
        <v>43045</v>
      </c>
      <c r="AB2398" s="308" t="s">
        <v>7525</v>
      </c>
      <c r="AC2398" s="251">
        <v>6478165352</v>
      </c>
      <c r="AD2398" s="328"/>
      <c r="AE2398" s="328"/>
      <c r="AF2398" s="328"/>
      <c r="AG2398" s="251" t="s">
        <v>283</v>
      </c>
    </row>
    <row r="2399" spans="1:33" ht="15.75" customHeight="1">
      <c r="A2399" s="743">
        <v>42956</v>
      </c>
      <c r="B2399" s="590" t="s">
        <v>7107</v>
      </c>
      <c r="C2399" s="744">
        <v>7000131766</v>
      </c>
      <c r="D2399" s="250" t="s">
        <v>7528</v>
      </c>
      <c r="E2399" s="250" t="s">
        <v>3515</v>
      </c>
      <c r="F2399" s="251">
        <v>1</v>
      </c>
      <c r="G2399" s="336">
        <v>46</v>
      </c>
      <c r="H2399" s="308">
        <f t="shared" si="171"/>
        <v>46</v>
      </c>
      <c r="I2399" s="264" t="s">
        <v>42</v>
      </c>
      <c r="J2399" s="401" t="s">
        <v>3462</v>
      </c>
      <c r="K2399" s="256">
        <v>42962</v>
      </c>
      <c r="L2399" s="256"/>
      <c r="M2399" s="256">
        <v>42961</v>
      </c>
      <c r="N2399" s="264" t="s">
        <v>3432</v>
      </c>
      <c r="O2399" s="250" t="s">
        <v>7529</v>
      </c>
      <c r="P2399" s="328"/>
      <c r="Q2399" s="572">
        <v>1342</v>
      </c>
      <c r="R2399" s="1413"/>
      <c r="S2399" s="1413"/>
      <c r="U2399" s="328"/>
      <c r="V2399" s="308" t="s">
        <v>2045</v>
      </c>
      <c r="W2399" s="789">
        <v>43039</v>
      </c>
      <c r="X2399" s="748">
        <v>42958</v>
      </c>
      <c r="Y2399" s="328" t="s">
        <v>7530</v>
      </c>
      <c r="Z2399" s="749">
        <v>125053</v>
      </c>
      <c r="AA2399" s="594">
        <v>43045</v>
      </c>
      <c r="AB2399" s="308" t="s">
        <v>7525</v>
      </c>
      <c r="AC2399" s="251">
        <v>6478165352</v>
      </c>
      <c r="AD2399" s="328"/>
      <c r="AE2399" s="328"/>
      <c r="AF2399" s="328"/>
      <c r="AG2399" s="251" t="s">
        <v>283</v>
      </c>
    </row>
    <row r="2400" spans="1:33" ht="15.75" customHeight="1">
      <c r="A2400" s="743">
        <v>42956</v>
      </c>
      <c r="B2400" s="590" t="s">
        <v>7107</v>
      </c>
      <c r="C2400" s="744">
        <v>7000131766</v>
      </c>
      <c r="D2400" s="250" t="s">
        <v>7528</v>
      </c>
      <c r="E2400" s="250" t="s">
        <v>7531</v>
      </c>
      <c r="F2400" s="251">
        <v>2</v>
      </c>
      <c r="G2400" s="336">
        <v>36</v>
      </c>
      <c r="H2400" s="308">
        <f t="shared" si="171"/>
        <v>72</v>
      </c>
      <c r="I2400" s="264" t="s">
        <v>42</v>
      </c>
      <c r="J2400" s="401" t="s">
        <v>3462</v>
      </c>
      <c r="K2400" s="256">
        <v>42962</v>
      </c>
      <c r="L2400" s="256"/>
      <c r="M2400" s="256">
        <v>42961</v>
      </c>
      <c r="N2400" s="254" t="s">
        <v>3432</v>
      </c>
      <c r="O2400" s="250" t="s">
        <v>7529</v>
      </c>
      <c r="P2400" s="328"/>
      <c r="Q2400" s="572">
        <v>2123</v>
      </c>
      <c r="R2400" s="1413"/>
      <c r="S2400" s="1413"/>
      <c r="U2400" s="328"/>
      <c r="V2400" s="308" t="s">
        <v>2045</v>
      </c>
      <c r="W2400" s="789">
        <v>43039</v>
      </c>
      <c r="X2400" s="748">
        <v>42958</v>
      </c>
      <c r="Y2400" s="328" t="s">
        <v>7530</v>
      </c>
      <c r="Z2400" s="328" t="s">
        <v>7532</v>
      </c>
      <c r="AA2400" s="594">
        <v>43045</v>
      </c>
      <c r="AB2400" s="308" t="s">
        <v>7525</v>
      </c>
      <c r="AC2400" s="251">
        <v>6478165352</v>
      </c>
      <c r="AD2400" s="328"/>
      <c r="AE2400" s="328"/>
      <c r="AF2400" s="328"/>
      <c r="AG2400" s="251" t="s">
        <v>283</v>
      </c>
    </row>
    <row r="2401" spans="1:33" ht="15.75" customHeight="1">
      <c r="A2401" s="743">
        <v>42956</v>
      </c>
      <c r="B2401" s="590" t="s">
        <v>7107</v>
      </c>
      <c r="C2401" s="744">
        <v>7000131766</v>
      </c>
      <c r="D2401" s="250" t="s">
        <v>7528</v>
      </c>
      <c r="E2401" s="250" t="s">
        <v>7533</v>
      </c>
      <c r="F2401" s="251">
        <v>2</v>
      </c>
      <c r="G2401" s="336">
        <v>45</v>
      </c>
      <c r="H2401" s="308">
        <f t="shared" si="171"/>
        <v>90</v>
      </c>
      <c r="I2401" s="264" t="s">
        <v>42</v>
      </c>
      <c r="J2401" s="401" t="s">
        <v>3462</v>
      </c>
      <c r="K2401" s="256">
        <v>42962</v>
      </c>
      <c r="L2401" s="256"/>
      <c r="M2401" s="256">
        <v>42961</v>
      </c>
      <c r="N2401" s="264" t="s">
        <v>3432</v>
      </c>
      <c r="O2401" s="250" t="s">
        <v>7529</v>
      </c>
      <c r="P2401" s="328"/>
      <c r="Q2401" s="572">
        <v>2636</v>
      </c>
      <c r="R2401" s="1413"/>
      <c r="S2401" s="1413"/>
      <c r="U2401" s="328"/>
      <c r="V2401" s="308" t="s">
        <v>2045</v>
      </c>
      <c r="W2401" s="789">
        <v>43039</v>
      </c>
      <c r="X2401" s="748">
        <v>42958</v>
      </c>
      <c r="Y2401" s="328" t="s">
        <v>7530</v>
      </c>
      <c r="Z2401" s="328" t="s">
        <v>7532</v>
      </c>
      <c r="AA2401" s="594">
        <v>43045</v>
      </c>
      <c r="AB2401" s="308" t="s">
        <v>7525</v>
      </c>
      <c r="AC2401" s="251">
        <v>6478165352</v>
      </c>
      <c r="AD2401" s="328"/>
      <c r="AE2401" s="328"/>
      <c r="AF2401" s="328"/>
      <c r="AG2401" s="251" t="s">
        <v>283</v>
      </c>
    </row>
    <row r="2402" spans="1:33" ht="15.75" customHeight="1">
      <c r="A2402" s="594">
        <v>42956</v>
      </c>
      <c r="B2402" s="590" t="s">
        <v>7107</v>
      </c>
      <c r="C2402" s="744">
        <v>7000131766</v>
      </c>
      <c r="D2402" s="250" t="s">
        <v>7528</v>
      </c>
      <c r="E2402" s="250" t="s">
        <v>7534</v>
      </c>
      <c r="F2402" s="251">
        <v>14</v>
      </c>
      <c r="G2402" s="336">
        <v>181</v>
      </c>
      <c r="H2402" s="308">
        <f t="shared" si="171"/>
        <v>2534</v>
      </c>
      <c r="I2402" s="254" t="s">
        <v>42</v>
      </c>
      <c r="J2402" s="756" t="s">
        <v>3462</v>
      </c>
      <c r="K2402" s="256">
        <v>42962</v>
      </c>
      <c r="L2402" s="256"/>
      <c r="M2402" s="256">
        <v>42961</v>
      </c>
      <c r="N2402" s="264" t="s">
        <v>3432</v>
      </c>
      <c r="O2402" s="250" t="s">
        <v>7529</v>
      </c>
      <c r="P2402" s="328"/>
      <c r="Q2402" s="572">
        <v>73941</v>
      </c>
      <c r="R2402" s="1413"/>
      <c r="S2402" s="1413"/>
      <c r="U2402" s="328"/>
      <c r="V2402" s="308" t="s">
        <v>2045</v>
      </c>
      <c r="W2402" s="789">
        <v>43039</v>
      </c>
      <c r="X2402" s="748">
        <v>42958</v>
      </c>
      <c r="Y2402" s="328" t="s">
        <v>7530</v>
      </c>
      <c r="Z2402" s="328" t="s">
        <v>7532</v>
      </c>
      <c r="AA2402" s="594">
        <v>43045</v>
      </c>
      <c r="AB2402" s="308" t="s">
        <v>7525</v>
      </c>
      <c r="AC2402" s="251">
        <v>6478165352</v>
      </c>
      <c r="AD2402" s="328"/>
      <c r="AE2402" s="328"/>
      <c r="AF2402" s="328"/>
      <c r="AG2402" s="251" t="s">
        <v>283</v>
      </c>
    </row>
    <row r="2403" spans="1:33" ht="15.75" customHeight="1">
      <c r="A2403" s="594">
        <v>42956</v>
      </c>
      <c r="B2403" s="590" t="s">
        <v>7107</v>
      </c>
      <c r="C2403" s="744">
        <v>7000131766</v>
      </c>
      <c r="D2403" s="250" t="s">
        <v>7528</v>
      </c>
      <c r="E2403" s="250" t="s">
        <v>4493</v>
      </c>
      <c r="F2403" s="251">
        <v>14</v>
      </c>
      <c r="G2403" s="336">
        <v>110</v>
      </c>
      <c r="H2403" s="308">
        <f t="shared" si="171"/>
        <v>1540</v>
      </c>
      <c r="I2403" s="254" t="s">
        <v>42</v>
      </c>
      <c r="J2403" s="756" t="s">
        <v>3462</v>
      </c>
      <c r="K2403" s="256">
        <v>42962</v>
      </c>
      <c r="L2403" s="256"/>
      <c r="M2403" s="256">
        <v>42961</v>
      </c>
      <c r="N2403" s="264" t="s">
        <v>3432</v>
      </c>
      <c r="O2403" s="250" t="s">
        <v>7529</v>
      </c>
      <c r="P2403" s="328"/>
      <c r="Q2403" s="572">
        <v>45011</v>
      </c>
      <c r="R2403" s="1413"/>
      <c r="S2403" s="1413"/>
      <c r="U2403" s="328"/>
      <c r="V2403" s="308" t="s">
        <v>2045</v>
      </c>
      <c r="W2403" s="789">
        <v>43039</v>
      </c>
      <c r="X2403" s="748">
        <v>42958</v>
      </c>
      <c r="Y2403" s="328" t="s">
        <v>7530</v>
      </c>
      <c r="Z2403" s="328" t="s">
        <v>7532</v>
      </c>
      <c r="AA2403" s="594">
        <v>43045</v>
      </c>
      <c r="AB2403" s="308" t="s">
        <v>7525</v>
      </c>
      <c r="AC2403" s="251">
        <v>6478165352</v>
      </c>
      <c r="AD2403" s="328"/>
      <c r="AE2403" s="328"/>
      <c r="AF2403" s="328"/>
      <c r="AG2403" s="251" t="s">
        <v>283</v>
      </c>
    </row>
    <row r="2404" spans="1:33" ht="15.75" customHeight="1">
      <c r="A2404" s="594">
        <v>42958</v>
      </c>
      <c r="B2404" s="386" t="s">
        <v>100</v>
      </c>
      <c r="C2404" s="328" t="s">
        <v>7535</v>
      </c>
      <c r="D2404" s="328" t="s">
        <v>7536</v>
      </c>
      <c r="E2404" s="328" t="s">
        <v>6732</v>
      </c>
      <c r="F2404" s="251">
        <v>10</v>
      </c>
      <c r="G2404" s="336">
        <v>38</v>
      </c>
      <c r="H2404" s="308">
        <f t="shared" si="171"/>
        <v>380</v>
      </c>
      <c r="I2404" s="254" t="s">
        <v>3315</v>
      </c>
      <c r="J2404" s="361" t="s">
        <v>3578</v>
      </c>
      <c r="K2404" s="256">
        <v>42964</v>
      </c>
      <c r="L2404" s="256"/>
      <c r="M2404" s="256">
        <v>42963</v>
      </c>
      <c r="N2404" s="401" t="s">
        <v>1414</v>
      </c>
      <c r="O2404" s="250" t="s">
        <v>7537</v>
      </c>
      <c r="P2404" s="328"/>
      <c r="Q2404" s="572">
        <v>11151</v>
      </c>
      <c r="R2404" s="1413"/>
      <c r="S2404" s="1413"/>
      <c r="U2404" s="328"/>
      <c r="V2404" s="308" t="s">
        <v>1947</v>
      </c>
      <c r="W2404" s="789">
        <v>43008</v>
      </c>
      <c r="X2404" s="748">
        <v>42963</v>
      </c>
      <c r="Y2404" s="328" t="s">
        <v>7538</v>
      </c>
      <c r="Z2404" s="749">
        <v>11152</v>
      </c>
      <c r="AA2404" s="256">
        <v>43007</v>
      </c>
      <c r="AB2404" s="308" t="s">
        <v>7489</v>
      </c>
      <c r="AC2404" s="251">
        <v>6287621270</v>
      </c>
      <c r="AD2404" s="328"/>
      <c r="AE2404" s="328"/>
      <c r="AF2404" s="328"/>
      <c r="AG2404" s="251" t="s">
        <v>283</v>
      </c>
    </row>
    <row r="2405" spans="1:33" ht="15.75" customHeight="1">
      <c r="A2405" s="256">
        <v>42961</v>
      </c>
      <c r="B2405" s="970" t="s">
        <v>3347</v>
      </c>
      <c r="C2405" s="744" t="s">
        <v>7539</v>
      </c>
      <c r="D2405" s="250" t="s">
        <v>7540</v>
      </c>
      <c r="E2405" s="250" t="s">
        <v>3349</v>
      </c>
      <c r="F2405" s="251">
        <v>100</v>
      </c>
      <c r="G2405" s="252">
        <v>174.5</v>
      </c>
      <c r="H2405" s="265">
        <f t="shared" si="171"/>
        <v>17450</v>
      </c>
      <c r="I2405" s="254" t="s">
        <v>170</v>
      </c>
      <c r="J2405" s="361" t="s">
        <v>3350</v>
      </c>
      <c r="K2405" s="256">
        <v>42978</v>
      </c>
      <c r="L2405" s="256"/>
      <c r="M2405" s="256">
        <v>42972</v>
      </c>
      <c r="N2405" s="401" t="s">
        <v>3351</v>
      </c>
      <c r="O2405" s="328" t="s">
        <v>7541</v>
      </c>
      <c r="P2405" s="572">
        <v>16590</v>
      </c>
      <c r="Q2405" s="328"/>
      <c r="R2405" s="1407"/>
      <c r="S2405" s="1407"/>
      <c r="U2405" s="328"/>
      <c r="V2405" s="308" t="s">
        <v>3353</v>
      </c>
      <c r="W2405" s="328"/>
      <c r="X2405" s="748">
        <v>42978</v>
      </c>
      <c r="Y2405" s="328" t="s">
        <v>7542</v>
      </c>
      <c r="Z2405" s="749">
        <v>501599</v>
      </c>
      <c r="AA2405" s="594">
        <v>42964</v>
      </c>
      <c r="AB2405" s="308" t="s">
        <v>7543</v>
      </c>
      <c r="AC2405" s="328"/>
      <c r="AD2405" s="328"/>
      <c r="AE2405" s="328"/>
      <c r="AF2405" s="328"/>
      <c r="AG2405" s="251" t="s">
        <v>283</v>
      </c>
    </row>
    <row r="2406" spans="1:33" ht="15.75" customHeight="1">
      <c r="A2406" s="594">
        <v>42962</v>
      </c>
      <c r="B2406" s="386" t="s">
        <v>100</v>
      </c>
      <c r="C2406" s="328"/>
      <c r="D2406" s="328" t="s">
        <v>7544</v>
      </c>
      <c r="E2406" s="328" t="s">
        <v>7545</v>
      </c>
      <c r="F2406" s="251">
        <v>1</v>
      </c>
      <c r="G2406" s="336">
        <v>0</v>
      </c>
      <c r="H2406" s="308">
        <f t="shared" si="171"/>
        <v>0</v>
      </c>
      <c r="I2406" s="585" t="s">
        <v>3315</v>
      </c>
      <c r="J2406" s="361" t="s">
        <v>3578</v>
      </c>
      <c r="K2406" s="256">
        <v>42957</v>
      </c>
      <c r="L2406" s="256"/>
      <c r="M2406" s="328"/>
      <c r="N2406" s="251"/>
      <c r="O2406" s="328"/>
      <c r="P2406" s="328"/>
      <c r="Q2406" s="328"/>
      <c r="R2406" s="1407"/>
      <c r="S2406" s="1407"/>
      <c r="U2406" s="328"/>
      <c r="V2406" s="328"/>
      <c r="W2406" s="328"/>
      <c r="X2406" s="881"/>
      <c r="Y2406" s="881"/>
      <c r="Z2406" s="881"/>
      <c r="AA2406" s="881"/>
      <c r="AB2406" s="881"/>
      <c r="AC2406" s="328"/>
      <c r="AD2406" s="328"/>
      <c r="AE2406" s="328"/>
      <c r="AF2406" s="328"/>
      <c r="AG2406" s="251" t="s">
        <v>7452</v>
      </c>
    </row>
    <row r="2407" spans="1:33" ht="15.75" customHeight="1">
      <c r="A2407" s="594">
        <v>42962</v>
      </c>
      <c r="B2407" s="386" t="s">
        <v>100</v>
      </c>
      <c r="C2407" s="328"/>
      <c r="D2407" s="328" t="s">
        <v>7544</v>
      </c>
      <c r="E2407" s="328" t="s">
        <v>7546</v>
      </c>
      <c r="F2407" s="251">
        <v>1</v>
      </c>
      <c r="G2407" s="336">
        <v>0</v>
      </c>
      <c r="H2407" s="308">
        <f t="shared" si="171"/>
        <v>0</v>
      </c>
      <c r="I2407" s="585" t="s">
        <v>3315</v>
      </c>
      <c r="J2407" s="361" t="s">
        <v>3578</v>
      </c>
      <c r="K2407" s="256">
        <v>42957</v>
      </c>
      <c r="L2407" s="256"/>
      <c r="M2407" s="328"/>
      <c r="N2407" s="251"/>
      <c r="O2407" s="328"/>
      <c r="P2407" s="328"/>
      <c r="Q2407" s="328"/>
      <c r="R2407" s="1407"/>
      <c r="S2407" s="1407"/>
      <c r="U2407" s="328"/>
      <c r="V2407" s="328"/>
      <c r="W2407" s="328"/>
      <c r="X2407" s="881"/>
      <c r="Y2407" s="881"/>
      <c r="Z2407" s="881"/>
      <c r="AA2407" s="881"/>
      <c r="AB2407" s="881"/>
      <c r="AC2407" s="328"/>
      <c r="AD2407" s="328"/>
      <c r="AE2407" s="328"/>
      <c r="AF2407" s="328"/>
      <c r="AG2407" s="251" t="s">
        <v>7452</v>
      </c>
    </row>
    <row r="2408" spans="1:33" ht="15.75" customHeight="1">
      <c r="A2408" s="594">
        <v>42962</v>
      </c>
      <c r="B2408" s="386" t="s">
        <v>100</v>
      </c>
      <c r="C2408" s="328"/>
      <c r="D2408" s="328" t="s">
        <v>7544</v>
      </c>
      <c r="E2408" s="328" t="s">
        <v>7547</v>
      </c>
      <c r="F2408" s="251">
        <v>1</v>
      </c>
      <c r="G2408" s="336">
        <v>0</v>
      </c>
      <c r="H2408" s="308">
        <f t="shared" si="171"/>
        <v>0</v>
      </c>
      <c r="I2408" s="585" t="s">
        <v>3315</v>
      </c>
      <c r="J2408" s="361"/>
      <c r="K2408" s="256">
        <v>42957</v>
      </c>
      <c r="L2408" s="256"/>
      <c r="M2408" s="328"/>
      <c r="N2408" s="251"/>
      <c r="O2408" s="328"/>
      <c r="P2408" s="328"/>
      <c r="Q2408" s="328"/>
      <c r="R2408" s="1407"/>
      <c r="S2408" s="1407"/>
      <c r="U2408" s="328"/>
      <c r="V2408" s="328"/>
      <c r="W2408" s="328"/>
      <c r="X2408" s="881"/>
      <c r="Y2408" s="881"/>
      <c r="Z2408" s="881"/>
      <c r="AA2408" s="881"/>
      <c r="AB2408" s="881"/>
      <c r="AC2408" s="328"/>
      <c r="AD2408" s="328"/>
      <c r="AE2408" s="328"/>
      <c r="AF2408" s="328"/>
      <c r="AG2408" s="251" t="s">
        <v>7452</v>
      </c>
    </row>
    <row r="2409" spans="1:33" ht="15.75" customHeight="1">
      <c r="A2409" s="594">
        <v>42964</v>
      </c>
      <c r="B2409" s="386" t="s">
        <v>100</v>
      </c>
      <c r="C2409" s="328" t="s">
        <v>7548</v>
      </c>
      <c r="D2409" s="328" t="s">
        <v>7549</v>
      </c>
      <c r="E2409" s="328" t="s">
        <v>7550</v>
      </c>
      <c r="F2409" s="251">
        <v>1</v>
      </c>
      <c r="G2409" s="336">
        <f>290</f>
        <v>290</v>
      </c>
      <c r="H2409" s="265">
        <f t="shared" si="171"/>
        <v>290</v>
      </c>
      <c r="I2409" s="264" t="s">
        <v>3315</v>
      </c>
      <c r="J2409" s="251"/>
      <c r="K2409" s="256">
        <v>42999</v>
      </c>
      <c r="L2409" s="256"/>
      <c r="M2409" s="594">
        <v>42990</v>
      </c>
      <c r="N2409" s="331" t="s">
        <v>1414</v>
      </c>
      <c r="O2409" s="842"/>
      <c r="P2409" s="308">
        <v>577.5</v>
      </c>
      <c r="Q2409" s="308"/>
      <c r="R2409" s="1410"/>
      <c r="S2409" s="1410"/>
      <c r="U2409" s="328"/>
      <c r="V2409" s="318" t="s">
        <v>1947</v>
      </c>
      <c r="W2409" s="789">
        <v>43039</v>
      </c>
      <c r="X2409" s="748">
        <v>42989</v>
      </c>
      <c r="Y2409" s="328" t="s">
        <v>7551</v>
      </c>
      <c r="Z2409" s="749">
        <v>17331</v>
      </c>
      <c r="AA2409" s="251"/>
      <c r="AB2409" s="250" t="s">
        <v>7552</v>
      </c>
      <c r="AC2409" s="251">
        <v>3199226446</v>
      </c>
      <c r="AD2409" s="328"/>
      <c r="AE2409" s="328"/>
      <c r="AF2409" s="328"/>
      <c r="AG2409" s="251" t="s">
        <v>283</v>
      </c>
    </row>
    <row r="2410" spans="1:33" ht="15.75" customHeight="1">
      <c r="A2410" s="743">
        <v>42968</v>
      </c>
      <c r="B2410" s="386" t="s">
        <v>3709</v>
      </c>
      <c r="C2410" s="328" t="s">
        <v>7553</v>
      </c>
      <c r="D2410" s="328" t="s">
        <v>7554</v>
      </c>
      <c r="E2410" s="328" t="s">
        <v>6019</v>
      </c>
      <c r="F2410" s="251">
        <v>4</v>
      </c>
      <c r="G2410" s="336">
        <v>156</v>
      </c>
      <c r="H2410" s="265">
        <f t="shared" si="171"/>
        <v>624</v>
      </c>
      <c r="I2410" s="254" t="s">
        <v>3712</v>
      </c>
      <c r="J2410" s="267" t="s">
        <v>7555</v>
      </c>
      <c r="K2410" s="256">
        <v>42976</v>
      </c>
      <c r="L2410" s="256"/>
      <c r="M2410" s="256">
        <v>42975</v>
      </c>
      <c r="N2410" s="585" t="s">
        <v>89</v>
      </c>
      <c r="O2410" s="308" t="s">
        <v>7556</v>
      </c>
      <c r="P2410" s="308">
        <v>558.6</v>
      </c>
      <c r="Q2410" s="328"/>
      <c r="R2410" s="1407"/>
      <c r="S2410" s="1407"/>
      <c r="U2410" s="328"/>
      <c r="V2410" s="571" t="s">
        <v>93</v>
      </c>
      <c r="W2410" s="747">
        <v>43039</v>
      </c>
      <c r="X2410" s="750">
        <v>42975</v>
      </c>
      <c r="Y2410" s="308" t="s">
        <v>7557</v>
      </c>
      <c r="Z2410" s="753">
        <v>16889</v>
      </c>
      <c r="AA2410" s="256">
        <v>43034</v>
      </c>
      <c r="AB2410" s="308" t="s">
        <v>7558</v>
      </c>
      <c r="AC2410" s="251">
        <v>8414399022</v>
      </c>
      <c r="AD2410" s="328"/>
      <c r="AE2410" s="328"/>
      <c r="AF2410" s="328"/>
      <c r="AG2410" s="251" t="s">
        <v>283</v>
      </c>
    </row>
    <row r="2411" spans="1:33" ht="15.75" customHeight="1">
      <c r="A2411" s="594">
        <v>42970</v>
      </c>
      <c r="B2411" s="386" t="s">
        <v>7379</v>
      </c>
      <c r="C2411" s="328"/>
      <c r="D2411" s="328" t="s">
        <v>7559</v>
      </c>
      <c r="E2411" s="328" t="s">
        <v>7560</v>
      </c>
      <c r="F2411" s="251">
        <v>18</v>
      </c>
      <c r="G2411" s="336">
        <v>195</v>
      </c>
      <c r="H2411" s="265">
        <f t="shared" si="171"/>
        <v>3510</v>
      </c>
      <c r="I2411" s="254" t="s">
        <v>419</v>
      </c>
      <c r="J2411" s="401" t="s">
        <v>7381</v>
      </c>
      <c r="K2411" s="256">
        <v>42997</v>
      </c>
      <c r="L2411" s="256"/>
      <c r="M2411" s="256">
        <v>42997</v>
      </c>
      <c r="N2411" s="251" t="s">
        <v>89</v>
      </c>
      <c r="O2411" s="308" t="s">
        <v>7561</v>
      </c>
      <c r="P2411" s="308">
        <v>2967.3</v>
      </c>
      <c r="Q2411" s="328"/>
      <c r="R2411" s="1407"/>
      <c r="S2411" s="1407"/>
      <c r="U2411" s="328"/>
      <c r="V2411" s="571" t="s">
        <v>93</v>
      </c>
      <c r="W2411" s="747">
        <v>43039</v>
      </c>
      <c r="X2411" s="748">
        <v>42997</v>
      </c>
      <c r="Y2411" s="328" t="s">
        <v>7562</v>
      </c>
      <c r="Z2411" s="749">
        <v>110677</v>
      </c>
      <c r="AA2411" s="256">
        <v>43034</v>
      </c>
      <c r="AB2411" s="308" t="s">
        <v>7563</v>
      </c>
      <c r="AC2411" s="251">
        <v>7061589253</v>
      </c>
      <c r="AD2411" s="328"/>
      <c r="AE2411" s="328"/>
      <c r="AF2411" s="328"/>
      <c r="AG2411" s="251" t="s">
        <v>283</v>
      </c>
    </row>
    <row r="2412" spans="1:33" ht="15.75" customHeight="1">
      <c r="A2412" s="594">
        <v>42970</v>
      </c>
      <c r="B2412" s="386" t="s">
        <v>7379</v>
      </c>
      <c r="C2412" s="328"/>
      <c r="D2412" s="328" t="s">
        <v>7559</v>
      </c>
      <c r="E2412" s="328" t="s">
        <v>7564</v>
      </c>
      <c r="F2412" s="251">
        <v>44</v>
      </c>
      <c r="G2412" s="336">
        <v>20</v>
      </c>
      <c r="H2412" s="265">
        <f t="shared" si="171"/>
        <v>880</v>
      </c>
      <c r="I2412" s="254" t="s">
        <v>419</v>
      </c>
      <c r="J2412" s="401" t="s">
        <v>7381</v>
      </c>
      <c r="K2412" s="256">
        <v>42997</v>
      </c>
      <c r="L2412" s="256"/>
      <c r="M2412" s="256">
        <v>42997</v>
      </c>
      <c r="N2412" s="251" t="s">
        <v>89</v>
      </c>
      <c r="O2412" s="308" t="s">
        <v>7561</v>
      </c>
      <c r="P2412" s="308">
        <v>720.72</v>
      </c>
      <c r="Q2412" s="328"/>
      <c r="R2412" s="1407"/>
      <c r="S2412" s="1407"/>
      <c r="U2412" s="328"/>
      <c r="V2412" s="571" t="s">
        <v>93</v>
      </c>
      <c r="W2412" s="747">
        <v>43039</v>
      </c>
      <c r="X2412" s="748">
        <v>42997</v>
      </c>
      <c r="Y2412" s="328" t="s">
        <v>7562</v>
      </c>
      <c r="Z2412" s="328" t="s">
        <v>7565</v>
      </c>
      <c r="AA2412" s="256">
        <v>43034</v>
      </c>
      <c r="AB2412" s="308" t="s">
        <v>7563</v>
      </c>
      <c r="AC2412" s="251">
        <v>7061589253</v>
      </c>
      <c r="AD2412" s="328"/>
      <c r="AE2412" s="328"/>
      <c r="AF2412" s="328"/>
      <c r="AG2412" s="251" t="s">
        <v>283</v>
      </c>
    </row>
    <row r="2413" spans="1:33" ht="15.75" customHeight="1">
      <c r="A2413" s="594">
        <v>42970</v>
      </c>
      <c r="B2413" s="386" t="s">
        <v>7379</v>
      </c>
      <c r="C2413" s="328"/>
      <c r="D2413" s="328" t="s">
        <v>7559</v>
      </c>
      <c r="E2413" s="328" t="s">
        <v>7566</v>
      </c>
      <c r="F2413" s="251">
        <v>13</v>
      </c>
      <c r="G2413" s="336">
        <v>302</v>
      </c>
      <c r="H2413" s="265">
        <f t="shared" si="171"/>
        <v>3926</v>
      </c>
      <c r="I2413" s="254" t="s">
        <v>419</v>
      </c>
      <c r="J2413" s="401" t="s">
        <v>7567</v>
      </c>
      <c r="K2413" s="264" t="s">
        <v>7568</v>
      </c>
      <c r="L2413" s="264"/>
      <c r="M2413" s="256">
        <v>42993</v>
      </c>
      <c r="N2413" s="401" t="s">
        <v>3614</v>
      </c>
      <c r="O2413" s="308" t="s">
        <v>7569</v>
      </c>
      <c r="P2413" s="266">
        <v>3726.45</v>
      </c>
      <c r="Q2413" s="328"/>
      <c r="R2413" s="1407"/>
      <c r="S2413" s="1407"/>
      <c r="U2413" s="328"/>
      <c r="V2413" s="420" t="s">
        <v>2159</v>
      </c>
      <c r="W2413" s="747">
        <v>43039</v>
      </c>
      <c r="X2413" s="750">
        <v>43000</v>
      </c>
      <c r="Y2413" s="308" t="s">
        <v>7570</v>
      </c>
      <c r="Z2413" s="753">
        <v>112539</v>
      </c>
      <c r="AA2413" s="594">
        <v>43038</v>
      </c>
      <c r="AB2413" s="308" t="s">
        <v>7563</v>
      </c>
      <c r="AC2413" s="251">
        <v>7061589253</v>
      </c>
      <c r="AD2413" s="328"/>
      <c r="AE2413" s="328"/>
      <c r="AF2413" s="328"/>
      <c r="AG2413" s="251" t="s">
        <v>283</v>
      </c>
    </row>
    <row r="2414" spans="1:33" ht="15.75" customHeight="1">
      <c r="A2414" s="594">
        <v>42970</v>
      </c>
      <c r="B2414" s="386" t="s">
        <v>7379</v>
      </c>
      <c r="C2414" s="328"/>
      <c r="D2414" s="328" t="s">
        <v>7571</v>
      </c>
      <c r="E2414" s="328" t="s">
        <v>7572</v>
      </c>
      <c r="F2414" s="251">
        <v>2</v>
      </c>
      <c r="G2414" s="336">
        <v>87</v>
      </c>
      <c r="H2414" s="265">
        <f t="shared" si="171"/>
        <v>174</v>
      </c>
      <c r="I2414" s="254" t="s">
        <v>419</v>
      </c>
      <c r="J2414" s="401" t="s">
        <v>7381</v>
      </c>
      <c r="K2414" s="256">
        <v>42978</v>
      </c>
      <c r="L2414" s="256"/>
      <c r="M2414" s="256">
        <v>42978</v>
      </c>
      <c r="N2414" s="585" t="s">
        <v>3678</v>
      </c>
      <c r="O2414" s="308" t="s">
        <v>7573</v>
      </c>
      <c r="P2414" s="328"/>
      <c r="Q2414" s="572">
        <v>4767</v>
      </c>
      <c r="R2414" s="1413"/>
      <c r="S2414" s="1413"/>
      <c r="U2414" s="328"/>
      <c r="V2414" s="386" t="s">
        <v>3680</v>
      </c>
      <c r="W2414" s="789">
        <v>43013</v>
      </c>
      <c r="X2414" s="748">
        <v>42977</v>
      </c>
      <c r="Y2414" s="328" t="s">
        <v>7574</v>
      </c>
      <c r="Z2414" s="749">
        <v>4767</v>
      </c>
      <c r="AA2414" s="256">
        <v>43013</v>
      </c>
      <c r="AB2414" s="308" t="s">
        <v>7575</v>
      </c>
      <c r="AC2414" s="251">
        <v>2733699124</v>
      </c>
      <c r="AD2414" s="328"/>
      <c r="AE2414" s="328"/>
      <c r="AF2414" s="328"/>
      <c r="AG2414" s="251" t="s">
        <v>283</v>
      </c>
    </row>
    <row r="2415" spans="1:33" ht="15.75" customHeight="1">
      <c r="A2415" s="594">
        <v>42971</v>
      </c>
      <c r="B2415" s="386" t="s">
        <v>4590</v>
      </c>
      <c r="C2415" s="1043" t="s">
        <v>7576</v>
      </c>
      <c r="D2415" s="328" t="s">
        <v>7577</v>
      </c>
      <c r="E2415" s="328" t="s">
        <v>7578</v>
      </c>
      <c r="F2415" s="251">
        <v>6</v>
      </c>
      <c r="G2415" s="336">
        <v>66</v>
      </c>
      <c r="H2415" s="265">
        <f t="shared" si="171"/>
        <v>396</v>
      </c>
      <c r="I2415" s="758" t="s">
        <v>3315</v>
      </c>
      <c r="J2415" s="251" t="s">
        <v>532</v>
      </c>
      <c r="K2415" s="256">
        <v>42989</v>
      </c>
      <c r="L2415" s="256"/>
      <c r="M2415" s="256">
        <v>42986</v>
      </c>
      <c r="N2415" s="401" t="s">
        <v>6196</v>
      </c>
      <c r="O2415" s="308" t="s">
        <v>7579</v>
      </c>
      <c r="P2415" s="308">
        <v>333.9</v>
      </c>
      <c r="Q2415" s="328"/>
      <c r="R2415" s="1407"/>
      <c r="S2415" s="1407"/>
      <c r="U2415" s="328"/>
      <c r="V2415" s="592" t="s">
        <v>6198</v>
      </c>
      <c r="W2415" s="747">
        <v>43013</v>
      </c>
      <c r="X2415" s="748">
        <v>42986</v>
      </c>
      <c r="Y2415" s="328" t="s">
        <v>7580</v>
      </c>
      <c r="Z2415" s="749">
        <v>10029</v>
      </c>
      <c r="AA2415" s="256">
        <v>43013</v>
      </c>
      <c r="AB2415" s="250" t="s">
        <v>7505</v>
      </c>
      <c r="AC2415" s="251">
        <v>6691079150</v>
      </c>
      <c r="AD2415" s="328"/>
      <c r="AE2415" s="328"/>
      <c r="AF2415" s="328"/>
      <c r="AG2415" s="251" t="s">
        <v>283</v>
      </c>
    </row>
    <row r="2416" spans="1:33" ht="15.75" customHeight="1">
      <c r="A2416" s="743">
        <v>42971</v>
      </c>
      <c r="B2416" s="386" t="s">
        <v>4903</v>
      </c>
      <c r="C2416" s="1043" t="s">
        <v>7581</v>
      </c>
      <c r="D2416" s="328" t="s">
        <v>7582</v>
      </c>
      <c r="E2416" s="328" t="s">
        <v>6512</v>
      </c>
      <c r="F2416" s="251">
        <v>1</v>
      </c>
      <c r="G2416" s="336">
        <v>2102</v>
      </c>
      <c r="H2416" s="265">
        <f t="shared" si="171"/>
        <v>2102</v>
      </c>
      <c r="I2416" s="254" t="s">
        <v>3315</v>
      </c>
      <c r="J2416" s="367" t="s">
        <v>3588</v>
      </c>
      <c r="K2416" s="256">
        <v>42983</v>
      </c>
      <c r="L2416" s="256"/>
      <c r="M2416" s="256">
        <v>42978</v>
      </c>
      <c r="N2416" s="264" t="s">
        <v>3432</v>
      </c>
      <c r="O2416" s="308" t="s">
        <v>7583</v>
      </c>
      <c r="P2416" s="328"/>
      <c r="Q2416" s="572">
        <v>64219</v>
      </c>
      <c r="R2416" s="1413"/>
      <c r="S2416" s="1413"/>
      <c r="U2416" s="328"/>
      <c r="V2416" s="318" t="s">
        <v>2045</v>
      </c>
      <c r="W2416" s="789">
        <v>43069</v>
      </c>
      <c r="X2416" s="748">
        <v>42977</v>
      </c>
      <c r="Y2416" s="328" t="s">
        <v>7584</v>
      </c>
      <c r="Z2416" s="749">
        <v>64219</v>
      </c>
      <c r="AA2416" s="594">
        <v>43074</v>
      </c>
      <c r="AB2416" s="308" t="s">
        <v>7585</v>
      </c>
      <c r="AC2416" s="251">
        <v>6421529542</v>
      </c>
      <c r="AD2416" s="328"/>
      <c r="AE2416" s="328"/>
      <c r="AF2416" s="328"/>
      <c r="AG2416" s="328"/>
    </row>
    <row r="2417" spans="1:33" ht="15.75" customHeight="1">
      <c r="A2417" s="743">
        <v>42971</v>
      </c>
      <c r="B2417" s="590" t="s">
        <v>7107</v>
      </c>
      <c r="C2417" s="744">
        <v>7000132045</v>
      </c>
      <c r="D2417" s="328" t="s">
        <v>7586</v>
      </c>
      <c r="E2417" s="328" t="s">
        <v>3923</v>
      </c>
      <c r="F2417" s="251">
        <v>1</v>
      </c>
      <c r="G2417" s="336">
        <v>177</v>
      </c>
      <c r="H2417" s="308">
        <f t="shared" si="171"/>
        <v>177</v>
      </c>
      <c r="I2417" s="254" t="s">
        <v>42</v>
      </c>
      <c r="J2417" s="401" t="s">
        <v>3462</v>
      </c>
      <c r="K2417" s="256">
        <v>42982</v>
      </c>
      <c r="L2417" s="256"/>
      <c r="M2417" s="256">
        <v>42978</v>
      </c>
      <c r="N2417" s="264" t="s">
        <v>3432</v>
      </c>
      <c r="O2417" s="308" t="s">
        <v>7587</v>
      </c>
      <c r="P2417" s="328"/>
      <c r="Q2417" s="572">
        <v>5170</v>
      </c>
      <c r="R2417" s="1413"/>
      <c r="S2417" s="1413"/>
      <c r="U2417" s="328"/>
      <c r="V2417" s="318" t="s">
        <v>2045</v>
      </c>
      <c r="W2417" s="789">
        <v>43069</v>
      </c>
      <c r="X2417" s="748">
        <v>42976</v>
      </c>
      <c r="Y2417" s="328" t="s">
        <v>7588</v>
      </c>
      <c r="Z2417" s="749">
        <v>33297</v>
      </c>
      <c r="AA2417" s="594">
        <v>43074</v>
      </c>
      <c r="AB2417" s="308" t="s">
        <v>7589</v>
      </c>
      <c r="AC2417" s="251">
        <v>5147169381</v>
      </c>
      <c r="AD2417" s="328"/>
      <c r="AE2417" s="328"/>
      <c r="AF2417" s="328"/>
      <c r="AG2417" s="251" t="s">
        <v>283</v>
      </c>
    </row>
    <row r="2418" spans="1:33" ht="36.75" customHeight="1">
      <c r="A2418" s="743">
        <v>42971</v>
      </c>
      <c r="B2418" s="590" t="s">
        <v>7107</v>
      </c>
      <c r="C2418" s="744">
        <v>7000132045</v>
      </c>
      <c r="D2418" s="328" t="s">
        <v>7586</v>
      </c>
      <c r="E2418" s="328" t="s">
        <v>3567</v>
      </c>
      <c r="F2418" s="251">
        <v>1</v>
      </c>
      <c r="G2418" s="336">
        <v>39</v>
      </c>
      <c r="H2418" s="308">
        <f t="shared" si="171"/>
        <v>39</v>
      </c>
      <c r="I2418" s="254" t="s">
        <v>42</v>
      </c>
      <c r="J2418" s="401" t="s">
        <v>3462</v>
      </c>
      <c r="K2418" s="256">
        <v>42982</v>
      </c>
      <c r="L2418" s="256"/>
      <c r="M2418" s="256">
        <v>42978</v>
      </c>
      <c r="N2418" s="254" t="s">
        <v>3432</v>
      </c>
      <c r="O2418" s="308" t="s">
        <v>7587</v>
      </c>
      <c r="P2418" s="328"/>
      <c r="Q2418" s="572">
        <v>1094</v>
      </c>
      <c r="R2418" s="1413"/>
      <c r="S2418" s="1413"/>
      <c r="U2418" s="328"/>
      <c r="V2418" s="318" t="s">
        <v>2045</v>
      </c>
      <c r="W2418" s="789">
        <v>43069</v>
      </c>
      <c r="X2418" s="748">
        <v>42976</v>
      </c>
      <c r="Y2418" s="328" t="s">
        <v>7588</v>
      </c>
      <c r="Z2418" s="328" t="s">
        <v>7590</v>
      </c>
      <c r="AA2418" s="594">
        <v>43074</v>
      </c>
      <c r="AB2418" s="308" t="s">
        <v>7589</v>
      </c>
      <c r="AC2418" s="251">
        <v>5147169381</v>
      </c>
      <c r="AD2418" s="328"/>
      <c r="AE2418" s="328"/>
      <c r="AF2418" s="328"/>
      <c r="AG2418" s="251" t="s">
        <v>283</v>
      </c>
    </row>
    <row r="2419" spans="1:33" ht="15.75" customHeight="1">
      <c r="A2419" s="743">
        <v>42971</v>
      </c>
      <c r="B2419" s="590" t="s">
        <v>7107</v>
      </c>
      <c r="C2419" s="744">
        <v>7000132045</v>
      </c>
      <c r="D2419" s="328" t="s">
        <v>7586</v>
      </c>
      <c r="E2419" s="328" t="s">
        <v>7591</v>
      </c>
      <c r="F2419" s="251">
        <v>1</v>
      </c>
      <c r="G2419" s="336">
        <v>81</v>
      </c>
      <c r="H2419" s="308">
        <f t="shared" si="171"/>
        <v>81</v>
      </c>
      <c r="I2419" s="254" t="s">
        <v>42</v>
      </c>
      <c r="J2419" s="401" t="s">
        <v>3462</v>
      </c>
      <c r="K2419" s="256">
        <v>42982</v>
      </c>
      <c r="L2419" s="256"/>
      <c r="M2419" s="256">
        <v>42978</v>
      </c>
      <c r="N2419" s="264" t="s">
        <v>3432</v>
      </c>
      <c r="O2419" s="308" t="s">
        <v>7587</v>
      </c>
      <c r="P2419" s="328"/>
      <c r="Q2419" s="572">
        <v>2406</v>
      </c>
      <c r="R2419" s="1413"/>
      <c r="S2419" s="1413"/>
      <c r="U2419" s="328"/>
      <c r="V2419" s="318" t="s">
        <v>2045</v>
      </c>
      <c r="W2419" s="789">
        <v>43069</v>
      </c>
      <c r="X2419" s="748">
        <v>42976</v>
      </c>
      <c r="Y2419" s="328" t="s">
        <v>7588</v>
      </c>
      <c r="Z2419" s="328" t="s">
        <v>7590</v>
      </c>
      <c r="AA2419" s="594">
        <v>43074</v>
      </c>
      <c r="AB2419" s="308" t="s">
        <v>7589</v>
      </c>
      <c r="AC2419" s="251">
        <v>5147169381</v>
      </c>
      <c r="AD2419" s="328"/>
      <c r="AE2419" s="328"/>
      <c r="AF2419" s="328"/>
      <c r="AG2419" s="251" t="s">
        <v>283</v>
      </c>
    </row>
    <row r="2420" spans="1:33" ht="36.75" customHeight="1">
      <c r="A2420" s="743">
        <v>42971</v>
      </c>
      <c r="B2420" s="590" t="s">
        <v>7107</v>
      </c>
      <c r="C2420" s="744">
        <v>7000132045</v>
      </c>
      <c r="D2420" s="328" t="s">
        <v>7586</v>
      </c>
      <c r="E2420" s="328" t="s">
        <v>4031</v>
      </c>
      <c r="F2420" s="251">
        <v>6</v>
      </c>
      <c r="G2420" s="336">
        <v>67</v>
      </c>
      <c r="H2420" s="308">
        <f t="shared" si="171"/>
        <v>402</v>
      </c>
      <c r="I2420" s="254" t="s">
        <v>42</v>
      </c>
      <c r="J2420" s="401" t="s">
        <v>3462</v>
      </c>
      <c r="K2420" s="256">
        <v>42982</v>
      </c>
      <c r="L2420" s="256"/>
      <c r="M2420" s="256">
        <v>42978</v>
      </c>
      <c r="N2420" s="254" t="s">
        <v>3432</v>
      </c>
      <c r="O2420" s="308" t="s">
        <v>7587</v>
      </c>
      <c r="P2420" s="328"/>
      <c r="Q2420" s="572">
        <v>11819</v>
      </c>
      <c r="R2420" s="1413"/>
      <c r="S2420" s="1413"/>
      <c r="U2420" s="328"/>
      <c r="V2420" s="308" t="s">
        <v>2045</v>
      </c>
      <c r="W2420" s="789">
        <v>43069</v>
      </c>
      <c r="X2420" s="748">
        <v>42976</v>
      </c>
      <c r="Y2420" s="328" t="s">
        <v>7588</v>
      </c>
      <c r="Z2420" s="328" t="s">
        <v>7590</v>
      </c>
      <c r="AA2420" s="594">
        <v>43074</v>
      </c>
      <c r="AB2420" s="308" t="s">
        <v>7589</v>
      </c>
      <c r="AC2420" s="251">
        <v>5147169381</v>
      </c>
      <c r="AD2420" s="328"/>
      <c r="AE2420" s="328"/>
      <c r="AF2420" s="328"/>
      <c r="AG2420" s="251" t="s">
        <v>283</v>
      </c>
    </row>
    <row r="2421" spans="1:33" ht="15.75" customHeight="1">
      <c r="A2421" s="743">
        <v>42971</v>
      </c>
      <c r="B2421" s="590" t="s">
        <v>7107</v>
      </c>
      <c r="C2421" s="744">
        <v>7000132045</v>
      </c>
      <c r="D2421" s="328" t="s">
        <v>7586</v>
      </c>
      <c r="E2421" s="744">
        <v>1700002204</v>
      </c>
      <c r="F2421" s="251">
        <v>1</v>
      </c>
      <c r="G2421" s="336">
        <v>4</v>
      </c>
      <c r="H2421" s="308">
        <f t="shared" si="171"/>
        <v>4</v>
      </c>
      <c r="I2421" s="254" t="s">
        <v>42</v>
      </c>
      <c r="J2421" s="401" t="s">
        <v>3462</v>
      </c>
      <c r="K2421" s="256">
        <v>42982</v>
      </c>
      <c r="L2421" s="256"/>
      <c r="M2421" s="256">
        <v>42978</v>
      </c>
      <c r="N2421" s="264" t="s">
        <v>3432</v>
      </c>
      <c r="O2421" s="308" t="s">
        <v>7587</v>
      </c>
      <c r="P2421" s="328"/>
      <c r="Q2421" s="572">
        <v>105</v>
      </c>
      <c r="R2421" s="1413"/>
      <c r="S2421" s="1413"/>
      <c r="U2421" s="328"/>
      <c r="V2421" s="308" t="s">
        <v>2045</v>
      </c>
      <c r="W2421" s="789">
        <v>43069</v>
      </c>
      <c r="X2421" s="748">
        <v>42976</v>
      </c>
      <c r="Y2421" s="328" t="s">
        <v>7588</v>
      </c>
      <c r="Z2421" s="328" t="s">
        <v>7590</v>
      </c>
      <c r="AA2421" s="594">
        <v>43074</v>
      </c>
      <c r="AB2421" s="308" t="s">
        <v>7589</v>
      </c>
      <c r="AC2421" s="251">
        <v>5147169381</v>
      </c>
      <c r="AD2421" s="328"/>
      <c r="AE2421" s="328"/>
      <c r="AF2421" s="328"/>
      <c r="AG2421" s="251" t="s">
        <v>283</v>
      </c>
    </row>
    <row r="2422" spans="1:33" ht="15.75" customHeight="1">
      <c r="A2422" s="743">
        <v>42971</v>
      </c>
      <c r="B2422" s="590" t="s">
        <v>7107</v>
      </c>
      <c r="C2422" s="744">
        <v>7000132045</v>
      </c>
      <c r="D2422" s="328" t="s">
        <v>7586</v>
      </c>
      <c r="E2422" s="744" t="s">
        <v>7592</v>
      </c>
      <c r="F2422" s="251">
        <v>1</v>
      </c>
      <c r="G2422" s="336">
        <v>5</v>
      </c>
      <c r="H2422" s="308">
        <f t="shared" si="171"/>
        <v>5</v>
      </c>
      <c r="I2422" s="254" t="s">
        <v>42</v>
      </c>
      <c r="J2422" s="401" t="s">
        <v>3462</v>
      </c>
      <c r="K2422" s="256">
        <v>42982</v>
      </c>
      <c r="L2422" s="256"/>
      <c r="M2422" s="256">
        <v>42978</v>
      </c>
      <c r="N2422" s="264" t="s">
        <v>3432</v>
      </c>
      <c r="O2422" s="308" t="s">
        <v>7587</v>
      </c>
      <c r="P2422" s="328"/>
      <c r="Q2422" s="572">
        <v>128</v>
      </c>
      <c r="R2422" s="1413"/>
      <c r="S2422" s="1413"/>
      <c r="U2422" s="328"/>
      <c r="V2422" s="308" t="s">
        <v>2045</v>
      </c>
      <c r="W2422" s="789">
        <v>43069</v>
      </c>
      <c r="X2422" s="748">
        <v>42976</v>
      </c>
      <c r="Y2422" s="328" t="s">
        <v>7588</v>
      </c>
      <c r="Z2422" s="328" t="s">
        <v>7590</v>
      </c>
      <c r="AA2422" s="594">
        <v>43074</v>
      </c>
      <c r="AB2422" s="308" t="s">
        <v>7589</v>
      </c>
      <c r="AC2422" s="251">
        <v>5147169381</v>
      </c>
      <c r="AD2422" s="328"/>
      <c r="AE2422" s="328"/>
      <c r="AF2422" s="328"/>
      <c r="AG2422" s="251" t="s">
        <v>283</v>
      </c>
    </row>
    <row r="2423" spans="1:33" ht="15.75" customHeight="1">
      <c r="A2423" s="594">
        <v>42971</v>
      </c>
      <c r="B2423" s="590" t="s">
        <v>7107</v>
      </c>
      <c r="C2423" s="744">
        <v>7000132045</v>
      </c>
      <c r="D2423" s="328" t="s">
        <v>7586</v>
      </c>
      <c r="E2423" s="744">
        <v>1702002605</v>
      </c>
      <c r="F2423" s="251">
        <v>1</v>
      </c>
      <c r="G2423" s="336">
        <v>6.5</v>
      </c>
      <c r="H2423" s="308">
        <f t="shared" si="171"/>
        <v>6.5</v>
      </c>
      <c r="I2423" s="254" t="s">
        <v>42</v>
      </c>
      <c r="J2423" s="756" t="s">
        <v>3462</v>
      </c>
      <c r="K2423" s="256">
        <v>42982</v>
      </c>
      <c r="L2423" s="256"/>
      <c r="M2423" s="256">
        <v>42978</v>
      </c>
      <c r="N2423" s="264" t="s">
        <v>3432</v>
      </c>
      <c r="O2423" s="308" t="s">
        <v>7587</v>
      </c>
      <c r="P2423" s="328"/>
      <c r="Q2423" s="572">
        <v>92</v>
      </c>
      <c r="R2423" s="1413"/>
      <c r="S2423" s="1413"/>
      <c r="U2423" s="328"/>
      <c r="V2423" s="308" t="s">
        <v>2045</v>
      </c>
      <c r="W2423" s="789">
        <v>43069</v>
      </c>
      <c r="X2423" s="748">
        <v>42976</v>
      </c>
      <c r="Y2423" s="328" t="s">
        <v>7588</v>
      </c>
      <c r="Z2423" s="328" t="s">
        <v>7590</v>
      </c>
      <c r="AA2423" s="594">
        <v>43074</v>
      </c>
      <c r="AB2423" s="308" t="s">
        <v>7589</v>
      </c>
      <c r="AC2423" s="251">
        <v>5147169381</v>
      </c>
      <c r="AD2423" s="328"/>
      <c r="AE2423" s="328"/>
      <c r="AF2423" s="328"/>
      <c r="AG2423" s="251" t="s">
        <v>283</v>
      </c>
    </row>
    <row r="2424" spans="1:33" ht="15.75" customHeight="1">
      <c r="A2424" s="594">
        <v>42971</v>
      </c>
      <c r="B2424" s="590" t="s">
        <v>7107</v>
      </c>
      <c r="C2424" s="744">
        <v>7000132045</v>
      </c>
      <c r="D2424" s="328" t="s">
        <v>7586</v>
      </c>
      <c r="E2424" s="328" t="s">
        <v>7593</v>
      </c>
      <c r="F2424" s="251">
        <v>1</v>
      </c>
      <c r="G2424" s="336">
        <v>170</v>
      </c>
      <c r="H2424" s="308">
        <f t="shared" si="171"/>
        <v>170</v>
      </c>
      <c r="I2424" s="254" t="s">
        <v>42</v>
      </c>
      <c r="J2424" s="756" t="s">
        <v>3462</v>
      </c>
      <c r="K2424" s="256">
        <v>42982</v>
      </c>
      <c r="L2424" s="256"/>
      <c r="M2424" s="256">
        <v>42978</v>
      </c>
      <c r="N2424" s="264" t="s">
        <v>3432</v>
      </c>
      <c r="O2424" s="308" t="s">
        <v>7587</v>
      </c>
      <c r="P2424" s="328"/>
      <c r="Q2424" s="572">
        <v>4838</v>
      </c>
      <c r="R2424" s="1413"/>
      <c r="S2424" s="1413"/>
      <c r="U2424" s="328"/>
      <c r="V2424" s="308" t="s">
        <v>2045</v>
      </c>
      <c r="W2424" s="789">
        <v>43069</v>
      </c>
      <c r="X2424" s="748">
        <v>42976</v>
      </c>
      <c r="Y2424" s="328" t="s">
        <v>7588</v>
      </c>
      <c r="Z2424" s="328" t="s">
        <v>7590</v>
      </c>
      <c r="AA2424" s="594">
        <v>43074</v>
      </c>
      <c r="AB2424" s="308" t="s">
        <v>7589</v>
      </c>
      <c r="AC2424" s="251">
        <v>5147169381</v>
      </c>
      <c r="AD2424" s="328"/>
      <c r="AE2424" s="328"/>
      <c r="AF2424" s="328"/>
      <c r="AG2424" s="251" t="s">
        <v>283</v>
      </c>
    </row>
    <row r="2425" spans="1:33" ht="15.75" customHeight="1">
      <c r="A2425" s="594">
        <v>42971</v>
      </c>
      <c r="B2425" s="590" t="s">
        <v>7107</v>
      </c>
      <c r="C2425" s="744">
        <v>7000132045</v>
      </c>
      <c r="D2425" s="328" t="s">
        <v>7586</v>
      </c>
      <c r="E2425" s="328" t="s">
        <v>7594</v>
      </c>
      <c r="F2425" s="251">
        <v>1</v>
      </c>
      <c r="G2425" s="336">
        <v>250</v>
      </c>
      <c r="H2425" s="308">
        <f t="shared" si="171"/>
        <v>250</v>
      </c>
      <c r="I2425" s="254" t="s">
        <v>42</v>
      </c>
      <c r="J2425" s="756" t="s">
        <v>3462</v>
      </c>
      <c r="K2425" s="256">
        <v>42982</v>
      </c>
      <c r="L2425" s="256"/>
      <c r="M2425" s="256">
        <v>42978</v>
      </c>
      <c r="N2425" s="264" t="s">
        <v>3432</v>
      </c>
      <c r="O2425" s="308" t="s">
        <v>7587</v>
      </c>
      <c r="P2425" s="328"/>
      <c r="Q2425" s="572">
        <v>7123</v>
      </c>
      <c r="R2425" s="1413"/>
      <c r="S2425" s="1413"/>
      <c r="U2425" s="328"/>
      <c r="V2425" s="308" t="s">
        <v>2045</v>
      </c>
      <c r="W2425" s="789">
        <v>43069</v>
      </c>
      <c r="X2425" s="748">
        <v>42976</v>
      </c>
      <c r="Y2425" s="328" t="s">
        <v>7588</v>
      </c>
      <c r="Z2425" s="328" t="s">
        <v>7590</v>
      </c>
      <c r="AA2425" s="594">
        <v>43074</v>
      </c>
      <c r="AB2425" s="308" t="s">
        <v>7589</v>
      </c>
      <c r="AC2425" s="251">
        <v>5147169381</v>
      </c>
      <c r="AD2425" s="328"/>
      <c r="AE2425" s="328"/>
      <c r="AF2425" s="328"/>
      <c r="AG2425" s="251" t="s">
        <v>283</v>
      </c>
    </row>
    <row r="2426" spans="1:33" ht="15.75" customHeight="1">
      <c r="A2426" s="594">
        <v>42971</v>
      </c>
      <c r="B2426" s="590" t="s">
        <v>7107</v>
      </c>
      <c r="C2426" s="744">
        <v>7000132045</v>
      </c>
      <c r="D2426" s="328" t="s">
        <v>7586</v>
      </c>
      <c r="E2426" s="328" t="s">
        <v>7595</v>
      </c>
      <c r="F2426" s="251">
        <v>1</v>
      </c>
      <c r="G2426" s="336">
        <v>18.5</v>
      </c>
      <c r="H2426" s="308">
        <f t="shared" si="171"/>
        <v>18.5</v>
      </c>
      <c r="I2426" s="254" t="s">
        <v>42</v>
      </c>
      <c r="J2426" s="756" t="s">
        <v>3462</v>
      </c>
      <c r="K2426" s="256">
        <v>42982</v>
      </c>
      <c r="L2426" s="256"/>
      <c r="M2426" s="256">
        <v>42978</v>
      </c>
      <c r="N2426" s="264" t="s">
        <v>3432</v>
      </c>
      <c r="O2426" s="308" t="s">
        <v>7587</v>
      </c>
      <c r="P2426" s="328"/>
      <c r="Q2426" s="572">
        <v>521</v>
      </c>
      <c r="R2426" s="1413"/>
      <c r="S2426" s="1413"/>
      <c r="U2426" s="328"/>
      <c r="V2426" s="308" t="s">
        <v>2045</v>
      </c>
      <c r="W2426" s="789">
        <v>43069</v>
      </c>
      <c r="X2426" s="748">
        <v>42976</v>
      </c>
      <c r="Y2426" s="328" t="s">
        <v>7588</v>
      </c>
      <c r="Z2426" s="328" t="s">
        <v>7590</v>
      </c>
      <c r="AA2426" s="594">
        <v>43074</v>
      </c>
      <c r="AB2426" s="308" t="s">
        <v>7589</v>
      </c>
      <c r="AC2426" s="251">
        <v>5147169381</v>
      </c>
      <c r="AD2426" s="328"/>
      <c r="AE2426" s="328"/>
      <c r="AF2426" s="328"/>
      <c r="AG2426" s="251" t="s">
        <v>283</v>
      </c>
    </row>
    <row r="2427" spans="1:33" ht="15.75" customHeight="1">
      <c r="A2427" s="594">
        <v>42971</v>
      </c>
      <c r="B2427" s="386" t="s">
        <v>4590</v>
      </c>
      <c r="C2427" s="1043" t="s">
        <v>7576</v>
      </c>
      <c r="D2427" s="328" t="s">
        <v>7577</v>
      </c>
      <c r="E2427" s="328" t="s">
        <v>7596</v>
      </c>
      <c r="F2427" s="251">
        <v>1</v>
      </c>
      <c r="G2427" s="336">
        <v>62</v>
      </c>
      <c r="H2427" s="265">
        <f t="shared" si="171"/>
        <v>62</v>
      </c>
      <c r="I2427" s="758" t="s">
        <v>3315</v>
      </c>
      <c r="J2427" s="1022" t="s">
        <v>532</v>
      </c>
      <c r="K2427" s="256">
        <v>42989</v>
      </c>
      <c r="L2427" s="256"/>
      <c r="M2427" s="308"/>
      <c r="N2427" s="264" t="s">
        <v>1999</v>
      </c>
      <c r="O2427" s="328"/>
      <c r="P2427" s="328"/>
      <c r="Q2427" s="630" t="s">
        <v>7520</v>
      </c>
      <c r="R2427" s="1415"/>
      <c r="S2427" s="1415"/>
      <c r="U2427" s="328"/>
      <c r="V2427" s="308" t="s">
        <v>2000</v>
      </c>
      <c r="W2427" s="747">
        <v>43030</v>
      </c>
      <c r="X2427" s="750">
        <v>43000</v>
      </c>
      <c r="Y2427" s="308" t="s">
        <v>7518</v>
      </c>
      <c r="Z2427" s="753" t="s">
        <v>7521</v>
      </c>
      <c r="AA2427" s="256">
        <v>43041</v>
      </c>
      <c r="AB2427" s="250" t="s">
        <v>7505</v>
      </c>
      <c r="AC2427" s="251">
        <v>6691079150</v>
      </c>
      <c r="AD2427" s="328"/>
      <c r="AE2427" s="328"/>
      <c r="AF2427" s="328"/>
      <c r="AG2427" s="251" t="s">
        <v>283</v>
      </c>
    </row>
    <row r="2428" spans="1:33" ht="15.75" customHeight="1">
      <c r="A2428" s="594">
        <v>42972</v>
      </c>
      <c r="B2428" s="386" t="s">
        <v>100</v>
      </c>
      <c r="C2428" s="328" t="s">
        <v>7597</v>
      </c>
      <c r="D2428" s="328" t="s">
        <v>7598</v>
      </c>
      <c r="E2428" s="328" t="s">
        <v>7599</v>
      </c>
      <c r="F2428" s="305">
        <v>1</v>
      </c>
      <c r="G2428" s="336">
        <v>0</v>
      </c>
      <c r="H2428" s="265">
        <f t="shared" si="171"/>
        <v>0</v>
      </c>
      <c r="I2428" s="254" t="s">
        <v>3315</v>
      </c>
      <c r="J2428" s="361" t="s">
        <v>3578</v>
      </c>
      <c r="K2428" s="256">
        <v>43020</v>
      </c>
      <c r="L2428" s="256"/>
      <c r="M2428" s="256">
        <v>43020</v>
      </c>
      <c r="N2428" s="251" t="s">
        <v>2006</v>
      </c>
      <c r="O2428" s="308"/>
      <c r="P2428" s="308"/>
      <c r="Q2428" s="402" t="s">
        <v>4158</v>
      </c>
      <c r="R2428" s="1434"/>
      <c r="S2428" s="1434"/>
      <c r="U2428" s="328"/>
      <c r="V2428" s="571"/>
      <c r="W2428" s="328"/>
      <c r="X2428" s="748"/>
      <c r="Y2428" s="328"/>
      <c r="Z2428" s="749"/>
      <c r="AA2428" s="594"/>
      <c r="AB2428" s="250" t="s">
        <v>7600</v>
      </c>
      <c r="AC2428" s="251">
        <v>3441702014</v>
      </c>
      <c r="AD2428" s="328"/>
      <c r="AE2428" s="328"/>
      <c r="AF2428" s="328"/>
      <c r="AG2428" s="251" t="s">
        <v>283</v>
      </c>
    </row>
    <row r="2429" spans="1:33" ht="15.75" customHeight="1">
      <c r="A2429" s="594">
        <v>42972</v>
      </c>
      <c r="B2429" s="386" t="s">
        <v>100</v>
      </c>
      <c r="C2429" s="328" t="s">
        <v>7597</v>
      </c>
      <c r="D2429" s="328" t="s">
        <v>7598</v>
      </c>
      <c r="E2429" s="328" t="s">
        <v>7601</v>
      </c>
      <c r="F2429" s="305">
        <v>1</v>
      </c>
      <c r="G2429" s="336">
        <v>0</v>
      </c>
      <c r="H2429" s="265">
        <f t="shared" si="171"/>
        <v>0</v>
      </c>
      <c r="I2429" s="254" t="s">
        <v>3315</v>
      </c>
      <c r="J2429" s="361" t="s">
        <v>3578</v>
      </c>
      <c r="K2429" s="256">
        <v>43020</v>
      </c>
      <c r="L2429" s="256"/>
      <c r="M2429" s="256">
        <v>43020</v>
      </c>
      <c r="N2429" s="251" t="s">
        <v>7602</v>
      </c>
      <c r="O2429" s="308"/>
      <c r="P2429" s="308"/>
      <c r="Q2429" s="402" t="s">
        <v>4158</v>
      </c>
      <c r="R2429" s="1434"/>
      <c r="S2429" s="1434"/>
      <c r="U2429" s="328"/>
      <c r="V2429" s="571"/>
      <c r="W2429" s="328"/>
      <c r="X2429" s="748"/>
      <c r="Y2429" s="328"/>
      <c r="Z2429" s="749"/>
      <c r="AA2429" s="594"/>
      <c r="AB2429" s="250" t="s">
        <v>7600</v>
      </c>
      <c r="AC2429" s="251">
        <v>3441702014</v>
      </c>
      <c r="AD2429" s="328"/>
      <c r="AE2429" s="328"/>
      <c r="AF2429" s="328"/>
      <c r="AG2429" s="251" t="s">
        <v>283</v>
      </c>
    </row>
    <row r="2430" spans="1:33" ht="15.75" customHeight="1">
      <c r="A2430" s="594">
        <v>42972</v>
      </c>
      <c r="B2430" s="386" t="s">
        <v>100</v>
      </c>
      <c r="C2430" s="328" t="s">
        <v>7597</v>
      </c>
      <c r="D2430" s="328" t="s">
        <v>7598</v>
      </c>
      <c r="E2430" s="328" t="s">
        <v>7599</v>
      </c>
      <c r="F2430" s="305">
        <v>1</v>
      </c>
      <c r="G2430" s="336">
        <v>0</v>
      </c>
      <c r="H2430" s="265">
        <f t="shared" si="171"/>
        <v>0</v>
      </c>
      <c r="I2430" s="254" t="s">
        <v>3315</v>
      </c>
      <c r="J2430" s="361" t="s">
        <v>3578</v>
      </c>
      <c r="K2430" s="256">
        <v>43020</v>
      </c>
      <c r="L2430" s="256"/>
      <c r="M2430" s="256">
        <v>43020</v>
      </c>
      <c r="N2430" s="251" t="s">
        <v>2006</v>
      </c>
      <c r="O2430" s="308"/>
      <c r="P2430" s="308"/>
      <c r="Q2430" s="402" t="s">
        <v>4158</v>
      </c>
      <c r="R2430" s="1434"/>
      <c r="S2430" s="1434"/>
      <c r="U2430" s="328"/>
      <c r="V2430" s="571"/>
      <c r="W2430" s="328"/>
      <c r="X2430" s="748"/>
      <c r="Y2430" s="328"/>
      <c r="Z2430" s="328"/>
      <c r="AA2430" s="594"/>
      <c r="AB2430" s="250" t="s">
        <v>7600</v>
      </c>
      <c r="AC2430" s="251">
        <v>3441702014</v>
      </c>
      <c r="AD2430" s="328"/>
      <c r="AE2430" s="328"/>
      <c r="AF2430" s="328"/>
      <c r="AG2430" s="251" t="s">
        <v>283</v>
      </c>
    </row>
    <row r="2431" spans="1:33" ht="15.75" customHeight="1">
      <c r="A2431" s="594">
        <v>42972</v>
      </c>
      <c r="B2431" s="386" t="s">
        <v>100</v>
      </c>
      <c r="C2431" s="328" t="s">
        <v>7597</v>
      </c>
      <c r="D2431" s="328" t="s">
        <v>7598</v>
      </c>
      <c r="E2431" s="328" t="s">
        <v>7601</v>
      </c>
      <c r="F2431" s="305">
        <v>1</v>
      </c>
      <c r="G2431" s="265">
        <v>0</v>
      </c>
      <c r="H2431" s="265">
        <f t="shared" si="171"/>
        <v>0</v>
      </c>
      <c r="I2431" s="254" t="s">
        <v>3315</v>
      </c>
      <c r="J2431" s="361" t="s">
        <v>3578</v>
      </c>
      <c r="K2431" s="256">
        <v>43020</v>
      </c>
      <c r="L2431" s="256"/>
      <c r="M2431" s="256">
        <v>43020</v>
      </c>
      <c r="N2431" s="251" t="s">
        <v>7602</v>
      </c>
      <c r="O2431" s="750"/>
      <c r="P2431" s="593"/>
      <c r="Q2431" s="402" t="s">
        <v>4158</v>
      </c>
      <c r="R2431" s="1434"/>
      <c r="S2431" s="1434"/>
      <c r="U2431" s="328"/>
      <c r="V2431" s="571"/>
      <c r="W2431" s="771"/>
      <c r="X2431" s="748"/>
      <c r="Y2431" s="328"/>
      <c r="Z2431" s="749"/>
      <c r="AA2431" s="328"/>
      <c r="AB2431" s="250" t="s">
        <v>7600</v>
      </c>
      <c r="AC2431" s="251">
        <v>3441702014</v>
      </c>
      <c r="AD2431" s="328"/>
      <c r="AE2431" s="260"/>
      <c r="AF2431" s="744"/>
      <c r="AG2431" s="251" t="s">
        <v>283</v>
      </c>
    </row>
    <row r="2432" spans="1:33" ht="15.75" customHeight="1">
      <c r="A2432" s="594">
        <v>42972</v>
      </c>
      <c r="B2432" s="386" t="s">
        <v>100</v>
      </c>
      <c r="C2432" s="328" t="s">
        <v>7597</v>
      </c>
      <c r="D2432" s="328" t="s">
        <v>7598</v>
      </c>
      <c r="E2432" s="328" t="s">
        <v>7603</v>
      </c>
      <c r="F2432" s="305">
        <v>1</v>
      </c>
      <c r="G2432" s="336">
        <v>125</v>
      </c>
      <c r="H2432" s="265">
        <f t="shared" si="171"/>
        <v>125</v>
      </c>
      <c r="I2432" s="254" t="s">
        <v>3315</v>
      </c>
      <c r="J2432" s="361" t="s">
        <v>3578</v>
      </c>
      <c r="K2432" s="256">
        <v>43020</v>
      </c>
      <c r="L2432" s="256"/>
      <c r="M2432" s="256">
        <v>43000</v>
      </c>
      <c r="N2432" s="251" t="s">
        <v>7602</v>
      </c>
      <c r="O2432" s="308" t="s">
        <v>7604</v>
      </c>
      <c r="P2432" s="308">
        <v>115.5</v>
      </c>
      <c r="Q2432" s="770">
        <v>7268</v>
      </c>
      <c r="R2432" s="1447"/>
      <c r="S2432" s="1447"/>
      <c r="U2432" s="328"/>
      <c r="V2432" s="571" t="s">
        <v>7605</v>
      </c>
      <c r="W2432" s="328"/>
      <c r="X2432" s="748">
        <v>42999</v>
      </c>
      <c r="Y2432" s="328" t="s">
        <v>7606</v>
      </c>
      <c r="Z2432" s="749">
        <v>7268</v>
      </c>
      <c r="AA2432" s="594">
        <v>42996</v>
      </c>
      <c r="AB2432" s="308" t="s">
        <v>7600</v>
      </c>
      <c r="AC2432" s="251">
        <v>3441702014</v>
      </c>
      <c r="AD2432" s="328"/>
      <c r="AE2432" s="328"/>
      <c r="AF2432" s="328"/>
      <c r="AG2432" s="251" t="s">
        <v>283</v>
      </c>
    </row>
    <row r="2433" spans="1:33" ht="15.75" customHeight="1">
      <c r="A2433" s="743">
        <v>42972</v>
      </c>
      <c r="B2433" s="386" t="s">
        <v>100</v>
      </c>
      <c r="C2433" s="328" t="s">
        <v>7597</v>
      </c>
      <c r="D2433" s="328" t="s">
        <v>7598</v>
      </c>
      <c r="E2433" s="328" t="s">
        <v>7607</v>
      </c>
      <c r="F2433" s="305">
        <v>1</v>
      </c>
      <c r="G2433" s="336">
        <v>137</v>
      </c>
      <c r="H2433" s="265">
        <f t="shared" si="171"/>
        <v>137</v>
      </c>
      <c r="I2433" s="254" t="s">
        <v>3315</v>
      </c>
      <c r="J2433" s="367" t="s">
        <v>3578</v>
      </c>
      <c r="K2433" s="256">
        <v>43020</v>
      </c>
      <c r="L2433" s="256"/>
      <c r="M2433" s="256">
        <v>43000</v>
      </c>
      <c r="N2433" s="585" t="s">
        <v>7602</v>
      </c>
      <c r="O2433" s="308" t="s">
        <v>7604</v>
      </c>
      <c r="P2433" s="308">
        <v>126</v>
      </c>
      <c r="Q2433" s="329" t="s">
        <v>7608</v>
      </c>
      <c r="R2433" s="1442"/>
      <c r="S2433" s="1442"/>
      <c r="U2433" s="328"/>
      <c r="V2433" s="338" t="s">
        <v>7605</v>
      </c>
      <c r="W2433" s="328"/>
      <c r="X2433" s="748">
        <v>42999</v>
      </c>
      <c r="Y2433" s="328" t="s">
        <v>7606</v>
      </c>
      <c r="Z2433" s="328" t="s">
        <v>7609</v>
      </c>
      <c r="AA2433" s="594">
        <v>42996</v>
      </c>
      <c r="AB2433" s="250" t="s">
        <v>7600</v>
      </c>
      <c r="AC2433" s="251">
        <v>3441702014</v>
      </c>
      <c r="AD2433" s="328"/>
      <c r="AE2433" s="328"/>
      <c r="AF2433" s="328"/>
      <c r="AG2433" s="251" t="s">
        <v>283</v>
      </c>
    </row>
    <row r="2434" spans="1:33" ht="15.75" customHeight="1">
      <c r="A2434" s="743">
        <v>42972</v>
      </c>
      <c r="B2434" s="386" t="s">
        <v>100</v>
      </c>
      <c r="C2434" s="328" t="s">
        <v>7610</v>
      </c>
      <c r="D2434" s="308" t="s">
        <v>7611</v>
      </c>
      <c r="E2434" s="308" t="s">
        <v>7612</v>
      </c>
      <c r="F2434" s="305">
        <v>2</v>
      </c>
      <c r="G2434" s="252">
        <v>847</v>
      </c>
      <c r="H2434" s="265">
        <f t="shared" si="171"/>
        <v>1694</v>
      </c>
      <c r="I2434" s="254" t="s">
        <v>3315</v>
      </c>
      <c r="J2434" s="367" t="s">
        <v>3578</v>
      </c>
      <c r="K2434" s="256">
        <v>42999</v>
      </c>
      <c r="L2434" s="256"/>
      <c r="M2434" s="256">
        <v>42998</v>
      </c>
      <c r="N2434" s="401" t="s">
        <v>1414</v>
      </c>
      <c r="O2434" s="308" t="s">
        <v>7613</v>
      </c>
      <c r="P2434" s="308"/>
      <c r="Q2434" s="572">
        <v>52024</v>
      </c>
      <c r="R2434" s="1413"/>
      <c r="S2434" s="1413"/>
      <c r="U2434" s="328"/>
      <c r="V2434" s="318" t="s">
        <v>1947</v>
      </c>
      <c r="W2434" s="789">
        <v>43039</v>
      </c>
      <c r="X2434" s="748">
        <v>42997</v>
      </c>
      <c r="Y2434" s="328" t="s">
        <v>7614</v>
      </c>
      <c r="Z2434" s="749">
        <v>52056</v>
      </c>
      <c r="AA2434" s="876"/>
      <c r="AB2434" s="250" t="s">
        <v>7615</v>
      </c>
      <c r="AC2434" s="251">
        <v>3199226446</v>
      </c>
      <c r="AD2434" s="328"/>
      <c r="AE2434" s="328"/>
      <c r="AF2434" s="328"/>
      <c r="AG2434" s="251" t="s">
        <v>283</v>
      </c>
    </row>
    <row r="2435" spans="1:33" ht="15.75" customHeight="1">
      <c r="A2435" s="743">
        <v>42972</v>
      </c>
      <c r="B2435" s="386" t="s">
        <v>100</v>
      </c>
      <c r="C2435" s="328" t="s">
        <v>7610</v>
      </c>
      <c r="D2435" s="308" t="s">
        <v>7611</v>
      </c>
      <c r="E2435" s="308" t="s">
        <v>6829</v>
      </c>
      <c r="F2435" s="305">
        <v>2</v>
      </c>
      <c r="G2435" s="252">
        <f>G2433*10%</f>
        <v>13.700000000000001</v>
      </c>
      <c r="H2435" s="265">
        <f t="shared" si="171"/>
        <v>27.400000000000002</v>
      </c>
      <c r="I2435" s="254" t="s">
        <v>3315</v>
      </c>
      <c r="J2435" s="367" t="s">
        <v>3578</v>
      </c>
      <c r="K2435" s="256">
        <v>42999</v>
      </c>
      <c r="L2435" s="256"/>
      <c r="M2435" s="256">
        <v>42998</v>
      </c>
      <c r="N2435" s="331" t="s">
        <v>1414</v>
      </c>
      <c r="O2435" s="308" t="s">
        <v>7613</v>
      </c>
      <c r="P2435" s="308"/>
      <c r="Q2435" s="574" t="s">
        <v>7616</v>
      </c>
      <c r="R2435" s="1405"/>
      <c r="S2435" s="1405"/>
      <c r="U2435" s="328"/>
      <c r="V2435" s="318" t="s">
        <v>1947</v>
      </c>
      <c r="W2435" s="789">
        <v>43039</v>
      </c>
      <c r="X2435" s="748">
        <v>42997</v>
      </c>
      <c r="Y2435" s="328" t="s">
        <v>7614</v>
      </c>
      <c r="Z2435" s="328" t="s">
        <v>7617</v>
      </c>
      <c r="AA2435" s="1003"/>
      <c r="AB2435" s="250" t="s">
        <v>7615</v>
      </c>
      <c r="AC2435" s="251">
        <v>3199226446</v>
      </c>
      <c r="AD2435" s="328"/>
      <c r="AE2435" s="328"/>
      <c r="AF2435" s="328"/>
      <c r="AG2435" s="251" t="s">
        <v>283</v>
      </c>
    </row>
    <row r="2436" spans="1:33" ht="15.75" customHeight="1">
      <c r="A2436" s="743">
        <v>42972</v>
      </c>
      <c r="B2436" s="386" t="s">
        <v>100</v>
      </c>
      <c r="C2436" s="328" t="s">
        <v>7618</v>
      </c>
      <c r="D2436" s="328" t="s">
        <v>7619</v>
      </c>
      <c r="E2436" s="328" t="s">
        <v>7620</v>
      </c>
      <c r="F2436" s="305">
        <v>2</v>
      </c>
      <c r="G2436" s="336">
        <v>118</v>
      </c>
      <c r="H2436" s="265">
        <f t="shared" si="171"/>
        <v>236</v>
      </c>
      <c r="I2436" s="254" t="s">
        <v>3315</v>
      </c>
      <c r="J2436" s="367" t="s">
        <v>3578</v>
      </c>
      <c r="K2436" s="256">
        <v>42990</v>
      </c>
      <c r="L2436" s="256"/>
      <c r="M2436" s="256">
        <v>42990</v>
      </c>
      <c r="N2436" s="251" t="s">
        <v>1952</v>
      </c>
      <c r="O2436" s="308" t="s">
        <v>7621</v>
      </c>
      <c r="P2436" s="328"/>
      <c r="Q2436" s="572">
        <v>6048</v>
      </c>
      <c r="R2436" s="1413"/>
      <c r="S2436" s="1413"/>
      <c r="U2436" s="328"/>
      <c r="V2436" s="597" t="s">
        <v>3744</v>
      </c>
      <c r="W2436" s="328"/>
      <c r="X2436" s="748">
        <v>42984</v>
      </c>
      <c r="Y2436" s="328" t="s">
        <v>7322</v>
      </c>
      <c r="Z2436" s="328" t="s">
        <v>7622</v>
      </c>
      <c r="AA2436" s="594">
        <v>42983</v>
      </c>
      <c r="AB2436" s="308" t="s">
        <v>7552</v>
      </c>
      <c r="AC2436" s="251">
        <v>6967422711</v>
      </c>
      <c r="AD2436" s="328"/>
      <c r="AE2436" s="328"/>
      <c r="AF2436" s="328"/>
      <c r="AG2436" s="251" t="s">
        <v>283</v>
      </c>
    </row>
    <row r="2437" spans="1:33" ht="15.75" customHeight="1">
      <c r="A2437" s="743">
        <v>42972</v>
      </c>
      <c r="B2437" s="386" t="s">
        <v>228</v>
      </c>
      <c r="C2437" s="328"/>
      <c r="D2437" s="308" t="s">
        <v>7623</v>
      </c>
      <c r="E2437" s="308" t="s">
        <v>3604</v>
      </c>
      <c r="F2437" s="305">
        <v>13</v>
      </c>
      <c r="G2437" s="265">
        <v>336</v>
      </c>
      <c r="H2437" s="265">
        <f t="shared" si="171"/>
        <v>4368</v>
      </c>
      <c r="I2437" s="254" t="s">
        <v>170</v>
      </c>
      <c r="J2437" s="251" t="s">
        <v>89</v>
      </c>
      <c r="K2437" s="256">
        <v>42990</v>
      </c>
      <c r="L2437" s="256"/>
      <c r="M2437" s="256">
        <v>42990</v>
      </c>
      <c r="N2437" s="251" t="s">
        <v>89</v>
      </c>
      <c r="O2437" s="750" t="s">
        <v>7624</v>
      </c>
      <c r="P2437" s="308">
        <v>3917.55</v>
      </c>
      <c r="Q2437" s="328"/>
      <c r="R2437" s="1407"/>
      <c r="S2437" s="1407"/>
      <c r="U2437" s="328"/>
      <c r="V2437" s="571" t="s">
        <v>93</v>
      </c>
      <c r="W2437" s="747">
        <v>43039</v>
      </c>
      <c r="X2437" s="748">
        <v>42990</v>
      </c>
      <c r="Y2437" s="328" t="s">
        <v>7625</v>
      </c>
      <c r="Z2437" s="749">
        <v>945347</v>
      </c>
      <c r="AA2437" s="256">
        <v>43034</v>
      </c>
      <c r="AB2437" s="328" t="s">
        <v>7626</v>
      </c>
      <c r="AC2437" s="328"/>
      <c r="AD2437" s="328" t="s">
        <v>7627</v>
      </c>
      <c r="AE2437" s="260">
        <v>1048766</v>
      </c>
      <c r="AF2437" s="744" t="s">
        <v>5090</v>
      </c>
      <c r="AG2437" s="251" t="s">
        <v>376</v>
      </c>
    </row>
    <row r="2438" spans="1:33" ht="15.75" customHeight="1">
      <c r="A2438" s="743">
        <v>42972</v>
      </c>
      <c r="B2438" s="386" t="s">
        <v>228</v>
      </c>
      <c r="C2438" s="328"/>
      <c r="D2438" s="308" t="s">
        <v>7623</v>
      </c>
      <c r="E2438" s="308" t="s">
        <v>461</v>
      </c>
      <c r="F2438" s="305">
        <v>74</v>
      </c>
      <c r="G2438" s="252">
        <v>407.4</v>
      </c>
      <c r="H2438" s="265">
        <f t="shared" si="171"/>
        <v>30147.599999999999</v>
      </c>
      <c r="I2438" s="254" t="s">
        <v>170</v>
      </c>
      <c r="J2438" s="251" t="s">
        <v>89</v>
      </c>
      <c r="K2438" s="256">
        <v>42990</v>
      </c>
      <c r="L2438" s="256"/>
      <c r="M2438" s="256">
        <v>42990</v>
      </c>
      <c r="N2438" s="251" t="s">
        <v>89</v>
      </c>
      <c r="O2438" s="750" t="s">
        <v>7624</v>
      </c>
      <c r="P2438" s="308">
        <v>27583.5</v>
      </c>
      <c r="Q2438" s="328"/>
      <c r="R2438" s="1407"/>
      <c r="S2438" s="1407"/>
      <c r="U2438" s="328"/>
      <c r="V2438" s="571" t="s">
        <v>93</v>
      </c>
      <c r="W2438" s="747">
        <v>43039</v>
      </c>
      <c r="X2438" s="748">
        <v>42990</v>
      </c>
      <c r="Y2438" s="328" t="s">
        <v>7625</v>
      </c>
      <c r="Z2438" s="328" t="s">
        <v>7628</v>
      </c>
      <c r="AA2438" s="256">
        <v>43034</v>
      </c>
      <c r="AB2438" s="328" t="s">
        <v>7626</v>
      </c>
      <c r="AC2438" s="328"/>
      <c r="AD2438" s="328" t="s">
        <v>7627</v>
      </c>
      <c r="AE2438" s="260">
        <v>1048766</v>
      </c>
      <c r="AF2438" s="744" t="s">
        <v>5090</v>
      </c>
      <c r="AG2438" s="251" t="s">
        <v>376</v>
      </c>
    </row>
    <row r="2439" spans="1:33" ht="15.75" customHeight="1">
      <c r="A2439" s="743">
        <v>42972</v>
      </c>
      <c r="B2439" s="386" t="s">
        <v>100</v>
      </c>
      <c r="C2439" s="328" t="s">
        <v>7618</v>
      </c>
      <c r="D2439" s="328" t="s">
        <v>7619</v>
      </c>
      <c r="E2439" s="328" t="s">
        <v>7629</v>
      </c>
      <c r="F2439" s="305">
        <v>2</v>
      </c>
      <c r="G2439" s="336">
        <v>105</v>
      </c>
      <c r="H2439" s="265">
        <f t="shared" si="171"/>
        <v>210</v>
      </c>
      <c r="I2439" s="254" t="s">
        <v>3315</v>
      </c>
      <c r="J2439" s="367" t="s">
        <v>3578</v>
      </c>
      <c r="K2439" s="256">
        <v>42990</v>
      </c>
      <c r="L2439" s="256"/>
      <c r="M2439" s="256">
        <v>42989</v>
      </c>
      <c r="N2439" s="251" t="s">
        <v>7602</v>
      </c>
      <c r="O2439" s="308" t="s">
        <v>7630</v>
      </c>
      <c r="P2439" s="308">
        <v>178.5</v>
      </c>
      <c r="Q2439" s="770">
        <v>5353</v>
      </c>
      <c r="R2439" s="1447"/>
      <c r="S2439" s="1447"/>
      <c r="U2439" s="328"/>
      <c r="V2439" s="571" t="s">
        <v>7605</v>
      </c>
      <c r="W2439" s="328"/>
      <c r="X2439" s="748">
        <v>42989</v>
      </c>
      <c r="Y2439" s="328" t="s">
        <v>7631</v>
      </c>
      <c r="Z2439" s="749">
        <v>5353</v>
      </c>
      <c r="AA2439" s="594">
        <v>42989</v>
      </c>
      <c r="AB2439" s="250" t="s">
        <v>7552</v>
      </c>
      <c r="AC2439" s="251">
        <v>6967422711</v>
      </c>
      <c r="AD2439" s="328"/>
      <c r="AE2439" s="328"/>
      <c r="AF2439" s="328"/>
      <c r="AG2439" s="251" t="s">
        <v>283</v>
      </c>
    </row>
    <row r="2440" spans="1:33" ht="15.75" customHeight="1">
      <c r="A2440" s="743">
        <v>42972</v>
      </c>
      <c r="B2440" s="386" t="s">
        <v>100</v>
      </c>
      <c r="C2440" s="328" t="s">
        <v>7610</v>
      </c>
      <c r="D2440" s="308" t="s">
        <v>7611</v>
      </c>
      <c r="E2440" s="308" t="s">
        <v>7632</v>
      </c>
      <c r="F2440" s="305">
        <v>2</v>
      </c>
      <c r="G2440" s="252">
        <v>74</v>
      </c>
      <c r="H2440" s="265">
        <f t="shared" si="171"/>
        <v>148</v>
      </c>
      <c r="I2440" s="254" t="s">
        <v>3315</v>
      </c>
      <c r="J2440" s="367" t="s">
        <v>3578</v>
      </c>
      <c r="K2440" s="256">
        <v>42999</v>
      </c>
      <c r="L2440" s="256"/>
      <c r="M2440" s="256">
        <v>42976</v>
      </c>
      <c r="N2440" s="251" t="s">
        <v>1952</v>
      </c>
      <c r="O2440" s="308" t="s">
        <v>7633</v>
      </c>
      <c r="P2440" s="328"/>
      <c r="Q2440" s="337"/>
      <c r="R2440" s="1416"/>
      <c r="S2440" s="1416"/>
      <c r="U2440" s="328"/>
      <c r="V2440" s="308"/>
      <c r="W2440" s="789">
        <v>43056</v>
      </c>
      <c r="X2440" s="750">
        <v>43020</v>
      </c>
      <c r="Y2440" s="250" t="s">
        <v>7634</v>
      </c>
      <c r="Z2440" s="753">
        <v>8946</v>
      </c>
      <c r="AA2440" s="594">
        <v>43053</v>
      </c>
      <c r="AB2440" s="250" t="s">
        <v>7615</v>
      </c>
      <c r="AC2440" s="251">
        <v>3199226446</v>
      </c>
      <c r="AD2440" s="328"/>
      <c r="AE2440" s="328"/>
      <c r="AF2440" s="328"/>
      <c r="AG2440" s="251" t="s">
        <v>283</v>
      </c>
    </row>
    <row r="2441" spans="1:33" ht="15.75" customHeight="1">
      <c r="A2441" s="743">
        <v>42975</v>
      </c>
      <c r="B2441" s="386" t="s">
        <v>577</v>
      </c>
      <c r="C2441" s="744">
        <v>20170825001</v>
      </c>
      <c r="D2441" s="328" t="s">
        <v>7635</v>
      </c>
      <c r="E2441" s="328" t="s">
        <v>3967</v>
      </c>
      <c r="F2441" s="251">
        <v>1</v>
      </c>
      <c r="G2441" s="336">
        <v>157.5</v>
      </c>
      <c r="H2441" s="265">
        <f t="shared" si="171"/>
        <v>157.5</v>
      </c>
      <c r="I2441" s="254" t="s">
        <v>170</v>
      </c>
      <c r="J2441" s="251" t="s">
        <v>580</v>
      </c>
      <c r="K2441" s="256">
        <v>42978</v>
      </c>
      <c r="L2441" s="256"/>
      <c r="M2441" s="256">
        <v>42978</v>
      </c>
      <c r="N2441" s="401" t="s">
        <v>1414</v>
      </c>
      <c r="O2441" s="308" t="s">
        <v>7636</v>
      </c>
      <c r="P2441" s="308"/>
      <c r="Q2441" s="572">
        <v>3957</v>
      </c>
      <c r="R2441" s="1413"/>
      <c r="S2441" s="1413"/>
      <c r="U2441" s="328"/>
      <c r="V2441" s="308" t="s">
        <v>1947</v>
      </c>
      <c r="W2441" s="789">
        <v>43039</v>
      </c>
      <c r="X2441" s="748">
        <v>42979</v>
      </c>
      <c r="Y2441" s="744" t="s">
        <v>7637</v>
      </c>
      <c r="Z2441" s="749">
        <v>3957</v>
      </c>
      <c r="AA2441" s="251"/>
      <c r="AB2441" s="744" t="s">
        <v>7638</v>
      </c>
      <c r="AC2441" s="328"/>
      <c r="AD2441" s="328"/>
      <c r="AE2441" s="260">
        <v>4804</v>
      </c>
      <c r="AF2441" s="744" t="s">
        <v>7276</v>
      </c>
      <c r="AG2441" s="251" t="s">
        <v>376</v>
      </c>
    </row>
    <row r="2442" spans="1:33" ht="15.75" customHeight="1">
      <c r="A2442" s="743">
        <v>42976</v>
      </c>
      <c r="B2442" s="386" t="s">
        <v>6626</v>
      </c>
      <c r="C2442" s="328" t="s">
        <v>7639</v>
      </c>
      <c r="D2442" s="328" t="s">
        <v>7640</v>
      </c>
      <c r="E2442" s="328" t="s">
        <v>3447</v>
      </c>
      <c r="F2442" s="251">
        <v>12</v>
      </c>
      <c r="G2442" s="772">
        <v>370</v>
      </c>
      <c r="H2442" s="572">
        <f t="shared" si="171"/>
        <v>4440</v>
      </c>
      <c r="I2442" s="254" t="s">
        <v>419</v>
      </c>
      <c r="J2442" s="367" t="s">
        <v>7641</v>
      </c>
      <c r="K2442" s="1058">
        <v>43025</v>
      </c>
      <c r="L2442" s="1058"/>
      <c r="M2442" s="256">
        <v>43004</v>
      </c>
      <c r="N2442" s="251" t="s">
        <v>89</v>
      </c>
      <c r="O2442" s="308" t="s">
        <v>7642</v>
      </c>
      <c r="P2442" s="308">
        <f>332*F2442*1.05</f>
        <v>4183.2</v>
      </c>
      <c r="Q2442" s="1059"/>
      <c r="R2442" s="1449"/>
      <c r="S2442" s="1449"/>
      <c r="U2442" s="328"/>
      <c r="V2442" s="338" t="s">
        <v>93</v>
      </c>
      <c r="W2442" s="747">
        <v>43069</v>
      </c>
      <c r="X2442" s="748">
        <v>43004</v>
      </c>
      <c r="Y2442" s="328" t="s">
        <v>7643</v>
      </c>
      <c r="Z2442" s="749">
        <v>1301699</v>
      </c>
      <c r="AA2442" s="594">
        <v>43067</v>
      </c>
      <c r="AB2442" s="308" t="s">
        <v>7644</v>
      </c>
      <c r="AC2442" s="328" t="s">
        <v>7645</v>
      </c>
      <c r="AD2442" s="328"/>
      <c r="AE2442" s="328"/>
      <c r="AF2442" s="328"/>
      <c r="AG2442" s="251" t="s">
        <v>283</v>
      </c>
    </row>
    <row r="2443" spans="1:33" ht="15.75" customHeight="1">
      <c r="A2443" s="743">
        <v>42976</v>
      </c>
      <c r="B2443" s="386" t="s">
        <v>6626</v>
      </c>
      <c r="C2443" s="328" t="s">
        <v>7639</v>
      </c>
      <c r="D2443" s="328" t="s">
        <v>7640</v>
      </c>
      <c r="E2443" s="328" t="s">
        <v>7646</v>
      </c>
      <c r="F2443" s="251">
        <v>4</v>
      </c>
      <c r="G2443" s="772">
        <v>500</v>
      </c>
      <c r="H2443" s="572">
        <f t="shared" si="171"/>
        <v>2000</v>
      </c>
      <c r="I2443" s="254" t="s">
        <v>419</v>
      </c>
      <c r="J2443" s="367" t="s">
        <v>7641</v>
      </c>
      <c r="K2443" s="1058">
        <v>43025</v>
      </c>
      <c r="L2443" s="1058"/>
      <c r="M2443" s="256">
        <v>43004</v>
      </c>
      <c r="N2443" s="251" t="s">
        <v>89</v>
      </c>
      <c r="O2443" s="308" t="s">
        <v>7642</v>
      </c>
      <c r="P2443" s="308">
        <f>425*F2443*1.05</f>
        <v>1785</v>
      </c>
      <c r="Q2443" s="1059"/>
      <c r="R2443" s="1449"/>
      <c r="S2443" s="1449"/>
      <c r="U2443" s="328"/>
      <c r="V2443" s="338" t="s">
        <v>93</v>
      </c>
      <c r="W2443" s="747">
        <v>43069</v>
      </c>
      <c r="X2443" s="748">
        <v>43004</v>
      </c>
      <c r="Y2443" s="328" t="s">
        <v>7643</v>
      </c>
      <c r="Z2443" s="328" t="s">
        <v>7647</v>
      </c>
      <c r="AA2443" s="594">
        <v>43067</v>
      </c>
      <c r="AB2443" s="308" t="s">
        <v>7644</v>
      </c>
      <c r="AC2443" s="328" t="s">
        <v>7645</v>
      </c>
      <c r="AD2443" s="328"/>
      <c r="AE2443" s="328"/>
      <c r="AF2443" s="328"/>
      <c r="AG2443" s="251" t="s">
        <v>283</v>
      </c>
    </row>
    <row r="2444" spans="1:33" ht="15.75" customHeight="1">
      <c r="A2444" s="743">
        <v>42976</v>
      </c>
      <c r="B2444" s="386" t="s">
        <v>6626</v>
      </c>
      <c r="C2444" s="328" t="s">
        <v>7639</v>
      </c>
      <c r="D2444" s="328" t="s">
        <v>7640</v>
      </c>
      <c r="E2444" s="328" t="s">
        <v>7648</v>
      </c>
      <c r="F2444" s="251">
        <v>2</v>
      </c>
      <c r="G2444" s="772">
        <v>1020</v>
      </c>
      <c r="H2444" s="572">
        <f t="shared" si="171"/>
        <v>2040</v>
      </c>
      <c r="I2444" s="254" t="s">
        <v>419</v>
      </c>
      <c r="J2444" s="367" t="s">
        <v>7641</v>
      </c>
      <c r="K2444" s="1058">
        <v>43025</v>
      </c>
      <c r="L2444" s="1058"/>
      <c r="M2444" s="256">
        <v>43004</v>
      </c>
      <c r="N2444" s="251" t="s">
        <v>89</v>
      </c>
      <c r="O2444" s="308" t="s">
        <v>7642</v>
      </c>
      <c r="P2444" s="308">
        <f>800*F2444*1.05</f>
        <v>1680</v>
      </c>
      <c r="Q2444" s="1060"/>
      <c r="R2444" s="1450"/>
      <c r="S2444" s="1450"/>
      <c r="U2444" s="328"/>
      <c r="V2444" s="338" t="s">
        <v>93</v>
      </c>
      <c r="W2444" s="747">
        <v>43069</v>
      </c>
      <c r="X2444" s="748">
        <v>43004</v>
      </c>
      <c r="Y2444" s="328" t="s">
        <v>7643</v>
      </c>
      <c r="Z2444" s="328" t="s">
        <v>7647</v>
      </c>
      <c r="AA2444" s="594">
        <v>43067</v>
      </c>
      <c r="AB2444" s="308" t="s">
        <v>7644</v>
      </c>
      <c r="AC2444" s="328" t="s">
        <v>7645</v>
      </c>
      <c r="AD2444" s="328"/>
      <c r="AE2444" s="328"/>
      <c r="AF2444" s="328"/>
      <c r="AG2444" s="251" t="s">
        <v>283</v>
      </c>
    </row>
    <row r="2445" spans="1:33" ht="15.75" customHeight="1">
      <c r="A2445" s="743">
        <v>42976</v>
      </c>
      <c r="B2445" s="386" t="s">
        <v>6626</v>
      </c>
      <c r="C2445" s="328" t="s">
        <v>7639</v>
      </c>
      <c r="D2445" s="328" t="s">
        <v>7640</v>
      </c>
      <c r="E2445" s="328" t="s">
        <v>3449</v>
      </c>
      <c r="F2445" s="251">
        <v>2</v>
      </c>
      <c r="G2445" s="336">
        <v>1045</v>
      </c>
      <c r="H2445" s="572">
        <f t="shared" si="171"/>
        <v>2090</v>
      </c>
      <c r="I2445" s="254" t="s">
        <v>419</v>
      </c>
      <c r="J2445" s="367" t="s">
        <v>7641</v>
      </c>
      <c r="K2445" s="1058">
        <v>43025</v>
      </c>
      <c r="L2445" s="1058"/>
      <c r="M2445" s="256">
        <v>43004</v>
      </c>
      <c r="N2445" s="251" t="s">
        <v>89</v>
      </c>
      <c r="O2445" s="308" t="s">
        <v>7642</v>
      </c>
      <c r="P2445" s="308">
        <f>920*F2445*1.05</f>
        <v>1932</v>
      </c>
      <c r="Q2445" s="1060"/>
      <c r="R2445" s="1450"/>
      <c r="S2445" s="1450"/>
      <c r="U2445" s="328"/>
      <c r="V2445" s="338" t="s">
        <v>93</v>
      </c>
      <c r="W2445" s="747">
        <v>43069</v>
      </c>
      <c r="X2445" s="748">
        <v>43004</v>
      </c>
      <c r="Y2445" s="328" t="s">
        <v>7643</v>
      </c>
      <c r="Z2445" s="328" t="s">
        <v>7647</v>
      </c>
      <c r="AA2445" s="594">
        <v>43067</v>
      </c>
      <c r="AB2445" s="308" t="s">
        <v>7644</v>
      </c>
      <c r="AC2445" s="328" t="s">
        <v>7645</v>
      </c>
      <c r="AD2445" s="328"/>
      <c r="AE2445" s="328"/>
      <c r="AF2445" s="328"/>
      <c r="AG2445" s="251" t="s">
        <v>283</v>
      </c>
    </row>
    <row r="2446" spans="1:33" ht="15.75" customHeight="1">
      <c r="A2446" s="743">
        <v>42976</v>
      </c>
      <c r="B2446" s="386" t="s">
        <v>6626</v>
      </c>
      <c r="C2446" s="328" t="s">
        <v>7639</v>
      </c>
      <c r="D2446" s="328" t="s">
        <v>7640</v>
      </c>
      <c r="E2446" s="328" t="s">
        <v>3450</v>
      </c>
      <c r="F2446" s="251">
        <v>2</v>
      </c>
      <c r="G2446" s="336">
        <v>335</v>
      </c>
      <c r="H2446" s="572">
        <f t="shared" si="171"/>
        <v>670</v>
      </c>
      <c r="I2446" s="254" t="s">
        <v>419</v>
      </c>
      <c r="J2446" s="367" t="s">
        <v>7641</v>
      </c>
      <c r="K2446" s="1058">
        <v>43025</v>
      </c>
      <c r="L2446" s="1058"/>
      <c r="M2446" s="256">
        <v>43004</v>
      </c>
      <c r="N2446" s="585" t="s">
        <v>89</v>
      </c>
      <c r="O2446" s="308" t="s">
        <v>7642</v>
      </c>
      <c r="P2446" s="308">
        <f>290*F2446*1.05</f>
        <v>609</v>
      </c>
      <c r="Q2446" s="1060"/>
      <c r="R2446" s="1450"/>
      <c r="S2446" s="1450"/>
      <c r="U2446" s="328"/>
      <c r="V2446" s="338" t="s">
        <v>93</v>
      </c>
      <c r="W2446" s="747">
        <v>43069</v>
      </c>
      <c r="X2446" s="748">
        <v>43004</v>
      </c>
      <c r="Y2446" s="328" t="s">
        <v>7643</v>
      </c>
      <c r="Z2446" s="328" t="s">
        <v>7647</v>
      </c>
      <c r="AA2446" s="594">
        <v>43067</v>
      </c>
      <c r="AB2446" s="308" t="s">
        <v>7644</v>
      </c>
      <c r="AC2446" s="328" t="s">
        <v>7645</v>
      </c>
      <c r="AD2446" s="328"/>
      <c r="AE2446" s="328"/>
      <c r="AF2446" s="328"/>
      <c r="AG2446" s="251" t="s">
        <v>283</v>
      </c>
    </row>
    <row r="2447" spans="1:33" ht="15.75" customHeight="1">
      <c r="A2447" s="743">
        <v>42976</v>
      </c>
      <c r="B2447" s="386" t="s">
        <v>6626</v>
      </c>
      <c r="C2447" s="328" t="s">
        <v>7639</v>
      </c>
      <c r="D2447" s="328" t="s">
        <v>7640</v>
      </c>
      <c r="E2447" s="328" t="s">
        <v>7649</v>
      </c>
      <c r="F2447" s="251">
        <v>1</v>
      </c>
      <c r="G2447" s="336">
        <v>179</v>
      </c>
      <c r="H2447" s="572">
        <f t="shared" si="171"/>
        <v>179</v>
      </c>
      <c r="I2447" s="254" t="s">
        <v>419</v>
      </c>
      <c r="J2447" s="367" t="s">
        <v>7641</v>
      </c>
      <c r="K2447" s="1058">
        <v>43025</v>
      </c>
      <c r="L2447" s="1058"/>
      <c r="M2447" s="256">
        <v>43004</v>
      </c>
      <c r="N2447" s="251" t="s">
        <v>89</v>
      </c>
      <c r="O2447" s="308" t="s">
        <v>7642</v>
      </c>
      <c r="P2447" s="308">
        <f>150*F2447*1.05</f>
        <v>157.5</v>
      </c>
      <c r="Q2447" s="773"/>
      <c r="R2447" s="1450"/>
      <c r="S2447" s="1450"/>
      <c r="U2447" s="328"/>
      <c r="V2447" s="338" t="s">
        <v>93</v>
      </c>
      <c r="W2447" s="747">
        <v>43069</v>
      </c>
      <c r="X2447" s="748">
        <v>43004</v>
      </c>
      <c r="Y2447" s="328" t="s">
        <v>7643</v>
      </c>
      <c r="Z2447" s="328" t="s">
        <v>7647</v>
      </c>
      <c r="AA2447" s="594">
        <v>43067</v>
      </c>
      <c r="AB2447" s="308" t="s">
        <v>7644</v>
      </c>
      <c r="AC2447" s="328" t="s">
        <v>7645</v>
      </c>
      <c r="AD2447" s="328"/>
      <c r="AE2447" s="328"/>
      <c r="AF2447" s="328"/>
      <c r="AG2447" s="251" t="s">
        <v>283</v>
      </c>
    </row>
    <row r="2448" spans="1:33" ht="15.75" customHeight="1">
      <c r="A2448" s="743">
        <v>42976</v>
      </c>
      <c r="B2448" s="386" t="s">
        <v>6626</v>
      </c>
      <c r="C2448" s="328" t="s">
        <v>7639</v>
      </c>
      <c r="D2448" s="328" t="s">
        <v>7640</v>
      </c>
      <c r="E2448" s="328" t="s">
        <v>7650</v>
      </c>
      <c r="F2448" s="251">
        <v>20</v>
      </c>
      <c r="G2448" s="336">
        <v>105</v>
      </c>
      <c r="H2448" s="572">
        <f t="shared" si="171"/>
        <v>2100</v>
      </c>
      <c r="I2448" s="254" t="s">
        <v>419</v>
      </c>
      <c r="J2448" s="367" t="s">
        <v>7641</v>
      </c>
      <c r="K2448" s="1058">
        <v>43025</v>
      </c>
      <c r="L2448" s="1058"/>
      <c r="M2448" s="256">
        <v>43004</v>
      </c>
      <c r="N2448" s="251" t="s">
        <v>89</v>
      </c>
      <c r="O2448" s="308" t="s">
        <v>7642</v>
      </c>
      <c r="P2448" s="308">
        <f>82*F2448*1.05</f>
        <v>1722</v>
      </c>
      <c r="Q2448" s="773"/>
      <c r="R2448" s="1450"/>
      <c r="S2448" s="1450"/>
      <c r="U2448" s="328"/>
      <c r="V2448" s="338" t="s">
        <v>93</v>
      </c>
      <c r="W2448" s="747">
        <v>43069</v>
      </c>
      <c r="X2448" s="748">
        <v>43004</v>
      </c>
      <c r="Y2448" s="328" t="s">
        <v>7643</v>
      </c>
      <c r="Z2448" s="328" t="s">
        <v>7647</v>
      </c>
      <c r="AA2448" s="594">
        <v>43067</v>
      </c>
      <c r="AB2448" s="308" t="s">
        <v>7644</v>
      </c>
      <c r="AC2448" s="328" t="s">
        <v>7645</v>
      </c>
      <c r="AD2448" s="328"/>
      <c r="AE2448" s="328"/>
      <c r="AF2448" s="328"/>
      <c r="AG2448" s="251" t="s">
        <v>283</v>
      </c>
    </row>
    <row r="2449" spans="1:33" ht="15.75" customHeight="1">
      <c r="A2449" s="743">
        <v>42976</v>
      </c>
      <c r="B2449" s="386" t="s">
        <v>6626</v>
      </c>
      <c r="C2449" s="328" t="s">
        <v>7639</v>
      </c>
      <c r="D2449" s="328" t="s">
        <v>7640</v>
      </c>
      <c r="E2449" s="328" t="s">
        <v>7651</v>
      </c>
      <c r="F2449" s="251">
        <v>1</v>
      </c>
      <c r="G2449" s="336">
        <v>46</v>
      </c>
      <c r="H2449" s="572">
        <f t="shared" si="171"/>
        <v>46</v>
      </c>
      <c r="I2449" s="254" t="s">
        <v>419</v>
      </c>
      <c r="J2449" s="367" t="s">
        <v>7641</v>
      </c>
      <c r="K2449" s="1058">
        <v>43025</v>
      </c>
      <c r="L2449" s="1058"/>
      <c r="M2449" s="256">
        <v>43004</v>
      </c>
      <c r="N2449" s="251" t="s">
        <v>89</v>
      </c>
      <c r="O2449" s="308" t="s">
        <v>7642</v>
      </c>
      <c r="P2449" s="308">
        <f>38*F2449*1.05</f>
        <v>39.9</v>
      </c>
      <c r="Q2449" s="773"/>
      <c r="R2449" s="1450"/>
      <c r="S2449" s="1450"/>
      <c r="U2449" s="328"/>
      <c r="V2449" s="338" t="s">
        <v>93</v>
      </c>
      <c r="W2449" s="747">
        <v>43069</v>
      </c>
      <c r="X2449" s="748">
        <v>43004</v>
      </c>
      <c r="Y2449" s="328" t="s">
        <v>7643</v>
      </c>
      <c r="Z2449" s="328" t="s">
        <v>7647</v>
      </c>
      <c r="AA2449" s="594">
        <v>43067</v>
      </c>
      <c r="AB2449" s="308" t="s">
        <v>7644</v>
      </c>
      <c r="AC2449" s="328" t="s">
        <v>7645</v>
      </c>
      <c r="AD2449" s="328"/>
      <c r="AE2449" s="328"/>
      <c r="AF2449" s="328"/>
      <c r="AG2449" s="251" t="s">
        <v>283</v>
      </c>
    </row>
    <row r="2450" spans="1:33" ht="15.75" customHeight="1">
      <c r="A2450" s="743">
        <v>42976</v>
      </c>
      <c r="B2450" s="386" t="s">
        <v>6626</v>
      </c>
      <c r="C2450" s="328" t="s">
        <v>7639</v>
      </c>
      <c r="D2450" s="328" t="s">
        <v>7640</v>
      </c>
      <c r="E2450" s="328" t="s">
        <v>3627</v>
      </c>
      <c r="F2450" s="251">
        <v>2</v>
      </c>
      <c r="G2450" s="336">
        <v>930</v>
      </c>
      <c r="H2450" s="572">
        <f t="shared" si="171"/>
        <v>1860</v>
      </c>
      <c r="I2450" s="254" t="s">
        <v>419</v>
      </c>
      <c r="J2450" s="367" t="s">
        <v>7641</v>
      </c>
      <c r="K2450" s="1058">
        <v>43025</v>
      </c>
      <c r="L2450" s="1058"/>
      <c r="M2450" s="256">
        <v>43004</v>
      </c>
      <c r="N2450" s="251" t="s">
        <v>3628</v>
      </c>
      <c r="O2450" s="308" t="s">
        <v>7652</v>
      </c>
      <c r="P2450" s="308">
        <v>1728.3</v>
      </c>
      <c r="Q2450" s="773"/>
      <c r="R2450" s="1450"/>
      <c r="S2450" s="1450"/>
      <c r="U2450" s="328"/>
      <c r="V2450" s="318" t="s">
        <v>3285</v>
      </c>
      <c r="W2450" s="308"/>
      <c r="X2450" s="748">
        <v>42986</v>
      </c>
      <c r="Y2450" s="328" t="s">
        <v>7653</v>
      </c>
      <c r="Z2450" s="749">
        <v>51910</v>
      </c>
      <c r="AA2450" s="594">
        <v>42989</v>
      </c>
      <c r="AB2450" s="308" t="s">
        <v>7644</v>
      </c>
      <c r="AC2450" s="328" t="s">
        <v>7645</v>
      </c>
      <c r="AD2450" s="328"/>
      <c r="AE2450" s="328"/>
      <c r="AF2450" s="328"/>
      <c r="AG2450" s="251" t="s">
        <v>283</v>
      </c>
    </row>
    <row r="2451" spans="1:33" ht="15.75" customHeight="1">
      <c r="A2451" s="743">
        <v>42976</v>
      </c>
      <c r="B2451" s="386" t="s">
        <v>6626</v>
      </c>
      <c r="C2451" s="328" t="s">
        <v>7639</v>
      </c>
      <c r="D2451" s="328" t="s">
        <v>7654</v>
      </c>
      <c r="E2451" s="328" t="s">
        <v>3447</v>
      </c>
      <c r="F2451" s="251">
        <v>52</v>
      </c>
      <c r="G2451" s="336">
        <v>370</v>
      </c>
      <c r="H2451" s="572">
        <f t="shared" si="171"/>
        <v>19240</v>
      </c>
      <c r="I2451" s="254" t="s">
        <v>419</v>
      </c>
      <c r="J2451" s="367" t="s">
        <v>7641</v>
      </c>
      <c r="K2451" s="256">
        <v>43052</v>
      </c>
      <c r="L2451" s="256"/>
      <c r="M2451" s="256">
        <v>43004</v>
      </c>
      <c r="N2451" s="251" t="s">
        <v>89</v>
      </c>
      <c r="O2451" s="308" t="s">
        <v>7642</v>
      </c>
      <c r="P2451" s="308">
        <f>332*F2451*1.05</f>
        <v>18127.2</v>
      </c>
      <c r="Q2451" s="658"/>
      <c r="R2451" s="1418"/>
      <c r="S2451" s="1418"/>
      <c r="U2451" s="328"/>
      <c r="V2451" s="338" t="s">
        <v>93</v>
      </c>
      <c r="W2451" s="747">
        <v>43069</v>
      </c>
      <c r="X2451" s="748">
        <v>43004</v>
      </c>
      <c r="Y2451" s="328" t="s">
        <v>7643</v>
      </c>
      <c r="Z2451" s="328" t="s">
        <v>7647</v>
      </c>
      <c r="AA2451" s="594">
        <v>43067</v>
      </c>
      <c r="AB2451" s="264" t="s">
        <v>7655</v>
      </c>
      <c r="AC2451" s="328" t="s">
        <v>7656</v>
      </c>
      <c r="AD2451" s="328"/>
      <c r="AE2451" s="328"/>
      <c r="AF2451" s="328"/>
      <c r="AG2451" s="251" t="s">
        <v>283</v>
      </c>
    </row>
    <row r="2452" spans="1:33" ht="15.75" customHeight="1">
      <c r="A2452" s="743">
        <v>42976</v>
      </c>
      <c r="B2452" s="386" t="s">
        <v>6626</v>
      </c>
      <c r="C2452" s="328" t="s">
        <v>7639</v>
      </c>
      <c r="D2452" s="328" t="s">
        <v>7654</v>
      </c>
      <c r="E2452" s="328" t="s">
        <v>7646</v>
      </c>
      <c r="F2452" s="251">
        <v>12</v>
      </c>
      <c r="G2452" s="336">
        <v>500</v>
      </c>
      <c r="H2452" s="572">
        <f t="shared" si="171"/>
        <v>6000</v>
      </c>
      <c r="I2452" s="254" t="s">
        <v>419</v>
      </c>
      <c r="J2452" s="367" t="s">
        <v>7641</v>
      </c>
      <c r="K2452" s="256">
        <v>43052</v>
      </c>
      <c r="L2452" s="256"/>
      <c r="M2452" s="256">
        <v>43004</v>
      </c>
      <c r="N2452" s="251" t="s">
        <v>89</v>
      </c>
      <c r="O2452" s="308" t="s">
        <v>7642</v>
      </c>
      <c r="P2452" s="308">
        <f>425*F2452*1.05</f>
        <v>5355</v>
      </c>
      <c r="Q2452" s="658"/>
      <c r="R2452" s="1418"/>
      <c r="S2452" s="1418"/>
      <c r="U2452" s="328"/>
      <c r="V2452" s="338" t="s">
        <v>93</v>
      </c>
      <c r="W2452" s="747">
        <v>43069</v>
      </c>
      <c r="X2452" s="748">
        <v>43004</v>
      </c>
      <c r="Y2452" s="328" t="s">
        <v>7643</v>
      </c>
      <c r="Z2452" s="328" t="s">
        <v>7647</v>
      </c>
      <c r="AA2452" s="594">
        <v>43067</v>
      </c>
      <c r="AB2452" s="264" t="s">
        <v>7655</v>
      </c>
      <c r="AC2452" s="328" t="s">
        <v>7656</v>
      </c>
      <c r="AD2452" s="328"/>
      <c r="AE2452" s="328"/>
      <c r="AF2452" s="328"/>
      <c r="AG2452" s="251" t="s">
        <v>283</v>
      </c>
    </row>
    <row r="2453" spans="1:33" ht="15.75" customHeight="1">
      <c r="A2453" s="743">
        <v>42976</v>
      </c>
      <c r="B2453" s="386" t="s">
        <v>6626</v>
      </c>
      <c r="C2453" s="328" t="s">
        <v>7639</v>
      </c>
      <c r="D2453" s="328" t="s">
        <v>7654</v>
      </c>
      <c r="E2453" s="328" t="s">
        <v>7648</v>
      </c>
      <c r="F2453" s="251">
        <v>4</v>
      </c>
      <c r="G2453" s="336">
        <v>1020</v>
      </c>
      <c r="H2453" s="572">
        <f t="shared" si="171"/>
        <v>4080</v>
      </c>
      <c r="I2453" s="254" t="s">
        <v>419</v>
      </c>
      <c r="J2453" s="367" t="s">
        <v>7641</v>
      </c>
      <c r="K2453" s="256">
        <v>43052</v>
      </c>
      <c r="L2453" s="256"/>
      <c r="M2453" s="256">
        <v>43004</v>
      </c>
      <c r="N2453" s="251" t="s">
        <v>89</v>
      </c>
      <c r="O2453" s="308" t="s">
        <v>7642</v>
      </c>
      <c r="P2453" s="308">
        <f>800*F2453*1.05</f>
        <v>3360</v>
      </c>
      <c r="Q2453" s="658"/>
      <c r="R2453" s="1418"/>
      <c r="S2453" s="1418"/>
      <c r="U2453" s="328"/>
      <c r="V2453" s="338" t="s">
        <v>93</v>
      </c>
      <c r="W2453" s="747">
        <v>43069</v>
      </c>
      <c r="X2453" s="748">
        <v>43004</v>
      </c>
      <c r="Y2453" s="328" t="s">
        <v>7643</v>
      </c>
      <c r="Z2453" s="328" t="s">
        <v>7647</v>
      </c>
      <c r="AA2453" s="594">
        <v>43067</v>
      </c>
      <c r="AB2453" s="264" t="s">
        <v>7655</v>
      </c>
      <c r="AC2453" s="328" t="s">
        <v>7656</v>
      </c>
      <c r="AD2453" s="328"/>
      <c r="AE2453" s="328"/>
      <c r="AF2453" s="328"/>
      <c r="AG2453" s="251" t="s">
        <v>283</v>
      </c>
    </row>
    <row r="2454" spans="1:33" ht="15.75" customHeight="1">
      <c r="A2454" s="743">
        <v>42976</v>
      </c>
      <c r="B2454" s="386" t="s">
        <v>6626</v>
      </c>
      <c r="C2454" s="328" t="s">
        <v>7639</v>
      </c>
      <c r="D2454" s="328" t="s">
        <v>7654</v>
      </c>
      <c r="E2454" s="328" t="s">
        <v>7650</v>
      </c>
      <c r="F2454" s="251">
        <v>50</v>
      </c>
      <c r="G2454" s="336">
        <v>105</v>
      </c>
      <c r="H2454" s="572">
        <f t="shared" si="171"/>
        <v>5250</v>
      </c>
      <c r="I2454" s="254" t="s">
        <v>419</v>
      </c>
      <c r="J2454" s="367" t="s">
        <v>7641</v>
      </c>
      <c r="K2454" s="256">
        <v>43052</v>
      </c>
      <c r="L2454" s="256"/>
      <c r="M2454" s="256">
        <v>43004</v>
      </c>
      <c r="N2454" s="251" t="s">
        <v>89</v>
      </c>
      <c r="O2454" s="308" t="s">
        <v>7642</v>
      </c>
      <c r="P2454" s="308">
        <f>82*F2454*1.05</f>
        <v>4305</v>
      </c>
      <c r="Q2454" s="658"/>
      <c r="R2454" s="1418"/>
      <c r="S2454" s="1418"/>
      <c r="U2454" s="328"/>
      <c r="V2454" s="338" t="s">
        <v>93</v>
      </c>
      <c r="W2454" s="747">
        <v>43069</v>
      </c>
      <c r="X2454" s="748">
        <v>43004</v>
      </c>
      <c r="Y2454" s="328" t="s">
        <v>7643</v>
      </c>
      <c r="Z2454" s="328" t="s">
        <v>7647</v>
      </c>
      <c r="AA2454" s="594">
        <v>43067</v>
      </c>
      <c r="AB2454" s="264" t="s">
        <v>7655</v>
      </c>
      <c r="AC2454" s="328" t="s">
        <v>7656</v>
      </c>
      <c r="AD2454" s="328"/>
      <c r="AE2454" s="328"/>
      <c r="AF2454" s="328"/>
      <c r="AG2454" s="251" t="s">
        <v>283</v>
      </c>
    </row>
    <row r="2455" spans="1:33" ht="15.75" customHeight="1">
      <c r="A2455" s="743">
        <v>42976</v>
      </c>
      <c r="B2455" s="386" t="s">
        <v>6626</v>
      </c>
      <c r="C2455" s="328" t="s">
        <v>7639</v>
      </c>
      <c r="D2455" s="328" t="s">
        <v>7654</v>
      </c>
      <c r="E2455" s="328" t="s">
        <v>7651</v>
      </c>
      <c r="F2455" s="251">
        <v>3</v>
      </c>
      <c r="G2455" s="336">
        <v>46</v>
      </c>
      <c r="H2455" s="572">
        <f t="shared" si="171"/>
        <v>138</v>
      </c>
      <c r="I2455" s="254" t="s">
        <v>419</v>
      </c>
      <c r="J2455" s="367" t="s">
        <v>7641</v>
      </c>
      <c r="K2455" s="256">
        <v>43052</v>
      </c>
      <c r="L2455" s="256"/>
      <c r="M2455" s="256">
        <v>43004</v>
      </c>
      <c r="N2455" s="251" t="s">
        <v>89</v>
      </c>
      <c r="O2455" s="308" t="s">
        <v>7642</v>
      </c>
      <c r="P2455" s="308">
        <f>38*F2455*1.05</f>
        <v>119.7</v>
      </c>
      <c r="Q2455" s="658"/>
      <c r="R2455" s="1418"/>
      <c r="S2455" s="1418"/>
      <c r="U2455" s="328"/>
      <c r="V2455" s="338" t="s">
        <v>93</v>
      </c>
      <c r="W2455" s="747">
        <v>43069</v>
      </c>
      <c r="X2455" s="748">
        <v>43004</v>
      </c>
      <c r="Y2455" s="328" t="s">
        <v>7643</v>
      </c>
      <c r="Z2455" s="328" t="s">
        <v>7647</v>
      </c>
      <c r="AA2455" s="594">
        <v>43067</v>
      </c>
      <c r="AB2455" s="264" t="s">
        <v>7655</v>
      </c>
      <c r="AC2455" s="328" t="s">
        <v>7656</v>
      </c>
      <c r="AD2455" s="328"/>
      <c r="AE2455" s="328"/>
      <c r="AF2455" s="328"/>
      <c r="AG2455" s="251" t="s">
        <v>283</v>
      </c>
    </row>
    <row r="2456" spans="1:33" ht="15.75" customHeight="1">
      <c r="A2456" s="743">
        <v>42977</v>
      </c>
      <c r="B2456" s="970" t="s">
        <v>3347</v>
      </c>
      <c r="C2456" s="744" t="s">
        <v>7439</v>
      </c>
      <c r="D2456" s="308" t="s">
        <v>7657</v>
      </c>
      <c r="E2456" s="308" t="s">
        <v>3349</v>
      </c>
      <c r="F2456" s="251">
        <v>50</v>
      </c>
      <c r="G2456" s="252">
        <v>174.5</v>
      </c>
      <c r="H2456" s="572">
        <f t="shared" si="171"/>
        <v>8725</v>
      </c>
      <c r="I2456" s="254" t="s">
        <v>170</v>
      </c>
      <c r="J2456" s="367" t="s">
        <v>3350</v>
      </c>
      <c r="K2456" s="256">
        <v>43013</v>
      </c>
      <c r="L2456" s="256"/>
      <c r="M2456" s="256">
        <v>43004</v>
      </c>
      <c r="N2456" s="331" t="s">
        <v>3351</v>
      </c>
      <c r="O2456" s="308" t="s">
        <v>7658</v>
      </c>
      <c r="P2456" s="572">
        <v>8295</v>
      </c>
      <c r="Q2456" s="328"/>
      <c r="R2456" s="1407"/>
      <c r="S2456" s="1407"/>
      <c r="U2456" s="328"/>
      <c r="V2456" s="308" t="s">
        <v>3353</v>
      </c>
      <c r="W2456" s="747">
        <v>42996</v>
      </c>
      <c r="X2456" s="750">
        <v>43007</v>
      </c>
      <c r="Y2456" s="308" t="s">
        <v>7659</v>
      </c>
      <c r="Z2456" s="753">
        <v>497866</v>
      </c>
      <c r="AA2456" s="594">
        <v>42997</v>
      </c>
      <c r="AB2456" s="744" t="s">
        <v>7444</v>
      </c>
      <c r="AC2456" s="328"/>
      <c r="AD2456" s="328"/>
      <c r="AE2456" s="328"/>
      <c r="AF2456" s="328"/>
      <c r="AG2456" s="251" t="s">
        <v>283</v>
      </c>
    </row>
    <row r="2457" spans="1:33" ht="15.75" customHeight="1">
      <c r="A2457" s="743">
        <v>42977</v>
      </c>
      <c r="B2457" s="386" t="s">
        <v>100</v>
      </c>
      <c r="C2457" s="328" t="s">
        <v>7660</v>
      </c>
      <c r="D2457" s="328" t="s">
        <v>7661</v>
      </c>
      <c r="E2457" s="328" t="s">
        <v>7662</v>
      </c>
      <c r="F2457" s="251">
        <v>10</v>
      </c>
      <c r="G2457" s="336">
        <v>6</v>
      </c>
      <c r="H2457" s="572">
        <f t="shared" si="171"/>
        <v>60</v>
      </c>
      <c r="I2457" s="254" t="s">
        <v>3315</v>
      </c>
      <c r="J2457" s="367" t="s">
        <v>3578</v>
      </c>
      <c r="K2457" s="256">
        <v>42999</v>
      </c>
      <c r="L2457" s="256"/>
      <c r="M2457" s="256">
        <v>42991</v>
      </c>
      <c r="N2457" s="251" t="s">
        <v>2006</v>
      </c>
      <c r="O2457" s="308" t="s">
        <v>7663</v>
      </c>
      <c r="P2457" s="328"/>
      <c r="Q2457" s="574">
        <v>315</v>
      </c>
      <c r="R2457" s="1405"/>
      <c r="S2457" s="1405"/>
      <c r="U2457" s="328"/>
      <c r="V2457" s="328" t="s">
        <v>2146</v>
      </c>
      <c r="W2457" s="1061">
        <v>43001</v>
      </c>
      <c r="X2457" s="746">
        <v>42991</v>
      </c>
      <c r="Y2457" s="881" t="s">
        <v>7664</v>
      </c>
      <c r="Z2457" s="745">
        <v>609</v>
      </c>
      <c r="AA2457" s="1042">
        <v>42996</v>
      </c>
      <c r="AB2457" s="250" t="s">
        <v>7615</v>
      </c>
      <c r="AC2457" s="251">
        <v>3199226446</v>
      </c>
      <c r="AD2457" s="328"/>
      <c r="AE2457" s="328"/>
      <c r="AF2457" s="328"/>
      <c r="AG2457" s="251" t="s">
        <v>283</v>
      </c>
    </row>
    <row r="2458" spans="1:33" ht="15.75" customHeight="1">
      <c r="A2458" s="743">
        <v>42977</v>
      </c>
      <c r="B2458" s="386" t="s">
        <v>100</v>
      </c>
      <c r="C2458" s="328"/>
      <c r="D2458" s="308" t="s">
        <v>7665</v>
      </c>
      <c r="E2458" s="308" t="s">
        <v>7666</v>
      </c>
      <c r="F2458" s="251">
        <v>1</v>
      </c>
      <c r="G2458" s="336">
        <v>707</v>
      </c>
      <c r="H2458" s="572">
        <f t="shared" si="171"/>
        <v>707</v>
      </c>
      <c r="I2458" s="254" t="s">
        <v>3315</v>
      </c>
      <c r="J2458" s="367" t="s">
        <v>3578</v>
      </c>
      <c r="K2458" s="256">
        <v>42990</v>
      </c>
      <c r="L2458" s="256"/>
      <c r="M2458" s="256">
        <v>42985</v>
      </c>
      <c r="N2458" s="251" t="s">
        <v>7667</v>
      </c>
      <c r="O2458" s="308" t="s">
        <v>7668</v>
      </c>
      <c r="P2458" s="853">
        <v>667.8</v>
      </c>
      <c r="Q2458" s="328"/>
      <c r="R2458" s="1407"/>
      <c r="S2458" s="1407"/>
      <c r="U2458" s="328"/>
      <c r="V2458" s="592" t="s">
        <v>7669</v>
      </c>
      <c r="W2458" s="328"/>
      <c r="X2458" s="748">
        <v>42984</v>
      </c>
      <c r="Y2458" s="328" t="s">
        <v>7670</v>
      </c>
      <c r="Z2458" s="749">
        <v>20187</v>
      </c>
      <c r="AA2458" s="594">
        <v>42983</v>
      </c>
      <c r="AB2458" s="250" t="s">
        <v>7552</v>
      </c>
      <c r="AC2458" s="251">
        <v>6967422711</v>
      </c>
      <c r="AD2458" s="328"/>
      <c r="AE2458" s="328"/>
      <c r="AF2458" s="328"/>
      <c r="AG2458" s="251" t="s">
        <v>283</v>
      </c>
    </row>
    <row r="2459" spans="1:33" ht="15.75" customHeight="1">
      <c r="A2459" s="743">
        <v>42977</v>
      </c>
      <c r="B2459" s="386" t="s">
        <v>100</v>
      </c>
      <c r="C2459" s="328"/>
      <c r="D2459" s="308" t="s">
        <v>7665</v>
      </c>
      <c r="E2459" s="308" t="s">
        <v>7671</v>
      </c>
      <c r="F2459" s="251">
        <v>1</v>
      </c>
      <c r="G2459" s="336">
        <v>352</v>
      </c>
      <c r="H2459" s="572">
        <f t="shared" si="171"/>
        <v>352</v>
      </c>
      <c r="I2459" s="254" t="s">
        <v>3315</v>
      </c>
      <c r="J2459" s="367" t="s">
        <v>3578</v>
      </c>
      <c r="K2459" s="256">
        <v>42990</v>
      </c>
      <c r="L2459" s="256"/>
      <c r="M2459" s="256">
        <v>42984</v>
      </c>
      <c r="N2459" s="1062" t="s">
        <v>2091</v>
      </c>
      <c r="O2459" s="308" t="s">
        <v>7672</v>
      </c>
      <c r="P2459" s="308">
        <v>299.25</v>
      </c>
      <c r="Q2459" s="328"/>
      <c r="R2459" s="1407"/>
      <c r="S2459" s="1407"/>
      <c r="U2459" s="328"/>
      <c r="V2459" s="318" t="s">
        <v>6159</v>
      </c>
      <c r="W2459" s="747">
        <v>43013</v>
      </c>
      <c r="X2459" s="750">
        <v>42983</v>
      </c>
      <c r="Y2459" s="328" t="s">
        <v>7673</v>
      </c>
      <c r="Z2459" s="749">
        <v>9008</v>
      </c>
      <c r="AA2459" s="594">
        <v>43032</v>
      </c>
      <c r="AB2459" s="250" t="s">
        <v>7552</v>
      </c>
      <c r="AC2459" s="251">
        <v>6967422711</v>
      </c>
      <c r="AD2459" s="328"/>
      <c r="AE2459" s="328"/>
      <c r="AF2459" s="328"/>
      <c r="AG2459" s="251" t="s">
        <v>283</v>
      </c>
    </row>
    <row r="2460" spans="1:33" ht="15.75" customHeight="1">
      <c r="A2460" s="743">
        <v>42977</v>
      </c>
      <c r="B2460" s="386" t="s">
        <v>100</v>
      </c>
      <c r="C2460" s="328"/>
      <c r="D2460" s="308" t="s">
        <v>7665</v>
      </c>
      <c r="E2460" s="308" t="s">
        <v>7674</v>
      </c>
      <c r="F2460" s="251">
        <v>1</v>
      </c>
      <c r="G2460" s="336">
        <v>89</v>
      </c>
      <c r="H2460" s="572">
        <f t="shared" si="171"/>
        <v>89</v>
      </c>
      <c r="I2460" s="254" t="s">
        <v>3315</v>
      </c>
      <c r="J2460" s="267" t="s">
        <v>3578</v>
      </c>
      <c r="K2460" s="256">
        <v>42990</v>
      </c>
      <c r="L2460" s="256"/>
      <c r="M2460" s="256">
        <v>42984</v>
      </c>
      <c r="N2460" s="331" t="s">
        <v>2124</v>
      </c>
      <c r="O2460" s="308" t="s">
        <v>7675</v>
      </c>
      <c r="P2460" s="328"/>
      <c r="Q2460" s="572">
        <v>2291</v>
      </c>
      <c r="R2460" s="1413"/>
      <c r="S2460" s="1413"/>
      <c r="U2460" s="328"/>
      <c r="V2460" s="308" t="s">
        <v>2126</v>
      </c>
      <c r="W2460" s="328"/>
      <c r="X2460" s="750">
        <v>42983</v>
      </c>
      <c r="Y2460" s="328" t="s">
        <v>7676</v>
      </c>
      <c r="Z2460" s="749">
        <v>2291</v>
      </c>
      <c r="AA2460" s="594">
        <v>42979</v>
      </c>
      <c r="AB2460" s="250" t="s">
        <v>7552</v>
      </c>
      <c r="AC2460" s="251">
        <v>6967422711</v>
      </c>
      <c r="AD2460" s="328"/>
      <c r="AE2460" s="328"/>
      <c r="AF2460" s="328"/>
      <c r="AG2460" s="251" t="s">
        <v>283</v>
      </c>
    </row>
    <row r="2461" spans="1:33" ht="15.75" customHeight="1">
      <c r="A2461" s="743">
        <v>42978</v>
      </c>
      <c r="B2461" s="590" t="s">
        <v>76</v>
      </c>
      <c r="C2461" s="744">
        <v>704</v>
      </c>
      <c r="D2461" s="744" t="s">
        <v>7677</v>
      </c>
      <c r="E2461" s="744" t="s">
        <v>3381</v>
      </c>
      <c r="F2461" s="305">
        <v>25</v>
      </c>
      <c r="G2461" s="252">
        <v>285</v>
      </c>
      <c r="H2461" s="574">
        <f t="shared" si="171"/>
        <v>7125</v>
      </c>
      <c r="I2461" s="254" t="s">
        <v>42</v>
      </c>
      <c r="J2461" s="367" t="s">
        <v>315</v>
      </c>
      <c r="K2461" s="256">
        <v>42999</v>
      </c>
      <c r="L2461" s="256"/>
      <c r="M2461" s="256">
        <v>42989</v>
      </c>
      <c r="N2461" s="401" t="s">
        <v>1967</v>
      </c>
      <c r="O2461" s="308" t="s">
        <v>7678</v>
      </c>
      <c r="P2461" s="266">
        <v>6562.5</v>
      </c>
      <c r="Q2461" s="328"/>
      <c r="R2461" s="1407"/>
      <c r="S2461" s="1407"/>
      <c r="U2461" s="328"/>
      <c r="V2461" s="308" t="s">
        <v>1969</v>
      </c>
      <c r="W2461" s="789">
        <v>43044</v>
      </c>
      <c r="X2461" s="748">
        <v>42986</v>
      </c>
      <c r="Y2461" s="328" t="s">
        <v>7679</v>
      </c>
      <c r="Z2461" s="749">
        <v>196481</v>
      </c>
      <c r="AA2461" s="594">
        <v>43045</v>
      </c>
      <c r="AB2461" s="250" t="s">
        <v>7478</v>
      </c>
      <c r="AC2461" s="251">
        <v>832078505</v>
      </c>
      <c r="AD2461" s="328"/>
      <c r="AE2461" s="328"/>
      <c r="AF2461" s="328"/>
      <c r="AG2461" s="251" t="s">
        <v>283</v>
      </c>
    </row>
    <row r="2462" spans="1:33" ht="15.75" customHeight="1">
      <c r="A2462" s="743">
        <v>42978</v>
      </c>
      <c r="B2462" s="590" t="s">
        <v>76</v>
      </c>
      <c r="C2462" s="744">
        <v>704</v>
      </c>
      <c r="D2462" s="744" t="s">
        <v>7677</v>
      </c>
      <c r="E2462" s="744" t="s">
        <v>361</v>
      </c>
      <c r="F2462" s="305">
        <v>25</v>
      </c>
      <c r="G2462" s="252">
        <v>20</v>
      </c>
      <c r="H2462" s="574">
        <f t="shared" si="171"/>
        <v>500</v>
      </c>
      <c r="I2462" s="254" t="s">
        <v>42</v>
      </c>
      <c r="J2462" s="367" t="s">
        <v>315</v>
      </c>
      <c r="K2462" s="256">
        <v>42999</v>
      </c>
      <c r="L2462" s="256"/>
      <c r="M2462" s="256">
        <v>42984</v>
      </c>
      <c r="N2462" s="401" t="s">
        <v>6101</v>
      </c>
      <c r="O2462" s="308" t="s">
        <v>7680</v>
      </c>
      <c r="P2462" s="266">
        <v>464.63</v>
      </c>
      <c r="Q2462" s="328"/>
      <c r="R2462" s="1407"/>
      <c r="S2462" s="1407"/>
      <c r="U2462" s="328"/>
      <c r="V2462" s="386" t="s">
        <v>2010</v>
      </c>
      <c r="W2462" s="789">
        <v>42997</v>
      </c>
      <c r="X2462" s="748">
        <v>42983</v>
      </c>
      <c r="Y2462" s="328" t="s">
        <v>7681</v>
      </c>
      <c r="Z2462" s="749">
        <v>23459</v>
      </c>
      <c r="AA2462" s="594">
        <v>42996</v>
      </c>
      <c r="AB2462" s="250" t="s">
        <v>7478</v>
      </c>
      <c r="AC2462" s="251">
        <v>832078505</v>
      </c>
      <c r="AD2462" s="328"/>
      <c r="AE2462" s="328"/>
      <c r="AF2462" s="328"/>
      <c r="AG2462" s="251" t="s">
        <v>283</v>
      </c>
    </row>
    <row r="2463" spans="1:33" ht="15.75" customHeight="1">
      <c r="A2463" s="743">
        <v>42978</v>
      </c>
      <c r="B2463" s="590" t="s">
        <v>76</v>
      </c>
      <c r="C2463" s="744">
        <v>704</v>
      </c>
      <c r="D2463" s="744" t="s">
        <v>7677</v>
      </c>
      <c r="E2463" s="744" t="s">
        <v>819</v>
      </c>
      <c r="F2463" s="254">
        <v>25</v>
      </c>
      <c r="G2463" s="252">
        <v>14</v>
      </c>
      <c r="H2463" s="574">
        <f t="shared" si="171"/>
        <v>350</v>
      </c>
      <c r="I2463" s="254" t="s">
        <v>42</v>
      </c>
      <c r="J2463" s="367" t="s">
        <v>315</v>
      </c>
      <c r="K2463" s="256">
        <v>42999</v>
      </c>
      <c r="L2463" s="256"/>
      <c r="M2463" s="256">
        <v>42984</v>
      </c>
      <c r="N2463" s="401" t="s">
        <v>6101</v>
      </c>
      <c r="O2463" s="308" t="s">
        <v>7680</v>
      </c>
      <c r="P2463" s="266">
        <v>315</v>
      </c>
      <c r="Q2463" s="328"/>
      <c r="R2463" s="1407"/>
      <c r="S2463" s="1407"/>
      <c r="U2463" s="328"/>
      <c r="V2463" s="386" t="s">
        <v>2010</v>
      </c>
      <c r="W2463" s="789">
        <v>42997</v>
      </c>
      <c r="X2463" s="748">
        <v>42983</v>
      </c>
      <c r="Y2463" s="328" t="s">
        <v>7681</v>
      </c>
      <c r="Z2463" s="328" t="s">
        <v>7682</v>
      </c>
      <c r="AA2463" s="594">
        <v>42996</v>
      </c>
      <c r="AB2463" s="250" t="s">
        <v>7478</v>
      </c>
      <c r="AC2463" s="251">
        <v>832078505</v>
      </c>
      <c r="AD2463" s="328"/>
      <c r="AE2463" s="328"/>
      <c r="AF2463" s="328"/>
      <c r="AG2463" s="251" t="s">
        <v>283</v>
      </c>
    </row>
    <row r="2464" spans="1:33" ht="15.75" customHeight="1">
      <c r="A2464" s="594">
        <v>42982</v>
      </c>
      <c r="B2464" s="590" t="s">
        <v>7107</v>
      </c>
      <c r="C2464" s="744">
        <v>7000132247</v>
      </c>
      <c r="D2464" s="328" t="s">
        <v>7683</v>
      </c>
      <c r="E2464" s="328" t="s">
        <v>4493</v>
      </c>
      <c r="F2464" s="251">
        <v>3</v>
      </c>
      <c r="G2464" s="336">
        <v>110</v>
      </c>
      <c r="H2464" s="574">
        <f t="shared" si="171"/>
        <v>330</v>
      </c>
      <c r="I2464" s="254" t="s">
        <v>42</v>
      </c>
      <c r="J2464" s="756" t="s">
        <v>3462</v>
      </c>
      <c r="K2464" s="256">
        <v>42992</v>
      </c>
      <c r="L2464" s="256"/>
      <c r="M2464" s="256">
        <v>42984</v>
      </c>
      <c r="N2464" s="264" t="s">
        <v>3432</v>
      </c>
      <c r="O2464" s="308" t="s">
        <v>7684</v>
      </c>
      <c r="P2464" s="328"/>
      <c r="Q2464" s="572">
        <v>9645</v>
      </c>
      <c r="R2464" s="1413"/>
      <c r="S2464" s="1413"/>
      <c r="U2464" s="328"/>
      <c r="V2464" s="308" t="s">
        <v>2045</v>
      </c>
      <c r="W2464" s="789">
        <v>43069</v>
      </c>
      <c r="X2464" s="748">
        <v>42983</v>
      </c>
      <c r="Y2464" s="328" t="s">
        <v>7685</v>
      </c>
      <c r="Z2464" s="749">
        <v>11850</v>
      </c>
      <c r="AA2464" s="594">
        <v>43074</v>
      </c>
      <c r="AB2464" s="308" t="s">
        <v>7686</v>
      </c>
      <c r="AC2464" s="251">
        <v>8360474485</v>
      </c>
      <c r="AD2464" s="328"/>
      <c r="AE2464" s="328"/>
      <c r="AF2464" s="328"/>
      <c r="AG2464" s="251" t="s">
        <v>283</v>
      </c>
    </row>
    <row r="2465" spans="1:33" ht="42.75" customHeight="1">
      <c r="A2465" s="594">
        <v>42982</v>
      </c>
      <c r="B2465" s="590" t="s">
        <v>7107</v>
      </c>
      <c r="C2465" s="744">
        <v>7000132247</v>
      </c>
      <c r="D2465" s="328" t="s">
        <v>7683</v>
      </c>
      <c r="E2465" s="328" t="s">
        <v>6413</v>
      </c>
      <c r="F2465" s="251">
        <v>1</v>
      </c>
      <c r="G2465" s="336">
        <v>75</v>
      </c>
      <c r="H2465" s="574">
        <f t="shared" si="171"/>
        <v>75</v>
      </c>
      <c r="I2465" s="254" t="s">
        <v>42</v>
      </c>
      <c r="J2465" s="756" t="s">
        <v>3462</v>
      </c>
      <c r="K2465" s="256">
        <v>42992</v>
      </c>
      <c r="L2465" s="256"/>
      <c r="M2465" s="256">
        <v>42984</v>
      </c>
      <c r="N2465" s="264" t="s">
        <v>3432</v>
      </c>
      <c r="O2465" s="308" t="s">
        <v>7684</v>
      </c>
      <c r="P2465" s="328"/>
      <c r="Q2465" s="572">
        <v>2205</v>
      </c>
      <c r="R2465" s="1413"/>
      <c r="S2465" s="1413"/>
      <c r="U2465" s="328"/>
      <c r="V2465" s="308" t="s">
        <v>2045</v>
      </c>
      <c r="W2465" s="789">
        <v>43069</v>
      </c>
      <c r="X2465" s="748">
        <v>42983</v>
      </c>
      <c r="Y2465" s="328" t="s">
        <v>7685</v>
      </c>
      <c r="Z2465" s="328" t="s">
        <v>7687</v>
      </c>
      <c r="AA2465" s="594">
        <v>43074</v>
      </c>
      <c r="AB2465" s="308" t="s">
        <v>7686</v>
      </c>
      <c r="AC2465" s="251">
        <v>8360474485</v>
      </c>
      <c r="AD2465" s="328"/>
      <c r="AE2465" s="328"/>
      <c r="AF2465" s="328"/>
      <c r="AG2465" s="251" t="s">
        <v>283</v>
      </c>
    </row>
    <row r="2466" spans="1:33" ht="15.75" customHeight="1">
      <c r="A2466" s="594">
        <v>42983</v>
      </c>
      <c r="B2466" s="590" t="s">
        <v>100</v>
      </c>
      <c r="C2466" s="744"/>
      <c r="D2466" s="308" t="s">
        <v>7688</v>
      </c>
      <c r="E2466" s="308" t="s">
        <v>7689</v>
      </c>
      <c r="F2466" s="251">
        <v>5</v>
      </c>
      <c r="G2466" s="336">
        <v>1118</v>
      </c>
      <c r="H2466" s="574">
        <f t="shared" si="171"/>
        <v>5590</v>
      </c>
      <c r="I2466" s="254" t="s">
        <v>3315</v>
      </c>
      <c r="J2466" s="367" t="s">
        <v>3578</v>
      </c>
      <c r="K2466" s="256">
        <v>42999</v>
      </c>
      <c r="L2466" s="256"/>
      <c r="M2466" s="256">
        <v>42989</v>
      </c>
      <c r="N2466" s="331" t="s">
        <v>1414</v>
      </c>
      <c r="O2466" s="308" t="s">
        <v>7690</v>
      </c>
      <c r="P2466" s="308"/>
      <c r="Q2466" s="572">
        <v>156974</v>
      </c>
      <c r="R2466" s="1413"/>
      <c r="S2466" s="1413"/>
      <c r="U2466" s="328"/>
      <c r="V2466" s="318" t="s">
        <v>1947</v>
      </c>
      <c r="W2466" s="789">
        <v>43039</v>
      </c>
      <c r="X2466" s="748">
        <v>42989</v>
      </c>
      <c r="Y2466" s="328" t="s">
        <v>7691</v>
      </c>
      <c r="Z2466" s="749">
        <v>156974</v>
      </c>
      <c r="AA2466" s="1003"/>
      <c r="AB2466" s="250" t="s">
        <v>7615</v>
      </c>
      <c r="AC2466" s="251">
        <v>3199226446</v>
      </c>
      <c r="AD2466" s="328"/>
      <c r="AE2466" s="328"/>
      <c r="AF2466" s="328"/>
      <c r="AG2466" s="251" t="s">
        <v>283</v>
      </c>
    </row>
    <row r="2467" spans="1:33" ht="42.75" customHeight="1">
      <c r="A2467" s="594">
        <v>42983</v>
      </c>
      <c r="B2467" s="590" t="s">
        <v>100</v>
      </c>
      <c r="C2467" s="744"/>
      <c r="D2467" s="308" t="s">
        <v>7688</v>
      </c>
      <c r="E2467" s="308" t="s">
        <v>7692</v>
      </c>
      <c r="F2467" s="251">
        <v>5</v>
      </c>
      <c r="G2467" s="336">
        <v>74</v>
      </c>
      <c r="H2467" s="574">
        <f t="shared" si="171"/>
        <v>370</v>
      </c>
      <c r="I2467" s="254" t="s">
        <v>3315</v>
      </c>
      <c r="J2467" s="367" t="s">
        <v>3578</v>
      </c>
      <c r="K2467" s="256">
        <v>42999</v>
      </c>
      <c r="L2467" s="256"/>
      <c r="M2467" s="256">
        <v>42984</v>
      </c>
      <c r="N2467" s="585" t="s">
        <v>2087</v>
      </c>
      <c r="O2467" s="328" t="s">
        <v>7693</v>
      </c>
      <c r="P2467" s="328"/>
      <c r="Q2467" s="328"/>
      <c r="R2467" s="1407"/>
      <c r="S2467" s="1407"/>
      <c r="U2467" s="328"/>
      <c r="V2467" s="328"/>
      <c r="W2467" s="328"/>
      <c r="X2467" s="881"/>
      <c r="Y2467" s="881"/>
      <c r="Z2467" s="881"/>
      <c r="AA2467" s="1003"/>
      <c r="AB2467" s="250" t="s">
        <v>7615</v>
      </c>
      <c r="AC2467" s="251">
        <v>3199226446</v>
      </c>
      <c r="AD2467" s="328"/>
      <c r="AE2467" s="328"/>
      <c r="AF2467" s="328"/>
      <c r="AG2467" s="251" t="s">
        <v>283</v>
      </c>
    </row>
    <row r="2468" spans="1:33" ht="15.75" customHeight="1">
      <c r="A2468" s="743">
        <v>42984</v>
      </c>
      <c r="B2468" s="970" t="s">
        <v>3516</v>
      </c>
      <c r="C2468" s="1043" t="s">
        <v>7694</v>
      </c>
      <c r="D2468" s="328" t="s">
        <v>7695</v>
      </c>
      <c r="E2468" s="328" t="s">
        <v>4304</v>
      </c>
      <c r="F2468" s="251">
        <v>10</v>
      </c>
      <c r="G2468" s="336">
        <v>82</v>
      </c>
      <c r="H2468" s="574">
        <f t="shared" si="171"/>
        <v>820</v>
      </c>
      <c r="I2468" s="1029" t="s">
        <v>3315</v>
      </c>
      <c r="J2468" s="367" t="s">
        <v>3519</v>
      </c>
      <c r="K2468" s="256">
        <v>43011</v>
      </c>
      <c r="L2468" s="256"/>
      <c r="M2468" s="256">
        <v>43011</v>
      </c>
      <c r="N2468" s="251" t="s">
        <v>89</v>
      </c>
      <c r="O2468" s="308" t="s">
        <v>7696</v>
      </c>
      <c r="P2468" s="308">
        <v>777</v>
      </c>
      <c r="Q2468" s="328"/>
      <c r="R2468" s="1407"/>
      <c r="S2468" s="1407"/>
      <c r="U2468" s="328"/>
      <c r="V2468" s="338" t="s">
        <v>93</v>
      </c>
      <c r="W2468" s="747">
        <v>43069</v>
      </c>
      <c r="X2468" s="748">
        <v>43010</v>
      </c>
      <c r="Y2468" s="744" t="s">
        <v>7697</v>
      </c>
      <c r="Z2468" s="749">
        <v>63874</v>
      </c>
      <c r="AA2468" s="256">
        <v>43052</v>
      </c>
      <c r="AB2468" s="250" t="s">
        <v>7698</v>
      </c>
      <c r="AC2468" s="251">
        <v>770400827439</v>
      </c>
      <c r="AD2468" s="328"/>
      <c r="AE2468" s="328"/>
      <c r="AF2468" s="328"/>
      <c r="AG2468" s="251" t="s">
        <v>283</v>
      </c>
    </row>
    <row r="2469" spans="1:33" ht="15.75" customHeight="1">
      <c r="A2469" s="743">
        <v>42984</v>
      </c>
      <c r="B2469" s="970" t="s">
        <v>3516</v>
      </c>
      <c r="C2469" s="1043" t="s">
        <v>7694</v>
      </c>
      <c r="D2469" s="328" t="s">
        <v>7695</v>
      </c>
      <c r="E2469" s="328" t="s">
        <v>7699</v>
      </c>
      <c r="F2469" s="251">
        <v>10</v>
      </c>
      <c r="G2469" s="336">
        <v>135</v>
      </c>
      <c r="H2469" s="574">
        <f t="shared" si="171"/>
        <v>1350</v>
      </c>
      <c r="I2469" s="1029" t="s">
        <v>3315</v>
      </c>
      <c r="J2469" s="367" t="s">
        <v>3519</v>
      </c>
      <c r="K2469" s="256">
        <v>43011</v>
      </c>
      <c r="L2469" s="256"/>
      <c r="M2469" s="256">
        <v>43011</v>
      </c>
      <c r="N2469" s="251" t="s">
        <v>89</v>
      </c>
      <c r="O2469" s="308" t="s">
        <v>7696</v>
      </c>
      <c r="P2469" s="308">
        <v>1344</v>
      </c>
      <c r="Q2469" s="328"/>
      <c r="R2469" s="1407"/>
      <c r="S2469" s="1407"/>
      <c r="U2469" s="328"/>
      <c r="V2469" s="338" t="s">
        <v>93</v>
      </c>
      <c r="W2469" s="747">
        <v>43069</v>
      </c>
      <c r="X2469" s="748">
        <v>43010</v>
      </c>
      <c r="Y2469" s="744" t="s">
        <v>7697</v>
      </c>
      <c r="Z2469" s="744" t="s">
        <v>7700</v>
      </c>
      <c r="AA2469" s="256">
        <v>43052</v>
      </c>
      <c r="AB2469" s="250" t="s">
        <v>7698</v>
      </c>
      <c r="AC2469" s="251">
        <v>770400827439</v>
      </c>
      <c r="AD2469" s="328"/>
      <c r="AE2469" s="328"/>
      <c r="AF2469" s="328"/>
      <c r="AG2469" s="251" t="s">
        <v>283</v>
      </c>
    </row>
    <row r="2470" spans="1:33" ht="15.75" customHeight="1">
      <c r="A2470" s="743">
        <v>42984</v>
      </c>
      <c r="B2470" s="386" t="s">
        <v>228</v>
      </c>
      <c r="C2470" s="328"/>
      <c r="D2470" s="308" t="s">
        <v>7701</v>
      </c>
      <c r="E2470" s="308" t="s">
        <v>4650</v>
      </c>
      <c r="F2470" s="251">
        <v>20</v>
      </c>
      <c r="G2470" s="336">
        <v>21</v>
      </c>
      <c r="H2470" s="574">
        <f t="shared" si="171"/>
        <v>420</v>
      </c>
      <c r="I2470" s="254" t="s">
        <v>170</v>
      </c>
      <c r="J2470" s="251" t="s">
        <v>232</v>
      </c>
      <c r="K2470" s="256">
        <v>42990</v>
      </c>
      <c r="L2470" s="256"/>
      <c r="M2470" s="256">
        <v>42990</v>
      </c>
      <c r="N2470" s="251" t="s">
        <v>89</v>
      </c>
      <c r="O2470" s="328" t="s">
        <v>7702</v>
      </c>
      <c r="P2470" s="308">
        <v>354.9</v>
      </c>
      <c r="Q2470" s="328"/>
      <c r="R2470" s="1407"/>
      <c r="S2470" s="1407"/>
      <c r="U2470" s="328"/>
      <c r="V2470" s="338" t="s">
        <v>93</v>
      </c>
      <c r="W2470" s="747">
        <v>43039</v>
      </c>
      <c r="X2470" s="748">
        <v>42990</v>
      </c>
      <c r="Y2470" s="744" t="s">
        <v>7703</v>
      </c>
      <c r="Z2470" s="749">
        <v>10651</v>
      </c>
      <c r="AA2470" s="256">
        <v>43034</v>
      </c>
      <c r="AB2470" s="328" t="s">
        <v>7626</v>
      </c>
      <c r="AC2470" s="328"/>
      <c r="AD2470" s="328" t="s">
        <v>7627</v>
      </c>
      <c r="AE2470" s="260">
        <v>1048766</v>
      </c>
      <c r="AF2470" s="744" t="s">
        <v>5090</v>
      </c>
      <c r="AG2470" s="251" t="s">
        <v>376</v>
      </c>
    </row>
    <row r="2471" spans="1:33" ht="15.75" customHeight="1">
      <c r="A2471" s="743">
        <v>42986</v>
      </c>
      <c r="B2471" s="386" t="s">
        <v>577</v>
      </c>
      <c r="C2471" s="744">
        <v>20170907002</v>
      </c>
      <c r="D2471" s="328" t="s">
        <v>7704</v>
      </c>
      <c r="E2471" s="328" t="s">
        <v>4707</v>
      </c>
      <c r="F2471" s="251">
        <v>1</v>
      </c>
      <c r="G2471" s="336">
        <v>194.25</v>
      </c>
      <c r="H2471" s="574">
        <f t="shared" si="171"/>
        <v>194.25</v>
      </c>
      <c r="I2471" s="254" t="s">
        <v>170</v>
      </c>
      <c r="J2471" s="264" t="s">
        <v>580</v>
      </c>
      <c r="K2471" s="256">
        <v>42989</v>
      </c>
      <c r="L2471" s="256"/>
      <c r="M2471" s="256">
        <v>42989</v>
      </c>
      <c r="N2471" s="331" t="s">
        <v>1414</v>
      </c>
      <c r="O2471" s="308" t="s">
        <v>7705</v>
      </c>
      <c r="P2471" s="308"/>
      <c r="Q2471" s="572">
        <v>5046</v>
      </c>
      <c r="R2471" s="1413"/>
      <c r="S2471" s="1413"/>
      <c r="U2471" s="328"/>
      <c r="V2471" s="318" t="s">
        <v>1947</v>
      </c>
      <c r="W2471" s="789">
        <v>43039</v>
      </c>
      <c r="X2471" s="748">
        <v>42989</v>
      </c>
      <c r="Y2471" s="744" t="s">
        <v>7706</v>
      </c>
      <c r="Z2471" s="749">
        <v>5046</v>
      </c>
      <c r="AA2471" s="251"/>
      <c r="AB2471" s="744" t="s">
        <v>7707</v>
      </c>
      <c r="AC2471" s="328"/>
      <c r="AD2471" s="328" t="s">
        <v>3539</v>
      </c>
      <c r="AE2471" s="260">
        <v>5925</v>
      </c>
      <c r="AF2471" s="744" t="s">
        <v>7708</v>
      </c>
      <c r="AG2471" s="251" t="s">
        <v>376</v>
      </c>
    </row>
    <row r="2472" spans="1:33" ht="15.75" customHeight="1">
      <c r="A2472" s="743">
        <v>42989</v>
      </c>
      <c r="B2472" s="590" t="s">
        <v>76</v>
      </c>
      <c r="C2472" s="744">
        <v>730</v>
      </c>
      <c r="D2472" s="250" t="s">
        <v>7709</v>
      </c>
      <c r="E2472" s="250" t="s">
        <v>7710</v>
      </c>
      <c r="F2472" s="251">
        <v>10</v>
      </c>
      <c r="G2472" s="336">
        <v>6</v>
      </c>
      <c r="H2472" s="574">
        <f t="shared" si="171"/>
        <v>60</v>
      </c>
      <c r="I2472" s="254" t="s">
        <v>42</v>
      </c>
      <c r="J2472" s="361" t="s">
        <v>315</v>
      </c>
      <c r="K2472" s="256">
        <v>43014</v>
      </c>
      <c r="L2472" s="256"/>
      <c r="M2472" s="865">
        <v>43010</v>
      </c>
      <c r="N2472" s="251" t="s">
        <v>2006</v>
      </c>
      <c r="O2472" s="308" t="s">
        <v>7711</v>
      </c>
      <c r="P2472" s="328"/>
      <c r="Q2472" s="572">
        <v>1155</v>
      </c>
      <c r="R2472" s="1413"/>
      <c r="S2472" s="1413"/>
      <c r="U2472" s="328"/>
      <c r="V2472" s="328" t="s">
        <v>2146</v>
      </c>
      <c r="W2472" s="789">
        <v>43014</v>
      </c>
      <c r="X2472" s="748">
        <v>43004</v>
      </c>
      <c r="Y2472" s="744" t="s">
        <v>7712</v>
      </c>
      <c r="Z2472" s="744" t="s">
        <v>7713</v>
      </c>
      <c r="AA2472" s="256">
        <v>43013</v>
      </c>
      <c r="AB2472" s="250" t="s">
        <v>7714</v>
      </c>
      <c r="AC2472" s="251">
        <v>842471254</v>
      </c>
      <c r="AD2472" s="328"/>
      <c r="AE2472" s="328"/>
      <c r="AF2472" s="328"/>
      <c r="AG2472" s="251" t="s">
        <v>283</v>
      </c>
    </row>
    <row r="2473" spans="1:33" ht="15.75" customHeight="1">
      <c r="A2473" s="743">
        <v>42989</v>
      </c>
      <c r="B2473" s="970" t="s">
        <v>100</v>
      </c>
      <c r="C2473" s="744" t="s">
        <v>7715</v>
      </c>
      <c r="D2473" s="744" t="s">
        <v>7716</v>
      </c>
      <c r="E2473" s="744" t="s">
        <v>7717</v>
      </c>
      <c r="F2473" s="305">
        <v>4</v>
      </c>
      <c r="G2473" s="252">
        <v>237</v>
      </c>
      <c r="H2473" s="574">
        <f t="shared" si="171"/>
        <v>948</v>
      </c>
      <c r="I2473" s="254" t="s">
        <v>3315</v>
      </c>
      <c r="J2473" s="361" t="s">
        <v>3578</v>
      </c>
      <c r="K2473" s="256">
        <v>43006</v>
      </c>
      <c r="L2473" s="256"/>
      <c r="M2473" s="865">
        <v>43004</v>
      </c>
      <c r="N2473" s="251" t="s">
        <v>6112</v>
      </c>
      <c r="O2473" s="308" t="s">
        <v>7718</v>
      </c>
      <c r="P2473" s="328"/>
      <c r="Q2473" s="572">
        <v>22693</v>
      </c>
      <c r="R2473" s="1413"/>
      <c r="S2473" s="1413"/>
      <c r="U2473" s="328"/>
      <c r="V2473" s="744" t="s">
        <v>2109</v>
      </c>
      <c r="W2473" s="747">
        <v>43044</v>
      </c>
      <c r="X2473" s="748">
        <v>43004</v>
      </c>
      <c r="Y2473" s="744" t="s">
        <v>7719</v>
      </c>
      <c r="Z2473" s="749">
        <v>22693</v>
      </c>
      <c r="AA2473" s="594">
        <v>43045</v>
      </c>
      <c r="AB2473" s="250" t="s">
        <v>7720</v>
      </c>
      <c r="AC2473" s="251">
        <v>9669812176</v>
      </c>
      <c r="AD2473" s="328"/>
      <c r="AE2473" s="328"/>
      <c r="AF2473" s="328"/>
      <c r="AG2473" s="251" t="s">
        <v>283</v>
      </c>
    </row>
    <row r="2474" spans="1:33" ht="15.75" customHeight="1">
      <c r="A2474" s="743">
        <v>42989</v>
      </c>
      <c r="B2474" s="590" t="s">
        <v>76</v>
      </c>
      <c r="C2474" s="744">
        <v>730</v>
      </c>
      <c r="D2474" s="250" t="s">
        <v>7709</v>
      </c>
      <c r="E2474" s="250" t="s">
        <v>7721</v>
      </c>
      <c r="F2474" s="251">
        <v>20</v>
      </c>
      <c r="G2474" s="336">
        <v>58.5</v>
      </c>
      <c r="H2474" s="574">
        <f t="shared" si="171"/>
        <v>1170</v>
      </c>
      <c r="I2474" s="254" t="s">
        <v>42</v>
      </c>
      <c r="J2474" s="361" t="s">
        <v>315</v>
      </c>
      <c r="K2474" s="256">
        <v>42999</v>
      </c>
      <c r="L2474" s="256"/>
      <c r="M2474" s="865">
        <v>42993</v>
      </c>
      <c r="N2474" s="251" t="s">
        <v>3376</v>
      </c>
      <c r="O2474" s="308" t="s">
        <v>7722</v>
      </c>
      <c r="P2474" s="328"/>
      <c r="Q2474" s="572">
        <v>34680</v>
      </c>
      <c r="R2474" s="1413"/>
      <c r="S2474" s="1413"/>
      <c r="U2474" s="328"/>
      <c r="V2474" s="328" t="s">
        <v>3378</v>
      </c>
      <c r="W2474" s="328"/>
      <c r="X2474" s="748">
        <v>42991</v>
      </c>
      <c r="Y2474" s="744" t="s">
        <v>7723</v>
      </c>
      <c r="Z2474" s="749">
        <v>34680</v>
      </c>
      <c r="AA2474" s="594">
        <v>42990</v>
      </c>
      <c r="AB2474" s="250" t="s">
        <v>7478</v>
      </c>
      <c r="AC2474" s="251">
        <v>832078505</v>
      </c>
      <c r="AD2474" s="328"/>
      <c r="AE2474" s="328"/>
      <c r="AF2474" s="328"/>
      <c r="AG2474" s="251" t="s">
        <v>283</v>
      </c>
    </row>
    <row r="2475" spans="1:33" ht="15.75" customHeight="1">
      <c r="A2475" s="743">
        <v>42989</v>
      </c>
      <c r="B2475" s="590" t="s">
        <v>7107</v>
      </c>
      <c r="C2475" s="744">
        <v>7000132376</v>
      </c>
      <c r="D2475" s="308" t="s">
        <v>7724</v>
      </c>
      <c r="E2475" s="308" t="s">
        <v>3515</v>
      </c>
      <c r="F2475" s="251">
        <v>1</v>
      </c>
      <c r="G2475" s="336">
        <v>46</v>
      </c>
      <c r="H2475" s="574">
        <f t="shared" si="171"/>
        <v>46</v>
      </c>
      <c r="I2475" s="254" t="s">
        <v>42</v>
      </c>
      <c r="J2475" s="401" t="s">
        <v>3462</v>
      </c>
      <c r="K2475" s="256">
        <v>42992</v>
      </c>
      <c r="L2475" s="256"/>
      <c r="M2475" s="865">
        <v>42991</v>
      </c>
      <c r="N2475" s="254" t="s">
        <v>3432</v>
      </c>
      <c r="O2475" s="308" t="s">
        <v>7725</v>
      </c>
      <c r="P2475" s="328"/>
      <c r="Q2475" s="572">
        <v>1342</v>
      </c>
      <c r="R2475" s="1413"/>
      <c r="S2475" s="1413"/>
      <c r="U2475" s="328"/>
      <c r="V2475" s="308" t="s">
        <v>2045</v>
      </c>
      <c r="W2475" s="789">
        <v>43069</v>
      </c>
      <c r="X2475" s="748">
        <v>42990</v>
      </c>
      <c r="Y2475" s="744" t="s">
        <v>7726</v>
      </c>
      <c r="Z2475" s="749">
        <v>23184</v>
      </c>
      <c r="AA2475" s="594">
        <v>43074</v>
      </c>
      <c r="AB2475" s="308" t="s">
        <v>7686</v>
      </c>
      <c r="AC2475" s="251">
        <v>8360474485</v>
      </c>
      <c r="AD2475" s="328"/>
      <c r="AE2475" s="328"/>
      <c r="AF2475" s="328"/>
      <c r="AG2475" s="251" t="s">
        <v>283</v>
      </c>
    </row>
    <row r="2476" spans="1:33" ht="15.75" customHeight="1">
      <c r="A2476" s="743">
        <v>42989</v>
      </c>
      <c r="B2476" s="590" t="s">
        <v>7107</v>
      </c>
      <c r="C2476" s="744">
        <v>7000132376</v>
      </c>
      <c r="D2476" s="308" t="s">
        <v>7724</v>
      </c>
      <c r="E2476" s="308" t="s">
        <v>6008</v>
      </c>
      <c r="F2476" s="251">
        <v>2</v>
      </c>
      <c r="G2476" s="336">
        <v>86</v>
      </c>
      <c r="H2476" s="574">
        <f t="shared" si="171"/>
        <v>172</v>
      </c>
      <c r="I2476" s="254" t="s">
        <v>42</v>
      </c>
      <c r="J2476" s="401" t="s">
        <v>3462</v>
      </c>
      <c r="K2476" s="256">
        <v>42992</v>
      </c>
      <c r="L2476" s="256"/>
      <c r="M2476" s="865">
        <v>42991</v>
      </c>
      <c r="N2476" s="264" t="s">
        <v>3432</v>
      </c>
      <c r="O2476" s="308" t="s">
        <v>7725</v>
      </c>
      <c r="P2476" s="328"/>
      <c r="Q2476" s="572">
        <v>5013</v>
      </c>
      <c r="R2476" s="1413"/>
      <c r="S2476" s="1413"/>
      <c r="U2476" s="328"/>
      <c r="V2476" s="308" t="s">
        <v>2045</v>
      </c>
      <c r="W2476" s="789">
        <v>43069</v>
      </c>
      <c r="X2476" s="748">
        <v>42990</v>
      </c>
      <c r="Y2476" s="744" t="s">
        <v>7726</v>
      </c>
      <c r="Z2476" s="744" t="s">
        <v>5210</v>
      </c>
      <c r="AA2476" s="594">
        <v>43074</v>
      </c>
      <c r="AB2476" s="308" t="s">
        <v>7686</v>
      </c>
      <c r="AC2476" s="251">
        <v>8360474485</v>
      </c>
      <c r="AD2476" s="328"/>
      <c r="AE2476" s="328"/>
      <c r="AF2476" s="328"/>
      <c r="AG2476" s="251" t="s">
        <v>283</v>
      </c>
    </row>
    <row r="2477" spans="1:33" ht="15.75" customHeight="1">
      <c r="A2477" s="743">
        <v>42989</v>
      </c>
      <c r="B2477" s="590" t="s">
        <v>7107</v>
      </c>
      <c r="C2477" s="744">
        <v>7000132376</v>
      </c>
      <c r="D2477" s="308" t="s">
        <v>7724</v>
      </c>
      <c r="E2477" s="308" t="s">
        <v>6004</v>
      </c>
      <c r="F2477" s="585">
        <v>4</v>
      </c>
      <c r="G2477" s="336">
        <v>144</v>
      </c>
      <c r="H2477" s="574">
        <f t="shared" si="171"/>
        <v>576</v>
      </c>
      <c r="I2477" s="254" t="s">
        <v>42</v>
      </c>
      <c r="J2477" s="401" t="s">
        <v>3462</v>
      </c>
      <c r="K2477" s="256">
        <v>42992</v>
      </c>
      <c r="L2477" s="256"/>
      <c r="M2477" s="865">
        <v>42991</v>
      </c>
      <c r="N2477" s="264" t="s">
        <v>3432</v>
      </c>
      <c r="O2477" s="308" t="s">
        <v>7725</v>
      </c>
      <c r="P2477" s="328"/>
      <c r="Q2477" s="572">
        <v>16829</v>
      </c>
      <c r="R2477" s="1413"/>
      <c r="S2477" s="1413"/>
      <c r="U2477" s="328"/>
      <c r="V2477" s="308" t="s">
        <v>2045</v>
      </c>
      <c r="W2477" s="789">
        <v>43069</v>
      </c>
      <c r="X2477" s="748">
        <v>42990</v>
      </c>
      <c r="Y2477" s="744" t="s">
        <v>7726</v>
      </c>
      <c r="Z2477" s="744" t="s">
        <v>5210</v>
      </c>
      <c r="AA2477" s="594">
        <v>43074</v>
      </c>
      <c r="AB2477" s="308" t="s">
        <v>7686</v>
      </c>
      <c r="AC2477" s="251">
        <v>8360474485</v>
      </c>
      <c r="AD2477" s="328"/>
      <c r="AE2477" s="328"/>
      <c r="AF2477" s="328"/>
      <c r="AG2477" s="251" t="s">
        <v>283</v>
      </c>
    </row>
    <row r="2478" spans="1:33" ht="15.75" customHeight="1">
      <c r="A2478" s="743">
        <v>42990</v>
      </c>
      <c r="B2478" s="970" t="s">
        <v>325</v>
      </c>
      <c r="C2478" s="744">
        <v>1613732</v>
      </c>
      <c r="D2478" s="744" t="s">
        <v>7727</v>
      </c>
      <c r="E2478" s="744" t="s">
        <v>3612</v>
      </c>
      <c r="F2478" s="251">
        <v>10</v>
      </c>
      <c r="G2478" s="252">
        <v>567</v>
      </c>
      <c r="H2478" s="574">
        <f t="shared" si="171"/>
        <v>5670</v>
      </c>
      <c r="I2478" s="254" t="s">
        <v>3315</v>
      </c>
      <c r="J2478" s="367" t="s">
        <v>3613</v>
      </c>
      <c r="K2478" s="256">
        <v>43019</v>
      </c>
      <c r="L2478" s="256"/>
      <c r="M2478" s="256">
        <v>43006</v>
      </c>
      <c r="N2478" s="401" t="s">
        <v>3614</v>
      </c>
      <c r="O2478" s="308" t="s">
        <v>7728</v>
      </c>
      <c r="P2478" s="572">
        <v>5355</v>
      </c>
      <c r="Q2478" s="328"/>
      <c r="R2478" s="1407"/>
      <c r="S2478" s="1407"/>
      <c r="U2478" s="328"/>
      <c r="V2478" s="590" t="s">
        <v>2159</v>
      </c>
      <c r="W2478" s="747">
        <v>43069</v>
      </c>
      <c r="X2478" s="750">
        <v>43005</v>
      </c>
      <c r="Y2478" s="308" t="s">
        <v>7729</v>
      </c>
      <c r="Z2478" s="753">
        <v>298822</v>
      </c>
      <c r="AA2478" s="256">
        <v>43069</v>
      </c>
      <c r="AB2478" s="250" t="s">
        <v>7730</v>
      </c>
      <c r="AC2478" s="251">
        <v>898466913802</v>
      </c>
      <c r="AD2478" s="328"/>
      <c r="AE2478" s="328"/>
      <c r="AF2478" s="328"/>
      <c r="AG2478" s="251" t="s">
        <v>283</v>
      </c>
    </row>
    <row r="2479" spans="1:33" ht="15.75" customHeight="1">
      <c r="A2479" s="743">
        <v>42990</v>
      </c>
      <c r="B2479" s="970" t="s">
        <v>325</v>
      </c>
      <c r="C2479" s="744">
        <v>1613732</v>
      </c>
      <c r="D2479" s="744" t="s">
        <v>7727</v>
      </c>
      <c r="E2479" s="744" t="s">
        <v>52</v>
      </c>
      <c r="F2479" s="251">
        <v>10</v>
      </c>
      <c r="G2479" s="252">
        <v>31</v>
      </c>
      <c r="H2479" s="574">
        <f t="shared" si="171"/>
        <v>310</v>
      </c>
      <c r="I2479" s="254" t="s">
        <v>3315</v>
      </c>
      <c r="J2479" s="367" t="s">
        <v>3613</v>
      </c>
      <c r="K2479" s="256">
        <v>43019</v>
      </c>
      <c r="L2479" s="256"/>
      <c r="M2479" s="256">
        <v>43006</v>
      </c>
      <c r="N2479" s="331" t="s">
        <v>3614</v>
      </c>
      <c r="O2479" s="308" t="s">
        <v>7728</v>
      </c>
      <c r="P2479" s="308">
        <v>226.8</v>
      </c>
      <c r="Q2479" s="328"/>
      <c r="R2479" s="1407"/>
      <c r="S2479" s="1407"/>
      <c r="U2479" s="328"/>
      <c r="V2479" s="590" t="s">
        <v>2159</v>
      </c>
      <c r="W2479" s="747">
        <v>43069</v>
      </c>
      <c r="X2479" s="750">
        <v>43005</v>
      </c>
      <c r="Y2479" s="308" t="s">
        <v>7729</v>
      </c>
      <c r="Z2479" s="308" t="s">
        <v>7731</v>
      </c>
      <c r="AA2479" s="256">
        <v>43069</v>
      </c>
      <c r="AB2479" s="250" t="s">
        <v>7730</v>
      </c>
      <c r="AC2479" s="251">
        <v>898466913802</v>
      </c>
      <c r="AD2479" s="328"/>
      <c r="AE2479" s="328"/>
      <c r="AF2479" s="328"/>
      <c r="AG2479" s="251" t="s">
        <v>283</v>
      </c>
    </row>
    <row r="2480" spans="1:33" ht="15.75" customHeight="1">
      <c r="A2480" s="743">
        <v>42990</v>
      </c>
      <c r="B2480" s="970" t="s">
        <v>325</v>
      </c>
      <c r="C2480" s="744">
        <v>1613732</v>
      </c>
      <c r="D2480" s="744" t="s">
        <v>7727</v>
      </c>
      <c r="E2480" s="744" t="s">
        <v>58</v>
      </c>
      <c r="F2480" s="251">
        <v>10</v>
      </c>
      <c r="G2480" s="252">
        <v>4</v>
      </c>
      <c r="H2480" s="574">
        <f t="shared" si="171"/>
        <v>40</v>
      </c>
      <c r="I2480" s="254" t="s">
        <v>3315</v>
      </c>
      <c r="J2480" s="367" t="s">
        <v>3613</v>
      </c>
      <c r="K2480" s="256">
        <v>43019</v>
      </c>
      <c r="L2480" s="256"/>
      <c r="M2480" s="256">
        <v>43006</v>
      </c>
      <c r="N2480" s="401" t="s">
        <v>3614</v>
      </c>
      <c r="O2480" s="308" t="s">
        <v>7728</v>
      </c>
      <c r="P2480" s="308">
        <v>21</v>
      </c>
      <c r="Q2480" s="328"/>
      <c r="R2480" s="1407"/>
      <c r="S2480" s="1407"/>
      <c r="U2480" s="328"/>
      <c r="V2480" s="590" t="s">
        <v>2159</v>
      </c>
      <c r="W2480" s="747">
        <v>43069</v>
      </c>
      <c r="X2480" s="750">
        <v>43005</v>
      </c>
      <c r="Y2480" s="308" t="s">
        <v>7729</v>
      </c>
      <c r="Z2480" s="308" t="s">
        <v>7731</v>
      </c>
      <c r="AA2480" s="256">
        <v>43069</v>
      </c>
      <c r="AB2480" s="250" t="s">
        <v>7730</v>
      </c>
      <c r="AC2480" s="251">
        <v>898466913802</v>
      </c>
      <c r="AD2480" s="328"/>
      <c r="AE2480" s="328"/>
      <c r="AF2480" s="328"/>
      <c r="AG2480" s="251" t="s">
        <v>283</v>
      </c>
    </row>
    <row r="2481" spans="1:33" ht="15.75" customHeight="1">
      <c r="A2481" s="743">
        <v>42990</v>
      </c>
      <c r="B2481" s="970" t="s">
        <v>325</v>
      </c>
      <c r="C2481" s="744">
        <v>1613732</v>
      </c>
      <c r="D2481" s="744" t="s">
        <v>7727</v>
      </c>
      <c r="E2481" s="744" t="s">
        <v>6184</v>
      </c>
      <c r="F2481" s="251">
        <v>10</v>
      </c>
      <c r="G2481" s="252">
        <v>438</v>
      </c>
      <c r="H2481" s="574">
        <f t="shared" si="171"/>
        <v>4380</v>
      </c>
      <c r="I2481" s="254" t="s">
        <v>3315</v>
      </c>
      <c r="J2481" s="367" t="s">
        <v>3613</v>
      </c>
      <c r="K2481" s="256">
        <v>43019</v>
      </c>
      <c r="L2481" s="256"/>
      <c r="M2481" s="256">
        <v>43006</v>
      </c>
      <c r="N2481" s="331" t="s">
        <v>3614</v>
      </c>
      <c r="O2481" s="308" t="s">
        <v>7728</v>
      </c>
      <c r="P2481" s="308">
        <v>4042.5</v>
      </c>
      <c r="Q2481" s="328"/>
      <c r="R2481" s="1407"/>
      <c r="S2481" s="1407"/>
      <c r="U2481" s="328"/>
      <c r="V2481" s="590" t="s">
        <v>2159</v>
      </c>
      <c r="W2481" s="747">
        <v>43069</v>
      </c>
      <c r="X2481" s="750">
        <v>43005</v>
      </c>
      <c r="Y2481" s="308" t="s">
        <v>7729</v>
      </c>
      <c r="Z2481" s="308" t="s">
        <v>7731</v>
      </c>
      <c r="AA2481" s="256">
        <v>43069</v>
      </c>
      <c r="AB2481" s="250" t="s">
        <v>7730</v>
      </c>
      <c r="AC2481" s="251">
        <v>898466913802</v>
      </c>
      <c r="AD2481" s="328"/>
      <c r="AE2481" s="328"/>
      <c r="AF2481" s="328"/>
      <c r="AG2481" s="251" t="s">
        <v>283</v>
      </c>
    </row>
    <row r="2482" spans="1:33" ht="15.75" customHeight="1">
      <c r="A2482" s="743">
        <v>42990</v>
      </c>
      <c r="B2482" s="970" t="s">
        <v>325</v>
      </c>
      <c r="C2482" s="744">
        <v>1613732</v>
      </c>
      <c r="D2482" s="744" t="s">
        <v>7727</v>
      </c>
      <c r="E2482" s="744" t="s">
        <v>52</v>
      </c>
      <c r="F2482" s="251">
        <v>10</v>
      </c>
      <c r="G2482" s="252">
        <v>31</v>
      </c>
      <c r="H2482" s="574">
        <f t="shared" si="171"/>
        <v>310</v>
      </c>
      <c r="I2482" s="254" t="s">
        <v>3315</v>
      </c>
      <c r="J2482" s="367" t="s">
        <v>3613</v>
      </c>
      <c r="K2482" s="256">
        <v>43019</v>
      </c>
      <c r="L2482" s="256"/>
      <c r="M2482" s="256">
        <v>43006</v>
      </c>
      <c r="N2482" s="331" t="s">
        <v>3614</v>
      </c>
      <c r="O2482" s="308" t="s">
        <v>7728</v>
      </c>
      <c r="P2482" s="308">
        <v>226.8</v>
      </c>
      <c r="Q2482" s="328"/>
      <c r="R2482" s="1407"/>
      <c r="S2482" s="1407"/>
      <c r="U2482" s="328"/>
      <c r="V2482" s="590" t="s">
        <v>2159</v>
      </c>
      <c r="W2482" s="747">
        <v>43069</v>
      </c>
      <c r="X2482" s="750">
        <v>43005</v>
      </c>
      <c r="Y2482" s="308" t="s">
        <v>7729</v>
      </c>
      <c r="Z2482" s="308" t="s">
        <v>7731</v>
      </c>
      <c r="AA2482" s="256">
        <v>43069</v>
      </c>
      <c r="AB2482" s="250" t="s">
        <v>7730</v>
      </c>
      <c r="AC2482" s="251">
        <v>898466913802</v>
      </c>
      <c r="AD2482" s="328"/>
      <c r="AE2482" s="328"/>
      <c r="AF2482" s="328"/>
      <c r="AG2482" s="251" t="s">
        <v>283</v>
      </c>
    </row>
    <row r="2483" spans="1:33" ht="15.75" customHeight="1">
      <c r="A2483" s="743">
        <v>42990</v>
      </c>
      <c r="B2483" s="970" t="s">
        <v>325</v>
      </c>
      <c r="C2483" s="744">
        <v>1613732</v>
      </c>
      <c r="D2483" s="744" t="s">
        <v>7727</v>
      </c>
      <c r="E2483" s="744" t="s">
        <v>58</v>
      </c>
      <c r="F2483" s="251">
        <v>10</v>
      </c>
      <c r="G2483" s="252">
        <v>4</v>
      </c>
      <c r="H2483" s="574">
        <f t="shared" si="171"/>
        <v>40</v>
      </c>
      <c r="I2483" s="254" t="s">
        <v>3315</v>
      </c>
      <c r="J2483" s="367" t="s">
        <v>3613</v>
      </c>
      <c r="K2483" s="256">
        <v>43019</v>
      </c>
      <c r="L2483" s="256"/>
      <c r="M2483" s="256">
        <v>43006</v>
      </c>
      <c r="N2483" s="331" t="s">
        <v>3614</v>
      </c>
      <c r="O2483" s="308" t="s">
        <v>7728</v>
      </c>
      <c r="P2483" s="308">
        <v>21</v>
      </c>
      <c r="Q2483" s="328"/>
      <c r="R2483" s="1407"/>
      <c r="S2483" s="1407"/>
      <c r="U2483" s="328"/>
      <c r="V2483" s="590" t="s">
        <v>2159</v>
      </c>
      <c r="W2483" s="747">
        <v>43069</v>
      </c>
      <c r="X2483" s="750">
        <v>43005</v>
      </c>
      <c r="Y2483" s="308" t="s">
        <v>7729</v>
      </c>
      <c r="Z2483" s="308" t="s">
        <v>7731</v>
      </c>
      <c r="AA2483" s="256">
        <v>43069</v>
      </c>
      <c r="AB2483" s="250" t="s">
        <v>7730</v>
      </c>
      <c r="AC2483" s="251">
        <v>898466913802</v>
      </c>
      <c r="AD2483" s="328"/>
      <c r="AE2483" s="328"/>
      <c r="AF2483" s="328"/>
      <c r="AG2483" s="251" t="s">
        <v>283</v>
      </c>
    </row>
    <row r="2484" spans="1:33" ht="15.75" customHeight="1">
      <c r="A2484" s="743">
        <v>42990</v>
      </c>
      <c r="B2484" s="970" t="s">
        <v>325</v>
      </c>
      <c r="C2484" s="744">
        <v>1613732</v>
      </c>
      <c r="D2484" s="744" t="s">
        <v>7727</v>
      </c>
      <c r="E2484" s="744" t="s">
        <v>3620</v>
      </c>
      <c r="F2484" s="251">
        <v>10</v>
      </c>
      <c r="G2484" s="252">
        <v>273</v>
      </c>
      <c r="H2484" s="574">
        <f t="shared" ref="H2484:H2705" si="172">G2484*F2484</f>
        <v>2730</v>
      </c>
      <c r="I2484" s="254" t="s">
        <v>3315</v>
      </c>
      <c r="J2484" s="367" t="s">
        <v>3613</v>
      </c>
      <c r="K2484" s="256">
        <v>43019</v>
      </c>
      <c r="L2484" s="256"/>
      <c r="M2484" s="256">
        <v>42999</v>
      </c>
      <c r="N2484" s="367" t="s">
        <v>44</v>
      </c>
      <c r="O2484" s="308" t="s">
        <v>7732</v>
      </c>
      <c r="P2484" s="793">
        <v>2257.5</v>
      </c>
      <c r="Q2484" s="328"/>
      <c r="R2484" s="1407"/>
      <c r="S2484" s="1407"/>
      <c r="U2484" s="328"/>
      <c r="V2484" s="318" t="s">
        <v>3754</v>
      </c>
      <c r="W2484" s="789">
        <v>43029</v>
      </c>
      <c r="X2484" s="748">
        <v>42999</v>
      </c>
      <c r="Y2484" s="744" t="s">
        <v>7733</v>
      </c>
      <c r="Z2484" s="749">
        <v>85424</v>
      </c>
      <c r="AA2484" s="594">
        <v>43032</v>
      </c>
      <c r="AB2484" s="250" t="s">
        <v>7730</v>
      </c>
      <c r="AC2484" s="251">
        <v>898466913802</v>
      </c>
      <c r="AD2484" s="328"/>
      <c r="AE2484" s="328"/>
      <c r="AF2484" s="328"/>
      <c r="AG2484" s="251" t="s">
        <v>283</v>
      </c>
    </row>
    <row r="2485" spans="1:33" ht="15.75" customHeight="1">
      <c r="A2485" s="743">
        <v>42990</v>
      </c>
      <c r="B2485" s="970" t="s">
        <v>325</v>
      </c>
      <c r="C2485" s="744">
        <v>1613732</v>
      </c>
      <c r="D2485" s="744" t="s">
        <v>7727</v>
      </c>
      <c r="E2485" s="744" t="s">
        <v>7118</v>
      </c>
      <c r="F2485" s="251">
        <v>10</v>
      </c>
      <c r="G2485" s="252">
        <v>48</v>
      </c>
      <c r="H2485" s="574">
        <f t="shared" si="172"/>
        <v>480</v>
      </c>
      <c r="I2485" s="254" t="s">
        <v>3315</v>
      </c>
      <c r="J2485" s="367" t="s">
        <v>3613</v>
      </c>
      <c r="K2485" s="256">
        <v>43019</v>
      </c>
      <c r="L2485" s="256"/>
      <c r="M2485" s="256">
        <v>42999</v>
      </c>
      <c r="N2485" s="267" t="s">
        <v>44</v>
      </c>
      <c r="O2485" s="308" t="s">
        <v>7732</v>
      </c>
      <c r="P2485" s="793">
        <v>577.5</v>
      </c>
      <c r="Q2485" s="328"/>
      <c r="R2485" s="1407"/>
      <c r="S2485" s="1407"/>
      <c r="U2485" s="328"/>
      <c r="V2485" s="318" t="s">
        <v>3754</v>
      </c>
      <c r="W2485" s="789">
        <v>43029</v>
      </c>
      <c r="X2485" s="748">
        <v>42999</v>
      </c>
      <c r="Y2485" s="744" t="s">
        <v>7733</v>
      </c>
      <c r="Z2485" s="744" t="s">
        <v>7734</v>
      </c>
      <c r="AA2485" s="594">
        <v>43032</v>
      </c>
      <c r="AB2485" s="250" t="s">
        <v>7730</v>
      </c>
      <c r="AC2485" s="251">
        <v>898466913802</v>
      </c>
      <c r="AD2485" s="328"/>
      <c r="AE2485" s="328"/>
      <c r="AF2485" s="328"/>
      <c r="AG2485" s="251" t="s">
        <v>283</v>
      </c>
    </row>
    <row r="2486" spans="1:33" ht="15.75" customHeight="1">
      <c r="A2486" s="743">
        <v>42990</v>
      </c>
      <c r="B2486" s="970" t="s">
        <v>5017</v>
      </c>
      <c r="C2486" s="757" t="s">
        <v>7735</v>
      </c>
      <c r="D2486" s="744" t="s">
        <v>7736</v>
      </c>
      <c r="E2486" s="744" t="s">
        <v>7737</v>
      </c>
      <c r="F2486" s="251">
        <v>10</v>
      </c>
      <c r="G2486" s="252">
        <f>9.4*(1+5%)</f>
        <v>9.870000000000001</v>
      </c>
      <c r="H2486" s="574">
        <f t="shared" si="172"/>
        <v>98.700000000000017</v>
      </c>
      <c r="I2486" s="758" t="s">
        <v>3315</v>
      </c>
      <c r="J2486" s="251" t="s">
        <v>1309</v>
      </c>
      <c r="K2486" s="256">
        <v>42999</v>
      </c>
      <c r="L2486" s="256"/>
      <c r="M2486" s="256">
        <v>42997</v>
      </c>
      <c r="N2486" s="331" t="s">
        <v>2411</v>
      </c>
      <c r="O2486" s="308" t="s">
        <v>7738</v>
      </c>
      <c r="P2486" s="328"/>
      <c r="Q2486" s="572">
        <v>2678</v>
      </c>
      <c r="R2486" s="1413"/>
      <c r="S2486" s="1413"/>
      <c r="U2486" s="328"/>
      <c r="V2486" s="318" t="s">
        <v>4328</v>
      </c>
      <c r="W2486" s="747">
        <v>43013</v>
      </c>
      <c r="X2486" s="748">
        <v>42992</v>
      </c>
      <c r="Y2486" s="744" t="s">
        <v>7739</v>
      </c>
      <c r="Z2486" s="749">
        <v>2678</v>
      </c>
      <c r="AA2486" s="594">
        <v>43013</v>
      </c>
      <c r="AB2486" s="250" t="s">
        <v>7740</v>
      </c>
      <c r="AC2486" s="328" t="s">
        <v>7741</v>
      </c>
      <c r="AD2486" s="597" t="s">
        <v>7263</v>
      </c>
      <c r="AE2486" s="260">
        <v>2966</v>
      </c>
      <c r="AF2486" s="328" t="s">
        <v>2778</v>
      </c>
      <c r="AG2486" s="251" t="s">
        <v>376</v>
      </c>
    </row>
    <row r="2487" spans="1:33" ht="15.75" customHeight="1">
      <c r="A2487" s="743">
        <v>42991</v>
      </c>
      <c r="B2487" s="386" t="s">
        <v>100</v>
      </c>
      <c r="C2487" s="328" t="s">
        <v>7742</v>
      </c>
      <c r="D2487" s="308" t="s">
        <v>7743</v>
      </c>
      <c r="E2487" s="308" t="s">
        <v>7744</v>
      </c>
      <c r="F2487" s="305">
        <v>2</v>
      </c>
      <c r="G2487" s="252">
        <v>847</v>
      </c>
      <c r="H2487" s="265">
        <f t="shared" si="172"/>
        <v>1694</v>
      </c>
      <c r="I2487" s="254" t="s">
        <v>3315</v>
      </c>
      <c r="J2487" s="367" t="s">
        <v>3578</v>
      </c>
      <c r="K2487" s="256">
        <v>43006</v>
      </c>
      <c r="L2487" s="256"/>
      <c r="M2487" s="865">
        <v>43006</v>
      </c>
      <c r="N2487" s="331" t="s">
        <v>1414</v>
      </c>
      <c r="O2487" s="308" t="s">
        <v>7745</v>
      </c>
      <c r="P2487" s="308"/>
      <c r="Q2487" s="572">
        <v>51715</v>
      </c>
      <c r="R2487" s="1413"/>
      <c r="S2487" s="1413"/>
      <c r="U2487" s="328"/>
      <c r="V2487" s="318" t="s">
        <v>1947</v>
      </c>
      <c r="W2487" s="789">
        <v>43039</v>
      </c>
      <c r="X2487" s="748">
        <v>42997</v>
      </c>
      <c r="Y2487" s="744" t="s">
        <v>7746</v>
      </c>
      <c r="Z2487" s="749">
        <v>51746</v>
      </c>
      <c r="AA2487" s="1003"/>
      <c r="AB2487" s="250" t="s">
        <v>7720</v>
      </c>
      <c r="AC2487" s="251">
        <v>9669812176</v>
      </c>
      <c r="AD2487" s="328"/>
      <c r="AE2487" s="328"/>
      <c r="AF2487" s="328"/>
      <c r="AG2487" s="251" t="s">
        <v>283</v>
      </c>
    </row>
    <row r="2488" spans="1:33" ht="15.75" customHeight="1">
      <c r="A2488" s="743">
        <v>42991</v>
      </c>
      <c r="B2488" s="386" t="s">
        <v>100</v>
      </c>
      <c r="C2488" s="328" t="s">
        <v>7742</v>
      </c>
      <c r="D2488" s="308" t="s">
        <v>7747</v>
      </c>
      <c r="E2488" s="308" t="s">
        <v>6829</v>
      </c>
      <c r="F2488" s="305">
        <v>2</v>
      </c>
      <c r="G2488" s="252">
        <f>G2486*10%</f>
        <v>0.9870000000000001</v>
      </c>
      <c r="H2488" s="265">
        <f t="shared" si="172"/>
        <v>1.9740000000000002</v>
      </c>
      <c r="I2488" s="254" t="s">
        <v>3315</v>
      </c>
      <c r="J2488" s="367" t="s">
        <v>3578</v>
      </c>
      <c r="K2488" s="256">
        <v>43006</v>
      </c>
      <c r="L2488" s="256"/>
      <c r="M2488" s="865">
        <v>43006</v>
      </c>
      <c r="N2488" s="401" t="s">
        <v>1414</v>
      </c>
      <c r="O2488" s="308" t="s">
        <v>7745</v>
      </c>
      <c r="P2488" s="308"/>
      <c r="Q2488" s="630" t="s">
        <v>7748</v>
      </c>
      <c r="R2488" s="1415"/>
      <c r="S2488" s="1415"/>
      <c r="U2488" s="328"/>
      <c r="V2488" s="318" t="s">
        <v>1947</v>
      </c>
      <c r="W2488" s="789">
        <v>43039</v>
      </c>
      <c r="X2488" s="748">
        <v>42997</v>
      </c>
      <c r="Y2488" s="744" t="s">
        <v>7746</v>
      </c>
      <c r="Z2488" s="744" t="s">
        <v>7749</v>
      </c>
      <c r="AA2488" s="1003"/>
      <c r="AB2488" s="250" t="s">
        <v>7720</v>
      </c>
      <c r="AC2488" s="251">
        <v>9669812176</v>
      </c>
      <c r="AD2488" s="328"/>
      <c r="AE2488" s="328"/>
      <c r="AF2488" s="328"/>
      <c r="AG2488" s="251" t="s">
        <v>283</v>
      </c>
    </row>
    <row r="2489" spans="1:33" ht="15.75" customHeight="1">
      <c r="A2489" s="743">
        <v>42991</v>
      </c>
      <c r="B2489" s="386" t="s">
        <v>100</v>
      </c>
      <c r="C2489" s="328" t="s">
        <v>7742</v>
      </c>
      <c r="D2489" s="308" t="s">
        <v>7743</v>
      </c>
      <c r="E2489" s="308" t="s">
        <v>7632</v>
      </c>
      <c r="F2489" s="305">
        <v>2</v>
      </c>
      <c r="G2489" s="252">
        <v>74</v>
      </c>
      <c r="H2489" s="265">
        <f t="shared" si="172"/>
        <v>148</v>
      </c>
      <c r="I2489" s="254" t="s">
        <v>3315</v>
      </c>
      <c r="J2489" s="367" t="s">
        <v>3578</v>
      </c>
      <c r="K2489" s="256">
        <v>43006</v>
      </c>
      <c r="L2489" s="256"/>
      <c r="M2489" s="256">
        <v>42993</v>
      </c>
      <c r="N2489" s="585" t="s">
        <v>1952</v>
      </c>
      <c r="O2489" s="308" t="s">
        <v>7750</v>
      </c>
      <c r="P2489" s="589"/>
      <c r="Q2489" s="328"/>
      <c r="R2489" s="1407"/>
      <c r="S2489" s="1407"/>
      <c r="U2489" s="328"/>
      <c r="V2489" s="590"/>
      <c r="W2489" s="789">
        <v>43056</v>
      </c>
      <c r="X2489" s="750">
        <v>43020</v>
      </c>
      <c r="Y2489" s="250" t="s">
        <v>7634</v>
      </c>
      <c r="Z2489" s="753" t="s">
        <v>7751</v>
      </c>
      <c r="AA2489" s="594">
        <v>43053</v>
      </c>
      <c r="AB2489" s="250" t="s">
        <v>7720</v>
      </c>
      <c r="AC2489" s="251">
        <v>9669812176</v>
      </c>
      <c r="AD2489" s="328"/>
      <c r="AE2489" s="328"/>
      <c r="AF2489" s="328"/>
      <c r="AG2489" s="251" t="s">
        <v>283</v>
      </c>
    </row>
    <row r="2490" spans="1:33" ht="15.75" customHeight="1">
      <c r="A2490" s="743">
        <v>42992</v>
      </c>
      <c r="B2490" s="970" t="s">
        <v>3347</v>
      </c>
      <c r="C2490" s="744" t="s">
        <v>7439</v>
      </c>
      <c r="D2490" s="308" t="s">
        <v>7752</v>
      </c>
      <c r="E2490" s="308" t="s">
        <v>7441</v>
      </c>
      <c r="F2490" s="251">
        <v>20</v>
      </c>
      <c r="G2490" s="252">
        <v>430</v>
      </c>
      <c r="H2490" s="572">
        <f t="shared" si="172"/>
        <v>8600</v>
      </c>
      <c r="I2490" s="254" t="s">
        <v>170</v>
      </c>
      <c r="J2490" s="267" t="s">
        <v>3350</v>
      </c>
      <c r="K2490" s="256">
        <v>43013</v>
      </c>
      <c r="L2490" s="256"/>
      <c r="M2490" s="256">
        <v>43005</v>
      </c>
      <c r="N2490" s="331" t="s">
        <v>89</v>
      </c>
      <c r="O2490" s="308" t="s">
        <v>7753</v>
      </c>
      <c r="P2490" s="572">
        <v>8190</v>
      </c>
      <c r="Q2490" s="328"/>
      <c r="R2490" s="1407"/>
      <c r="S2490" s="1407"/>
      <c r="U2490" s="328"/>
      <c r="V2490" s="571" t="s">
        <v>93</v>
      </c>
      <c r="W2490" s="747">
        <v>43069</v>
      </c>
      <c r="X2490" s="748">
        <v>43005</v>
      </c>
      <c r="Y2490" s="744" t="s">
        <v>7754</v>
      </c>
      <c r="Z2490" s="749">
        <v>245782</v>
      </c>
      <c r="AA2490" s="256">
        <v>43052</v>
      </c>
      <c r="AB2490" s="744" t="s">
        <v>7444</v>
      </c>
      <c r="AC2490" s="328"/>
      <c r="AD2490" s="328"/>
      <c r="AE2490" s="328"/>
      <c r="AF2490" s="328"/>
      <c r="AG2490" s="251" t="s">
        <v>283</v>
      </c>
    </row>
    <row r="2491" spans="1:33" ht="15.75" customHeight="1">
      <c r="A2491" s="743">
        <v>42992</v>
      </c>
      <c r="B2491" s="970" t="s">
        <v>3347</v>
      </c>
      <c r="C2491" s="744" t="s">
        <v>7439</v>
      </c>
      <c r="D2491" s="250" t="s">
        <v>7755</v>
      </c>
      <c r="E2491" s="250" t="s">
        <v>3349</v>
      </c>
      <c r="F2491" s="251">
        <v>50</v>
      </c>
      <c r="G2491" s="252">
        <v>174.5</v>
      </c>
      <c r="H2491" s="572">
        <f t="shared" si="172"/>
        <v>8725</v>
      </c>
      <c r="I2491" s="254" t="s">
        <v>170</v>
      </c>
      <c r="J2491" s="267" t="s">
        <v>3350</v>
      </c>
      <c r="K2491" s="256">
        <v>43013</v>
      </c>
      <c r="L2491" s="256"/>
      <c r="M2491" s="256">
        <v>43004</v>
      </c>
      <c r="N2491" s="331" t="s">
        <v>3351</v>
      </c>
      <c r="O2491" s="308" t="s">
        <v>7756</v>
      </c>
      <c r="P2491" s="572">
        <v>8295</v>
      </c>
      <c r="Q2491" s="328"/>
      <c r="R2491" s="1407"/>
      <c r="S2491" s="1407"/>
      <c r="U2491" s="328"/>
      <c r="V2491" s="318" t="s">
        <v>3353</v>
      </c>
      <c r="W2491" s="747">
        <v>42996</v>
      </c>
      <c r="X2491" s="750">
        <v>43007</v>
      </c>
      <c r="Y2491" s="308" t="s">
        <v>7659</v>
      </c>
      <c r="Z2491" s="308" t="s">
        <v>7687</v>
      </c>
      <c r="AA2491" s="594">
        <v>42997</v>
      </c>
      <c r="AB2491" s="744" t="s">
        <v>7444</v>
      </c>
      <c r="AC2491" s="328"/>
      <c r="AD2491" s="328"/>
      <c r="AE2491" s="328"/>
      <c r="AF2491" s="328"/>
      <c r="AG2491" s="251" t="s">
        <v>283</v>
      </c>
    </row>
    <row r="2492" spans="1:33" ht="15.75" customHeight="1">
      <c r="A2492" s="743">
        <v>42992</v>
      </c>
      <c r="B2492" s="970" t="s">
        <v>325</v>
      </c>
      <c r="C2492" s="744">
        <v>1613861</v>
      </c>
      <c r="D2492" s="744" t="s">
        <v>7757</v>
      </c>
      <c r="E2492" s="744" t="s">
        <v>7758</v>
      </c>
      <c r="F2492" s="251">
        <v>30</v>
      </c>
      <c r="G2492" s="252">
        <v>245</v>
      </c>
      <c r="H2492" s="572">
        <f t="shared" si="172"/>
        <v>7350</v>
      </c>
      <c r="I2492" s="254" t="s">
        <v>3315</v>
      </c>
      <c r="J2492" s="367" t="s">
        <v>3613</v>
      </c>
      <c r="K2492" s="256">
        <v>43019</v>
      </c>
      <c r="L2492" s="256"/>
      <c r="M2492" s="256">
        <v>43004</v>
      </c>
      <c r="N2492" s="331" t="s">
        <v>3614</v>
      </c>
      <c r="O2492" s="308" t="s">
        <v>7759</v>
      </c>
      <c r="P2492" s="572">
        <v>6804</v>
      </c>
      <c r="Q2492" s="328"/>
      <c r="R2492" s="1407"/>
      <c r="S2492" s="1407"/>
      <c r="U2492" s="328"/>
      <c r="V2492" s="590" t="s">
        <v>2159</v>
      </c>
      <c r="W2492" s="747">
        <v>43069</v>
      </c>
      <c r="X2492" s="750">
        <v>43007</v>
      </c>
      <c r="Y2492" s="308" t="s">
        <v>7760</v>
      </c>
      <c r="Z2492" s="753">
        <v>206672</v>
      </c>
      <c r="AA2492" s="256">
        <v>43069</v>
      </c>
      <c r="AB2492" s="250" t="s">
        <v>7730</v>
      </c>
      <c r="AC2492" s="251">
        <v>898466913802</v>
      </c>
      <c r="AD2492" s="328"/>
      <c r="AE2492" s="328"/>
      <c r="AF2492" s="328"/>
      <c r="AG2492" s="251" t="s">
        <v>283</v>
      </c>
    </row>
    <row r="2493" spans="1:33" ht="15.75" customHeight="1">
      <c r="A2493" s="272">
        <v>42992</v>
      </c>
      <c r="B2493" s="1024" t="s">
        <v>7761</v>
      </c>
      <c r="C2493" s="768"/>
      <c r="D2493" s="768" t="s">
        <v>7762</v>
      </c>
      <c r="E2493" s="768" t="s">
        <v>7763</v>
      </c>
      <c r="F2493" s="277">
        <v>0</v>
      </c>
      <c r="G2493" s="278">
        <v>280</v>
      </c>
      <c r="H2493" s="279">
        <f t="shared" si="172"/>
        <v>0</v>
      </c>
      <c r="I2493" s="280" t="s">
        <v>3712</v>
      </c>
      <c r="J2493" s="867"/>
      <c r="K2493" s="776" t="s">
        <v>70</v>
      </c>
      <c r="L2493" s="776"/>
      <c r="M2493" s="575"/>
      <c r="N2493" s="981" t="s">
        <v>6101</v>
      </c>
      <c r="O2493" s="777" t="s">
        <v>7764</v>
      </c>
      <c r="P2493" s="579"/>
      <c r="Q2493" s="575"/>
      <c r="R2493" s="1448"/>
      <c r="S2493" s="1448"/>
      <c r="U2493" s="575"/>
      <c r="V2493" s="836" t="s">
        <v>2010</v>
      </c>
      <c r="W2493" s="837" t="s">
        <v>7765</v>
      </c>
      <c r="X2493" s="766"/>
      <c r="Y2493" s="766"/>
      <c r="Z2493" s="766"/>
      <c r="AA2493" s="1013"/>
      <c r="AB2493" s="766"/>
      <c r="AC2493" s="575"/>
      <c r="AD2493" s="575"/>
      <c r="AE2493" s="575"/>
      <c r="AF2493" s="575"/>
      <c r="AG2493" s="277" t="s">
        <v>3456</v>
      </c>
    </row>
    <row r="2494" spans="1:33" ht="15.75" customHeight="1">
      <c r="A2494" s="272">
        <v>42992</v>
      </c>
      <c r="B2494" s="1024" t="s">
        <v>7761</v>
      </c>
      <c r="C2494" s="768"/>
      <c r="D2494" s="768" t="s">
        <v>7762</v>
      </c>
      <c r="E2494" s="768" t="s">
        <v>7766</v>
      </c>
      <c r="F2494" s="277">
        <v>0</v>
      </c>
      <c r="G2494" s="578">
        <v>76</v>
      </c>
      <c r="H2494" s="279">
        <f t="shared" si="172"/>
        <v>0</v>
      </c>
      <c r="I2494" s="280" t="s">
        <v>3712</v>
      </c>
      <c r="J2494" s="867"/>
      <c r="K2494" s="776" t="s">
        <v>70</v>
      </c>
      <c r="L2494" s="776"/>
      <c r="M2494" s="277"/>
      <c r="N2494" s="981" t="s">
        <v>6101</v>
      </c>
      <c r="O2494" s="777" t="s">
        <v>7764</v>
      </c>
      <c r="P2494" s="579"/>
      <c r="Q2494" s="575"/>
      <c r="R2494" s="1448"/>
      <c r="S2494" s="1448"/>
      <c r="U2494" s="575"/>
      <c r="V2494" s="836" t="s">
        <v>2010</v>
      </c>
      <c r="W2494" s="837" t="s">
        <v>7765</v>
      </c>
      <c r="X2494" s="766"/>
      <c r="Y2494" s="766"/>
      <c r="Z2494" s="766"/>
      <c r="AA2494" s="1013"/>
      <c r="AB2494" s="766"/>
      <c r="AC2494" s="575"/>
      <c r="AD2494" s="575"/>
      <c r="AE2494" s="575"/>
      <c r="AF2494" s="575"/>
      <c r="AG2494" s="277" t="s">
        <v>3456</v>
      </c>
    </row>
    <row r="2495" spans="1:33" ht="15.75" customHeight="1">
      <c r="A2495" s="743">
        <v>42993</v>
      </c>
      <c r="B2495" s="970" t="s">
        <v>100</v>
      </c>
      <c r="C2495" s="744" t="s">
        <v>7767</v>
      </c>
      <c r="D2495" s="744" t="s">
        <v>7768</v>
      </c>
      <c r="E2495" s="744" t="s">
        <v>7769</v>
      </c>
      <c r="F2495" s="251">
        <v>1</v>
      </c>
      <c r="G2495" s="252">
        <v>994</v>
      </c>
      <c r="H2495" s="265">
        <f t="shared" si="172"/>
        <v>994</v>
      </c>
      <c r="I2495" s="254" t="s">
        <v>3315</v>
      </c>
      <c r="J2495" s="367" t="s">
        <v>3578</v>
      </c>
      <c r="K2495" s="256">
        <v>43006</v>
      </c>
      <c r="L2495" s="256"/>
      <c r="M2495" s="256">
        <v>43005</v>
      </c>
      <c r="N2495" s="331" t="s">
        <v>6642</v>
      </c>
      <c r="O2495" s="308" t="s">
        <v>7770</v>
      </c>
      <c r="P2495" s="589"/>
      <c r="Q2495" s="630">
        <v>27617</v>
      </c>
      <c r="R2495" s="1415"/>
      <c r="S2495" s="1415"/>
      <c r="U2495" s="328"/>
      <c r="V2495" s="1063" t="s">
        <v>2274</v>
      </c>
      <c r="W2495" s="747">
        <v>43044</v>
      </c>
      <c r="X2495" s="748">
        <v>43005</v>
      </c>
      <c r="Y2495" s="744" t="s">
        <v>7771</v>
      </c>
      <c r="Z2495" s="749">
        <v>27617</v>
      </c>
      <c r="AA2495" s="594">
        <v>43046</v>
      </c>
      <c r="AB2495" s="250" t="s">
        <v>7720</v>
      </c>
      <c r="AC2495" s="251">
        <v>9669812176</v>
      </c>
      <c r="AD2495" s="328"/>
      <c r="AE2495" s="328"/>
      <c r="AF2495" s="328"/>
      <c r="AG2495" s="251" t="s">
        <v>283</v>
      </c>
    </row>
    <row r="2496" spans="1:33" ht="15.75" customHeight="1">
      <c r="A2496" s="743">
        <v>42993</v>
      </c>
      <c r="B2496" s="590" t="s">
        <v>7107</v>
      </c>
      <c r="C2496" s="744">
        <v>7000132495</v>
      </c>
      <c r="D2496" s="744" t="s">
        <v>7772</v>
      </c>
      <c r="E2496" s="744" t="s">
        <v>7773</v>
      </c>
      <c r="F2496" s="251">
        <v>1</v>
      </c>
      <c r="G2496" s="252">
        <v>169</v>
      </c>
      <c r="H2496" s="265">
        <f t="shared" si="172"/>
        <v>169</v>
      </c>
      <c r="I2496" s="254" t="s">
        <v>42</v>
      </c>
      <c r="J2496" s="756" t="s">
        <v>3462</v>
      </c>
      <c r="K2496" s="256">
        <v>43006</v>
      </c>
      <c r="L2496" s="256"/>
      <c r="M2496" s="256">
        <v>43004</v>
      </c>
      <c r="N2496" s="264" t="s">
        <v>3432</v>
      </c>
      <c r="O2496" s="308" t="s">
        <v>7774</v>
      </c>
      <c r="P2496" s="589"/>
      <c r="Q2496" s="630">
        <v>4771</v>
      </c>
      <c r="R2496" s="1415"/>
      <c r="S2496" s="1415"/>
      <c r="U2496" s="328"/>
      <c r="V2496" s="308" t="s">
        <v>2045</v>
      </c>
      <c r="W2496" s="789">
        <v>43100</v>
      </c>
      <c r="X2496" s="748">
        <v>43004</v>
      </c>
      <c r="Y2496" s="744" t="s">
        <v>7775</v>
      </c>
      <c r="Z2496" s="749">
        <v>24616</v>
      </c>
      <c r="AA2496" s="594">
        <v>43105</v>
      </c>
      <c r="AB2496" s="250" t="s">
        <v>7776</v>
      </c>
      <c r="AC2496" s="251">
        <v>7397040663</v>
      </c>
      <c r="AD2496" s="328"/>
      <c r="AE2496" s="328"/>
      <c r="AF2496" s="328"/>
      <c r="AG2496" s="251" t="s">
        <v>283</v>
      </c>
    </row>
    <row r="2497" spans="1:33" ht="15.75" customHeight="1">
      <c r="A2497" s="743">
        <v>42993</v>
      </c>
      <c r="B2497" s="590" t="s">
        <v>7107</v>
      </c>
      <c r="C2497" s="744">
        <v>7000132495</v>
      </c>
      <c r="D2497" s="744" t="s">
        <v>7772</v>
      </c>
      <c r="E2497" s="744" t="s">
        <v>7777</v>
      </c>
      <c r="F2497" s="251">
        <v>6</v>
      </c>
      <c r="G2497" s="252">
        <v>117</v>
      </c>
      <c r="H2497" s="265">
        <f t="shared" si="172"/>
        <v>702</v>
      </c>
      <c r="I2497" s="254" t="s">
        <v>42</v>
      </c>
      <c r="J2497" s="756" t="s">
        <v>3462</v>
      </c>
      <c r="K2497" s="256">
        <v>43006</v>
      </c>
      <c r="L2497" s="256"/>
      <c r="M2497" s="256">
        <v>43004</v>
      </c>
      <c r="N2497" s="264" t="s">
        <v>3432</v>
      </c>
      <c r="O2497" s="308" t="s">
        <v>7774</v>
      </c>
      <c r="P2497" s="589"/>
      <c r="Q2497" s="572">
        <v>19845</v>
      </c>
      <c r="R2497" s="1413"/>
      <c r="S2497" s="1413"/>
      <c r="U2497" s="328"/>
      <c r="V2497" s="308" t="s">
        <v>2045</v>
      </c>
      <c r="W2497" s="789">
        <v>43100</v>
      </c>
      <c r="X2497" s="748">
        <v>43004</v>
      </c>
      <c r="Y2497" s="744" t="s">
        <v>7775</v>
      </c>
      <c r="Z2497" s="744" t="s">
        <v>7778</v>
      </c>
      <c r="AA2497" s="594">
        <v>43105</v>
      </c>
      <c r="AB2497" s="250" t="s">
        <v>7776</v>
      </c>
      <c r="AC2497" s="251">
        <v>7397040663</v>
      </c>
      <c r="AD2497" s="328"/>
      <c r="AE2497" s="328"/>
      <c r="AF2497" s="328"/>
      <c r="AG2497" s="251" t="s">
        <v>283</v>
      </c>
    </row>
    <row r="2498" spans="1:33" ht="15.75" customHeight="1">
      <c r="A2498" s="743">
        <v>42996</v>
      </c>
      <c r="B2498" s="970" t="s">
        <v>4590</v>
      </c>
      <c r="C2498" s="744">
        <v>63578</v>
      </c>
      <c r="D2498" s="744" t="s">
        <v>7779</v>
      </c>
      <c r="E2498" s="744" t="s">
        <v>7780</v>
      </c>
      <c r="F2498" s="251">
        <v>50</v>
      </c>
      <c r="G2498" s="252">
        <v>58</v>
      </c>
      <c r="H2498" s="265">
        <f t="shared" si="172"/>
        <v>2900</v>
      </c>
      <c r="I2498" s="758" t="s">
        <v>3315</v>
      </c>
      <c r="J2498" s="367" t="s">
        <v>532</v>
      </c>
      <c r="K2498" s="256">
        <v>43003</v>
      </c>
      <c r="L2498" s="256"/>
      <c r="M2498" s="256">
        <v>43000</v>
      </c>
      <c r="N2498" s="331" t="s">
        <v>6196</v>
      </c>
      <c r="O2498" s="308" t="s">
        <v>7781</v>
      </c>
      <c r="P2498" s="266">
        <v>2677.5</v>
      </c>
      <c r="Q2498" s="328"/>
      <c r="R2498" s="1407"/>
      <c r="S2498" s="1407"/>
      <c r="U2498" s="328"/>
      <c r="V2498" s="597" t="s">
        <v>6198</v>
      </c>
      <c r="W2498" s="747">
        <v>43013</v>
      </c>
      <c r="X2498" s="748">
        <v>42999</v>
      </c>
      <c r="Y2498" s="744" t="s">
        <v>7782</v>
      </c>
      <c r="Z2498" s="749">
        <v>80641</v>
      </c>
      <c r="AA2498" s="256">
        <v>43013</v>
      </c>
      <c r="AB2498" s="250" t="s">
        <v>7783</v>
      </c>
      <c r="AC2498" s="251">
        <v>1548795640</v>
      </c>
      <c r="AD2498" s="328"/>
      <c r="AE2498" s="328"/>
      <c r="AF2498" s="328"/>
      <c r="AG2498" s="251" t="s">
        <v>283</v>
      </c>
    </row>
    <row r="2499" spans="1:33" ht="15.75" customHeight="1">
      <c r="A2499" s="743">
        <v>42996</v>
      </c>
      <c r="B2499" s="970" t="s">
        <v>4590</v>
      </c>
      <c r="C2499" s="744">
        <v>63578</v>
      </c>
      <c r="D2499" s="744" t="s">
        <v>7779</v>
      </c>
      <c r="E2499" s="744" t="s">
        <v>346</v>
      </c>
      <c r="F2499" s="251">
        <v>1</v>
      </c>
      <c r="G2499" s="252">
        <v>172</v>
      </c>
      <c r="H2499" s="265">
        <f t="shared" si="172"/>
        <v>172</v>
      </c>
      <c r="I2499" s="758" t="s">
        <v>3315</v>
      </c>
      <c r="J2499" s="367" t="s">
        <v>532</v>
      </c>
      <c r="K2499" s="256">
        <v>43003</v>
      </c>
      <c r="L2499" s="256"/>
      <c r="M2499" s="594">
        <v>43000</v>
      </c>
      <c r="N2499" s="264" t="s">
        <v>1999</v>
      </c>
      <c r="O2499" s="593"/>
      <c r="P2499" s="589"/>
      <c r="Q2499" s="630">
        <v>4905</v>
      </c>
      <c r="R2499" s="1415"/>
      <c r="S2499" s="1415"/>
      <c r="U2499" s="328"/>
      <c r="V2499" s="308" t="s">
        <v>2000</v>
      </c>
      <c r="W2499" s="747">
        <v>43038</v>
      </c>
      <c r="X2499" s="750">
        <v>43008</v>
      </c>
      <c r="Y2499" s="308" t="s">
        <v>7784</v>
      </c>
      <c r="Z2499" s="753">
        <v>9343</v>
      </c>
      <c r="AA2499" s="256">
        <v>43041</v>
      </c>
      <c r="AB2499" s="250" t="s">
        <v>7783</v>
      </c>
      <c r="AC2499" s="251">
        <v>1548795640</v>
      </c>
      <c r="AD2499" s="328"/>
      <c r="AE2499" s="328"/>
      <c r="AF2499" s="328"/>
      <c r="AG2499" s="251" t="s">
        <v>283</v>
      </c>
    </row>
    <row r="2500" spans="1:33" ht="15.75" customHeight="1">
      <c r="A2500" s="743">
        <v>42997</v>
      </c>
      <c r="B2500" s="970" t="s">
        <v>3347</v>
      </c>
      <c r="C2500" s="744" t="s">
        <v>7439</v>
      </c>
      <c r="D2500" s="250" t="s">
        <v>7785</v>
      </c>
      <c r="E2500" s="250" t="s">
        <v>7441</v>
      </c>
      <c r="F2500" s="251">
        <v>40</v>
      </c>
      <c r="G2500" s="252">
        <v>430</v>
      </c>
      <c r="H2500" s="572">
        <f t="shared" si="172"/>
        <v>17200</v>
      </c>
      <c r="I2500" s="254" t="s">
        <v>170</v>
      </c>
      <c r="J2500" s="267" t="s">
        <v>3350</v>
      </c>
      <c r="K2500" s="256">
        <v>43013</v>
      </c>
      <c r="L2500" s="256"/>
      <c r="M2500" s="256">
        <v>43011</v>
      </c>
      <c r="N2500" s="331" t="s">
        <v>89</v>
      </c>
      <c r="O2500" s="308" t="s">
        <v>7786</v>
      </c>
      <c r="P2500" s="572">
        <v>16380</v>
      </c>
      <c r="Q2500" s="328"/>
      <c r="R2500" s="1407"/>
      <c r="S2500" s="1407"/>
      <c r="U2500" s="328"/>
      <c r="V2500" s="338" t="s">
        <v>93</v>
      </c>
      <c r="W2500" s="747">
        <v>43069</v>
      </c>
      <c r="X2500" s="748">
        <v>43010</v>
      </c>
      <c r="Y2500" s="744" t="s">
        <v>7787</v>
      </c>
      <c r="Z2500" s="749">
        <v>493284</v>
      </c>
      <c r="AA2500" s="256">
        <v>43052</v>
      </c>
      <c r="AB2500" s="744" t="s">
        <v>7444</v>
      </c>
      <c r="AC2500" s="328"/>
      <c r="AD2500" s="328"/>
      <c r="AE2500" s="328"/>
      <c r="AF2500" s="328"/>
      <c r="AG2500" s="251" t="s">
        <v>283</v>
      </c>
    </row>
    <row r="2501" spans="1:33" ht="15.75" customHeight="1">
      <c r="A2501" s="743">
        <v>42998</v>
      </c>
      <c r="B2501" s="970" t="s">
        <v>76</v>
      </c>
      <c r="C2501" s="744">
        <v>766</v>
      </c>
      <c r="D2501" s="250" t="s">
        <v>7788</v>
      </c>
      <c r="E2501" s="250" t="s">
        <v>317</v>
      </c>
      <c r="F2501" s="251">
        <v>16</v>
      </c>
      <c r="G2501" s="252">
        <v>270</v>
      </c>
      <c r="H2501" s="574">
        <f t="shared" si="172"/>
        <v>4320</v>
      </c>
      <c r="I2501" s="254" t="s">
        <v>42</v>
      </c>
      <c r="J2501" s="367" t="s">
        <v>315</v>
      </c>
      <c r="K2501" s="256">
        <v>43014</v>
      </c>
      <c r="L2501" s="256"/>
      <c r="M2501" s="264" t="s">
        <v>7789</v>
      </c>
      <c r="N2501" s="401" t="s">
        <v>1967</v>
      </c>
      <c r="O2501" s="308" t="s">
        <v>7790</v>
      </c>
      <c r="P2501" s="265">
        <v>3696</v>
      </c>
      <c r="Q2501" s="328"/>
      <c r="R2501" s="1407"/>
      <c r="S2501" s="1407"/>
      <c r="U2501" s="328"/>
      <c r="V2501" s="308" t="s">
        <v>1969</v>
      </c>
      <c r="W2501" s="789">
        <v>43074</v>
      </c>
      <c r="X2501" s="250" t="s">
        <v>7791</v>
      </c>
      <c r="Y2501" s="250" t="s">
        <v>7792</v>
      </c>
      <c r="Z2501" s="753" t="s">
        <v>7793</v>
      </c>
      <c r="AA2501" s="594">
        <v>43074</v>
      </c>
      <c r="AB2501" s="250" t="s">
        <v>7714</v>
      </c>
      <c r="AC2501" s="251">
        <v>842471254</v>
      </c>
      <c r="AD2501" s="328"/>
      <c r="AE2501" s="328"/>
      <c r="AF2501" s="328"/>
      <c r="AG2501" s="251" t="s">
        <v>283</v>
      </c>
    </row>
    <row r="2502" spans="1:33" ht="15.75" customHeight="1">
      <c r="A2502" s="743">
        <v>42998</v>
      </c>
      <c r="B2502" s="823" t="s">
        <v>1717</v>
      </c>
      <c r="C2502" s="744" t="s">
        <v>7794</v>
      </c>
      <c r="D2502" s="744" t="s">
        <v>7795</v>
      </c>
      <c r="E2502" s="744" t="s">
        <v>7796</v>
      </c>
      <c r="F2502" s="251">
        <v>20</v>
      </c>
      <c r="G2502" s="252">
        <v>125</v>
      </c>
      <c r="H2502" s="574">
        <f t="shared" si="172"/>
        <v>2500</v>
      </c>
      <c r="I2502" s="758" t="s">
        <v>3315</v>
      </c>
      <c r="J2502" s="367" t="s">
        <v>6851</v>
      </c>
      <c r="K2502" s="256">
        <v>43031</v>
      </c>
      <c r="L2502" s="256"/>
      <c r="M2502" s="256">
        <v>43026</v>
      </c>
      <c r="N2502" s="267" t="s">
        <v>7797</v>
      </c>
      <c r="O2502" s="308" t="s">
        <v>7798</v>
      </c>
      <c r="P2502" s="589"/>
      <c r="Q2502" s="328"/>
      <c r="R2502" s="1407"/>
      <c r="S2502" s="1407"/>
      <c r="U2502" s="328"/>
      <c r="V2502" s="590"/>
      <c r="W2502" s="328"/>
      <c r="X2502" s="308" t="s">
        <v>7799</v>
      </c>
      <c r="Y2502" s="744"/>
      <c r="Z2502" s="744"/>
      <c r="AA2502" s="251"/>
      <c r="AB2502" s="250" t="s">
        <v>7800</v>
      </c>
      <c r="AC2502" s="251">
        <v>150410260</v>
      </c>
      <c r="AD2502" s="328"/>
      <c r="AE2502" s="328"/>
      <c r="AF2502" s="328"/>
      <c r="AG2502" s="251" t="s">
        <v>283</v>
      </c>
    </row>
    <row r="2503" spans="1:33" ht="15.75" customHeight="1">
      <c r="A2503" s="743">
        <v>42998</v>
      </c>
      <c r="B2503" s="823" t="s">
        <v>1717</v>
      </c>
      <c r="C2503" s="744" t="s">
        <v>7794</v>
      </c>
      <c r="D2503" s="744" t="s">
        <v>7795</v>
      </c>
      <c r="E2503" s="744" t="s">
        <v>5260</v>
      </c>
      <c r="F2503" s="251">
        <v>20</v>
      </c>
      <c r="G2503" s="252">
        <v>13</v>
      </c>
      <c r="H2503" s="574">
        <f t="shared" si="172"/>
        <v>260</v>
      </c>
      <c r="I2503" s="758" t="s">
        <v>3315</v>
      </c>
      <c r="J2503" s="367" t="s">
        <v>6851</v>
      </c>
      <c r="K2503" s="256">
        <v>43031</v>
      </c>
      <c r="L2503" s="256"/>
      <c r="M2503" s="256">
        <v>43026</v>
      </c>
      <c r="N2503" s="585" t="s">
        <v>6112</v>
      </c>
      <c r="O2503" s="308" t="s">
        <v>7798</v>
      </c>
      <c r="P2503" s="589"/>
      <c r="Q2503" s="328"/>
      <c r="R2503" s="1407"/>
      <c r="S2503" s="1407"/>
      <c r="U2503" s="328"/>
      <c r="V2503" s="590"/>
      <c r="W2503" s="328"/>
      <c r="X2503" s="308" t="s">
        <v>7799</v>
      </c>
      <c r="Y2503" s="744"/>
      <c r="Z2503" s="744"/>
      <c r="AA2503" s="251"/>
      <c r="AB2503" s="250" t="s">
        <v>7800</v>
      </c>
      <c r="AC2503" s="251">
        <v>150410260</v>
      </c>
      <c r="AD2503" s="328"/>
      <c r="AE2503" s="328"/>
      <c r="AF2503" s="328"/>
      <c r="AG2503" s="251" t="s">
        <v>283</v>
      </c>
    </row>
    <row r="2504" spans="1:33" ht="15.75" customHeight="1">
      <c r="A2504" s="743">
        <v>42998</v>
      </c>
      <c r="B2504" s="823" t="s">
        <v>3479</v>
      </c>
      <c r="C2504" s="744"/>
      <c r="D2504" s="250" t="s">
        <v>7801</v>
      </c>
      <c r="E2504" s="250" t="s">
        <v>7802</v>
      </c>
      <c r="F2504" s="251">
        <v>1</v>
      </c>
      <c r="G2504" s="252">
        <v>29</v>
      </c>
      <c r="H2504" s="574">
        <f t="shared" si="172"/>
        <v>29</v>
      </c>
      <c r="I2504" s="758" t="s">
        <v>3315</v>
      </c>
      <c r="J2504" s="367" t="s">
        <v>7803</v>
      </c>
      <c r="K2504" s="256">
        <v>43020</v>
      </c>
      <c r="L2504" s="256"/>
      <c r="M2504" s="256">
        <v>43013</v>
      </c>
      <c r="N2504" s="331" t="s">
        <v>3614</v>
      </c>
      <c r="O2504" s="250" t="s">
        <v>7804</v>
      </c>
      <c r="P2504" s="308">
        <v>21</v>
      </c>
      <c r="Q2504" s="328"/>
      <c r="R2504" s="1407"/>
      <c r="S2504" s="1407"/>
      <c r="U2504" s="328"/>
      <c r="V2504" s="590" t="s">
        <v>2159</v>
      </c>
      <c r="W2504" s="747">
        <v>43069</v>
      </c>
      <c r="X2504" s="750">
        <v>43011</v>
      </c>
      <c r="Y2504" s="308" t="s">
        <v>7805</v>
      </c>
      <c r="Z2504" s="308" t="s">
        <v>7806</v>
      </c>
      <c r="AA2504" s="256">
        <v>43069</v>
      </c>
      <c r="AB2504" s="250" t="s">
        <v>7807</v>
      </c>
      <c r="AC2504" s="367" t="s">
        <v>7808</v>
      </c>
      <c r="AD2504" s="328"/>
      <c r="AE2504" s="328"/>
      <c r="AF2504" s="328"/>
      <c r="AG2504" s="251" t="s">
        <v>283</v>
      </c>
    </row>
    <row r="2505" spans="1:33" ht="15.75" customHeight="1">
      <c r="A2505" s="743">
        <v>42998</v>
      </c>
      <c r="B2505" s="823" t="s">
        <v>3479</v>
      </c>
      <c r="C2505" s="744"/>
      <c r="D2505" s="250" t="s">
        <v>7809</v>
      </c>
      <c r="E2505" s="250" t="s">
        <v>7810</v>
      </c>
      <c r="F2505" s="251">
        <v>1</v>
      </c>
      <c r="G2505" s="252">
        <v>4</v>
      </c>
      <c r="H2505" s="574">
        <f t="shared" si="172"/>
        <v>4</v>
      </c>
      <c r="I2505" s="758" t="s">
        <v>3315</v>
      </c>
      <c r="J2505" s="367" t="s">
        <v>7803</v>
      </c>
      <c r="K2505" s="256">
        <v>43020</v>
      </c>
      <c r="L2505" s="256"/>
      <c r="M2505" s="256">
        <v>43013</v>
      </c>
      <c r="N2505" s="1039" t="s">
        <v>3614</v>
      </c>
      <c r="O2505" s="250" t="s">
        <v>7804</v>
      </c>
      <c r="P2505" s="308">
        <v>2.1</v>
      </c>
      <c r="Q2505" s="328"/>
      <c r="R2505" s="1407"/>
      <c r="S2505" s="1407"/>
      <c r="U2505" s="328"/>
      <c r="V2505" s="590" t="s">
        <v>2159</v>
      </c>
      <c r="W2505" s="747">
        <v>43069</v>
      </c>
      <c r="X2505" s="750">
        <v>43011</v>
      </c>
      <c r="Y2505" s="308" t="s">
        <v>7805</v>
      </c>
      <c r="Z2505" s="308" t="s">
        <v>7806</v>
      </c>
      <c r="AA2505" s="256">
        <v>43069</v>
      </c>
      <c r="AB2505" s="250" t="s">
        <v>7807</v>
      </c>
      <c r="AC2505" s="367" t="s">
        <v>7808</v>
      </c>
      <c r="AD2505" s="328"/>
      <c r="AE2505" s="328"/>
      <c r="AF2505" s="328"/>
      <c r="AG2505" s="251" t="s">
        <v>283</v>
      </c>
    </row>
    <row r="2506" spans="1:33" ht="15.75" customHeight="1">
      <c r="A2506" s="743">
        <v>42998</v>
      </c>
      <c r="B2506" s="823" t="s">
        <v>3479</v>
      </c>
      <c r="C2506" s="744"/>
      <c r="D2506" s="250" t="s">
        <v>7809</v>
      </c>
      <c r="E2506" s="250" t="s">
        <v>7811</v>
      </c>
      <c r="F2506" s="251">
        <v>1</v>
      </c>
      <c r="G2506" s="252">
        <v>281</v>
      </c>
      <c r="H2506" s="574">
        <f t="shared" si="172"/>
        <v>281</v>
      </c>
      <c r="I2506" s="758" t="s">
        <v>3315</v>
      </c>
      <c r="J2506" s="367" t="s">
        <v>7803</v>
      </c>
      <c r="K2506" s="256">
        <v>43020</v>
      </c>
      <c r="L2506" s="256"/>
      <c r="M2506" s="256">
        <v>43010</v>
      </c>
      <c r="N2506" s="401" t="s">
        <v>3614</v>
      </c>
      <c r="O2506" s="250" t="s">
        <v>7804</v>
      </c>
      <c r="P2506" s="308">
        <v>265.64999999999998</v>
      </c>
      <c r="Q2506" s="328"/>
      <c r="R2506" s="1407"/>
      <c r="S2506" s="1407"/>
      <c r="U2506" s="328"/>
      <c r="V2506" s="420" t="s">
        <v>2159</v>
      </c>
      <c r="W2506" s="747">
        <v>43069</v>
      </c>
      <c r="X2506" s="750">
        <v>43011</v>
      </c>
      <c r="Y2506" s="308" t="s">
        <v>7805</v>
      </c>
      <c r="Z2506" s="753">
        <v>8781</v>
      </c>
      <c r="AA2506" s="256">
        <v>43069</v>
      </c>
      <c r="AB2506" s="250" t="s">
        <v>7807</v>
      </c>
      <c r="AC2506" s="367" t="s">
        <v>7808</v>
      </c>
      <c r="AD2506" s="328"/>
      <c r="AE2506" s="328"/>
      <c r="AF2506" s="328"/>
      <c r="AG2506" s="251" t="s">
        <v>283</v>
      </c>
    </row>
    <row r="2507" spans="1:33" ht="15.75" customHeight="1">
      <c r="A2507" s="743">
        <v>42998</v>
      </c>
      <c r="B2507" s="823" t="s">
        <v>3479</v>
      </c>
      <c r="C2507" s="744"/>
      <c r="D2507" s="250" t="s">
        <v>7809</v>
      </c>
      <c r="E2507" s="250" t="s">
        <v>7812</v>
      </c>
      <c r="F2507" s="251">
        <v>1</v>
      </c>
      <c r="G2507" s="252">
        <v>40</v>
      </c>
      <c r="H2507" s="574">
        <f t="shared" si="172"/>
        <v>40</v>
      </c>
      <c r="I2507" s="1029" t="s">
        <v>3315</v>
      </c>
      <c r="J2507" s="367" t="s">
        <v>7803</v>
      </c>
      <c r="K2507" s="256">
        <v>43020</v>
      </c>
      <c r="L2507" s="256"/>
      <c r="M2507" s="256">
        <v>43010</v>
      </c>
      <c r="N2507" s="331" t="s">
        <v>2124</v>
      </c>
      <c r="O2507" s="250" t="s">
        <v>7813</v>
      </c>
      <c r="P2507" s="328"/>
      <c r="Q2507" s="572">
        <v>1081</v>
      </c>
      <c r="R2507" s="1413"/>
      <c r="S2507" s="1413"/>
      <c r="U2507" s="328"/>
      <c r="V2507" s="318" t="s">
        <v>2126</v>
      </c>
      <c r="W2507" s="747">
        <v>43007</v>
      </c>
      <c r="X2507" s="750">
        <v>43008</v>
      </c>
      <c r="Y2507" s="308" t="s">
        <v>7814</v>
      </c>
      <c r="Z2507" s="753">
        <v>1082</v>
      </c>
      <c r="AA2507" s="594">
        <v>43006</v>
      </c>
      <c r="AB2507" s="250" t="s">
        <v>7807</v>
      </c>
      <c r="AC2507" s="367" t="s">
        <v>7808</v>
      </c>
      <c r="AD2507" s="328"/>
      <c r="AE2507" s="328"/>
      <c r="AF2507" s="328"/>
      <c r="AG2507" s="251" t="s">
        <v>283</v>
      </c>
    </row>
    <row r="2508" spans="1:33" ht="15.75" customHeight="1">
      <c r="A2508" s="743">
        <v>42998</v>
      </c>
      <c r="B2508" s="823" t="s">
        <v>3479</v>
      </c>
      <c r="C2508" s="744"/>
      <c r="D2508" s="250" t="s">
        <v>7809</v>
      </c>
      <c r="E2508" s="250" t="s">
        <v>7815</v>
      </c>
      <c r="F2508" s="251">
        <v>1</v>
      </c>
      <c r="G2508" s="252">
        <v>143</v>
      </c>
      <c r="H2508" s="574">
        <f t="shared" si="172"/>
        <v>143</v>
      </c>
      <c r="I2508" s="975" t="s">
        <v>3315</v>
      </c>
      <c r="J2508" s="367" t="s">
        <v>7803</v>
      </c>
      <c r="K2508" s="256">
        <v>43020</v>
      </c>
      <c r="L2508" s="256"/>
      <c r="M2508" s="256">
        <v>43010</v>
      </c>
      <c r="N2508" s="251" t="s">
        <v>1952</v>
      </c>
      <c r="O2508" s="250" t="s">
        <v>7816</v>
      </c>
      <c r="P2508" s="328"/>
      <c r="Q2508" s="572">
        <v>4032</v>
      </c>
      <c r="R2508" s="1413"/>
      <c r="S2508" s="1413"/>
      <c r="U2508" s="328"/>
      <c r="V2508" s="592" t="s">
        <v>3744</v>
      </c>
      <c r="W2508" s="789">
        <v>43037</v>
      </c>
      <c r="X2508" s="748">
        <v>43007</v>
      </c>
      <c r="Y2508" s="744" t="s">
        <v>7817</v>
      </c>
      <c r="Z2508" s="749">
        <v>4032</v>
      </c>
      <c r="AA2508" s="594">
        <v>43035</v>
      </c>
      <c r="AB2508" s="250" t="s">
        <v>7807</v>
      </c>
      <c r="AC2508" s="367" t="s">
        <v>7808</v>
      </c>
      <c r="AD2508" s="328"/>
      <c r="AE2508" s="328"/>
      <c r="AF2508" s="328"/>
      <c r="AG2508" s="251" t="s">
        <v>283</v>
      </c>
    </row>
    <row r="2509" spans="1:33" ht="15.75" customHeight="1">
      <c r="A2509" s="743">
        <v>42998</v>
      </c>
      <c r="B2509" s="823" t="s">
        <v>3479</v>
      </c>
      <c r="C2509" s="744"/>
      <c r="D2509" s="250" t="s">
        <v>7801</v>
      </c>
      <c r="E2509" s="250" t="s">
        <v>7818</v>
      </c>
      <c r="F2509" s="251">
        <v>1</v>
      </c>
      <c r="G2509" s="252">
        <v>120</v>
      </c>
      <c r="H2509" s="574">
        <f t="shared" si="172"/>
        <v>120</v>
      </c>
      <c r="I2509" s="997" t="s">
        <v>3315</v>
      </c>
      <c r="J2509" s="367" t="s">
        <v>7803</v>
      </c>
      <c r="K2509" s="256">
        <v>43020</v>
      </c>
      <c r="L2509" s="256"/>
      <c r="M2509" s="256">
        <v>43010</v>
      </c>
      <c r="N2509" s="401" t="s">
        <v>3614</v>
      </c>
      <c r="O2509" s="250" t="s">
        <v>7819</v>
      </c>
      <c r="P2509" s="266">
        <v>73.5</v>
      </c>
      <c r="Q2509" s="328"/>
      <c r="R2509" s="1407"/>
      <c r="S2509" s="1407"/>
      <c r="U2509" s="328"/>
      <c r="V2509" s="590" t="s">
        <v>2159</v>
      </c>
      <c r="W2509" s="747">
        <v>43069</v>
      </c>
      <c r="X2509" s="748">
        <v>43007</v>
      </c>
      <c r="Y2509" s="744" t="s">
        <v>7820</v>
      </c>
      <c r="Z2509" s="749">
        <v>2232</v>
      </c>
      <c r="AA2509" s="256">
        <v>43069</v>
      </c>
      <c r="AB2509" s="250" t="s">
        <v>7807</v>
      </c>
      <c r="AC2509" s="367" t="s">
        <v>7808</v>
      </c>
      <c r="AD2509" s="328"/>
      <c r="AE2509" s="328"/>
      <c r="AF2509" s="328"/>
      <c r="AG2509" s="251" t="s">
        <v>283</v>
      </c>
    </row>
    <row r="2510" spans="1:33" ht="15.75" customHeight="1">
      <c r="A2510" s="743">
        <v>42998</v>
      </c>
      <c r="B2510" s="590" t="s">
        <v>3479</v>
      </c>
      <c r="C2510" s="744"/>
      <c r="D2510" s="744" t="s">
        <v>7821</v>
      </c>
      <c r="E2510" s="744" t="s">
        <v>692</v>
      </c>
      <c r="F2510" s="251">
        <v>1</v>
      </c>
      <c r="G2510" s="252">
        <v>25</v>
      </c>
      <c r="H2510" s="574">
        <f t="shared" si="172"/>
        <v>25</v>
      </c>
      <c r="I2510" s="758" t="s">
        <v>3315</v>
      </c>
      <c r="J2510" s="361" t="s">
        <v>7803</v>
      </c>
      <c r="K2510" s="256">
        <v>43020</v>
      </c>
      <c r="L2510" s="256"/>
      <c r="M2510" s="256">
        <v>43010</v>
      </c>
      <c r="N2510" s="331"/>
      <c r="O2510" s="308"/>
      <c r="P2510" s="572">
        <v>0</v>
      </c>
      <c r="Q2510" s="589"/>
      <c r="R2510" s="1404"/>
      <c r="S2510" s="1404"/>
      <c r="U2510" s="328"/>
      <c r="V2510" s="308"/>
      <c r="W2510" s="1010"/>
      <c r="X2510" s="748"/>
      <c r="Y2510" s="744"/>
      <c r="Z2510" s="749"/>
      <c r="AA2510" s="251"/>
      <c r="AB2510" s="250" t="s">
        <v>7807</v>
      </c>
      <c r="AC2510" s="251" t="s">
        <v>7808</v>
      </c>
      <c r="AD2510" s="328"/>
      <c r="AE2510" s="328"/>
      <c r="AF2510" s="328"/>
      <c r="AG2510" s="251" t="s">
        <v>283</v>
      </c>
    </row>
    <row r="2511" spans="1:33" ht="15.75" customHeight="1">
      <c r="A2511" s="743">
        <v>43000</v>
      </c>
      <c r="B2511" s="970" t="s">
        <v>100</v>
      </c>
      <c r="C2511" s="744" t="s">
        <v>7822</v>
      </c>
      <c r="D2511" s="250" t="s">
        <v>7823</v>
      </c>
      <c r="E2511" s="250" t="s">
        <v>7824</v>
      </c>
      <c r="F2511" s="251">
        <v>1</v>
      </c>
      <c r="G2511" s="252">
        <v>70</v>
      </c>
      <c r="H2511" s="574">
        <f t="shared" si="172"/>
        <v>70</v>
      </c>
      <c r="I2511" s="254" t="s">
        <v>3315</v>
      </c>
      <c r="J2511" s="367" t="s">
        <v>3578</v>
      </c>
      <c r="K2511" s="256">
        <v>43020</v>
      </c>
      <c r="L2511" s="256"/>
      <c r="M2511" s="264" t="s">
        <v>178</v>
      </c>
      <c r="N2511" s="585" t="s">
        <v>2087</v>
      </c>
      <c r="O2511" s="308" t="s">
        <v>7825</v>
      </c>
      <c r="P2511" s="589"/>
      <c r="Q2511" s="328"/>
      <c r="R2511" s="1407"/>
      <c r="S2511" s="1407"/>
      <c r="U2511" s="328"/>
      <c r="V2511" s="590"/>
      <c r="W2511" s="328"/>
      <c r="X2511" s="744"/>
      <c r="Y2511" s="744"/>
      <c r="Z2511" s="744"/>
      <c r="AA2511" s="251"/>
      <c r="AB2511" s="250" t="s">
        <v>7600</v>
      </c>
      <c r="AC2511" s="251">
        <v>3441702014</v>
      </c>
      <c r="AD2511" s="328"/>
      <c r="AE2511" s="328"/>
      <c r="AF2511" s="328"/>
      <c r="AG2511" s="251" t="s">
        <v>283</v>
      </c>
    </row>
    <row r="2512" spans="1:33" ht="15.75" customHeight="1">
      <c r="A2512" s="743">
        <v>43000</v>
      </c>
      <c r="B2512" s="970" t="s">
        <v>100</v>
      </c>
      <c r="C2512" s="744" t="s">
        <v>7826</v>
      </c>
      <c r="D2512" s="250" t="s">
        <v>7827</v>
      </c>
      <c r="E2512" s="250" t="s">
        <v>7828</v>
      </c>
      <c r="F2512" s="251">
        <v>3</v>
      </c>
      <c r="G2512" s="252">
        <v>550</v>
      </c>
      <c r="H2512" s="574">
        <f t="shared" si="172"/>
        <v>1650</v>
      </c>
      <c r="I2512" s="254" t="s">
        <v>3315</v>
      </c>
      <c r="J2512" s="367" t="s">
        <v>3578</v>
      </c>
      <c r="K2512" s="256">
        <v>43025</v>
      </c>
      <c r="L2512" s="256"/>
      <c r="M2512" s="256">
        <v>43024</v>
      </c>
      <c r="N2512" s="401" t="s">
        <v>1995</v>
      </c>
      <c r="O2512" s="308" t="s">
        <v>7829</v>
      </c>
      <c r="P2512" s="589"/>
      <c r="Q2512" s="572">
        <v>47042</v>
      </c>
      <c r="R2512" s="1413"/>
      <c r="S2512" s="1413"/>
      <c r="U2512" s="328"/>
      <c r="V2512" s="338" t="s">
        <v>1997</v>
      </c>
      <c r="W2512" s="747">
        <v>43044</v>
      </c>
      <c r="X2512" s="748">
        <v>43020</v>
      </c>
      <c r="Y2512" s="744" t="s">
        <v>7830</v>
      </c>
      <c r="Z2512" s="749">
        <v>78404</v>
      </c>
      <c r="AA2512" s="594">
        <v>43046</v>
      </c>
      <c r="AB2512" s="250" t="s">
        <v>7831</v>
      </c>
      <c r="AC2512" s="251">
        <v>9792797210</v>
      </c>
      <c r="AD2512" s="328"/>
      <c r="AE2512" s="328"/>
      <c r="AF2512" s="328"/>
      <c r="AG2512" s="251" t="s">
        <v>283</v>
      </c>
    </row>
    <row r="2513" spans="1:33" ht="15.75" customHeight="1">
      <c r="A2513" s="743">
        <v>43000</v>
      </c>
      <c r="B2513" s="970" t="s">
        <v>100</v>
      </c>
      <c r="C2513" s="744" t="s">
        <v>7826</v>
      </c>
      <c r="D2513" s="250" t="s">
        <v>7832</v>
      </c>
      <c r="E2513" s="250" t="s">
        <v>7833</v>
      </c>
      <c r="F2513" s="251">
        <v>2</v>
      </c>
      <c r="G2513" s="252">
        <v>550</v>
      </c>
      <c r="H2513" s="574">
        <f t="shared" si="172"/>
        <v>1100</v>
      </c>
      <c r="I2513" s="254" t="s">
        <v>3315</v>
      </c>
      <c r="J2513" s="367" t="s">
        <v>3578</v>
      </c>
      <c r="K2513" s="256">
        <v>43025</v>
      </c>
      <c r="L2513" s="256"/>
      <c r="M2513" s="256">
        <v>43024</v>
      </c>
      <c r="N2513" s="401" t="s">
        <v>1995</v>
      </c>
      <c r="O2513" s="308" t="s">
        <v>7829</v>
      </c>
      <c r="P2513" s="589"/>
      <c r="Q2513" s="572">
        <v>31361</v>
      </c>
      <c r="R2513" s="1413"/>
      <c r="S2513" s="1413"/>
      <c r="U2513" s="328"/>
      <c r="V2513" s="571" t="s">
        <v>1997</v>
      </c>
      <c r="W2513" s="747">
        <v>43044</v>
      </c>
      <c r="X2513" s="748">
        <v>43020</v>
      </c>
      <c r="Y2513" s="744" t="s">
        <v>7830</v>
      </c>
      <c r="Z2513" s="749">
        <v>78404</v>
      </c>
      <c r="AA2513" s="594">
        <v>43046</v>
      </c>
      <c r="AB2513" s="250" t="s">
        <v>7831</v>
      </c>
      <c r="AC2513" s="251">
        <v>9792797210</v>
      </c>
      <c r="AD2513" s="328"/>
      <c r="AE2513" s="328"/>
      <c r="AF2513" s="328"/>
      <c r="AG2513" s="251" t="s">
        <v>283</v>
      </c>
    </row>
    <row r="2514" spans="1:33" ht="15.75" customHeight="1">
      <c r="A2514" s="743">
        <v>43000</v>
      </c>
      <c r="B2514" s="590" t="s">
        <v>7107</v>
      </c>
      <c r="C2514" s="744">
        <v>7000132680</v>
      </c>
      <c r="D2514" s="250" t="s">
        <v>7834</v>
      </c>
      <c r="E2514" s="250" t="s">
        <v>6261</v>
      </c>
      <c r="F2514" s="251">
        <v>4</v>
      </c>
      <c r="G2514" s="252">
        <v>126</v>
      </c>
      <c r="H2514" s="574">
        <f t="shared" si="172"/>
        <v>504</v>
      </c>
      <c r="I2514" s="254" t="s">
        <v>42</v>
      </c>
      <c r="J2514" s="401" t="s">
        <v>3462</v>
      </c>
      <c r="K2514" s="256">
        <v>43024</v>
      </c>
      <c r="L2514" s="256"/>
      <c r="M2514" s="256">
        <v>43020</v>
      </c>
      <c r="N2514" s="331" t="s">
        <v>3432</v>
      </c>
      <c r="O2514" s="308" t="s">
        <v>7835</v>
      </c>
      <c r="P2514" s="589"/>
      <c r="Q2514" s="572">
        <v>14750</v>
      </c>
      <c r="R2514" s="1413"/>
      <c r="S2514" s="1413"/>
      <c r="U2514" s="328"/>
      <c r="V2514" s="318" t="s">
        <v>2045</v>
      </c>
      <c r="W2514" s="789">
        <v>43100</v>
      </c>
      <c r="X2514" s="748">
        <v>43020</v>
      </c>
      <c r="Y2514" s="744" t="s">
        <v>7836</v>
      </c>
      <c r="Z2514" s="749">
        <v>14755</v>
      </c>
      <c r="AA2514" s="594">
        <v>43105</v>
      </c>
      <c r="AB2514" s="250" t="s">
        <v>7837</v>
      </c>
      <c r="AC2514" s="251">
        <v>2704073260</v>
      </c>
      <c r="AD2514" s="328"/>
      <c r="AE2514" s="328"/>
      <c r="AF2514" s="328"/>
      <c r="AG2514" s="251" t="s">
        <v>283</v>
      </c>
    </row>
    <row r="2515" spans="1:33" ht="15.75" customHeight="1">
      <c r="A2515" s="743">
        <v>43000</v>
      </c>
      <c r="B2515" s="970" t="s">
        <v>100</v>
      </c>
      <c r="C2515" s="744" t="s">
        <v>7822</v>
      </c>
      <c r="D2515" s="250" t="s">
        <v>7823</v>
      </c>
      <c r="E2515" s="250" t="s">
        <v>7838</v>
      </c>
      <c r="F2515" s="251">
        <v>1</v>
      </c>
      <c r="G2515" s="252">
        <v>1118</v>
      </c>
      <c r="H2515" s="574">
        <f t="shared" si="172"/>
        <v>1118</v>
      </c>
      <c r="I2515" s="254" t="s">
        <v>3315</v>
      </c>
      <c r="J2515" s="367" t="s">
        <v>3578</v>
      </c>
      <c r="K2515" s="256">
        <v>43020</v>
      </c>
      <c r="L2515" s="256"/>
      <c r="M2515" s="256">
        <v>43011</v>
      </c>
      <c r="N2515" s="401" t="s">
        <v>1414</v>
      </c>
      <c r="O2515" s="308" t="s">
        <v>7839</v>
      </c>
      <c r="P2515" s="589"/>
      <c r="Q2515" s="572">
        <v>31520</v>
      </c>
      <c r="R2515" s="1413"/>
      <c r="S2515" s="1413"/>
      <c r="U2515" s="328"/>
      <c r="V2515" s="318" t="s">
        <v>1947</v>
      </c>
      <c r="W2515" s="789">
        <v>43069</v>
      </c>
      <c r="X2515" s="748">
        <v>43010</v>
      </c>
      <c r="Y2515" s="744" t="s">
        <v>7840</v>
      </c>
      <c r="Z2515" s="749">
        <v>31520</v>
      </c>
      <c r="AA2515" s="594">
        <v>43074</v>
      </c>
      <c r="AB2515" s="250" t="s">
        <v>7600</v>
      </c>
      <c r="AC2515" s="251">
        <v>3441702014</v>
      </c>
      <c r="AD2515" s="328"/>
      <c r="AE2515" s="328"/>
      <c r="AF2515" s="328"/>
      <c r="AG2515" s="251" t="s">
        <v>283</v>
      </c>
    </row>
    <row r="2516" spans="1:33" ht="15.75" customHeight="1">
      <c r="A2516" s="743">
        <v>43000</v>
      </c>
      <c r="B2516" s="970" t="s">
        <v>100</v>
      </c>
      <c r="C2516" s="744" t="s">
        <v>7826</v>
      </c>
      <c r="D2516" s="250" t="s">
        <v>7827</v>
      </c>
      <c r="E2516" s="250" t="s">
        <v>6482</v>
      </c>
      <c r="F2516" s="251">
        <v>3</v>
      </c>
      <c r="G2516" s="252">
        <v>352</v>
      </c>
      <c r="H2516" s="574">
        <f t="shared" si="172"/>
        <v>1056</v>
      </c>
      <c r="I2516" s="254" t="s">
        <v>3315</v>
      </c>
      <c r="J2516" s="367" t="s">
        <v>3578</v>
      </c>
      <c r="K2516" s="256">
        <v>43025</v>
      </c>
      <c r="L2516" s="256"/>
      <c r="M2516" s="256">
        <v>43010</v>
      </c>
      <c r="N2516" s="251" t="s">
        <v>1993</v>
      </c>
      <c r="O2516" s="308" t="s">
        <v>7841</v>
      </c>
      <c r="P2516" s="266">
        <v>897.75</v>
      </c>
      <c r="Q2516" s="591"/>
      <c r="R2516" s="1406"/>
      <c r="S2516" s="1406"/>
      <c r="U2516" s="328"/>
      <c r="V2516" s="308" t="s">
        <v>6159</v>
      </c>
      <c r="W2516" s="789">
        <v>43040</v>
      </c>
      <c r="X2516" s="748">
        <v>43010</v>
      </c>
      <c r="Y2516" s="744" t="s">
        <v>7842</v>
      </c>
      <c r="Z2516" s="749">
        <v>39020</v>
      </c>
      <c r="AA2516" s="594">
        <v>43046</v>
      </c>
      <c r="AB2516" s="250" t="s">
        <v>7831</v>
      </c>
      <c r="AC2516" s="251">
        <v>9792797210</v>
      </c>
      <c r="AD2516" s="328"/>
      <c r="AE2516" s="328"/>
      <c r="AF2516" s="328"/>
      <c r="AG2516" s="251" t="s">
        <v>283</v>
      </c>
    </row>
    <row r="2517" spans="1:33" ht="15.75" customHeight="1">
      <c r="A2517" s="743">
        <v>43000</v>
      </c>
      <c r="B2517" s="970" t="s">
        <v>100</v>
      </c>
      <c r="C2517" s="744" t="s">
        <v>7826</v>
      </c>
      <c r="D2517" s="250" t="s">
        <v>7827</v>
      </c>
      <c r="E2517" s="250" t="s">
        <v>7843</v>
      </c>
      <c r="F2517" s="251">
        <v>3</v>
      </c>
      <c r="G2517" s="252">
        <v>151</v>
      </c>
      <c r="H2517" s="574">
        <f t="shared" si="172"/>
        <v>453</v>
      </c>
      <c r="I2517" s="254" t="s">
        <v>3315</v>
      </c>
      <c r="J2517" s="367" t="s">
        <v>3578</v>
      </c>
      <c r="K2517" s="256">
        <v>43025</v>
      </c>
      <c r="L2517" s="256"/>
      <c r="M2517" s="256">
        <v>43010</v>
      </c>
      <c r="N2517" s="254" t="s">
        <v>1987</v>
      </c>
      <c r="O2517" s="308" t="s">
        <v>7844</v>
      </c>
      <c r="P2517" s="589"/>
      <c r="Q2517" s="572">
        <v>11623.5</v>
      </c>
      <c r="R2517" s="1413"/>
      <c r="S2517" s="1413"/>
      <c r="U2517" s="328"/>
      <c r="V2517" s="592" t="s">
        <v>3744</v>
      </c>
      <c r="W2517" s="789">
        <v>43037</v>
      </c>
      <c r="X2517" s="748">
        <v>43007</v>
      </c>
      <c r="Y2517" s="744" t="s">
        <v>7845</v>
      </c>
      <c r="Z2517" s="749">
        <v>19373</v>
      </c>
      <c r="AA2517" s="594">
        <v>43035</v>
      </c>
      <c r="AB2517" s="250" t="s">
        <v>7831</v>
      </c>
      <c r="AC2517" s="251">
        <v>9792797210</v>
      </c>
      <c r="AD2517" s="328"/>
      <c r="AE2517" s="328"/>
      <c r="AF2517" s="328"/>
      <c r="AG2517" s="251" t="s">
        <v>283</v>
      </c>
    </row>
    <row r="2518" spans="1:33" ht="15.75" customHeight="1">
      <c r="A2518" s="743">
        <v>43000</v>
      </c>
      <c r="B2518" s="970" t="s">
        <v>100</v>
      </c>
      <c r="C2518" s="744" t="s">
        <v>7826</v>
      </c>
      <c r="D2518" s="250" t="s">
        <v>7827</v>
      </c>
      <c r="E2518" s="250" t="s">
        <v>3811</v>
      </c>
      <c r="F2518" s="251">
        <v>2</v>
      </c>
      <c r="G2518" s="252">
        <v>229</v>
      </c>
      <c r="H2518" s="574">
        <f t="shared" si="172"/>
        <v>458</v>
      </c>
      <c r="I2518" s="254" t="s">
        <v>3315</v>
      </c>
      <c r="J2518" s="367" t="s">
        <v>3578</v>
      </c>
      <c r="K2518" s="256">
        <v>43025</v>
      </c>
      <c r="L2518" s="256"/>
      <c r="M2518" s="256">
        <v>43010</v>
      </c>
      <c r="N2518" s="585" t="s">
        <v>1993</v>
      </c>
      <c r="O2518" s="308" t="s">
        <v>7841</v>
      </c>
      <c r="P2518" s="266">
        <v>388.5</v>
      </c>
      <c r="Q2518" s="589"/>
      <c r="R2518" s="1404"/>
      <c r="S2518" s="1404"/>
      <c r="U2518" s="328"/>
      <c r="V2518" s="318" t="s">
        <v>6159</v>
      </c>
      <c r="W2518" s="789">
        <v>43040</v>
      </c>
      <c r="X2518" s="748">
        <v>43010</v>
      </c>
      <c r="Y2518" s="744" t="s">
        <v>7842</v>
      </c>
      <c r="Z2518" s="328" t="s">
        <v>7846</v>
      </c>
      <c r="AA2518" s="594">
        <v>43046</v>
      </c>
      <c r="AB2518" s="250" t="s">
        <v>7831</v>
      </c>
      <c r="AC2518" s="251">
        <v>9792797210</v>
      </c>
      <c r="AD2518" s="328"/>
      <c r="AE2518" s="328"/>
      <c r="AF2518" s="328"/>
      <c r="AG2518" s="251" t="s">
        <v>283</v>
      </c>
    </row>
    <row r="2519" spans="1:33" ht="15.75" customHeight="1">
      <c r="A2519" s="743">
        <v>43000</v>
      </c>
      <c r="B2519" s="970" t="s">
        <v>100</v>
      </c>
      <c r="C2519" s="744" t="s">
        <v>7826</v>
      </c>
      <c r="D2519" s="250" t="s">
        <v>7832</v>
      </c>
      <c r="E2519" s="250" t="s">
        <v>7843</v>
      </c>
      <c r="F2519" s="251">
        <v>2</v>
      </c>
      <c r="G2519" s="252">
        <v>151</v>
      </c>
      <c r="H2519" s="574">
        <f t="shared" si="172"/>
        <v>302</v>
      </c>
      <c r="I2519" s="254" t="s">
        <v>3315</v>
      </c>
      <c r="J2519" s="367" t="s">
        <v>3578</v>
      </c>
      <c r="K2519" s="256">
        <v>43025</v>
      </c>
      <c r="L2519" s="256"/>
      <c r="M2519" s="256">
        <v>43010</v>
      </c>
      <c r="N2519" s="254" t="s">
        <v>1987</v>
      </c>
      <c r="O2519" s="308" t="s">
        <v>7844</v>
      </c>
      <c r="P2519" s="589"/>
      <c r="Q2519" s="572">
        <v>7749</v>
      </c>
      <c r="R2519" s="1413"/>
      <c r="S2519" s="1413"/>
      <c r="U2519" s="328"/>
      <c r="V2519" s="592" t="s">
        <v>3744</v>
      </c>
      <c r="W2519" s="789">
        <v>43037</v>
      </c>
      <c r="X2519" s="748">
        <v>43007</v>
      </c>
      <c r="Y2519" s="744" t="s">
        <v>7845</v>
      </c>
      <c r="Z2519" s="328" t="s">
        <v>7847</v>
      </c>
      <c r="AA2519" s="594">
        <v>43035</v>
      </c>
      <c r="AB2519" s="250" t="s">
        <v>7831</v>
      </c>
      <c r="AC2519" s="251">
        <v>9792797210</v>
      </c>
      <c r="AD2519" s="328"/>
      <c r="AE2519" s="328"/>
      <c r="AF2519" s="328"/>
      <c r="AG2519" s="251" t="s">
        <v>283</v>
      </c>
    </row>
    <row r="2520" spans="1:33" ht="15.75" customHeight="1">
      <c r="A2520" s="980">
        <v>43003</v>
      </c>
      <c r="B2520" s="1024" t="s">
        <v>7848</v>
      </c>
      <c r="C2520" s="575"/>
      <c r="D2520" s="575" t="s">
        <v>7849</v>
      </c>
      <c r="E2520" s="575" t="s">
        <v>7850</v>
      </c>
      <c r="F2520" s="277">
        <v>1</v>
      </c>
      <c r="G2520" s="1055">
        <v>0</v>
      </c>
      <c r="H2520" s="777">
        <f t="shared" si="172"/>
        <v>0</v>
      </c>
      <c r="I2520" s="280" t="s">
        <v>3315</v>
      </c>
      <c r="J2520" s="981"/>
      <c r="K2520" s="776" t="s">
        <v>70</v>
      </c>
      <c r="L2520" s="776"/>
      <c r="M2520" s="575"/>
      <c r="N2520" s="281"/>
      <c r="O2520" s="764"/>
      <c r="P2520" s="579"/>
      <c r="Q2520" s="575"/>
      <c r="R2520" s="1448"/>
      <c r="S2520" s="1448"/>
      <c r="U2520" s="575"/>
      <c r="V2520" s="783"/>
      <c r="W2520" s="575"/>
      <c r="X2520" s="766"/>
      <c r="Y2520" s="766"/>
      <c r="Z2520" s="766"/>
      <c r="AA2520" s="1013"/>
      <c r="AB2520" s="766"/>
      <c r="AC2520" s="575"/>
      <c r="AD2520" s="575"/>
      <c r="AE2520" s="575"/>
      <c r="AF2520" s="575"/>
      <c r="AG2520" s="277" t="s">
        <v>3456</v>
      </c>
    </row>
    <row r="2521" spans="1:33" ht="15.75" customHeight="1">
      <c r="A2521" s="743">
        <v>43004</v>
      </c>
      <c r="B2521" s="590" t="s">
        <v>629</v>
      </c>
      <c r="C2521" s="744" t="s">
        <v>7851</v>
      </c>
      <c r="D2521" s="250" t="s">
        <v>7852</v>
      </c>
      <c r="E2521" s="250" t="s">
        <v>4107</v>
      </c>
      <c r="F2521" s="305">
        <v>9</v>
      </c>
      <c r="G2521" s="323">
        <v>168</v>
      </c>
      <c r="H2521" s="308">
        <f t="shared" si="172"/>
        <v>1512</v>
      </c>
      <c r="I2521" s="254" t="s">
        <v>170</v>
      </c>
      <c r="J2521" s="367" t="s">
        <v>7853</v>
      </c>
      <c r="K2521" s="256">
        <v>43013</v>
      </c>
      <c r="L2521" s="256"/>
      <c r="M2521" s="256">
        <v>43011</v>
      </c>
      <c r="N2521" s="264" t="s">
        <v>2212</v>
      </c>
      <c r="O2521" s="308" t="s">
        <v>7854</v>
      </c>
      <c r="P2521" s="589"/>
      <c r="Q2521" s="572">
        <v>45833</v>
      </c>
      <c r="R2521" s="1413"/>
      <c r="S2521" s="1413"/>
      <c r="U2521" s="328"/>
      <c r="V2521" s="338" t="s">
        <v>2214</v>
      </c>
      <c r="W2521" s="328"/>
      <c r="X2521" s="750">
        <v>43011</v>
      </c>
      <c r="Y2521" s="250" t="s">
        <v>7855</v>
      </c>
      <c r="Z2521" s="250" t="s">
        <v>7856</v>
      </c>
      <c r="AA2521" s="594">
        <v>43013</v>
      </c>
      <c r="AB2521" s="744" t="s">
        <v>7857</v>
      </c>
      <c r="AC2521" s="328" t="s">
        <v>7858</v>
      </c>
      <c r="AD2521" s="597" t="s">
        <v>7859</v>
      </c>
      <c r="AE2521" s="260">
        <v>45972</v>
      </c>
      <c r="AF2521" s="328" t="s">
        <v>7860</v>
      </c>
      <c r="AG2521" s="251" t="s">
        <v>376</v>
      </c>
    </row>
    <row r="2522" spans="1:33" ht="15.75" customHeight="1">
      <c r="A2522" s="743">
        <v>43004</v>
      </c>
      <c r="B2522" s="590" t="s">
        <v>629</v>
      </c>
      <c r="C2522" s="744" t="s">
        <v>7851</v>
      </c>
      <c r="D2522" s="250" t="s">
        <v>7861</v>
      </c>
      <c r="E2522" s="250" t="s">
        <v>4107</v>
      </c>
      <c r="F2522" s="305">
        <v>1</v>
      </c>
      <c r="G2522" s="323">
        <v>168</v>
      </c>
      <c r="H2522" s="308">
        <f t="shared" si="172"/>
        <v>168</v>
      </c>
      <c r="I2522" s="254" t="s">
        <v>170</v>
      </c>
      <c r="J2522" s="367" t="s">
        <v>626</v>
      </c>
      <c r="K2522" s="256">
        <v>43007</v>
      </c>
      <c r="L2522" s="256"/>
      <c r="M2522" s="256">
        <v>43007</v>
      </c>
      <c r="N2522" s="264" t="s">
        <v>2212</v>
      </c>
      <c r="O2522" s="308" t="s">
        <v>7854</v>
      </c>
      <c r="P2522" s="589"/>
      <c r="Q2522" s="572">
        <v>5093</v>
      </c>
      <c r="R2522" s="1413"/>
      <c r="S2522" s="1413"/>
      <c r="U2522" s="328"/>
      <c r="V2522" s="338" t="s">
        <v>2214</v>
      </c>
      <c r="W2522" s="328"/>
      <c r="X2522" s="750">
        <v>43011</v>
      </c>
      <c r="Y2522" s="250" t="s">
        <v>7855</v>
      </c>
      <c r="Z2522" s="753">
        <v>50925</v>
      </c>
      <c r="AA2522" s="594">
        <v>43011</v>
      </c>
      <c r="AB2522" s="744" t="s">
        <v>7862</v>
      </c>
      <c r="AC2522" s="328"/>
      <c r="AD2522" s="597" t="s">
        <v>7863</v>
      </c>
      <c r="AE2522" s="260">
        <v>5103</v>
      </c>
      <c r="AF2522" s="328" t="s">
        <v>7864</v>
      </c>
      <c r="AG2522" s="251" t="s">
        <v>376</v>
      </c>
    </row>
    <row r="2523" spans="1:33" ht="15.75" customHeight="1">
      <c r="A2523" s="743">
        <v>43005</v>
      </c>
      <c r="B2523" s="823" t="s">
        <v>1717</v>
      </c>
      <c r="C2523" s="757" t="s">
        <v>7865</v>
      </c>
      <c r="D2523" s="744" t="s">
        <v>7866</v>
      </c>
      <c r="E2523" s="744" t="s">
        <v>6694</v>
      </c>
      <c r="F2523" s="305">
        <v>5</v>
      </c>
      <c r="G2523" s="323">
        <v>29</v>
      </c>
      <c r="H2523" s="308">
        <f t="shared" si="172"/>
        <v>145</v>
      </c>
      <c r="I2523" s="997" t="s">
        <v>3315</v>
      </c>
      <c r="J2523" s="367" t="s">
        <v>6851</v>
      </c>
      <c r="K2523" s="256">
        <v>43031</v>
      </c>
      <c r="L2523" s="256"/>
      <c r="M2523" s="256">
        <v>43014</v>
      </c>
      <c r="N2523" s="251" t="s">
        <v>6112</v>
      </c>
      <c r="O2523" s="308" t="s">
        <v>7867</v>
      </c>
      <c r="P2523" s="589"/>
      <c r="Q2523" s="572">
        <v>4289</v>
      </c>
      <c r="R2523" s="1413"/>
      <c r="S2523" s="1413"/>
      <c r="U2523" s="328"/>
      <c r="V2523" s="328" t="s">
        <v>2109</v>
      </c>
      <c r="W2523" s="747">
        <v>43044</v>
      </c>
      <c r="X2523" s="748">
        <v>43014</v>
      </c>
      <c r="Y2523" s="744" t="s">
        <v>7868</v>
      </c>
      <c r="Z2523" s="749">
        <v>31285</v>
      </c>
      <c r="AA2523" s="594">
        <v>43045</v>
      </c>
      <c r="AB2523" s="250" t="s">
        <v>7800</v>
      </c>
      <c r="AC2523" s="251">
        <v>150410260</v>
      </c>
      <c r="AD2523" s="328"/>
      <c r="AE2523" s="328"/>
      <c r="AF2523" s="328"/>
      <c r="AG2523" s="251" t="s">
        <v>283</v>
      </c>
    </row>
    <row r="2524" spans="1:33" ht="15.75" customHeight="1">
      <c r="A2524" s="743">
        <v>43005</v>
      </c>
      <c r="B2524" s="823" t="s">
        <v>1717</v>
      </c>
      <c r="C2524" s="757" t="s">
        <v>7865</v>
      </c>
      <c r="D2524" s="744" t="s">
        <v>7866</v>
      </c>
      <c r="E2524" s="744" t="s">
        <v>5260</v>
      </c>
      <c r="F2524" s="305">
        <v>5</v>
      </c>
      <c r="G2524" s="323">
        <v>13</v>
      </c>
      <c r="H2524" s="308">
        <f t="shared" si="172"/>
        <v>65</v>
      </c>
      <c r="I2524" s="997" t="s">
        <v>3315</v>
      </c>
      <c r="J2524" s="367" t="s">
        <v>6851</v>
      </c>
      <c r="K2524" s="256">
        <v>43031</v>
      </c>
      <c r="L2524" s="256"/>
      <c r="M2524" s="256">
        <v>43014</v>
      </c>
      <c r="N2524" s="251" t="s">
        <v>6112</v>
      </c>
      <c r="O2524" s="308" t="s">
        <v>7867</v>
      </c>
      <c r="P2524" s="589"/>
      <c r="Q2524" s="572">
        <v>1906</v>
      </c>
      <c r="R2524" s="1413"/>
      <c r="S2524" s="1413"/>
      <c r="U2524" s="328"/>
      <c r="V2524" s="328" t="s">
        <v>2109</v>
      </c>
      <c r="W2524" s="747">
        <v>43044</v>
      </c>
      <c r="X2524" s="748">
        <v>43014</v>
      </c>
      <c r="Y2524" s="744" t="s">
        <v>7868</v>
      </c>
      <c r="Z2524" s="744" t="s">
        <v>7869</v>
      </c>
      <c r="AA2524" s="594">
        <v>43045</v>
      </c>
      <c r="AB2524" s="250" t="s">
        <v>7800</v>
      </c>
      <c r="AC2524" s="251">
        <v>150410260</v>
      </c>
      <c r="AD2524" s="328"/>
      <c r="AE2524" s="328"/>
      <c r="AF2524" s="328"/>
      <c r="AG2524" s="251" t="s">
        <v>283</v>
      </c>
    </row>
    <row r="2525" spans="1:33" ht="15.75" customHeight="1">
      <c r="A2525" s="743">
        <v>43005</v>
      </c>
      <c r="B2525" s="823" t="s">
        <v>5017</v>
      </c>
      <c r="C2525" s="757" t="s">
        <v>7870</v>
      </c>
      <c r="D2525" s="744" t="s">
        <v>7871</v>
      </c>
      <c r="E2525" s="744" t="s">
        <v>7737</v>
      </c>
      <c r="F2525" s="305">
        <v>9</v>
      </c>
      <c r="G2525" s="323">
        <f>9.4*(1+5%)</f>
        <v>9.870000000000001</v>
      </c>
      <c r="H2525" s="308">
        <f t="shared" si="172"/>
        <v>88.830000000000013</v>
      </c>
      <c r="I2525" s="254" t="s">
        <v>3315</v>
      </c>
      <c r="J2525" s="367" t="s">
        <v>1309</v>
      </c>
      <c r="K2525" s="256">
        <v>43013</v>
      </c>
      <c r="L2525" s="256"/>
      <c r="M2525" s="256">
        <v>43011</v>
      </c>
      <c r="N2525" s="401" t="s">
        <v>2411</v>
      </c>
      <c r="O2525" s="308" t="s">
        <v>7872</v>
      </c>
      <c r="P2525" s="589"/>
      <c r="Q2525" s="572">
        <v>2410</v>
      </c>
      <c r="R2525" s="1413"/>
      <c r="S2525" s="1413"/>
      <c r="U2525" s="328"/>
      <c r="V2525" s="318" t="s">
        <v>4328</v>
      </c>
      <c r="W2525" s="747">
        <v>43044</v>
      </c>
      <c r="X2525" s="748">
        <v>43010</v>
      </c>
      <c r="Y2525" s="744" t="s">
        <v>7873</v>
      </c>
      <c r="Z2525" s="749">
        <v>2410</v>
      </c>
      <c r="AA2525" s="594">
        <v>43045</v>
      </c>
      <c r="AB2525" s="744" t="s">
        <v>7874</v>
      </c>
      <c r="AC2525" s="328" t="s">
        <v>7875</v>
      </c>
      <c r="AD2525" s="597" t="s">
        <v>7876</v>
      </c>
      <c r="AE2525" s="1064">
        <v>2684</v>
      </c>
      <c r="AF2525" s="328" t="s">
        <v>7877</v>
      </c>
      <c r="AG2525" s="251" t="s">
        <v>376</v>
      </c>
    </row>
    <row r="2526" spans="1:33" ht="15.75" customHeight="1">
      <c r="A2526" s="743">
        <v>43006</v>
      </c>
      <c r="B2526" s="970" t="s">
        <v>76</v>
      </c>
      <c r="C2526" s="744">
        <v>797</v>
      </c>
      <c r="D2526" s="250" t="s">
        <v>7878</v>
      </c>
      <c r="E2526" s="250" t="s">
        <v>477</v>
      </c>
      <c r="F2526" s="251">
        <v>50</v>
      </c>
      <c r="G2526" s="336">
        <v>2.25</v>
      </c>
      <c r="H2526" s="308">
        <f t="shared" si="172"/>
        <v>112.5</v>
      </c>
      <c r="I2526" s="254" t="s">
        <v>42</v>
      </c>
      <c r="J2526" s="367" t="s">
        <v>315</v>
      </c>
      <c r="K2526" s="256">
        <v>43014</v>
      </c>
      <c r="L2526" s="256"/>
      <c r="M2526" s="264" t="s">
        <v>178</v>
      </c>
      <c r="N2526" s="331" t="s">
        <v>3608</v>
      </c>
      <c r="O2526" s="308" t="s">
        <v>7879</v>
      </c>
      <c r="P2526" s="589"/>
      <c r="Q2526" s="328"/>
      <c r="R2526" s="1407"/>
      <c r="S2526" s="1407"/>
      <c r="U2526" s="328"/>
      <c r="V2526" s="386" t="s">
        <v>2093</v>
      </c>
      <c r="W2526" s="328"/>
      <c r="X2526" s="744"/>
      <c r="Y2526" s="744"/>
      <c r="Z2526" s="744"/>
      <c r="AA2526" s="251"/>
      <c r="AB2526" s="250" t="s">
        <v>7714</v>
      </c>
      <c r="AC2526" s="251">
        <v>842471254</v>
      </c>
      <c r="AD2526" s="328"/>
      <c r="AE2526" s="328"/>
      <c r="AF2526" s="328"/>
      <c r="AG2526" s="251" t="s">
        <v>283</v>
      </c>
    </row>
    <row r="2527" spans="1:33" ht="15.75" customHeight="1">
      <c r="A2527" s="743">
        <v>43006</v>
      </c>
      <c r="B2527" s="970" t="s">
        <v>76</v>
      </c>
      <c r="C2527" s="744">
        <v>797</v>
      </c>
      <c r="D2527" s="250" t="s">
        <v>7878</v>
      </c>
      <c r="E2527" s="250" t="s">
        <v>7880</v>
      </c>
      <c r="F2527" s="254">
        <v>12</v>
      </c>
      <c r="G2527" s="464">
        <v>6.85</v>
      </c>
      <c r="H2527" s="308">
        <f t="shared" si="172"/>
        <v>82.199999999999989</v>
      </c>
      <c r="I2527" s="254" t="s">
        <v>42</v>
      </c>
      <c r="J2527" s="367" t="s">
        <v>315</v>
      </c>
      <c r="K2527" s="256">
        <v>43014</v>
      </c>
      <c r="L2527" s="256"/>
      <c r="M2527" s="256">
        <v>43011</v>
      </c>
      <c r="N2527" s="331" t="s">
        <v>3608</v>
      </c>
      <c r="O2527" s="308" t="s">
        <v>7881</v>
      </c>
      <c r="P2527" s="589"/>
      <c r="Q2527" s="328"/>
      <c r="R2527" s="1407"/>
      <c r="S2527" s="1407"/>
      <c r="U2527" s="328"/>
      <c r="V2527" s="386" t="s">
        <v>2093</v>
      </c>
      <c r="W2527" s="328"/>
      <c r="X2527" s="744"/>
      <c r="Y2527" s="744"/>
      <c r="Z2527" s="744"/>
      <c r="AA2527" s="251"/>
      <c r="AB2527" s="250" t="s">
        <v>7714</v>
      </c>
      <c r="AC2527" s="251">
        <v>842471254</v>
      </c>
      <c r="AD2527" s="328"/>
      <c r="AE2527" s="328"/>
      <c r="AF2527" s="328"/>
      <c r="AG2527" s="251" t="s">
        <v>283</v>
      </c>
    </row>
    <row r="2528" spans="1:33" ht="15.75" customHeight="1">
      <c r="A2528" s="743">
        <v>43007</v>
      </c>
      <c r="B2528" s="970" t="s">
        <v>100</v>
      </c>
      <c r="C2528" s="744" t="s">
        <v>7882</v>
      </c>
      <c r="D2528" s="250" t="s">
        <v>7883</v>
      </c>
      <c r="E2528" s="250" t="s">
        <v>3416</v>
      </c>
      <c r="F2528" s="305">
        <v>10</v>
      </c>
      <c r="G2528" s="252">
        <v>2</v>
      </c>
      <c r="H2528" s="308">
        <f t="shared" si="172"/>
        <v>20</v>
      </c>
      <c r="I2528" s="254" t="s">
        <v>3315</v>
      </c>
      <c r="J2528" s="361" t="s">
        <v>3578</v>
      </c>
      <c r="K2528" s="256">
        <v>43053</v>
      </c>
      <c r="L2528" s="256"/>
      <c r="M2528" s="264" t="s">
        <v>178</v>
      </c>
      <c r="N2528" s="331" t="s">
        <v>6527</v>
      </c>
      <c r="O2528" s="250" t="s">
        <v>7884</v>
      </c>
      <c r="P2528" s="328"/>
      <c r="Q2528" s="328"/>
      <c r="R2528" s="1407"/>
      <c r="S2528" s="1407"/>
      <c r="U2528" s="328"/>
      <c r="V2528" s="386"/>
      <c r="W2528" s="328"/>
      <c r="X2528" s="744"/>
      <c r="Y2528" s="744"/>
      <c r="Z2528" s="744"/>
      <c r="AA2528" s="1003"/>
      <c r="AB2528" s="250" t="s">
        <v>7885</v>
      </c>
      <c r="AC2528" s="251">
        <v>3769292564</v>
      </c>
      <c r="AD2528" s="328"/>
      <c r="AE2528" s="328"/>
      <c r="AF2528" s="328"/>
      <c r="AG2528" s="251" t="s">
        <v>283</v>
      </c>
    </row>
    <row r="2529" spans="1:33" ht="15.75" customHeight="1">
      <c r="A2529" s="743">
        <v>43007</v>
      </c>
      <c r="B2529" s="970" t="s">
        <v>100</v>
      </c>
      <c r="C2529" s="744" t="s">
        <v>7882</v>
      </c>
      <c r="D2529" s="250" t="s">
        <v>7883</v>
      </c>
      <c r="E2529" s="250" t="s">
        <v>3418</v>
      </c>
      <c r="F2529" s="305">
        <v>10</v>
      </c>
      <c r="G2529" s="252">
        <v>2.5</v>
      </c>
      <c r="H2529" s="308">
        <f t="shared" si="172"/>
        <v>25</v>
      </c>
      <c r="I2529" s="254" t="s">
        <v>3315</v>
      </c>
      <c r="J2529" s="361" t="s">
        <v>3578</v>
      </c>
      <c r="K2529" s="256">
        <v>43053</v>
      </c>
      <c r="L2529" s="256"/>
      <c r="M2529" s="264" t="s">
        <v>178</v>
      </c>
      <c r="N2529" s="331" t="s">
        <v>6527</v>
      </c>
      <c r="O2529" s="250" t="s">
        <v>7886</v>
      </c>
      <c r="P2529" s="250"/>
      <c r="Q2529" s="328"/>
      <c r="R2529" s="1407"/>
      <c r="S2529" s="1407"/>
      <c r="U2529" s="328"/>
      <c r="V2529" s="386"/>
      <c r="W2529" s="328"/>
      <c r="X2529" s="744"/>
      <c r="Y2529" s="744"/>
      <c r="Z2529" s="744"/>
      <c r="AA2529" s="1003"/>
      <c r="AB2529" s="250" t="s">
        <v>7885</v>
      </c>
      <c r="AC2529" s="251">
        <v>3769292564</v>
      </c>
      <c r="AD2529" s="328"/>
      <c r="AE2529" s="328"/>
      <c r="AF2529" s="328"/>
      <c r="AG2529" s="251" t="s">
        <v>283</v>
      </c>
    </row>
    <row r="2530" spans="1:33" ht="15.75" customHeight="1">
      <c r="A2530" s="743">
        <v>43007</v>
      </c>
      <c r="B2530" s="970" t="s">
        <v>100</v>
      </c>
      <c r="C2530" s="744" t="s">
        <v>7882</v>
      </c>
      <c r="D2530" s="250" t="s">
        <v>7883</v>
      </c>
      <c r="E2530" s="250" t="s">
        <v>3421</v>
      </c>
      <c r="F2530" s="305">
        <v>10</v>
      </c>
      <c r="G2530" s="252">
        <v>8</v>
      </c>
      <c r="H2530" s="308">
        <f t="shared" si="172"/>
        <v>80</v>
      </c>
      <c r="I2530" s="254" t="s">
        <v>3315</v>
      </c>
      <c r="J2530" s="367" t="s">
        <v>3578</v>
      </c>
      <c r="K2530" s="256">
        <v>43053</v>
      </c>
      <c r="L2530" s="256"/>
      <c r="M2530" s="264" t="s">
        <v>178</v>
      </c>
      <c r="N2530" s="1039" t="s">
        <v>6533</v>
      </c>
      <c r="O2530" s="593"/>
      <c r="P2530" s="328"/>
      <c r="Q2530" s="574" t="s">
        <v>6534</v>
      </c>
      <c r="R2530" s="1405"/>
      <c r="S2530" s="1405"/>
      <c r="U2530" s="328"/>
      <c r="V2530" s="420"/>
      <c r="W2530" s="328"/>
      <c r="X2530" s="744"/>
      <c r="Y2530" s="744"/>
      <c r="Z2530" s="744"/>
      <c r="AA2530" s="1003"/>
      <c r="AB2530" s="250" t="s">
        <v>7885</v>
      </c>
      <c r="AC2530" s="251">
        <v>3769292564</v>
      </c>
      <c r="AD2530" s="328"/>
      <c r="AE2530" s="328"/>
      <c r="AF2530" s="328"/>
      <c r="AG2530" s="251" t="s">
        <v>283</v>
      </c>
    </row>
    <row r="2531" spans="1:33" ht="15.75" customHeight="1">
      <c r="A2531" s="743">
        <v>43007</v>
      </c>
      <c r="B2531" s="970" t="s">
        <v>100</v>
      </c>
      <c r="C2531" s="744" t="s">
        <v>7882</v>
      </c>
      <c r="D2531" s="250" t="s">
        <v>7883</v>
      </c>
      <c r="E2531" s="250" t="s">
        <v>3407</v>
      </c>
      <c r="F2531" s="305">
        <v>10</v>
      </c>
      <c r="G2531" s="252">
        <v>93</v>
      </c>
      <c r="H2531" s="308">
        <f t="shared" si="172"/>
        <v>930</v>
      </c>
      <c r="I2531" s="264" t="s">
        <v>3315</v>
      </c>
      <c r="J2531" s="367" t="s">
        <v>3578</v>
      </c>
      <c r="K2531" s="256">
        <v>43053</v>
      </c>
      <c r="L2531" s="256"/>
      <c r="M2531" s="256">
        <v>43046</v>
      </c>
      <c r="N2531" s="331" t="s">
        <v>2001</v>
      </c>
      <c r="O2531" s="308" t="s">
        <v>7887</v>
      </c>
      <c r="P2531" s="308">
        <v>924</v>
      </c>
      <c r="Q2531" s="328"/>
      <c r="R2531" s="1407"/>
      <c r="S2531" s="1407"/>
      <c r="U2531" s="328"/>
      <c r="V2531" s="318" t="s">
        <v>2003</v>
      </c>
      <c r="W2531" s="747">
        <v>43105</v>
      </c>
      <c r="X2531" s="748">
        <v>43045</v>
      </c>
      <c r="Y2531" s="744" t="s">
        <v>7888</v>
      </c>
      <c r="Z2531" s="749">
        <v>129103</v>
      </c>
      <c r="AA2531" s="594">
        <v>43115</v>
      </c>
      <c r="AB2531" s="250" t="s">
        <v>7885</v>
      </c>
      <c r="AC2531" s="251">
        <v>3769292564</v>
      </c>
      <c r="AD2531" s="328"/>
      <c r="AE2531" s="328"/>
      <c r="AF2531" s="328"/>
      <c r="AG2531" s="251" t="s">
        <v>283</v>
      </c>
    </row>
    <row r="2532" spans="1:33" ht="15.75" customHeight="1">
      <c r="A2532" s="743">
        <v>43007</v>
      </c>
      <c r="B2532" s="970" t="s">
        <v>100</v>
      </c>
      <c r="C2532" s="744" t="s">
        <v>7882</v>
      </c>
      <c r="D2532" s="250" t="s">
        <v>7883</v>
      </c>
      <c r="E2532" s="250" t="s">
        <v>3413</v>
      </c>
      <c r="F2532" s="305">
        <v>10</v>
      </c>
      <c r="G2532" s="252">
        <v>73</v>
      </c>
      <c r="H2532" s="308">
        <f t="shared" si="172"/>
        <v>730</v>
      </c>
      <c r="I2532" s="264" t="s">
        <v>3315</v>
      </c>
      <c r="J2532" s="367" t="s">
        <v>3578</v>
      </c>
      <c r="K2532" s="256">
        <v>43053</v>
      </c>
      <c r="L2532" s="256"/>
      <c r="M2532" s="256">
        <v>43046</v>
      </c>
      <c r="N2532" s="331" t="s">
        <v>2001</v>
      </c>
      <c r="O2532" s="308" t="s">
        <v>7887</v>
      </c>
      <c r="P2532" s="308">
        <v>724.5</v>
      </c>
      <c r="Q2532" s="328"/>
      <c r="R2532" s="1407"/>
      <c r="S2532" s="1407"/>
      <c r="U2532" s="328"/>
      <c r="V2532" s="318" t="s">
        <v>2003</v>
      </c>
      <c r="W2532" s="747">
        <v>43105</v>
      </c>
      <c r="X2532" s="748">
        <v>43045</v>
      </c>
      <c r="Y2532" s="744" t="s">
        <v>7888</v>
      </c>
      <c r="Z2532" s="749">
        <v>129103</v>
      </c>
      <c r="AA2532" s="594">
        <v>43115</v>
      </c>
      <c r="AB2532" s="250" t="s">
        <v>7885</v>
      </c>
      <c r="AC2532" s="251">
        <v>3769292564</v>
      </c>
      <c r="AD2532" s="328"/>
      <c r="AE2532" s="328"/>
      <c r="AF2532" s="328"/>
      <c r="AG2532" s="251" t="s">
        <v>283</v>
      </c>
    </row>
    <row r="2533" spans="1:33" ht="15.75" customHeight="1">
      <c r="A2533" s="743">
        <v>43007</v>
      </c>
      <c r="B2533" s="970" t="s">
        <v>100</v>
      </c>
      <c r="C2533" s="744" t="s">
        <v>7882</v>
      </c>
      <c r="D2533" s="250" t="s">
        <v>7883</v>
      </c>
      <c r="E2533" s="250" t="s">
        <v>3415</v>
      </c>
      <c r="F2533" s="305">
        <v>10</v>
      </c>
      <c r="G2533" s="252">
        <v>140</v>
      </c>
      <c r="H2533" s="308">
        <f t="shared" si="172"/>
        <v>1400</v>
      </c>
      <c r="I2533" s="264" t="s">
        <v>3315</v>
      </c>
      <c r="J2533" s="367" t="s">
        <v>3578</v>
      </c>
      <c r="K2533" s="256">
        <v>43053</v>
      </c>
      <c r="L2533" s="256"/>
      <c r="M2533" s="256">
        <v>43046</v>
      </c>
      <c r="N2533" s="331" t="s">
        <v>2001</v>
      </c>
      <c r="O2533" s="308" t="s">
        <v>7887</v>
      </c>
      <c r="P2533" s="308">
        <v>1396.5</v>
      </c>
      <c r="Q2533" s="328"/>
      <c r="R2533" s="1407"/>
      <c r="S2533" s="1407"/>
      <c r="U2533" s="328"/>
      <c r="V2533" s="318" t="s">
        <v>2003</v>
      </c>
      <c r="W2533" s="747">
        <v>43105</v>
      </c>
      <c r="X2533" s="748">
        <v>43045</v>
      </c>
      <c r="Y2533" s="744" t="s">
        <v>7888</v>
      </c>
      <c r="Z2533" s="749">
        <v>129103</v>
      </c>
      <c r="AA2533" s="594">
        <v>43115</v>
      </c>
      <c r="AB2533" s="250" t="s">
        <v>7885</v>
      </c>
      <c r="AC2533" s="251">
        <v>3769292564</v>
      </c>
      <c r="AD2533" s="328"/>
      <c r="AE2533" s="328"/>
      <c r="AF2533" s="328"/>
      <c r="AG2533" s="251" t="s">
        <v>283</v>
      </c>
    </row>
    <row r="2534" spans="1:33" ht="15.75" customHeight="1">
      <c r="A2534" s="743">
        <v>43007</v>
      </c>
      <c r="B2534" s="970" t="s">
        <v>100</v>
      </c>
      <c r="C2534" s="744" t="s">
        <v>7882</v>
      </c>
      <c r="D2534" s="250" t="s">
        <v>7883</v>
      </c>
      <c r="E2534" s="250" t="s">
        <v>3420</v>
      </c>
      <c r="F2534" s="305">
        <v>10</v>
      </c>
      <c r="G2534" s="252">
        <v>4</v>
      </c>
      <c r="H2534" s="308">
        <f t="shared" si="172"/>
        <v>40</v>
      </c>
      <c r="I2534" s="264" t="s">
        <v>3315</v>
      </c>
      <c r="J2534" s="367" t="s">
        <v>3578</v>
      </c>
      <c r="K2534" s="256">
        <v>43053</v>
      </c>
      <c r="L2534" s="256"/>
      <c r="M2534" s="256">
        <v>43046</v>
      </c>
      <c r="N2534" s="331" t="s">
        <v>2001</v>
      </c>
      <c r="O2534" s="308" t="s">
        <v>7887</v>
      </c>
      <c r="P2534" s="308">
        <v>31.5</v>
      </c>
      <c r="Q2534" s="328"/>
      <c r="R2534" s="1407"/>
      <c r="S2534" s="1407"/>
      <c r="U2534" s="328"/>
      <c r="V2534" s="308" t="s">
        <v>2003</v>
      </c>
      <c r="W2534" s="747">
        <v>43105</v>
      </c>
      <c r="X2534" s="748">
        <v>43045</v>
      </c>
      <c r="Y2534" s="744" t="s">
        <v>7888</v>
      </c>
      <c r="Z2534" s="749">
        <v>129103</v>
      </c>
      <c r="AA2534" s="594">
        <v>43115</v>
      </c>
      <c r="AB2534" s="250" t="s">
        <v>7885</v>
      </c>
      <c r="AC2534" s="251">
        <v>3769292564</v>
      </c>
      <c r="AD2534" s="328"/>
      <c r="AE2534" s="328"/>
      <c r="AF2534" s="328"/>
      <c r="AG2534" s="251" t="s">
        <v>283</v>
      </c>
    </row>
    <row r="2535" spans="1:33" ht="15.75" customHeight="1">
      <c r="A2535" s="743">
        <v>43007</v>
      </c>
      <c r="B2535" s="970" t="s">
        <v>100</v>
      </c>
      <c r="C2535" s="744" t="s">
        <v>7889</v>
      </c>
      <c r="D2535" s="250" t="s">
        <v>7890</v>
      </c>
      <c r="E2535" s="250" t="s">
        <v>7891</v>
      </c>
      <c r="F2535" s="305">
        <v>5</v>
      </c>
      <c r="G2535" s="252">
        <v>322</v>
      </c>
      <c r="H2535" s="308">
        <f t="shared" si="172"/>
        <v>1610</v>
      </c>
      <c r="I2535" s="264" t="s">
        <v>3315</v>
      </c>
      <c r="J2535" s="367" t="s">
        <v>3578</v>
      </c>
      <c r="K2535" s="256">
        <v>43038</v>
      </c>
      <c r="L2535" s="256"/>
      <c r="M2535" s="256">
        <v>43034</v>
      </c>
      <c r="N2535" s="331" t="s">
        <v>1995</v>
      </c>
      <c r="O2535" s="308" t="s">
        <v>7892</v>
      </c>
      <c r="P2535" s="587">
        <v>1522.5</v>
      </c>
      <c r="Q2535" s="328"/>
      <c r="R2535" s="1407"/>
      <c r="S2535" s="1407"/>
      <c r="U2535" s="328"/>
      <c r="V2535" s="571" t="s">
        <v>1997</v>
      </c>
      <c r="W2535" s="747">
        <v>43044</v>
      </c>
      <c r="X2535" s="748">
        <v>43033</v>
      </c>
      <c r="Y2535" s="744" t="s">
        <v>7893</v>
      </c>
      <c r="Z2535" s="749">
        <v>70308</v>
      </c>
      <c r="AA2535" s="594">
        <v>43046</v>
      </c>
      <c r="AB2535" s="250" t="s">
        <v>7894</v>
      </c>
      <c r="AC2535" s="251">
        <v>9087918781</v>
      </c>
      <c r="AD2535" s="328"/>
      <c r="AE2535" s="328"/>
      <c r="AF2535" s="328"/>
      <c r="AG2535" s="251" t="s">
        <v>4566</v>
      </c>
    </row>
    <row r="2536" spans="1:33" ht="15.75" customHeight="1">
      <c r="A2536" s="743">
        <v>43007</v>
      </c>
      <c r="B2536" s="970" t="s">
        <v>100</v>
      </c>
      <c r="C2536" s="744" t="s">
        <v>7889</v>
      </c>
      <c r="D2536" s="250" t="s">
        <v>7895</v>
      </c>
      <c r="E2536" s="250" t="s">
        <v>3700</v>
      </c>
      <c r="F2536" s="305">
        <v>5</v>
      </c>
      <c r="G2536" s="252">
        <v>9</v>
      </c>
      <c r="H2536" s="308">
        <f t="shared" si="172"/>
        <v>45</v>
      </c>
      <c r="I2536" s="264" t="s">
        <v>3315</v>
      </c>
      <c r="J2536" s="367" t="s">
        <v>3578</v>
      </c>
      <c r="K2536" s="256">
        <v>43038</v>
      </c>
      <c r="L2536" s="256"/>
      <c r="M2536" s="256">
        <v>43034</v>
      </c>
      <c r="N2536" s="331" t="s">
        <v>1995</v>
      </c>
      <c r="O2536" s="308" t="s">
        <v>7892</v>
      </c>
      <c r="P2536" s="572">
        <v>42</v>
      </c>
      <c r="Q2536" s="328"/>
      <c r="R2536" s="1407"/>
      <c r="S2536" s="1407"/>
      <c r="U2536" s="328"/>
      <c r="V2536" s="338" t="s">
        <v>1997</v>
      </c>
      <c r="W2536" s="747">
        <v>43044</v>
      </c>
      <c r="X2536" s="748">
        <v>43033</v>
      </c>
      <c r="Y2536" s="744" t="s">
        <v>7893</v>
      </c>
      <c r="Z2536" s="749">
        <v>70308</v>
      </c>
      <c r="AA2536" s="594">
        <v>43046</v>
      </c>
      <c r="AB2536" s="250" t="s">
        <v>7894</v>
      </c>
      <c r="AC2536" s="251">
        <v>9087918781</v>
      </c>
      <c r="AD2536" s="328"/>
      <c r="AE2536" s="328"/>
      <c r="AF2536" s="328"/>
      <c r="AG2536" s="251" t="s">
        <v>4566</v>
      </c>
    </row>
    <row r="2537" spans="1:33" ht="15.75" customHeight="1">
      <c r="A2537" s="743">
        <v>43007</v>
      </c>
      <c r="B2537" s="590" t="s">
        <v>7107</v>
      </c>
      <c r="C2537" s="744">
        <v>7000132879</v>
      </c>
      <c r="D2537" s="250" t="s">
        <v>7896</v>
      </c>
      <c r="E2537" s="250" t="s">
        <v>3995</v>
      </c>
      <c r="F2537" s="251">
        <v>1</v>
      </c>
      <c r="G2537" s="252">
        <v>548</v>
      </c>
      <c r="H2537" s="308">
        <f t="shared" si="172"/>
        <v>548</v>
      </c>
      <c r="I2537" s="264" t="s">
        <v>42</v>
      </c>
      <c r="J2537" s="401" t="s">
        <v>3462</v>
      </c>
      <c r="K2537" s="256">
        <v>43032</v>
      </c>
      <c r="L2537" s="256"/>
      <c r="M2537" s="256">
        <v>43027</v>
      </c>
      <c r="N2537" s="331" t="s">
        <v>3678</v>
      </c>
      <c r="O2537" s="250" t="s">
        <v>7897</v>
      </c>
      <c r="P2537" s="337"/>
      <c r="Q2537" s="630">
        <v>16380</v>
      </c>
      <c r="R2537" s="1415"/>
      <c r="S2537" s="1415"/>
      <c r="U2537" s="328"/>
      <c r="V2537" s="386" t="s">
        <v>3680</v>
      </c>
      <c r="W2537" s="789">
        <v>43074</v>
      </c>
      <c r="X2537" s="748">
        <v>43026</v>
      </c>
      <c r="Y2537" s="744" t="s">
        <v>7898</v>
      </c>
      <c r="Z2537" s="749">
        <v>17514</v>
      </c>
      <c r="AA2537" s="594">
        <v>43074</v>
      </c>
      <c r="AB2537" s="250" t="s">
        <v>7899</v>
      </c>
      <c r="AC2537" s="251">
        <v>1572914372</v>
      </c>
      <c r="AD2537" s="328"/>
      <c r="AE2537" s="328"/>
      <c r="AF2537" s="328"/>
      <c r="AG2537" s="251" t="s">
        <v>283</v>
      </c>
    </row>
    <row r="2538" spans="1:33" ht="15.75" customHeight="1">
      <c r="A2538" s="743">
        <v>43007</v>
      </c>
      <c r="B2538" s="590" t="s">
        <v>7107</v>
      </c>
      <c r="C2538" s="744">
        <v>7000132879</v>
      </c>
      <c r="D2538" s="250" t="s">
        <v>7896</v>
      </c>
      <c r="E2538" s="250" t="s">
        <v>4000</v>
      </c>
      <c r="F2538" s="251">
        <v>1</v>
      </c>
      <c r="G2538" s="252">
        <v>40</v>
      </c>
      <c r="H2538" s="308">
        <f t="shared" si="172"/>
        <v>40</v>
      </c>
      <c r="I2538" s="264" t="s">
        <v>42</v>
      </c>
      <c r="J2538" s="401" t="s">
        <v>3462</v>
      </c>
      <c r="K2538" s="256">
        <v>43032</v>
      </c>
      <c r="L2538" s="256"/>
      <c r="M2538" s="256">
        <v>43027</v>
      </c>
      <c r="N2538" s="331" t="s">
        <v>3678</v>
      </c>
      <c r="O2538" s="250" t="s">
        <v>7897</v>
      </c>
      <c r="P2538" s="337"/>
      <c r="Q2538" s="630">
        <v>1134</v>
      </c>
      <c r="R2538" s="1415"/>
      <c r="S2538" s="1415"/>
      <c r="U2538" s="328"/>
      <c r="V2538" s="386" t="s">
        <v>3680</v>
      </c>
      <c r="W2538" s="789">
        <v>43074</v>
      </c>
      <c r="X2538" s="748">
        <v>43026</v>
      </c>
      <c r="Y2538" s="744" t="s">
        <v>7898</v>
      </c>
      <c r="Z2538" s="744" t="s">
        <v>7900</v>
      </c>
      <c r="AA2538" s="594">
        <v>43074</v>
      </c>
      <c r="AB2538" s="250" t="s">
        <v>7899</v>
      </c>
      <c r="AC2538" s="251">
        <v>1572914372</v>
      </c>
      <c r="AD2538" s="328"/>
      <c r="AE2538" s="328"/>
      <c r="AF2538" s="328"/>
      <c r="AG2538" s="251" t="s">
        <v>283</v>
      </c>
    </row>
    <row r="2539" spans="1:33" ht="15.75" customHeight="1">
      <c r="A2539" s="743">
        <v>43007</v>
      </c>
      <c r="B2539" s="970" t="s">
        <v>100</v>
      </c>
      <c r="C2539" s="744" t="s">
        <v>7901</v>
      </c>
      <c r="D2539" s="744" t="s">
        <v>7902</v>
      </c>
      <c r="E2539" s="744" t="s">
        <v>6572</v>
      </c>
      <c r="F2539" s="251">
        <v>2</v>
      </c>
      <c r="G2539" s="252">
        <v>105</v>
      </c>
      <c r="H2539" s="308">
        <f t="shared" si="172"/>
        <v>210</v>
      </c>
      <c r="I2539" s="264" t="s">
        <v>3315</v>
      </c>
      <c r="J2539" s="367" t="s">
        <v>3578</v>
      </c>
      <c r="K2539" s="256">
        <v>43020</v>
      </c>
      <c r="L2539" s="256"/>
      <c r="M2539" s="256">
        <v>43014</v>
      </c>
      <c r="N2539" s="1039" t="s">
        <v>2124</v>
      </c>
      <c r="O2539" s="308" t="s">
        <v>7903</v>
      </c>
      <c r="P2539" s="328"/>
      <c r="Q2539" s="572">
        <v>5653</v>
      </c>
      <c r="R2539" s="1413"/>
      <c r="S2539" s="1413"/>
      <c r="U2539" s="328"/>
      <c r="V2539" s="308" t="s">
        <v>2126</v>
      </c>
      <c r="W2539" s="328"/>
      <c r="X2539" s="748">
        <v>43013</v>
      </c>
      <c r="Y2539" s="744" t="s">
        <v>7904</v>
      </c>
      <c r="Z2539" s="749">
        <v>5653</v>
      </c>
      <c r="AA2539" s="594">
        <v>43011</v>
      </c>
      <c r="AB2539" s="250" t="s">
        <v>7600</v>
      </c>
      <c r="AC2539" s="251">
        <v>3441702014</v>
      </c>
      <c r="AD2539" s="328"/>
      <c r="AE2539" s="328"/>
      <c r="AF2539" s="328"/>
      <c r="AG2539" s="251" t="s">
        <v>283</v>
      </c>
    </row>
    <row r="2540" spans="1:33" ht="15.75" customHeight="1">
      <c r="A2540" s="743">
        <v>43007</v>
      </c>
      <c r="B2540" s="970" t="s">
        <v>100</v>
      </c>
      <c r="C2540" s="744" t="s">
        <v>7889</v>
      </c>
      <c r="D2540" s="250" t="s">
        <v>7895</v>
      </c>
      <c r="E2540" s="250" t="s">
        <v>6420</v>
      </c>
      <c r="F2540" s="305">
        <v>5</v>
      </c>
      <c r="G2540" s="252">
        <v>39</v>
      </c>
      <c r="H2540" s="308">
        <f t="shared" si="172"/>
        <v>195</v>
      </c>
      <c r="I2540" s="264" t="s">
        <v>3315</v>
      </c>
      <c r="J2540" s="367" t="s">
        <v>3578</v>
      </c>
      <c r="K2540" s="256">
        <v>43038</v>
      </c>
      <c r="L2540" s="256"/>
      <c r="M2540" s="256">
        <v>43014</v>
      </c>
      <c r="N2540" s="331" t="s">
        <v>2124</v>
      </c>
      <c r="O2540" s="308" t="s">
        <v>7905</v>
      </c>
      <c r="P2540" s="589"/>
      <c r="Q2540" s="630">
        <v>5654</v>
      </c>
      <c r="R2540" s="1415"/>
      <c r="S2540" s="1415"/>
      <c r="U2540" s="328"/>
      <c r="V2540" s="318" t="s">
        <v>2126</v>
      </c>
      <c r="W2540" s="328"/>
      <c r="X2540" s="748">
        <v>43014</v>
      </c>
      <c r="Y2540" s="744" t="s">
        <v>7906</v>
      </c>
      <c r="Z2540" s="749">
        <v>5654</v>
      </c>
      <c r="AA2540" s="594">
        <v>43013</v>
      </c>
      <c r="AB2540" s="250" t="s">
        <v>7894</v>
      </c>
      <c r="AC2540" s="251">
        <v>9087918781</v>
      </c>
      <c r="AD2540" s="328"/>
      <c r="AE2540" s="328"/>
      <c r="AF2540" s="328"/>
      <c r="AG2540" s="251" t="s">
        <v>4566</v>
      </c>
    </row>
    <row r="2541" spans="1:33" ht="15.75" customHeight="1">
      <c r="A2541" s="743">
        <v>43011</v>
      </c>
      <c r="B2541" s="970" t="s">
        <v>100</v>
      </c>
      <c r="C2541" s="744" t="s">
        <v>7907</v>
      </c>
      <c r="D2541" s="250" t="s">
        <v>7908</v>
      </c>
      <c r="E2541" s="250" t="s">
        <v>7909</v>
      </c>
      <c r="F2541" s="251">
        <v>1</v>
      </c>
      <c r="G2541" s="252">
        <v>767</v>
      </c>
      <c r="H2541" s="308">
        <f t="shared" si="172"/>
        <v>767</v>
      </c>
      <c r="I2541" s="264" t="s">
        <v>3315</v>
      </c>
      <c r="J2541" s="367" t="s">
        <v>3578</v>
      </c>
      <c r="K2541" s="256">
        <v>43034</v>
      </c>
      <c r="L2541" s="256"/>
      <c r="M2541" s="256">
        <v>43034</v>
      </c>
      <c r="N2541" s="331" t="s">
        <v>1995</v>
      </c>
      <c r="O2541" s="308" t="s">
        <v>7910</v>
      </c>
      <c r="P2541" s="266">
        <v>708.75</v>
      </c>
      <c r="Q2541" s="328"/>
      <c r="R2541" s="1407"/>
      <c r="S2541" s="1407"/>
      <c r="U2541" s="328"/>
      <c r="V2541" s="338" t="s">
        <v>1997</v>
      </c>
      <c r="W2541" s="747">
        <v>43044</v>
      </c>
      <c r="X2541" s="748">
        <v>43033</v>
      </c>
      <c r="Y2541" s="744" t="s">
        <v>7893</v>
      </c>
      <c r="Z2541" s="749">
        <v>70308</v>
      </c>
      <c r="AA2541" s="594">
        <v>43046</v>
      </c>
      <c r="AB2541" s="250" t="s">
        <v>7911</v>
      </c>
      <c r="AC2541" s="251">
        <v>6619675241</v>
      </c>
      <c r="AD2541" s="328"/>
      <c r="AE2541" s="328"/>
      <c r="AF2541" s="328"/>
      <c r="AG2541" s="251" t="s">
        <v>283</v>
      </c>
    </row>
    <row r="2542" spans="1:33" ht="15.75" customHeight="1">
      <c r="A2542" s="743">
        <v>43011</v>
      </c>
      <c r="B2542" s="970" t="s">
        <v>100</v>
      </c>
      <c r="C2542" s="744" t="s">
        <v>7907</v>
      </c>
      <c r="D2542" s="250" t="s">
        <v>7908</v>
      </c>
      <c r="E2542" s="250" t="s">
        <v>7912</v>
      </c>
      <c r="F2542" s="251">
        <v>1</v>
      </c>
      <c r="G2542" s="252">
        <v>74</v>
      </c>
      <c r="H2542" s="308">
        <f t="shared" si="172"/>
        <v>74</v>
      </c>
      <c r="I2542" s="264" t="s">
        <v>3315</v>
      </c>
      <c r="J2542" s="367" t="s">
        <v>3578</v>
      </c>
      <c r="K2542" s="256">
        <v>43034</v>
      </c>
      <c r="L2542" s="256"/>
      <c r="M2542" s="256">
        <v>43034</v>
      </c>
      <c r="N2542" s="401" t="s">
        <v>1995</v>
      </c>
      <c r="O2542" s="308" t="s">
        <v>7910</v>
      </c>
      <c r="P2542" s="266">
        <v>70.349999999999994</v>
      </c>
      <c r="Q2542" s="328"/>
      <c r="R2542" s="1407"/>
      <c r="S2542" s="1407"/>
      <c r="U2542" s="328"/>
      <c r="V2542" s="338" t="s">
        <v>1997</v>
      </c>
      <c r="W2542" s="747">
        <v>43044</v>
      </c>
      <c r="X2542" s="748">
        <v>43033</v>
      </c>
      <c r="Y2542" s="744" t="s">
        <v>7893</v>
      </c>
      <c r="Z2542" s="749">
        <v>70308</v>
      </c>
      <c r="AA2542" s="594">
        <v>43046</v>
      </c>
      <c r="AB2542" s="250" t="s">
        <v>7911</v>
      </c>
      <c r="AC2542" s="251">
        <v>6619675241</v>
      </c>
      <c r="AD2542" s="328"/>
      <c r="AE2542" s="328"/>
      <c r="AF2542" s="328"/>
      <c r="AG2542" s="251" t="s">
        <v>283</v>
      </c>
    </row>
    <row r="2543" spans="1:33" ht="15.75" customHeight="1">
      <c r="A2543" s="743">
        <v>43011</v>
      </c>
      <c r="B2543" s="970" t="s">
        <v>100</v>
      </c>
      <c r="C2543" s="744" t="s">
        <v>7907</v>
      </c>
      <c r="D2543" s="250" t="s">
        <v>7908</v>
      </c>
      <c r="E2543" s="250" t="s">
        <v>7913</v>
      </c>
      <c r="F2543" s="251">
        <v>1</v>
      </c>
      <c r="G2543" s="252">
        <v>352</v>
      </c>
      <c r="H2543" s="308">
        <f t="shared" si="172"/>
        <v>352</v>
      </c>
      <c r="I2543" s="264" t="s">
        <v>3315</v>
      </c>
      <c r="J2543" s="367" t="s">
        <v>3578</v>
      </c>
      <c r="K2543" s="256">
        <v>43034</v>
      </c>
      <c r="L2543" s="256"/>
      <c r="M2543" s="256">
        <v>43024</v>
      </c>
      <c r="N2543" s="267" t="s">
        <v>2091</v>
      </c>
      <c r="O2543" s="308" t="s">
        <v>7914</v>
      </c>
      <c r="P2543" s="266">
        <v>299.25</v>
      </c>
      <c r="Q2543" s="328"/>
      <c r="R2543" s="1407"/>
      <c r="S2543" s="1407"/>
      <c r="U2543" s="328"/>
      <c r="V2543" s="318" t="s">
        <v>6159</v>
      </c>
      <c r="W2543" s="789">
        <v>43052</v>
      </c>
      <c r="X2543" s="748">
        <v>43021</v>
      </c>
      <c r="Y2543" s="744" t="s">
        <v>7915</v>
      </c>
      <c r="Z2543" s="749">
        <v>9042</v>
      </c>
      <c r="AA2543" s="594">
        <v>43046</v>
      </c>
      <c r="AB2543" s="250" t="s">
        <v>7911</v>
      </c>
      <c r="AC2543" s="251">
        <v>6619675241</v>
      </c>
      <c r="AD2543" s="328"/>
      <c r="AE2543" s="328"/>
      <c r="AF2543" s="328"/>
      <c r="AG2543" s="251" t="s">
        <v>283</v>
      </c>
    </row>
    <row r="2544" spans="1:33" ht="15.75" customHeight="1">
      <c r="A2544" s="743">
        <v>43011</v>
      </c>
      <c r="B2544" s="970" t="s">
        <v>100</v>
      </c>
      <c r="C2544" s="744" t="s">
        <v>7916</v>
      </c>
      <c r="D2544" s="744" t="s">
        <v>7917</v>
      </c>
      <c r="E2544" s="744" t="s">
        <v>7918</v>
      </c>
      <c r="F2544" s="251">
        <v>10</v>
      </c>
      <c r="G2544" s="252">
        <v>38</v>
      </c>
      <c r="H2544" s="308">
        <f t="shared" si="172"/>
        <v>380</v>
      </c>
      <c r="I2544" s="264" t="s">
        <v>3315</v>
      </c>
      <c r="J2544" s="367" t="s">
        <v>3578</v>
      </c>
      <c r="K2544" s="256">
        <v>43020</v>
      </c>
      <c r="L2544" s="256"/>
      <c r="M2544" s="256">
        <v>43020</v>
      </c>
      <c r="N2544" s="331" t="s">
        <v>1414</v>
      </c>
      <c r="O2544" s="308" t="s">
        <v>7919</v>
      </c>
      <c r="P2544" s="589"/>
      <c r="Q2544" s="572">
        <v>11143</v>
      </c>
      <c r="R2544" s="1413"/>
      <c r="S2544" s="1413"/>
      <c r="U2544" s="328"/>
      <c r="V2544" s="318" t="s">
        <v>1947</v>
      </c>
      <c r="W2544" s="789">
        <v>43069</v>
      </c>
      <c r="X2544" s="748">
        <v>43014</v>
      </c>
      <c r="Y2544" s="744" t="s">
        <v>7920</v>
      </c>
      <c r="Z2544" s="749">
        <v>11143</v>
      </c>
      <c r="AA2544" s="594">
        <v>43074</v>
      </c>
      <c r="AB2544" s="250" t="s">
        <v>7600</v>
      </c>
      <c r="AC2544" s="251">
        <v>3441702014</v>
      </c>
      <c r="AD2544" s="328"/>
      <c r="AE2544" s="328"/>
      <c r="AF2544" s="328"/>
      <c r="AG2544" s="251" t="s">
        <v>283</v>
      </c>
    </row>
    <row r="2545" spans="1:33" ht="15.75" customHeight="1">
      <c r="A2545" s="755">
        <v>43012</v>
      </c>
      <c r="B2545" s="785" t="s">
        <v>6060</v>
      </c>
      <c r="C2545" s="785" t="s">
        <v>7921</v>
      </c>
      <c r="D2545" s="785" t="s">
        <v>7922</v>
      </c>
      <c r="E2545" s="785" t="s">
        <v>3360</v>
      </c>
      <c r="F2545" s="264">
        <v>1</v>
      </c>
      <c r="G2545" s="265">
        <v>244</v>
      </c>
      <c r="H2545" s="825">
        <f t="shared" si="172"/>
        <v>244</v>
      </c>
      <c r="I2545" s="786" t="s">
        <v>419</v>
      </c>
      <c r="J2545" s="756" t="s">
        <v>3361</v>
      </c>
      <c r="K2545" s="256">
        <v>43032</v>
      </c>
      <c r="L2545" s="256"/>
      <c r="M2545" s="256">
        <v>43027</v>
      </c>
      <c r="N2545" s="331" t="s">
        <v>89</v>
      </c>
      <c r="O2545" s="308" t="s">
        <v>7923</v>
      </c>
      <c r="P2545" s="266">
        <v>239.4</v>
      </c>
      <c r="Q2545" s="328"/>
      <c r="R2545" s="1407"/>
      <c r="S2545" s="1407"/>
      <c r="U2545" s="328"/>
      <c r="V2545" s="338" t="s">
        <v>93</v>
      </c>
      <c r="W2545" s="328"/>
      <c r="X2545" s="748">
        <v>43027</v>
      </c>
      <c r="Y2545" s="744" t="s">
        <v>7924</v>
      </c>
      <c r="Z2545" s="749">
        <v>51108</v>
      </c>
      <c r="AA2545" s="594">
        <v>43024</v>
      </c>
      <c r="AB2545" s="250" t="s">
        <v>7925</v>
      </c>
      <c r="AC2545" s="251">
        <v>4835046462</v>
      </c>
      <c r="AD2545" s="328"/>
      <c r="AE2545" s="328"/>
      <c r="AF2545" s="328"/>
      <c r="AG2545" s="251" t="s">
        <v>283</v>
      </c>
    </row>
    <row r="2546" spans="1:33" ht="36.75" customHeight="1">
      <c r="A2546" s="256">
        <v>43012</v>
      </c>
      <c r="B2546" s="785" t="s">
        <v>6060</v>
      </c>
      <c r="C2546" s="785" t="s">
        <v>7921</v>
      </c>
      <c r="D2546" s="785" t="s">
        <v>7922</v>
      </c>
      <c r="E2546" s="785" t="s">
        <v>7255</v>
      </c>
      <c r="F2546" s="1065">
        <v>15</v>
      </c>
      <c r="G2546" s="253">
        <v>58</v>
      </c>
      <c r="H2546" s="825">
        <f t="shared" si="172"/>
        <v>870</v>
      </c>
      <c r="I2546" s="786" t="s">
        <v>419</v>
      </c>
      <c r="J2546" s="756" t="s">
        <v>3361</v>
      </c>
      <c r="K2546" s="256">
        <v>43032</v>
      </c>
      <c r="L2546" s="256"/>
      <c r="M2546" s="256">
        <v>43027</v>
      </c>
      <c r="N2546" s="331" t="s">
        <v>89</v>
      </c>
      <c r="O2546" s="308" t="s">
        <v>7923</v>
      </c>
      <c r="P2546" s="266">
        <v>819</v>
      </c>
      <c r="Q2546" s="328"/>
      <c r="R2546" s="1407"/>
      <c r="S2546" s="1407"/>
      <c r="U2546" s="328"/>
      <c r="V2546" s="338" t="s">
        <v>93</v>
      </c>
      <c r="W2546" s="328"/>
      <c r="X2546" s="748">
        <v>43027</v>
      </c>
      <c r="Y2546" s="744" t="s">
        <v>7924</v>
      </c>
      <c r="Z2546" s="328" t="s">
        <v>7926</v>
      </c>
      <c r="AA2546" s="594">
        <v>43024</v>
      </c>
      <c r="AB2546" s="250" t="s">
        <v>7925</v>
      </c>
      <c r="AC2546" s="251">
        <v>4835046462</v>
      </c>
      <c r="AD2546" s="328"/>
      <c r="AE2546" s="328"/>
      <c r="AF2546" s="328"/>
      <c r="AG2546" s="251" t="s">
        <v>283</v>
      </c>
    </row>
    <row r="2547" spans="1:33" ht="15.75" customHeight="1">
      <c r="A2547" s="256">
        <v>43012</v>
      </c>
      <c r="B2547" s="785" t="s">
        <v>6060</v>
      </c>
      <c r="C2547" s="785" t="s">
        <v>7921</v>
      </c>
      <c r="D2547" s="785" t="s">
        <v>7922</v>
      </c>
      <c r="E2547" s="785" t="s">
        <v>7251</v>
      </c>
      <c r="F2547" s="264">
        <v>10</v>
      </c>
      <c r="G2547" s="265">
        <v>66</v>
      </c>
      <c r="H2547" s="825">
        <f t="shared" si="172"/>
        <v>660</v>
      </c>
      <c r="I2547" s="254" t="s">
        <v>419</v>
      </c>
      <c r="J2547" s="756" t="s">
        <v>3361</v>
      </c>
      <c r="K2547" s="256">
        <v>43032</v>
      </c>
      <c r="L2547" s="256"/>
      <c r="M2547" s="256">
        <v>43027</v>
      </c>
      <c r="N2547" s="331" t="s">
        <v>89</v>
      </c>
      <c r="O2547" s="308" t="s">
        <v>7923</v>
      </c>
      <c r="P2547" s="266">
        <v>630</v>
      </c>
      <c r="Q2547" s="328"/>
      <c r="R2547" s="1407"/>
      <c r="S2547" s="1407"/>
      <c r="U2547" s="328"/>
      <c r="V2547" s="338" t="s">
        <v>93</v>
      </c>
      <c r="W2547" s="328"/>
      <c r="X2547" s="748">
        <v>43027</v>
      </c>
      <c r="Y2547" s="744" t="s">
        <v>7924</v>
      </c>
      <c r="Z2547" s="328" t="s">
        <v>7926</v>
      </c>
      <c r="AA2547" s="594">
        <v>43024</v>
      </c>
      <c r="AB2547" s="250" t="s">
        <v>7925</v>
      </c>
      <c r="AC2547" s="251">
        <v>4835046462</v>
      </c>
      <c r="AD2547" s="328"/>
      <c r="AE2547" s="328"/>
      <c r="AF2547" s="328"/>
      <c r="AG2547" s="251" t="s">
        <v>283</v>
      </c>
    </row>
    <row r="2548" spans="1:33" ht="36.75" customHeight="1">
      <c r="A2548" s="743">
        <v>43012</v>
      </c>
      <c r="B2548" s="590" t="s">
        <v>7107</v>
      </c>
      <c r="C2548" s="744">
        <v>7000132972</v>
      </c>
      <c r="D2548" s="250" t="s">
        <v>7927</v>
      </c>
      <c r="E2548" s="250" t="s">
        <v>4034</v>
      </c>
      <c r="F2548" s="251">
        <v>1</v>
      </c>
      <c r="G2548" s="252">
        <v>74</v>
      </c>
      <c r="H2548" s="825">
        <f t="shared" si="172"/>
        <v>74</v>
      </c>
      <c r="I2548" s="254" t="s">
        <v>42</v>
      </c>
      <c r="J2548" s="756" t="s">
        <v>3462</v>
      </c>
      <c r="K2548" s="256">
        <v>43024</v>
      </c>
      <c r="L2548" s="256"/>
      <c r="M2548" s="256">
        <v>43020</v>
      </c>
      <c r="N2548" s="331" t="s">
        <v>3432</v>
      </c>
      <c r="O2548" s="308" t="s">
        <v>7928</v>
      </c>
      <c r="P2548" s="589"/>
      <c r="Q2548" s="1066">
        <v>2151</v>
      </c>
      <c r="R2548" s="1451"/>
      <c r="S2548" s="1451"/>
      <c r="U2548" s="328"/>
      <c r="V2548" s="308" t="s">
        <v>2045</v>
      </c>
      <c r="W2548" s="789">
        <v>43100</v>
      </c>
      <c r="X2548" s="748">
        <v>43020</v>
      </c>
      <c r="Y2548" s="744" t="s">
        <v>7929</v>
      </c>
      <c r="Z2548" s="749">
        <v>8581</v>
      </c>
      <c r="AA2548" s="594">
        <v>43105</v>
      </c>
      <c r="AB2548" s="250" t="s">
        <v>7837</v>
      </c>
      <c r="AC2548" s="251">
        <v>2704073260</v>
      </c>
      <c r="AD2548" s="328"/>
      <c r="AE2548" s="328"/>
      <c r="AF2548" s="328"/>
      <c r="AG2548" s="251" t="s">
        <v>283</v>
      </c>
    </row>
    <row r="2549" spans="1:33" ht="15.75" customHeight="1">
      <c r="A2549" s="743">
        <v>43012</v>
      </c>
      <c r="B2549" s="590" t="s">
        <v>7107</v>
      </c>
      <c r="C2549" s="744">
        <v>7000132972</v>
      </c>
      <c r="D2549" s="250" t="s">
        <v>7927</v>
      </c>
      <c r="E2549" s="250" t="s">
        <v>6768</v>
      </c>
      <c r="F2549" s="251">
        <v>2</v>
      </c>
      <c r="G2549" s="252">
        <v>110</v>
      </c>
      <c r="H2549" s="825">
        <f t="shared" si="172"/>
        <v>220</v>
      </c>
      <c r="I2549" s="254" t="s">
        <v>42</v>
      </c>
      <c r="J2549" s="756" t="s">
        <v>3462</v>
      </c>
      <c r="K2549" s="256">
        <v>43024</v>
      </c>
      <c r="L2549" s="256"/>
      <c r="M2549" s="256">
        <v>43020</v>
      </c>
      <c r="N2549" s="331" t="s">
        <v>3432</v>
      </c>
      <c r="O2549" s="308" t="s">
        <v>7928</v>
      </c>
      <c r="P2549" s="591"/>
      <c r="Q2549" s="1066">
        <v>6430</v>
      </c>
      <c r="R2549" s="1451"/>
      <c r="S2549" s="1451"/>
      <c r="U2549" s="328"/>
      <c r="V2549" s="308" t="s">
        <v>2045</v>
      </c>
      <c r="W2549" s="789">
        <v>43100</v>
      </c>
      <c r="X2549" s="748">
        <v>43020</v>
      </c>
      <c r="Y2549" s="744" t="s">
        <v>7929</v>
      </c>
      <c r="Z2549" s="744" t="s">
        <v>7930</v>
      </c>
      <c r="AA2549" s="594">
        <v>43105</v>
      </c>
      <c r="AB2549" s="250" t="s">
        <v>7837</v>
      </c>
      <c r="AC2549" s="251">
        <v>2704073260</v>
      </c>
      <c r="AD2549" s="328"/>
      <c r="AE2549" s="328"/>
      <c r="AF2549" s="328"/>
      <c r="AG2549" s="251" t="s">
        <v>283</v>
      </c>
    </row>
    <row r="2550" spans="1:33" ht="15.75" customHeight="1">
      <c r="A2550" s="743">
        <v>43013</v>
      </c>
      <c r="B2550" s="970" t="s">
        <v>325</v>
      </c>
      <c r="C2550" s="1067" t="s">
        <v>7931</v>
      </c>
      <c r="D2550" s="366" t="s">
        <v>7932</v>
      </c>
      <c r="E2550" s="366" t="s">
        <v>3612</v>
      </c>
      <c r="F2550" s="251">
        <v>10</v>
      </c>
      <c r="G2550" s="252">
        <v>567</v>
      </c>
      <c r="H2550" s="825">
        <f t="shared" si="172"/>
        <v>5670</v>
      </c>
      <c r="I2550" s="254" t="s">
        <v>3315</v>
      </c>
      <c r="J2550" s="367" t="s">
        <v>3613</v>
      </c>
      <c r="K2550" s="256">
        <v>43039</v>
      </c>
      <c r="L2550" s="256"/>
      <c r="M2550" s="256">
        <v>43034</v>
      </c>
      <c r="N2550" s="331" t="s">
        <v>3614</v>
      </c>
      <c r="O2550" s="308" t="s">
        <v>7933</v>
      </c>
      <c r="P2550" s="572">
        <v>5355</v>
      </c>
      <c r="Q2550" s="328"/>
      <c r="R2550" s="1407"/>
      <c r="S2550" s="1407"/>
      <c r="U2550" s="328"/>
      <c r="V2550" s="590" t="s">
        <v>2159</v>
      </c>
      <c r="W2550" s="747">
        <v>43100</v>
      </c>
      <c r="X2550" s="750">
        <v>43034</v>
      </c>
      <c r="Y2550" s="250" t="s">
        <v>7934</v>
      </c>
      <c r="Z2550" s="753">
        <v>393096</v>
      </c>
      <c r="AA2550" s="594">
        <v>43105</v>
      </c>
      <c r="AB2550" s="250" t="s">
        <v>7935</v>
      </c>
      <c r="AC2550" s="251">
        <v>898466913798</v>
      </c>
      <c r="AD2550" s="328"/>
      <c r="AE2550" s="328"/>
      <c r="AF2550" s="328"/>
      <c r="AG2550" s="251" t="s">
        <v>6916</v>
      </c>
    </row>
    <row r="2551" spans="1:33" ht="15.75" customHeight="1">
      <c r="A2551" s="743">
        <v>43013</v>
      </c>
      <c r="B2551" s="970" t="s">
        <v>325</v>
      </c>
      <c r="C2551" s="1067" t="s">
        <v>7931</v>
      </c>
      <c r="D2551" s="874" t="s">
        <v>7936</v>
      </c>
      <c r="E2551" s="874" t="s">
        <v>52</v>
      </c>
      <c r="F2551" s="251">
        <v>10</v>
      </c>
      <c r="G2551" s="252">
        <v>31</v>
      </c>
      <c r="H2551" s="825">
        <f t="shared" si="172"/>
        <v>310</v>
      </c>
      <c r="I2551" s="254" t="s">
        <v>3315</v>
      </c>
      <c r="J2551" s="367" t="s">
        <v>3613</v>
      </c>
      <c r="K2551" s="256">
        <v>43039</v>
      </c>
      <c r="L2551" s="256"/>
      <c r="M2551" s="256">
        <v>43034</v>
      </c>
      <c r="N2551" s="331" t="s">
        <v>3614</v>
      </c>
      <c r="O2551" s="308" t="s">
        <v>7933</v>
      </c>
      <c r="P2551" s="308">
        <v>226.8</v>
      </c>
      <c r="Q2551" s="328"/>
      <c r="R2551" s="1407"/>
      <c r="S2551" s="1407"/>
      <c r="U2551" s="328"/>
      <c r="V2551" s="590" t="s">
        <v>2159</v>
      </c>
      <c r="W2551" s="747">
        <v>43100</v>
      </c>
      <c r="X2551" s="750">
        <v>43034</v>
      </c>
      <c r="Y2551" s="250" t="s">
        <v>7934</v>
      </c>
      <c r="Z2551" s="308" t="s">
        <v>7937</v>
      </c>
      <c r="AA2551" s="594">
        <v>43105</v>
      </c>
      <c r="AB2551" s="250" t="s">
        <v>7935</v>
      </c>
      <c r="AC2551" s="251">
        <v>898466913798</v>
      </c>
      <c r="AD2551" s="328"/>
      <c r="AE2551" s="328"/>
      <c r="AF2551" s="328"/>
      <c r="AG2551" s="251" t="s">
        <v>6916</v>
      </c>
    </row>
    <row r="2552" spans="1:33" ht="15.75" customHeight="1">
      <c r="A2552" s="743">
        <v>43013</v>
      </c>
      <c r="B2552" s="970" t="s">
        <v>325</v>
      </c>
      <c r="C2552" s="1067" t="s">
        <v>7931</v>
      </c>
      <c r="D2552" s="874" t="s">
        <v>7936</v>
      </c>
      <c r="E2552" s="874" t="s">
        <v>58</v>
      </c>
      <c r="F2552" s="251">
        <v>10</v>
      </c>
      <c r="G2552" s="252">
        <v>4</v>
      </c>
      <c r="H2552" s="825">
        <f t="shared" si="172"/>
        <v>40</v>
      </c>
      <c r="I2552" s="254" t="s">
        <v>3315</v>
      </c>
      <c r="J2552" s="367" t="s">
        <v>3613</v>
      </c>
      <c r="K2552" s="256">
        <v>43039</v>
      </c>
      <c r="L2552" s="256"/>
      <c r="M2552" s="256">
        <v>43034</v>
      </c>
      <c r="N2552" s="401" t="s">
        <v>3614</v>
      </c>
      <c r="O2552" s="308" t="s">
        <v>7933</v>
      </c>
      <c r="P2552" s="308">
        <v>21</v>
      </c>
      <c r="Q2552" s="328"/>
      <c r="R2552" s="1407"/>
      <c r="S2552" s="1407"/>
      <c r="U2552" s="328"/>
      <c r="V2552" s="590" t="s">
        <v>2159</v>
      </c>
      <c r="W2552" s="747">
        <v>43100</v>
      </c>
      <c r="X2552" s="750">
        <v>43034</v>
      </c>
      <c r="Y2552" s="250" t="s">
        <v>7934</v>
      </c>
      <c r="Z2552" s="308" t="s">
        <v>7937</v>
      </c>
      <c r="AA2552" s="594">
        <v>43105</v>
      </c>
      <c r="AB2552" s="250" t="s">
        <v>7935</v>
      </c>
      <c r="AC2552" s="251">
        <v>898466913798</v>
      </c>
      <c r="AD2552" s="328"/>
      <c r="AE2552" s="328"/>
      <c r="AF2552" s="328"/>
      <c r="AG2552" s="251" t="s">
        <v>6916</v>
      </c>
    </row>
    <row r="2553" spans="1:33" ht="15.75" customHeight="1">
      <c r="A2553" s="743">
        <v>43013</v>
      </c>
      <c r="B2553" s="970" t="s">
        <v>325</v>
      </c>
      <c r="C2553" s="1067" t="s">
        <v>7931</v>
      </c>
      <c r="D2553" s="874" t="s">
        <v>7936</v>
      </c>
      <c r="E2553" s="874" t="s">
        <v>6184</v>
      </c>
      <c r="F2553" s="251">
        <v>10</v>
      </c>
      <c r="G2553" s="252">
        <v>438</v>
      </c>
      <c r="H2553" s="825">
        <f t="shared" si="172"/>
        <v>4380</v>
      </c>
      <c r="I2553" s="254" t="s">
        <v>3315</v>
      </c>
      <c r="J2553" s="367" t="s">
        <v>3613</v>
      </c>
      <c r="K2553" s="256">
        <v>43039</v>
      </c>
      <c r="L2553" s="256"/>
      <c r="M2553" s="256">
        <v>43034</v>
      </c>
      <c r="N2553" s="331" t="s">
        <v>3614</v>
      </c>
      <c r="O2553" s="308" t="s">
        <v>7933</v>
      </c>
      <c r="P2553" s="308">
        <v>4042.5</v>
      </c>
      <c r="Q2553" s="328"/>
      <c r="R2553" s="1407"/>
      <c r="S2553" s="1407"/>
      <c r="U2553" s="328"/>
      <c r="V2553" s="590" t="s">
        <v>2159</v>
      </c>
      <c r="W2553" s="747">
        <v>43100</v>
      </c>
      <c r="X2553" s="750">
        <v>43034</v>
      </c>
      <c r="Y2553" s="250" t="s">
        <v>7934</v>
      </c>
      <c r="Z2553" s="308" t="s">
        <v>7937</v>
      </c>
      <c r="AA2553" s="594">
        <v>43105</v>
      </c>
      <c r="AB2553" s="250" t="s">
        <v>7935</v>
      </c>
      <c r="AC2553" s="251">
        <v>898466913798</v>
      </c>
      <c r="AD2553" s="328"/>
      <c r="AE2553" s="328"/>
      <c r="AF2553" s="328"/>
      <c r="AG2553" s="251" t="s">
        <v>6916</v>
      </c>
    </row>
    <row r="2554" spans="1:33" ht="15.75" customHeight="1">
      <c r="A2554" s="743">
        <v>43013</v>
      </c>
      <c r="B2554" s="970" t="s">
        <v>325</v>
      </c>
      <c r="C2554" s="1067" t="s">
        <v>7931</v>
      </c>
      <c r="D2554" s="874" t="s">
        <v>7936</v>
      </c>
      <c r="E2554" s="874" t="s">
        <v>52</v>
      </c>
      <c r="F2554" s="251">
        <v>10</v>
      </c>
      <c r="G2554" s="252">
        <v>31</v>
      </c>
      <c r="H2554" s="825">
        <f t="shared" si="172"/>
        <v>310</v>
      </c>
      <c r="I2554" s="254" t="s">
        <v>3315</v>
      </c>
      <c r="J2554" s="367" t="s">
        <v>3613</v>
      </c>
      <c r="K2554" s="256">
        <v>43039</v>
      </c>
      <c r="L2554" s="256"/>
      <c r="M2554" s="256">
        <v>43034</v>
      </c>
      <c r="N2554" s="331" t="s">
        <v>3614</v>
      </c>
      <c r="O2554" s="308" t="s">
        <v>7933</v>
      </c>
      <c r="P2554" s="308">
        <v>226.8</v>
      </c>
      <c r="Q2554" s="328"/>
      <c r="R2554" s="1407"/>
      <c r="S2554" s="1407"/>
      <c r="U2554" s="328"/>
      <c r="V2554" s="590" t="s">
        <v>2159</v>
      </c>
      <c r="W2554" s="747">
        <v>43100</v>
      </c>
      <c r="X2554" s="750">
        <v>43034</v>
      </c>
      <c r="Y2554" s="250" t="s">
        <v>7934</v>
      </c>
      <c r="Z2554" s="308" t="s">
        <v>7937</v>
      </c>
      <c r="AA2554" s="594">
        <v>43105</v>
      </c>
      <c r="AB2554" s="250" t="s">
        <v>7935</v>
      </c>
      <c r="AC2554" s="251">
        <v>898466913798</v>
      </c>
      <c r="AD2554" s="328"/>
      <c r="AE2554" s="328"/>
      <c r="AF2554" s="328"/>
      <c r="AG2554" s="251" t="s">
        <v>6916</v>
      </c>
    </row>
    <row r="2555" spans="1:33" ht="15.75" customHeight="1">
      <c r="A2555" s="743">
        <v>43013</v>
      </c>
      <c r="B2555" s="970" t="s">
        <v>325</v>
      </c>
      <c r="C2555" s="1067" t="s">
        <v>7931</v>
      </c>
      <c r="D2555" s="874" t="s">
        <v>7936</v>
      </c>
      <c r="E2555" s="874" t="s">
        <v>58</v>
      </c>
      <c r="F2555" s="251">
        <v>10</v>
      </c>
      <c r="G2555" s="252">
        <v>4</v>
      </c>
      <c r="H2555" s="574">
        <f t="shared" si="172"/>
        <v>40</v>
      </c>
      <c r="I2555" s="254" t="s">
        <v>3315</v>
      </c>
      <c r="J2555" s="367" t="s">
        <v>3613</v>
      </c>
      <c r="K2555" s="256">
        <v>43039</v>
      </c>
      <c r="L2555" s="256"/>
      <c r="M2555" s="256">
        <v>43034</v>
      </c>
      <c r="N2555" s="331" t="s">
        <v>3614</v>
      </c>
      <c r="O2555" s="308" t="s">
        <v>7933</v>
      </c>
      <c r="P2555" s="308">
        <v>21</v>
      </c>
      <c r="Q2555" s="328"/>
      <c r="R2555" s="1407"/>
      <c r="S2555" s="1407"/>
      <c r="U2555" s="328"/>
      <c r="V2555" s="590" t="s">
        <v>2159</v>
      </c>
      <c r="W2555" s="747">
        <v>43100</v>
      </c>
      <c r="X2555" s="750">
        <v>43034</v>
      </c>
      <c r="Y2555" s="250" t="s">
        <v>7934</v>
      </c>
      <c r="Z2555" s="308" t="s">
        <v>7937</v>
      </c>
      <c r="AA2555" s="594">
        <v>43105</v>
      </c>
      <c r="AB2555" s="250" t="s">
        <v>7935</v>
      </c>
      <c r="AC2555" s="251">
        <v>898466913798</v>
      </c>
      <c r="AD2555" s="328"/>
      <c r="AE2555" s="328"/>
      <c r="AF2555" s="328"/>
      <c r="AG2555" s="251" t="s">
        <v>6916</v>
      </c>
    </row>
    <row r="2556" spans="1:33" ht="15.75" customHeight="1">
      <c r="A2556" s="743">
        <v>43013</v>
      </c>
      <c r="B2556" s="970" t="s">
        <v>325</v>
      </c>
      <c r="C2556" s="1067" t="s">
        <v>7931</v>
      </c>
      <c r="D2556" s="874" t="s">
        <v>7936</v>
      </c>
      <c r="E2556" s="874" t="s">
        <v>4251</v>
      </c>
      <c r="F2556" s="251">
        <v>5</v>
      </c>
      <c r="G2556" s="252">
        <v>607</v>
      </c>
      <c r="H2556" s="574">
        <f t="shared" si="172"/>
        <v>3035</v>
      </c>
      <c r="I2556" s="254" t="s">
        <v>3315</v>
      </c>
      <c r="J2556" s="367" t="s">
        <v>3613</v>
      </c>
      <c r="K2556" s="256">
        <v>43039</v>
      </c>
      <c r="L2556" s="256"/>
      <c r="M2556" s="256">
        <v>43034</v>
      </c>
      <c r="N2556" s="401" t="s">
        <v>3614</v>
      </c>
      <c r="O2556" s="308" t="s">
        <v>7933</v>
      </c>
      <c r="P2556" s="265">
        <v>2966.25</v>
      </c>
      <c r="Q2556" s="328"/>
      <c r="R2556" s="1407"/>
      <c r="S2556" s="1407"/>
      <c r="U2556" s="328"/>
      <c r="V2556" s="590" t="s">
        <v>2159</v>
      </c>
      <c r="W2556" s="747">
        <v>43100</v>
      </c>
      <c r="X2556" s="750">
        <v>43034</v>
      </c>
      <c r="Y2556" s="250" t="s">
        <v>7934</v>
      </c>
      <c r="Z2556" s="308" t="s">
        <v>7937</v>
      </c>
      <c r="AA2556" s="594">
        <v>43105</v>
      </c>
      <c r="AB2556" s="250" t="s">
        <v>7935</v>
      </c>
      <c r="AC2556" s="251">
        <v>898466913798</v>
      </c>
      <c r="AD2556" s="328"/>
      <c r="AE2556" s="328"/>
      <c r="AF2556" s="328"/>
      <c r="AG2556" s="251" t="s">
        <v>6916</v>
      </c>
    </row>
    <row r="2557" spans="1:33" ht="15.75" customHeight="1">
      <c r="A2557" s="743">
        <v>43013</v>
      </c>
      <c r="B2557" s="970" t="s">
        <v>325</v>
      </c>
      <c r="C2557" s="1067" t="s">
        <v>7931</v>
      </c>
      <c r="D2557" s="874" t="s">
        <v>7936</v>
      </c>
      <c r="E2557" s="874" t="s">
        <v>4256</v>
      </c>
      <c r="F2557" s="251">
        <v>5</v>
      </c>
      <c r="G2557" s="252">
        <v>27</v>
      </c>
      <c r="H2557" s="574">
        <f t="shared" si="172"/>
        <v>135</v>
      </c>
      <c r="I2557" s="254" t="s">
        <v>3315</v>
      </c>
      <c r="J2557" s="367" t="s">
        <v>3613</v>
      </c>
      <c r="K2557" s="256">
        <v>43039</v>
      </c>
      <c r="L2557" s="256"/>
      <c r="M2557" s="256">
        <v>43034</v>
      </c>
      <c r="N2557" s="331" t="s">
        <v>3614</v>
      </c>
      <c r="O2557" s="308" t="s">
        <v>7933</v>
      </c>
      <c r="P2557" s="265">
        <v>131.25</v>
      </c>
      <c r="Q2557" s="328"/>
      <c r="R2557" s="1407"/>
      <c r="S2557" s="1407"/>
      <c r="U2557" s="328"/>
      <c r="V2557" s="590" t="s">
        <v>2159</v>
      </c>
      <c r="W2557" s="747">
        <v>43100</v>
      </c>
      <c r="X2557" s="750">
        <v>43034</v>
      </c>
      <c r="Y2557" s="250" t="s">
        <v>7934</v>
      </c>
      <c r="Z2557" s="308" t="s">
        <v>7937</v>
      </c>
      <c r="AA2557" s="594">
        <v>43105</v>
      </c>
      <c r="AB2557" s="250" t="s">
        <v>7935</v>
      </c>
      <c r="AC2557" s="251">
        <v>898466913798</v>
      </c>
      <c r="AD2557" s="328"/>
      <c r="AE2557" s="328"/>
      <c r="AF2557" s="328"/>
      <c r="AG2557" s="251" t="s">
        <v>6916</v>
      </c>
    </row>
    <row r="2558" spans="1:33" ht="15.75" customHeight="1">
      <c r="A2558" s="743">
        <v>43013</v>
      </c>
      <c r="B2558" s="970" t="s">
        <v>100</v>
      </c>
      <c r="C2558" s="874" t="s">
        <v>7938</v>
      </c>
      <c r="D2558" s="874" t="s">
        <v>7939</v>
      </c>
      <c r="E2558" s="874" t="s">
        <v>7940</v>
      </c>
      <c r="F2558" s="251">
        <v>2</v>
      </c>
      <c r="G2558" s="252">
        <v>20</v>
      </c>
      <c r="H2558" s="574">
        <f t="shared" si="172"/>
        <v>40</v>
      </c>
      <c r="I2558" s="254" t="s">
        <v>3315</v>
      </c>
      <c r="J2558" s="367" t="s">
        <v>3578</v>
      </c>
      <c r="K2558" s="256">
        <v>43038</v>
      </c>
      <c r="L2558" s="256"/>
      <c r="M2558" s="256">
        <v>43028</v>
      </c>
      <c r="N2558" s="331" t="s">
        <v>1995</v>
      </c>
      <c r="O2558" s="308" t="s">
        <v>7941</v>
      </c>
      <c r="P2558" s="793">
        <v>31.5</v>
      </c>
      <c r="Q2558" s="328"/>
      <c r="R2558" s="1407"/>
      <c r="S2558" s="1407"/>
      <c r="U2558" s="328"/>
      <c r="V2558" s="338" t="s">
        <v>1997</v>
      </c>
      <c r="W2558" s="747">
        <v>43044</v>
      </c>
      <c r="X2558" s="748">
        <v>43027</v>
      </c>
      <c r="Y2558" s="744" t="s">
        <v>7942</v>
      </c>
      <c r="Z2558" s="744">
        <v>945</v>
      </c>
      <c r="AA2558" s="594">
        <v>43046</v>
      </c>
      <c r="AB2558" s="250" t="s">
        <v>7894</v>
      </c>
      <c r="AC2558" s="251">
        <v>9087918781</v>
      </c>
      <c r="AD2558" s="328"/>
      <c r="AE2558" s="328"/>
      <c r="AF2558" s="328"/>
      <c r="AG2558" s="251" t="s">
        <v>4566</v>
      </c>
    </row>
    <row r="2559" spans="1:33" ht="15.75" customHeight="1">
      <c r="A2559" s="743">
        <v>43013</v>
      </c>
      <c r="B2559" s="970" t="s">
        <v>325</v>
      </c>
      <c r="C2559" s="1067" t="s">
        <v>7931</v>
      </c>
      <c r="D2559" s="874" t="s">
        <v>7936</v>
      </c>
      <c r="E2559" s="874" t="s">
        <v>3620</v>
      </c>
      <c r="F2559" s="251">
        <v>10</v>
      </c>
      <c r="G2559" s="252">
        <v>273</v>
      </c>
      <c r="H2559" s="574">
        <f t="shared" si="172"/>
        <v>2730</v>
      </c>
      <c r="I2559" s="254" t="s">
        <v>3315</v>
      </c>
      <c r="J2559" s="367" t="s">
        <v>3613</v>
      </c>
      <c r="K2559" s="256">
        <v>43039</v>
      </c>
      <c r="L2559" s="256"/>
      <c r="M2559" s="256">
        <v>43026</v>
      </c>
      <c r="N2559" s="267" t="s">
        <v>44</v>
      </c>
      <c r="O2559" s="308" t="s">
        <v>7943</v>
      </c>
      <c r="P2559" s="1052">
        <v>2257.5</v>
      </c>
      <c r="Q2559" s="328"/>
      <c r="R2559" s="1407"/>
      <c r="S2559" s="1407"/>
      <c r="U2559" s="328"/>
      <c r="V2559" s="318" t="s">
        <v>3754</v>
      </c>
      <c r="W2559" s="747">
        <v>43056</v>
      </c>
      <c r="X2559" s="748">
        <v>43026</v>
      </c>
      <c r="Y2559" s="744" t="s">
        <v>7944</v>
      </c>
      <c r="Z2559" s="749">
        <v>85632</v>
      </c>
      <c r="AA2559" s="594">
        <v>43053</v>
      </c>
      <c r="AB2559" s="250" t="s">
        <v>7935</v>
      </c>
      <c r="AC2559" s="251">
        <v>898466913798</v>
      </c>
      <c r="AD2559" s="328"/>
      <c r="AE2559" s="328"/>
      <c r="AF2559" s="328"/>
      <c r="AG2559" s="251" t="s">
        <v>6916</v>
      </c>
    </row>
    <row r="2560" spans="1:33" ht="15.75" customHeight="1">
      <c r="A2560" s="743">
        <v>43013</v>
      </c>
      <c r="B2560" s="970" t="s">
        <v>325</v>
      </c>
      <c r="C2560" s="1067" t="s">
        <v>7931</v>
      </c>
      <c r="D2560" s="874" t="s">
        <v>7936</v>
      </c>
      <c r="E2560" s="874" t="s">
        <v>7118</v>
      </c>
      <c r="F2560" s="251">
        <v>10</v>
      </c>
      <c r="G2560" s="252">
        <v>48</v>
      </c>
      <c r="H2560" s="574">
        <f t="shared" si="172"/>
        <v>480</v>
      </c>
      <c r="I2560" s="254" t="s">
        <v>3315</v>
      </c>
      <c r="J2560" s="367" t="s">
        <v>3613</v>
      </c>
      <c r="K2560" s="256">
        <v>43039</v>
      </c>
      <c r="L2560" s="256"/>
      <c r="M2560" s="256">
        <v>43026</v>
      </c>
      <c r="N2560" s="267" t="s">
        <v>44</v>
      </c>
      <c r="O2560" s="308" t="s">
        <v>7943</v>
      </c>
      <c r="P2560" s="1052">
        <v>577.5</v>
      </c>
      <c r="Q2560" s="328"/>
      <c r="R2560" s="1407"/>
      <c r="S2560" s="1407"/>
      <c r="U2560" s="328"/>
      <c r="V2560" s="318" t="s">
        <v>3754</v>
      </c>
      <c r="W2560" s="747">
        <v>43056</v>
      </c>
      <c r="X2560" s="748">
        <v>43026</v>
      </c>
      <c r="Y2560" s="744" t="s">
        <v>7944</v>
      </c>
      <c r="Z2560" s="328" t="s">
        <v>7945</v>
      </c>
      <c r="AA2560" s="594">
        <v>43053</v>
      </c>
      <c r="AB2560" s="250" t="s">
        <v>7935</v>
      </c>
      <c r="AC2560" s="251">
        <v>898466913798</v>
      </c>
      <c r="AD2560" s="328"/>
      <c r="AE2560" s="328"/>
      <c r="AF2560" s="328"/>
      <c r="AG2560" s="251" t="s">
        <v>6916</v>
      </c>
    </row>
    <row r="2561" spans="1:33" ht="15.75" customHeight="1">
      <c r="A2561" s="743">
        <v>43014</v>
      </c>
      <c r="B2561" s="970" t="s">
        <v>7946</v>
      </c>
      <c r="C2561" s="874"/>
      <c r="D2561" s="874" t="s">
        <v>7947</v>
      </c>
      <c r="E2561" s="874" t="s">
        <v>7948</v>
      </c>
      <c r="F2561" s="251">
        <v>1</v>
      </c>
      <c r="G2561" s="252">
        <v>2325</v>
      </c>
      <c r="H2561" s="574">
        <f t="shared" si="172"/>
        <v>2325</v>
      </c>
      <c r="I2561" s="254" t="s">
        <v>3315</v>
      </c>
      <c r="J2561" s="367" t="s">
        <v>7949</v>
      </c>
      <c r="K2561" s="256">
        <v>43025</v>
      </c>
      <c r="L2561" s="256"/>
      <c r="M2561" s="256">
        <v>43025</v>
      </c>
      <c r="N2561" s="331" t="s">
        <v>89</v>
      </c>
      <c r="O2561" s="308" t="s">
        <v>7950</v>
      </c>
      <c r="P2561" s="266">
        <v>2178.75</v>
      </c>
      <c r="Q2561" s="328"/>
      <c r="R2561" s="1407"/>
      <c r="S2561" s="1407"/>
      <c r="U2561" s="328"/>
      <c r="V2561" s="338" t="s">
        <v>93</v>
      </c>
      <c r="W2561" s="747">
        <v>43069</v>
      </c>
      <c r="X2561" s="750">
        <v>43024</v>
      </c>
      <c r="Y2561" s="250" t="s">
        <v>7951</v>
      </c>
      <c r="Z2561" s="753">
        <v>65951</v>
      </c>
      <c r="AA2561" s="256">
        <v>43052</v>
      </c>
      <c r="AB2561" s="250" t="s">
        <v>7952</v>
      </c>
      <c r="AC2561" s="251" t="s">
        <v>7953</v>
      </c>
      <c r="AD2561" s="328"/>
      <c r="AE2561" s="328"/>
      <c r="AF2561" s="328"/>
      <c r="AG2561" s="251" t="s">
        <v>283</v>
      </c>
    </row>
    <row r="2562" spans="1:33" ht="15.75" customHeight="1">
      <c r="A2562" s="743">
        <v>43018</v>
      </c>
      <c r="B2562" s="970" t="s">
        <v>76</v>
      </c>
      <c r="C2562" s="874">
        <v>834</v>
      </c>
      <c r="D2562" s="366" t="s">
        <v>7954</v>
      </c>
      <c r="E2562" s="366" t="s">
        <v>1730</v>
      </c>
      <c r="F2562" s="305">
        <v>50</v>
      </c>
      <c r="G2562" s="252">
        <v>3</v>
      </c>
      <c r="H2562" s="574">
        <f t="shared" si="172"/>
        <v>150</v>
      </c>
      <c r="I2562" s="254" t="s">
        <v>42</v>
      </c>
      <c r="J2562" s="367" t="s">
        <v>315</v>
      </c>
      <c r="K2562" s="256">
        <v>43039</v>
      </c>
      <c r="L2562" s="256"/>
      <c r="M2562" s="264" t="s">
        <v>7955</v>
      </c>
      <c r="N2562" s="254" t="s">
        <v>3608</v>
      </c>
      <c r="O2562" s="250" t="s">
        <v>7956</v>
      </c>
      <c r="P2562" s="589"/>
      <c r="Q2562" s="328"/>
      <c r="R2562" s="1407"/>
      <c r="S2562" s="1407"/>
      <c r="U2562" s="328"/>
      <c r="V2562" s="386" t="s">
        <v>2093</v>
      </c>
      <c r="W2562" s="328"/>
      <c r="X2562" s="745"/>
      <c r="Y2562" s="745"/>
      <c r="Z2562" s="745"/>
      <c r="AA2562" s="1003"/>
      <c r="AB2562" s="250" t="s">
        <v>7957</v>
      </c>
      <c r="AC2562" s="251">
        <v>156576136</v>
      </c>
      <c r="AD2562" s="328"/>
      <c r="AE2562" s="328"/>
      <c r="AF2562" s="328"/>
      <c r="AG2562" s="251" t="s">
        <v>283</v>
      </c>
    </row>
    <row r="2563" spans="1:33" ht="15.75" customHeight="1">
      <c r="A2563" s="743">
        <v>43018</v>
      </c>
      <c r="B2563" s="592" t="s">
        <v>7958</v>
      </c>
      <c r="C2563" s="874"/>
      <c r="D2563" s="874" t="s">
        <v>7959</v>
      </c>
      <c r="E2563" s="874" t="s">
        <v>7960</v>
      </c>
      <c r="F2563" s="251">
        <v>1</v>
      </c>
      <c r="G2563" s="252">
        <v>622</v>
      </c>
      <c r="H2563" s="574">
        <f t="shared" si="172"/>
        <v>622</v>
      </c>
      <c r="I2563" s="254" t="s">
        <v>170</v>
      </c>
      <c r="J2563" s="367" t="s">
        <v>7961</v>
      </c>
      <c r="K2563" s="256">
        <v>43067</v>
      </c>
      <c r="L2563" s="256"/>
      <c r="M2563" s="256">
        <v>43067</v>
      </c>
      <c r="N2563" s="331" t="s">
        <v>1512</v>
      </c>
      <c r="O2563" s="308" t="s">
        <v>7962</v>
      </c>
      <c r="P2563" s="589"/>
      <c r="Q2563" s="328"/>
      <c r="R2563" s="1407"/>
      <c r="S2563" s="1407"/>
      <c r="U2563" s="328"/>
      <c r="V2563" s="590"/>
      <c r="W2563" s="328"/>
      <c r="X2563" s="745"/>
      <c r="Y2563" s="745"/>
      <c r="Z2563" s="745"/>
      <c r="AA2563" s="1003"/>
      <c r="AB2563" s="744" t="s">
        <v>7963</v>
      </c>
      <c r="AC2563" s="251">
        <v>5510327200</v>
      </c>
      <c r="AD2563" s="328"/>
      <c r="AE2563" s="328"/>
      <c r="AF2563" s="328"/>
      <c r="AG2563" s="251" t="s">
        <v>283</v>
      </c>
    </row>
    <row r="2564" spans="1:33" ht="15.75" customHeight="1">
      <c r="A2564" s="743">
        <v>43018</v>
      </c>
      <c r="B2564" s="592" t="s">
        <v>7958</v>
      </c>
      <c r="C2564" s="874"/>
      <c r="D2564" s="874" t="s">
        <v>7959</v>
      </c>
      <c r="E2564" s="874" t="s">
        <v>7964</v>
      </c>
      <c r="F2564" s="251">
        <v>1</v>
      </c>
      <c r="G2564" s="252">
        <v>220</v>
      </c>
      <c r="H2564" s="574">
        <f t="shared" si="172"/>
        <v>220</v>
      </c>
      <c r="I2564" s="254" t="s">
        <v>170</v>
      </c>
      <c r="J2564" s="367" t="s">
        <v>7961</v>
      </c>
      <c r="K2564" s="256">
        <v>43067</v>
      </c>
      <c r="L2564" s="256"/>
      <c r="M2564" s="256">
        <v>43067</v>
      </c>
      <c r="N2564" s="264" t="s">
        <v>1999</v>
      </c>
      <c r="O2564" s="593"/>
      <c r="P2564" s="589"/>
      <c r="Q2564" s="630">
        <v>3597</v>
      </c>
      <c r="R2564" s="1415"/>
      <c r="S2564" s="1415"/>
      <c r="U2564" s="328"/>
      <c r="V2564" s="308" t="s">
        <v>2000</v>
      </c>
      <c r="W2564" s="747">
        <v>43099</v>
      </c>
      <c r="X2564" s="750">
        <v>43069</v>
      </c>
      <c r="Y2564" s="250" t="s">
        <v>7965</v>
      </c>
      <c r="Z2564" s="753">
        <v>3597</v>
      </c>
      <c r="AA2564" s="594">
        <v>43119</v>
      </c>
      <c r="AB2564" s="744" t="s">
        <v>7963</v>
      </c>
      <c r="AC2564" s="251">
        <v>5510327200</v>
      </c>
      <c r="AD2564" s="328"/>
      <c r="AE2564" s="328"/>
      <c r="AF2564" s="328"/>
      <c r="AG2564" s="251" t="s">
        <v>283</v>
      </c>
    </row>
    <row r="2565" spans="1:33" ht="15.75" customHeight="1">
      <c r="A2565" s="743">
        <v>43018</v>
      </c>
      <c r="B2565" s="386" t="s">
        <v>3709</v>
      </c>
      <c r="C2565" s="744" t="s">
        <v>7966</v>
      </c>
      <c r="D2565" s="744" t="s">
        <v>7967</v>
      </c>
      <c r="E2565" s="744" t="s">
        <v>7968</v>
      </c>
      <c r="F2565" s="251">
        <v>3</v>
      </c>
      <c r="G2565" s="323">
        <v>170</v>
      </c>
      <c r="H2565" s="574">
        <f t="shared" si="172"/>
        <v>510</v>
      </c>
      <c r="I2565" s="254" t="s">
        <v>170</v>
      </c>
      <c r="J2565" s="367" t="s">
        <v>7969</v>
      </c>
      <c r="K2565" s="256">
        <v>43032</v>
      </c>
      <c r="L2565" s="256"/>
      <c r="M2565" s="256">
        <v>43031</v>
      </c>
      <c r="N2565" s="331" t="s">
        <v>89</v>
      </c>
      <c r="O2565" s="308" t="s">
        <v>7970</v>
      </c>
      <c r="P2565" s="266">
        <v>403.2</v>
      </c>
      <c r="Q2565" s="328"/>
      <c r="R2565" s="1407"/>
      <c r="S2565" s="1407"/>
      <c r="U2565" s="328"/>
      <c r="V2565" s="338" t="s">
        <v>93</v>
      </c>
      <c r="W2565" s="747">
        <v>43069</v>
      </c>
      <c r="X2565" s="748">
        <v>43031</v>
      </c>
      <c r="Y2565" s="744" t="s">
        <v>7971</v>
      </c>
      <c r="Z2565" s="749">
        <v>12144</v>
      </c>
      <c r="AA2565" s="256">
        <v>43052</v>
      </c>
      <c r="AB2565" s="250" t="s">
        <v>7972</v>
      </c>
      <c r="AC2565" s="251">
        <v>4834924522</v>
      </c>
      <c r="AD2565" s="328"/>
      <c r="AE2565" s="328"/>
      <c r="AF2565" s="328"/>
      <c r="AG2565" s="251" t="s">
        <v>283</v>
      </c>
    </row>
    <row r="2566" spans="1:33" ht="15.75" customHeight="1">
      <c r="A2566" s="743">
        <v>43018</v>
      </c>
      <c r="B2566" s="590" t="s">
        <v>7107</v>
      </c>
      <c r="C2566" s="744">
        <v>7000133134</v>
      </c>
      <c r="D2566" s="250" t="s">
        <v>7973</v>
      </c>
      <c r="E2566" s="250" t="s">
        <v>7974</v>
      </c>
      <c r="F2566" s="251">
        <v>1</v>
      </c>
      <c r="G2566" s="323">
        <v>89</v>
      </c>
      <c r="H2566" s="574">
        <f t="shared" si="172"/>
        <v>89</v>
      </c>
      <c r="I2566" s="254" t="s">
        <v>42</v>
      </c>
      <c r="J2566" s="756" t="s">
        <v>3462</v>
      </c>
      <c r="K2566" s="256">
        <v>43032</v>
      </c>
      <c r="L2566" s="256"/>
      <c r="M2566" s="256">
        <v>43026</v>
      </c>
      <c r="N2566" s="331" t="s">
        <v>3432</v>
      </c>
      <c r="O2566" s="308" t="s">
        <v>7975</v>
      </c>
      <c r="P2566" s="589"/>
      <c r="Q2566" s="1066">
        <v>2596</v>
      </c>
      <c r="R2566" s="1451"/>
      <c r="S2566" s="1451"/>
      <c r="U2566" s="328"/>
      <c r="V2566" s="308" t="s">
        <v>2045</v>
      </c>
      <c r="W2566" s="789">
        <v>43100</v>
      </c>
      <c r="X2566" s="748">
        <v>43026</v>
      </c>
      <c r="Y2566" s="744" t="s">
        <v>7976</v>
      </c>
      <c r="Z2566" s="749">
        <v>5811</v>
      </c>
      <c r="AA2566" s="594">
        <v>43105</v>
      </c>
      <c r="AB2566" s="250" t="s">
        <v>7899</v>
      </c>
      <c r="AC2566" s="251">
        <v>1572914372</v>
      </c>
      <c r="AD2566" s="328"/>
      <c r="AE2566" s="328"/>
      <c r="AF2566" s="328"/>
      <c r="AG2566" s="251" t="s">
        <v>283</v>
      </c>
    </row>
    <row r="2567" spans="1:33" ht="15.75" customHeight="1">
      <c r="A2567" s="743">
        <v>43018</v>
      </c>
      <c r="B2567" s="590" t="s">
        <v>7107</v>
      </c>
      <c r="C2567" s="744">
        <v>7000133134</v>
      </c>
      <c r="D2567" s="250" t="s">
        <v>7973</v>
      </c>
      <c r="E2567" s="250" t="s">
        <v>6768</v>
      </c>
      <c r="F2567" s="251">
        <v>1</v>
      </c>
      <c r="G2567" s="323">
        <v>110</v>
      </c>
      <c r="H2567" s="574">
        <f t="shared" si="172"/>
        <v>110</v>
      </c>
      <c r="I2567" s="254" t="s">
        <v>42</v>
      </c>
      <c r="J2567" s="756" t="s">
        <v>3462</v>
      </c>
      <c r="K2567" s="256">
        <v>43032</v>
      </c>
      <c r="L2567" s="256"/>
      <c r="M2567" s="256">
        <v>43026</v>
      </c>
      <c r="N2567" s="331" t="s">
        <v>3432</v>
      </c>
      <c r="O2567" s="308" t="s">
        <v>7975</v>
      </c>
      <c r="P2567" s="589"/>
      <c r="Q2567" s="1066">
        <v>3215</v>
      </c>
      <c r="R2567" s="1451"/>
      <c r="S2567" s="1451"/>
      <c r="U2567" s="328"/>
      <c r="V2567" s="308" t="s">
        <v>2045</v>
      </c>
      <c r="W2567" s="789">
        <v>43100</v>
      </c>
      <c r="X2567" s="748">
        <v>43026</v>
      </c>
      <c r="Y2567" s="744" t="s">
        <v>7976</v>
      </c>
      <c r="Z2567" s="744" t="s">
        <v>7977</v>
      </c>
      <c r="AA2567" s="594">
        <v>43105</v>
      </c>
      <c r="AB2567" s="250" t="s">
        <v>7899</v>
      </c>
      <c r="AC2567" s="251">
        <v>1572914372</v>
      </c>
      <c r="AD2567" s="328"/>
      <c r="AE2567" s="328"/>
      <c r="AF2567" s="328"/>
      <c r="AG2567" s="251" t="s">
        <v>283</v>
      </c>
    </row>
    <row r="2568" spans="1:33" ht="15.75" customHeight="1">
      <c r="A2568" s="743">
        <v>43019</v>
      </c>
      <c r="B2568" s="590" t="s">
        <v>5017</v>
      </c>
      <c r="C2568" s="874" t="s">
        <v>7978</v>
      </c>
      <c r="D2568" s="874" t="s">
        <v>7979</v>
      </c>
      <c r="E2568" s="874" t="s">
        <v>7258</v>
      </c>
      <c r="F2568" s="251">
        <v>3</v>
      </c>
      <c r="G2568" s="323">
        <f>11*(1+5%)</f>
        <v>11.55</v>
      </c>
      <c r="H2568" s="574">
        <f t="shared" si="172"/>
        <v>34.650000000000006</v>
      </c>
      <c r="I2568" s="758" t="s">
        <v>3315</v>
      </c>
      <c r="J2568" s="367" t="s">
        <v>1309</v>
      </c>
      <c r="K2568" s="256">
        <v>43055</v>
      </c>
      <c r="L2568" s="256"/>
      <c r="M2568" s="256">
        <v>43054</v>
      </c>
      <c r="N2568" s="401" t="s">
        <v>2411</v>
      </c>
      <c r="O2568" s="308" t="s">
        <v>7980</v>
      </c>
      <c r="P2568" s="591"/>
      <c r="Q2568" s="572">
        <v>1134</v>
      </c>
      <c r="R2568" s="1413"/>
      <c r="S2568" s="1413"/>
      <c r="U2568" s="328"/>
      <c r="V2568" s="318" t="s">
        <v>4328</v>
      </c>
      <c r="W2568" s="747">
        <v>43074</v>
      </c>
      <c r="X2568" s="748">
        <v>43053</v>
      </c>
      <c r="Y2568" s="744" t="s">
        <v>7981</v>
      </c>
      <c r="Z2568" s="749">
        <v>1197</v>
      </c>
      <c r="AA2568" s="594">
        <v>43076</v>
      </c>
      <c r="AB2568" s="744" t="s">
        <v>7982</v>
      </c>
      <c r="AC2568" s="328" t="s">
        <v>7983</v>
      </c>
      <c r="AD2568" s="597" t="s">
        <v>7984</v>
      </c>
      <c r="AE2568" s="260">
        <v>1044</v>
      </c>
      <c r="AF2568" s="328" t="s">
        <v>7985</v>
      </c>
      <c r="AG2568" s="251" t="s">
        <v>376</v>
      </c>
    </row>
    <row r="2569" spans="1:33" ht="15.75" customHeight="1">
      <c r="A2569" s="743">
        <v>43019</v>
      </c>
      <c r="B2569" s="823" t="s">
        <v>3479</v>
      </c>
      <c r="C2569" s="874"/>
      <c r="D2569" s="874" t="s">
        <v>7986</v>
      </c>
      <c r="E2569" s="874" t="s">
        <v>7987</v>
      </c>
      <c r="F2569" s="251">
        <v>12</v>
      </c>
      <c r="G2569" s="323">
        <v>102</v>
      </c>
      <c r="H2569" s="574">
        <f t="shared" si="172"/>
        <v>1224</v>
      </c>
      <c r="I2569" s="254" t="s">
        <v>3315</v>
      </c>
      <c r="J2569" s="367" t="s">
        <v>7988</v>
      </c>
      <c r="K2569" s="256">
        <v>43048</v>
      </c>
      <c r="L2569" s="256"/>
      <c r="M2569" s="256">
        <v>43046</v>
      </c>
      <c r="N2569" s="401" t="s">
        <v>2001</v>
      </c>
      <c r="O2569" s="308" t="s">
        <v>7989</v>
      </c>
      <c r="P2569" s="265">
        <v>1197</v>
      </c>
      <c r="Q2569" s="328"/>
      <c r="R2569" s="1407"/>
      <c r="S2569" s="1407"/>
      <c r="U2569" s="328"/>
      <c r="V2569" s="318" t="s">
        <v>2003</v>
      </c>
      <c r="W2569" s="747">
        <v>43105</v>
      </c>
      <c r="X2569" s="748">
        <v>43045</v>
      </c>
      <c r="Y2569" s="744" t="s">
        <v>7888</v>
      </c>
      <c r="Z2569" s="749">
        <v>129103</v>
      </c>
      <c r="AA2569" s="594">
        <v>43115</v>
      </c>
      <c r="AB2569" s="328" t="s">
        <v>7990</v>
      </c>
      <c r="AC2569" s="328" t="s">
        <v>7991</v>
      </c>
      <c r="AD2569" s="328"/>
      <c r="AE2569" s="328"/>
      <c r="AF2569" s="328"/>
      <c r="AG2569" s="251" t="s">
        <v>283</v>
      </c>
    </row>
    <row r="2570" spans="1:33" ht="15.75" customHeight="1">
      <c r="A2570" s="743">
        <v>43019</v>
      </c>
      <c r="B2570" s="823" t="s">
        <v>3479</v>
      </c>
      <c r="C2570" s="874"/>
      <c r="D2570" s="874" t="s">
        <v>7992</v>
      </c>
      <c r="E2570" s="874" t="s">
        <v>3481</v>
      </c>
      <c r="F2570" s="251">
        <v>12</v>
      </c>
      <c r="G2570" s="323">
        <v>281</v>
      </c>
      <c r="H2570" s="574">
        <f t="shared" si="172"/>
        <v>3372</v>
      </c>
      <c r="I2570" s="758" t="s">
        <v>3315</v>
      </c>
      <c r="J2570" s="367" t="s">
        <v>7988</v>
      </c>
      <c r="K2570" s="256">
        <v>43048</v>
      </c>
      <c r="L2570" s="256"/>
      <c r="M2570" s="256">
        <v>43032</v>
      </c>
      <c r="N2570" s="401" t="s">
        <v>2001</v>
      </c>
      <c r="O2570" s="308" t="s">
        <v>7989</v>
      </c>
      <c r="P2570" s="266">
        <v>3313.8</v>
      </c>
      <c r="Q2570" s="328"/>
      <c r="R2570" s="1407"/>
      <c r="S2570" s="1407"/>
      <c r="U2570" s="328"/>
      <c r="V2570" s="318" t="s">
        <v>2003</v>
      </c>
      <c r="W2570" s="747">
        <v>43074</v>
      </c>
      <c r="X2570" s="748">
        <v>43031</v>
      </c>
      <c r="Y2570" s="744" t="s">
        <v>7993</v>
      </c>
      <c r="Z2570" s="749">
        <v>180661</v>
      </c>
      <c r="AA2570" s="594">
        <v>43074</v>
      </c>
      <c r="AB2570" s="328" t="s">
        <v>7990</v>
      </c>
      <c r="AC2570" s="328" t="s">
        <v>7991</v>
      </c>
      <c r="AD2570" s="328"/>
      <c r="AE2570" s="328"/>
      <c r="AF2570" s="328"/>
      <c r="AG2570" s="251" t="s">
        <v>283</v>
      </c>
    </row>
    <row r="2571" spans="1:33" ht="15.75" customHeight="1">
      <c r="A2571" s="743">
        <v>43019</v>
      </c>
      <c r="B2571" s="823" t="s">
        <v>3479</v>
      </c>
      <c r="C2571" s="874"/>
      <c r="D2571" s="874" t="s">
        <v>7994</v>
      </c>
      <c r="E2571" s="874" t="s">
        <v>3487</v>
      </c>
      <c r="F2571" s="251">
        <v>13</v>
      </c>
      <c r="G2571" s="323">
        <v>102</v>
      </c>
      <c r="H2571" s="574">
        <f t="shared" si="172"/>
        <v>1326</v>
      </c>
      <c r="I2571" s="758" t="s">
        <v>3315</v>
      </c>
      <c r="J2571" s="367" t="s">
        <v>7988</v>
      </c>
      <c r="K2571" s="256">
        <v>43048</v>
      </c>
      <c r="L2571" s="256"/>
      <c r="M2571" s="256">
        <v>43032</v>
      </c>
      <c r="N2571" s="401" t="s">
        <v>2001</v>
      </c>
      <c r="O2571" s="308" t="s">
        <v>7989</v>
      </c>
      <c r="P2571" s="266">
        <v>1296.75</v>
      </c>
      <c r="Q2571" s="328"/>
      <c r="R2571" s="1407"/>
      <c r="S2571" s="1407"/>
      <c r="U2571" s="328"/>
      <c r="V2571" s="318" t="s">
        <v>2003</v>
      </c>
      <c r="W2571" s="747">
        <v>43074</v>
      </c>
      <c r="X2571" s="748">
        <v>43031</v>
      </c>
      <c r="Y2571" s="744" t="s">
        <v>7993</v>
      </c>
      <c r="Z2571" s="744" t="s">
        <v>7995</v>
      </c>
      <c r="AA2571" s="594">
        <v>43074</v>
      </c>
      <c r="AB2571" s="328" t="s">
        <v>7990</v>
      </c>
      <c r="AC2571" s="328" t="s">
        <v>7991</v>
      </c>
      <c r="AD2571" s="328"/>
      <c r="AE2571" s="328"/>
      <c r="AF2571" s="328"/>
      <c r="AG2571" s="251" t="s">
        <v>283</v>
      </c>
    </row>
    <row r="2572" spans="1:33" ht="15.75" customHeight="1">
      <c r="A2572" s="743">
        <v>43019</v>
      </c>
      <c r="B2572" s="823" t="s">
        <v>3479</v>
      </c>
      <c r="C2572" s="874"/>
      <c r="D2572" s="874" t="s">
        <v>7994</v>
      </c>
      <c r="E2572" s="874" t="s">
        <v>7196</v>
      </c>
      <c r="F2572" s="251">
        <v>7</v>
      </c>
      <c r="G2572" s="323">
        <v>226</v>
      </c>
      <c r="H2572" s="574">
        <f t="shared" si="172"/>
        <v>1582</v>
      </c>
      <c r="I2572" s="758" t="s">
        <v>3315</v>
      </c>
      <c r="J2572" s="367" t="s">
        <v>7988</v>
      </c>
      <c r="K2572" s="256">
        <v>43048</v>
      </c>
      <c r="L2572" s="256"/>
      <c r="M2572" s="256">
        <v>43032</v>
      </c>
      <c r="N2572" s="401" t="s">
        <v>2001</v>
      </c>
      <c r="O2572" s="308" t="s">
        <v>7989</v>
      </c>
      <c r="P2572" s="266">
        <v>1359.75</v>
      </c>
      <c r="Q2572" s="328"/>
      <c r="R2572" s="1407"/>
      <c r="S2572" s="1407"/>
      <c r="U2572" s="328"/>
      <c r="V2572" s="318" t="s">
        <v>2003</v>
      </c>
      <c r="W2572" s="747">
        <v>43074</v>
      </c>
      <c r="X2572" s="748">
        <v>43031</v>
      </c>
      <c r="Y2572" s="744" t="s">
        <v>7993</v>
      </c>
      <c r="Z2572" s="744" t="s">
        <v>7995</v>
      </c>
      <c r="AA2572" s="594">
        <v>43074</v>
      </c>
      <c r="AB2572" s="328" t="s">
        <v>7990</v>
      </c>
      <c r="AC2572" s="328" t="s">
        <v>7991</v>
      </c>
      <c r="AD2572" s="328"/>
      <c r="AE2572" s="328"/>
      <c r="AF2572" s="328"/>
      <c r="AG2572" s="251" t="s">
        <v>283</v>
      </c>
    </row>
    <row r="2573" spans="1:33" ht="15.75" customHeight="1">
      <c r="A2573" s="743">
        <v>43019</v>
      </c>
      <c r="B2573" s="590" t="s">
        <v>5017</v>
      </c>
      <c r="C2573" s="874" t="s">
        <v>7978</v>
      </c>
      <c r="D2573" s="874" t="s">
        <v>7996</v>
      </c>
      <c r="E2573" s="874" t="s">
        <v>7258</v>
      </c>
      <c r="F2573" s="251">
        <v>7</v>
      </c>
      <c r="G2573" s="323">
        <f>11*(1+5%)</f>
        <v>11.55</v>
      </c>
      <c r="H2573" s="574">
        <f t="shared" si="172"/>
        <v>80.850000000000009</v>
      </c>
      <c r="I2573" s="1029" t="s">
        <v>3315</v>
      </c>
      <c r="J2573" s="367" t="s">
        <v>1309</v>
      </c>
      <c r="K2573" s="256">
        <v>43027</v>
      </c>
      <c r="L2573" s="1473"/>
      <c r="M2573" s="1068">
        <v>43026</v>
      </c>
      <c r="N2573" s="401" t="s">
        <v>2411</v>
      </c>
      <c r="O2573" s="308" t="s">
        <v>7997</v>
      </c>
      <c r="P2573" s="589"/>
      <c r="Q2573" s="572">
        <v>2646</v>
      </c>
      <c r="R2573" s="1413"/>
      <c r="S2573" s="1413"/>
      <c r="U2573" s="328"/>
      <c r="V2573" s="318" t="s">
        <v>4328</v>
      </c>
      <c r="W2573" s="747">
        <v>43044</v>
      </c>
      <c r="X2573" s="748">
        <v>43021</v>
      </c>
      <c r="Y2573" s="744" t="s">
        <v>7998</v>
      </c>
      <c r="Z2573" s="749">
        <v>2646</v>
      </c>
      <c r="AA2573" s="594">
        <v>43045</v>
      </c>
      <c r="AB2573" s="744" t="s">
        <v>7999</v>
      </c>
      <c r="AC2573" s="328" t="s">
        <v>8000</v>
      </c>
      <c r="AD2573" s="597" t="s">
        <v>8001</v>
      </c>
      <c r="AE2573" s="1064">
        <v>2434</v>
      </c>
      <c r="AF2573" s="328" t="s">
        <v>8002</v>
      </c>
      <c r="AG2573" s="251" t="s">
        <v>376</v>
      </c>
    </row>
    <row r="2574" spans="1:33" ht="15.75" customHeight="1">
      <c r="A2574" s="743">
        <v>43020</v>
      </c>
      <c r="B2574" s="970" t="s">
        <v>4590</v>
      </c>
      <c r="C2574" s="874"/>
      <c r="D2574" s="874" t="s">
        <v>8003</v>
      </c>
      <c r="E2574" s="874" t="s">
        <v>8004</v>
      </c>
      <c r="F2574" s="251">
        <v>1</v>
      </c>
      <c r="G2574" s="323">
        <v>515</v>
      </c>
      <c r="H2574" s="574">
        <f t="shared" si="172"/>
        <v>515</v>
      </c>
      <c r="I2574" s="758" t="s">
        <v>3315</v>
      </c>
      <c r="J2574" s="367" t="s">
        <v>8005</v>
      </c>
      <c r="K2574" s="256">
        <v>43052</v>
      </c>
      <c r="L2574" s="256"/>
      <c r="M2574" s="256">
        <v>43052</v>
      </c>
      <c r="N2574" s="367" t="s">
        <v>6101</v>
      </c>
      <c r="O2574" s="250" t="s">
        <v>8006</v>
      </c>
      <c r="P2574" s="574">
        <v>502.95</v>
      </c>
      <c r="Q2574" s="251"/>
      <c r="R2574" s="1432"/>
      <c r="S2574" s="1432"/>
      <c r="U2574" s="328"/>
      <c r="V2574" s="386" t="s">
        <v>2010</v>
      </c>
      <c r="W2574" s="789">
        <v>43063</v>
      </c>
      <c r="X2574" s="748">
        <v>43049</v>
      </c>
      <c r="Y2574" s="744" t="s">
        <v>8007</v>
      </c>
      <c r="Z2574" s="749">
        <v>17967</v>
      </c>
      <c r="AA2574" s="594">
        <v>43066</v>
      </c>
      <c r="AB2574" s="250" t="s">
        <v>8008</v>
      </c>
      <c r="AC2574" s="251">
        <v>165050896</v>
      </c>
      <c r="AD2574" s="328"/>
      <c r="AE2574" s="328"/>
      <c r="AF2574" s="328"/>
      <c r="AG2574" s="251" t="s">
        <v>283</v>
      </c>
    </row>
    <row r="2575" spans="1:33" ht="15.75" customHeight="1">
      <c r="A2575" s="743">
        <v>43020</v>
      </c>
      <c r="B2575" s="970" t="s">
        <v>4590</v>
      </c>
      <c r="C2575" s="874"/>
      <c r="D2575" s="874" t="s">
        <v>8003</v>
      </c>
      <c r="E2575" s="874" t="s">
        <v>8009</v>
      </c>
      <c r="F2575" s="251">
        <v>1</v>
      </c>
      <c r="G2575" s="323">
        <v>30</v>
      </c>
      <c r="H2575" s="574">
        <f t="shared" si="172"/>
        <v>30</v>
      </c>
      <c r="I2575" s="758" t="s">
        <v>3315</v>
      </c>
      <c r="J2575" s="367" t="s">
        <v>8005</v>
      </c>
      <c r="K2575" s="256">
        <v>43052</v>
      </c>
      <c r="L2575" s="256"/>
      <c r="M2575" s="256">
        <v>43052</v>
      </c>
      <c r="N2575" s="367" t="s">
        <v>6101</v>
      </c>
      <c r="O2575" s="250" t="s">
        <v>8006</v>
      </c>
      <c r="P2575" s="793">
        <v>25.2</v>
      </c>
      <c r="Q2575" s="328"/>
      <c r="R2575" s="1407"/>
      <c r="S2575" s="1407"/>
      <c r="U2575" s="328"/>
      <c r="V2575" s="386" t="s">
        <v>2010</v>
      </c>
      <c r="W2575" s="789">
        <v>43063</v>
      </c>
      <c r="X2575" s="748">
        <v>43049</v>
      </c>
      <c r="Y2575" s="744" t="s">
        <v>8007</v>
      </c>
      <c r="Z2575" s="744" t="s">
        <v>8010</v>
      </c>
      <c r="AA2575" s="594">
        <v>43066</v>
      </c>
      <c r="AB2575" s="250" t="s">
        <v>8008</v>
      </c>
      <c r="AC2575" s="251">
        <v>165050896</v>
      </c>
      <c r="AD2575" s="328"/>
      <c r="AE2575" s="328"/>
      <c r="AF2575" s="328"/>
      <c r="AG2575" s="251" t="s">
        <v>283</v>
      </c>
    </row>
    <row r="2576" spans="1:33" ht="15.75" customHeight="1">
      <c r="A2576" s="743">
        <v>43020</v>
      </c>
      <c r="B2576" s="970" t="s">
        <v>4590</v>
      </c>
      <c r="C2576" s="874"/>
      <c r="D2576" s="874" t="s">
        <v>8003</v>
      </c>
      <c r="E2576" s="874" t="s">
        <v>1093</v>
      </c>
      <c r="F2576" s="251">
        <v>1</v>
      </c>
      <c r="G2576" s="323">
        <v>19</v>
      </c>
      <c r="H2576" s="574">
        <f t="shared" si="172"/>
        <v>19</v>
      </c>
      <c r="I2576" s="758" t="s">
        <v>3315</v>
      </c>
      <c r="J2576" s="367" t="s">
        <v>8005</v>
      </c>
      <c r="K2576" s="256">
        <v>43052</v>
      </c>
      <c r="L2576" s="256"/>
      <c r="M2576" s="256">
        <v>43052</v>
      </c>
      <c r="N2576" s="367" t="s">
        <v>6101</v>
      </c>
      <c r="O2576" s="250" t="s">
        <v>8006</v>
      </c>
      <c r="P2576" s="793">
        <v>18.899999999999999</v>
      </c>
      <c r="Q2576" s="328"/>
      <c r="R2576" s="1407"/>
      <c r="S2576" s="1407"/>
      <c r="U2576" s="328"/>
      <c r="V2576" s="386" t="s">
        <v>2010</v>
      </c>
      <c r="W2576" s="789">
        <v>43063</v>
      </c>
      <c r="X2576" s="748">
        <v>43049</v>
      </c>
      <c r="Y2576" s="744" t="s">
        <v>8007</v>
      </c>
      <c r="Z2576" s="744" t="s">
        <v>8010</v>
      </c>
      <c r="AA2576" s="594">
        <v>43066</v>
      </c>
      <c r="AB2576" s="250" t="s">
        <v>8008</v>
      </c>
      <c r="AC2576" s="251">
        <v>165050896</v>
      </c>
      <c r="AD2576" s="328"/>
      <c r="AE2576" s="328"/>
      <c r="AF2576" s="328"/>
      <c r="AG2576" s="251" t="s">
        <v>283</v>
      </c>
    </row>
    <row r="2577" spans="1:33" ht="15.75" customHeight="1">
      <c r="A2577" s="743">
        <v>43020</v>
      </c>
      <c r="B2577" s="970" t="s">
        <v>4590</v>
      </c>
      <c r="C2577" s="874"/>
      <c r="D2577" s="874" t="s">
        <v>8003</v>
      </c>
      <c r="E2577" s="874" t="s">
        <v>8011</v>
      </c>
      <c r="F2577" s="251">
        <v>1</v>
      </c>
      <c r="G2577" s="252">
        <v>55</v>
      </c>
      <c r="H2577" s="574">
        <f t="shared" si="172"/>
        <v>55</v>
      </c>
      <c r="I2577" s="758" t="s">
        <v>3315</v>
      </c>
      <c r="J2577" s="367" t="s">
        <v>8005</v>
      </c>
      <c r="K2577" s="256">
        <v>43052</v>
      </c>
      <c r="L2577" s="256"/>
      <c r="M2577" s="256">
        <v>43052</v>
      </c>
      <c r="N2577" s="367" t="s">
        <v>6101</v>
      </c>
      <c r="O2577" s="250" t="s">
        <v>8006</v>
      </c>
      <c r="P2577" s="793">
        <v>48.3</v>
      </c>
      <c r="Q2577" s="328"/>
      <c r="R2577" s="1407"/>
      <c r="S2577" s="1407"/>
      <c r="U2577" s="328"/>
      <c r="V2577" s="386" t="s">
        <v>2010</v>
      </c>
      <c r="W2577" s="789">
        <v>43063</v>
      </c>
      <c r="X2577" s="748">
        <v>43049</v>
      </c>
      <c r="Y2577" s="744" t="s">
        <v>8007</v>
      </c>
      <c r="Z2577" s="744" t="s">
        <v>8010</v>
      </c>
      <c r="AA2577" s="594">
        <v>43066</v>
      </c>
      <c r="AB2577" s="250" t="s">
        <v>8008</v>
      </c>
      <c r="AC2577" s="251">
        <v>165050896</v>
      </c>
      <c r="AD2577" s="328"/>
      <c r="AE2577" s="328"/>
      <c r="AF2577" s="328"/>
      <c r="AG2577" s="251" t="s">
        <v>283</v>
      </c>
    </row>
    <row r="2578" spans="1:33" ht="15.75" customHeight="1">
      <c r="A2578" s="743">
        <v>43020</v>
      </c>
      <c r="B2578" s="970" t="s">
        <v>4590</v>
      </c>
      <c r="C2578" s="874"/>
      <c r="D2578" s="874" t="s">
        <v>8003</v>
      </c>
      <c r="E2578" s="874" t="s">
        <v>8012</v>
      </c>
      <c r="F2578" s="251">
        <v>1</v>
      </c>
      <c r="G2578" s="252">
        <v>159</v>
      </c>
      <c r="H2578" s="574">
        <f t="shared" si="172"/>
        <v>159</v>
      </c>
      <c r="I2578" s="758" t="s">
        <v>3315</v>
      </c>
      <c r="J2578" s="367" t="s">
        <v>8005</v>
      </c>
      <c r="K2578" s="256">
        <v>43052</v>
      </c>
      <c r="L2578" s="256"/>
      <c r="M2578" s="623"/>
      <c r="N2578" s="331" t="s">
        <v>920</v>
      </c>
      <c r="O2578" s="593"/>
      <c r="P2578" s="589"/>
      <c r="Q2578" s="572">
        <v>3949</v>
      </c>
      <c r="R2578" s="1413"/>
      <c r="S2578" s="1413"/>
      <c r="U2578" s="328"/>
      <c r="V2578" s="590" t="s">
        <v>8013</v>
      </c>
      <c r="W2578" s="747">
        <v>43074</v>
      </c>
      <c r="X2578" s="748">
        <v>43063</v>
      </c>
      <c r="Y2578" s="744" t="s">
        <v>8014</v>
      </c>
      <c r="Z2578" s="749">
        <v>3949</v>
      </c>
      <c r="AA2578" s="256">
        <v>43074</v>
      </c>
      <c r="AB2578" s="250" t="s">
        <v>8008</v>
      </c>
      <c r="AC2578" s="251">
        <v>165050896</v>
      </c>
      <c r="AD2578" s="328"/>
      <c r="AE2578" s="328"/>
      <c r="AF2578" s="328"/>
      <c r="AG2578" s="251" t="s">
        <v>283</v>
      </c>
    </row>
    <row r="2579" spans="1:33" ht="15.75" customHeight="1">
      <c r="A2579" s="743">
        <v>43021</v>
      </c>
      <c r="B2579" s="970" t="s">
        <v>325</v>
      </c>
      <c r="C2579" s="757" t="s">
        <v>8015</v>
      </c>
      <c r="D2579" s="744" t="s">
        <v>8016</v>
      </c>
      <c r="E2579" s="744" t="s">
        <v>3612</v>
      </c>
      <c r="F2579" s="251">
        <v>10</v>
      </c>
      <c r="G2579" s="252">
        <v>567</v>
      </c>
      <c r="H2579" s="574">
        <f t="shared" si="172"/>
        <v>5670</v>
      </c>
      <c r="I2579" s="254" t="s">
        <v>3315</v>
      </c>
      <c r="J2579" s="367" t="s">
        <v>3613</v>
      </c>
      <c r="K2579" s="256">
        <v>43053</v>
      </c>
      <c r="L2579" s="256"/>
      <c r="M2579" s="256">
        <v>43048</v>
      </c>
      <c r="N2579" s="401" t="s">
        <v>3614</v>
      </c>
      <c r="O2579" s="308" t="s">
        <v>8017</v>
      </c>
      <c r="P2579" s="266">
        <v>5355</v>
      </c>
      <c r="Q2579" s="328"/>
      <c r="R2579" s="1407"/>
      <c r="S2579" s="1407"/>
      <c r="U2579" s="328"/>
      <c r="V2579" s="590" t="s">
        <v>2159</v>
      </c>
      <c r="W2579" s="747">
        <v>43100</v>
      </c>
      <c r="X2579" s="748">
        <v>43048</v>
      </c>
      <c r="Y2579" s="744" t="s">
        <v>8018</v>
      </c>
      <c r="Z2579" s="749">
        <v>169120</v>
      </c>
      <c r="AA2579" s="594">
        <v>43105</v>
      </c>
      <c r="AB2579" s="250" t="s">
        <v>8019</v>
      </c>
      <c r="AC2579" s="251">
        <v>770728934011</v>
      </c>
      <c r="AD2579" s="328"/>
      <c r="AE2579" s="328"/>
      <c r="AF2579" s="328"/>
      <c r="AG2579" s="251" t="s">
        <v>283</v>
      </c>
    </row>
    <row r="2580" spans="1:33" ht="15.75" customHeight="1">
      <c r="A2580" s="743">
        <v>43021</v>
      </c>
      <c r="B2580" s="970" t="s">
        <v>325</v>
      </c>
      <c r="C2580" s="757" t="s">
        <v>8015</v>
      </c>
      <c r="D2580" s="744" t="s">
        <v>8016</v>
      </c>
      <c r="E2580" s="744" t="s">
        <v>52</v>
      </c>
      <c r="F2580" s="251">
        <v>10</v>
      </c>
      <c r="G2580" s="252">
        <v>31</v>
      </c>
      <c r="H2580" s="574">
        <f t="shared" si="172"/>
        <v>310</v>
      </c>
      <c r="I2580" s="254" t="s">
        <v>3315</v>
      </c>
      <c r="J2580" s="367" t="s">
        <v>3613</v>
      </c>
      <c r="K2580" s="256">
        <v>43053</v>
      </c>
      <c r="L2580" s="256"/>
      <c r="M2580" s="256">
        <v>43048</v>
      </c>
      <c r="N2580" s="401" t="s">
        <v>3614</v>
      </c>
      <c r="O2580" s="308" t="s">
        <v>8017</v>
      </c>
      <c r="P2580" s="266">
        <v>226.8</v>
      </c>
      <c r="Q2580" s="328"/>
      <c r="R2580" s="1407"/>
      <c r="S2580" s="1407"/>
      <c r="U2580" s="328"/>
      <c r="V2580" s="590" t="s">
        <v>2159</v>
      </c>
      <c r="W2580" s="747">
        <v>43100</v>
      </c>
      <c r="X2580" s="748">
        <v>43048</v>
      </c>
      <c r="Y2580" s="744" t="s">
        <v>8018</v>
      </c>
      <c r="Z2580" s="744" t="s">
        <v>5505</v>
      </c>
      <c r="AA2580" s="594">
        <v>43105</v>
      </c>
      <c r="AB2580" s="250" t="s">
        <v>8019</v>
      </c>
      <c r="AC2580" s="251">
        <v>770728934011</v>
      </c>
      <c r="AD2580" s="328"/>
      <c r="AE2580" s="328"/>
      <c r="AF2580" s="328"/>
      <c r="AG2580" s="251" t="s">
        <v>283</v>
      </c>
    </row>
    <row r="2581" spans="1:33" ht="15.75" customHeight="1">
      <c r="A2581" s="743">
        <v>43021</v>
      </c>
      <c r="B2581" s="970" t="s">
        <v>325</v>
      </c>
      <c r="C2581" s="757" t="s">
        <v>8015</v>
      </c>
      <c r="D2581" s="744" t="s">
        <v>8016</v>
      </c>
      <c r="E2581" s="744" t="s">
        <v>58</v>
      </c>
      <c r="F2581" s="251">
        <v>10</v>
      </c>
      <c r="G2581" s="252">
        <v>4</v>
      </c>
      <c r="H2581" s="574">
        <f t="shared" si="172"/>
        <v>40</v>
      </c>
      <c r="I2581" s="254" t="s">
        <v>3315</v>
      </c>
      <c r="J2581" s="367" t="s">
        <v>3613</v>
      </c>
      <c r="K2581" s="256">
        <v>43053</v>
      </c>
      <c r="L2581" s="256"/>
      <c r="M2581" s="256">
        <v>43048</v>
      </c>
      <c r="N2581" s="401" t="s">
        <v>3614</v>
      </c>
      <c r="O2581" s="308" t="s">
        <v>8017</v>
      </c>
      <c r="P2581" s="266">
        <v>21</v>
      </c>
      <c r="Q2581" s="328"/>
      <c r="R2581" s="1407"/>
      <c r="S2581" s="1407"/>
      <c r="U2581" s="328"/>
      <c r="V2581" s="590" t="s">
        <v>2159</v>
      </c>
      <c r="W2581" s="747">
        <v>43100</v>
      </c>
      <c r="X2581" s="748">
        <v>43048</v>
      </c>
      <c r="Y2581" s="744" t="s">
        <v>8018</v>
      </c>
      <c r="Z2581" s="744" t="s">
        <v>5505</v>
      </c>
      <c r="AA2581" s="594">
        <v>43105</v>
      </c>
      <c r="AB2581" s="250" t="s">
        <v>8019</v>
      </c>
      <c r="AC2581" s="251">
        <v>770728934011</v>
      </c>
      <c r="AD2581" s="328"/>
      <c r="AE2581" s="328"/>
      <c r="AF2581" s="328"/>
      <c r="AG2581" s="251" t="s">
        <v>283</v>
      </c>
    </row>
    <row r="2582" spans="1:33" ht="15.75" customHeight="1">
      <c r="A2582" s="743">
        <v>43021</v>
      </c>
      <c r="B2582" s="970" t="s">
        <v>325</v>
      </c>
      <c r="C2582" s="757" t="s">
        <v>8015</v>
      </c>
      <c r="D2582" s="744" t="s">
        <v>8016</v>
      </c>
      <c r="E2582" s="744" t="s">
        <v>3620</v>
      </c>
      <c r="F2582" s="251">
        <v>10</v>
      </c>
      <c r="G2582" s="252">
        <v>273</v>
      </c>
      <c r="H2582" s="574">
        <f t="shared" si="172"/>
        <v>2730</v>
      </c>
      <c r="I2582" s="254" t="s">
        <v>3315</v>
      </c>
      <c r="J2582" s="367" t="s">
        <v>3613</v>
      </c>
      <c r="K2582" s="256">
        <v>43053</v>
      </c>
      <c r="L2582" s="256"/>
      <c r="M2582" s="256">
        <v>43042</v>
      </c>
      <c r="N2582" s="367" t="s">
        <v>44</v>
      </c>
      <c r="O2582" s="308" t="s">
        <v>8020</v>
      </c>
      <c r="P2582" s="266">
        <v>2257.5</v>
      </c>
      <c r="Q2582" s="328"/>
      <c r="R2582" s="1407"/>
      <c r="S2582" s="1407"/>
      <c r="U2582" s="328"/>
      <c r="V2582" s="318" t="s">
        <v>6159</v>
      </c>
      <c r="W2582" s="747">
        <v>43074</v>
      </c>
      <c r="X2582" s="750">
        <v>43042</v>
      </c>
      <c r="Y2582" s="250" t="s">
        <v>8021</v>
      </c>
      <c r="Z2582" s="753">
        <v>68145</v>
      </c>
      <c r="AA2582" s="594">
        <v>43074</v>
      </c>
      <c r="AB2582" s="250" t="s">
        <v>8019</v>
      </c>
      <c r="AC2582" s="251">
        <v>770728934011</v>
      </c>
      <c r="AD2582" s="328"/>
      <c r="AE2582" s="328"/>
      <c r="AF2582" s="328"/>
      <c r="AG2582" s="251" t="s">
        <v>283</v>
      </c>
    </row>
    <row r="2583" spans="1:33" ht="15.75" customHeight="1">
      <c r="A2583" s="743">
        <v>43021</v>
      </c>
      <c r="B2583" s="970" t="s">
        <v>100</v>
      </c>
      <c r="C2583" s="744"/>
      <c r="D2583" s="744" t="s">
        <v>8022</v>
      </c>
      <c r="E2583" s="744" t="s">
        <v>8023</v>
      </c>
      <c r="F2583" s="251">
        <v>1</v>
      </c>
      <c r="G2583" s="252">
        <v>543</v>
      </c>
      <c r="H2583" s="574">
        <f t="shared" si="172"/>
        <v>543</v>
      </c>
      <c r="I2583" s="254" t="s">
        <v>3315</v>
      </c>
      <c r="J2583" s="367" t="s">
        <v>3578</v>
      </c>
      <c r="K2583" s="256">
        <v>43038</v>
      </c>
      <c r="L2583" s="256"/>
      <c r="M2583" s="256">
        <v>43035</v>
      </c>
      <c r="N2583" s="401" t="s">
        <v>1995</v>
      </c>
      <c r="O2583" s="308" t="s">
        <v>8024</v>
      </c>
      <c r="P2583" s="266">
        <v>513.45000000000005</v>
      </c>
      <c r="Q2583" s="328"/>
      <c r="R2583" s="1407"/>
      <c r="S2583" s="1407"/>
      <c r="U2583" s="328"/>
      <c r="V2583" s="338" t="s">
        <v>1997</v>
      </c>
      <c r="W2583" s="747">
        <v>43074</v>
      </c>
      <c r="X2583" s="748">
        <v>43034</v>
      </c>
      <c r="Y2583" s="744" t="s">
        <v>8025</v>
      </c>
      <c r="Z2583" s="749">
        <v>20740</v>
      </c>
      <c r="AA2583" s="594">
        <v>43076</v>
      </c>
      <c r="AB2583" s="250" t="s">
        <v>8026</v>
      </c>
      <c r="AC2583" s="251">
        <v>9088212081</v>
      </c>
      <c r="AD2583" s="328"/>
      <c r="AE2583" s="328"/>
      <c r="AF2583" s="328"/>
      <c r="AG2583" s="251" t="s">
        <v>283</v>
      </c>
    </row>
    <row r="2584" spans="1:33" ht="15.75" customHeight="1">
      <c r="A2584" s="743">
        <v>43021</v>
      </c>
      <c r="B2584" s="970" t="s">
        <v>100</v>
      </c>
      <c r="C2584" s="744"/>
      <c r="D2584" s="744" t="s">
        <v>8022</v>
      </c>
      <c r="E2584" s="744" t="s">
        <v>8027</v>
      </c>
      <c r="F2584" s="251">
        <v>1</v>
      </c>
      <c r="G2584" s="252">
        <v>185</v>
      </c>
      <c r="H2584" s="825">
        <f t="shared" si="172"/>
        <v>185</v>
      </c>
      <c r="I2584" s="254" t="s">
        <v>3315</v>
      </c>
      <c r="J2584" s="367" t="s">
        <v>3578</v>
      </c>
      <c r="K2584" s="256">
        <v>43038</v>
      </c>
      <c r="L2584" s="256"/>
      <c r="M2584" s="256">
        <v>43035</v>
      </c>
      <c r="N2584" s="331" t="s">
        <v>1995</v>
      </c>
      <c r="O2584" s="308" t="s">
        <v>8024</v>
      </c>
      <c r="P2584" s="266">
        <v>174.3</v>
      </c>
      <c r="Q2584" s="328"/>
      <c r="R2584" s="1407"/>
      <c r="S2584" s="1407"/>
      <c r="U2584" s="328"/>
      <c r="V2584" s="338" t="s">
        <v>1997</v>
      </c>
      <c r="W2584" s="747">
        <v>43074</v>
      </c>
      <c r="X2584" s="748">
        <v>43034</v>
      </c>
      <c r="Y2584" s="744" t="s">
        <v>8025</v>
      </c>
      <c r="Z2584" s="744" t="s">
        <v>8028</v>
      </c>
      <c r="AA2584" s="594">
        <v>43076</v>
      </c>
      <c r="AB2584" s="250" t="s">
        <v>8026</v>
      </c>
      <c r="AC2584" s="251">
        <v>9088212081</v>
      </c>
      <c r="AD2584" s="328"/>
      <c r="AE2584" s="328"/>
      <c r="AF2584" s="328"/>
      <c r="AG2584" s="251" t="s">
        <v>283</v>
      </c>
    </row>
    <row r="2585" spans="1:33" ht="15.75" customHeight="1">
      <c r="A2585" s="743">
        <v>43021</v>
      </c>
      <c r="B2585" s="970" t="s">
        <v>325</v>
      </c>
      <c r="C2585" s="757" t="s">
        <v>8015</v>
      </c>
      <c r="D2585" s="744" t="s">
        <v>8016</v>
      </c>
      <c r="E2585" s="744" t="s">
        <v>4261</v>
      </c>
      <c r="F2585" s="251">
        <v>1</v>
      </c>
      <c r="G2585" s="252">
        <v>133</v>
      </c>
      <c r="H2585" s="825">
        <f t="shared" si="172"/>
        <v>133</v>
      </c>
      <c r="I2585" s="254" t="s">
        <v>3315</v>
      </c>
      <c r="J2585" s="367" t="s">
        <v>3613</v>
      </c>
      <c r="K2585" s="256">
        <v>43039</v>
      </c>
      <c r="L2585" s="256"/>
      <c r="M2585" s="256">
        <v>43032</v>
      </c>
      <c r="N2585" s="251" t="s">
        <v>6349</v>
      </c>
      <c r="O2585" s="308" t="s">
        <v>8029</v>
      </c>
      <c r="P2585" s="589"/>
      <c r="Q2585" s="572">
        <v>3654</v>
      </c>
      <c r="R2585" s="1413"/>
      <c r="S2585" s="1413"/>
      <c r="U2585" s="328"/>
      <c r="V2585" s="592" t="s">
        <v>6351</v>
      </c>
      <c r="W2585" s="328"/>
      <c r="X2585" s="748">
        <v>43032</v>
      </c>
      <c r="Y2585" s="744" t="s">
        <v>8030</v>
      </c>
      <c r="Z2585" s="749">
        <v>3654</v>
      </c>
      <c r="AA2585" s="594">
        <v>43031</v>
      </c>
      <c r="AB2585" s="250" t="s">
        <v>7935</v>
      </c>
      <c r="AC2585" s="251">
        <v>898466913798</v>
      </c>
      <c r="AD2585" s="328"/>
      <c r="AE2585" s="328"/>
      <c r="AF2585" s="328"/>
      <c r="AG2585" s="251" t="s">
        <v>6916</v>
      </c>
    </row>
    <row r="2586" spans="1:33" ht="15.75" customHeight="1">
      <c r="A2586" s="743">
        <v>43025</v>
      </c>
      <c r="B2586" s="590" t="s">
        <v>76</v>
      </c>
      <c r="C2586" s="744">
        <v>850</v>
      </c>
      <c r="D2586" s="250" t="s">
        <v>8031</v>
      </c>
      <c r="E2586" s="250" t="s">
        <v>3381</v>
      </c>
      <c r="F2586" s="305">
        <v>25</v>
      </c>
      <c r="G2586" s="252">
        <v>285</v>
      </c>
      <c r="H2586" s="825">
        <f t="shared" si="172"/>
        <v>7125</v>
      </c>
      <c r="I2586" s="254" t="s">
        <v>42</v>
      </c>
      <c r="J2586" s="367" t="s">
        <v>315</v>
      </c>
      <c r="K2586" s="256">
        <v>43039</v>
      </c>
      <c r="L2586" s="256"/>
      <c r="M2586" s="256">
        <v>43038</v>
      </c>
      <c r="N2586" s="331" t="s">
        <v>1967</v>
      </c>
      <c r="O2586" s="308" t="s">
        <v>8032</v>
      </c>
      <c r="P2586" s="266">
        <v>6562.5</v>
      </c>
      <c r="Q2586" s="328">
        <v>198647</v>
      </c>
      <c r="R2586" s="1407"/>
      <c r="S2586" s="1407"/>
      <c r="U2586" s="328"/>
      <c r="V2586" s="318" t="s">
        <v>1969</v>
      </c>
      <c r="W2586" s="747">
        <v>43105</v>
      </c>
      <c r="X2586" s="748">
        <v>43035</v>
      </c>
      <c r="Y2586" s="744" t="s">
        <v>8033</v>
      </c>
      <c r="Z2586" s="749">
        <v>198647</v>
      </c>
      <c r="AA2586" s="594">
        <v>43105</v>
      </c>
      <c r="AB2586" s="250" t="s">
        <v>7957</v>
      </c>
      <c r="AC2586" s="251">
        <v>156576136</v>
      </c>
      <c r="AD2586" s="328"/>
      <c r="AE2586" s="328"/>
      <c r="AF2586" s="328"/>
      <c r="AG2586" s="251" t="s">
        <v>283</v>
      </c>
    </row>
    <row r="2587" spans="1:33" ht="15.75" customHeight="1">
      <c r="A2587" s="743">
        <v>43025</v>
      </c>
      <c r="B2587" s="590" t="s">
        <v>76</v>
      </c>
      <c r="C2587" s="744">
        <v>850</v>
      </c>
      <c r="D2587" s="250" t="s">
        <v>8031</v>
      </c>
      <c r="E2587" s="250" t="s">
        <v>6975</v>
      </c>
      <c r="F2587" s="264">
        <v>1</v>
      </c>
      <c r="G2587" s="265">
        <v>120</v>
      </c>
      <c r="H2587" s="825">
        <f t="shared" si="172"/>
        <v>120</v>
      </c>
      <c r="I2587" s="254" t="s">
        <v>42</v>
      </c>
      <c r="J2587" s="367" t="s">
        <v>315</v>
      </c>
      <c r="K2587" s="256">
        <v>43039</v>
      </c>
      <c r="L2587" s="256"/>
      <c r="M2587" s="256">
        <v>43032</v>
      </c>
      <c r="N2587" s="331" t="s">
        <v>3330</v>
      </c>
      <c r="O2587" s="308" t="s">
        <v>8034</v>
      </c>
      <c r="P2587" s="589"/>
      <c r="Q2587" s="572">
        <v>3424</v>
      </c>
      <c r="R2587" s="1413"/>
      <c r="S2587" s="1413"/>
      <c r="U2587" s="328"/>
      <c r="V2587" s="592" t="s">
        <v>6447</v>
      </c>
      <c r="W2587" s="747">
        <v>43039</v>
      </c>
      <c r="X2587" s="748">
        <v>43032</v>
      </c>
      <c r="Y2587" s="744" t="s">
        <v>8035</v>
      </c>
      <c r="Z2587" s="749">
        <v>3424</v>
      </c>
      <c r="AA2587" s="594">
        <v>43038</v>
      </c>
      <c r="AB2587" s="250" t="s">
        <v>7957</v>
      </c>
      <c r="AC2587" s="251">
        <v>156576136</v>
      </c>
      <c r="AD2587" s="328"/>
      <c r="AE2587" s="328"/>
      <c r="AF2587" s="328"/>
      <c r="AG2587" s="251" t="s">
        <v>283</v>
      </c>
    </row>
    <row r="2588" spans="1:33" ht="15.75" customHeight="1">
      <c r="A2588" s="743">
        <v>43025</v>
      </c>
      <c r="B2588" s="590" t="s">
        <v>7107</v>
      </c>
      <c r="C2588" s="744">
        <v>7000133353</v>
      </c>
      <c r="D2588" s="250" t="s">
        <v>8036</v>
      </c>
      <c r="E2588" s="250" t="s">
        <v>4493</v>
      </c>
      <c r="F2588" s="251">
        <v>3</v>
      </c>
      <c r="G2588" s="252">
        <v>110</v>
      </c>
      <c r="H2588" s="825">
        <f t="shared" si="172"/>
        <v>330</v>
      </c>
      <c r="I2588" s="254" t="s">
        <v>42</v>
      </c>
      <c r="J2588" s="401" t="s">
        <v>3462</v>
      </c>
      <c r="K2588" s="256">
        <v>43032</v>
      </c>
      <c r="L2588" s="256"/>
      <c r="M2588" s="256">
        <v>43028</v>
      </c>
      <c r="N2588" s="401" t="s">
        <v>3432</v>
      </c>
      <c r="O2588" s="250" t="s">
        <v>8037</v>
      </c>
      <c r="P2588" s="589"/>
      <c r="Q2588" s="1066">
        <v>9645</v>
      </c>
      <c r="R2588" s="1451"/>
      <c r="S2588" s="1451"/>
      <c r="U2588" s="328"/>
      <c r="V2588" s="308" t="s">
        <v>2045</v>
      </c>
      <c r="W2588" s="789">
        <v>43100</v>
      </c>
      <c r="X2588" s="748">
        <v>43027</v>
      </c>
      <c r="Y2588" s="744" t="s">
        <v>8038</v>
      </c>
      <c r="Z2588" s="749">
        <v>12860</v>
      </c>
      <c r="AA2588" s="594">
        <v>43105</v>
      </c>
      <c r="AB2588" s="250" t="s">
        <v>7899</v>
      </c>
      <c r="AC2588" s="251">
        <v>1572914372</v>
      </c>
      <c r="AD2588" s="328"/>
      <c r="AE2588" s="328"/>
      <c r="AF2588" s="328"/>
      <c r="AG2588" s="251" t="s">
        <v>283</v>
      </c>
    </row>
    <row r="2589" spans="1:33" ht="15.75" customHeight="1">
      <c r="A2589" s="743">
        <v>43025</v>
      </c>
      <c r="B2589" s="590" t="s">
        <v>7107</v>
      </c>
      <c r="C2589" s="744">
        <v>7000133353</v>
      </c>
      <c r="D2589" s="250" t="s">
        <v>8036</v>
      </c>
      <c r="E2589" s="250" t="s">
        <v>6768</v>
      </c>
      <c r="F2589" s="251">
        <v>1</v>
      </c>
      <c r="G2589" s="252">
        <v>110</v>
      </c>
      <c r="H2589" s="825">
        <f t="shared" si="172"/>
        <v>110</v>
      </c>
      <c r="I2589" s="254" t="s">
        <v>42</v>
      </c>
      <c r="J2589" s="401" t="s">
        <v>3462</v>
      </c>
      <c r="K2589" s="256">
        <v>43032</v>
      </c>
      <c r="L2589" s="256"/>
      <c r="M2589" s="256">
        <v>43028</v>
      </c>
      <c r="N2589" s="331" t="s">
        <v>3432</v>
      </c>
      <c r="O2589" s="250" t="s">
        <v>8037</v>
      </c>
      <c r="P2589" s="589"/>
      <c r="Q2589" s="1066">
        <v>3215</v>
      </c>
      <c r="R2589" s="1451"/>
      <c r="S2589" s="1451"/>
      <c r="U2589" s="328"/>
      <c r="V2589" s="318" t="s">
        <v>2045</v>
      </c>
      <c r="W2589" s="789">
        <v>43100</v>
      </c>
      <c r="X2589" s="748">
        <v>43027</v>
      </c>
      <c r="Y2589" s="744" t="s">
        <v>8038</v>
      </c>
      <c r="Z2589" s="749" t="s">
        <v>8039</v>
      </c>
      <c r="AA2589" s="594">
        <v>43105</v>
      </c>
      <c r="AB2589" s="250" t="s">
        <v>7899</v>
      </c>
      <c r="AC2589" s="251">
        <v>1572914372</v>
      </c>
      <c r="AD2589" s="328"/>
      <c r="AE2589" s="328"/>
      <c r="AF2589" s="328"/>
      <c r="AG2589" s="251" t="s">
        <v>283</v>
      </c>
    </row>
    <row r="2590" spans="1:33" ht="15.75" customHeight="1">
      <c r="A2590" s="743">
        <v>43026</v>
      </c>
      <c r="B2590" s="970" t="s">
        <v>3347</v>
      </c>
      <c r="C2590" s="744" t="s">
        <v>8040</v>
      </c>
      <c r="D2590" s="250" t="s">
        <v>8041</v>
      </c>
      <c r="E2590" s="250" t="s">
        <v>3349</v>
      </c>
      <c r="F2590" s="251">
        <v>100</v>
      </c>
      <c r="G2590" s="252">
        <v>174.5</v>
      </c>
      <c r="H2590" s="825">
        <f t="shared" si="172"/>
        <v>17450</v>
      </c>
      <c r="I2590" s="254" t="s">
        <v>170</v>
      </c>
      <c r="J2590" s="367" t="s">
        <v>3350</v>
      </c>
      <c r="K2590" s="256">
        <v>43048</v>
      </c>
      <c r="L2590" s="256"/>
      <c r="M2590" s="256">
        <v>43045</v>
      </c>
      <c r="N2590" s="331" t="s">
        <v>3351</v>
      </c>
      <c r="O2590" s="308" t="s">
        <v>8042</v>
      </c>
      <c r="P2590" s="572">
        <v>16590</v>
      </c>
      <c r="Q2590" s="328"/>
      <c r="R2590" s="1407"/>
      <c r="S2590" s="1407"/>
      <c r="U2590" s="328"/>
      <c r="V2590" s="318" t="s">
        <v>3353</v>
      </c>
      <c r="W2590" s="328"/>
      <c r="X2590" s="750">
        <v>43045</v>
      </c>
      <c r="Y2590" s="250" t="s">
        <v>8043</v>
      </c>
      <c r="Z2590" s="753">
        <v>501184</v>
      </c>
      <c r="AA2590" s="594">
        <v>43038</v>
      </c>
      <c r="AB2590" s="250" t="s">
        <v>8044</v>
      </c>
      <c r="AC2590" s="264" t="s">
        <v>8045</v>
      </c>
      <c r="AD2590" s="328"/>
      <c r="AE2590" s="328"/>
      <c r="AF2590" s="328"/>
      <c r="AG2590" s="251" t="s">
        <v>283</v>
      </c>
    </row>
    <row r="2591" spans="1:33" ht="15.75" customHeight="1">
      <c r="A2591" s="743">
        <v>43027</v>
      </c>
      <c r="B2591" s="970" t="s">
        <v>665</v>
      </c>
      <c r="C2591" s="744"/>
      <c r="D2591" s="250" t="s">
        <v>8046</v>
      </c>
      <c r="E2591" s="250" t="s">
        <v>8047</v>
      </c>
      <c r="F2591" s="251">
        <v>1</v>
      </c>
      <c r="G2591" s="252">
        <v>665</v>
      </c>
      <c r="H2591" s="825">
        <f t="shared" si="172"/>
        <v>665</v>
      </c>
      <c r="I2591" s="254" t="s">
        <v>170</v>
      </c>
      <c r="J2591" s="361" t="s">
        <v>668</v>
      </c>
      <c r="K2591" s="256">
        <v>43069</v>
      </c>
      <c r="L2591" s="256"/>
      <c r="M2591" s="256">
        <v>43067</v>
      </c>
      <c r="N2591" s="331" t="s">
        <v>8048</v>
      </c>
      <c r="O2591" s="308" t="s">
        <v>8049</v>
      </c>
      <c r="P2591" s="589"/>
      <c r="Q2591" s="328"/>
      <c r="R2591" s="1407"/>
      <c r="S2591" s="1407"/>
      <c r="U2591" s="328"/>
      <c r="V2591" s="420"/>
      <c r="W2591" s="328"/>
      <c r="X2591" s="745"/>
      <c r="Y2591" s="745"/>
      <c r="Z2591" s="745"/>
      <c r="AA2591" s="1003"/>
      <c r="AB2591" s="250" t="s">
        <v>8050</v>
      </c>
      <c r="AC2591" s="251">
        <v>1436107422</v>
      </c>
      <c r="AD2591" s="328"/>
      <c r="AE2591" s="328"/>
      <c r="AF2591" s="328"/>
      <c r="AG2591" s="251" t="s">
        <v>283</v>
      </c>
    </row>
    <row r="2592" spans="1:33" ht="15.75" customHeight="1">
      <c r="A2592" s="743">
        <v>43027</v>
      </c>
      <c r="B2592" s="590" t="s">
        <v>7107</v>
      </c>
      <c r="C2592" s="744">
        <v>7000136449</v>
      </c>
      <c r="D2592" s="250" t="s">
        <v>8051</v>
      </c>
      <c r="E2592" s="250" t="s">
        <v>8052</v>
      </c>
      <c r="F2592" s="251">
        <v>1</v>
      </c>
      <c r="G2592" s="252">
        <v>715</v>
      </c>
      <c r="H2592" s="825">
        <f t="shared" si="172"/>
        <v>715</v>
      </c>
      <c r="I2592" s="254" t="s">
        <v>42</v>
      </c>
      <c r="J2592" s="756" t="s">
        <v>3462</v>
      </c>
      <c r="K2592" s="256">
        <v>43028</v>
      </c>
      <c r="L2592" s="256"/>
      <c r="M2592" s="328"/>
      <c r="N2592" s="331"/>
      <c r="O2592" s="250" t="s">
        <v>8053</v>
      </c>
      <c r="P2592" s="589"/>
      <c r="Q2592" s="328"/>
      <c r="R2592" s="1407"/>
      <c r="S2592" s="1407"/>
      <c r="U2592" s="328"/>
      <c r="V2592" s="420"/>
      <c r="W2592" s="328"/>
      <c r="X2592" s="745" t="s">
        <v>7452</v>
      </c>
      <c r="Y2592" s="745" t="s">
        <v>7452</v>
      </c>
      <c r="Z2592" s="745" t="s">
        <v>7452</v>
      </c>
      <c r="AA2592" s="1003"/>
      <c r="AB2592" s="745" t="s">
        <v>8054</v>
      </c>
      <c r="AC2592" s="251">
        <v>8447414474</v>
      </c>
      <c r="AD2592" s="328"/>
      <c r="AE2592" s="328"/>
      <c r="AF2592" s="328"/>
      <c r="AG2592" s="251" t="s">
        <v>283</v>
      </c>
    </row>
    <row r="2593" spans="1:33" ht="15.75" customHeight="1">
      <c r="A2593" s="743">
        <v>43027</v>
      </c>
      <c r="B2593" s="590" t="s">
        <v>7107</v>
      </c>
      <c r="C2593" s="744">
        <v>7000136449</v>
      </c>
      <c r="D2593" s="250" t="s">
        <v>8051</v>
      </c>
      <c r="E2593" s="250" t="s">
        <v>8055</v>
      </c>
      <c r="F2593" s="251">
        <v>1</v>
      </c>
      <c r="G2593" s="252">
        <v>40</v>
      </c>
      <c r="H2593" s="825">
        <f t="shared" si="172"/>
        <v>40</v>
      </c>
      <c r="I2593" s="254" t="s">
        <v>42</v>
      </c>
      <c r="J2593" s="401" t="s">
        <v>3462</v>
      </c>
      <c r="K2593" s="256">
        <v>43028</v>
      </c>
      <c r="L2593" s="256"/>
      <c r="M2593" s="328"/>
      <c r="N2593" s="401"/>
      <c r="O2593" s="250" t="s">
        <v>8056</v>
      </c>
      <c r="P2593" s="589"/>
      <c r="Q2593" s="328"/>
      <c r="R2593" s="1407"/>
      <c r="S2593" s="1407"/>
      <c r="U2593" s="328"/>
      <c r="V2593" s="420"/>
      <c r="W2593" s="328"/>
      <c r="X2593" s="745" t="s">
        <v>7452</v>
      </c>
      <c r="Y2593" s="745" t="s">
        <v>7452</v>
      </c>
      <c r="Z2593" s="745" t="s">
        <v>7452</v>
      </c>
      <c r="AA2593" s="1003"/>
      <c r="AB2593" s="745" t="s">
        <v>8054</v>
      </c>
      <c r="AC2593" s="251">
        <v>8447414474</v>
      </c>
      <c r="AD2593" s="328"/>
      <c r="AE2593" s="328"/>
      <c r="AF2593" s="328"/>
      <c r="AG2593" s="251" t="s">
        <v>283</v>
      </c>
    </row>
    <row r="2594" spans="1:33" ht="15.75" customHeight="1">
      <c r="A2594" s="743">
        <v>43027</v>
      </c>
      <c r="B2594" s="590" t="s">
        <v>7107</v>
      </c>
      <c r="C2594" s="744">
        <v>7000136449</v>
      </c>
      <c r="D2594" s="250" t="s">
        <v>8051</v>
      </c>
      <c r="E2594" s="250" t="s">
        <v>8057</v>
      </c>
      <c r="F2594" s="585">
        <v>1</v>
      </c>
      <c r="G2594" s="323">
        <v>44</v>
      </c>
      <c r="H2594" s="825">
        <f t="shared" si="172"/>
        <v>44</v>
      </c>
      <c r="I2594" s="254" t="s">
        <v>42</v>
      </c>
      <c r="J2594" s="401" t="s">
        <v>3462</v>
      </c>
      <c r="K2594" s="256">
        <v>43028</v>
      </c>
      <c r="L2594" s="256"/>
      <c r="M2594" s="328"/>
      <c r="N2594" s="331"/>
      <c r="O2594" s="250" t="s">
        <v>8056</v>
      </c>
      <c r="P2594" s="589"/>
      <c r="Q2594" s="328"/>
      <c r="R2594" s="1407"/>
      <c r="S2594" s="1407"/>
      <c r="U2594" s="328"/>
      <c r="V2594" s="420"/>
      <c r="W2594" s="328"/>
      <c r="X2594" s="745" t="s">
        <v>7452</v>
      </c>
      <c r="Y2594" s="745" t="s">
        <v>7452</v>
      </c>
      <c r="Z2594" s="745" t="s">
        <v>7452</v>
      </c>
      <c r="AA2594" s="1003"/>
      <c r="AB2594" s="745" t="s">
        <v>8054</v>
      </c>
      <c r="AC2594" s="251">
        <v>8447414474</v>
      </c>
      <c r="AD2594" s="328"/>
      <c r="AE2594" s="328"/>
      <c r="AF2594" s="328"/>
      <c r="AG2594" s="251" t="s">
        <v>283</v>
      </c>
    </row>
    <row r="2595" spans="1:33" ht="15.75" customHeight="1">
      <c r="A2595" s="743">
        <v>43028</v>
      </c>
      <c r="B2595" s="823" t="s">
        <v>6582</v>
      </c>
      <c r="C2595" s="744" t="s">
        <v>8058</v>
      </c>
      <c r="D2595" s="744" t="s">
        <v>8059</v>
      </c>
      <c r="E2595" s="744" t="s">
        <v>8060</v>
      </c>
      <c r="F2595" s="251">
        <v>1</v>
      </c>
      <c r="G2595" s="252">
        <v>722</v>
      </c>
      <c r="H2595" s="825">
        <f t="shared" si="172"/>
        <v>722</v>
      </c>
      <c r="I2595" s="254" t="s">
        <v>419</v>
      </c>
      <c r="J2595" s="267" t="s">
        <v>8061</v>
      </c>
      <c r="K2595" s="256">
        <v>43073</v>
      </c>
      <c r="L2595" s="256"/>
      <c r="M2595" s="256">
        <v>43042</v>
      </c>
      <c r="N2595" s="331" t="s">
        <v>89</v>
      </c>
      <c r="O2595" s="308" t="s">
        <v>8062</v>
      </c>
      <c r="P2595" s="266">
        <v>659.4</v>
      </c>
      <c r="Q2595" s="328"/>
      <c r="R2595" s="1407"/>
      <c r="S2595" s="1407"/>
      <c r="U2595" s="328"/>
      <c r="V2595" s="571" t="s">
        <v>93</v>
      </c>
      <c r="W2595" s="747">
        <v>43100</v>
      </c>
      <c r="X2595" s="750">
        <v>43042</v>
      </c>
      <c r="Y2595" s="250" t="s">
        <v>8063</v>
      </c>
      <c r="Z2595" s="753">
        <v>19920</v>
      </c>
      <c r="AA2595" s="594">
        <v>43110</v>
      </c>
      <c r="AB2595" s="250" t="s">
        <v>8064</v>
      </c>
      <c r="AC2595" s="251">
        <v>4469634105</v>
      </c>
      <c r="AD2595" s="328"/>
      <c r="AE2595" s="328"/>
      <c r="AF2595" s="328"/>
      <c r="AG2595" s="251" t="s">
        <v>283</v>
      </c>
    </row>
    <row r="2596" spans="1:33" ht="15.75" customHeight="1">
      <c r="A2596" s="743">
        <v>43028</v>
      </c>
      <c r="B2596" s="823" t="s">
        <v>6582</v>
      </c>
      <c r="C2596" s="744" t="s">
        <v>8058</v>
      </c>
      <c r="D2596" s="744" t="s">
        <v>8059</v>
      </c>
      <c r="E2596" s="744" t="s">
        <v>8065</v>
      </c>
      <c r="F2596" s="251">
        <v>2</v>
      </c>
      <c r="G2596" s="252">
        <v>321</v>
      </c>
      <c r="H2596" s="825">
        <f t="shared" si="172"/>
        <v>642</v>
      </c>
      <c r="I2596" s="254" t="s">
        <v>419</v>
      </c>
      <c r="J2596" s="361" t="s">
        <v>8061</v>
      </c>
      <c r="K2596" s="256">
        <v>43073</v>
      </c>
      <c r="L2596" s="256"/>
      <c r="M2596" s="256">
        <v>43041</v>
      </c>
      <c r="N2596" s="331" t="s">
        <v>8066</v>
      </c>
      <c r="O2596" s="250" t="s">
        <v>8067</v>
      </c>
      <c r="P2596" s="337"/>
      <c r="Q2596" s="795"/>
      <c r="R2596" s="1435"/>
      <c r="S2596" s="1435"/>
      <c r="U2596" s="328"/>
      <c r="V2596" s="386"/>
      <c r="W2596" s="328"/>
      <c r="X2596" s="882"/>
      <c r="Y2596" s="882"/>
      <c r="Z2596" s="882"/>
      <c r="AA2596" s="1003"/>
      <c r="AB2596" s="250" t="s">
        <v>8064</v>
      </c>
      <c r="AC2596" s="251">
        <v>4469634105</v>
      </c>
      <c r="AD2596" s="328"/>
      <c r="AE2596" s="328"/>
      <c r="AF2596" s="328"/>
      <c r="AG2596" s="251" t="s">
        <v>283</v>
      </c>
    </row>
    <row r="2597" spans="1:33" ht="15.75" customHeight="1">
      <c r="A2597" s="743">
        <v>43031</v>
      </c>
      <c r="B2597" s="970" t="s">
        <v>7848</v>
      </c>
      <c r="C2597" s="744" t="s">
        <v>8068</v>
      </c>
      <c r="D2597" s="250" t="s">
        <v>8069</v>
      </c>
      <c r="E2597" s="250" t="s">
        <v>8070</v>
      </c>
      <c r="F2597" s="251">
        <v>1</v>
      </c>
      <c r="G2597" s="252">
        <v>410</v>
      </c>
      <c r="H2597" s="825">
        <f t="shared" si="172"/>
        <v>410</v>
      </c>
      <c r="I2597" s="254" t="s">
        <v>3315</v>
      </c>
      <c r="J2597" s="756" t="s">
        <v>8071</v>
      </c>
      <c r="K2597" s="865">
        <v>43048</v>
      </c>
      <c r="L2597" s="865"/>
      <c r="M2597" s="264" t="s">
        <v>178</v>
      </c>
      <c r="N2597" s="331" t="s">
        <v>1512</v>
      </c>
      <c r="O2597" s="250" t="s">
        <v>8072</v>
      </c>
      <c r="P2597" s="589"/>
      <c r="Q2597" s="328"/>
      <c r="R2597" s="1407"/>
      <c r="S2597" s="1407"/>
      <c r="U2597" s="328"/>
      <c r="V2597" s="590"/>
      <c r="W2597" s="328"/>
      <c r="X2597" s="1069">
        <v>43014</v>
      </c>
      <c r="Y2597" s="745" t="s">
        <v>7868</v>
      </c>
      <c r="Z2597" s="745"/>
      <c r="AA2597" s="1003"/>
      <c r="AB2597" s="744" t="s">
        <v>8073</v>
      </c>
      <c r="AC2597" s="251">
        <v>7385570080</v>
      </c>
      <c r="AD2597" s="328"/>
      <c r="AE2597" s="328"/>
      <c r="AF2597" s="328"/>
      <c r="AG2597" s="251" t="s">
        <v>283</v>
      </c>
    </row>
    <row r="2598" spans="1:33" ht="15.75" customHeight="1">
      <c r="A2598" s="743">
        <v>43031</v>
      </c>
      <c r="B2598" s="970" t="s">
        <v>7848</v>
      </c>
      <c r="C2598" s="744" t="s">
        <v>8068</v>
      </c>
      <c r="D2598" s="250" t="s">
        <v>8069</v>
      </c>
      <c r="E2598" s="250" t="s">
        <v>8074</v>
      </c>
      <c r="F2598" s="251">
        <v>1</v>
      </c>
      <c r="G2598" s="252">
        <v>44</v>
      </c>
      <c r="H2598" s="825">
        <f t="shared" si="172"/>
        <v>44</v>
      </c>
      <c r="I2598" s="254" t="s">
        <v>3315</v>
      </c>
      <c r="J2598" s="756" t="s">
        <v>8071</v>
      </c>
      <c r="K2598" s="865">
        <v>43048</v>
      </c>
      <c r="L2598" s="865"/>
      <c r="M2598" s="264" t="s">
        <v>178</v>
      </c>
      <c r="N2598" s="585" t="s">
        <v>1952</v>
      </c>
      <c r="O2598" s="250" t="s">
        <v>8075</v>
      </c>
      <c r="P2598" s="589"/>
      <c r="Q2598" s="328"/>
      <c r="R2598" s="1407"/>
      <c r="S2598" s="1407"/>
      <c r="U2598" s="328"/>
      <c r="V2598" s="590"/>
      <c r="W2598" s="1061">
        <v>43070</v>
      </c>
      <c r="X2598" s="788">
        <v>43040</v>
      </c>
      <c r="Y2598" s="745" t="s">
        <v>8076</v>
      </c>
      <c r="Z2598" s="984">
        <v>3317</v>
      </c>
      <c r="AA2598" s="1003"/>
      <c r="AB2598" s="744" t="s">
        <v>8073</v>
      </c>
      <c r="AC2598" s="251">
        <v>7385570080</v>
      </c>
      <c r="AD2598" s="328"/>
      <c r="AE2598" s="328"/>
      <c r="AF2598" s="328"/>
      <c r="AG2598" s="251" t="s">
        <v>283</v>
      </c>
    </row>
    <row r="2599" spans="1:33" ht="15.75" customHeight="1">
      <c r="A2599" s="743">
        <v>43031</v>
      </c>
      <c r="B2599" s="590" t="s">
        <v>7107</v>
      </c>
      <c r="C2599" s="744">
        <v>7000133435</v>
      </c>
      <c r="D2599" s="250" t="s">
        <v>8077</v>
      </c>
      <c r="E2599" s="250" t="s">
        <v>3933</v>
      </c>
      <c r="F2599" s="251">
        <v>1</v>
      </c>
      <c r="G2599" s="252">
        <v>485</v>
      </c>
      <c r="H2599" s="825">
        <f t="shared" si="172"/>
        <v>485</v>
      </c>
      <c r="I2599" s="254" t="s">
        <v>42</v>
      </c>
      <c r="J2599" s="331" t="s">
        <v>3462</v>
      </c>
      <c r="K2599" s="256">
        <v>43069</v>
      </c>
      <c r="L2599" s="256"/>
      <c r="M2599" s="256">
        <v>43062</v>
      </c>
      <c r="N2599" s="331" t="s">
        <v>3432</v>
      </c>
      <c r="O2599" s="308" t="s">
        <v>8078</v>
      </c>
      <c r="P2599" s="589"/>
      <c r="Q2599" s="1066">
        <v>14162</v>
      </c>
      <c r="R2599" s="1451"/>
      <c r="S2599" s="1451"/>
      <c r="U2599" s="328"/>
      <c r="V2599" s="318" t="s">
        <v>2045</v>
      </c>
      <c r="W2599" s="789">
        <v>43131</v>
      </c>
      <c r="X2599" s="748">
        <v>43060</v>
      </c>
      <c r="Y2599" s="744" t="s">
        <v>8079</v>
      </c>
      <c r="Z2599" s="749">
        <v>14162</v>
      </c>
      <c r="AA2599" s="594">
        <v>43138</v>
      </c>
      <c r="AB2599" s="250" t="s">
        <v>8080</v>
      </c>
      <c r="AC2599" s="251">
        <v>1435156656</v>
      </c>
      <c r="AD2599" s="328"/>
      <c r="AE2599" s="328"/>
      <c r="AF2599" s="328"/>
      <c r="AG2599" s="251" t="s">
        <v>283</v>
      </c>
    </row>
    <row r="2600" spans="1:33" ht="15.75" customHeight="1">
      <c r="A2600" s="743">
        <v>43031</v>
      </c>
      <c r="B2600" s="744" t="s">
        <v>3516</v>
      </c>
      <c r="C2600" s="757" t="s">
        <v>8081</v>
      </c>
      <c r="D2600" s="744" t="s">
        <v>8082</v>
      </c>
      <c r="E2600" s="744" t="s">
        <v>3467</v>
      </c>
      <c r="F2600" s="251">
        <v>10</v>
      </c>
      <c r="G2600" s="252">
        <v>179</v>
      </c>
      <c r="H2600" s="825">
        <f t="shared" si="172"/>
        <v>1790</v>
      </c>
      <c r="I2600" s="254" t="s">
        <v>3315</v>
      </c>
      <c r="J2600" s="367" t="s">
        <v>3519</v>
      </c>
      <c r="K2600" s="256">
        <v>43041</v>
      </c>
      <c r="L2600" s="256"/>
      <c r="M2600" s="256">
        <v>43040</v>
      </c>
      <c r="N2600" s="331" t="s">
        <v>89</v>
      </c>
      <c r="O2600" s="308" t="s">
        <v>8083</v>
      </c>
      <c r="P2600" s="572">
        <v>1785</v>
      </c>
      <c r="Q2600" s="328"/>
      <c r="R2600" s="1407"/>
      <c r="S2600" s="1407"/>
      <c r="U2600" s="328"/>
      <c r="V2600" s="338" t="s">
        <v>93</v>
      </c>
      <c r="W2600" s="747">
        <v>43100</v>
      </c>
      <c r="X2600" s="748">
        <v>43040</v>
      </c>
      <c r="Y2600" s="744" t="s">
        <v>8084</v>
      </c>
      <c r="Z2600" s="749">
        <v>53925</v>
      </c>
      <c r="AA2600" s="594">
        <v>43110</v>
      </c>
      <c r="AB2600" s="250" t="s">
        <v>8085</v>
      </c>
      <c r="AC2600" s="251">
        <v>770649305481</v>
      </c>
      <c r="AD2600" s="328"/>
      <c r="AE2600" s="328"/>
      <c r="AF2600" s="328"/>
      <c r="AG2600" s="251" t="s">
        <v>283</v>
      </c>
    </row>
    <row r="2601" spans="1:33" ht="15.75" customHeight="1">
      <c r="A2601" s="743">
        <v>43031</v>
      </c>
      <c r="B2601" s="420" t="s">
        <v>7107</v>
      </c>
      <c r="C2601" s="744">
        <v>7000133435</v>
      </c>
      <c r="D2601" s="250" t="s">
        <v>8077</v>
      </c>
      <c r="E2601" s="250" t="s">
        <v>6261</v>
      </c>
      <c r="F2601" s="251">
        <v>19</v>
      </c>
      <c r="G2601" s="252">
        <v>126</v>
      </c>
      <c r="H2601" s="825">
        <f t="shared" si="172"/>
        <v>2394</v>
      </c>
      <c r="I2601" s="254" t="s">
        <v>42</v>
      </c>
      <c r="J2601" s="401" t="s">
        <v>3462</v>
      </c>
      <c r="K2601" s="256">
        <v>43038</v>
      </c>
      <c r="L2601" s="256"/>
      <c r="M2601" s="256">
        <v>43038</v>
      </c>
      <c r="N2601" s="331" t="s">
        <v>3432</v>
      </c>
      <c r="O2601" s="308" t="s">
        <v>8078</v>
      </c>
      <c r="P2601" s="589"/>
      <c r="Q2601" s="1066">
        <v>70064</v>
      </c>
      <c r="R2601" s="1451"/>
      <c r="S2601" s="1451"/>
      <c r="U2601" s="328"/>
      <c r="V2601" s="318" t="s">
        <v>2045</v>
      </c>
      <c r="W2601" s="789">
        <v>43131</v>
      </c>
      <c r="X2601" s="748">
        <v>43035</v>
      </c>
      <c r="Y2601" s="744" t="s">
        <v>8086</v>
      </c>
      <c r="Z2601" s="749">
        <v>70064</v>
      </c>
      <c r="AA2601" s="594">
        <v>43138</v>
      </c>
      <c r="AB2601" s="250" t="s">
        <v>8087</v>
      </c>
      <c r="AC2601" s="251">
        <v>9088366792</v>
      </c>
      <c r="AD2601" s="328"/>
      <c r="AE2601" s="328"/>
      <c r="AF2601" s="328"/>
      <c r="AG2601" s="251" t="s">
        <v>283</v>
      </c>
    </row>
    <row r="2602" spans="1:33" ht="15.75" customHeight="1">
      <c r="A2602" s="743">
        <v>43031</v>
      </c>
      <c r="B2602" s="970" t="s">
        <v>7848</v>
      </c>
      <c r="C2602" s="744" t="s">
        <v>8068</v>
      </c>
      <c r="D2602" s="744" t="s">
        <v>8088</v>
      </c>
      <c r="E2602" s="744" t="s">
        <v>692</v>
      </c>
      <c r="F2602" s="251">
        <v>1</v>
      </c>
      <c r="G2602" s="252">
        <v>25</v>
      </c>
      <c r="H2602" s="825">
        <f t="shared" si="172"/>
        <v>25</v>
      </c>
      <c r="I2602" s="254" t="s">
        <v>3315</v>
      </c>
      <c r="J2602" s="756" t="s">
        <v>8071</v>
      </c>
      <c r="K2602" s="865">
        <v>43048</v>
      </c>
      <c r="L2602" s="865"/>
      <c r="M2602" s="328"/>
      <c r="N2602" s="331"/>
      <c r="O2602" s="593"/>
      <c r="P2602" s="589"/>
      <c r="Q2602" s="328"/>
      <c r="R2602" s="1407"/>
      <c r="S2602" s="1407"/>
      <c r="U2602" s="328"/>
      <c r="V2602" s="420"/>
      <c r="W2602" s="328"/>
      <c r="X2602" s="745"/>
      <c r="Y2602" s="745"/>
      <c r="Z2602" s="745"/>
      <c r="AA2602" s="1003"/>
      <c r="AB2602" s="744" t="s">
        <v>8073</v>
      </c>
      <c r="AC2602" s="251">
        <v>7385570080</v>
      </c>
      <c r="AD2602" s="328"/>
      <c r="AE2602" s="328"/>
      <c r="AF2602" s="328"/>
      <c r="AG2602" s="251" t="s">
        <v>283</v>
      </c>
    </row>
    <row r="2603" spans="1:33" ht="15.75" customHeight="1">
      <c r="A2603" s="743">
        <v>43034</v>
      </c>
      <c r="B2603" s="970" t="s">
        <v>228</v>
      </c>
      <c r="C2603" s="744"/>
      <c r="D2603" s="250" t="s">
        <v>8089</v>
      </c>
      <c r="E2603" s="250" t="s">
        <v>461</v>
      </c>
      <c r="F2603" s="251">
        <v>16</v>
      </c>
      <c r="G2603" s="252">
        <v>407.4</v>
      </c>
      <c r="H2603" s="825">
        <f t="shared" si="172"/>
        <v>6518.4</v>
      </c>
      <c r="I2603" s="254" t="s">
        <v>170</v>
      </c>
      <c r="J2603" s="251" t="s">
        <v>232</v>
      </c>
      <c r="K2603" s="256">
        <v>43046</v>
      </c>
      <c r="L2603" s="256"/>
      <c r="M2603" s="256">
        <v>43046</v>
      </c>
      <c r="N2603" s="331" t="s">
        <v>89</v>
      </c>
      <c r="O2603" s="308" t="s">
        <v>8090</v>
      </c>
      <c r="P2603" s="266">
        <v>5964</v>
      </c>
      <c r="Q2603" s="328"/>
      <c r="R2603" s="1407"/>
      <c r="S2603" s="1407"/>
      <c r="U2603" s="328"/>
      <c r="V2603" s="571" t="s">
        <v>93</v>
      </c>
      <c r="W2603" s="747">
        <v>43100</v>
      </c>
      <c r="X2603" s="750">
        <v>43046</v>
      </c>
      <c r="Y2603" s="250" t="s">
        <v>8091</v>
      </c>
      <c r="Z2603" s="753">
        <v>243899</v>
      </c>
      <c r="AA2603" s="594">
        <v>43110</v>
      </c>
      <c r="AB2603" s="744" t="s">
        <v>8092</v>
      </c>
      <c r="AC2603" s="881"/>
      <c r="AD2603" s="328" t="s">
        <v>8093</v>
      </c>
      <c r="AE2603" s="260">
        <v>267531</v>
      </c>
      <c r="AF2603" s="744" t="s">
        <v>8094</v>
      </c>
      <c r="AG2603" s="251" t="s">
        <v>376</v>
      </c>
    </row>
    <row r="2604" spans="1:33" ht="15.75" customHeight="1">
      <c r="A2604" s="743">
        <v>43034</v>
      </c>
      <c r="B2604" s="970" t="s">
        <v>228</v>
      </c>
      <c r="C2604" s="744"/>
      <c r="D2604" s="250" t="s">
        <v>8089</v>
      </c>
      <c r="E2604" s="250" t="s">
        <v>3604</v>
      </c>
      <c r="F2604" s="251">
        <v>7</v>
      </c>
      <c r="G2604" s="265">
        <v>336</v>
      </c>
      <c r="H2604" s="825">
        <f t="shared" si="172"/>
        <v>2352</v>
      </c>
      <c r="I2604" s="254" t="s">
        <v>170</v>
      </c>
      <c r="J2604" s="251" t="s">
        <v>232</v>
      </c>
      <c r="K2604" s="256">
        <v>43046</v>
      </c>
      <c r="L2604" s="256"/>
      <c r="M2604" s="256">
        <v>43046</v>
      </c>
      <c r="N2604" s="331" t="s">
        <v>89</v>
      </c>
      <c r="O2604" s="308" t="s">
        <v>8090</v>
      </c>
      <c r="P2604" s="266">
        <v>2109.4499999999998</v>
      </c>
      <c r="Q2604" s="328"/>
      <c r="R2604" s="1407"/>
      <c r="S2604" s="1407"/>
      <c r="U2604" s="328"/>
      <c r="V2604" s="338" t="s">
        <v>93</v>
      </c>
      <c r="W2604" s="747">
        <v>43100</v>
      </c>
      <c r="X2604" s="750">
        <v>43046</v>
      </c>
      <c r="Y2604" s="250" t="s">
        <v>8091</v>
      </c>
      <c r="Z2604" s="753">
        <v>243899</v>
      </c>
      <c r="AA2604" s="594">
        <v>43110</v>
      </c>
      <c r="AB2604" s="744" t="s">
        <v>8092</v>
      </c>
      <c r="AC2604" s="881"/>
      <c r="AD2604" s="744" t="s">
        <v>8093</v>
      </c>
      <c r="AE2604" s="260">
        <v>267531</v>
      </c>
      <c r="AF2604" s="744" t="s">
        <v>8094</v>
      </c>
      <c r="AG2604" s="251" t="s">
        <v>376</v>
      </c>
    </row>
    <row r="2605" spans="1:33" ht="15.75" customHeight="1">
      <c r="A2605" s="743">
        <v>43034</v>
      </c>
      <c r="B2605" s="970" t="s">
        <v>3347</v>
      </c>
      <c r="C2605" s="744" t="s">
        <v>8095</v>
      </c>
      <c r="D2605" s="250" t="s">
        <v>8096</v>
      </c>
      <c r="E2605" s="250" t="s">
        <v>3366</v>
      </c>
      <c r="F2605" s="251">
        <v>1</v>
      </c>
      <c r="G2605" s="252">
        <v>174.5</v>
      </c>
      <c r="H2605" s="574">
        <f t="shared" si="172"/>
        <v>174.5</v>
      </c>
      <c r="I2605" s="254" t="s">
        <v>170</v>
      </c>
      <c r="J2605" s="251" t="s">
        <v>7447</v>
      </c>
      <c r="K2605" s="256">
        <v>43034</v>
      </c>
      <c r="L2605" s="256"/>
      <c r="M2605" s="256">
        <v>43034</v>
      </c>
      <c r="N2605" s="331" t="s">
        <v>89</v>
      </c>
      <c r="O2605" s="598" t="s">
        <v>8097</v>
      </c>
      <c r="P2605" s="266">
        <v>164.85</v>
      </c>
      <c r="Q2605" s="337"/>
      <c r="R2605" s="1416"/>
      <c r="S2605" s="1416"/>
      <c r="U2605" s="328"/>
      <c r="V2605" s="338" t="s">
        <v>93</v>
      </c>
      <c r="W2605" s="747"/>
      <c r="X2605" s="748">
        <v>43047</v>
      </c>
      <c r="Y2605" s="744" t="s">
        <v>8098</v>
      </c>
      <c r="Z2605" s="749">
        <v>4980</v>
      </c>
      <c r="AA2605" s="594">
        <v>43110</v>
      </c>
      <c r="AB2605" s="251" t="s">
        <v>8099</v>
      </c>
      <c r="AC2605" s="251">
        <v>881000273154</v>
      </c>
      <c r="AD2605" s="328"/>
      <c r="AE2605" s="328"/>
      <c r="AF2605" s="328"/>
      <c r="AG2605" s="251" t="s">
        <v>283</v>
      </c>
    </row>
    <row r="2606" spans="1:33" ht="15.75" customHeight="1">
      <c r="A2606" s="743">
        <v>43035</v>
      </c>
      <c r="B2606" s="970" t="s">
        <v>100</v>
      </c>
      <c r="C2606" s="744" t="s">
        <v>8100</v>
      </c>
      <c r="D2606" s="744" t="s">
        <v>8101</v>
      </c>
      <c r="E2606" s="744" t="s">
        <v>8102</v>
      </c>
      <c r="F2606" s="251">
        <v>2</v>
      </c>
      <c r="G2606" s="252">
        <v>75</v>
      </c>
      <c r="H2606" s="825">
        <f t="shared" si="172"/>
        <v>150</v>
      </c>
      <c r="I2606" s="254" t="s">
        <v>3315</v>
      </c>
      <c r="J2606" s="367" t="s">
        <v>3578</v>
      </c>
      <c r="K2606" s="256">
        <v>43053</v>
      </c>
      <c r="L2606" s="256"/>
      <c r="M2606" s="256">
        <v>43048</v>
      </c>
      <c r="N2606" s="367" t="s">
        <v>2087</v>
      </c>
      <c r="O2606" s="744" t="s">
        <v>8103</v>
      </c>
      <c r="P2606" s="337"/>
      <c r="Q2606" s="630">
        <v>3688</v>
      </c>
      <c r="R2606" s="1415"/>
      <c r="S2606" s="1415"/>
      <c r="U2606" s="328"/>
      <c r="V2606" s="318" t="s">
        <v>6042</v>
      </c>
      <c r="W2606" s="747">
        <v>43045</v>
      </c>
      <c r="X2606" s="748">
        <v>43047</v>
      </c>
      <c r="Y2606" s="744" t="s">
        <v>8104</v>
      </c>
      <c r="Z2606" s="1070">
        <v>3688</v>
      </c>
      <c r="AA2606" s="256">
        <v>43045</v>
      </c>
      <c r="AB2606" s="250" t="s">
        <v>7885</v>
      </c>
      <c r="AC2606" s="251">
        <v>3769292564</v>
      </c>
      <c r="AD2606" s="328"/>
      <c r="AE2606" s="328"/>
      <c r="AF2606" s="328"/>
      <c r="AG2606" s="251" t="s">
        <v>283</v>
      </c>
    </row>
    <row r="2607" spans="1:33" ht="15.75" customHeight="1">
      <c r="A2607" s="743">
        <v>43038</v>
      </c>
      <c r="B2607" s="590" t="s">
        <v>7107</v>
      </c>
      <c r="C2607" s="744">
        <v>7000133626</v>
      </c>
      <c r="D2607" s="744" t="s">
        <v>8105</v>
      </c>
      <c r="E2607" s="744" t="s">
        <v>6261</v>
      </c>
      <c r="F2607" s="251">
        <v>3</v>
      </c>
      <c r="G2607" s="252">
        <v>126</v>
      </c>
      <c r="H2607" s="574">
        <f t="shared" si="172"/>
        <v>378</v>
      </c>
      <c r="I2607" s="254" t="s">
        <v>42</v>
      </c>
      <c r="J2607" s="401" t="s">
        <v>3462</v>
      </c>
      <c r="K2607" s="256">
        <v>43055</v>
      </c>
      <c r="L2607" s="256"/>
      <c r="M2607" s="256">
        <v>43055</v>
      </c>
      <c r="N2607" s="331" t="s">
        <v>3432</v>
      </c>
      <c r="O2607" s="308" t="s">
        <v>8106</v>
      </c>
      <c r="P2607" s="589"/>
      <c r="Q2607" s="572">
        <v>11063</v>
      </c>
      <c r="R2607" s="1413"/>
      <c r="S2607" s="1413"/>
      <c r="U2607" s="328"/>
      <c r="V2607" s="318" t="s">
        <v>2045</v>
      </c>
      <c r="W2607" s="789">
        <v>43131</v>
      </c>
      <c r="X2607" s="748">
        <v>43053</v>
      </c>
      <c r="Y2607" s="744" t="s">
        <v>8107</v>
      </c>
      <c r="Z2607" s="749">
        <v>11063</v>
      </c>
      <c r="AA2607" s="594">
        <v>43138</v>
      </c>
      <c r="AB2607" s="250" t="s">
        <v>8108</v>
      </c>
      <c r="AC2607" s="251">
        <v>3734742480</v>
      </c>
      <c r="AD2607" s="328"/>
      <c r="AE2607" s="328"/>
      <c r="AF2607" s="328"/>
      <c r="AG2607" s="251" t="s">
        <v>283</v>
      </c>
    </row>
    <row r="2608" spans="1:33" ht="15.75" customHeight="1">
      <c r="A2608" s="743">
        <v>43038</v>
      </c>
      <c r="B2608" s="744" t="s">
        <v>3347</v>
      </c>
      <c r="C2608" s="744" t="s">
        <v>8040</v>
      </c>
      <c r="D2608" s="250" t="s">
        <v>8109</v>
      </c>
      <c r="E2608" s="250" t="s">
        <v>3349</v>
      </c>
      <c r="F2608" s="251">
        <v>50</v>
      </c>
      <c r="G2608" s="252">
        <v>174.5</v>
      </c>
      <c r="H2608" s="574">
        <f t="shared" si="172"/>
        <v>8725</v>
      </c>
      <c r="I2608" s="254" t="s">
        <v>170</v>
      </c>
      <c r="J2608" s="367" t="s">
        <v>3350</v>
      </c>
      <c r="K2608" s="256">
        <v>43062</v>
      </c>
      <c r="L2608" s="256"/>
      <c r="M2608" s="256">
        <v>43054</v>
      </c>
      <c r="N2608" s="331" t="s">
        <v>3351</v>
      </c>
      <c r="O2608" s="308" t="s">
        <v>8110</v>
      </c>
      <c r="P2608" s="572">
        <v>8295</v>
      </c>
      <c r="Q2608" s="328"/>
      <c r="R2608" s="1407"/>
      <c r="S2608" s="1407"/>
      <c r="U2608" s="328"/>
      <c r="V2608" s="318" t="s">
        <v>3353</v>
      </c>
      <c r="W2608" s="747">
        <v>43041</v>
      </c>
      <c r="X2608" s="750">
        <v>43054</v>
      </c>
      <c r="Y2608" s="250" t="s">
        <v>8111</v>
      </c>
      <c r="Z2608" s="753">
        <v>249804</v>
      </c>
      <c r="AA2608" s="256">
        <v>43041</v>
      </c>
      <c r="AB2608" s="744" t="s">
        <v>8112</v>
      </c>
      <c r="AC2608" s="251" t="s">
        <v>8113</v>
      </c>
      <c r="AD2608" s="328"/>
      <c r="AE2608" s="328"/>
      <c r="AF2608" s="328"/>
      <c r="AG2608" s="251" t="s">
        <v>283</v>
      </c>
    </row>
    <row r="2609" spans="1:33" ht="15.75" customHeight="1">
      <c r="A2609" s="743">
        <v>43040</v>
      </c>
      <c r="B2609" s="744" t="s">
        <v>3347</v>
      </c>
      <c r="C2609" s="744" t="s">
        <v>8040</v>
      </c>
      <c r="D2609" s="250" t="s">
        <v>8114</v>
      </c>
      <c r="E2609" s="250" t="s">
        <v>7441</v>
      </c>
      <c r="F2609" s="251">
        <v>80</v>
      </c>
      <c r="G2609" s="323">
        <v>430</v>
      </c>
      <c r="H2609" s="574">
        <f t="shared" si="172"/>
        <v>34400</v>
      </c>
      <c r="I2609" s="254" t="s">
        <v>170</v>
      </c>
      <c r="J2609" s="367" t="s">
        <v>3350</v>
      </c>
      <c r="K2609" s="256">
        <v>43062</v>
      </c>
      <c r="L2609" s="256"/>
      <c r="M2609" s="256">
        <v>43055</v>
      </c>
      <c r="N2609" s="331" t="s">
        <v>89</v>
      </c>
      <c r="O2609" s="308" t="s">
        <v>8115</v>
      </c>
      <c r="P2609" s="572">
        <v>32760</v>
      </c>
      <c r="Q2609" s="328"/>
      <c r="R2609" s="1407"/>
      <c r="S2609" s="1407"/>
      <c r="U2609" s="328"/>
      <c r="V2609" s="338" t="s">
        <v>93</v>
      </c>
      <c r="W2609" s="747">
        <v>43100</v>
      </c>
      <c r="X2609" s="748">
        <v>43054</v>
      </c>
      <c r="Y2609" s="744" t="s">
        <v>8116</v>
      </c>
      <c r="Z2609" s="749">
        <v>986567</v>
      </c>
      <c r="AA2609" s="594">
        <v>43110</v>
      </c>
      <c r="AB2609" s="744" t="s">
        <v>8112</v>
      </c>
      <c r="AC2609" s="251" t="s">
        <v>8113</v>
      </c>
      <c r="AD2609" s="328"/>
      <c r="AE2609" s="328"/>
      <c r="AF2609" s="328"/>
      <c r="AG2609" s="251" t="s">
        <v>283</v>
      </c>
    </row>
    <row r="2610" spans="1:33" ht="15.75" customHeight="1">
      <c r="A2610" s="204">
        <v>43040</v>
      </c>
      <c r="B2610" s="642" t="s">
        <v>100</v>
      </c>
      <c r="C2610" s="148"/>
      <c r="D2610" s="93" t="s">
        <v>8117</v>
      </c>
      <c r="E2610" s="93" t="s">
        <v>8118</v>
      </c>
      <c r="F2610" s="54">
        <v>1</v>
      </c>
      <c r="G2610" s="1071">
        <v>0</v>
      </c>
      <c r="H2610" s="36">
        <f t="shared" si="172"/>
        <v>0</v>
      </c>
      <c r="I2610" s="27" t="s">
        <v>3315</v>
      </c>
      <c r="J2610" s="63" t="s">
        <v>3578</v>
      </c>
      <c r="K2610" s="30">
        <v>43053</v>
      </c>
      <c r="L2610" s="30"/>
      <c r="M2610" s="76"/>
      <c r="N2610" s="31"/>
      <c r="O2610" s="41" t="s">
        <v>8119</v>
      </c>
      <c r="P2610" s="85"/>
      <c r="Q2610" s="150"/>
      <c r="R2610" s="1452"/>
      <c r="S2610" s="1452"/>
      <c r="U2610" s="76"/>
      <c r="V2610" s="23"/>
      <c r="W2610" s="76"/>
      <c r="X2610" s="915"/>
      <c r="Y2610" s="915"/>
      <c r="Z2610" s="915"/>
      <c r="AA2610" s="1072"/>
      <c r="AB2610" s="290" t="s">
        <v>7885</v>
      </c>
      <c r="AC2610" s="54">
        <v>3769292564</v>
      </c>
      <c r="AD2610" s="76"/>
      <c r="AE2610" s="76"/>
      <c r="AF2610" s="76"/>
      <c r="AG2610" s="76"/>
    </row>
    <row r="2611" spans="1:33" ht="15.75" customHeight="1">
      <c r="A2611" s="204">
        <v>43040</v>
      </c>
      <c r="B2611" s="642" t="s">
        <v>100</v>
      </c>
      <c r="C2611" s="148"/>
      <c r="D2611" s="93" t="s">
        <v>8117</v>
      </c>
      <c r="E2611" s="93" t="s">
        <v>8120</v>
      </c>
      <c r="F2611" s="54">
        <v>1</v>
      </c>
      <c r="G2611" s="1071">
        <v>0</v>
      </c>
      <c r="H2611" s="36">
        <f t="shared" si="172"/>
        <v>0</v>
      </c>
      <c r="I2611" s="27" t="s">
        <v>3315</v>
      </c>
      <c r="J2611" s="63" t="s">
        <v>3578</v>
      </c>
      <c r="K2611" s="30">
        <v>43053</v>
      </c>
      <c r="L2611" s="30"/>
      <c r="M2611" s="76"/>
      <c r="N2611" s="58"/>
      <c r="O2611" s="41" t="s">
        <v>8121</v>
      </c>
      <c r="P2611" s="85"/>
      <c r="Q2611" s="150"/>
      <c r="R2611" s="1452"/>
      <c r="S2611" s="1452"/>
      <c r="U2611" s="76"/>
      <c r="V2611" s="32"/>
      <c r="W2611" s="76"/>
      <c r="X2611" s="915"/>
      <c r="Y2611" s="915"/>
      <c r="Z2611" s="915"/>
      <c r="AA2611" s="1072"/>
      <c r="AB2611" s="290" t="s">
        <v>7885</v>
      </c>
      <c r="AC2611" s="54">
        <v>3769292564</v>
      </c>
      <c r="AD2611" s="76"/>
      <c r="AE2611" s="76"/>
      <c r="AF2611" s="76"/>
      <c r="AG2611" s="76"/>
    </row>
    <row r="2612" spans="1:33" ht="15.75" customHeight="1">
      <c r="A2612" s="204">
        <v>43040</v>
      </c>
      <c r="B2612" s="642" t="s">
        <v>100</v>
      </c>
      <c r="C2612" s="148"/>
      <c r="D2612" s="93" t="s">
        <v>8122</v>
      </c>
      <c r="E2612" s="93" t="s">
        <v>8123</v>
      </c>
      <c r="F2612" s="54">
        <v>1</v>
      </c>
      <c r="G2612" s="1071">
        <v>0</v>
      </c>
      <c r="H2612" s="1073">
        <f t="shared" si="172"/>
        <v>0</v>
      </c>
      <c r="I2612" s="27" t="s">
        <v>3315</v>
      </c>
      <c r="J2612" s="206" t="s">
        <v>3578</v>
      </c>
      <c r="K2612" s="30">
        <v>43053</v>
      </c>
      <c r="L2612" s="30"/>
      <c r="M2612" s="76"/>
      <c r="N2612" s="31"/>
      <c r="O2612" s="41" t="s">
        <v>8124</v>
      </c>
      <c r="P2612" s="85"/>
      <c r="Q2612" s="150" t="s">
        <v>8125</v>
      </c>
      <c r="R2612" s="1452"/>
      <c r="S2612" s="1452"/>
      <c r="U2612" s="76"/>
      <c r="V2612" s="32"/>
      <c r="W2612" s="76"/>
      <c r="X2612" s="915"/>
      <c r="Y2612" s="915"/>
      <c r="Z2612" s="915"/>
      <c r="AA2612" s="1072"/>
      <c r="AB2612" s="290" t="s">
        <v>7885</v>
      </c>
      <c r="AC2612" s="54">
        <v>3769292564</v>
      </c>
      <c r="AD2612" s="76"/>
      <c r="AE2612" s="76"/>
      <c r="AF2612" s="76"/>
      <c r="AG2612" s="76"/>
    </row>
    <row r="2613" spans="1:33" ht="15.75" customHeight="1">
      <c r="A2613" s="204">
        <v>43040</v>
      </c>
      <c r="B2613" s="642" t="s">
        <v>100</v>
      </c>
      <c r="C2613" s="148"/>
      <c r="D2613" s="93" t="s">
        <v>8122</v>
      </c>
      <c r="E2613" s="93" t="s">
        <v>8126</v>
      </c>
      <c r="F2613" s="54">
        <v>1</v>
      </c>
      <c r="G2613" s="1071">
        <v>0</v>
      </c>
      <c r="H2613" s="36">
        <f t="shared" si="172"/>
        <v>0</v>
      </c>
      <c r="I2613" s="27" t="s">
        <v>3315</v>
      </c>
      <c r="J2613" s="79" t="s">
        <v>3578</v>
      </c>
      <c r="K2613" s="30">
        <v>43053</v>
      </c>
      <c r="L2613" s="30"/>
      <c r="M2613" s="76"/>
      <c r="N2613" s="31"/>
      <c r="O2613" s="41"/>
      <c r="P2613" s="85"/>
      <c r="Q2613" s="150"/>
      <c r="R2613" s="1452"/>
      <c r="S2613" s="1452"/>
      <c r="U2613" s="76"/>
      <c r="V2613" s="32"/>
      <c r="W2613" s="76"/>
      <c r="X2613" s="915"/>
      <c r="Y2613" s="915"/>
      <c r="Z2613" s="915"/>
      <c r="AA2613" s="1072"/>
      <c r="AB2613" s="290" t="s">
        <v>7885</v>
      </c>
      <c r="AC2613" s="54">
        <v>3769292564</v>
      </c>
      <c r="AD2613" s="76"/>
      <c r="AE2613" s="76"/>
      <c r="AF2613" s="76"/>
      <c r="AG2613" s="76"/>
    </row>
    <row r="2614" spans="1:33" ht="15.75" customHeight="1">
      <c r="A2614" s="743">
        <v>43042</v>
      </c>
      <c r="B2614" s="970" t="s">
        <v>3347</v>
      </c>
      <c r="C2614" s="744" t="s">
        <v>8095</v>
      </c>
      <c r="D2614" s="250" t="s">
        <v>8127</v>
      </c>
      <c r="E2614" s="250" t="s">
        <v>8128</v>
      </c>
      <c r="F2614" s="251">
        <v>193</v>
      </c>
      <c r="G2614" s="252">
        <v>174.5</v>
      </c>
      <c r="H2614" s="574">
        <f t="shared" si="172"/>
        <v>33678.5</v>
      </c>
      <c r="I2614" s="254" t="s">
        <v>170</v>
      </c>
      <c r="J2614" s="267" t="s">
        <v>3350</v>
      </c>
      <c r="K2614" s="256">
        <v>43062</v>
      </c>
      <c r="L2614" s="256"/>
      <c r="M2614" s="256">
        <v>43054</v>
      </c>
      <c r="N2614" s="331" t="s">
        <v>3351</v>
      </c>
      <c r="O2614" s="308" t="s">
        <v>8129</v>
      </c>
      <c r="P2614" s="793">
        <v>32018.7</v>
      </c>
      <c r="Q2614" s="593"/>
      <c r="R2614" s="1418"/>
      <c r="S2614" s="1418"/>
      <c r="U2614" s="328"/>
      <c r="V2614" s="318" t="s">
        <v>3353</v>
      </c>
      <c r="W2614" s="328"/>
      <c r="X2614" s="750">
        <v>43054</v>
      </c>
      <c r="Y2614" s="250" t="s">
        <v>8130</v>
      </c>
      <c r="Z2614" s="753">
        <v>964243</v>
      </c>
      <c r="AA2614" s="594">
        <v>43049</v>
      </c>
      <c r="AB2614" s="744" t="s">
        <v>8112</v>
      </c>
      <c r="AC2614" s="251" t="s">
        <v>8113</v>
      </c>
      <c r="AD2614" s="328"/>
      <c r="AE2614" s="328"/>
      <c r="AF2614" s="328"/>
      <c r="AG2614" s="251" t="s">
        <v>283</v>
      </c>
    </row>
    <row r="2615" spans="1:33" ht="15.75" customHeight="1">
      <c r="A2615" s="743">
        <v>43042</v>
      </c>
      <c r="B2615" s="970" t="s">
        <v>3516</v>
      </c>
      <c r="C2615" s="757" t="s">
        <v>8131</v>
      </c>
      <c r="D2615" s="744" t="s">
        <v>8132</v>
      </c>
      <c r="E2615" s="744" t="s">
        <v>8133</v>
      </c>
      <c r="F2615" s="251">
        <v>20</v>
      </c>
      <c r="G2615" s="252">
        <v>135</v>
      </c>
      <c r="H2615" s="630">
        <f t="shared" si="172"/>
        <v>2700</v>
      </c>
      <c r="I2615" s="1029" t="s">
        <v>3315</v>
      </c>
      <c r="J2615" s="367" t="s">
        <v>3519</v>
      </c>
      <c r="K2615" s="256">
        <v>43048</v>
      </c>
      <c r="L2615" s="256"/>
      <c r="M2615" s="256">
        <v>43046</v>
      </c>
      <c r="N2615" s="331" t="s">
        <v>89</v>
      </c>
      <c r="O2615" s="308" t="s">
        <v>8134</v>
      </c>
      <c r="P2615" s="572">
        <v>2688</v>
      </c>
      <c r="Q2615" s="328"/>
      <c r="R2615" s="1407"/>
      <c r="S2615" s="1407"/>
      <c r="U2615" s="328"/>
      <c r="V2615" s="338" t="s">
        <v>93</v>
      </c>
      <c r="W2615" s="747">
        <v>43100</v>
      </c>
      <c r="X2615" s="748">
        <v>43046</v>
      </c>
      <c r="Y2615" s="744" t="s">
        <v>8135</v>
      </c>
      <c r="Z2615" s="749">
        <v>81204</v>
      </c>
      <c r="AA2615" s="594">
        <v>43110</v>
      </c>
      <c r="AB2615" s="250" t="s">
        <v>8136</v>
      </c>
      <c r="AC2615" s="251">
        <v>770706545436</v>
      </c>
      <c r="AD2615" s="328"/>
      <c r="AE2615" s="328"/>
      <c r="AF2615" s="328"/>
      <c r="AG2615" s="251" t="s">
        <v>283</v>
      </c>
    </row>
    <row r="2616" spans="1:33" ht="15.75" customHeight="1">
      <c r="A2616" s="755">
        <v>43045</v>
      </c>
      <c r="B2616" s="970" t="s">
        <v>100</v>
      </c>
      <c r="C2616" s="744" t="s">
        <v>8137</v>
      </c>
      <c r="D2616" s="250" t="s">
        <v>8138</v>
      </c>
      <c r="E2616" s="250" t="s">
        <v>3416</v>
      </c>
      <c r="F2616" s="305">
        <v>10</v>
      </c>
      <c r="G2616" s="252">
        <v>2</v>
      </c>
      <c r="H2616" s="308">
        <f t="shared" si="172"/>
        <v>20</v>
      </c>
      <c r="I2616" s="254" t="s">
        <v>3315</v>
      </c>
      <c r="J2616" s="367" t="s">
        <v>3408</v>
      </c>
      <c r="K2616" s="256">
        <v>43097</v>
      </c>
      <c r="L2616" s="256"/>
      <c r="M2616" s="264" t="s">
        <v>178</v>
      </c>
      <c r="N2616" s="331" t="s">
        <v>6527</v>
      </c>
      <c r="O2616" s="250" t="s">
        <v>7884</v>
      </c>
      <c r="P2616" s="591"/>
      <c r="Q2616" s="328"/>
      <c r="R2616" s="1407"/>
      <c r="S2616" s="1407"/>
      <c r="U2616" s="328"/>
      <c r="V2616" s="590"/>
      <c r="W2616" s="328"/>
      <c r="X2616" s="745"/>
      <c r="Y2616" s="745"/>
      <c r="Z2616" s="745"/>
      <c r="AA2616" s="1003"/>
      <c r="AB2616" s="744" t="s">
        <v>8139</v>
      </c>
      <c r="AC2616" s="251" t="s">
        <v>8140</v>
      </c>
      <c r="AD2616" s="328"/>
      <c r="AE2616" s="328"/>
      <c r="AF2616" s="328"/>
      <c r="AG2616" s="251" t="s">
        <v>283</v>
      </c>
    </row>
    <row r="2617" spans="1:33" ht="15.75" customHeight="1">
      <c r="A2617" s="755">
        <v>43045</v>
      </c>
      <c r="B2617" s="970" t="s">
        <v>100</v>
      </c>
      <c r="C2617" s="744" t="s">
        <v>8137</v>
      </c>
      <c r="D2617" s="250" t="s">
        <v>8138</v>
      </c>
      <c r="E2617" s="250" t="s">
        <v>3418</v>
      </c>
      <c r="F2617" s="305">
        <v>10</v>
      </c>
      <c r="G2617" s="252">
        <v>2.5</v>
      </c>
      <c r="H2617" s="308">
        <f t="shared" si="172"/>
        <v>25</v>
      </c>
      <c r="I2617" s="254" t="s">
        <v>3315</v>
      </c>
      <c r="J2617" s="367" t="s">
        <v>3408</v>
      </c>
      <c r="K2617" s="256">
        <v>43097</v>
      </c>
      <c r="L2617" s="256"/>
      <c r="M2617" s="264" t="s">
        <v>178</v>
      </c>
      <c r="N2617" s="331" t="s">
        <v>6527</v>
      </c>
      <c r="O2617" s="250" t="s">
        <v>7886</v>
      </c>
      <c r="P2617" s="591"/>
      <c r="Q2617" s="328"/>
      <c r="R2617" s="1407"/>
      <c r="S2617" s="1407"/>
      <c r="U2617" s="328"/>
      <c r="V2617" s="590"/>
      <c r="W2617" s="328"/>
      <c r="X2617" s="745"/>
      <c r="Y2617" s="745"/>
      <c r="Z2617" s="745"/>
      <c r="AA2617" s="1003"/>
      <c r="AB2617" s="744" t="s">
        <v>8139</v>
      </c>
      <c r="AC2617" s="251" t="s">
        <v>8140</v>
      </c>
      <c r="AD2617" s="328"/>
      <c r="AE2617" s="328"/>
      <c r="AF2617" s="328"/>
      <c r="AG2617" s="251" t="s">
        <v>283</v>
      </c>
    </row>
    <row r="2618" spans="1:33" ht="15.75" customHeight="1">
      <c r="A2618" s="755">
        <v>43045</v>
      </c>
      <c r="B2618" s="970" t="s">
        <v>100</v>
      </c>
      <c r="C2618" s="744" t="s">
        <v>8137</v>
      </c>
      <c r="D2618" s="250" t="s">
        <v>8138</v>
      </c>
      <c r="E2618" s="250" t="s">
        <v>3421</v>
      </c>
      <c r="F2618" s="305">
        <v>10</v>
      </c>
      <c r="G2618" s="252">
        <v>8</v>
      </c>
      <c r="H2618" s="308">
        <f t="shared" si="172"/>
        <v>80</v>
      </c>
      <c r="I2618" s="254" t="s">
        <v>3315</v>
      </c>
      <c r="J2618" s="367" t="s">
        <v>3408</v>
      </c>
      <c r="K2618" s="256">
        <v>43097</v>
      </c>
      <c r="L2618" s="256"/>
      <c r="M2618" s="264" t="s">
        <v>178</v>
      </c>
      <c r="N2618" s="331" t="s">
        <v>6533</v>
      </c>
      <c r="O2618" s="593"/>
      <c r="P2618" s="591"/>
      <c r="Q2618" s="328" t="s">
        <v>8141</v>
      </c>
      <c r="R2618" s="1407"/>
      <c r="S2618" s="1407"/>
      <c r="U2618" s="328"/>
      <c r="V2618" s="590"/>
      <c r="W2618" s="328"/>
      <c r="X2618" s="745"/>
      <c r="Y2618" s="745"/>
      <c r="Z2618" s="745"/>
      <c r="AA2618" s="1003"/>
      <c r="AB2618" s="744" t="s">
        <v>8139</v>
      </c>
      <c r="AC2618" s="251" t="s">
        <v>8140</v>
      </c>
      <c r="AD2618" s="328"/>
      <c r="AE2618" s="328"/>
      <c r="AF2618" s="328"/>
      <c r="AG2618" s="251" t="s">
        <v>283</v>
      </c>
    </row>
    <row r="2619" spans="1:33" ht="15.75" customHeight="1">
      <c r="A2619" s="755">
        <v>43045</v>
      </c>
      <c r="B2619" s="970" t="s">
        <v>100</v>
      </c>
      <c r="C2619" s="744" t="s">
        <v>8137</v>
      </c>
      <c r="D2619" s="250" t="s">
        <v>8142</v>
      </c>
      <c r="E2619" s="250" t="s">
        <v>3407</v>
      </c>
      <c r="F2619" s="305">
        <v>10</v>
      </c>
      <c r="G2619" s="252">
        <v>93</v>
      </c>
      <c r="H2619" s="308">
        <f t="shared" si="172"/>
        <v>930</v>
      </c>
      <c r="I2619" s="254" t="s">
        <v>3315</v>
      </c>
      <c r="J2619" s="367" t="s">
        <v>3408</v>
      </c>
      <c r="K2619" s="256">
        <v>43097</v>
      </c>
      <c r="L2619" s="256"/>
      <c r="M2619" s="256">
        <v>43094</v>
      </c>
      <c r="N2619" s="331" t="s">
        <v>2001</v>
      </c>
      <c r="O2619" s="308" t="s">
        <v>8143</v>
      </c>
      <c r="P2619" s="266">
        <v>924</v>
      </c>
      <c r="Q2619" s="308"/>
      <c r="R2619" s="1410"/>
      <c r="S2619" s="1410"/>
      <c r="U2619" s="308"/>
      <c r="V2619" s="318" t="s">
        <v>2003</v>
      </c>
      <c r="W2619" s="747">
        <v>43136</v>
      </c>
      <c r="X2619" s="748">
        <v>43091</v>
      </c>
      <c r="Y2619" s="744" t="s">
        <v>8144</v>
      </c>
      <c r="Z2619" s="749">
        <v>92080</v>
      </c>
      <c r="AA2619" s="594">
        <v>43140</v>
      </c>
      <c r="AB2619" s="744" t="s">
        <v>8139</v>
      </c>
      <c r="AC2619" s="251" t="s">
        <v>8140</v>
      </c>
      <c r="AD2619" s="328"/>
      <c r="AE2619" s="328"/>
      <c r="AF2619" s="328"/>
      <c r="AG2619" s="251" t="s">
        <v>283</v>
      </c>
    </row>
    <row r="2620" spans="1:33" ht="15.75" customHeight="1">
      <c r="A2620" s="755">
        <v>43045</v>
      </c>
      <c r="B2620" s="970" t="s">
        <v>100</v>
      </c>
      <c r="C2620" s="744" t="s">
        <v>8137</v>
      </c>
      <c r="D2620" s="250" t="s">
        <v>8138</v>
      </c>
      <c r="E2620" s="250" t="s">
        <v>3413</v>
      </c>
      <c r="F2620" s="305">
        <v>10</v>
      </c>
      <c r="G2620" s="252">
        <v>73</v>
      </c>
      <c r="H2620" s="308">
        <f t="shared" si="172"/>
        <v>730</v>
      </c>
      <c r="I2620" s="254" t="s">
        <v>3315</v>
      </c>
      <c r="J2620" s="267" t="s">
        <v>3408</v>
      </c>
      <c r="K2620" s="256">
        <v>43097</v>
      </c>
      <c r="L2620" s="256"/>
      <c r="M2620" s="256">
        <v>43094</v>
      </c>
      <c r="N2620" s="331" t="s">
        <v>2001</v>
      </c>
      <c r="O2620" s="308" t="s">
        <v>8143</v>
      </c>
      <c r="P2620" s="266">
        <v>724.5</v>
      </c>
      <c r="Q2620" s="308"/>
      <c r="R2620" s="1410"/>
      <c r="S2620" s="1410"/>
      <c r="U2620" s="308"/>
      <c r="V2620" s="308" t="s">
        <v>2003</v>
      </c>
      <c r="W2620" s="747">
        <v>43136</v>
      </c>
      <c r="X2620" s="748">
        <v>43091</v>
      </c>
      <c r="Y2620" s="744" t="s">
        <v>8144</v>
      </c>
      <c r="Z2620" s="744" t="s">
        <v>8145</v>
      </c>
      <c r="AA2620" s="594">
        <v>43140</v>
      </c>
      <c r="AB2620" s="744" t="s">
        <v>8139</v>
      </c>
      <c r="AC2620" s="251" t="s">
        <v>8140</v>
      </c>
      <c r="AD2620" s="328"/>
      <c r="AE2620" s="328"/>
      <c r="AF2620" s="328"/>
      <c r="AG2620" s="251" t="s">
        <v>283</v>
      </c>
    </row>
    <row r="2621" spans="1:33" ht="15.75" customHeight="1">
      <c r="A2621" s="755">
        <v>43045</v>
      </c>
      <c r="B2621" s="970" t="s">
        <v>100</v>
      </c>
      <c r="C2621" s="970" t="s">
        <v>8137</v>
      </c>
      <c r="D2621" s="250" t="s">
        <v>8138</v>
      </c>
      <c r="E2621" s="250" t="s">
        <v>3415</v>
      </c>
      <c r="F2621" s="1007">
        <v>10</v>
      </c>
      <c r="G2621" s="252">
        <v>140</v>
      </c>
      <c r="H2621" s="308">
        <f t="shared" si="172"/>
        <v>1400</v>
      </c>
      <c r="I2621" s="254" t="s">
        <v>3315</v>
      </c>
      <c r="J2621" s="367" t="s">
        <v>3408</v>
      </c>
      <c r="K2621" s="256">
        <v>43097</v>
      </c>
      <c r="L2621" s="256"/>
      <c r="M2621" s="256">
        <v>43094</v>
      </c>
      <c r="N2621" s="331" t="s">
        <v>2001</v>
      </c>
      <c r="O2621" s="308" t="s">
        <v>8143</v>
      </c>
      <c r="P2621" s="266">
        <v>1396.5</v>
      </c>
      <c r="Q2621" s="308"/>
      <c r="R2621" s="1410"/>
      <c r="S2621" s="1410"/>
      <c r="U2621" s="308"/>
      <c r="V2621" s="318" t="s">
        <v>2003</v>
      </c>
      <c r="W2621" s="747">
        <v>43136</v>
      </c>
      <c r="X2621" s="748">
        <v>43091</v>
      </c>
      <c r="Y2621" s="744" t="s">
        <v>8144</v>
      </c>
      <c r="Z2621" s="744" t="s">
        <v>8145</v>
      </c>
      <c r="AA2621" s="594">
        <v>43140</v>
      </c>
      <c r="AB2621" s="744" t="s">
        <v>8139</v>
      </c>
      <c r="AC2621" s="251" t="s">
        <v>8140</v>
      </c>
      <c r="AD2621" s="328"/>
      <c r="AE2621" s="328"/>
      <c r="AF2621" s="328"/>
      <c r="AG2621" s="251" t="s">
        <v>283</v>
      </c>
    </row>
    <row r="2622" spans="1:33" ht="15.75" customHeight="1">
      <c r="A2622" s="755">
        <v>43045</v>
      </c>
      <c r="B2622" s="970" t="s">
        <v>100</v>
      </c>
      <c r="C2622" s="744" t="s">
        <v>8137</v>
      </c>
      <c r="D2622" s="250" t="s">
        <v>8138</v>
      </c>
      <c r="E2622" s="250" t="s">
        <v>3420</v>
      </c>
      <c r="F2622" s="305">
        <v>10</v>
      </c>
      <c r="G2622" s="252">
        <v>4</v>
      </c>
      <c r="H2622" s="308">
        <f t="shared" si="172"/>
        <v>40</v>
      </c>
      <c r="I2622" s="264" t="s">
        <v>3315</v>
      </c>
      <c r="J2622" s="367" t="s">
        <v>3408</v>
      </c>
      <c r="K2622" s="256">
        <v>43097</v>
      </c>
      <c r="L2622" s="256"/>
      <c r="M2622" s="256">
        <v>43094</v>
      </c>
      <c r="N2622" s="331" t="s">
        <v>2001</v>
      </c>
      <c r="O2622" s="308" t="s">
        <v>8143</v>
      </c>
      <c r="P2622" s="266">
        <v>31.5</v>
      </c>
      <c r="Q2622" s="308"/>
      <c r="R2622" s="1410"/>
      <c r="S2622" s="1410"/>
      <c r="U2622" s="308"/>
      <c r="V2622" s="318" t="s">
        <v>2003</v>
      </c>
      <c r="W2622" s="747">
        <v>43136</v>
      </c>
      <c r="X2622" s="748">
        <v>43091</v>
      </c>
      <c r="Y2622" s="744" t="s">
        <v>8144</v>
      </c>
      <c r="Z2622" s="744" t="s">
        <v>8145</v>
      </c>
      <c r="AA2622" s="594">
        <v>43140</v>
      </c>
      <c r="AB2622" s="744" t="s">
        <v>8139</v>
      </c>
      <c r="AC2622" s="251" t="s">
        <v>8140</v>
      </c>
      <c r="AD2622" s="328"/>
      <c r="AE2622" s="328"/>
      <c r="AF2622" s="328"/>
      <c r="AG2622" s="251" t="s">
        <v>283</v>
      </c>
    </row>
    <row r="2623" spans="1:33" ht="15.75" customHeight="1">
      <c r="A2623" s="755">
        <v>43045</v>
      </c>
      <c r="B2623" s="338" t="s">
        <v>53</v>
      </c>
      <c r="C2623" s="250" t="s">
        <v>8146</v>
      </c>
      <c r="D2623" s="308" t="s">
        <v>8147</v>
      </c>
      <c r="E2623" s="308" t="s">
        <v>3632</v>
      </c>
      <c r="F2623" s="264">
        <v>2</v>
      </c>
      <c r="G2623" s="252">
        <v>150.15</v>
      </c>
      <c r="H2623" s="574">
        <f t="shared" si="172"/>
        <v>300.3</v>
      </c>
      <c r="I2623" s="264" t="s">
        <v>42</v>
      </c>
      <c r="J2623" s="251" t="s">
        <v>89</v>
      </c>
      <c r="K2623" s="256">
        <v>43073</v>
      </c>
      <c r="L2623" s="256"/>
      <c r="M2623" s="256">
        <v>43073</v>
      </c>
      <c r="N2623" s="331" t="s">
        <v>89</v>
      </c>
      <c r="O2623" s="308" t="s">
        <v>8148</v>
      </c>
      <c r="P2623" s="266">
        <v>268.8</v>
      </c>
      <c r="Q2623" s="593"/>
      <c r="R2623" s="1418"/>
      <c r="S2623" s="1418"/>
      <c r="U2623" s="328"/>
      <c r="V2623" s="338" t="s">
        <v>93</v>
      </c>
      <c r="W2623" s="328"/>
      <c r="X2623" s="748">
        <v>43073</v>
      </c>
      <c r="Y2623" s="744" t="s">
        <v>8149</v>
      </c>
      <c r="Z2623" s="749">
        <v>8048</v>
      </c>
      <c r="AA2623" s="594">
        <v>43110</v>
      </c>
      <c r="AB2623" s="744" t="s">
        <v>8150</v>
      </c>
      <c r="AC2623" s="328"/>
      <c r="AD2623" s="328" t="s">
        <v>8151</v>
      </c>
      <c r="AE2623" s="402">
        <v>9017</v>
      </c>
      <c r="AF2623" s="328" t="s">
        <v>8152</v>
      </c>
      <c r="AG2623" s="251" t="s">
        <v>376</v>
      </c>
    </row>
    <row r="2624" spans="1:33" ht="15.75" customHeight="1">
      <c r="A2624" s="743">
        <v>43045</v>
      </c>
      <c r="B2624" s="970" t="s">
        <v>228</v>
      </c>
      <c r="C2624" s="744"/>
      <c r="D2624" s="250" t="s">
        <v>8153</v>
      </c>
      <c r="E2624" s="250" t="s">
        <v>4650</v>
      </c>
      <c r="F2624" s="251">
        <v>5</v>
      </c>
      <c r="G2624" s="336">
        <v>21</v>
      </c>
      <c r="H2624" s="574">
        <f t="shared" si="172"/>
        <v>105</v>
      </c>
      <c r="I2624" s="264" t="s">
        <v>170</v>
      </c>
      <c r="J2624" s="251" t="s">
        <v>232</v>
      </c>
      <c r="K2624" s="256">
        <v>43052</v>
      </c>
      <c r="L2624" s="256"/>
      <c r="M2624" s="256">
        <v>43052</v>
      </c>
      <c r="N2624" s="331" t="s">
        <v>89</v>
      </c>
      <c r="O2624" s="308" t="s">
        <v>8154</v>
      </c>
      <c r="P2624" s="854">
        <v>88.724999999999994</v>
      </c>
      <c r="Q2624" s="328"/>
      <c r="R2624" s="1407"/>
      <c r="S2624" s="1407"/>
      <c r="U2624" s="328"/>
      <c r="V2624" s="338" t="s">
        <v>93</v>
      </c>
      <c r="W2624" s="328"/>
      <c r="X2624" s="748">
        <v>43052</v>
      </c>
      <c r="Y2624" s="744" t="s">
        <v>8155</v>
      </c>
      <c r="Z2624" s="749">
        <v>2672</v>
      </c>
      <c r="AA2624" s="594">
        <v>43110</v>
      </c>
      <c r="AB2624" s="250" t="s">
        <v>8156</v>
      </c>
      <c r="AC2624" s="328"/>
      <c r="AD2624" s="744" t="s">
        <v>8157</v>
      </c>
      <c r="AE2624" s="260">
        <v>3170</v>
      </c>
      <c r="AF2624" s="328" t="s">
        <v>5637</v>
      </c>
      <c r="AG2624" s="251" t="s">
        <v>376</v>
      </c>
    </row>
    <row r="2625" spans="1:33" ht="15.75" customHeight="1">
      <c r="A2625" s="743">
        <v>43045</v>
      </c>
      <c r="B2625" s="970" t="s">
        <v>577</v>
      </c>
      <c r="C2625" s="744">
        <v>20171106001</v>
      </c>
      <c r="D2625" s="250" t="s">
        <v>8158</v>
      </c>
      <c r="E2625" s="250" t="s">
        <v>579</v>
      </c>
      <c r="F2625" s="251">
        <v>1</v>
      </c>
      <c r="G2625" s="252">
        <v>96.6</v>
      </c>
      <c r="H2625" s="574">
        <f t="shared" si="172"/>
        <v>96.6</v>
      </c>
      <c r="I2625" s="264" t="s">
        <v>170</v>
      </c>
      <c r="J2625" s="251" t="s">
        <v>580</v>
      </c>
      <c r="K2625" s="256">
        <v>43048</v>
      </c>
      <c r="L2625" s="256"/>
      <c r="M2625" s="256">
        <v>43046</v>
      </c>
      <c r="N2625" s="331" t="s">
        <v>1414</v>
      </c>
      <c r="O2625" s="308" t="s">
        <v>8159</v>
      </c>
      <c r="P2625" s="591"/>
      <c r="Q2625" s="630">
        <v>2537</v>
      </c>
      <c r="R2625" s="1415"/>
      <c r="S2625" s="1415"/>
      <c r="U2625" s="328"/>
      <c r="V2625" s="318" t="s">
        <v>1947</v>
      </c>
      <c r="W2625" s="789">
        <v>43098</v>
      </c>
      <c r="X2625" s="748">
        <v>43046</v>
      </c>
      <c r="Y2625" s="250" t="s">
        <v>8160</v>
      </c>
      <c r="Z2625" s="753">
        <v>2537</v>
      </c>
      <c r="AA2625" s="594">
        <v>43105</v>
      </c>
      <c r="AB2625" s="744" t="s">
        <v>8161</v>
      </c>
      <c r="AC2625" s="328"/>
      <c r="AD2625" s="328" t="s">
        <v>3539</v>
      </c>
      <c r="AE2625" s="260">
        <v>2946</v>
      </c>
      <c r="AF2625" s="328" t="s">
        <v>8094</v>
      </c>
      <c r="AG2625" s="251" t="s">
        <v>376</v>
      </c>
    </row>
    <row r="2626" spans="1:33" ht="15.75" customHeight="1">
      <c r="A2626" s="743">
        <v>43046</v>
      </c>
      <c r="B2626" s="970" t="s">
        <v>577</v>
      </c>
      <c r="C2626" s="744">
        <v>20171107001</v>
      </c>
      <c r="D2626" s="250" t="s">
        <v>8162</v>
      </c>
      <c r="E2626" s="250" t="s">
        <v>579</v>
      </c>
      <c r="F2626" s="251">
        <v>1</v>
      </c>
      <c r="G2626" s="252">
        <v>96.6</v>
      </c>
      <c r="H2626" s="574">
        <f t="shared" si="172"/>
        <v>96.6</v>
      </c>
      <c r="I2626" s="264" t="s">
        <v>170</v>
      </c>
      <c r="J2626" s="251" t="s">
        <v>580</v>
      </c>
      <c r="K2626" s="256">
        <v>43049</v>
      </c>
      <c r="L2626" s="256"/>
      <c r="M2626" s="256">
        <v>43047</v>
      </c>
      <c r="N2626" s="331" t="s">
        <v>1414</v>
      </c>
      <c r="O2626" s="308" t="s">
        <v>8163</v>
      </c>
      <c r="P2626" s="591"/>
      <c r="Q2626" s="630">
        <v>2537</v>
      </c>
      <c r="R2626" s="1415"/>
      <c r="S2626" s="1415"/>
      <c r="U2626" s="328"/>
      <c r="V2626" s="318" t="s">
        <v>1947</v>
      </c>
      <c r="W2626" s="789">
        <v>43098</v>
      </c>
      <c r="X2626" s="750">
        <v>43047</v>
      </c>
      <c r="Y2626" s="250" t="s">
        <v>8164</v>
      </c>
      <c r="Z2626" s="753">
        <v>2537</v>
      </c>
      <c r="AA2626" s="594">
        <v>43105</v>
      </c>
      <c r="AB2626" s="744" t="s">
        <v>8165</v>
      </c>
      <c r="AC2626" s="328"/>
      <c r="AD2626" s="328" t="s">
        <v>3539</v>
      </c>
      <c r="AE2626" s="260">
        <v>2946</v>
      </c>
      <c r="AF2626" s="328" t="s">
        <v>5537</v>
      </c>
      <c r="AG2626" s="251" t="s">
        <v>376</v>
      </c>
    </row>
    <row r="2627" spans="1:33" ht="15.75" customHeight="1">
      <c r="A2627" s="743">
        <v>43047</v>
      </c>
      <c r="B2627" s="970" t="s">
        <v>3516</v>
      </c>
      <c r="C2627" s="744">
        <v>300165</v>
      </c>
      <c r="D2627" s="250" t="s">
        <v>8166</v>
      </c>
      <c r="E2627" s="250" t="s">
        <v>8167</v>
      </c>
      <c r="F2627" s="251">
        <v>20</v>
      </c>
      <c r="G2627" s="252">
        <v>55</v>
      </c>
      <c r="H2627" s="574">
        <f t="shared" si="172"/>
        <v>1100</v>
      </c>
      <c r="I2627" s="997" t="s">
        <v>3315</v>
      </c>
      <c r="J2627" s="367" t="s">
        <v>3519</v>
      </c>
      <c r="K2627" s="256">
        <v>43059</v>
      </c>
      <c r="L2627" s="256"/>
      <c r="M2627" s="256">
        <v>43055</v>
      </c>
      <c r="N2627" s="331" t="s">
        <v>89</v>
      </c>
      <c r="O2627" s="308" t="s">
        <v>8168</v>
      </c>
      <c r="P2627" s="266">
        <v>1008</v>
      </c>
      <c r="Q2627" s="328"/>
      <c r="R2627" s="1407"/>
      <c r="S2627" s="1407"/>
      <c r="U2627" s="328"/>
      <c r="V2627" s="338" t="s">
        <v>93</v>
      </c>
      <c r="W2627" s="328"/>
      <c r="X2627" s="748">
        <v>43055</v>
      </c>
      <c r="Y2627" s="744" t="s">
        <v>8169</v>
      </c>
      <c r="Z2627" s="749">
        <v>53755</v>
      </c>
      <c r="AA2627" s="594">
        <v>43110</v>
      </c>
      <c r="AB2627" s="744" t="s">
        <v>8170</v>
      </c>
      <c r="AC2627" s="251">
        <v>770786503518</v>
      </c>
      <c r="AD2627" s="328"/>
      <c r="AE2627" s="328"/>
      <c r="AF2627" s="328"/>
      <c r="AG2627" s="251" t="s">
        <v>283</v>
      </c>
    </row>
    <row r="2628" spans="1:33" ht="15.75" customHeight="1">
      <c r="A2628" s="743">
        <v>43047</v>
      </c>
      <c r="B2628" s="970" t="s">
        <v>3516</v>
      </c>
      <c r="C2628" s="744">
        <v>300165</v>
      </c>
      <c r="D2628" s="250" t="s">
        <v>8166</v>
      </c>
      <c r="E2628" s="250" t="s">
        <v>4304</v>
      </c>
      <c r="F2628" s="251">
        <v>10</v>
      </c>
      <c r="G2628" s="252">
        <v>82</v>
      </c>
      <c r="H2628" s="574">
        <f t="shared" si="172"/>
        <v>820</v>
      </c>
      <c r="I2628" s="997" t="s">
        <v>3315</v>
      </c>
      <c r="J2628" s="367" t="s">
        <v>3519</v>
      </c>
      <c r="K2628" s="256">
        <v>43059</v>
      </c>
      <c r="L2628" s="256"/>
      <c r="M2628" s="256">
        <v>43055</v>
      </c>
      <c r="N2628" s="331" t="s">
        <v>89</v>
      </c>
      <c r="O2628" s="308" t="s">
        <v>8168</v>
      </c>
      <c r="P2628" s="266">
        <v>777</v>
      </c>
      <c r="Q2628" s="328"/>
      <c r="R2628" s="1407"/>
      <c r="S2628" s="1407"/>
      <c r="U2628" s="328"/>
      <c r="V2628" s="338" t="s">
        <v>93</v>
      </c>
      <c r="W2628" s="328"/>
      <c r="X2628" s="748">
        <v>43055</v>
      </c>
      <c r="Y2628" s="744" t="s">
        <v>8169</v>
      </c>
      <c r="Z2628" s="744" t="s">
        <v>8171</v>
      </c>
      <c r="AA2628" s="594">
        <v>43110</v>
      </c>
      <c r="AB2628" s="744" t="s">
        <v>8170</v>
      </c>
      <c r="AC2628" s="251">
        <v>770786503518</v>
      </c>
      <c r="AD2628" s="328"/>
      <c r="AE2628" s="328"/>
      <c r="AF2628" s="328"/>
      <c r="AG2628" s="251" t="s">
        <v>283</v>
      </c>
    </row>
    <row r="2629" spans="1:33" ht="15.75" customHeight="1">
      <c r="A2629" s="743">
        <v>43049</v>
      </c>
      <c r="B2629" s="970" t="s">
        <v>76</v>
      </c>
      <c r="C2629" s="744">
        <v>904</v>
      </c>
      <c r="D2629" s="250" t="s">
        <v>8172</v>
      </c>
      <c r="E2629" s="250" t="s">
        <v>3381</v>
      </c>
      <c r="F2629" s="305">
        <v>10</v>
      </c>
      <c r="G2629" s="252">
        <v>285</v>
      </c>
      <c r="H2629" s="308">
        <f t="shared" si="172"/>
        <v>2850</v>
      </c>
      <c r="I2629" s="254" t="s">
        <v>42</v>
      </c>
      <c r="J2629" s="367" t="s">
        <v>315</v>
      </c>
      <c r="K2629" s="256">
        <v>43062</v>
      </c>
      <c r="L2629" s="256"/>
      <c r="M2629" s="256">
        <v>43062</v>
      </c>
      <c r="N2629" s="331" t="s">
        <v>1967</v>
      </c>
      <c r="O2629" s="308" t="s">
        <v>8173</v>
      </c>
      <c r="P2629" s="266">
        <v>2625</v>
      </c>
      <c r="Q2629" s="328"/>
      <c r="R2629" s="1407"/>
      <c r="S2629" s="1407"/>
      <c r="U2629" s="328"/>
      <c r="V2629" s="318" t="s">
        <v>1969</v>
      </c>
      <c r="W2629" s="747">
        <v>43130</v>
      </c>
      <c r="X2629" s="748">
        <v>43060</v>
      </c>
      <c r="Y2629" s="744" t="s">
        <v>8174</v>
      </c>
      <c r="Z2629" s="749">
        <v>78986</v>
      </c>
      <c r="AA2629" s="594">
        <v>43140</v>
      </c>
      <c r="AB2629" s="250" t="s">
        <v>8175</v>
      </c>
      <c r="AC2629" s="251">
        <v>173374320</v>
      </c>
      <c r="AD2629" s="328"/>
      <c r="AE2629" s="328"/>
      <c r="AF2629" s="328"/>
      <c r="AG2629" s="251" t="s">
        <v>283</v>
      </c>
    </row>
    <row r="2630" spans="1:33" ht="15.75" customHeight="1">
      <c r="A2630" s="755">
        <v>43054</v>
      </c>
      <c r="B2630" s="338" t="s">
        <v>76</v>
      </c>
      <c r="C2630" s="250">
        <v>960</v>
      </c>
      <c r="D2630" s="308" t="s">
        <v>8176</v>
      </c>
      <c r="E2630" s="308" t="s">
        <v>712</v>
      </c>
      <c r="F2630" s="264">
        <v>50</v>
      </c>
      <c r="G2630" s="265">
        <v>1.9</v>
      </c>
      <c r="H2630" s="574">
        <f t="shared" si="172"/>
        <v>95</v>
      </c>
      <c r="I2630" s="254" t="s">
        <v>42</v>
      </c>
      <c r="J2630" s="367" t="s">
        <v>315</v>
      </c>
      <c r="K2630" s="256">
        <v>43062</v>
      </c>
      <c r="L2630" s="256"/>
      <c r="M2630" s="264" t="s">
        <v>178</v>
      </c>
      <c r="N2630" s="331" t="s">
        <v>3608</v>
      </c>
      <c r="O2630" s="308" t="s">
        <v>8177</v>
      </c>
      <c r="P2630" s="591"/>
      <c r="Q2630" s="328"/>
      <c r="R2630" s="1407"/>
      <c r="S2630" s="1407"/>
      <c r="U2630" s="328"/>
      <c r="V2630" s="386" t="s">
        <v>2093</v>
      </c>
      <c r="W2630" s="328"/>
      <c r="X2630" s="745"/>
      <c r="Y2630" s="745"/>
      <c r="Z2630" s="745"/>
      <c r="AA2630" s="1003"/>
      <c r="AB2630" s="250" t="s">
        <v>8175</v>
      </c>
      <c r="AC2630" s="251">
        <v>173374320</v>
      </c>
      <c r="AD2630" s="328"/>
      <c r="AE2630" s="328"/>
      <c r="AF2630" s="328"/>
      <c r="AG2630" s="251" t="s">
        <v>283</v>
      </c>
    </row>
    <row r="2631" spans="1:33" ht="15.75" customHeight="1">
      <c r="A2631" s="743">
        <v>43054</v>
      </c>
      <c r="B2631" s="590" t="s">
        <v>7107</v>
      </c>
      <c r="C2631" s="744">
        <v>7000134056</v>
      </c>
      <c r="D2631" s="744" t="s">
        <v>8178</v>
      </c>
      <c r="E2631" s="744" t="s">
        <v>3566</v>
      </c>
      <c r="F2631" s="251">
        <v>1</v>
      </c>
      <c r="G2631" s="252">
        <v>55</v>
      </c>
      <c r="H2631" s="308">
        <f t="shared" si="172"/>
        <v>55</v>
      </c>
      <c r="I2631" s="254" t="s">
        <v>42</v>
      </c>
      <c r="J2631" s="401" t="s">
        <v>3462</v>
      </c>
      <c r="K2631" s="256">
        <v>43060</v>
      </c>
      <c r="L2631" s="256"/>
      <c r="M2631" s="256">
        <v>43059</v>
      </c>
      <c r="N2631" s="331" t="s">
        <v>3432</v>
      </c>
      <c r="O2631" s="308" t="s">
        <v>8179</v>
      </c>
      <c r="P2631" s="591"/>
      <c r="Q2631" s="572">
        <v>1638</v>
      </c>
      <c r="R2631" s="1413"/>
      <c r="S2631" s="1413"/>
      <c r="U2631" s="328"/>
      <c r="V2631" s="318" t="s">
        <v>2045</v>
      </c>
      <c r="W2631" s="789">
        <v>43131</v>
      </c>
      <c r="X2631" s="748">
        <v>43056</v>
      </c>
      <c r="Y2631" s="744" t="s">
        <v>8180</v>
      </c>
      <c r="Z2631" s="749">
        <v>10201</v>
      </c>
      <c r="AA2631" s="594">
        <v>43138</v>
      </c>
      <c r="AB2631" s="744" t="s">
        <v>8181</v>
      </c>
      <c r="AC2631" s="251">
        <v>7112049350</v>
      </c>
      <c r="AD2631" s="328"/>
      <c r="AE2631" s="328"/>
      <c r="AF2631" s="328"/>
      <c r="AG2631" s="251" t="s">
        <v>283</v>
      </c>
    </row>
    <row r="2632" spans="1:33" ht="15.75" customHeight="1">
      <c r="A2632" s="743">
        <v>43054</v>
      </c>
      <c r="B2632" s="590" t="s">
        <v>7107</v>
      </c>
      <c r="C2632" s="744">
        <v>7000134056</v>
      </c>
      <c r="D2632" s="744" t="s">
        <v>8178</v>
      </c>
      <c r="E2632" s="744" t="s">
        <v>3565</v>
      </c>
      <c r="F2632" s="251">
        <v>1</v>
      </c>
      <c r="G2632" s="252">
        <v>250</v>
      </c>
      <c r="H2632" s="574">
        <f t="shared" si="172"/>
        <v>250</v>
      </c>
      <c r="I2632" s="254" t="s">
        <v>42</v>
      </c>
      <c r="J2632" s="401" t="s">
        <v>3462</v>
      </c>
      <c r="K2632" s="256">
        <v>43060</v>
      </c>
      <c r="L2632" s="256"/>
      <c r="M2632" s="256">
        <v>43059</v>
      </c>
      <c r="N2632" s="331" t="s">
        <v>3432</v>
      </c>
      <c r="O2632" s="308" t="s">
        <v>8179</v>
      </c>
      <c r="P2632" s="591"/>
      <c r="Q2632" s="572">
        <v>7123</v>
      </c>
      <c r="R2632" s="1413"/>
      <c r="S2632" s="1413"/>
      <c r="U2632" s="328"/>
      <c r="V2632" s="318" t="s">
        <v>2045</v>
      </c>
      <c r="W2632" s="789">
        <v>43131</v>
      </c>
      <c r="X2632" s="748">
        <v>43056</v>
      </c>
      <c r="Y2632" s="744" t="s">
        <v>8180</v>
      </c>
      <c r="Z2632" s="749" t="s">
        <v>8182</v>
      </c>
      <c r="AA2632" s="594">
        <v>43138</v>
      </c>
      <c r="AB2632" s="744" t="s">
        <v>8181</v>
      </c>
      <c r="AC2632" s="251">
        <v>7112049350</v>
      </c>
      <c r="AD2632" s="328"/>
      <c r="AE2632" s="328"/>
      <c r="AF2632" s="328"/>
      <c r="AG2632" s="251" t="s">
        <v>283</v>
      </c>
    </row>
    <row r="2633" spans="1:33" ht="15.75" customHeight="1">
      <c r="A2633" s="743">
        <v>43054</v>
      </c>
      <c r="B2633" s="590" t="s">
        <v>7107</v>
      </c>
      <c r="C2633" s="744">
        <v>7000134056</v>
      </c>
      <c r="D2633" s="744" t="s">
        <v>8178</v>
      </c>
      <c r="E2633" s="744" t="s">
        <v>3567</v>
      </c>
      <c r="F2633" s="251">
        <v>1</v>
      </c>
      <c r="G2633" s="252">
        <v>39</v>
      </c>
      <c r="H2633" s="574">
        <f t="shared" si="172"/>
        <v>39</v>
      </c>
      <c r="I2633" s="254" t="s">
        <v>42</v>
      </c>
      <c r="J2633" s="401" t="s">
        <v>3462</v>
      </c>
      <c r="K2633" s="256">
        <v>43060</v>
      </c>
      <c r="L2633" s="256"/>
      <c r="M2633" s="256">
        <v>43059</v>
      </c>
      <c r="N2633" s="331" t="s">
        <v>3432</v>
      </c>
      <c r="O2633" s="308" t="s">
        <v>8179</v>
      </c>
      <c r="P2633" s="591"/>
      <c r="Q2633" s="572">
        <v>1094</v>
      </c>
      <c r="R2633" s="1413"/>
      <c r="S2633" s="1413"/>
      <c r="U2633" s="328"/>
      <c r="V2633" s="318" t="s">
        <v>2045</v>
      </c>
      <c r="W2633" s="789">
        <v>43131</v>
      </c>
      <c r="X2633" s="748">
        <v>43056</v>
      </c>
      <c r="Y2633" s="744" t="s">
        <v>8180</v>
      </c>
      <c r="Z2633" s="749" t="s">
        <v>8182</v>
      </c>
      <c r="AA2633" s="594">
        <v>43138</v>
      </c>
      <c r="AB2633" s="744" t="s">
        <v>8181</v>
      </c>
      <c r="AC2633" s="251">
        <v>7112049350</v>
      </c>
      <c r="AD2633" s="328"/>
      <c r="AE2633" s="328"/>
      <c r="AF2633" s="328"/>
      <c r="AG2633" s="251" t="s">
        <v>283</v>
      </c>
    </row>
    <row r="2634" spans="1:33" ht="15.75" customHeight="1">
      <c r="A2634" s="743">
        <v>43054</v>
      </c>
      <c r="B2634" s="590" t="s">
        <v>7107</v>
      </c>
      <c r="C2634" s="744">
        <v>7000134056</v>
      </c>
      <c r="D2634" s="744" t="s">
        <v>8178</v>
      </c>
      <c r="E2634" s="744" t="s">
        <v>3559</v>
      </c>
      <c r="F2634" s="251">
        <v>1</v>
      </c>
      <c r="G2634" s="252">
        <v>5</v>
      </c>
      <c r="H2634" s="574">
        <f t="shared" si="172"/>
        <v>5</v>
      </c>
      <c r="I2634" s="254" t="s">
        <v>42</v>
      </c>
      <c r="J2634" s="401" t="s">
        <v>3462</v>
      </c>
      <c r="K2634" s="256">
        <v>43060</v>
      </c>
      <c r="L2634" s="256"/>
      <c r="M2634" s="256">
        <v>43059</v>
      </c>
      <c r="N2634" s="401" t="s">
        <v>3432</v>
      </c>
      <c r="O2634" s="308" t="s">
        <v>8179</v>
      </c>
      <c r="P2634" s="591"/>
      <c r="Q2634" s="572">
        <v>142</v>
      </c>
      <c r="R2634" s="1413"/>
      <c r="S2634" s="1413"/>
      <c r="U2634" s="328"/>
      <c r="V2634" s="308" t="s">
        <v>2045</v>
      </c>
      <c r="W2634" s="789">
        <v>43131</v>
      </c>
      <c r="X2634" s="748">
        <v>43056</v>
      </c>
      <c r="Y2634" s="744" t="s">
        <v>8180</v>
      </c>
      <c r="Z2634" s="749" t="s">
        <v>8182</v>
      </c>
      <c r="AA2634" s="594">
        <v>43138</v>
      </c>
      <c r="AB2634" s="744" t="s">
        <v>8181</v>
      </c>
      <c r="AC2634" s="251">
        <v>7112049350</v>
      </c>
      <c r="AD2634" s="328"/>
      <c r="AE2634" s="328"/>
      <c r="AF2634" s="328"/>
      <c r="AG2634" s="251" t="s">
        <v>283</v>
      </c>
    </row>
    <row r="2635" spans="1:33" ht="15.75" customHeight="1">
      <c r="A2635" s="743">
        <v>43054</v>
      </c>
      <c r="B2635" s="590" t="s">
        <v>7107</v>
      </c>
      <c r="C2635" s="744">
        <v>7000134056</v>
      </c>
      <c r="D2635" s="744" t="s">
        <v>8178</v>
      </c>
      <c r="E2635" s="744" t="s">
        <v>3563</v>
      </c>
      <c r="F2635" s="251">
        <v>1</v>
      </c>
      <c r="G2635" s="252">
        <v>8.5</v>
      </c>
      <c r="H2635" s="574">
        <f t="shared" si="172"/>
        <v>8.5</v>
      </c>
      <c r="I2635" s="254" t="s">
        <v>42</v>
      </c>
      <c r="J2635" s="756" t="s">
        <v>3462</v>
      </c>
      <c r="K2635" s="256">
        <v>43060</v>
      </c>
      <c r="L2635" s="256"/>
      <c r="M2635" s="256">
        <v>43059</v>
      </c>
      <c r="N2635" s="331" t="s">
        <v>3432</v>
      </c>
      <c r="O2635" s="308" t="s">
        <v>8179</v>
      </c>
      <c r="P2635" s="591"/>
      <c r="Q2635" s="572">
        <v>204</v>
      </c>
      <c r="R2635" s="1413"/>
      <c r="S2635" s="1413"/>
      <c r="U2635" s="328"/>
      <c r="V2635" s="308" t="s">
        <v>2045</v>
      </c>
      <c r="W2635" s="789">
        <v>43131</v>
      </c>
      <c r="X2635" s="748">
        <v>43056</v>
      </c>
      <c r="Y2635" s="744" t="s">
        <v>8180</v>
      </c>
      <c r="Z2635" s="749" t="s">
        <v>8182</v>
      </c>
      <c r="AA2635" s="594">
        <v>43138</v>
      </c>
      <c r="AB2635" s="744" t="s">
        <v>8181</v>
      </c>
      <c r="AC2635" s="251">
        <v>7112049350</v>
      </c>
      <c r="AD2635" s="328"/>
      <c r="AE2635" s="328"/>
      <c r="AF2635" s="328"/>
      <c r="AG2635" s="251" t="s">
        <v>283</v>
      </c>
    </row>
    <row r="2636" spans="1:33" ht="15.75" customHeight="1">
      <c r="A2636" s="743">
        <v>43056</v>
      </c>
      <c r="B2636" s="970" t="s">
        <v>629</v>
      </c>
      <c r="C2636" s="744" t="s">
        <v>8183</v>
      </c>
      <c r="D2636" s="250" t="s">
        <v>8184</v>
      </c>
      <c r="E2636" s="250" t="s">
        <v>6267</v>
      </c>
      <c r="F2636" s="251">
        <v>1</v>
      </c>
      <c r="G2636" s="265">
        <v>220.5</v>
      </c>
      <c r="H2636" s="825">
        <f t="shared" si="172"/>
        <v>220.5</v>
      </c>
      <c r="I2636" s="254" t="s">
        <v>170</v>
      </c>
      <c r="J2636" s="361" t="s">
        <v>1309</v>
      </c>
      <c r="K2636" s="256">
        <v>43059</v>
      </c>
      <c r="L2636" s="256"/>
      <c r="M2636" s="256">
        <v>43056</v>
      </c>
      <c r="N2636" s="254" t="s">
        <v>2212</v>
      </c>
      <c r="O2636" s="308" t="s">
        <v>8185</v>
      </c>
      <c r="P2636" s="591"/>
      <c r="Q2636" s="572">
        <v>5093</v>
      </c>
      <c r="R2636" s="1413"/>
      <c r="S2636" s="1413"/>
      <c r="U2636" s="328"/>
      <c r="V2636" s="571" t="s">
        <v>2214</v>
      </c>
      <c r="W2636" s="574" t="s">
        <v>421</v>
      </c>
      <c r="X2636" s="748">
        <v>43059</v>
      </c>
      <c r="Y2636" s="748" t="s">
        <v>8186</v>
      </c>
      <c r="Z2636" s="753">
        <v>5093</v>
      </c>
      <c r="AA2636" s="594">
        <v>43074</v>
      </c>
      <c r="AB2636" s="744" t="s">
        <v>8187</v>
      </c>
      <c r="AC2636" s="328" t="s">
        <v>8188</v>
      </c>
      <c r="AD2636" s="597" t="s">
        <v>8189</v>
      </c>
      <c r="AE2636" s="260">
        <v>6636</v>
      </c>
      <c r="AF2636" s="328" t="s">
        <v>8190</v>
      </c>
      <c r="AG2636" s="251" t="s">
        <v>376</v>
      </c>
    </row>
    <row r="2637" spans="1:33" ht="15.75" customHeight="1">
      <c r="A2637" s="755">
        <v>43056</v>
      </c>
      <c r="B2637" s="386" t="s">
        <v>6719</v>
      </c>
      <c r="C2637" s="328" t="s">
        <v>8191</v>
      </c>
      <c r="D2637" s="308" t="s">
        <v>8192</v>
      </c>
      <c r="E2637" s="308" t="s">
        <v>5881</v>
      </c>
      <c r="F2637" s="305">
        <v>8</v>
      </c>
      <c r="G2637" s="265">
        <v>3587</v>
      </c>
      <c r="H2637" s="253">
        <f t="shared" si="172"/>
        <v>28696</v>
      </c>
      <c r="I2637" s="254" t="s">
        <v>170</v>
      </c>
      <c r="J2637" s="1022" t="s">
        <v>1309</v>
      </c>
      <c r="K2637" s="256">
        <v>43094</v>
      </c>
      <c r="L2637" s="256"/>
      <c r="M2637" s="328"/>
      <c r="N2637" s="585"/>
      <c r="O2637" s="308" t="s">
        <v>8193</v>
      </c>
      <c r="P2637" s="337"/>
      <c r="Q2637" s="328"/>
      <c r="R2637" s="1407"/>
      <c r="S2637" s="1407"/>
      <c r="U2637" s="328"/>
      <c r="V2637" s="328"/>
      <c r="W2637" s="328"/>
      <c r="X2637" s="881"/>
      <c r="Y2637" s="881"/>
      <c r="Z2637" s="881"/>
      <c r="AA2637" s="328"/>
      <c r="AB2637" s="328" t="s">
        <v>8194</v>
      </c>
      <c r="AC2637" s="328" t="s">
        <v>8195</v>
      </c>
      <c r="AD2637" s="328"/>
      <c r="AE2637" s="1074">
        <v>2964255</v>
      </c>
      <c r="AF2637" s="328"/>
      <c r="AG2637" s="251" t="s">
        <v>376</v>
      </c>
    </row>
    <row r="2638" spans="1:33" ht="15.75" customHeight="1">
      <c r="A2638" s="755">
        <v>43056</v>
      </c>
      <c r="B2638" s="386" t="s">
        <v>6719</v>
      </c>
      <c r="C2638" s="328" t="s">
        <v>8191</v>
      </c>
      <c r="D2638" s="308" t="s">
        <v>8192</v>
      </c>
      <c r="E2638" s="308" t="s">
        <v>5886</v>
      </c>
      <c r="F2638" s="305">
        <v>8</v>
      </c>
      <c r="G2638" s="265">
        <v>100.5</v>
      </c>
      <c r="H2638" s="253">
        <f t="shared" si="172"/>
        <v>804</v>
      </c>
      <c r="I2638" s="254" t="s">
        <v>170</v>
      </c>
      <c r="J2638" s="1022" t="s">
        <v>1309</v>
      </c>
      <c r="K2638" s="256">
        <v>43094</v>
      </c>
      <c r="L2638" s="256"/>
      <c r="M2638" s="328"/>
      <c r="N2638" s="585"/>
      <c r="O2638" s="308" t="s">
        <v>8193</v>
      </c>
      <c r="P2638" s="337"/>
      <c r="Q2638" s="328"/>
      <c r="R2638" s="1407"/>
      <c r="S2638" s="1407"/>
      <c r="U2638" s="328"/>
      <c r="V2638" s="328"/>
      <c r="W2638" s="328"/>
      <c r="X2638" s="881"/>
      <c r="Y2638" s="881"/>
      <c r="Z2638" s="881"/>
      <c r="AA2638" s="328"/>
      <c r="AB2638" s="328" t="s">
        <v>8194</v>
      </c>
      <c r="AC2638" s="328" t="s">
        <v>8195</v>
      </c>
      <c r="AD2638" s="328"/>
      <c r="AE2638" s="329" t="s">
        <v>8196</v>
      </c>
      <c r="AF2638" s="328"/>
      <c r="AG2638" s="251" t="s">
        <v>376</v>
      </c>
    </row>
    <row r="2639" spans="1:33" ht="15.75" customHeight="1">
      <c r="A2639" s="755">
        <v>43056</v>
      </c>
      <c r="B2639" s="386" t="s">
        <v>6719</v>
      </c>
      <c r="C2639" s="328" t="s">
        <v>8191</v>
      </c>
      <c r="D2639" s="308" t="s">
        <v>8192</v>
      </c>
      <c r="E2639" s="308" t="s">
        <v>5887</v>
      </c>
      <c r="F2639" s="305">
        <v>8</v>
      </c>
      <c r="G2639" s="266">
        <v>74.2</v>
      </c>
      <c r="H2639" s="253">
        <f t="shared" si="172"/>
        <v>593.6</v>
      </c>
      <c r="I2639" s="254" t="s">
        <v>170</v>
      </c>
      <c r="J2639" s="1022" t="s">
        <v>1309</v>
      </c>
      <c r="K2639" s="256">
        <v>43094</v>
      </c>
      <c r="L2639" s="256"/>
      <c r="M2639" s="328"/>
      <c r="N2639" s="585"/>
      <c r="O2639" s="308" t="s">
        <v>8193</v>
      </c>
      <c r="P2639" s="337"/>
      <c r="Q2639" s="328"/>
      <c r="R2639" s="1407"/>
      <c r="S2639" s="1407"/>
      <c r="U2639" s="328"/>
      <c r="V2639" s="328"/>
      <c r="W2639" s="328"/>
      <c r="X2639" s="881"/>
      <c r="Y2639" s="881"/>
      <c r="Z2639" s="881"/>
      <c r="AA2639" s="328"/>
      <c r="AB2639" s="328" t="s">
        <v>8194</v>
      </c>
      <c r="AC2639" s="328" t="s">
        <v>8195</v>
      </c>
      <c r="AD2639" s="328"/>
      <c r="AE2639" s="329" t="s">
        <v>8196</v>
      </c>
      <c r="AF2639" s="328"/>
      <c r="AG2639" s="251" t="s">
        <v>376</v>
      </c>
    </row>
    <row r="2640" spans="1:33" ht="15.75" customHeight="1">
      <c r="A2640" s="755">
        <v>43056</v>
      </c>
      <c r="B2640" s="386" t="s">
        <v>6719</v>
      </c>
      <c r="C2640" s="386" t="s">
        <v>8191</v>
      </c>
      <c r="D2640" s="318" t="s">
        <v>8192</v>
      </c>
      <c r="E2640" s="318" t="s">
        <v>5889</v>
      </c>
      <c r="F2640" s="1007">
        <v>8</v>
      </c>
      <c r="G2640" s="464">
        <v>1575</v>
      </c>
      <c r="H2640" s="253">
        <f t="shared" si="172"/>
        <v>12600</v>
      </c>
      <c r="I2640" s="254" t="s">
        <v>170</v>
      </c>
      <c r="J2640" s="251" t="s">
        <v>1309</v>
      </c>
      <c r="K2640" s="256">
        <v>43094</v>
      </c>
      <c r="L2640" s="256"/>
      <c r="M2640" s="328"/>
      <c r="N2640" s="585"/>
      <c r="O2640" s="308" t="s">
        <v>8193</v>
      </c>
      <c r="P2640" s="337"/>
      <c r="Q2640" s="328"/>
      <c r="R2640" s="1407"/>
      <c r="S2640" s="1407"/>
      <c r="U2640" s="328"/>
      <c r="V2640" s="386"/>
      <c r="W2640" s="328"/>
      <c r="X2640" s="881"/>
      <c r="Y2640" s="881"/>
      <c r="Z2640" s="881"/>
      <c r="AA2640" s="328"/>
      <c r="AB2640" s="328" t="s">
        <v>8194</v>
      </c>
      <c r="AC2640" s="328" t="s">
        <v>8195</v>
      </c>
      <c r="AD2640" s="328"/>
      <c r="AE2640" s="329" t="s">
        <v>8196</v>
      </c>
      <c r="AF2640" s="328"/>
      <c r="AG2640" s="251" t="s">
        <v>376</v>
      </c>
    </row>
    <row r="2641" spans="1:33" ht="15.75" customHeight="1">
      <c r="A2641" s="755">
        <v>43056</v>
      </c>
      <c r="B2641" s="386" t="s">
        <v>6719</v>
      </c>
      <c r="C2641" s="328" t="s">
        <v>8191</v>
      </c>
      <c r="D2641" s="308" t="s">
        <v>8192</v>
      </c>
      <c r="E2641" s="308" t="s">
        <v>5892</v>
      </c>
      <c r="F2641" s="305">
        <v>8</v>
      </c>
      <c r="G2641" s="266">
        <v>666</v>
      </c>
      <c r="H2641" s="253">
        <f t="shared" si="172"/>
        <v>5328</v>
      </c>
      <c r="I2641" s="254" t="s">
        <v>170</v>
      </c>
      <c r="J2641" s="251" t="s">
        <v>1309</v>
      </c>
      <c r="K2641" s="256">
        <v>43094</v>
      </c>
      <c r="L2641" s="256"/>
      <c r="M2641" s="328"/>
      <c r="N2641" s="251"/>
      <c r="O2641" s="308" t="s">
        <v>8193</v>
      </c>
      <c r="P2641" s="337"/>
      <c r="Q2641" s="328"/>
      <c r="R2641" s="1407"/>
      <c r="S2641" s="1407"/>
      <c r="U2641" s="328"/>
      <c r="V2641" s="386"/>
      <c r="W2641" s="328"/>
      <c r="X2641" s="881"/>
      <c r="Y2641" s="881"/>
      <c r="Z2641" s="881"/>
      <c r="AA2641" s="328"/>
      <c r="AB2641" s="328" t="s">
        <v>8194</v>
      </c>
      <c r="AC2641" s="328" t="s">
        <v>8195</v>
      </c>
      <c r="AD2641" s="328"/>
      <c r="AE2641" s="329" t="s">
        <v>8196</v>
      </c>
      <c r="AF2641" s="328"/>
      <c r="AG2641" s="251" t="s">
        <v>376</v>
      </c>
    </row>
    <row r="2642" spans="1:33" ht="15.75" customHeight="1">
      <c r="A2642" s="755">
        <v>43056</v>
      </c>
      <c r="B2642" s="386" t="s">
        <v>6719</v>
      </c>
      <c r="C2642" s="328" t="s">
        <v>8191</v>
      </c>
      <c r="D2642" s="308" t="s">
        <v>8197</v>
      </c>
      <c r="E2642" s="308" t="s">
        <v>5881</v>
      </c>
      <c r="F2642" s="251">
        <v>6</v>
      </c>
      <c r="G2642" s="265">
        <v>3587</v>
      </c>
      <c r="H2642" s="265">
        <f t="shared" si="172"/>
        <v>21522</v>
      </c>
      <c r="I2642" s="254" t="s">
        <v>170</v>
      </c>
      <c r="J2642" s="1022" t="s">
        <v>1309</v>
      </c>
      <c r="K2642" s="256">
        <v>43094</v>
      </c>
      <c r="L2642" s="256"/>
      <c r="M2642" s="328"/>
      <c r="N2642" s="331"/>
      <c r="O2642" s="308" t="s">
        <v>8198</v>
      </c>
      <c r="P2642" s="591"/>
      <c r="Q2642" s="328"/>
      <c r="R2642" s="1407"/>
      <c r="S2642" s="1407"/>
      <c r="U2642" s="328"/>
      <c r="V2642" s="590"/>
      <c r="W2642" s="328"/>
      <c r="X2642" s="745"/>
      <c r="Y2642" s="745"/>
      <c r="Z2642" s="745"/>
      <c r="AA2642" s="1003"/>
      <c r="AB2642" s="328" t="s">
        <v>8194</v>
      </c>
      <c r="AC2642" s="328" t="s">
        <v>8195</v>
      </c>
      <c r="AD2642" s="328"/>
      <c r="AE2642" s="329" t="s">
        <v>8196</v>
      </c>
      <c r="AF2642" s="328"/>
      <c r="AG2642" s="251" t="s">
        <v>376</v>
      </c>
    </row>
    <row r="2643" spans="1:33" ht="15.75" customHeight="1">
      <c r="A2643" s="755">
        <v>43056</v>
      </c>
      <c r="B2643" s="386" t="s">
        <v>6719</v>
      </c>
      <c r="C2643" s="328" t="s">
        <v>8191</v>
      </c>
      <c r="D2643" s="308" t="s">
        <v>8197</v>
      </c>
      <c r="E2643" s="308" t="s">
        <v>5886</v>
      </c>
      <c r="F2643" s="251">
        <v>6</v>
      </c>
      <c r="G2643" s="265">
        <v>100.5</v>
      </c>
      <c r="H2643" s="265">
        <f t="shared" si="172"/>
        <v>603</v>
      </c>
      <c r="I2643" s="254" t="s">
        <v>170</v>
      </c>
      <c r="J2643" s="1022" t="s">
        <v>1309</v>
      </c>
      <c r="K2643" s="256">
        <v>43094</v>
      </c>
      <c r="L2643" s="256"/>
      <c r="M2643" s="328"/>
      <c r="N2643" s="331"/>
      <c r="O2643" s="308" t="s">
        <v>8198</v>
      </c>
      <c r="P2643" s="591"/>
      <c r="Q2643" s="328"/>
      <c r="R2643" s="1407"/>
      <c r="S2643" s="1407"/>
      <c r="U2643" s="328"/>
      <c r="V2643" s="590"/>
      <c r="W2643" s="328"/>
      <c r="X2643" s="745"/>
      <c r="Y2643" s="745"/>
      <c r="Z2643" s="745"/>
      <c r="AA2643" s="1003"/>
      <c r="AB2643" s="328" t="s">
        <v>8194</v>
      </c>
      <c r="AC2643" s="328" t="s">
        <v>8195</v>
      </c>
      <c r="AD2643" s="328"/>
      <c r="AE2643" s="329" t="s">
        <v>8196</v>
      </c>
      <c r="AF2643" s="328"/>
      <c r="AG2643" s="251" t="s">
        <v>376</v>
      </c>
    </row>
    <row r="2644" spans="1:33" ht="15.75" customHeight="1">
      <c r="A2644" s="755">
        <v>43056</v>
      </c>
      <c r="B2644" s="386" t="s">
        <v>6719</v>
      </c>
      <c r="C2644" s="328" t="s">
        <v>8191</v>
      </c>
      <c r="D2644" s="308" t="s">
        <v>8197</v>
      </c>
      <c r="E2644" s="308" t="s">
        <v>5887</v>
      </c>
      <c r="F2644" s="251">
        <v>6</v>
      </c>
      <c r="G2644" s="1052">
        <v>74.2</v>
      </c>
      <c r="H2644" s="265">
        <f t="shared" si="172"/>
        <v>445.20000000000005</v>
      </c>
      <c r="I2644" s="254" t="s">
        <v>170</v>
      </c>
      <c r="J2644" s="1022" t="s">
        <v>1309</v>
      </c>
      <c r="K2644" s="256">
        <v>43094</v>
      </c>
      <c r="L2644" s="256"/>
      <c r="M2644" s="328"/>
      <c r="N2644" s="331"/>
      <c r="O2644" s="308" t="s">
        <v>8198</v>
      </c>
      <c r="P2644" s="591"/>
      <c r="Q2644" s="328"/>
      <c r="R2644" s="1407"/>
      <c r="S2644" s="1407"/>
      <c r="U2644" s="328"/>
      <c r="V2644" s="590"/>
      <c r="W2644" s="328"/>
      <c r="X2644" s="745"/>
      <c r="Y2644" s="745"/>
      <c r="Z2644" s="745"/>
      <c r="AA2644" s="1003"/>
      <c r="AB2644" s="328" t="s">
        <v>8194</v>
      </c>
      <c r="AC2644" s="328" t="s">
        <v>8195</v>
      </c>
      <c r="AD2644" s="328"/>
      <c r="AE2644" s="329" t="s">
        <v>8196</v>
      </c>
      <c r="AF2644" s="328"/>
      <c r="AG2644" s="251" t="s">
        <v>376</v>
      </c>
    </row>
    <row r="2645" spans="1:33" ht="15.75" customHeight="1">
      <c r="A2645" s="755">
        <v>43056</v>
      </c>
      <c r="B2645" s="386" t="s">
        <v>6719</v>
      </c>
      <c r="C2645" s="328" t="s">
        <v>8191</v>
      </c>
      <c r="D2645" s="308" t="s">
        <v>8197</v>
      </c>
      <c r="E2645" s="308" t="s">
        <v>5889</v>
      </c>
      <c r="F2645" s="251">
        <v>7</v>
      </c>
      <c r="G2645" s="265">
        <v>1575</v>
      </c>
      <c r="H2645" s="265">
        <f t="shared" si="172"/>
        <v>11025</v>
      </c>
      <c r="I2645" s="254" t="s">
        <v>170</v>
      </c>
      <c r="J2645" s="1022" t="s">
        <v>1309</v>
      </c>
      <c r="K2645" s="256">
        <v>43094</v>
      </c>
      <c r="L2645" s="256"/>
      <c r="M2645" s="328"/>
      <c r="N2645" s="331"/>
      <c r="O2645" s="308" t="s">
        <v>8198</v>
      </c>
      <c r="P2645" s="591"/>
      <c r="Q2645" s="328"/>
      <c r="R2645" s="1407"/>
      <c r="S2645" s="1407"/>
      <c r="U2645" s="328"/>
      <c r="V2645" s="590"/>
      <c r="W2645" s="328"/>
      <c r="X2645" s="745"/>
      <c r="Y2645" s="745"/>
      <c r="Z2645" s="745"/>
      <c r="AA2645" s="1003"/>
      <c r="AB2645" s="328" t="s">
        <v>8194</v>
      </c>
      <c r="AC2645" s="328" t="s">
        <v>8195</v>
      </c>
      <c r="AD2645" s="328"/>
      <c r="AE2645" s="329" t="s">
        <v>8196</v>
      </c>
      <c r="AF2645" s="328"/>
      <c r="AG2645" s="251" t="s">
        <v>376</v>
      </c>
    </row>
    <row r="2646" spans="1:33" ht="15.75" customHeight="1">
      <c r="A2646" s="755">
        <v>43056</v>
      </c>
      <c r="B2646" s="386" t="s">
        <v>6719</v>
      </c>
      <c r="C2646" s="328" t="s">
        <v>8191</v>
      </c>
      <c r="D2646" s="308" t="s">
        <v>8197</v>
      </c>
      <c r="E2646" s="308" t="s">
        <v>5892</v>
      </c>
      <c r="F2646" s="251">
        <v>7</v>
      </c>
      <c r="G2646" s="1052">
        <v>666</v>
      </c>
      <c r="H2646" s="265">
        <f t="shared" si="172"/>
        <v>4662</v>
      </c>
      <c r="I2646" s="254" t="s">
        <v>170</v>
      </c>
      <c r="J2646" s="1022" t="s">
        <v>1309</v>
      </c>
      <c r="K2646" s="256">
        <v>43094</v>
      </c>
      <c r="L2646" s="256"/>
      <c r="M2646" s="328"/>
      <c r="N2646" s="331"/>
      <c r="O2646" s="308" t="s">
        <v>8198</v>
      </c>
      <c r="P2646" s="591"/>
      <c r="Q2646" s="328"/>
      <c r="R2646" s="1407"/>
      <c r="S2646" s="1407"/>
      <c r="U2646" s="328"/>
      <c r="V2646" s="590"/>
      <c r="W2646" s="328"/>
      <c r="X2646" s="745"/>
      <c r="Y2646" s="745"/>
      <c r="Z2646" s="745"/>
      <c r="AA2646" s="1003"/>
      <c r="AB2646" s="328" t="s">
        <v>8194</v>
      </c>
      <c r="AC2646" s="328" t="s">
        <v>8195</v>
      </c>
      <c r="AD2646" s="328"/>
      <c r="AE2646" s="329" t="s">
        <v>8196</v>
      </c>
      <c r="AF2646" s="328"/>
      <c r="AG2646" s="251" t="s">
        <v>376</v>
      </c>
    </row>
    <row r="2647" spans="1:33" ht="15.75" customHeight="1">
      <c r="A2647" s="755">
        <v>43056</v>
      </c>
      <c r="B2647" s="386" t="s">
        <v>6719</v>
      </c>
      <c r="C2647" s="328" t="s">
        <v>8191</v>
      </c>
      <c r="D2647" s="308" t="s">
        <v>8197</v>
      </c>
      <c r="E2647" s="308" t="s">
        <v>6725</v>
      </c>
      <c r="F2647" s="305">
        <v>1</v>
      </c>
      <c r="G2647" s="265">
        <v>7057</v>
      </c>
      <c r="H2647" s="265">
        <f t="shared" si="172"/>
        <v>7057</v>
      </c>
      <c r="I2647" s="254" t="s">
        <v>170</v>
      </c>
      <c r="J2647" s="1022" t="s">
        <v>1309</v>
      </c>
      <c r="K2647" s="256">
        <v>43094</v>
      </c>
      <c r="L2647" s="256"/>
      <c r="M2647" s="328"/>
      <c r="N2647" s="331"/>
      <c r="O2647" s="308" t="s">
        <v>8198</v>
      </c>
      <c r="P2647" s="591"/>
      <c r="Q2647" s="328"/>
      <c r="R2647" s="1407"/>
      <c r="S2647" s="1407"/>
      <c r="U2647" s="328"/>
      <c r="V2647" s="590"/>
      <c r="W2647" s="328"/>
      <c r="X2647" s="745"/>
      <c r="Y2647" s="745"/>
      <c r="Z2647" s="745"/>
      <c r="AA2647" s="1003"/>
      <c r="AB2647" s="328" t="s">
        <v>8194</v>
      </c>
      <c r="AC2647" s="328" t="s">
        <v>8195</v>
      </c>
      <c r="AD2647" s="328"/>
      <c r="AE2647" s="329" t="s">
        <v>8196</v>
      </c>
      <c r="AF2647" s="328"/>
      <c r="AG2647" s="251" t="s">
        <v>376</v>
      </c>
    </row>
    <row r="2648" spans="1:33" ht="15.75" customHeight="1">
      <c r="A2648" s="743">
        <v>43058</v>
      </c>
      <c r="B2648" s="590" t="s">
        <v>7107</v>
      </c>
      <c r="C2648" s="744">
        <v>7000134208</v>
      </c>
      <c r="D2648" s="250" t="s">
        <v>8199</v>
      </c>
      <c r="E2648" s="250" t="s">
        <v>8200</v>
      </c>
      <c r="F2648" s="251">
        <v>2</v>
      </c>
      <c r="G2648" s="252">
        <v>40</v>
      </c>
      <c r="H2648" s="825">
        <f t="shared" si="172"/>
        <v>80</v>
      </c>
      <c r="I2648" s="254" t="s">
        <v>42</v>
      </c>
      <c r="J2648" s="756" t="s">
        <v>3462</v>
      </c>
      <c r="K2648" s="256">
        <v>43059</v>
      </c>
      <c r="L2648" s="256"/>
      <c r="M2648" s="328"/>
      <c r="N2648" s="331" t="s">
        <v>3303</v>
      </c>
      <c r="O2648" s="308" t="s">
        <v>8201</v>
      </c>
      <c r="P2648" s="591"/>
      <c r="Q2648" s="328">
        <v>2163</v>
      </c>
      <c r="R2648" s="1407"/>
      <c r="S2648" s="1407"/>
      <c r="U2648" s="328"/>
      <c r="V2648" s="590" t="s">
        <v>8202</v>
      </c>
      <c r="W2648" s="328"/>
      <c r="X2648" s="750">
        <v>43441</v>
      </c>
      <c r="Y2648" s="250" t="s">
        <v>8203</v>
      </c>
      <c r="Z2648" s="753">
        <v>2163</v>
      </c>
      <c r="AA2648" s="594">
        <v>43097</v>
      </c>
      <c r="AB2648" s="744" t="s">
        <v>8204</v>
      </c>
      <c r="AC2648" s="251">
        <v>3699804942</v>
      </c>
      <c r="AD2648" s="328"/>
      <c r="AE2648" s="328"/>
      <c r="AF2648" s="328"/>
      <c r="AG2648" s="251" t="s">
        <v>283</v>
      </c>
    </row>
    <row r="2649" spans="1:33" ht="15.75" customHeight="1">
      <c r="A2649" s="743">
        <v>43059</v>
      </c>
      <c r="B2649" s="590" t="s">
        <v>405</v>
      </c>
      <c r="C2649" s="744">
        <v>7000134242</v>
      </c>
      <c r="D2649" s="744" t="s">
        <v>8205</v>
      </c>
      <c r="E2649" s="744" t="s">
        <v>8206</v>
      </c>
      <c r="F2649" s="251">
        <v>40</v>
      </c>
      <c r="G2649" s="252">
        <v>95</v>
      </c>
      <c r="H2649" s="825">
        <f t="shared" si="172"/>
        <v>3800</v>
      </c>
      <c r="I2649" s="254" t="s">
        <v>42</v>
      </c>
      <c r="J2649" s="756" t="s">
        <v>3462</v>
      </c>
      <c r="K2649" s="256">
        <v>43069</v>
      </c>
      <c r="L2649" s="256"/>
      <c r="M2649" s="256">
        <v>43067</v>
      </c>
      <c r="N2649" s="331" t="s">
        <v>89</v>
      </c>
      <c r="O2649" s="308" t="s">
        <v>8207</v>
      </c>
      <c r="P2649" s="266">
        <v>3570</v>
      </c>
      <c r="Q2649" s="328"/>
      <c r="R2649" s="1407"/>
      <c r="S2649" s="1407"/>
      <c r="U2649" s="328"/>
      <c r="V2649" s="338" t="s">
        <v>93</v>
      </c>
      <c r="W2649" s="328"/>
      <c r="X2649" s="748">
        <v>43067</v>
      </c>
      <c r="Y2649" s="744" t="s">
        <v>8208</v>
      </c>
      <c r="Z2649" s="749">
        <v>107457</v>
      </c>
      <c r="AA2649" s="594">
        <v>43126</v>
      </c>
      <c r="AB2649" s="250" t="s">
        <v>8080</v>
      </c>
      <c r="AC2649" s="251">
        <v>1435156656</v>
      </c>
      <c r="AD2649" s="328"/>
      <c r="AE2649" s="328"/>
      <c r="AF2649" s="328"/>
      <c r="AG2649" s="251" t="s">
        <v>283</v>
      </c>
    </row>
    <row r="2650" spans="1:33" ht="15.75" customHeight="1">
      <c r="A2650" s="743">
        <v>43061</v>
      </c>
      <c r="B2650" s="970" t="s">
        <v>325</v>
      </c>
      <c r="C2650" s="757" t="s">
        <v>8209</v>
      </c>
      <c r="D2650" s="744" t="s">
        <v>8210</v>
      </c>
      <c r="E2650" s="744" t="s">
        <v>3612</v>
      </c>
      <c r="F2650" s="251">
        <v>10</v>
      </c>
      <c r="G2650" s="252">
        <v>567</v>
      </c>
      <c r="H2650" s="825">
        <f t="shared" si="172"/>
        <v>5670</v>
      </c>
      <c r="I2650" s="254" t="s">
        <v>3315</v>
      </c>
      <c r="J2650" s="367" t="s">
        <v>3613</v>
      </c>
      <c r="K2650" s="256">
        <v>43090</v>
      </c>
      <c r="L2650" s="256"/>
      <c r="M2650" s="256">
        <v>43083</v>
      </c>
      <c r="N2650" s="331" t="s">
        <v>3614</v>
      </c>
      <c r="O2650" s="308" t="s">
        <v>8211</v>
      </c>
      <c r="P2650" s="266">
        <v>5355</v>
      </c>
      <c r="Q2650" s="328"/>
      <c r="R2650" s="1407"/>
      <c r="S2650" s="1407"/>
      <c r="U2650" s="328"/>
      <c r="V2650" s="590" t="s">
        <v>2159</v>
      </c>
      <c r="W2650" s="747">
        <v>43136</v>
      </c>
      <c r="X2650" s="748">
        <v>43081</v>
      </c>
      <c r="Y2650" s="744" t="s">
        <v>8212</v>
      </c>
      <c r="Z2650" s="749">
        <v>296990</v>
      </c>
      <c r="AA2650" s="594">
        <v>43138</v>
      </c>
      <c r="AB2650" s="264" t="s">
        <v>8213</v>
      </c>
      <c r="AC2650" s="251">
        <v>812337368679</v>
      </c>
      <c r="AD2650" s="328"/>
      <c r="AE2650" s="328"/>
      <c r="AF2650" s="328"/>
      <c r="AG2650" s="251" t="s">
        <v>283</v>
      </c>
    </row>
    <row r="2651" spans="1:33" ht="15.75" customHeight="1">
      <c r="A2651" s="743">
        <v>43061</v>
      </c>
      <c r="B2651" s="970" t="s">
        <v>325</v>
      </c>
      <c r="C2651" s="757" t="s">
        <v>8209</v>
      </c>
      <c r="D2651" s="744" t="s">
        <v>8210</v>
      </c>
      <c r="E2651" s="744" t="s">
        <v>3620</v>
      </c>
      <c r="F2651" s="251">
        <v>10</v>
      </c>
      <c r="G2651" s="252">
        <v>273</v>
      </c>
      <c r="H2651" s="825">
        <f t="shared" si="172"/>
        <v>2730</v>
      </c>
      <c r="I2651" s="254" t="s">
        <v>3315</v>
      </c>
      <c r="J2651" s="367" t="s">
        <v>3613</v>
      </c>
      <c r="K2651" s="256">
        <v>43090</v>
      </c>
      <c r="L2651" s="256"/>
      <c r="M2651" s="256">
        <v>43083</v>
      </c>
      <c r="N2651" s="331" t="s">
        <v>44</v>
      </c>
      <c r="O2651" s="308" t="s">
        <v>8214</v>
      </c>
      <c r="P2651" s="266">
        <v>2257.5</v>
      </c>
      <c r="Q2651" s="328">
        <v>67709</v>
      </c>
      <c r="R2651" s="1407"/>
      <c r="S2651" s="1407"/>
      <c r="U2651" s="328"/>
      <c r="V2651" s="318" t="s">
        <v>6159</v>
      </c>
      <c r="W2651" s="624">
        <v>43105</v>
      </c>
      <c r="X2651" s="748">
        <v>43075</v>
      </c>
      <c r="Y2651" s="744" t="s">
        <v>8215</v>
      </c>
      <c r="Z2651" s="749">
        <v>67709</v>
      </c>
      <c r="AA2651" s="594">
        <v>43109</v>
      </c>
      <c r="AB2651" s="264" t="s">
        <v>8213</v>
      </c>
      <c r="AC2651" s="251">
        <v>812337368679</v>
      </c>
      <c r="AD2651" s="328"/>
      <c r="AE2651" s="328"/>
      <c r="AF2651" s="328"/>
      <c r="AG2651" s="251" t="s">
        <v>283</v>
      </c>
    </row>
    <row r="2652" spans="1:33" ht="15.75" customHeight="1">
      <c r="A2652" s="743">
        <v>43061</v>
      </c>
      <c r="B2652" s="970" t="s">
        <v>325</v>
      </c>
      <c r="C2652" s="757" t="s">
        <v>8209</v>
      </c>
      <c r="D2652" s="744" t="s">
        <v>8210</v>
      </c>
      <c r="E2652" s="744" t="s">
        <v>52</v>
      </c>
      <c r="F2652" s="251">
        <v>10</v>
      </c>
      <c r="G2652" s="252">
        <v>31</v>
      </c>
      <c r="H2652" s="825">
        <f t="shared" si="172"/>
        <v>310</v>
      </c>
      <c r="I2652" s="254" t="s">
        <v>3315</v>
      </c>
      <c r="J2652" s="367" t="s">
        <v>3613</v>
      </c>
      <c r="K2652" s="256">
        <v>43090</v>
      </c>
      <c r="L2652" s="256"/>
      <c r="M2652" s="256">
        <v>43083</v>
      </c>
      <c r="N2652" s="331" t="s">
        <v>3614</v>
      </c>
      <c r="O2652" s="308" t="s">
        <v>8211</v>
      </c>
      <c r="P2652" s="266">
        <v>226.8</v>
      </c>
      <c r="Q2652" s="328"/>
      <c r="R2652" s="1407"/>
      <c r="S2652" s="1407"/>
      <c r="U2652" s="328"/>
      <c r="V2652" s="590" t="s">
        <v>2159</v>
      </c>
      <c r="W2652" s="747">
        <v>43136</v>
      </c>
      <c r="X2652" s="748">
        <v>43081</v>
      </c>
      <c r="Y2652" s="744" t="s">
        <v>8212</v>
      </c>
      <c r="Z2652" s="744" t="s">
        <v>8216</v>
      </c>
      <c r="AA2652" s="594">
        <v>43138</v>
      </c>
      <c r="AB2652" s="264" t="s">
        <v>8213</v>
      </c>
      <c r="AC2652" s="251">
        <v>812337368679</v>
      </c>
      <c r="AD2652" s="328"/>
      <c r="AE2652" s="328"/>
      <c r="AF2652" s="328"/>
      <c r="AG2652" s="251" t="s">
        <v>283</v>
      </c>
    </row>
    <row r="2653" spans="1:33" ht="15.75" customHeight="1">
      <c r="A2653" s="743">
        <v>43061</v>
      </c>
      <c r="B2653" s="970" t="s">
        <v>325</v>
      </c>
      <c r="C2653" s="757" t="s">
        <v>8209</v>
      </c>
      <c r="D2653" s="744" t="s">
        <v>8210</v>
      </c>
      <c r="E2653" s="744" t="s">
        <v>58</v>
      </c>
      <c r="F2653" s="251">
        <v>10</v>
      </c>
      <c r="G2653" s="252">
        <v>4</v>
      </c>
      <c r="H2653" s="825">
        <f t="shared" si="172"/>
        <v>40</v>
      </c>
      <c r="I2653" s="254" t="s">
        <v>3315</v>
      </c>
      <c r="J2653" s="367" t="s">
        <v>3613</v>
      </c>
      <c r="K2653" s="256">
        <v>43090</v>
      </c>
      <c r="L2653" s="256"/>
      <c r="M2653" s="256">
        <v>43083</v>
      </c>
      <c r="N2653" s="331" t="s">
        <v>3614</v>
      </c>
      <c r="O2653" s="308" t="s">
        <v>8211</v>
      </c>
      <c r="P2653" s="266">
        <v>21</v>
      </c>
      <c r="Q2653" s="328"/>
      <c r="R2653" s="1407"/>
      <c r="S2653" s="1407"/>
      <c r="U2653" s="328"/>
      <c r="V2653" s="590" t="s">
        <v>2159</v>
      </c>
      <c r="W2653" s="747">
        <v>43136</v>
      </c>
      <c r="X2653" s="748">
        <v>43081</v>
      </c>
      <c r="Y2653" s="744" t="s">
        <v>8212</v>
      </c>
      <c r="Z2653" s="744" t="s">
        <v>8216</v>
      </c>
      <c r="AA2653" s="594">
        <v>43138</v>
      </c>
      <c r="AB2653" s="264" t="s">
        <v>8213</v>
      </c>
      <c r="AC2653" s="251">
        <v>812337368679</v>
      </c>
      <c r="AD2653" s="328"/>
      <c r="AE2653" s="328"/>
      <c r="AF2653" s="328"/>
      <c r="AG2653" s="251" t="s">
        <v>283</v>
      </c>
    </row>
    <row r="2654" spans="1:33" ht="15.75" customHeight="1">
      <c r="A2654" s="743">
        <v>43061</v>
      </c>
      <c r="B2654" s="970" t="s">
        <v>325</v>
      </c>
      <c r="C2654" s="757" t="s">
        <v>8209</v>
      </c>
      <c r="D2654" s="744" t="s">
        <v>8210</v>
      </c>
      <c r="E2654" s="744" t="s">
        <v>6184</v>
      </c>
      <c r="F2654" s="251">
        <v>10</v>
      </c>
      <c r="G2654" s="252">
        <v>438</v>
      </c>
      <c r="H2654" s="825">
        <f t="shared" si="172"/>
        <v>4380</v>
      </c>
      <c r="I2654" s="254" t="s">
        <v>3315</v>
      </c>
      <c r="J2654" s="367" t="s">
        <v>3613</v>
      </c>
      <c r="K2654" s="256">
        <v>43090</v>
      </c>
      <c r="L2654" s="256"/>
      <c r="M2654" s="256">
        <v>43083</v>
      </c>
      <c r="N2654" s="331" t="s">
        <v>3614</v>
      </c>
      <c r="O2654" s="308" t="s">
        <v>8211</v>
      </c>
      <c r="P2654" s="266">
        <v>4042.5</v>
      </c>
      <c r="Q2654" s="328"/>
      <c r="R2654" s="1407"/>
      <c r="S2654" s="1407"/>
      <c r="U2654" s="328"/>
      <c r="V2654" s="590" t="s">
        <v>2159</v>
      </c>
      <c r="W2654" s="747">
        <v>43136</v>
      </c>
      <c r="X2654" s="748">
        <v>43081</v>
      </c>
      <c r="Y2654" s="744" t="s">
        <v>8212</v>
      </c>
      <c r="Z2654" s="744" t="s">
        <v>8216</v>
      </c>
      <c r="AA2654" s="594">
        <v>43138</v>
      </c>
      <c r="AB2654" s="264" t="s">
        <v>8213</v>
      </c>
      <c r="AC2654" s="251">
        <v>812337368679</v>
      </c>
      <c r="AD2654" s="328"/>
      <c r="AE2654" s="328"/>
      <c r="AF2654" s="328"/>
      <c r="AG2654" s="251" t="s">
        <v>283</v>
      </c>
    </row>
    <row r="2655" spans="1:33" ht="15.75" customHeight="1">
      <c r="A2655" s="743">
        <v>43061</v>
      </c>
      <c r="B2655" s="970" t="s">
        <v>325</v>
      </c>
      <c r="C2655" s="757" t="s">
        <v>8209</v>
      </c>
      <c r="D2655" s="744" t="s">
        <v>8210</v>
      </c>
      <c r="E2655" s="744" t="s">
        <v>7118</v>
      </c>
      <c r="F2655" s="251">
        <v>10</v>
      </c>
      <c r="G2655" s="252">
        <v>48</v>
      </c>
      <c r="H2655" s="825">
        <f t="shared" si="172"/>
        <v>480</v>
      </c>
      <c r="I2655" s="254" t="s">
        <v>3315</v>
      </c>
      <c r="J2655" s="367" t="s">
        <v>3613</v>
      </c>
      <c r="K2655" s="256">
        <v>43090</v>
      </c>
      <c r="L2655" s="256"/>
      <c r="M2655" s="256">
        <v>43083</v>
      </c>
      <c r="N2655" s="331" t="s">
        <v>44</v>
      </c>
      <c r="O2655" s="308" t="s">
        <v>8214</v>
      </c>
      <c r="P2655" s="266">
        <v>577.5</v>
      </c>
      <c r="Q2655" s="328"/>
      <c r="R2655" s="1407"/>
      <c r="S2655" s="1407"/>
      <c r="U2655" s="328"/>
      <c r="V2655" s="318" t="s">
        <v>6159</v>
      </c>
      <c r="W2655" s="747">
        <v>43105</v>
      </c>
      <c r="X2655" s="748">
        <v>43074</v>
      </c>
      <c r="Y2655" s="744" t="s">
        <v>8217</v>
      </c>
      <c r="Z2655" s="749">
        <v>38917</v>
      </c>
      <c r="AA2655" s="594">
        <v>43140</v>
      </c>
      <c r="AB2655" s="264" t="s">
        <v>8213</v>
      </c>
      <c r="AC2655" s="251">
        <v>812337368679</v>
      </c>
      <c r="AD2655" s="328"/>
      <c r="AE2655" s="328"/>
      <c r="AF2655" s="328"/>
      <c r="AG2655" s="251" t="s">
        <v>283</v>
      </c>
    </row>
    <row r="2656" spans="1:33" ht="15.75" customHeight="1">
      <c r="A2656" s="743">
        <v>43061</v>
      </c>
      <c r="B2656" s="970" t="s">
        <v>325</v>
      </c>
      <c r="C2656" s="757" t="s">
        <v>8209</v>
      </c>
      <c r="D2656" s="744" t="s">
        <v>8210</v>
      </c>
      <c r="E2656" s="744" t="s">
        <v>52</v>
      </c>
      <c r="F2656" s="251">
        <v>10</v>
      </c>
      <c r="G2656" s="252">
        <v>31</v>
      </c>
      <c r="H2656" s="825">
        <f t="shared" si="172"/>
        <v>310</v>
      </c>
      <c r="I2656" s="254" t="s">
        <v>3315</v>
      </c>
      <c r="J2656" s="367" t="s">
        <v>3613</v>
      </c>
      <c r="K2656" s="256">
        <v>43090</v>
      </c>
      <c r="L2656" s="256"/>
      <c r="M2656" s="256">
        <v>43083</v>
      </c>
      <c r="N2656" s="331" t="s">
        <v>3614</v>
      </c>
      <c r="O2656" s="308" t="s">
        <v>8211</v>
      </c>
      <c r="P2656" s="266">
        <v>226.8</v>
      </c>
      <c r="Q2656" s="328"/>
      <c r="R2656" s="1407"/>
      <c r="S2656" s="1407"/>
      <c r="U2656" s="328"/>
      <c r="V2656" s="590" t="s">
        <v>2159</v>
      </c>
      <c r="W2656" s="747">
        <v>43136</v>
      </c>
      <c r="X2656" s="748">
        <v>43081</v>
      </c>
      <c r="Y2656" s="744" t="s">
        <v>8212</v>
      </c>
      <c r="Z2656" s="744" t="s">
        <v>8216</v>
      </c>
      <c r="AA2656" s="594">
        <v>43138</v>
      </c>
      <c r="AB2656" s="264" t="s">
        <v>8213</v>
      </c>
      <c r="AC2656" s="251">
        <v>812337368679</v>
      </c>
      <c r="AD2656" s="328"/>
      <c r="AE2656" s="328"/>
      <c r="AF2656" s="328"/>
      <c r="AG2656" s="251" t="s">
        <v>283</v>
      </c>
    </row>
    <row r="2657" spans="1:33" ht="15.75" customHeight="1">
      <c r="A2657" s="743">
        <v>43061</v>
      </c>
      <c r="B2657" s="970" t="s">
        <v>325</v>
      </c>
      <c r="C2657" s="757" t="s">
        <v>8209</v>
      </c>
      <c r="D2657" s="744" t="s">
        <v>8210</v>
      </c>
      <c r="E2657" s="744" t="s">
        <v>58</v>
      </c>
      <c r="F2657" s="251">
        <v>10</v>
      </c>
      <c r="G2657" s="252">
        <v>4</v>
      </c>
      <c r="H2657" s="825">
        <f t="shared" si="172"/>
        <v>40</v>
      </c>
      <c r="I2657" s="254" t="s">
        <v>3315</v>
      </c>
      <c r="J2657" s="367" t="s">
        <v>3613</v>
      </c>
      <c r="K2657" s="256">
        <v>43090</v>
      </c>
      <c r="L2657" s="256"/>
      <c r="M2657" s="256">
        <v>43083</v>
      </c>
      <c r="N2657" s="331" t="s">
        <v>3614</v>
      </c>
      <c r="O2657" s="308" t="s">
        <v>8211</v>
      </c>
      <c r="P2657" s="266">
        <v>21</v>
      </c>
      <c r="Q2657" s="328"/>
      <c r="R2657" s="1407"/>
      <c r="S2657" s="1407"/>
      <c r="U2657" s="328"/>
      <c r="V2657" s="590" t="s">
        <v>2159</v>
      </c>
      <c r="W2657" s="747">
        <v>43136</v>
      </c>
      <c r="X2657" s="748">
        <v>43081</v>
      </c>
      <c r="Y2657" s="744" t="s">
        <v>8212</v>
      </c>
      <c r="Z2657" s="744" t="s">
        <v>8216</v>
      </c>
      <c r="AA2657" s="594">
        <v>43138</v>
      </c>
      <c r="AB2657" s="264" t="s">
        <v>8213</v>
      </c>
      <c r="AC2657" s="251">
        <v>812337368679</v>
      </c>
      <c r="AD2657" s="328"/>
      <c r="AE2657" s="328"/>
      <c r="AF2657" s="328"/>
      <c r="AG2657" s="251" t="s">
        <v>283</v>
      </c>
    </row>
    <row r="2658" spans="1:33" ht="15.75" customHeight="1">
      <c r="A2658" s="743">
        <v>43061</v>
      </c>
      <c r="B2658" s="970" t="s">
        <v>325</v>
      </c>
      <c r="C2658" s="757" t="s">
        <v>8218</v>
      </c>
      <c r="D2658" s="744" t="s">
        <v>8219</v>
      </c>
      <c r="E2658" s="744" t="s">
        <v>3612</v>
      </c>
      <c r="F2658" s="251">
        <v>3</v>
      </c>
      <c r="G2658" s="252">
        <v>567</v>
      </c>
      <c r="H2658" s="825">
        <f t="shared" si="172"/>
        <v>1701</v>
      </c>
      <c r="I2658" s="254" t="s">
        <v>3315</v>
      </c>
      <c r="J2658" s="367" t="s">
        <v>8220</v>
      </c>
      <c r="K2658" s="256">
        <v>43081</v>
      </c>
      <c r="L2658" s="256"/>
      <c r="M2658" s="256">
        <v>43081</v>
      </c>
      <c r="N2658" s="401" t="s">
        <v>3614</v>
      </c>
      <c r="O2658" s="308" t="s">
        <v>8221</v>
      </c>
      <c r="P2658" s="266">
        <v>1606.5</v>
      </c>
      <c r="Q2658" s="328"/>
      <c r="R2658" s="1407"/>
      <c r="S2658" s="1407"/>
      <c r="U2658" s="328"/>
      <c r="V2658" s="420" t="s">
        <v>2159</v>
      </c>
      <c r="W2658" s="747">
        <v>43136</v>
      </c>
      <c r="X2658" s="748">
        <v>43080</v>
      </c>
      <c r="Y2658" s="744" t="s">
        <v>8222</v>
      </c>
      <c r="Z2658" s="749">
        <v>50442</v>
      </c>
      <c r="AA2658" s="594">
        <v>43138</v>
      </c>
      <c r="AB2658" s="264" t="s">
        <v>8223</v>
      </c>
      <c r="AC2658" s="251">
        <v>770965073632</v>
      </c>
      <c r="AD2658" s="328"/>
      <c r="AE2658" s="328"/>
      <c r="AF2658" s="328"/>
      <c r="AG2658" s="251" t="s">
        <v>283</v>
      </c>
    </row>
    <row r="2659" spans="1:33" ht="15.75" customHeight="1">
      <c r="A2659" s="743">
        <v>43061</v>
      </c>
      <c r="B2659" s="970" t="s">
        <v>325</v>
      </c>
      <c r="C2659" s="757" t="s">
        <v>8218</v>
      </c>
      <c r="D2659" s="744" t="s">
        <v>8219</v>
      </c>
      <c r="E2659" s="744" t="s">
        <v>52</v>
      </c>
      <c r="F2659" s="251">
        <v>3</v>
      </c>
      <c r="G2659" s="252">
        <v>31</v>
      </c>
      <c r="H2659" s="825">
        <f t="shared" si="172"/>
        <v>93</v>
      </c>
      <c r="I2659" s="254" t="s">
        <v>3315</v>
      </c>
      <c r="J2659" s="367" t="s">
        <v>8220</v>
      </c>
      <c r="K2659" s="256">
        <v>43081</v>
      </c>
      <c r="L2659" s="256"/>
      <c r="M2659" s="256">
        <v>43081</v>
      </c>
      <c r="N2659" s="331" t="s">
        <v>3614</v>
      </c>
      <c r="O2659" s="308" t="s">
        <v>8221</v>
      </c>
      <c r="P2659" s="266">
        <v>68.040000000000006</v>
      </c>
      <c r="Q2659" s="328"/>
      <c r="R2659" s="1407"/>
      <c r="S2659" s="1407"/>
      <c r="U2659" s="328"/>
      <c r="V2659" s="590" t="s">
        <v>2159</v>
      </c>
      <c r="W2659" s="747">
        <v>43136</v>
      </c>
      <c r="X2659" s="748">
        <v>43080</v>
      </c>
      <c r="Y2659" s="744" t="s">
        <v>8222</v>
      </c>
      <c r="Z2659" s="744" t="s">
        <v>8224</v>
      </c>
      <c r="AA2659" s="594">
        <v>43138</v>
      </c>
      <c r="AB2659" s="264" t="s">
        <v>8223</v>
      </c>
      <c r="AC2659" s="251">
        <v>770965073632</v>
      </c>
      <c r="AD2659" s="328"/>
      <c r="AE2659" s="328"/>
      <c r="AF2659" s="328"/>
      <c r="AG2659" s="251" t="s">
        <v>283</v>
      </c>
    </row>
    <row r="2660" spans="1:33" ht="15.75" customHeight="1">
      <c r="A2660" s="743">
        <v>43061</v>
      </c>
      <c r="B2660" s="970" t="s">
        <v>325</v>
      </c>
      <c r="C2660" s="757" t="s">
        <v>8218</v>
      </c>
      <c r="D2660" s="744" t="s">
        <v>8219</v>
      </c>
      <c r="E2660" s="744" t="s">
        <v>58</v>
      </c>
      <c r="F2660" s="251">
        <v>3</v>
      </c>
      <c r="G2660" s="252">
        <v>4</v>
      </c>
      <c r="H2660" s="825">
        <f t="shared" si="172"/>
        <v>12</v>
      </c>
      <c r="I2660" s="254" t="s">
        <v>3315</v>
      </c>
      <c r="J2660" s="367" t="s">
        <v>8220</v>
      </c>
      <c r="K2660" s="256">
        <v>43081</v>
      </c>
      <c r="L2660" s="256"/>
      <c r="M2660" s="256">
        <v>43081</v>
      </c>
      <c r="N2660" s="401" t="s">
        <v>3614</v>
      </c>
      <c r="O2660" s="308" t="s">
        <v>8221</v>
      </c>
      <c r="P2660" s="266">
        <v>6.3</v>
      </c>
      <c r="Q2660" s="328"/>
      <c r="R2660" s="1407"/>
      <c r="S2660" s="1407"/>
      <c r="U2660" s="328"/>
      <c r="V2660" s="590" t="s">
        <v>2159</v>
      </c>
      <c r="W2660" s="747">
        <v>43136</v>
      </c>
      <c r="X2660" s="748">
        <v>43080</v>
      </c>
      <c r="Y2660" s="744" t="s">
        <v>8222</v>
      </c>
      <c r="Z2660" s="744" t="s">
        <v>8224</v>
      </c>
      <c r="AA2660" s="594">
        <v>43138</v>
      </c>
      <c r="AB2660" s="264" t="s">
        <v>8223</v>
      </c>
      <c r="AC2660" s="251">
        <v>770965073632</v>
      </c>
      <c r="AD2660" s="328"/>
      <c r="AE2660" s="328"/>
      <c r="AF2660" s="328"/>
      <c r="AG2660" s="251" t="s">
        <v>283</v>
      </c>
    </row>
    <row r="2661" spans="1:33" ht="15.75" customHeight="1">
      <c r="A2661" s="743">
        <v>43061</v>
      </c>
      <c r="B2661" s="970" t="s">
        <v>100</v>
      </c>
      <c r="C2661" s="744" t="s">
        <v>8225</v>
      </c>
      <c r="D2661" s="420" t="s">
        <v>8226</v>
      </c>
      <c r="E2661" s="420" t="s">
        <v>8227</v>
      </c>
      <c r="F2661" s="251">
        <v>4</v>
      </c>
      <c r="G2661" s="252">
        <v>550</v>
      </c>
      <c r="H2661" s="825">
        <f t="shared" si="172"/>
        <v>2200</v>
      </c>
      <c r="I2661" s="254" t="s">
        <v>3315</v>
      </c>
      <c r="J2661" s="367" t="s">
        <v>3578</v>
      </c>
      <c r="K2661" s="256">
        <v>43076</v>
      </c>
      <c r="L2661" s="256"/>
      <c r="M2661" s="256">
        <v>43076</v>
      </c>
      <c r="N2661" s="331" t="s">
        <v>1995</v>
      </c>
      <c r="O2661" s="308" t="s">
        <v>8228</v>
      </c>
      <c r="P2661" s="591"/>
      <c r="Q2661" s="572">
        <v>62370</v>
      </c>
      <c r="R2661" s="1413"/>
      <c r="S2661" s="1413"/>
      <c r="U2661" s="328"/>
      <c r="V2661" s="338" t="s">
        <v>1997</v>
      </c>
      <c r="W2661" s="747">
        <v>43136</v>
      </c>
      <c r="X2661" s="748">
        <v>43075</v>
      </c>
      <c r="Y2661" s="744" t="s">
        <v>8229</v>
      </c>
      <c r="Z2661" s="749">
        <v>95571</v>
      </c>
      <c r="AA2661" s="594">
        <v>43136</v>
      </c>
      <c r="AB2661" s="250" t="s">
        <v>8230</v>
      </c>
      <c r="AC2661" s="251">
        <v>8306543862</v>
      </c>
      <c r="AD2661" s="328"/>
      <c r="AE2661" s="328"/>
      <c r="AF2661" s="328"/>
      <c r="AG2661" s="251" t="s">
        <v>283</v>
      </c>
    </row>
    <row r="2662" spans="1:33" ht="15.75" customHeight="1">
      <c r="A2662" s="743">
        <v>43061</v>
      </c>
      <c r="B2662" s="970" t="s">
        <v>325</v>
      </c>
      <c r="C2662" s="757" t="s">
        <v>8218</v>
      </c>
      <c r="D2662" s="744" t="s">
        <v>8219</v>
      </c>
      <c r="E2662" s="744" t="s">
        <v>3893</v>
      </c>
      <c r="F2662" s="251">
        <v>3</v>
      </c>
      <c r="G2662" s="252">
        <v>285</v>
      </c>
      <c r="H2662" s="825">
        <f t="shared" si="172"/>
        <v>855</v>
      </c>
      <c r="I2662" s="254" t="s">
        <v>3315</v>
      </c>
      <c r="J2662" s="367" t="s">
        <v>8220</v>
      </c>
      <c r="K2662" s="256">
        <v>43081</v>
      </c>
      <c r="L2662" s="256"/>
      <c r="M2662" s="256">
        <v>43075</v>
      </c>
      <c r="N2662" s="331" t="s">
        <v>44</v>
      </c>
      <c r="O2662" s="308" t="s">
        <v>8231</v>
      </c>
      <c r="P2662" s="266">
        <v>718.2</v>
      </c>
      <c r="Q2662" s="328"/>
      <c r="R2662" s="1407"/>
      <c r="S2662" s="1407"/>
      <c r="U2662" s="328"/>
      <c r="V2662" s="318" t="s">
        <v>6159</v>
      </c>
      <c r="W2662" s="747">
        <v>43105</v>
      </c>
      <c r="X2662" s="748">
        <v>43074</v>
      </c>
      <c r="Y2662" s="744" t="s">
        <v>8217</v>
      </c>
      <c r="Z2662" s="744" t="s">
        <v>8232</v>
      </c>
      <c r="AA2662" s="594">
        <v>43140</v>
      </c>
      <c r="AB2662" s="264" t="s">
        <v>8223</v>
      </c>
      <c r="AC2662" s="251">
        <v>770965073632</v>
      </c>
      <c r="AD2662" s="328"/>
      <c r="AE2662" s="328"/>
      <c r="AF2662" s="328"/>
      <c r="AG2662" s="251" t="s">
        <v>283</v>
      </c>
    </row>
    <row r="2663" spans="1:33" ht="15.75" customHeight="1">
      <c r="A2663" s="743">
        <v>43061</v>
      </c>
      <c r="B2663" s="970" t="s">
        <v>100</v>
      </c>
      <c r="C2663" s="744" t="s">
        <v>8225</v>
      </c>
      <c r="D2663" s="744" t="s">
        <v>8233</v>
      </c>
      <c r="E2663" s="744" t="s">
        <v>8234</v>
      </c>
      <c r="F2663" s="251">
        <v>5</v>
      </c>
      <c r="G2663" s="252">
        <v>399</v>
      </c>
      <c r="H2663" s="825">
        <f t="shared" si="172"/>
        <v>1995</v>
      </c>
      <c r="I2663" s="254" t="s">
        <v>3315</v>
      </c>
      <c r="J2663" s="367" t="s">
        <v>3578</v>
      </c>
      <c r="K2663" s="256">
        <v>43076</v>
      </c>
      <c r="L2663" s="256"/>
      <c r="M2663" s="256">
        <v>43073</v>
      </c>
      <c r="N2663" s="331" t="s">
        <v>6651</v>
      </c>
      <c r="O2663" s="308" t="s">
        <v>8228</v>
      </c>
      <c r="P2663" s="591"/>
      <c r="Q2663" s="572">
        <v>56700</v>
      </c>
      <c r="R2663" s="1413"/>
      <c r="S2663" s="1413"/>
      <c r="U2663" s="328"/>
      <c r="V2663" s="318" t="s">
        <v>6653</v>
      </c>
      <c r="W2663" s="328"/>
      <c r="X2663" s="748">
        <v>43073</v>
      </c>
      <c r="Y2663" s="744" t="s">
        <v>8235</v>
      </c>
      <c r="Z2663" s="749">
        <v>56700</v>
      </c>
      <c r="AA2663" s="594">
        <v>43138</v>
      </c>
      <c r="AB2663" s="250" t="s">
        <v>8230</v>
      </c>
      <c r="AC2663" s="251">
        <v>8306543862</v>
      </c>
      <c r="AD2663" s="328"/>
      <c r="AE2663" s="328"/>
      <c r="AF2663" s="328"/>
      <c r="AG2663" s="251" t="s">
        <v>283</v>
      </c>
    </row>
    <row r="2664" spans="1:33" ht="15.75" customHeight="1">
      <c r="A2664" s="743">
        <v>43061</v>
      </c>
      <c r="B2664" s="970" t="s">
        <v>100</v>
      </c>
      <c r="C2664" s="744" t="s">
        <v>8225</v>
      </c>
      <c r="D2664" s="420" t="s">
        <v>8117</v>
      </c>
      <c r="E2664" s="420" t="s">
        <v>3811</v>
      </c>
      <c r="F2664" s="251">
        <v>4</v>
      </c>
      <c r="G2664" s="252">
        <v>229</v>
      </c>
      <c r="H2664" s="825">
        <f t="shared" si="172"/>
        <v>916</v>
      </c>
      <c r="I2664" s="254" t="s">
        <v>3315</v>
      </c>
      <c r="J2664" s="367" t="s">
        <v>3578</v>
      </c>
      <c r="K2664" s="256">
        <v>43076</v>
      </c>
      <c r="L2664" s="256"/>
      <c r="M2664" s="256">
        <v>43073</v>
      </c>
      <c r="N2664" s="585" t="s">
        <v>1993</v>
      </c>
      <c r="O2664" s="308" t="s">
        <v>8236</v>
      </c>
      <c r="P2664" s="266">
        <v>777</v>
      </c>
      <c r="Q2664" s="328">
        <v>23317</v>
      </c>
      <c r="R2664" s="1407"/>
      <c r="S2664" s="1407"/>
      <c r="U2664" s="328"/>
      <c r="V2664" s="318" t="s">
        <v>6159</v>
      </c>
      <c r="W2664" s="789">
        <v>43105</v>
      </c>
      <c r="X2664" s="748">
        <v>43070</v>
      </c>
      <c r="Y2664" s="744" t="s">
        <v>8237</v>
      </c>
      <c r="Z2664" s="749">
        <v>23317</v>
      </c>
      <c r="AA2664" s="594">
        <v>43109</v>
      </c>
      <c r="AB2664" s="264" t="s">
        <v>8230</v>
      </c>
      <c r="AC2664" s="251">
        <v>8306543862</v>
      </c>
      <c r="AD2664" s="328"/>
      <c r="AE2664" s="328"/>
      <c r="AF2664" s="328"/>
      <c r="AG2664" s="251" t="s">
        <v>283</v>
      </c>
    </row>
    <row r="2665" spans="1:33" ht="15.75" customHeight="1">
      <c r="A2665" s="743">
        <v>43061</v>
      </c>
      <c r="B2665" s="970" t="s">
        <v>100</v>
      </c>
      <c r="C2665" s="744" t="s">
        <v>8225</v>
      </c>
      <c r="D2665" s="420" t="s">
        <v>8238</v>
      </c>
      <c r="E2665" s="420" t="s">
        <v>8239</v>
      </c>
      <c r="F2665" s="251">
        <v>4</v>
      </c>
      <c r="G2665" s="252">
        <v>38</v>
      </c>
      <c r="H2665" s="825">
        <f t="shared" si="172"/>
        <v>152</v>
      </c>
      <c r="I2665" s="254" t="s">
        <v>3315</v>
      </c>
      <c r="J2665" s="367" t="s">
        <v>3578</v>
      </c>
      <c r="K2665" s="256">
        <v>43076</v>
      </c>
      <c r="L2665" s="256"/>
      <c r="M2665" s="256">
        <v>43069</v>
      </c>
      <c r="N2665" s="331" t="s">
        <v>1414</v>
      </c>
      <c r="O2665" s="308" t="s">
        <v>8228</v>
      </c>
      <c r="P2665" s="591"/>
      <c r="Q2665" s="572">
        <v>4410</v>
      </c>
      <c r="R2665" s="1413"/>
      <c r="S2665" s="1413"/>
      <c r="U2665" s="328"/>
      <c r="V2665" s="318" t="s">
        <v>1947</v>
      </c>
      <c r="W2665" s="789">
        <v>43098</v>
      </c>
      <c r="X2665" s="748">
        <v>43066</v>
      </c>
      <c r="Y2665" s="744" t="s">
        <v>8240</v>
      </c>
      <c r="Z2665" s="749">
        <v>6614</v>
      </c>
      <c r="AA2665" s="594">
        <v>43105</v>
      </c>
      <c r="AB2665" s="250" t="s">
        <v>8230</v>
      </c>
      <c r="AC2665" s="251">
        <v>8306543862</v>
      </c>
      <c r="AD2665" s="328"/>
      <c r="AE2665" s="328"/>
      <c r="AF2665" s="328"/>
      <c r="AG2665" s="251" t="s">
        <v>283</v>
      </c>
    </row>
    <row r="2666" spans="1:33" ht="15.75" customHeight="1">
      <c r="A2666" s="743">
        <v>43061</v>
      </c>
      <c r="B2666" s="970" t="s">
        <v>100</v>
      </c>
      <c r="C2666" s="744" t="s">
        <v>8225</v>
      </c>
      <c r="D2666" s="420" t="s">
        <v>8238</v>
      </c>
      <c r="E2666" s="420" t="s">
        <v>8241</v>
      </c>
      <c r="F2666" s="251">
        <v>4</v>
      </c>
      <c r="G2666" s="252">
        <v>104</v>
      </c>
      <c r="H2666" s="825">
        <f t="shared" si="172"/>
        <v>416</v>
      </c>
      <c r="I2666" s="254" t="s">
        <v>3315</v>
      </c>
      <c r="J2666" s="367" t="s">
        <v>3578</v>
      </c>
      <c r="K2666" s="256">
        <v>43076</v>
      </c>
      <c r="L2666" s="256"/>
      <c r="M2666" s="328"/>
      <c r="N2666" s="331" t="s">
        <v>178</v>
      </c>
      <c r="O2666" s="308" t="s">
        <v>8242</v>
      </c>
      <c r="P2666" s="591"/>
      <c r="Q2666" s="328"/>
      <c r="R2666" s="1407"/>
      <c r="S2666" s="1407"/>
      <c r="U2666" s="328"/>
      <c r="V2666" s="590"/>
      <c r="W2666" s="328"/>
      <c r="X2666" s="745"/>
      <c r="Y2666" s="745"/>
      <c r="Z2666" s="745"/>
      <c r="AA2666" s="1003"/>
      <c r="AB2666" s="264" t="s">
        <v>8230</v>
      </c>
      <c r="AC2666" s="251">
        <v>8306543862</v>
      </c>
      <c r="AD2666" s="328"/>
      <c r="AE2666" s="328"/>
      <c r="AF2666" s="328"/>
      <c r="AG2666" s="251" t="s">
        <v>283</v>
      </c>
    </row>
    <row r="2667" spans="1:33" ht="15.75" customHeight="1">
      <c r="A2667" s="743">
        <v>43061</v>
      </c>
      <c r="B2667" s="970" t="s">
        <v>100</v>
      </c>
      <c r="C2667" s="744"/>
      <c r="D2667" s="744" t="s">
        <v>8243</v>
      </c>
      <c r="E2667" s="744" t="s">
        <v>8244</v>
      </c>
      <c r="F2667" s="251">
        <v>1</v>
      </c>
      <c r="G2667" s="252">
        <v>100</v>
      </c>
      <c r="H2667" s="825">
        <f t="shared" si="172"/>
        <v>100</v>
      </c>
      <c r="I2667" s="254" t="s">
        <v>3315</v>
      </c>
      <c r="J2667" s="367" t="s">
        <v>3578</v>
      </c>
      <c r="K2667" s="256">
        <v>43094</v>
      </c>
      <c r="L2667" s="256"/>
      <c r="M2667" s="328"/>
      <c r="N2667" s="331" t="s">
        <v>1995</v>
      </c>
      <c r="O2667" s="308" t="s">
        <v>8245</v>
      </c>
      <c r="P2667" s="591"/>
      <c r="Q2667" s="630">
        <v>2835</v>
      </c>
      <c r="R2667" s="1415"/>
      <c r="S2667" s="1415"/>
      <c r="U2667" s="328"/>
      <c r="V2667" s="338" t="s">
        <v>1997</v>
      </c>
      <c r="W2667" s="328"/>
      <c r="X2667" s="748">
        <v>43083</v>
      </c>
      <c r="Y2667" s="250" t="s">
        <v>8246</v>
      </c>
      <c r="Z2667" s="753">
        <v>2835</v>
      </c>
      <c r="AA2667" s="594">
        <v>43136</v>
      </c>
      <c r="AB2667" s="250" t="s">
        <v>8247</v>
      </c>
      <c r="AC2667" s="251">
        <v>9287082022</v>
      </c>
      <c r="AD2667" s="328"/>
      <c r="AE2667" s="328"/>
      <c r="AF2667" s="328"/>
      <c r="AG2667" s="251" t="s">
        <v>283</v>
      </c>
    </row>
    <row r="2668" spans="1:33" ht="15.75" customHeight="1">
      <c r="A2668" s="272">
        <v>43061</v>
      </c>
      <c r="B2668" s="1024" t="s">
        <v>100</v>
      </c>
      <c r="C2668" s="768"/>
      <c r="D2668" s="768" t="s">
        <v>8243</v>
      </c>
      <c r="E2668" s="768" t="s">
        <v>8248</v>
      </c>
      <c r="F2668" s="277">
        <v>1</v>
      </c>
      <c r="G2668" s="278">
        <v>595</v>
      </c>
      <c r="H2668" s="1075">
        <f t="shared" si="172"/>
        <v>595</v>
      </c>
      <c r="I2668" s="280" t="s">
        <v>3315</v>
      </c>
      <c r="J2668" s="867"/>
      <c r="K2668" s="833"/>
      <c r="L2668" s="833"/>
      <c r="M2668" s="575"/>
      <c r="N2668" s="281"/>
      <c r="O2668" s="764"/>
      <c r="P2668" s="576"/>
      <c r="Q2668" s="575"/>
      <c r="R2668" s="1448"/>
      <c r="S2668" s="1448"/>
      <c r="U2668" s="575"/>
      <c r="V2668" s="783"/>
      <c r="W2668" s="575"/>
      <c r="X2668" s="766"/>
      <c r="Y2668" s="766"/>
      <c r="Z2668" s="766"/>
      <c r="AA2668" s="1013"/>
      <c r="AB2668" s="766"/>
      <c r="AC2668" s="575"/>
      <c r="AD2668" s="575"/>
      <c r="AE2668" s="575"/>
      <c r="AF2668" s="575"/>
      <c r="AG2668" s="277" t="s">
        <v>3456</v>
      </c>
    </row>
    <row r="2669" spans="1:33" ht="15.75" customHeight="1">
      <c r="A2669" s="743">
        <v>43062</v>
      </c>
      <c r="B2669" s="590" t="s">
        <v>7107</v>
      </c>
      <c r="C2669" s="744">
        <v>7000134294</v>
      </c>
      <c r="D2669" s="889" t="s">
        <v>8249</v>
      </c>
      <c r="E2669" s="889" t="s">
        <v>8250</v>
      </c>
      <c r="F2669" s="251">
        <v>1</v>
      </c>
      <c r="G2669" s="252">
        <v>120</v>
      </c>
      <c r="H2669" s="825">
        <f t="shared" si="172"/>
        <v>120</v>
      </c>
      <c r="I2669" s="254" t="s">
        <v>42</v>
      </c>
      <c r="J2669" s="756" t="s">
        <v>3462</v>
      </c>
      <c r="K2669" s="256">
        <v>43069</v>
      </c>
      <c r="L2669" s="256"/>
      <c r="M2669" s="256">
        <v>43066</v>
      </c>
      <c r="N2669" s="331" t="s">
        <v>3432</v>
      </c>
      <c r="O2669" s="308" t="s">
        <v>8251</v>
      </c>
      <c r="P2669" s="591"/>
      <c r="Q2669" s="572">
        <v>3400</v>
      </c>
      <c r="R2669" s="1413"/>
      <c r="S2669" s="1413"/>
      <c r="U2669" s="328"/>
      <c r="V2669" s="308" t="s">
        <v>2045</v>
      </c>
      <c r="W2669" s="789">
        <v>43159</v>
      </c>
      <c r="X2669" s="748">
        <v>43066</v>
      </c>
      <c r="Y2669" s="744" t="s">
        <v>8252</v>
      </c>
      <c r="Z2669" s="749">
        <v>21979</v>
      </c>
      <c r="AA2669" s="256">
        <v>43159</v>
      </c>
      <c r="AB2669" s="250" t="s">
        <v>8080</v>
      </c>
      <c r="AC2669" s="251">
        <v>1435156656</v>
      </c>
      <c r="AD2669" s="328"/>
      <c r="AE2669" s="328"/>
      <c r="AF2669" s="328"/>
      <c r="AG2669" s="251" t="s">
        <v>283</v>
      </c>
    </row>
    <row r="2670" spans="1:33" ht="15.75" customHeight="1">
      <c r="A2670" s="743">
        <v>43062</v>
      </c>
      <c r="B2670" s="590" t="s">
        <v>7107</v>
      </c>
      <c r="C2670" s="744">
        <v>7000134294</v>
      </c>
      <c r="D2670" s="889" t="s">
        <v>8249</v>
      </c>
      <c r="E2670" s="889" t="s">
        <v>8253</v>
      </c>
      <c r="F2670" s="251">
        <v>1</v>
      </c>
      <c r="G2670" s="252">
        <v>636</v>
      </c>
      <c r="H2670" s="825">
        <f t="shared" si="172"/>
        <v>636</v>
      </c>
      <c r="I2670" s="254" t="s">
        <v>42</v>
      </c>
      <c r="J2670" s="756" t="s">
        <v>3462</v>
      </c>
      <c r="K2670" s="256">
        <v>43069</v>
      </c>
      <c r="L2670" s="256"/>
      <c r="M2670" s="256">
        <v>43066</v>
      </c>
      <c r="N2670" s="331" t="s">
        <v>3432</v>
      </c>
      <c r="O2670" s="308" t="s">
        <v>8251</v>
      </c>
      <c r="P2670" s="591"/>
      <c r="Q2670" s="572">
        <v>18579</v>
      </c>
      <c r="R2670" s="1413"/>
      <c r="S2670" s="1413"/>
      <c r="U2670" s="328"/>
      <c r="V2670" s="308" t="s">
        <v>2045</v>
      </c>
      <c r="W2670" s="789">
        <v>43159</v>
      </c>
      <c r="X2670" s="748">
        <v>43066</v>
      </c>
      <c r="Y2670" s="744" t="s">
        <v>8252</v>
      </c>
      <c r="Z2670" s="744" t="s">
        <v>8254</v>
      </c>
      <c r="AA2670" s="256">
        <v>43159</v>
      </c>
      <c r="AB2670" s="250" t="s">
        <v>8080</v>
      </c>
      <c r="AC2670" s="251">
        <v>1435156656</v>
      </c>
      <c r="AD2670" s="328"/>
      <c r="AE2670" s="328"/>
      <c r="AF2670" s="328"/>
      <c r="AG2670" s="251" t="s">
        <v>283</v>
      </c>
    </row>
    <row r="2671" spans="1:33" ht="15.75" customHeight="1">
      <c r="A2671" s="743">
        <v>43063</v>
      </c>
      <c r="B2671" s="970" t="s">
        <v>6719</v>
      </c>
      <c r="C2671" s="744"/>
      <c r="D2671" s="250" t="s">
        <v>8255</v>
      </c>
      <c r="E2671" s="250" t="s">
        <v>8256</v>
      </c>
      <c r="F2671" s="251">
        <v>8</v>
      </c>
      <c r="G2671" s="252">
        <v>183.4</v>
      </c>
      <c r="H2671" s="574">
        <f t="shared" si="172"/>
        <v>1467.2</v>
      </c>
      <c r="I2671" s="254" t="s">
        <v>170</v>
      </c>
      <c r="J2671" s="367" t="s">
        <v>626</v>
      </c>
      <c r="K2671" s="256">
        <v>43082</v>
      </c>
      <c r="L2671" s="256"/>
      <c r="M2671" s="256">
        <v>43081</v>
      </c>
      <c r="N2671" s="331" t="s">
        <v>3432</v>
      </c>
      <c r="O2671" s="308" t="s">
        <v>8257</v>
      </c>
      <c r="P2671" s="591"/>
      <c r="Q2671" s="572">
        <v>35213</v>
      </c>
      <c r="R2671" s="1413"/>
      <c r="S2671" s="1413"/>
      <c r="U2671" s="328"/>
      <c r="V2671" s="318" t="s">
        <v>2045</v>
      </c>
      <c r="W2671" s="789">
        <v>43159</v>
      </c>
      <c r="X2671" s="748">
        <v>43080</v>
      </c>
      <c r="Y2671" s="744" t="s">
        <v>8258</v>
      </c>
      <c r="Z2671" s="749">
        <v>35213</v>
      </c>
      <c r="AA2671" s="256">
        <v>43159</v>
      </c>
      <c r="AB2671" s="744" t="s">
        <v>8259</v>
      </c>
      <c r="AC2671" s="328"/>
      <c r="AD2671" s="328"/>
      <c r="AE2671" s="770">
        <v>44016</v>
      </c>
      <c r="AF2671" s="328" t="s">
        <v>8260</v>
      </c>
      <c r="AG2671" s="251" t="s">
        <v>376</v>
      </c>
    </row>
    <row r="2672" spans="1:33" ht="15.75" customHeight="1">
      <c r="A2672" s="743">
        <v>43063</v>
      </c>
      <c r="B2672" s="970" t="s">
        <v>100</v>
      </c>
      <c r="C2672" s="744" t="s">
        <v>8261</v>
      </c>
      <c r="D2672" s="420" t="s">
        <v>8262</v>
      </c>
      <c r="E2672" s="420" t="s">
        <v>8263</v>
      </c>
      <c r="F2672" s="264">
        <v>4</v>
      </c>
      <c r="G2672" s="265">
        <v>1118</v>
      </c>
      <c r="H2672" s="308">
        <f t="shared" si="172"/>
        <v>4472</v>
      </c>
      <c r="I2672" s="254" t="s">
        <v>3315</v>
      </c>
      <c r="J2672" s="367" t="s">
        <v>3578</v>
      </c>
      <c r="K2672" s="256">
        <v>43080</v>
      </c>
      <c r="L2672" s="256"/>
      <c r="M2672" s="256">
        <v>43080</v>
      </c>
      <c r="N2672" s="331" t="s">
        <v>1414</v>
      </c>
      <c r="O2672" s="308" t="s">
        <v>8264</v>
      </c>
      <c r="P2672" s="591"/>
      <c r="Q2672" s="572">
        <v>125349</v>
      </c>
      <c r="R2672" s="1413"/>
      <c r="S2672" s="1413"/>
      <c r="U2672" s="328"/>
      <c r="V2672" s="318" t="s">
        <v>1947</v>
      </c>
      <c r="W2672" s="789">
        <v>43131</v>
      </c>
      <c r="X2672" s="748">
        <v>43080</v>
      </c>
      <c r="Y2672" s="744" t="s">
        <v>8265</v>
      </c>
      <c r="Z2672" s="751">
        <v>185505</v>
      </c>
      <c r="AA2672" s="594">
        <v>43144</v>
      </c>
      <c r="AB2672" s="250" t="s">
        <v>8266</v>
      </c>
      <c r="AC2672" s="251">
        <v>2386821511</v>
      </c>
      <c r="AD2672" s="328"/>
      <c r="AE2672" s="328"/>
      <c r="AF2672" s="328"/>
      <c r="AG2672" s="251" t="s">
        <v>283</v>
      </c>
    </row>
    <row r="2673" spans="1:33" ht="15.75" customHeight="1">
      <c r="A2673" s="743">
        <v>43063</v>
      </c>
      <c r="B2673" s="970" t="s">
        <v>100</v>
      </c>
      <c r="C2673" s="744" t="s">
        <v>8261</v>
      </c>
      <c r="D2673" s="420" t="s">
        <v>8262</v>
      </c>
      <c r="E2673" s="420" t="s">
        <v>8267</v>
      </c>
      <c r="F2673" s="251">
        <v>2</v>
      </c>
      <c r="G2673" s="252">
        <v>1085</v>
      </c>
      <c r="H2673" s="308">
        <f t="shared" si="172"/>
        <v>2170</v>
      </c>
      <c r="I2673" s="254" t="s">
        <v>3315</v>
      </c>
      <c r="J2673" s="367" t="s">
        <v>3578</v>
      </c>
      <c r="K2673" s="256">
        <v>43080</v>
      </c>
      <c r="L2673" s="256"/>
      <c r="M2673" s="256">
        <v>43080</v>
      </c>
      <c r="N2673" s="331" t="s">
        <v>1414</v>
      </c>
      <c r="O2673" s="308" t="s">
        <v>8264</v>
      </c>
      <c r="P2673" s="591"/>
      <c r="Q2673" s="572">
        <v>60155</v>
      </c>
      <c r="R2673" s="1413"/>
      <c r="S2673" s="1413"/>
      <c r="U2673" s="328"/>
      <c r="V2673" s="318" t="s">
        <v>1947</v>
      </c>
      <c r="W2673" s="789">
        <v>43131</v>
      </c>
      <c r="X2673" s="748">
        <v>43080</v>
      </c>
      <c r="Y2673" s="744" t="s">
        <v>8265</v>
      </c>
      <c r="Z2673" s="744" t="s">
        <v>5713</v>
      </c>
      <c r="AA2673" s="594">
        <v>43144</v>
      </c>
      <c r="AB2673" s="250" t="s">
        <v>8266</v>
      </c>
      <c r="AC2673" s="251">
        <v>2386821511</v>
      </c>
      <c r="AD2673" s="328"/>
      <c r="AE2673" s="328"/>
      <c r="AF2673" s="328"/>
      <c r="AG2673" s="251" t="s">
        <v>283</v>
      </c>
    </row>
    <row r="2674" spans="1:33" ht="15.75" customHeight="1">
      <c r="A2674" s="743">
        <v>43063</v>
      </c>
      <c r="B2674" s="970" t="s">
        <v>100</v>
      </c>
      <c r="C2674" s="744" t="s">
        <v>8261</v>
      </c>
      <c r="D2674" s="420" t="s">
        <v>8262</v>
      </c>
      <c r="E2674" s="420" t="s">
        <v>8268</v>
      </c>
      <c r="F2674" s="264">
        <v>6</v>
      </c>
      <c r="G2674" s="265">
        <v>87</v>
      </c>
      <c r="H2674" s="308">
        <f t="shared" si="172"/>
        <v>522</v>
      </c>
      <c r="I2674" s="254" t="s">
        <v>3315</v>
      </c>
      <c r="J2674" s="367" t="s">
        <v>3578</v>
      </c>
      <c r="K2674" s="256">
        <v>43080</v>
      </c>
      <c r="L2674" s="256"/>
      <c r="M2674" s="256">
        <v>43080</v>
      </c>
      <c r="N2674" s="331" t="s">
        <v>178</v>
      </c>
      <c r="O2674" s="308" t="s">
        <v>8269</v>
      </c>
      <c r="P2674" s="591"/>
      <c r="Q2674" s="328"/>
      <c r="R2674" s="1407"/>
      <c r="S2674" s="1407"/>
      <c r="U2674" s="328"/>
      <c r="V2674" s="590"/>
      <c r="W2674" s="328"/>
      <c r="X2674" s="745"/>
      <c r="Y2674" s="745"/>
      <c r="Z2674" s="745"/>
      <c r="AA2674" s="1003"/>
      <c r="AB2674" s="264" t="s">
        <v>8266</v>
      </c>
      <c r="AC2674" s="251">
        <v>2386821511</v>
      </c>
      <c r="AD2674" s="328"/>
      <c r="AE2674" s="328"/>
      <c r="AF2674" s="328"/>
      <c r="AG2674" s="251" t="s">
        <v>283</v>
      </c>
    </row>
    <row r="2675" spans="1:33" ht="15.75" customHeight="1">
      <c r="A2675" s="743">
        <v>43063</v>
      </c>
      <c r="B2675" s="970" t="s">
        <v>100</v>
      </c>
      <c r="C2675" s="744" t="s">
        <v>8270</v>
      </c>
      <c r="D2675" s="420" t="s">
        <v>8271</v>
      </c>
      <c r="E2675" s="420" t="s">
        <v>8272</v>
      </c>
      <c r="F2675" s="251">
        <v>2</v>
      </c>
      <c r="G2675" s="252">
        <v>585</v>
      </c>
      <c r="H2675" s="308">
        <f t="shared" si="172"/>
        <v>1170</v>
      </c>
      <c r="I2675" s="254" t="s">
        <v>3315</v>
      </c>
      <c r="J2675" s="367" t="s">
        <v>3578</v>
      </c>
      <c r="K2675" s="256">
        <v>43076</v>
      </c>
      <c r="L2675" s="256"/>
      <c r="M2675" s="256">
        <v>43076</v>
      </c>
      <c r="N2675" s="331" t="s">
        <v>1995</v>
      </c>
      <c r="O2675" s="308" t="s">
        <v>8228</v>
      </c>
      <c r="P2675" s="591"/>
      <c r="Q2675" s="572">
        <v>33201</v>
      </c>
      <c r="R2675" s="1413"/>
      <c r="S2675" s="1413"/>
      <c r="U2675" s="328"/>
      <c r="V2675" s="338" t="s">
        <v>1997</v>
      </c>
      <c r="W2675" s="747">
        <v>43136</v>
      </c>
      <c r="X2675" s="748">
        <v>43075</v>
      </c>
      <c r="Y2675" s="744" t="s">
        <v>8229</v>
      </c>
      <c r="Z2675" s="744" t="s">
        <v>8273</v>
      </c>
      <c r="AA2675" s="594">
        <v>43136</v>
      </c>
      <c r="AB2675" s="250" t="s">
        <v>8230</v>
      </c>
      <c r="AC2675" s="251">
        <v>8306543862</v>
      </c>
      <c r="AD2675" s="328"/>
      <c r="AE2675" s="328"/>
      <c r="AF2675" s="328"/>
      <c r="AG2675" s="251" t="s">
        <v>283</v>
      </c>
    </row>
    <row r="2676" spans="1:33" ht="15.75" customHeight="1">
      <c r="A2676" s="743">
        <v>43063</v>
      </c>
      <c r="B2676" s="970" t="s">
        <v>100</v>
      </c>
      <c r="C2676" s="744" t="s">
        <v>8270</v>
      </c>
      <c r="D2676" s="420" t="s">
        <v>8271</v>
      </c>
      <c r="E2676" s="420" t="s">
        <v>8274</v>
      </c>
      <c r="F2676" s="251">
        <v>2</v>
      </c>
      <c r="G2676" s="252">
        <v>229</v>
      </c>
      <c r="H2676" s="308">
        <f t="shared" si="172"/>
        <v>458</v>
      </c>
      <c r="I2676" s="254" t="s">
        <v>3315</v>
      </c>
      <c r="J2676" s="367" t="s">
        <v>3578</v>
      </c>
      <c r="K2676" s="256">
        <v>43076</v>
      </c>
      <c r="L2676" s="256"/>
      <c r="M2676" s="256">
        <v>43073</v>
      </c>
      <c r="N2676" s="331" t="s">
        <v>2091</v>
      </c>
      <c r="O2676" s="308" t="s">
        <v>8275</v>
      </c>
      <c r="P2676" s="266">
        <v>388.5</v>
      </c>
      <c r="Q2676" s="328">
        <v>11659</v>
      </c>
      <c r="R2676" s="1407"/>
      <c r="S2676" s="1407"/>
      <c r="U2676" s="328"/>
      <c r="V2676" s="318" t="s">
        <v>6159</v>
      </c>
      <c r="W2676" s="789">
        <v>43105</v>
      </c>
      <c r="X2676" s="748">
        <v>43070</v>
      </c>
      <c r="Y2676" s="744" t="s">
        <v>8276</v>
      </c>
      <c r="Z2676" s="751">
        <v>11659</v>
      </c>
      <c r="AA2676" s="594">
        <v>43109</v>
      </c>
      <c r="AB2676" s="264" t="s">
        <v>8230</v>
      </c>
      <c r="AC2676" s="251">
        <v>8306543862</v>
      </c>
      <c r="AD2676" s="328"/>
      <c r="AE2676" s="328"/>
      <c r="AF2676" s="328"/>
      <c r="AG2676" s="251" t="s">
        <v>283</v>
      </c>
    </row>
    <row r="2677" spans="1:33" ht="15.75" customHeight="1">
      <c r="A2677" s="743">
        <v>43063</v>
      </c>
      <c r="B2677" s="970" t="s">
        <v>100</v>
      </c>
      <c r="C2677" s="744" t="s">
        <v>8270</v>
      </c>
      <c r="D2677" s="420" t="s">
        <v>8271</v>
      </c>
      <c r="E2677" s="420" t="s">
        <v>8239</v>
      </c>
      <c r="F2677" s="251">
        <v>2</v>
      </c>
      <c r="G2677" s="252">
        <v>38</v>
      </c>
      <c r="H2677" s="308">
        <f t="shared" si="172"/>
        <v>76</v>
      </c>
      <c r="I2677" s="254" t="s">
        <v>3315</v>
      </c>
      <c r="J2677" s="367" t="s">
        <v>3578</v>
      </c>
      <c r="K2677" s="256">
        <v>43076</v>
      </c>
      <c r="L2677" s="256"/>
      <c r="M2677" s="256">
        <v>43069</v>
      </c>
      <c r="N2677" s="331" t="s">
        <v>1414</v>
      </c>
      <c r="O2677" s="308" t="s">
        <v>8228</v>
      </c>
      <c r="P2677" s="591"/>
      <c r="Q2677" s="572">
        <v>2205</v>
      </c>
      <c r="R2677" s="1413"/>
      <c r="S2677" s="1413"/>
      <c r="U2677" s="328"/>
      <c r="V2677" s="318" t="s">
        <v>1947</v>
      </c>
      <c r="W2677" s="789">
        <v>43098</v>
      </c>
      <c r="X2677" s="748">
        <v>43066</v>
      </c>
      <c r="Y2677" s="744" t="s">
        <v>8240</v>
      </c>
      <c r="Z2677" s="744" t="s">
        <v>8277</v>
      </c>
      <c r="AA2677" s="594">
        <v>43105</v>
      </c>
      <c r="AB2677" s="250" t="s">
        <v>8230</v>
      </c>
      <c r="AC2677" s="251">
        <v>8306543862</v>
      </c>
      <c r="AD2677" s="328"/>
      <c r="AE2677" s="328"/>
      <c r="AF2677" s="328"/>
      <c r="AG2677" s="251" t="s">
        <v>283</v>
      </c>
    </row>
    <row r="2678" spans="1:33" ht="15.75" customHeight="1">
      <c r="A2678" s="743">
        <v>43063</v>
      </c>
      <c r="B2678" s="970" t="s">
        <v>3516</v>
      </c>
      <c r="C2678" s="744">
        <v>300177</v>
      </c>
      <c r="D2678" s="744" t="s">
        <v>8278</v>
      </c>
      <c r="E2678" s="744" t="s">
        <v>4586</v>
      </c>
      <c r="F2678" s="251">
        <v>12</v>
      </c>
      <c r="G2678" s="252">
        <v>104</v>
      </c>
      <c r="H2678" s="574">
        <f t="shared" si="172"/>
        <v>1248</v>
      </c>
      <c r="I2678" s="254" t="s">
        <v>3315</v>
      </c>
      <c r="J2678" s="367" t="s">
        <v>3519</v>
      </c>
      <c r="K2678" s="256">
        <v>43069</v>
      </c>
      <c r="L2678" s="256"/>
      <c r="M2678" s="256">
        <v>43069</v>
      </c>
      <c r="N2678" s="331" t="s">
        <v>89</v>
      </c>
      <c r="O2678" s="308" t="s">
        <v>8279</v>
      </c>
      <c r="P2678" s="266">
        <v>1058.4000000000001</v>
      </c>
      <c r="Q2678" s="328"/>
      <c r="R2678" s="1407"/>
      <c r="S2678" s="1407"/>
      <c r="U2678" s="328"/>
      <c r="V2678" s="338" t="s">
        <v>93</v>
      </c>
      <c r="W2678" s="328"/>
      <c r="X2678" s="748">
        <v>43068</v>
      </c>
      <c r="Y2678" s="744" t="s">
        <v>8280</v>
      </c>
      <c r="Z2678" s="749">
        <v>85586</v>
      </c>
      <c r="AA2678" s="594">
        <v>43110</v>
      </c>
      <c r="AB2678" s="250" t="s">
        <v>8281</v>
      </c>
      <c r="AC2678" s="251">
        <v>770865611410</v>
      </c>
      <c r="AD2678" s="328"/>
      <c r="AE2678" s="328"/>
      <c r="AF2678" s="328"/>
      <c r="AG2678" s="251" t="s">
        <v>283</v>
      </c>
    </row>
    <row r="2679" spans="1:33" ht="15.75" customHeight="1">
      <c r="A2679" s="743">
        <v>43063</v>
      </c>
      <c r="B2679" s="970" t="s">
        <v>3516</v>
      </c>
      <c r="C2679" s="744">
        <v>300177</v>
      </c>
      <c r="D2679" s="744" t="s">
        <v>8278</v>
      </c>
      <c r="E2679" s="744" t="s">
        <v>3467</v>
      </c>
      <c r="F2679" s="251">
        <v>10</v>
      </c>
      <c r="G2679" s="252">
        <v>179</v>
      </c>
      <c r="H2679" s="574">
        <f t="shared" si="172"/>
        <v>1790</v>
      </c>
      <c r="I2679" s="254" t="s">
        <v>3315</v>
      </c>
      <c r="J2679" s="367" t="s">
        <v>3519</v>
      </c>
      <c r="K2679" s="256">
        <v>43069</v>
      </c>
      <c r="L2679" s="256"/>
      <c r="M2679" s="256">
        <v>43069</v>
      </c>
      <c r="N2679" s="331" t="s">
        <v>89</v>
      </c>
      <c r="O2679" s="308" t="s">
        <v>8279</v>
      </c>
      <c r="P2679" s="266">
        <v>1785</v>
      </c>
      <c r="Q2679" s="328"/>
      <c r="R2679" s="1407"/>
      <c r="S2679" s="1407"/>
      <c r="U2679" s="328"/>
      <c r="V2679" s="338" t="s">
        <v>93</v>
      </c>
      <c r="W2679" s="328"/>
      <c r="X2679" s="748">
        <v>43068</v>
      </c>
      <c r="Y2679" s="744" t="s">
        <v>8280</v>
      </c>
      <c r="Z2679" s="744" t="s">
        <v>8282</v>
      </c>
      <c r="AA2679" s="594">
        <v>43110</v>
      </c>
      <c r="AB2679" s="250" t="s">
        <v>8281</v>
      </c>
      <c r="AC2679" s="251">
        <v>770865611410</v>
      </c>
      <c r="AD2679" s="328"/>
      <c r="AE2679" s="328"/>
      <c r="AF2679" s="328"/>
      <c r="AG2679" s="251" t="s">
        <v>283</v>
      </c>
    </row>
    <row r="2680" spans="1:33" ht="15.75" customHeight="1">
      <c r="A2680" s="755">
        <v>43063</v>
      </c>
      <c r="B2680" s="263" t="s">
        <v>100</v>
      </c>
      <c r="C2680" s="250" t="s">
        <v>8270</v>
      </c>
      <c r="D2680" s="420" t="s">
        <v>8271</v>
      </c>
      <c r="E2680" s="420" t="s">
        <v>8283</v>
      </c>
      <c r="F2680" s="264">
        <v>2</v>
      </c>
      <c r="G2680" s="265">
        <v>104</v>
      </c>
      <c r="H2680" s="308">
        <f t="shared" si="172"/>
        <v>208</v>
      </c>
      <c r="I2680" s="254" t="s">
        <v>3315</v>
      </c>
      <c r="J2680" s="401" t="s">
        <v>3578</v>
      </c>
      <c r="K2680" s="256">
        <v>43076</v>
      </c>
      <c r="L2680" s="256"/>
      <c r="M2680" s="308"/>
      <c r="N2680" s="331" t="s">
        <v>178</v>
      </c>
      <c r="O2680" s="308" t="s">
        <v>8284</v>
      </c>
      <c r="P2680" s="266"/>
      <c r="Q2680" s="308" t="s">
        <v>0</v>
      </c>
      <c r="R2680" s="1410"/>
      <c r="S2680" s="1410"/>
      <c r="U2680" s="308"/>
      <c r="V2680" s="420"/>
      <c r="W2680" s="308"/>
      <c r="X2680" s="818"/>
      <c r="Y2680" s="818"/>
      <c r="Z2680" s="818"/>
      <c r="AA2680" s="1076"/>
      <c r="AB2680" s="264" t="s">
        <v>8230</v>
      </c>
      <c r="AC2680" s="264">
        <v>8306543862</v>
      </c>
      <c r="AD2680" s="308"/>
      <c r="AE2680" s="308"/>
      <c r="AF2680" s="308"/>
      <c r="AG2680" s="264" t="s">
        <v>283</v>
      </c>
    </row>
    <row r="2681" spans="1:33" ht="15.75" customHeight="1">
      <c r="A2681" s="743">
        <v>43067</v>
      </c>
      <c r="B2681" s="970" t="s">
        <v>4590</v>
      </c>
      <c r="C2681" s="757" t="s">
        <v>8285</v>
      </c>
      <c r="D2681" s="744" t="s">
        <v>8286</v>
      </c>
      <c r="E2681" s="744" t="s">
        <v>8287</v>
      </c>
      <c r="F2681" s="251">
        <v>50</v>
      </c>
      <c r="G2681" s="252">
        <v>58</v>
      </c>
      <c r="H2681" s="574">
        <f t="shared" si="172"/>
        <v>2900</v>
      </c>
      <c r="I2681" s="758" t="s">
        <v>3315</v>
      </c>
      <c r="J2681" s="367" t="s">
        <v>8288</v>
      </c>
      <c r="K2681" s="256">
        <v>43080</v>
      </c>
      <c r="L2681" s="256"/>
      <c r="M2681" s="256">
        <v>43074</v>
      </c>
      <c r="N2681" s="331" t="s">
        <v>6196</v>
      </c>
      <c r="O2681" s="308" t="s">
        <v>8289</v>
      </c>
      <c r="P2681" s="266">
        <v>2677.5</v>
      </c>
      <c r="Q2681" s="328">
        <v>80358</v>
      </c>
      <c r="R2681" s="1407"/>
      <c r="S2681" s="1407"/>
      <c r="U2681" s="328"/>
      <c r="V2681" s="597" t="s">
        <v>6198</v>
      </c>
      <c r="W2681" s="747">
        <v>43105</v>
      </c>
      <c r="X2681" s="594">
        <v>43073</v>
      </c>
      <c r="Y2681" s="744" t="s">
        <v>8290</v>
      </c>
      <c r="Z2681" s="749">
        <v>80358</v>
      </c>
      <c r="AA2681" s="594">
        <v>43110</v>
      </c>
      <c r="AB2681" s="250" t="s">
        <v>8291</v>
      </c>
      <c r="AC2681" s="251">
        <v>186043944</v>
      </c>
      <c r="AD2681" s="328"/>
      <c r="AE2681" s="328"/>
      <c r="AF2681" s="328"/>
      <c r="AG2681" s="251" t="s">
        <v>283</v>
      </c>
    </row>
    <row r="2682" spans="1:33" ht="15.75" customHeight="1">
      <c r="A2682" s="743">
        <v>43067</v>
      </c>
      <c r="B2682" s="970" t="s">
        <v>577</v>
      </c>
      <c r="C2682" s="744"/>
      <c r="D2682" s="744" t="s">
        <v>8292</v>
      </c>
      <c r="E2682" s="744" t="s">
        <v>579</v>
      </c>
      <c r="F2682" s="251">
        <v>3</v>
      </c>
      <c r="G2682" s="252">
        <v>96.6</v>
      </c>
      <c r="H2682" s="574">
        <f t="shared" si="172"/>
        <v>289.79999999999995</v>
      </c>
      <c r="I2682" s="254" t="s">
        <v>170</v>
      </c>
      <c r="J2682" s="367" t="s">
        <v>580</v>
      </c>
      <c r="K2682" s="256">
        <v>43073</v>
      </c>
      <c r="L2682" s="256"/>
      <c r="M2682" s="256">
        <v>43070</v>
      </c>
      <c r="N2682" s="331" t="s">
        <v>1414</v>
      </c>
      <c r="O2682" s="308" t="s">
        <v>8293</v>
      </c>
      <c r="P2682" s="591"/>
      <c r="Q2682" s="572">
        <v>7560</v>
      </c>
      <c r="R2682" s="1413"/>
      <c r="S2682" s="1413"/>
      <c r="U2682" s="328"/>
      <c r="V2682" s="318" t="s">
        <v>1947</v>
      </c>
      <c r="W2682" s="789">
        <v>43131</v>
      </c>
      <c r="X2682" s="748">
        <v>43070</v>
      </c>
      <c r="Y2682" s="744" t="s">
        <v>8294</v>
      </c>
      <c r="Z2682" s="749">
        <v>7559</v>
      </c>
      <c r="AA2682" s="594">
        <v>43144</v>
      </c>
      <c r="AB2682" s="744" t="s">
        <v>8295</v>
      </c>
      <c r="AC2682" s="328"/>
      <c r="AD2682" s="328" t="s">
        <v>3539</v>
      </c>
      <c r="AE2682" s="260">
        <v>8839</v>
      </c>
      <c r="AF2682" s="328" t="s">
        <v>8296</v>
      </c>
      <c r="AG2682" s="251" t="s">
        <v>376</v>
      </c>
    </row>
    <row r="2683" spans="1:33" ht="15.75" customHeight="1">
      <c r="A2683" s="743">
        <v>43067</v>
      </c>
      <c r="B2683" s="970" t="s">
        <v>4590</v>
      </c>
      <c r="C2683" s="757" t="s">
        <v>8285</v>
      </c>
      <c r="D2683" s="744" t="s">
        <v>8286</v>
      </c>
      <c r="E2683" s="744" t="s">
        <v>8297</v>
      </c>
      <c r="F2683" s="251">
        <v>1</v>
      </c>
      <c r="G2683" s="252">
        <v>151</v>
      </c>
      <c r="H2683" s="574">
        <f t="shared" si="172"/>
        <v>151</v>
      </c>
      <c r="I2683" s="758" t="s">
        <v>3315</v>
      </c>
      <c r="J2683" s="367" t="s">
        <v>8288</v>
      </c>
      <c r="K2683" s="256">
        <v>43080</v>
      </c>
      <c r="L2683" s="256"/>
      <c r="M2683" s="328"/>
      <c r="N2683" s="331" t="s">
        <v>920</v>
      </c>
      <c r="O2683" s="593"/>
      <c r="P2683" s="591"/>
      <c r="Q2683" s="572">
        <v>3851</v>
      </c>
      <c r="R2683" s="1413"/>
      <c r="S2683" s="1413"/>
      <c r="U2683" s="328"/>
      <c r="V2683" s="590" t="s">
        <v>8298</v>
      </c>
      <c r="W2683" s="747">
        <v>42760</v>
      </c>
      <c r="X2683" s="594">
        <v>43095</v>
      </c>
      <c r="Y2683" s="744" t="s">
        <v>8299</v>
      </c>
      <c r="Z2683" s="749">
        <v>3851</v>
      </c>
      <c r="AA2683" s="594">
        <v>43119</v>
      </c>
      <c r="AB2683" s="250" t="s">
        <v>8291</v>
      </c>
      <c r="AC2683" s="251">
        <v>186043944</v>
      </c>
      <c r="AD2683" s="328"/>
      <c r="AE2683" s="328"/>
      <c r="AF2683" s="328"/>
      <c r="AG2683" s="251" t="s">
        <v>283</v>
      </c>
    </row>
    <row r="2684" spans="1:33" ht="15.75" customHeight="1">
      <c r="A2684" s="743">
        <v>43068</v>
      </c>
      <c r="B2684" s="970" t="s">
        <v>325</v>
      </c>
      <c r="C2684" s="744">
        <v>1615884</v>
      </c>
      <c r="D2684" s="744" t="s">
        <v>8300</v>
      </c>
      <c r="E2684" s="744" t="s">
        <v>6184</v>
      </c>
      <c r="F2684" s="251">
        <v>10</v>
      </c>
      <c r="G2684" s="252">
        <v>438</v>
      </c>
      <c r="H2684" s="574">
        <f t="shared" si="172"/>
        <v>4380</v>
      </c>
      <c r="I2684" s="254" t="s">
        <v>3315</v>
      </c>
      <c r="J2684" s="361" t="s">
        <v>3613</v>
      </c>
      <c r="K2684" s="256">
        <v>43090</v>
      </c>
      <c r="L2684" s="256"/>
      <c r="M2684" s="256">
        <v>43088</v>
      </c>
      <c r="N2684" s="331" t="s">
        <v>3614</v>
      </c>
      <c r="O2684" s="308" t="s">
        <v>8301</v>
      </c>
      <c r="P2684" s="266">
        <v>4042.5</v>
      </c>
      <c r="Q2684" s="328"/>
      <c r="R2684" s="1407"/>
      <c r="S2684" s="1407"/>
      <c r="U2684" s="328"/>
      <c r="V2684" s="420" t="s">
        <v>2159</v>
      </c>
      <c r="W2684" s="747">
        <v>43136</v>
      </c>
      <c r="X2684" s="748">
        <v>43091</v>
      </c>
      <c r="Y2684" s="744" t="s">
        <v>8302</v>
      </c>
      <c r="Z2684" s="751">
        <v>128623</v>
      </c>
      <c r="AA2684" s="594">
        <v>43138</v>
      </c>
      <c r="AB2684" s="264" t="s">
        <v>8213</v>
      </c>
      <c r="AC2684" s="251">
        <v>812337368679</v>
      </c>
      <c r="AD2684" s="328"/>
      <c r="AE2684" s="328"/>
      <c r="AF2684" s="328"/>
      <c r="AG2684" s="251" t="s">
        <v>283</v>
      </c>
    </row>
    <row r="2685" spans="1:33" ht="15.75" customHeight="1">
      <c r="A2685" s="743">
        <v>43068</v>
      </c>
      <c r="B2685" s="970" t="s">
        <v>325</v>
      </c>
      <c r="C2685" s="744">
        <v>1615884</v>
      </c>
      <c r="D2685" s="744" t="s">
        <v>8300</v>
      </c>
      <c r="E2685" s="744" t="s">
        <v>7118</v>
      </c>
      <c r="F2685" s="251">
        <v>10</v>
      </c>
      <c r="G2685" s="252">
        <v>48</v>
      </c>
      <c r="H2685" s="574">
        <f t="shared" si="172"/>
        <v>480</v>
      </c>
      <c r="I2685" s="254" t="s">
        <v>3315</v>
      </c>
      <c r="J2685" s="361" t="s">
        <v>3613</v>
      </c>
      <c r="K2685" s="256">
        <v>43090</v>
      </c>
      <c r="L2685" s="256"/>
      <c r="M2685" s="256">
        <v>43088</v>
      </c>
      <c r="N2685" s="331" t="s">
        <v>44</v>
      </c>
      <c r="O2685" s="308" t="s">
        <v>8303</v>
      </c>
      <c r="P2685" s="266">
        <v>577.5</v>
      </c>
      <c r="Q2685" s="308">
        <v>17331</v>
      </c>
      <c r="R2685" s="1410"/>
      <c r="S2685" s="1410"/>
      <c r="U2685" s="328"/>
      <c r="V2685" s="308" t="s">
        <v>6159</v>
      </c>
      <c r="W2685" s="624">
        <v>43105</v>
      </c>
      <c r="X2685" s="748">
        <v>43076</v>
      </c>
      <c r="Y2685" s="744" t="s">
        <v>8304</v>
      </c>
      <c r="Z2685" s="751">
        <v>17331</v>
      </c>
      <c r="AA2685" s="594">
        <v>43109</v>
      </c>
      <c r="AB2685" s="264" t="s">
        <v>8213</v>
      </c>
      <c r="AC2685" s="251">
        <v>812337368679</v>
      </c>
      <c r="AD2685" s="328"/>
      <c r="AE2685" s="328"/>
      <c r="AF2685" s="328"/>
      <c r="AG2685" s="251" t="s">
        <v>283</v>
      </c>
    </row>
    <row r="2686" spans="1:33" ht="15.75" customHeight="1">
      <c r="A2686" s="743">
        <v>43068</v>
      </c>
      <c r="B2686" s="970" t="s">
        <v>325</v>
      </c>
      <c r="C2686" s="744">
        <v>1615884</v>
      </c>
      <c r="D2686" s="744" t="s">
        <v>8300</v>
      </c>
      <c r="E2686" s="744" t="s">
        <v>52</v>
      </c>
      <c r="F2686" s="251">
        <v>10</v>
      </c>
      <c r="G2686" s="252">
        <v>31</v>
      </c>
      <c r="H2686" s="574">
        <f t="shared" si="172"/>
        <v>310</v>
      </c>
      <c r="I2686" s="264" t="s">
        <v>3315</v>
      </c>
      <c r="J2686" s="267" t="s">
        <v>3613</v>
      </c>
      <c r="K2686" s="256">
        <v>43090</v>
      </c>
      <c r="L2686" s="256"/>
      <c r="M2686" s="256">
        <v>43088</v>
      </c>
      <c r="N2686" s="401" t="s">
        <v>3614</v>
      </c>
      <c r="O2686" s="308" t="s">
        <v>8301</v>
      </c>
      <c r="P2686" s="266">
        <v>226.8</v>
      </c>
      <c r="Q2686" s="328"/>
      <c r="R2686" s="1407"/>
      <c r="S2686" s="1407"/>
      <c r="U2686" s="328"/>
      <c r="V2686" s="590" t="s">
        <v>2159</v>
      </c>
      <c r="W2686" s="747">
        <v>43136</v>
      </c>
      <c r="X2686" s="748">
        <v>43091</v>
      </c>
      <c r="Y2686" s="744" t="s">
        <v>8302</v>
      </c>
      <c r="Z2686" s="744" t="s">
        <v>8305</v>
      </c>
      <c r="AA2686" s="594">
        <v>43138</v>
      </c>
      <c r="AB2686" s="264" t="s">
        <v>8213</v>
      </c>
      <c r="AC2686" s="251">
        <v>812337368679</v>
      </c>
      <c r="AD2686" s="328"/>
      <c r="AE2686" s="328"/>
      <c r="AF2686" s="328"/>
      <c r="AG2686" s="251" t="s">
        <v>283</v>
      </c>
    </row>
    <row r="2687" spans="1:33" ht="15.75" customHeight="1">
      <c r="A2687" s="743">
        <v>43068</v>
      </c>
      <c r="B2687" s="970" t="s">
        <v>325</v>
      </c>
      <c r="C2687" s="744">
        <v>1615884</v>
      </c>
      <c r="D2687" s="744" t="s">
        <v>8300</v>
      </c>
      <c r="E2687" s="744" t="s">
        <v>58</v>
      </c>
      <c r="F2687" s="251">
        <v>10</v>
      </c>
      <c r="G2687" s="252">
        <v>4</v>
      </c>
      <c r="H2687" s="574">
        <f t="shared" si="172"/>
        <v>40</v>
      </c>
      <c r="I2687" s="254" t="s">
        <v>3315</v>
      </c>
      <c r="J2687" s="267" t="s">
        <v>3613</v>
      </c>
      <c r="K2687" s="256">
        <v>43090</v>
      </c>
      <c r="L2687" s="256"/>
      <c r="M2687" s="256">
        <v>43088</v>
      </c>
      <c r="N2687" s="331" t="s">
        <v>3614</v>
      </c>
      <c r="O2687" s="308" t="s">
        <v>8301</v>
      </c>
      <c r="P2687" s="266">
        <v>21</v>
      </c>
      <c r="Q2687" s="328"/>
      <c r="R2687" s="1407"/>
      <c r="S2687" s="1407"/>
      <c r="U2687" s="328"/>
      <c r="V2687" s="590" t="s">
        <v>2159</v>
      </c>
      <c r="W2687" s="747">
        <v>43136</v>
      </c>
      <c r="X2687" s="748">
        <v>43091</v>
      </c>
      <c r="Y2687" s="744" t="s">
        <v>8302</v>
      </c>
      <c r="Z2687" s="744" t="s">
        <v>8305</v>
      </c>
      <c r="AA2687" s="594">
        <v>43138</v>
      </c>
      <c r="AB2687" s="264" t="s">
        <v>8213</v>
      </c>
      <c r="AC2687" s="251">
        <v>812337368679</v>
      </c>
      <c r="AD2687" s="328"/>
      <c r="AE2687" s="328"/>
      <c r="AF2687" s="328"/>
      <c r="AG2687" s="251" t="s">
        <v>283</v>
      </c>
    </row>
    <row r="2688" spans="1:33" ht="15.75" customHeight="1">
      <c r="A2688" s="743">
        <v>43068</v>
      </c>
      <c r="B2688" s="970" t="s">
        <v>228</v>
      </c>
      <c r="C2688" s="744"/>
      <c r="D2688" s="250" t="s">
        <v>8306</v>
      </c>
      <c r="E2688" s="250" t="s">
        <v>461</v>
      </c>
      <c r="F2688" s="251">
        <v>51</v>
      </c>
      <c r="G2688" s="252">
        <v>407.4</v>
      </c>
      <c r="H2688" s="574">
        <f t="shared" si="172"/>
        <v>20777.399999999998</v>
      </c>
      <c r="I2688" s="254" t="s">
        <v>170</v>
      </c>
      <c r="J2688" s="254" t="s">
        <v>89</v>
      </c>
      <c r="K2688" s="256">
        <v>43083</v>
      </c>
      <c r="L2688" s="256"/>
      <c r="M2688" s="256">
        <v>43083</v>
      </c>
      <c r="N2688" s="331" t="s">
        <v>89</v>
      </c>
      <c r="O2688" s="308" t="s">
        <v>8307</v>
      </c>
      <c r="P2688" s="266">
        <v>19010.25</v>
      </c>
      <c r="Q2688" s="328"/>
      <c r="R2688" s="1407"/>
      <c r="S2688" s="1407"/>
      <c r="U2688" s="328"/>
      <c r="V2688" s="338" t="s">
        <v>93</v>
      </c>
      <c r="W2688" s="328"/>
      <c r="X2688" s="748">
        <v>43083</v>
      </c>
      <c r="Y2688" s="744" t="s">
        <v>8308</v>
      </c>
      <c r="Z2688" s="751">
        <v>587114</v>
      </c>
      <c r="AA2688" s="594">
        <v>43126</v>
      </c>
      <c r="AB2688" s="744" t="s">
        <v>8309</v>
      </c>
      <c r="AC2688" s="328"/>
      <c r="AD2688" s="744" t="s">
        <v>7627</v>
      </c>
      <c r="AE2688" s="1077">
        <v>623737</v>
      </c>
      <c r="AF2688" s="328" t="s">
        <v>8310</v>
      </c>
      <c r="AG2688" s="251" t="s">
        <v>376</v>
      </c>
    </row>
    <row r="2689" spans="1:33" ht="15.75" customHeight="1">
      <c r="A2689" s="743">
        <v>43068</v>
      </c>
      <c r="B2689" s="970" t="s">
        <v>228</v>
      </c>
      <c r="C2689" s="744"/>
      <c r="D2689" s="250" t="s">
        <v>8306</v>
      </c>
      <c r="E2689" s="250" t="s">
        <v>3604</v>
      </c>
      <c r="F2689" s="251">
        <v>2</v>
      </c>
      <c r="G2689" s="464">
        <v>336</v>
      </c>
      <c r="H2689" s="574">
        <f t="shared" si="172"/>
        <v>672</v>
      </c>
      <c r="I2689" s="254" t="s">
        <v>170</v>
      </c>
      <c r="J2689" s="254" t="s">
        <v>89</v>
      </c>
      <c r="K2689" s="256">
        <v>43083</v>
      </c>
      <c r="L2689" s="256"/>
      <c r="M2689" s="256">
        <v>43083</v>
      </c>
      <c r="N2689" s="331" t="s">
        <v>89</v>
      </c>
      <c r="O2689" s="308" t="s">
        <v>8307</v>
      </c>
      <c r="P2689" s="266">
        <v>602.70000000000005</v>
      </c>
      <c r="Q2689" s="328"/>
      <c r="R2689" s="1407"/>
      <c r="S2689" s="1407"/>
      <c r="U2689" s="328"/>
      <c r="V2689" s="338" t="s">
        <v>93</v>
      </c>
      <c r="W2689" s="328"/>
      <c r="X2689" s="748">
        <v>43083</v>
      </c>
      <c r="Y2689" s="744" t="s">
        <v>8308</v>
      </c>
      <c r="Z2689" s="744" t="s">
        <v>8311</v>
      </c>
      <c r="AA2689" s="594">
        <v>43126</v>
      </c>
      <c r="AB2689" s="744" t="s">
        <v>8309</v>
      </c>
      <c r="AC2689" s="328"/>
      <c r="AD2689" s="744" t="s">
        <v>7627</v>
      </c>
      <c r="AE2689" s="1077">
        <v>20174</v>
      </c>
      <c r="AF2689" s="328" t="s">
        <v>8310</v>
      </c>
      <c r="AG2689" s="251" t="s">
        <v>376</v>
      </c>
    </row>
    <row r="2690" spans="1:33" ht="15.75" customHeight="1">
      <c r="A2690" s="743">
        <v>43068</v>
      </c>
      <c r="B2690" s="970" t="s">
        <v>228</v>
      </c>
      <c r="C2690" s="744"/>
      <c r="D2690" s="250" t="s">
        <v>8312</v>
      </c>
      <c r="E2690" s="250" t="s">
        <v>461</v>
      </c>
      <c r="F2690" s="251">
        <v>8</v>
      </c>
      <c r="G2690" s="252">
        <v>407.4</v>
      </c>
      <c r="H2690" s="825">
        <f t="shared" si="172"/>
        <v>3259.2</v>
      </c>
      <c r="I2690" s="254" t="s">
        <v>170</v>
      </c>
      <c r="J2690" s="264" t="s">
        <v>89</v>
      </c>
      <c r="K2690" s="256">
        <v>43076</v>
      </c>
      <c r="L2690" s="256"/>
      <c r="M2690" s="256">
        <v>43076</v>
      </c>
      <c r="N2690" s="331" t="s">
        <v>89</v>
      </c>
      <c r="O2690" s="308" t="s">
        <v>8313</v>
      </c>
      <c r="P2690" s="266">
        <v>2982</v>
      </c>
      <c r="Q2690" s="328"/>
      <c r="R2690" s="1407"/>
      <c r="S2690" s="1407"/>
      <c r="U2690" s="328"/>
      <c r="V2690" s="338" t="s">
        <v>93</v>
      </c>
      <c r="W2690" s="328"/>
      <c r="X2690" s="748">
        <v>43076</v>
      </c>
      <c r="Y2690" s="744" t="s">
        <v>8314</v>
      </c>
      <c r="Z2690" s="753">
        <v>89281</v>
      </c>
      <c r="AA2690" s="594">
        <v>43126</v>
      </c>
      <c r="AB2690" s="744" t="s">
        <v>8315</v>
      </c>
      <c r="AC2690" s="328"/>
      <c r="AD2690" s="744" t="s">
        <v>8316</v>
      </c>
      <c r="AE2690" s="402">
        <v>97776</v>
      </c>
      <c r="AF2690" s="328" t="s">
        <v>8317</v>
      </c>
      <c r="AG2690" s="251" t="s">
        <v>376</v>
      </c>
    </row>
    <row r="2691" spans="1:33" ht="15.75" customHeight="1">
      <c r="A2691" s="743">
        <v>43068</v>
      </c>
      <c r="B2691" s="970" t="s">
        <v>372</v>
      </c>
      <c r="C2691" s="744">
        <v>201711280022</v>
      </c>
      <c r="D2691" s="250" t="s">
        <v>8318</v>
      </c>
      <c r="E2691" s="250" t="s">
        <v>8319</v>
      </c>
      <c r="F2691" s="305">
        <v>2</v>
      </c>
      <c r="G2691" s="252">
        <v>117.6</v>
      </c>
      <c r="H2691" s="785">
        <f t="shared" si="172"/>
        <v>235.2</v>
      </c>
      <c r="I2691" s="254" t="s">
        <v>42</v>
      </c>
      <c r="J2691" s="264" t="s">
        <v>89</v>
      </c>
      <c r="K2691" s="256">
        <v>43075</v>
      </c>
      <c r="L2691" s="256"/>
      <c r="M2691" s="256">
        <v>43075</v>
      </c>
      <c r="N2691" s="585" t="s">
        <v>89</v>
      </c>
      <c r="O2691" s="308" t="s">
        <v>8320</v>
      </c>
      <c r="P2691" s="266">
        <v>218.4</v>
      </c>
      <c r="Q2691" s="328"/>
      <c r="R2691" s="1407"/>
      <c r="S2691" s="1407"/>
      <c r="U2691" s="328"/>
      <c r="V2691" s="338" t="s">
        <v>93</v>
      </c>
      <c r="W2691" s="328"/>
      <c r="X2691" s="748">
        <v>43075</v>
      </c>
      <c r="Y2691" s="744" t="s">
        <v>8321</v>
      </c>
      <c r="Z2691" s="751">
        <v>18799</v>
      </c>
      <c r="AA2691" s="594">
        <v>43126</v>
      </c>
      <c r="AB2691" s="744" t="s">
        <v>8322</v>
      </c>
      <c r="AC2691" s="328"/>
      <c r="AD2691" s="595" t="s">
        <v>8323</v>
      </c>
      <c r="AE2691" s="402">
        <v>7058</v>
      </c>
      <c r="AF2691" s="328" t="s">
        <v>8324</v>
      </c>
      <c r="AG2691" s="251" t="s">
        <v>283</v>
      </c>
    </row>
    <row r="2692" spans="1:33" ht="15.75" customHeight="1">
      <c r="A2692" s="743">
        <v>43068</v>
      </c>
      <c r="B2692" s="590" t="s">
        <v>7107</v>
      </c>
      <c r="C2692" s="744">
        <v>7000134407</v>
      </c>
      <c r="D2692" s="250" t="s">
        <v>8325</v>
      </c>
      <c r="E2692" s="250" t="s">
        <v>3923</v>
      </c>
      <c r="F2692" s="251">
        <v>4</v>
      </c>
      <c r="G2692" s="252">
        <v>177</v>
      </c>
      <c r="H2692" s="825">
        <f t="shared" si="172"/>
        <v>708</v>
      </c>
      <c r="I2692" s="254" t="s">
        <v>42</v>
      </c>
      <c r="J2692" s="401" t="s">
        <v>3462</v>
      </c>
      <c r="K2692" s="256">
        <v>43074</v>
      </c>
      <c r="L2692" s="256"/>
      <c r="M2692" s="256">
        <v>43073</v>
      </c>
      <c r="N2692" s="331" t="s">
        <v>3432</v>
      </c>
      <c r="O2692" s="250" t="s">
        <v>8326</v>
      </c>
      <c r="P2692" s="591"/>
      <c r="Q2692" s="1078">
        <v>24493</v>
      </c>
      <c r="R2692" s="1453"/>
      <c r="S2692" s="1453"/>
      <c r="U2692" s="328"/>
      <c r="V2692" s="318" t="s">
        <v>2045</v>
      </c>
      <c r="W2692" s="789">
        <v>43159</v>
      </c>
      <c r="X2692" s="748">
        <v>43070</v>
      </c>
      <c r="Y2692" s="744" t="s">
        <v>8327</v>
      </c>
      <c r="Z2692" s="751">
        <v>37077</v>
      </c>
      <c r="AA2692" s="256">
        <v>43159</v>
      </c>
      <c r="AB2692" s="264" t="s">
        <v>8328</v>
      </c>
      <c r="AC2692" s="251">
        <v>5412984463</v>
      </c>
      <c r="AD2692" s="328"/>
      <c r="AE2692" s="328"/>
      <c r="AF2692" s="328"/>
      <c r="AG2692" s="251" t="s">
        <v>283</v>
      </c>
    </row>
    <row r="2693" spans="1:33" ht="15.75" customHeight="1">
      <c r="A2693" s="743">
        <v>43068</v>
      </c>
      <c r="B2693" s="590" t="s">
        <v>7107</v>
      </c>
      <c r="C2693" s="744">
        <v>7000134407</v>
      </c>
      <c r="D2693" s="250" t="s">
        <v>8325</v>
      </c>
      <c r="E2693" s="250" t="s">
        <v>3931</v>
      </c>
      <c r="F2693" s="251">
        <v>5</v>
      </c>
      <c r="G2693" s="252">
        <v>73</v>
      </c>
      <c r="H2693" s="825">
        <f t="shared" si="172"/>
        <v>365</v>
      </c>
      <c r="I2693" s="254" t="s">
        <v>42</v>
      </c>
      <c r="J2693" s="401" t="s">
        <v>3462</v>
      </c>
      <c r="K2693" s="256">
        <v>43074</v>
      </c>
      <c r="L2693" s="256"/>
      <c r="M2693" s="256">
        <v>43073</v>
      </c>
      <c r="N2693" s="331" t="s">
        <v>3432</v>
      </c>
      <c r="O2693" s="250" t="s">
        <v>8326</v>
      </c>
      <c r="P2693" s="591"/>
      <c r="Q2693" s="1078">
        <v>12583.2</v>
      </c>
      <c r="R2693" s="1453"/>
      <c r="S2693" s="1453"/>
      <c r="U2693" s="328"/>
      <c r="V2693" s="318" t="s">
        <v>2045</v>
      </c>
      <c r="W2693" s="789">
        <v>43159</v>
      </c>
      <c r="X2693" s="748">
        <v>43070</v>
      </c>
      <c r="Y2693" s="744" t="s">
        <v>8327</v>
      </c>
      <c r="Z2693" s="744" t="s">
        <v>5755</v>
      </c>
      <c r="AA2693" s="256">
        <v>43159</v>
      </c>
      <c r="AB2693" s="264" t="s">
        <v>8328</v>
      </c>
      <c r="AC2693" s="251">
        <v>5412984463</v>
      </c>
      <c r="AD2693" s="328"/>
      <c r="AE2693" s="328"/>
      <c r="AF2693" s="328"/>
      <c r="AG2693" s="251" t="s">
        <v>283</v>
      </c>
    </row>
    <row r="2694" spans="1:33" ht="15.75" customHeight="1">
      <c r="A2694" s="743">
        <v>43069</v>
      </c>
      <c r="B2694" s="970" t="s">
        <v>1717</v>
      </c>
      <c r="C2694" s="757" t="s">
        <v>8329</v>
      </c>
      <c r="D2694" s="744" t="s">
        <v>8330</v>
      </c>
      <c r="E2694" s="744" t="s">
        <v>6178</v>
      </c>
      <c r="F2694" s="251">
        <v>20</v>
      </c>
      <c r="G2694" s="252">
        <f>75+29+5</f>
        <v>109</v>
      </c>
      <c r="H2694" s="825">
        <f t="shared" si="172"/>
        <v>2180</v>
      </c>
      <c r="I2694" s="254" t="s">
        <v>3315</v>
      </c>
      <c r="J2694" s="367" t="s">
        <v>8331</v>
      </c>
      <c r="K2694" s="256">
        <v>43090</v>
      </c>
      <c r="L2694" s="256"/>
      <c r="M2694" s="256">
        <v>43087</v>
      </c>
      <c r="N2694" s="251" t="s">
        <v>6112</v>
      </c>
      <c r="O2694" s="308" t="s">
        <v>8332</v>
      </c>
      <c r="P2694" s="591"/>
      <c r="Q2694" s="328"/>
      <c r="R2694" s="1407"/>
      <c r="S2694" s="1407"/>
      <c r="U2694" s="328"/>
      <c r="V2694" s="590"/>
      <c r="W2694" s="328"/>
      <c r="X2694" s="748">
        <v>43084</v>
      </c>
      <c r="Y2694" s="744" t="s">
        <v>8333</v>
      </c>
      <c r="Z2694" s="751">
        <v>27045</v>
      </c>
      <c r="AA2694" s="745"/>
      <c r="AB2694" s="250" t="s">
        <v>8334</v>
      </c>
      <c r="AC2694" s="251">
        <v>194438016</v>
      </c>
      <c r="AD2694" s="328"/>
      <c r="AE2694" s="328"/>
      <c r="AF2694" s="328"/>
      <c r="AG2694" s="251" t="s">
        <v>283</v>
      </c>
    </row>
    <row r="2695" spans="1:33" ht="15.75" customHeight="1">
      <c r="A2695" s="743">
        <v>43069</v>
      </c>
      <c r="B2695" s="970" t="s">
        <v>1717</v>
      </c>
      <c r="C2695" s="757" t="s">
        <v>8329</v>
      </c>
      <c r="D2695" s="744" t="s">
        <v>8330</v>
      </c>
      <c r="E2695" s="744" t="s">
        <v>5260</v>
      </c>
      <c r="F2695" s="251">
        <v>20</v>
      </c>
      <c r="G2695" s="252">
        <v>13</v>
      </c>
      <c r="H2695" s="825">
        <f t="shared" si="172"/>
        <v>260</v>
      </c>
      <c r="I2695" s="254" t="s">
        <v>3315</v>
      </c>
      <c r="J2695" s="367" t="s">
        <v>8331</v>
      </c>
      <c r="K2695" s="256">
        <v>43090</v>
      </c>
      <c r="L2695" s="256"/>
      <c r="M2695" s="256">
        <v>43087</v>
      </c>
      <c r="N2695" s="251" t="s">
        <v>6112</v>
      </c>
      <c r="O2695" s="308" t="s">
        <v>8332</v>
      </c>
      <c r="P2695" s="591"/>
      <c r="Q2695" s="328"/>
      <c r="R2695" s="1407"/>
      <c r="S2695" s="1407"/>
      <c r="U2695" s="328"/>
      <c r="V2695" s="590"/>
      <c r="W2695" s="328"/>
      <c r="X2695" s="748">
        <v>43084</v>
      </c>
      <c r="Y2695" s="744" t="s">
        <v>8333</v>
      </c>
      <c r="Z2695" s="744" t="s">
        <v>8335</v>
      </c>
      <c r="AA2695" s="745"/>
      <c r="AB2695" s="250" t="s">
        <v>8334</v>
      </c>
      <c r="AC2695" s="251">
        <v>194438016</v>
      </c>
      <c r="AD2695" s="328"/>
      <c r="AE2695" s="328"/>
      <c r="AF2695" s="328"/>
      <c r="AG2695" s="251" t="s">
        <v>283</v>
      </c>
    </row>
    <row r="2696" spans="1:33" ht="15.75" customHeight="1">
      <c r="A2696" s="743">
        <v>43073</v>
      </c>
      <c r="B2696" s="970" t="s">
        <v>3347</v>
      </c>
      <c r="C2696" s="744" t="s">
        <v>8336</v>
      </c>
      <c r="D2696" s="250" t="s">
        <v>8337</v>
      </c>
      <c r="E2696" s="250" t="s">
        <v>3349</v>
      </c>
      <c r="F2696" s="251">
        <v>50</v>
      </c>
      <c r="G2696" s="252">
        <v>174.5</v>
      </c>
      <c r="H2696" s="825">
        <f t="shared" si="172"/>
        <v>8725</v>
      </c>
      <c r="I2696" s="254" t="s">
        <v>170</v>
      </c>
      <c r="J2696" s="361" t="s">
        <v>3350</v>
      </c>
      <c r="K2696" s="256">
        <v>43090</v>
      </c>
      <c r="L2696" s="256"/>
      <c r="M2696" s="256">
        <v>43089</v>
      </c>
      <c r="N2696" s="331" t="s">
        <v>3351</v>
      </c>
      <c r="O2696" s="308" t="s">
        <v>8338</v>
      </c>
      <c r="P2696" s="266">
        <v>8295</v>
      </c>
      <c r="Q2696" s="328"/>
      <c r="R2696" s="1407"/>
      <c r="S2696" s="1407"/>
      <c r="U2696" s="328"/>
      <c r="V2696" s="308" t="s">
        <v>3353</v>
      </c>
      <c r="W2696" s="328"/>
      <c r="X2696" s="750">
        <v>43091</v>
      </c>
      <c r="Y2696" s="250" t="s">
        <v>8339</v>
      </c>
      <c r="Z2696" s="753">
        <v>248312</v>
      </c>
      <c r="AA2696" s="594">
        <v>43083</v>
      </c>
      <c r="AB2696" s="744" t="s">
        <v>8340</v>
      </c>
      <c r="AC2696" s="251" t="s">
        <v>8341</v>
      </c>
      <c r="AD2696" s="328"/>
      <c r="AE2696" s="328"/>
      <c r="AF2696" s="328"/>
      <c r="AG2696" s="328"/>
    </row>
    <row r="2697" spans="1:33" ht="15.75" customHeight="1">
      <c r="A2697" s="743">
        <v>43073</v>
      </c>
      <c r="B2697" s="970" t="s">
        <v>325</v>
      </c>
      <c r="C2697" s="757" t="s">
        <v>8342</v>
      </c>
      <c r="D2697" s="744" t="s">
        <v>8343</v>
      </c>
      <c r="E2697" s="744" t="s">
        <v>8344</v>
      </c>
      <c r="F2697" s="251">
        <v>2</v>
      </c>
      <c r="G2697" s="252">
        <v>235</v>
      </c>
      <c r="H2697" s="825">
        <f t="shared" si="172"/>
        <v>470</v>
      </c>
      <c r="I2697" s="254" t="s">
        <v>3315</v>
      </c>
      <c r="J2697" s="361" t="s">
        <v>3613</v>
      </c>
      <c r="K2697" s="256">
        <v>43090</v>
      </c>
      <c r="L2697" s="256"/>
      <c r="M2697" s="256">
        <v>43082</v>
      </c>
      <c r="N2697" s="331" t="s">
        <v>3432</v>
      </c>
      <c r="O2697" s="308" t="s">
        <v>8345</v>
      </c>
      <c r="P2697" s="591"/>
      <c r="Q2697" s="572">
        <v>14104</v>
      </c>
      <c r="R2697" s="1413"/>
      <c r="S2697" s="1413"/>
      <c r="U2697" s="328"/>
      <c r="V2697" s="308" t="s">
        <v>2045</v>
      </c>
      <c r="W2697" s="789">
        <v>43159</v>
      </c>
      <c r="X2697" s="750">
        <v>43081</v>
      </c>
      <c r="Y2697" s="250" t="s">
        <v>8346</v>
      </c>
      <c r="Z2697" s="1079">
        <v>14104</v>
      </c>
      <c r="AA2697" s="256">
        <v>43159</v>
      </c>
      <c r="AB2697" s="264" t="s">
        <v>8213</v>
      </c>
      <c r="AC2697" s="251">
        <v>812337368679</v>
      </c>
      <c r="AD2697" s="328"/>
      <c r="AE2697" s="328"/>
      <c r="AF2697" s="328"/>
      <c r="AG2697" s="251" t="s">
        <v>283</v>
      </c>
    </row>
    <row r="2698" spans="1:33" ht="15.75" customHeight="1">
      <c r="A2698" s="743">
        <v>43073</v>
      </c>
      <c r="B2698" s="590" t="s">
        <v>7107</v>
      </c>
      <c r="C2698" s="744">
        <v>7000134513</v>
      </c>
      <c r="D2698" s="250" t="s">
        <v>8347</v>
      </c>
      <c r="E2698" s="250" t="s">
        <v>3567</v>
      </c>
      <c r="F2698" s="251">
        <v>4</v>
      </c>
      <c r="G2698" s="252">
        <v>39</v>
      </c>
      <c r="H2698" s="825">
        <f t="shared" si="172"/>
        <v>156</v>
      </c>
      <c r="I2698" s="254" t="s">
        <v>42</v>
      </c>
      <c r="J2698" s="756" t="s">
        <v>3462</v>
      </c>
      <c r="K2698" s="256">
        <v>43083</v>
      </c>
      <c r="L2698" s="256"/>
      <c r="M2698" s="256">
        <v>43081</v>
      </c>
      <c r="N2698" s="331" t="s">
        <v>3432</v>
      </c>
      <c r="O2698" s="308" t="s">
        <v>8348</v>
      </c>
      <c r="P2698" s="591"/>
      <c r="Q2698" s="572">
        <v>4376</v>
      </c>
      <c r="R2698" s="1413"/>
      <c r="S2698" s="1413"/>
      <c r="U2698" s="328"/>
      <c r="V2698" s="308" t="s">
        <v>2045</v>
      </c>
      <c r="W2698" s="789">
        <v>43159</v>
      </c>
      <c r="X2698" s="748">
        <v>43080</v>
      </c>
      <c r="Y2698" s="251" t="s">
        <v>8349</v>
      </c>
      <c r="Z2698" s="751">
        <v>47233</v>
      </c>
      <c r="AA2698" s="256">
        <v>43159</v>
      </c>
      <c r="AB2698" s="264" t="s">
        <v>8350</v>
      </c>
      <c r="AC2698" s="251">
        <v>3748570206</v>
      </c>
      <c r="AD2698" s="328"/>
      <c r="AE2698" s="328"/>
      <c r="AF2698" s="328"/>
      <c r="AG2698" s="251" t="s">
        <v>283</v>
      </c>
    </row>
    <row r="2699" spans="1:33" ht="15.75" customHeight="1">
      <c r="A2699" s="743">
        <v>43073</v>
      </c>
      <c r="B2699" s="590" t="s">
        <v>7107</v>
      </c>
      <c r="C2699" s="744">
        <v>7000134513</v>
      </c>
      <c r="D2699" s="250" t="s">
        <v>8347</v>
      </c>
      <c r="E2699" s="250" t="s">
        <v>6768</v>
      </c>
      <c r="F2699" s="251">
        <v>2</v>
      </c>
      <c r="G2699" s="252">
        <v>110</v>
      </c>
      <c r="H2699" s="825">
        <f t="shared" si="172"/>
        <v>220</v>
      </c>
      <c r="I2699" s="254" t="s">
        <v>42</v>
      </c>
      <c r="J2699" s="756" t="s">
        <v>3462</v>
      </c>
      <c r="K2699" s="256">
        <v>43083</v>
      </c>
      <c r="L2699" s="256"/>
      <c r="M2699" s="256">
        <v>43081</v>
      </c>
      <c r="N2699" s="331" t="s">
        <v>3432</v>
      </c>
      <c r="O2699" s="308" t="s">
        <v>8348</v>
      </c>
      <c r="P2699" s="591"/>
      <c r="Q2699" s="572">
        <v>6430</v>
      </c>
      <c r="R2699" s="1413"/>
      <c r="S2699" s="1413"/>
      <c r="U2699" s="328"/>
      <c r="V2699" s="308" t="s">
        <v>2045</v>
      </c>
      <c r="W2699" s="789">
        <v>43159</v>
      </c>
      <c r="X2699" s="748">
        <v>43080</v>
      </c>
      <c r="Y2699" s="251" t="s">
        <v>8349</v>
      </c>
      <c r="Z2699" s="751" t="s">
        <v>8351</v>
      </c>
      <c r="AA2699" s="256">
        <v>43159</v>
      </c>
      <c r="AB2699" s="264" t="s">
        <v>8350</v>
      </c>
      <c r="AC2699" s="251">
        <v>3748570206</v>
      </c>
      <c r="AD2699" s="328"/>
      <c r="AE2699" s="328"/>
      <c r="AF2699" s="328"/>
      <c r="AG2699" s="251" t="s">
        <v>283</v>
      </c>
    </row>
    <row r="2700" spans="1:33" ht="15.75" customHeight="1">
      <c r="A2700" s="743">
        <v>43073</v>
      </c>
      <c r="B2700" s="590" t="s">
        <v>7107</v>
      </c>
      <c r="C2700" s="744">
        <v>7000134513</v>
      </c>
      <c r="D2700" s="250" t="s">
        <v>8347</v>
      </c>
      <c r="E2700" s="250" t="s">
        <v>3559</v>
      </c>
      <c r="F2700" s="251">
        <v>4</v>
      </c>
      <c r="G2700" s="252">
        <v>5</v>
      </c>
      <c r="H2700" s="825">
        <f t="shared" si="172"/>
        <v>20</v>
      </c>
      <c r="I2700" s="254" t="s">
        <v>42</v>
      </c>
      <c r="J2700" s="756" t="s">
        <v>3462</v>
      </c>
      <c r="K2700" s="256">
        <v>43083</v>
      </c>
      <c r="L2700" s="256"/>
      <c r="M2700" s="256">
        <v>43081</v>
      </c>
      <c r="N2700" s="331" t="s">
        <v>3432</v>
      </c>
      <c r="O2700" s="308" t="s">
        <v>8348</v>
      </c>
      <c r="P2700" s="591"/>
      <c r="Q2700" s="572">
        <v>567</v>
      </c>
      <c r="R2700" s="1413"/>
      <c r="S2700" s="1413"/>
      <c r="U2700" s="328"/>
      <c r="V2700" s="308" t="s">
        <v>2045</v>
      </c>
      <c r="W2700" s="789">
        <v>43159</v>
      </c>
      <c r="X2700" s="748">
        <v>43080</v>
      </c>
      <c r="Y2700" s="251" t="s">
        <v>8349</v>
      </c>
      <c r="Z2700" s="751" t="s">
        <v>8351</v>
      </c>
      <c r="AA2700" s="256">
        <v>43159</v>
      </c>
      <c r="AB2700" s="264" t="s">
        <v>8350</v>
      </c>
      <c r="AC2700" s="251">
        <v>3748570206</v>
      </c>
      <c r="AD2700" s="328"/>
      <c r="AE2700" s="328"/>
      <c r="AF2700" s="328"/>
      <c r="AG2700" s="251" t="s">
        <v>283</v>
      </c>
    </row>
    <row r="2701" spans="1:33" ht="15.75" customHeight="1">
      <c r="A2701" s="743">
        <v>43073</v>
      </c>
      <c r="B2701" s="590" t="s">
        <v>7107</v>
      </c>
      <c r="C2701" s="744">
        <v>7000134513</v>
      </c>
      <c r="D2701" s="250" t="s">
        <v>8347</v>
      </c>
      <c r="E2701" s="250" t="s">
        <v>3563</v>
      </c>
      <c r="F2701" s="251">
        <v>4</v>
      </c>
      <c r="G2701" s="252">
        <v>8.5</v>
      </c>
      <c r="H2701" s="825">
        <f t="shared" si="172"/>
        <v>34</v>
      </c>
      <c r="I2701" s="254" t="s">
        <v>42</v>
      </c>
      <c r="J2701" s="331" t="s">
        <v>3462</v>
      </c>
      <c r="K2701" s="256">
        <v>43083</v>
      </c>
      <c r="L2701" s="256"/>
      <c r="M2701" s="256">
        <v>43081</v>
      </c>
      <c r="N2701" s="331" t="s">
        <v>3432</v>
      </c>
      <c r="O2701" s="308" t="s">
        <v>8348</v>
      </c>
      <c r="P2701" s="591"/>
      <c r="Q2701" s="572">
        <v>815</v>
      </c>
      <c r="R2701" s="1413"/>
      <c r="S2701" s="1413"/>
      <c r="U2701" s="328"/>
      <c r="V2701" s="308" t="s">
        <v>2045</v>
      </c>
      <c r="W2701" s="789">
        <v>43159</v>
      </c>
      <c r="X2701" s="748">
        <v>43080</v>
      </c>
      <c r="Y2701" s="251" t="s">
        <v>8349</v>
      </c>
      <c r="Z2701" s="751" t="s">
        <v>8351</v>
      </c>
      <c r="AA2701" s="256">
        <v>43159</v>
      </c>
      <c r="AB2701" s="264" t="s">
        <v>8350</v>
      </c>
      <c r="AC2701" s="251">
        <v>3748570206</v>
      </c>
      <c r="AD2701" s="328"/>
      <c r="AE2701" s="328"/>
      <c r="AF2701" s="328"/>
      <c r="AG2701" s="251" t="s">
        <v>283</v>
      </c>
    </row>
    <row r="2702" spans="1:33" ht="15.75" customHeight="1">
      <c r="A2702" s="743">
        <v>43073</v>
      </c>
      <c r="B2702" s="590" t="s">
        <v>7107</v>
      </c>
      <c r="C2702" s="744">
        <v>7000134513</v>
      </c>
      <c r="D2702" s="250" t="s">
        <v>8347</v>
      </c>
      <c r="E2702" s="250" t="s">
        <v>3565</v>
      </c>
      <c r="F2702" s="251">
        <v>4</v>
      </c>
      <c r="G2702" s="252">
        <v>250</v>
      </c>
      <c r="H2702" s="825">
        <f t="shared" si="172"/>
        <v>1000</v>
      </c>
      <c r="I2702" s="254" t="s">
        <v>42</v>
      </c>
      <c r="J2702" s="401" t="s">
        <v>3462</v>
      </c>
      <c r="K2702" s="256">
        <v>43083</v>
      </c>
      <c r="L2702" s="256"/>
      <c r="M2702" s="256">
        <v>43081</v>
      </c>
      <c r="N2702" s="331" t="s">
        <v>3432</v>
      </c>
      <c r="O2702" s="308" t="s">
        <v>8348</v>
      </c>
      <c r="P2702" s="591"/>
      <c r="Q2702" s="572">
        <v>28493</v>
      </c>
      <c r="R2702" s="1413"/>
      <c r="S2702" s="1413"/>
      <c r="U2702" s="328"/>
      <c r="V2702" s="308" t="s">
        <v>2045</v>
      </c>
      <c r="W2702" s="789">
        <v>43159</v>
      </c>
      <c r="X2702" s="748">
        <v>43080</v>
      </c>
      <c r="Y2702" s="251" t="s">
        <v>8349</v>
      </c>
      <c r="Z2702" s="751" t="s">
        <v>8351</v>
      </c>
      <c r="AA2702" s="256">
        <v>43159</v>
      </c>
      <c r="AB2702" s="264" t="s">
        <v>8350</v>
      </c>
      <c r="AC2702" s="251">
        <v>3748570206</v>
      </c>
      <c r="AD2702" s="328"/>
      <c r="AE2702" s="328"/>
      <c r="AF2702" s="328"/>
      <c r="AG2702" s="251" t="s">
        <v>283</v>
      </c>
    </row>
    <row r="2703" spans="1:33" ht="15.75" customHeight="1">
      <c r="A2703" s="743">
        <v>43073</v>
      </c>
      <c r="B2703" s="1080" t="s">
        <v>7107</v>
      </c>
      <c r="C2703" s="874">
        <v>7000134513</v>
      </c>
      <c r="D2703" s="366" t="s">
        <v>8347</v>
      </c>
      <c r="E2703" s="366" t="s">
        <v>3566</v>
      </c>
      <c r="F2703" s="251">
        <v>4</v>
      </c>
      <c r="G2703" s="252">
        <v>55</v>
      </c>
      <c r="H2703" s="825">
        <f t="shared" si="172"/>
        <v>220</v>
      </c>
      <c r="I2703" s="786" t="s">
        <v>42</v>
      </c>
      <c r="J2703" s="756" t="s">
        <v>3462</v>
      </c>
      <c r="K2703" s="256">
        <v>43083</v>
      </c>
      <c r="L2703" s="256"/>
      <c r="M2703" s="256">
        <v>43081</v>
      </c>
      <c r="N2703" s="331" t="s">
        <v>3432</v>
      </c>
      <c r="O2703" s="308" t="s">
        <v>8348</v>
      </c>
      <c r="P2703" s="591"/>
      <c r="Q2703" s="572">
        <v>6552</v>
      </c>
      <c r="R2703" s="1413"/>
      <c r="S2703" s="1413"/>
      <c r="U2703" s="328"/>
      <c r="V2703" s="318" t="s">
        <v>2045</v>
      </c>
      <c r="W2703" s="789">
        <v>43159</v>
      </c>
      <c r="X2703" s="748">
        <v>43080</v>
      </c>
      <c r="Y2703" s="251" t="s">
        <v>8349</v>
      </c>
      <c r="Z2703" s="751" t="s">
        <v>8351</v>
      </c>
      <c r="AA2703" s="256">
        <v>43159</v>
      </c>
      <c r="AB2703" s="264" t="s">
        <v>8350</v>
      </c>
      <c r="AC2703" s="251">
        <v>3748570206</v>
      </c>
      <c r="AD2703" s="328"/>
      <c r="AE2703" s="328"/>
      <c r="AF2703" s="328"/>
      <c r="AG2703" s="251" t="s">
        <v>283</v>
      </c>
    </row>
    <row r="2704" spans="1:33" ht="15.75" customHeight="1">
      <c r="A2704" s="743">
        <v>43074</v>
      </c>
      <c r="B2704" s="970" t="s">
        <v>619</v>
      </c>
      <c r="C2704" s="744"/>
      <c r="D2704" s="744" t="s">
        <v>8352</v>
      </c>
      <c r="E2704" s="744" t="s">
        <v>8353</v>
      </c>
      <c r="F2704" s="251">
        <v>4</v>
      </c>
      <c r="G2704" s="252">
        <v>360</v>
      </c>
      <c r="H2704" s="825">
        <f t="shared" si="172"/>
        <v>1440</v>
      </c>
      <c r="I2704" s="254" t="s">
        <v>3315</v>
      </c>
      <c r="J2704" s="254" t="s">
        <v>89</v>
      </c>
      <c r="K2704" s="256">
        <v>43083</v>
      </c>
      <c r="L2704" s="256"/>
      <c r="M2704" s="256">
        <v>43083</v>
      </c>
      <c r="N2704" s="331" t="s">
        <v>89</v>
      </c>
      <c r="O2704" s="308" t="s">
        <v>8354</v>
      </c>
      <c r="P2704" s="266">
        <v>1260</v>
      </c>
      <c r="Q2704" s="328"/>
      <c r="R2704" s="1407"/>
      <c r="S2704" s="1407"/>
      <c r="U2704" s="328"/>
      <c r="V2704" s="338" t="s">
        <v>93</v>
      </c>
      <c r="W2704" s="328"/>
      <c r="X2704" s="748">
        <v>43083</v>
      </c>
      <c r="Y2704" s="744" t="s">
        <v>8355</v>
      </c>
      <c r="Z2704" s="751">
        <v>80465</v>
      </c>
      <c r="AA2704" s="594">
        <v>43126</v>
      </c>
      <c r="AB2704" s="744" t="s">
        <v>8356</v>
      </c>
      <c r="AC2704" s="251" t="s">
        <v>8357</v>
      </c>
      <c r="AD2704" s="744" t="s">
        <v>8358</v>
      </c>
      <c r="AE2704" s="1077">
        <v>45383</v>
      </c>
      <c r="AF2704" s="251" t="s">
        <v>2778</v>
      </c>
      <c r="AG2704" s="251" t="s">
        <v>376</v>
      </c>
    </row>
    <row r="2705" spans="1:33" ht="15.75" customHeight="1">
      <c r="A2705" s="743">
        <v>43074</v>
      </c>
      <c r="B2705" s="970" t="s">
        <v>619</v>
      </c>
      <c r="C2705" s="744"/>
      <c r="D2705" s="744" t="s">
        <v>8352</v>
      </c>
      <c r="E2705" s="744" t="s">
        <v>3467</v>
      </c>
      <c r="F2705" s="251">
        <v>8</v>
      </c>
      <c r="G2705" s="252">
        <v>183</v>
      </c>
      <c r="H2705" s="825">
        <f t="shared" si="172"/>
        <v>1464</v>
      </c>
      <c r="I2705" s="254" t="s">
        <v>3315</v>
      </c>
      <c r="J2705" s="254" t="s">
        <v>89</v>
      </c>
      <c r="K2705" s="256">
        <v>43083</v>
      </c>
      <c r="L2705" s="256"/>
      <c r="M2705" s="256">
        <v>43083</v>
      </c>
      <c r="N2705" s="331" t="s">
        <v>89</v>
      </c>
      <c r="O2705" s="308" t="s">
        <v>8354</v>
      </c>
      <c r="P2705" s="266">
        <v>1428</v>
      </c>
      <c r="Q2705" s="328"/>
      <c r="R2705" s="1407"/>
      <c r="S2705" s="1407"/>
      <c r="U2705" s="328"/>
      <c r="V2705" s="338" t="s">
        <v>93</v>
      </c>
      <c r="W2705" s="328"/>
      <c r="X2705" s="748">
        <v>43083</v>
      </c>
      <c r="Y2705" s="744" t="s">
        <v>8355</v>
      </c>
      <c r="Z2705" s="751" t="s">
        <v>8359</v>
      </c>
      <c r="AA2705" s="594">
        <v>43126</v>
      </c>
      <c r="AB2705" s="744" t="s">
        <v>8356</v>
      </c>
      <c r="AC2705" s="251" t="s">
        <v>8357</v>
      </c>
      <c r="AD2705" s="744" t="s">
        <v>8358</v>
      </c>
      <c r="AE2705" s="1077">
        <v>46139</v>
      </c>
      <c r="AF2705" s="251" t="s">
        <v>2778</v>
      </c>
      <c r="AG2705" s="251" t="s">
        <v>376</v>
      </c>
    </row>
    <row r="2706" spans="1:33" ht="15.75" customHeight="1">
      <c r="A2706" s="743">
        <v>43076</v>
      </c>
      <c r="B2706" s="970" t="s">
        <v>100</v>
      </c>
      <c r="C2706" s="744" t="s">
        <v>8360</v>
      </c>
      <c r="D2706" s="744" t="s">
        <v>8361</v>
      </c>
      <c r="E2706" s="744" t="s">
        <v>6823</v>
      </c>
      <c r="F2706" s="251">
        <v>27</v>
      </c>
      <c r="G2706" s="252">
        <v>6</v>
      </c>
      <c r="H2706" s="825">
        <f t="shared" ref="H2706:H2720" si="173">F2706*G2706</f>
        <v>162</v>
      </c>
      <c r="I2706" s="254" t="s">
        <v>3315</v>
      </c>
      <c r="J2706" s="367" t="s">
        <v>3578</v>
      </c>
      <c r="K2706" s="256">
        <v>43094</v>
      </c>
      <c r="L2706" s="256"/>
      <c r="M2706" s="256">
        <v>43094</v>
      </c>
      <c r="N2706" s="331" t="s">
        <v>1414</v>
      </c>
      <c r="O2706" s="308" t="s">
        <v>8362</v>
      </c>
      <c r="P2706" s="266">
        <v>141.75</v>
      </c>
      <c r="Q2706" s="328"/>
      <c r="R2706" s="1407"/>
      <c r="S2706" s="1407"/>
      <c r="U2706" s="328"/>
      <c r="V2706" s="318" t="s">
        <v>1947</v>
      </c>
      <c r="W2706" s="789">
        <v>43131</v>
      </c>
      <c r="X2706" s="748">
        <v>43090</v>
      </c>
      <c r="Y2706" s="744" t="s">
        <v>8363</v>
      </c>
      <c r="Z2706" s="751">
        <v>731917</v>
      </c>
      <c r="AA2706" s="594">
        <v>43144</v>
      </c>
      <c r="AB2706" s="250" t="s">
        <v>8247</v>
      </c>
      <c r="AC2706" s="251">
        <v>9287082022</v>
      </c>
      <c r="AD2706" s="328"/>
      <c r="AE2706" s="328"/>
      <c r="AF2706" s="328"/>
      <c r="AG2706" s="251" t="s">
        <v>283</v>
      </c>
    </row>
    <row r="2707" spans="1:33" ht="15.75" customHeight="1">
      <c r="A2707" s="743">
        <v>43076</v>
      </c>
      <c r="B2707" s="970" t="s">
        <v>100</v>
      </c>
      <c r="C2707" s="744" t="s">
        <v>8360</v>
      </c>
      <c r="D2707" s="744" t="s">
        <v>8361</v>
      </c>
      <c r="E2707" s="744" t="s">
        <v>8364</v>
      </c>
      <c r="F2707" s="251">
        <v>27</v>
      </c>
      <c r="G2707" s="252">
        <v>847</v>
      </c>
      <c r="H2707" s="825">
        <f t="shared" si="173"/>
        <v>22869</v>
      </c>
      <c r="I2707" s="254" t="s">
        <v>3315</v>
      </c>
      <c r="J2707" s="367" t="s">
        <v>3578</v>
      </c>
      <c r="K2707" s="256">
        <v>43094</v>
      </c>
      <c r="L2707" s="256"/>
      <c r="M2707" s="256">
        <v>43094</v>
      </c>
      <c r="N2707" s="331" t="s">
        <v>1414</v>
      </c>
      <c r="O2707" s="308" t="s">
        <v>8362</v>
      </c>
      <c r="P2707" s="266">
        <v>23247</v>
      </c>
      <c r="Q2707" s="328"/>
      <c r="R2707" s="1407"/>
      <c r="S2707" s="1407"/>
      <c r="U2707" s="328"/>
      <c r="V2707" s="318" t="s">
        <v>1947</v>
      </c>
      <c r="W2707" s="789">
        <v>43131</v>
      </c>
      <c r="X2707" s="748">
        <v>43090</v>
      </c>
      <c r="Y2707" s="744" t="s">
        <v>8363</v>
      </c>
      <c r="Z2707" s="744" t="s">
        <v>8365</v>
      </c>
      <c r="AA2707" s="594">
        <v>43144</v>
      </c>
      <c r="AB2707" s="250" t="s">
        <v>8247</v>
      </c>
      <c r="AC2707" s="251">
        <v>9287082022</v>
      </c>
      <c r="AD2707" s="328"/>
      <c r="AE2707" s="328"/>
      <c r="AF2707" s="328"/>
      <c r="AG2707" s="251" t="s">
        <v>283</v>
      </c>
    </row>
    <row r="2708" spans="1:33" ht="15.75" customHeight="1">
      <c r="A2708" s="743">
        <v>43076</v>
      </c>
      <c r="B2708" s="970" t="s">
        <v>100</v>
      </c>
      <c r="C2708" s="744" t="s">
        <v>8360</v>
      </c>
      <c r="D2708" s="744" t="s">
        <v>8361</v>
      </c>
      <c r="E2708" s="744" t="s">
        <v>6829</v>
      </c>
      <c r="F2708" s="251">
        <v>27</v>
      </c>
      <c r="G2708" s="252">
        <f>G2707*10%</f>
        <v>84.7</v>
      </c>
      <c r="H2708" s="825">
        <f t="shared" si="173"/>
        <v>2286.9</v>
      </c>
      <c r="I2708" s="254" t="s">
        <v>3315</v>
      </c>
      <c r="J2708" s="367" t="s">
        <v>3578</v>
      </c>
      <c r="K2708" s="256">
        <v>43094</v>
      </c>
      <c r="L2708" s="256"/>
      <c r="M2708" s="256">
        <v>43094</v>
      </c>
      <c r="N2708" s="331" t="s">
        <v>1414</v>
      </c>
      <c r="O2708" s="308" t="s">
        <v>8362</v>
      </c>
      <c r="P2708" s="265" t="s">
        <v>8366</v>
      </c>
      <c r="Q2708" s="328"/>
      <c r="R2708" s="1407"/>
      <c r="S2708" s="1407"/>
      <c r="U2708" s="328"/>
      <c r="V2708" s="318" t="s">
        <v>1947</v>
      </c>
      <c r="W2708" s="789">
        <v>43131</v>
      </c>
      <c r="X2708" s="748">
        <v>43090</v>
      </c>
      <c r="Y2708" s="744" t="s">
        <v>8363</v>
      </c>
      <c r="Z2708" s="744" t="s">
        <v>8365</v>
      </c>
      <c r="AA2708" s="594">
        <v>43144</v>
      </c>
      <c r="AB2708" s="250" t="s">
        <v>8247</v>
      </c>
      <c r="AC2708" s="251">
        <v>9287082022</v>
      </c>
      <c r="AD2708" s="328"/>
      <c r="AE2708" s="328"/>
      <c r="AF2708" s="328"/>
      <c r="AG2708" s="251" t="s">
        <v>283</v>
      </c>
    </row>
    <row r="2709" spans="1:33" ht="15.75" customHeight="1">
      <c r="A2709" s="743">
        <v>43076</v>
      </c>
      <c r="B2709" s="970" t="s">
        <v>100</v>
      </c>
      <c r="C2709" s="744" t="s">
        <v>8360</v>
      </c>
      <c r="D2709" s="744" t="s">
        <v>8361</v>
      </c>
      <c r="E2709" s="744" t="s">
        <v>6732</v>
      </c>
      <c r="F2709" s="251">
        <v>27</v>
      </c>
      <c r="G2709" s="252">
        <v>41</v>
      </c>
      <c r="H2709" s="825">
        <f t="shared" si="173"/>
        <v>1107</v>
      </c>
      <c r="I2709" s="254" t="s">
        <v>3315</v>
      </c>
      <c r="J2709" s="367" t="s">
        <v>3578</v>
      </c>
      <c r="K2709" s="256">
        <v>43094</v>
      </c>
      <c r="L2709" s="256"/>
      <c r="M2709" s="256">
        <v>43094</v>
      </c>
      <c r="N2709" s="331" t="s">
        <v>1414</v>
      </c>
      <c r="O2709" s="308" t="s">
        <v>8362</v>
      </c>
      <c r="P2709" s="266">
        <v>992.25</v>
      </c>
      <c r="Q2709" s="328"/>
      <c r="R2709" s="1407"/>
      <c r="S2709" s="1407"/>
      <c r="U2709" s="328"/>
      <c r="V2709" s="318" t="s">
        <v>1947</v>
      </c>
      <c r="W2709" s="789">
        <v>43131</v>
      </c>
      <c r="X2709" s="748">
        <v>43090</v>
      </c>
      <c r="Y2709" s="744" t="s">
        <v>8363</v>
      </c>
      <c r="Z2709" s="744" t="s">
        <v>8365</v>
      </c>
      <c r="AA2709" s="594">
        <v>43144</v>
      </c>
      <c r="AB2709" s="250" t="s">
        <v>8247</v>
      </c>
      <c r="AC2709" s="251">
        <v>9287082022</v>
      </c>
      <c r="AD2709" s="328"/>
      <c r="AE2709" s="328"/>
      <c r="AF2709" s="328"/>
      <c r="AG2709" s="251" t="s">
        <v>283</v>
      </c>
    </row>
    <row r="2710" spans="1:33" ht="15.75" customHeight="1">
      <c r="A2710" s="743">
        <v>43076</v>
      </c>
      <c r="B2710" s="970" t="s">
        <v>100</v>
      </c>
      <c r="C2710" s="744" t="s">
        <v>8367</v>
      </c>
      <c r="D2710" s="250" t="s">
        <v>8368</v>
      </c>
      <c r="E2710" s="250" t="s">
        <v>8369</v>
      </c>
      <c r="F2710" s="305">
        <v>29</v>
      </c>
      <c r="G2710" s="336">
        <v>291</v>
      </c>
      <c r="H2710" s="825">
        <f t="shared" si="173"/>
        <v>8439</v>
      </c>
      <c r="I2710" s="254" t="s">
        <v>3315</v>
      </c>
      <c r="J2710" s="367" t="s">
        <v>3578</v>
      </c>
      <c r="K2710" s="256">
        <v>43097</v>
      </c>
      <c r="L2710" s="256"/>
      <c r="M2710" s="256">
        <v>43090</v>
      </c>
      <c r="N2710" s="401" t="s">
        <v>1995</v>
      </c>
      <c r="O2710" s="308" t="s">
        <v>8370</v>
      </c>
      <c r="P2710" s="591"/>
      <c r="Q2710" s="572">
        <v>239337</v>
      </c>
      <c r="R2710" s="1413"/>
      <c r="S2710" s="1413"/>
      <c r="U2710" s="328"/>
      <c r="V2710" s="571" t="s">
        <v>1997</v>
      </c>
      <c r="W2710" s="747">
        <v>43136</v>
      </c>
      <c r="X2710" s="748">
        <v>43089</v>
      </c>
      <c r="Y2710" s="744" t="s">
        <v>8371</v>
      </c>
      <c r="Z2710" s="753">
        <v>255843</v>
      </c>
      <c r="AA2710" s="594">
        <v>43136</v>
      </c>
      <c r="AB2710" s="250" t="s">
        <v>8372</v>
      </c>
      <c r="AC2710" s="251">
        <v>7911796815</v>
      </c>
      <c r="AD2710" s="328"/>
      <c r="AE2710" s="328"/>
      <c r="AF2710" s="328"/>
      <c r="AG2710" s="251" t="s">
        <v>283</v>
      </c>
    </row>
    <row r="2711" spans="1:33" ht="15.75" customHeight="1">
      <c r="A2711" s="743">
        <v>43076</v>
      </c>
      <c r="B2711" s="970" t="s">
        <v>100</v>
      </c>
      <c r="C2711" s="744" t="s">
        <v>8367</v>
      </c>
      <c r="D2711" s="250" t="s">
        <v>8373</v>
      </c>
      <c r="E2711" s="250" t="s">
        <v>8374</v>
      </c>
      <c r="F2711" s="305">
        <v>29</v>
      </c>
      <c r="G2711" s="772">
        <v>110</v>
      </c>
      <c r="H2711" s="825">
        <f t="shared" si="173"/>
        <v>3190</v>
      </c>
      <c r="I2711" s="254" t="s">
        <v>3315</v>
      </c>
      <c r="J2711" s="367" t="s">
        <v>3578</v>
      </c>
      <c r="K2711" s="256">
        <v>43097</v>
      </c>
      <c r="L2711" s="256"/>
      <c r="M2711" s="256">
        <v>43090</v>
      </c>
      <c r="N2711" s="585" t="s">
        <v>7602</v>
      </c>
      <c r="O2711" s="308" t="s">
        <v>8375</v>
      </c>
      <c r="P2711" s="266">
        <v>2770.95</v>
      </c>
      <c r="Q2711" s="328">
        <v>88862</v>
      </c>
      <c r="R2711" s="1407"/>
      <c r="S2711" s="1407"/>
      <c r="U2711" s="328"/>
      <c r="V2711" s="338" t="s">
        <v>7605</v>
      </c>
      <c r="W2711" s="328"/>
      <c r="X2711" s="748">
        <v>43090</v>
      </c>
      <c r="Y2711" s="744" t="s">
        <v>8376</v>
      </c>
      <c r="Z2711" s="753">
        <v>88862</v>
      </c>
      <c r="AA2711" s="594">
        <v>43088</v>
      </c>
      <c r="AB2711" s="250" t="s">
        <v>8372</v>
      </c>
      <c r="AC2711" s="251">
        <v>7911796815</v>
      </c>
      <c r="AD2711" s="328"/>
      <c r="AE2711" s="328"/>
      <c r="AF2711" s="328"/>
      <c r="AG2711" s="251" t="s">
        <v>283</v>
      </c>
    </row>
    <row r="2712" spans="1:33" ht="15.75" customHeight="1">
      <c r="A2712" s="743">
        <v>43076</v>
      </c>
      <c r="B2712" s="970" t="s">
        <v>100</v>
      </c>
      <c r="C2712" s="744" t="s">
        <v>8377</v>
      </c>
      <c r="D2712" s="250" t="s">
        <v>8378</v>
      </c>
      <c r="E2712" s="250" t="s">
        <v>8379</v>
      </c>
      <c r="F2712" s="305">
        <v>2</v>
      </c>
      <c r="G2712" s="772">
        <v>291</v>
      </c>
      <c r="H2712" s="825">
        <f t="shared" si="173"/>
        <v>582</v>
      </c>
      <c r="I2712" s="254" t="s">
        <v>3315</v>
      </c>
      <c r="J2712" s="367" t="s">
        <v>3408</v>
      </c>
      <c r="K2712" s="256">
        <v>43097</v>
      </c>
      <c r="L2712" s="256"/>
      <c r="M2712" s="256">
        <v>43090</v>
      </c>
      <c r="N2712" s="1039" t="s">
        <v>1995</v>
      </c>
      <c r="O2712" s="308" t="s">
        <v>8370</v>
      </c>
      <c r="P2712" s="591"/>
      <c r="Q2712" s="572">
        <v>16506</v>
      </c>
      <c r="R2712" s="1413"/>
      <c r="S2712" s="1413"/>
      <c r="U2712" s="328"/>
      <c r="V2712" s="338" t="s">
        <v>1997</v>
      </c>
      <c r="W2712" s="747">
        <v>43136</v>
      </c>
      <c r="X2712" s="748">
        <v>43089</v>
      </c>
      <c r="Y2712" s="744" t="s">
        <v>8371</v>
      </c>
      <c r="Z2712" s="744" t="s">
        <v>8380</v>
      </c>
      <c r="AA2712" s="594">
        <v>43136</v>
      </c>
      <c r="AB2712" s="744" t="s">
        <v>8139</v>
      </c>
      <c r="AC2712" s="251" t="s">
        <v>8140</v>
      </c>
      <c r="AD2712" s="328"/>
      <c r="AE2712" s="328"/>
      <c r="AF2712" s="328"/>
      <c r="AG2712" s="251" t="s">
        <v>283</v>
      </c>
    </row>
    <row r="2713" spans="1:33" ht="15.75" customHeight="1">
      <c r="A2713" s="743">
        <v>43076</v>
      </c>
      <c r="B2713" s="970" t="s">
        <v>100</v>
      </c>
      <c r="C2713" s="744" t="s">
        <v>8377</v>
      </c>
      <c r="D2713" s="250" t="s">
        <v>8378</v>
      </c>
      <c r="E2713" s="250" t="s">
        <v>8374</v>
      </c>
      <c r="F2713" s="305">
        <v>2</v>
      </c>
      <c r="G2713" s="772">
        <v>110</v>
      </c>
      <c r="H2713" s="825">
        <f t="shared" si="173"/>
        <v>220</v>
      </c>
      <c r="I2713" s="254" t="s">
        <v>3315</v>
      </c>
      <c r="J2713" s="367" t="s">
        <v>3408</v>
      </c>
      <c r="K2713" s="256">
        <v>43097</v>
      </c>
      <c r="L2713" s="256"/>
      <c r="M2713" s="256">
        <v>43090</v>
      </c>
      <c r="N2713" s="251" t="s">
        <v>7602</v>
      </c>
      <c r="O2713" s="308" t="s">
        <v>8375</v>
      </c>
      <c r="P2713" s="266">
        <v>191.1</v>
      </c>
      <c r="Q2713" s="329" t="s">
        <v>8381</v>
      </c>
      <c r="R2713" s="1442"/>
      <c r="S2713" s="1442"/>
      <c r="U2713" s="328"/>
      <c r="V2713" s="571" t="s">
        <v>7605</v>
      </c>
      <c r="W2713" s="328"/>
      <c r="X2713" s="748">
        <v>43090</v>
      </c>
      <c r="Y2713" s="744" t="s">
        <v>8376</v>
      </c>
      <c r="Z2713" s="744" t="s">
        <v>8382</v>
      </c>
      <c r="AA2713" s="594">
        <v>43088</v>
      </c>
      <c r="AB2713" s="744" t="s">
        <v>8139</v>
      </c>
      <c r="AC2713" s="1081" t="s">
        <v>8140</v>
      </c>
      <c r="AD2713" s="328"/>
      <c r="AE2713" s="328"/>
      <c r="AF2713" s="328"/>
      <c r="AG2713" s="251" t="s">
        <v>283</v>
      </c>
    </row>
    <row r="2714" spans="1:33" ht="15.75" customHeight="1">
      <c r="A2714" s="743">
        <v>43076</v>
      </c>
      <c r="B2714" s="970" t="s">
        <v>100</v>
      </c>
      <c r="C2714" s="744" t="s">
        <v>8367</v>
      </c>
      <c r="D2714" s="250" t="s">
        <v>8373</v>
      </c>
      <c r="E2714" s="250" t="s">
        <v>6926</v>
      </c>
      <c r="F2714" s="305">
        <v>29</v>
      </c>
      <c r="G2714" s="772">
        <v>62</v>
      </c>
      <c r="H2714" s="825">
        <f t="shared" si="173"/>
        <v>1798</v>
      </c>
      <c r="I2714" s="254" t="s">
        <v>3315</v>
      </c>
      <c r="J2714" s="367" t="s">
        <v>3578</v>
      </c>
      <c r="K2714" s="256">
        <v>43097</v>
      </c>
      <c r="L2714" s="256"/>
      <c r="M2714" s="256">
        <v>43088</v>
      </c>
      <c r="N2714" s="331" t="s">
        <v>2124</v>
      </c>
      <c r="O2714" s="308" t="s">
        <v>8383</v>
      </c>
      <c r="P2714" s="266">
        <v>1589.49</v>
      </c>
      <c r="Q2714" s="328">
        <v>50973</v>
      </c>
      <c r="R2714" s="1407"/>
      <c r="S2714" s="1407"/>
      <c r="U2714" s="328"/>
      <c r="V2714" s="318" t="s">
        <v>2126</v>
      </c>
      <c r="W2714" s="328"/>
      <c r="X2714" s="748">
        <v>43087</v>
      </c>
      <c r="Y2714" s="744" t="s">
        <v>8384</v>
      </c>
      <c r="Z2714" s="753">
        <v>50973</v>
      </c>
      <c r="AA2714" s="594">
        <v>43084</v>
      </c>
      <c r="AB2714" s="250" t="s">
        <v>8372</v>
      </c>
      <c r="AC2714" s="251">
        <v>7911796815</v>
      </c>
      <c r="AD2714" s="328"/>
      <c r="AE2714" s="328"/>
      <c r="AF2714" s="328"/>
      <c r="AG2714" s="251" t="s">
        <v>283</v>
      </c>
    </row>
    <row r="2715" spans="1:33" ht="15.75" customHeight="1">
      <c r="A2715" s="743">
        <v>43076</v>
      </c>
      <c r="B2715" s="970" t="s">
        <v>100</v>
      </c>
      <c r="C2715" s="744" t="s">
        <v>8377</v>
      </c>
      <c r="D2715" s="250" t="s">
        <v>8378</v>
      </c>
      <c r="E2715" s="250" t="s">
        <v>6926</v>
      </c>
      <c r="F2715" s="305">
        <v>2</v>
      </c>
      <c r="G2715" s="772">
        <v>62</v>
      </c>
      <c r="H2715" s="825">
        <f t="shared" si="173"/>
        <v>124</v>
      </c>
      <c r="I2715" s="254" t="s">
        <v>3315</v>
      </c>
      <c r="J2715" s="367" t="s">
        <v>3408</v>
      </c>
      <c r="K2715" s="256">
        <v>43097</v>
      </c>
      <c r="L2715" s="256"/>
      <c r="M2715" s="256">
        <v>43088</v>
      </c>
      <c r="N2715" s="1039" t="s">
        <v>2124</v>
      </c>
      <c r="O2715" s="308" t="s">
        <v>8383</v>
      </c>
      <c r="P2715" s="266">
        <v>109.62</v>
      </c>
      <c r="Q2715" s="329" t="s">
        <v>8385</v>
      </c>
      <c r="R2715" s="1442"/>
      <c r="S2715" s="1442"/>
      <c r="U2715" s="328"/>
      <c r="V2715" s="318" t="s">
        <v>2126</v>
      </c>
      <c r="W2715" s="328"/>
      <c r="X2715" s="748">
        <v>43087</v>
      </c>
      <c r="Y2715" s="744" t="s">
        <v>8384</v>
      </c>
      <c r="Z2715" s="744" t="s">
        <v>8386</v>
      </c>
      <c r="AA2715" s="594">
        <v>43084</v>
      </c>
      <c r="AB2715" s="744" t="s">
        <v>8139</v>
      </c>
      <c r="AC2715" s="251" t="s">
        <v>8140</v>
      </c>
      <c r="AD2715" s="328"/>
      <c r="AE2715" s="328"/>
      <c r="AF2715" s="328"/>
      <c r="AG2715" s="251" t="s">
        <v>283</v>
      </c>
    </row>
    <row r="2716" spans="1:33" ht="15.75" customHeight="1">
      <c r="A2716" s="743">
        <v>43076</v>
      </c>
      <c r="B2716" s="970" t="s">
        <v>100</v>
      </c>
      <c r="C2716" s="744" t="s">
        <v>8360</v>
      </c>
      <c r="D2716" s="744" t="s">
        <v>8361</v>
      </c>
      <c r="E2716" s="744" t="s">
        <v>8387</v>
      </c>
      <c r="F2716" s="251">
        <v>27</v>
      </c>
      <c r="G2716" s="323">
        <v>98</v>
      </c>
      <c r="H2716" s="825">
        <f t="shared" si="173"/>
        <v>2646</v>
      </c>
      <c r="I2716" s="254" t="s">
        <v>3315</v>
      </c>
      <c r="J2716" s="367" t="s">
        <v>3578</v>
      </c>
      <c r="K2716" s="256">
        <v>43094</v>
      </c>
      <c r="L2716" s="256"/>
      <c r="M2716" s="256">
        <v>43084</v>
      </c>
      <c r="N2716" s="251" t="s">
        <v>1952</v>
      </c>
      <c r="O2716" s="308" t="s">
        <v>8388</v>
      </c>
      <c r="P2716" s="266">
        <v>2506.14</v>
      </c>
      <c r="Q2716" s="328"/>
      <c r="R2716" s="1407"/>
      <c r="S2716" s="1407"/>
      <c r="U2716" s="328"/>
      <c r="V2716" s="597" t="s">
        <v>3744</v>
      </c>
      <c r="W2716" s="328"/>
      <c r="X2716" s="748">
        <v>43082</v>
      </c>
      <c r="Y2716" s="744" t="s">
        <v>8389</v>
      </c>
      <c r="Z2716" s="751">
        <v>75229</v>
      </c>
      <c r="AA2716" s="594">
        <v>43152</v>
      </c>
      <c r="AB2716" s="250" t="s">
        <v>8247</v>
      </c>
      <c r="AC2716" s="262">
        <v>9287082022</v>
      </c>
      <c r="AD2716" s="328"/>
      <c r="AE2716" s="328"/>
      <c r="AF2716" s="328"/>
      <c r="AG2716" s="251" t="s">
        <v>283</v>
      </c>
    </row>
    <row r="2717" spans="1:33" ht="15.75" customHeight="1">
      <c r="A2717" s="743">
        <v>43087</v>
      </c>
      <c r="B2717" s="970" t="s">
        <v>100</v>
      </c>
      <c r="C2717" s="744" t="s">
        <v>8390</v>
      </c>
      <c r="D2717" s="420" t="s">
        <v>8391</v>
      </c>
      <c r="E2717" s="420" t="s">
        <v>8392</v>
      </c>
      <c r="F2717" s="251">
        <v>2</v>
      </c>
      <c r="G2717" s="252">
        <v>489</v>
      </c>
      <c r="H2717" s="825">
        <f t="shared" si="173"/>
        <v>978</v>
      </c>
      <c r="I2717" s="254" t="s">
        <v>3315</v>
      </c>
      <c r="J2717" s="367" t="s">
        <v>3408</v>
      </c>
      <c r="K2717" s="256">
        <v>43097</v>
      </c>
      <c r="L2717" s="256"/>
      <c r="M2717" s="256">
        <v>43096</v>
      </c>
      <c r="N2717" s="331" t="s">
        <v>1995</v>
      </c>
      <c r="O2717" s="308" t="s">
        <v>8393</v>
      </c>
      <c r="P2717" s="591"/>
      <c r="Q2717" s="630">
        <v>27720</v>
      </c>
      <c r="R2717" s="1415"/>
      <c r="S2717" s="1415"/>
      <c r="U2717" s="328"/>
      <c r="V2717" s="338" t="s">
        <v>1997</v>
      </c>
      <c r="W2717" s="747">
        <v>43136</v>
      </c>
      <c r="X2717" s="748">
        <v>43095</v>
      </c>
      <c r="Y2717" s="744" t="s">
        <v>8394</v>
      </c>
      <c r="Z2717" s="753">
        <v>27720</v>
      </c>
      <c r="AA2717" s="594">
        <v>43136</v>
      </c>
      <c r="AB2717" s="744" t="s">
        <v>8139</v>
      </c>
      <c r="AC2717" s="251" t="s">
        <v>8140</v>
      </c>
      <c r="AD2717" s="328"/>
      <c r="AE2717" s="328"/>
      <c r="AF2717" s="328"/>
      <c r="AG2717" s="251" t="s">
        <v>283</v>
      </c>
    </row>
    <row r="2718" spans="1:33" ht="15.75" customHeight="1">
      <c r="A2718" s="743">
        <v>43087</v>
      </c>
      <c r="B2718" s="970" t="s">
        <v>100</v>
      </c>
      <c r="C2718" s="744" t="s">
        <v>8390</v>
      </c>
      <c r="D2718" s="420" t="s">
        <v>8395</v>
      </c>
      <c r="E2718" s="420" t="s">
        <v>8396</v>
      </c>
      <c r="F2718" s="251">
        <v>2</v>
      </c>
      <c r="G2718" s="252">
        <v>352</v>
      </c>
      <c r="H2718" s="825">
        <f t="shared" si="173"/>
        <v>704</v>
      </c>
      <c r="I2718" s="254" t="s">
        <v>3315</v>
      </c>
      <c r="J2718" s="367" t="s">
        <v>3408</v>
      </c>
      <c r="K2718" s="256">
        <v>43097</v>
      </c>
      <c r="L2718" s="256"/>
      <c r="M2718" s="256">
        <v>43091</v>
      </c>
      <c r="N2718" s="331" t="s">
        <v>1993</v>
      </c>
      <c r="O2718" s="308" t="s">
        <v>8397</v>
      </c>
      <c r="P2718" s="266">
        <v>598.5</v>
      </c>
      <c r="Q2718" s="328"/>
      <c r="R2718" s="1407"/>
      <c r="S2718" s="1407"/>
      <c r="U2718" s="328"/>
      <c r="V2718" s="318" t="s">
        <v>6159</v>
      </c>
      <c r="W2718" s="593"/>
      <c r="X2718" s="748">
        <v>43088</v>
      </c>
      <c r="Y2718" s="744" t="s">
        <v>8398</v>
      </c>
      <c r="Z2718" s="753">
        <v>17958</v>
      </c>
      <c r="AA2718" s="594">
        <v>43138</v>
      </c>
      <c r="AB2718" s="744" t="s">
        <v>8139</v>
      </c>
      <c r="AC2718" s="251" t="s">
        <v>8140</v>
      </c>
      <c r="AD2718" s="328"/>
      <c r="AE2718" s="328"/>
      <c r="AF2718" s="328"/>
      <c r="AG2718" s="251" t="s">
        <v>283</v>
      </c>
    </row>
    <row r="2719" spans="1:33" ht="15.75" customHeight="1">
      <c r="A2719" s="743">
        <v>43087</v>
      </c>
      <c r="B2719" s="970" t="s">
        <v>100</v>
      </c>
      <c r="C2719" s="744" t="s">
        <v>8390</v>
      </c>
      <c r="D2719" s="420" t="s">
        <v>8391</v>
      </c>
      <c r="E2719" s="420" t="s">
        <v>8399</v>
      </c>
      <c r="F2719" s="251">
        <v>2</v>
      </c>
      <c r="G2719" s="252">
        <v>98</v>
      </c>
      <c r="H2719" s="825">
        <f t="shared" si="173"/>
        <v>196</v>
      </c>
      <c r="I2719" s="254" t="s">
        <v>3315</v>
      </c>
      <c r="J2719" s="367" t="s">
        <v>3408</v>
      </c>
      <c r="K2719" s="256">
        <v>43097</v>
      </c>
      <c r="L2719" s="256"/>
      <c r="M2719" s="256">
        <v>43089</v>
      </c>
      <c r="N2719" s="331" t="s">
        <v>178</v>
      </c>
      <c r="O2719" s="308" t="s">
        <v>8400</v>
      </c>
      <c r="P2719" s="591"/>
      <c r="Q2719" s="328"/>
      <c r="R2719" s="1407"/>
      <c r="S2719" s="1407"/>
      <c r="U2719" s="328"/>
      <c r="V2719" s="590"/>
      <c r="W2719" s="328"/>
      <c r="X2719" s="745"/>
      <c r="Y2719" s="745"/>
      <c r="Z2719" s="745"/>
      <c r="AA2719" s="1003"/>
      <c r="AB2719" s="744" t="s">
        <v>8139</v>
      </c>
      <c r="AC2719" s="251" t="s">
        <v>8140</v>
      </c>
      <c r="AD2719" s="328"/>
      <c r="AE2719" s="328"/>
      <c r="AF2719" s="328"/>
      <c r="AG2719" s="251" t="s">
        <v>283</v>
      </c>
    </row>
    <row r="2720" spans="1:33" ht="15.75" customHeight="1">
      <c r="A2720" s="743">
        <v>43089</v>
      </c>
      <c r="B2720" s="970" t="s">
        <v>6719</v>
      </c>
      <c r="C2720" s="250" t="s">
        <v>8401</v>
      </c>
      <c r="D2720" s="308" t="s">
        <v>8197</v>
      </c>
      <c r="E2720" s="308" t="s">
        <v>8402</v>
      </c>
      <c r="F2720" s="251">
        <v>8</v>
      </c>
      <c r="G2720" s="252">
        <v>103.3</v>
      </c>
      <c r="H2720" s="825">
        <f t="shared" si="173"/>
        <v>826.4</v>
      </c>
      <c r="I2720" s="254" t="s">
        <v>170</v>
      </c>
      <c r="J2720" s="367" t="s">
        <v>626</v>
      </c>
      <c r="K2720" s="256">
        <v>43096</v>
      </c>
      <c r="L2720" s="256"/>
      <c r="M2720" s="256">
        <v>43095</v>
      </c>
      <c r="N2720" s="251" t="s">
        <v>8403</v>
      </c>
      <c r="O2720" s="308" t="s">
        <v>8404</v>
      </c>
      <c r="P2720" s="591"/>
      <c r="Q2720" s="308">
        <v>24121</v>
      </c>
      <c r="R2720" s="1410"/>
      <c r="S2720" s="1410"/>
      <c r="U2720" s="328"/>
      <c r="V2720" s="1082" t="s">
        <v>8405</v>
      </c>
      <c r="W2720" s="328"/>
      <c r="X2720" s="748">
        <v>43095</v>
      </c>
      <c r="Y2720" s="744" t="s">
        <v>8406</v>
      </c>
      <c r="Z2720" s="753">
        <v>24121</v>
      </c>
      <c r="AA2720" s="594">
        <v>43105</v>
      </c>
      <c r="AB2720" s="744" t="s">
        <v>8407</v>
      </c>
      <c r="AC2720" s="328" t="s">
        <v>8408</v>
      </c>
      <c r="AD2720" s="744"/>
      <c r="AE2720" s="1077">
        <v>26040</v>
      </c>
      <c r="AF2720" s="328" t="s">
        <v>8409</v>
      </c>
      <c r="AG2720" s="251" t="s">
        <v>376</v>
      </c>
    </row>
    <row r="2721" spans="1:33" ht="15.75" customHeight="1">
      <c r="A2721" s="755">
        <v>42410</v>
      </c>
      <c r="B2721" s="590" t="s">
        <v>325</v>
      </c>
      <c r="C2721" s="263">
        <v>3020099</v>
      </c>
      <c r="D2721" s="263" t="s">
        <v>8411</v>
      </c>
      <c r="E2721" s="590" t="s">
        <v>4251</v>
      </c>
      <c r="F2721" s="318">
        <v>1</v>
      </c>
      <c r="G2721" s="752">
        <v>607</v>
      </c>
      <c r="H2721" s="464">
        <f t="shared" ref="H2721:H2722" si="174">G2721*F2721</f>
        <v>607</v>
      </c>
      <c r="I2721" s="254" t="s">
        <v>170</v>
      </c>
      <c r="J2721" s="331" t="s">
        <v>3613</v>
      </c>
      <c r="K2721" s="811">
        <v>42425</v>
      </c>
      <c r="L2721" s="1477"/>
      <c r="M2721" s="811">
        <v>42423</v>
      </c>
      <c r="N2721" s="331" t="s">
        <v>3614</v>
      </c>
      <c r="O2721" s="263" t="s">
        <v>8412</v>
      </c>
      <c r="P2721" s="263"/>
      <c r="Q2721" s="752">
        <v>19910</v>
      </c>
      <c r="R2721" s="1405"/>
      <c r="S2721" s="1405"/>
      <c r="U2721" s="1083"/>
      <c r="V2721" s="263" t="s">
        <v>2159</v>
      </c>
      <c r="W2721" s="1084">
        <v>42459</v>
      </c>
      <c r="X2721" s="1083">
        <v>42422</v>
      </c>
      <c r="Y2721" s="1085" t="s">
        <v>8413</v>
      </c>
      <c r="Z2721" s="1086">
        <v>20791</v>
      </c>
      <c r="AA2721" s="1083">
        <v>42460</v>
      </c>
      <c r="AB2721" s="263" t="s">
        <v>8414</v>
      </c>
      <c r="AD2721" s="386"/>
      <c r="AE2721" s="1087"/>
      <c r="AF2721" s="1087"/>
      <c r="AG2721" s="1087" t="s">
        <v>8415</v>
      </c>
    </row>
    <row r="2722" spans="1:33" ht="15.75" customHeight="1">
      <c r="A2722" s="755">
        <v>42410</v>
      </c>
      <c r="B2722" s="592" t="s">
        <v>325</v>
      </c>
      <c r="C2722" s="970">
        <v>3020099</v>
      </c>
      <c r="D2722" s="318" t="s">
        <v>8411</v>
      </c>
      <c r="E2722" s="592" t="s">
        <v>4256</v>
      </c>
      <c r="F2722" s="1088">
        <v>1</v>
      </c>
      <c r="G2722" s="1088">
        <v>27</v>
      </c>
      <c r="H2722" s="464">
        <f t="shared" si="174"/>
        <v>27</v>
      </c>
      <c r="I2722" s="254" t="s">
        <v>170</v>
      </c>
      <c r="J2722" s="331" t="s">
        <v>3613</v>
      </c>
      <c r="K2722" s="811">
        <v>42425</v>
      </c>
      <c r="L2722" s="1477"/>
      <c r="M2722" s="811">
        <v>42423</v>
      </c>
      <c r="N2722" s="331" t="s">
        <v>3614</v>
      </c>
      <c r="O2722" s="263" t="s">
        <v>8412</v>
      </c>
      <c r="P2722" s="752"/>
      <c r="Q2722" s="1089">
        <v>881</v>
      </c>
      <c r="R2722" s="1454"/>
      <c r="S2722" s="1454"/>
      <c r="U2722" s="386"/>
      <c r="V2722" s="318" t="s">
        <v>2159</v>
      </c>
      <c r="W2722" s="1090">
        <v>42459</v>
      </c>
      <c r="X2722" s="1083">
        <v>42422</v>
      </c>
      <c r="Y2722" s="263" t="s">
        <v>8413</v>
      </c>
      <c r="Z2722" s="1086" t="s">
        <v>8416</v>
      </c>
      <c r="AA2722" s="1083">
        <v>42460</v>
      </c>
      <c r="AB2722" s="318" t="s">
        <v>8417</v>
      </c>
      <c r="AD2722" s="1091"/>
      <c r="AE2722" s="1091"/>
      <c r="AF2722" s="1091"/>
      <c r="AG2722" s="1092" t="s">
        <v>8415</v>
      </c>
    </row>
    <row r="2723" spans="1:33" ht="15.75" customHeight="1">
      <c r="A2723" s="743">
        <v>42223</v>
      </c>
      <c r="B2723" s="592" t="s">
        <v>6357</v>
      </c>
      <c r="C2723" s="970"/>
      <c r="D2723" s="386" t="s">
        <v>8418</v>
      </c>
      <c r="E2723" s="823" t="s">
        <v>8419</v>
      </c>
      <c r="F2723" s="1088">
        <v>2</v>
      </c>
      <c r="G2723" s="1088">
        <v>60</v>
      </c>
      <c r="H2723" s="752">
        <f t="shared" ref="H2723:H2725" si="175">F2723*G2723</f>
        <v>120</v>
      </c>
      <c r="I2723" s="254" t="s">
        <v>170</v>
      </c>
      <c r="J2723" s="331" t="s">
        <v>6130</v>
      </c>
      <c r="K2723" s="1093"/>
      <c r="L2723" s="1483"/>
      <c r="M2723" s="811">
        <v>42230</v>
      </c>
      <c r="N2723" s="267" t="s">
        <v>8420</v>
      </c>
      <c r="O2723" s="970" t="s">
        <v>8421</v>
      </c>
      <c r="P2723" s="386"/>
      <c r="Q2723" s="1088">
        <v>2100</v>
      </c>
      <c r="R2723" s="1442"/>
      <c r="S2723" s="1442"/>
      <c r="U2723" s="386"/>
      <c r="V2723" s="386" t="s">
        <v>8422</v>
      </c>
      <c r="W2723" s="1094">
        <v>42226</v>
      </c>
      <c r="X2723" s="1094">
        <v>42228</v>
      </c>
      <c r="Y2723" s="386" t="s">
        <v>8423</v>
      </c>
      <c r="Z2723" s="824">
        <v>2314</v>
      </c>
      <c r="AA2723" s="1095">
        <v>42226</v>
      </c>
      <c r="AB2723" s="386"/>
      <c r="AD2723" s="386"/>
      <c r="AE2723" s="386"/>
      <c r="AF2723" s="386"/>
      <c r="AG2723" s="1091" t="s">
        <v>283</v>
      </c>
    </row>
    <row r="2724" spans="1:33" ht="15.75" customHeight="1">
      <c r="A2724" s="743">
        <v>42223</v>
      </c>
      <c r="B2724" s="592" t="s">
        <v>6357</v>
      </c>
      <c r="C2724" s="970"/>
      <c r="D2724" s="386" t="s">
        <v>8418</v>
      </c>
      <c r="E2724" s="823" t="s">
        <v>8424</v>
      </c>
      <c r="F2724" s="1088">
        <v>2</v>
      </c>
      <c r="G2724" s="1088">
        <v>60</v>
      </c>
      <c r="H2724" s="752">
        <f t="shared" si="175"/>
        <v>120</v>
      </c>
      <c r="I2724" s="254" t="s">
        <v>170</v>
      </c>
      <c r="J2724" s="331" t="s">
        <v>6130</v>
      </c>
      <c r="K2724" s="1093"/>
      <c r="L2724" s="1483"/>
      <c r="M2724" s="811">
        <v>42230</v>
      </c>
      <c r="N2724" s="267" t="s">
        <v>8420</v>
      </c>
      <c r="O2724" s="970" t="s">
        <v>8421</v>
      </c>
      <c r="P2724" s="386"/>
      <c r="Q2724" s="1088">
        <v>4135</v>
      </c>
      <c r="R2724" s="1442"/>
      <c r="S2724" s="1442"/>
      <c r="U2724" s="386"/>
      <c r="V2724" s="386" t="s">
        <v>8422</v>
      </c>
      <c r="W2724" s="1094">
        <v>42226</v>
      </c>
      <c r="X2724" s="1094">
        <v>42228</v>
      </c>
      <c r="Y2724" s="386" t="s">
        <v>8423</v>
      </c>
      <c r="Z2724" s="824">
        <v>4556</v>
      </c>
      <c r="AA2724" s="1095">
        <v>42226</v>
      </c>
      <c r="AB2724" s="386"/>
      <c r="AD2724" s="386"/>
      <c r="AE2724" s="386"/>
      <c r="AF2724" s="386"/>
      <c r="AG2724" s="1091" t="s">
        <v>283</v>
      </c>
    </row>
    <row r="2725" spans="1:33" ht="15.75" customHeight="1">
      <c r="A2725" s="743">
        <v>42223</v>
      </c>
      <c r="B2725" s="592" t="s">
        <v>6357</v>
      </c>
      <c r="C2725" s="970"/>
      <c r="D2725" s="386" t="s">
        <v>8418</v>
      </c>
      <c r="E2725" s="592" t="s">
        <v>8425</v>
      </c>
      <c r="F2725" s="1088">
        <v>1</v>
      </c>
      <c r="G2725" s="1088">
        <v>0</v>
      </c>
      <c r="H2725" s="752">
        <f t="shared" si="175"/>
        <v>0</v>
      </c>
      <c r="I2725" s="254" t="s">
        <v>170</v>
      </c>
      <c r="J2725" s="803"/>
      <c r="K2725" s="1093"/>
      <c r="L2725" s="1483"/>
      <c r="M2725" s="386"/>
      <c r="N2725" s="267"/>
      <c r="O2725" s="386"/>
      <c r="P2725" s="386"/>
      <c r="Q2725" s="1088">
        <v>1220</v>
      </c>
      <c r="R2725" s="1442"/>
      <c r="S2725" s="1442"/>
      <c r="U2725" s="386"/>
      <c r="V2725" s="386" t="s">
        <v>8422</v>
      </c>
      <c r="W2725" s="1094">
        <v>42226</v>
      </c>
      <c r="X2725" s="1094">
        <v>42228</v>
      </c>
      <c r="Y2725" s="386" t="s">
        <v>8423</v>
      </c>
      <c r="Z2725" s="824">
        <v>1200</v>
      </c>
      <c r="AA2725" s="1095">
        <v>42226</v>
      </c>
      <c r="AB2725" s="386"/>
      <c r="AD2725" s="386"/>
      <c r="AE2725" s="386"/>
      <c r="AF2725" s="386"/>
      <c r="AG2725" s="1091" t="s">
        <v>283</v>
      </c>
    </row>
    <row r="2726" spans="1:33" ht="15.75" customHeight="1">
      <c r="A2726" s="755">
        <v>42459</v>
      </c>
      <c r="B2726" s="338" t="s">
        <v>8426</v>
      </c>
      <c r="C2726" s="970"/>
      <c r="D2726" s="318" t="s">
        <v>8427</v>
      </c>
      <c r="E2726" s="592" t="s">
        <v>8428</v>
      </c>
      <c r="F2726" s="752">
        <v>1</v>
      </c>
      <c r="G2726" s="752">
        <v>1151.8499999999999</v>
      </c>
      <c r="H2726" s="464">
        <f>G2726*F2726</f>
        <v>1151.8499999999999</v>
      </c>
      <c r="I2726" s="254" t="s">
        <v>8429</v>
      </c>
      <c r="J2726" s="331" t="s">
        <v>5882</v>
      </c>
      <c r="K2726" s="811">
        <v>42523</v>
      </c>
      <c r="L2726" s="1477"/>
      <c r="M2726" s="811">
        <v>42516</v>
      </c>
      <c r="N2726" s="331" t="s">
        <v>89</v>
      </c>
      <c r="O2726" s="263" t="s">
        <v>8430</v>
      </c>
      <c r="P2726" s="752">
        <v>921.38</v>
      </c>
      <c r="Q2726" s="386"/>
      <c r="R2726" s="1407"/>
      <c r="S2726" s="1407"/>
      <c r="U2726" s="386"/>
      <c r="V2726" s="318" t="s">
        <v>5896</v>
      </c>
      <c r="W2726" s="1096">
        <v>42590</v>
      </c>
      <c r="X2726" s="1083">
        <v>42516</v>
      </c>
      <c r="Y2726" s="263" t="s">
        <v>8431</v>
      </c>
      <c r="Z2726" s="1086">
        <v>30000</v>
      </c>
      <c r="AA2726" s="811">
        <v>42590</v>
      </c>
      <c r="AB2726" s="318" t="s">
        <v>8432</v>
      </c>
      <c r="AD2726" s="386" t="s">
        <v>8433</v>
      </c>
      <c r="AE2726" s="1097">
        <v>37580</v>
      </c>
      <c r="AF2726" s="386" t="s">
        <v>8434</v>
      </c>
      <c r="AG2726" s="1092"/>
    </row>
    <row r="2727" spans="1:33" ht="15.75" customHeight="1">
      <c r="A2727" s="743">
        <v>42328</v>
      </c>
      <c r="B2727" s="592" t="s">
        <v>986</v>
      </c>
      <c r="C2727" s="970" t="s">
        <v>8435</v>
      </c>
      <c r="D2727" s="386" t="s">
        <v>8436</v>
      </c>
      <c r="E2727" s="592" t="s">
        <v>8437</v>
      </c>
      <c r="F2727" s="386">
        <v>13</v>
      </c>
      <c r="G2727" s="386">
        <v>296</v>
      </c>
      <c r="H2727" s="1098">
        <f t="shared" ref="H2727:H2741" si="176">F2727*G2727</f>
        <v>3848</v>
      </c>
      <c r="I2727" s="254" t="s">
        <v>170</v>
      </c>
      <c r="J2727" s="331" t="s">
        <v>8438</v>
      </c>
      <c r="K2727" s="811">
        <v>42377</v>
      </c>
      <c r="L2727" s="1477"/>
      <c r="M2727" s="811">
        <v>42366</v>
      </c>
      <c r="N2727" s="267" t="s">
        <v>89</v>
      </c>
      <c r="O2727" s="318" t="s">
        <v>8439</v>
      </c>
      <c r="P2727" s="752">
        <v>3630.9</v>
      </c>
      <c r="Q2727" s="386"/>
      <c r="R2727" s="1407"/>
      <c r="S2727" s="1407"/>
      <c r="U2727" s="386"/>
      <c r="V2727" s="318" t="s">
        <v>5896</v>
      </c>
      <c r="W2727" s="1088"/>
      <c r="X2727" s="1090">
        <v>42366</v>
      </c>
      <c r="Y2727" s="386" t="s">
        <v>8440</v>
      </c>
      <c r="Z2727" s="824">
        <v>93835</v>
      </c>
      <c r="AA2727" s="1090">
        <v>42398</v>
      </c>
      <c r="AB2727" s="386" t="s">
        <v>8441</v>
      </c>
      <c r="AD2727" s="1091"/>
      <c r="AE2727" s="1091"/>
      <c r="AF2727" s="1091"/>
      <c r="AG2727" s="386" t="s">
        <v>283</v>
      </c>
    </row>
    <row r="2728" spans="1:33" ht="15.75" customHeight="1">
      <c r="A2728" s="743">
        <v>42328</v>
      </c>
      <c r="B2728" s="592" t="s">
        <v>986</v>
      </c>
      <c r="C2728" s="970" t="s">
        <v>8435</v>
      </c>
      <c r="D2728" s="386" t="s">
        <v>8436</v>
      </c>
      <c r="E2728" s="597" t="s">
        <v>7405</v>
      </c>
      <c r="F2728" s="386">
        <v>14</v>
      </c>
      <c r="G2728" s="386">
        <v>129</v>
      </c>
      <c r="H2728" s="1098">
        <f t="shared" si="176"/>
        <v>1806</v>
      </c>
      <c r="I2728" s="254" t="s">
        <v>170</v>
      </c>
      <c r="J2728" s="331" t="s">
        <v>8438</v>
      </c>
      <c r="K2728" s="811">
        <v>42377</v>
      </c>
      <c r="L2728" s="1477"/>
      <c r="M2728" s="811">
        <v>42010</v>
      </c>
      <c r="N2728" s="267" t="s">
        <v>3432</v>
      </c>
      <c r="O2728" s="386" t="s">
        <v>8442</v>
      </c>
      <c r="P2728" s="386"/>
      <c r="Q2728" s="318">
        <v>54655</v>
      </c>
      <c r="R2728" s="1410"/>
      <c r="S2728" s="1410"/>
      <c r="U2728" s="386"/>
      <c r="V2728" s="386" t="s">
        <v>8443</v>
      </c>
      <c r="W2728" s="1094">
        <v>42465</v>
      </c>
      <c r="X2728" s="1090">
        <v>42375</v>
      </c>
      <c r="Y2728" s="386" t="s">
        <v>8444</v>
      </c>
      <c r="Z2728" s="824">
        <v>54655</v>
      </c>
      <c r="AA2728" s="1090">
        <v>42466</v>
      </c>
      <c r="AB2728" s="386" t="s">
        <v>8441</v>
      </c>
      <c r="AD2728" s="1091"/>
      <c r="AE2728" s="1091"/>
      <c r="AF2728" s="1091"/>
      <c r="AG2728" s="386" t="s">
        <v>283</v>
      </c>
    </row>
    <row r="2729" spans="1:33" ht="15.75" customHeight="1">
      <c r="A2729" s="743">
        <v>42335</v>
      </c>
      <c r="B2729" s="338" t="s">
        <v>76</v>
      </c>
      <c r="C2729" s="970">
        <v>690</v>
      </c>
      <c r="D2729" s="318" t="s">
        <v>8445</v>
      </c>
      <c r="E2729" s="571" t="s">
        <v>8446</v>
      </c>
      <c r="F2729" s="386">
        <v>150</v>
      </c>
      <c r="G2729" s="386">
        <v>2.25</v>
      </c>
      <c r="H2729" s="1098">
        <f t="shared" si="176"/>
        <v>337.5</v>
      </c>
      <c r="I2729" s="254" t="s">
        <v>170</v>
      </c>
      <c r="J2729" s="267" t="s">
        <v>8447</v>
      </c>
      <c r="K2729" s="811">
        <v>42384</v>
      </c>
      <c r="L2729" s="1477"/>
      <c r="M2729" s="811">
        <v>42354</v>
      </c>
      <c r="N2729" s="267" t="s">
        <v>3608</v>
      </c>
      <c r="O2729" s="386" t="s">
        <v>8448</v>
      </c>
      <c r="P2729" s="386"/>
      <c r="Q2729" s="318">
        <v>8347</v>
      </c>
      <c r="R2729" s="1410"/>
      <c r="S2729" s="1410"/>
      <c r="U2729" s="386"/>
      <c r="V2729" s="386" t="s">
        <v>185</v>
      </c>
      <c r="W2729" s="1094">
        <v>42405</v>
      </c>
      <c r="X2729" s="1090">
        <v>42352</v>
      </c>
      <c r="Y2729" s="386" t="s">
        <v>8449</v>
      </c>
      <c r="Z2729" s="585" t="s">
        <v>8450</v>
      </c>
      <c r="AA2729" s="1090">
        <v>42397</v>
      </c>
      <c r="AB2729" s="318" t="s">
        <v>8451</v>
      </c>
      <c r="AD2729" s="1091"/>
      <c r="AE2729" s="1091"/>
      <c r="AF2729" s="1091"/>
      <c r="AG2729" s="386" t="s">
        <v>283</v>
      </c>
    </row>
    <row r="2730" spans="1:33" ht="15.75" customHeight="1">
      <c r="A2730" s="743">
        <v>42335</v>
      </c>
      <c r="B2730" s="338" t="s">
        <v>76</v>
      </c>
      <c r="C2730" s="744">
        <v>690</v>
      </c>
      <c r="D2730" s="318" t="s">
        <v>8445</v>
      </c>
      <c r="E2730" s="338" t="s">
        <v>6445</v>
      </c>
      <c r="F2730" s="386">
        <v>145</v>
      </c>
      <c r="G2730" s="386">
        <v>86</v>
      </c>
      <c r="H2730" s="1098">
        <f t="shared" si="176"/>
        <v>12470</v>
      </c>
      <c r="I2730" s="254" t="s">
        <v>170</v>
      </c>
      <c r="J2730" s="267" t="s">
        <v>8447</v>
      </c>
      <c r="K2730" s="811">
        <v>42384</v>
      </c>
      <c r="L2730" s="1477"/>
      <c r="M2730" s="811">
        <v>42376</v>
      </c>
      <c r="N2730" s="267" t="s">
        <v>3330</v>
      </c>
      <c r="O2730" s="386" t="s">
        <v>8452</v>
      </c>
      <c r="P2730" s="386"/>
      <c r="Q2730" s="1054">
        <v>396337</v>
      </c>
      <c r="R2730" s="1413"/>
      <c r="S2730" s="1413"/>
      <c r="U2730" s="386"/>
      <c r="V2730" s="386" t="s">
        <v>8453</v>
      </c>
      <c r="W2730" s="1094">
        <v>42352</v>
      </c>
      <c r="X2730" s="1095">
        <v>42376</v>
      </c>
      <c r="Y2730" s="386" t="s">
        <v>8454</v>
      </c>
      <c r="Z2730" s="824">
        <v>396337</v>
      </c>
      <c r="AA2730" s="1099">
        <v>42375</v>
      </c>
      <c r="AB2730" s="318" t="s">
        <v>8451</v>
      </c>
      <c r="AD2730" s="1091"/>
      <c r="AE2730" s="1091"/>
      <c r="AF2730" s="1091"/>
      <c r="AG2730" s="386" t="s">
        <v>283</v>
      </c>
    </row>
    <row r="2731" spans="1:33" ht="15.75" customHeight="1">
      <c r="A2731" s="743">
        <v>42335</v>
      </c>
      <c r="B2731" s="338" t="s">
        <v>76</v>
      </c>
      <c r="C2731" s="970">
        <v>690</v>
      </c>
      <c r="D2731" s="318" t="s">
        <v>8445</v>
      </c>
      <c r="E2731" s="318" t="s">
        <v>6452</v>
      </c>
      <c r="F2731" s="386">
        <v>290</v>
      </c>
      <c r="G2731" s="386">
        <v>2</v>
      </c>
      <c r="H2731" s="1098">
        <f t="shared" si="176"/>
        <v>580</v>
      </c>
      <c r="I2731" s="254" t="s">
        <v>170</v>
      </c>
      <c r="J2731" s="267" t="s">
        <v>8447</v>
      </c>
      <c r="K2731" s="811">
        <v>42384</v>
      </c>
      <c r="L2731" s="1477"/>
      <c r="M2731" s="811">
        <v>42354</v>
      </c>
      <c r="N2731" s="267" t="s">
        <v>3608</v>
      </c>
      <c r="O2731" s="386" t="s">
        <v>8448</v>
      </c>
      <c r="P2731" s="386"/>
      <c r="Q2731" s="318">
        <v>15530</v>
      </c>
      <c r="R2731" s="1410"/>
      <c r="S2731" s="1410"/>
      <c r="U2731" s="386"/>
      <c r="V2731" s="386" t="s">
        <v>185</v>
      </c>
      <c r="W2731" s="1094">
        <v>42405</v>
      </c>
      <c r="X2731" s="1090">
        <v>42352</v>
      </c>
      <c r="Y2731" s="386" t="s">
        <v>8449</v>
      </c>
      <c r="Z2731" s="824">
        <v>23877</v>
      </c>
      <c r="AA2731" s="1090">
        <v>42397</v>
      </c>
      <c r="AB2731" s="318" t="s">
        <v>8451</v>
      </c>
      <c r="AD2731" s="1091"/>
      <c r="AE2731" s="1091"/>
      <c r="AF2731" s="1091"/>
      <c r="AG2731" s="386" t="s">
        <v>283</v>
      </c>
    </row>
    <row r="2732" spans="1:33" ht="15.75" customHeight="1">
      <c r="A2732" s="755">
        <v>42354</v>
      </c>
      <c r="B2732" s="338" t="s">
        <v>5800</v>
      </c>
      <c r="C2732" s="970"/>
      <c r="D2732" s="318" t="s">
        <v>8455</v>
      </c>
      <c r="E2732" s="338" t="s">
        <v>8456</v>
      </c>
      <c r="F2732" s="752">
        <v>1</v>
      </c>
      <c r="G2732" s="464">
        <v>1000</v>
      </c>
      <c r="H2732" s="1098">
        <f t="shared" si="176"/>
        <v>1000</v>
      </c>
      <c r="I2732" s="254" t="s">
        <v>170</v>
      </c>
      <c r="J2732" s="331" t="s">
        <v>8457</v>
      </c>
      <c r="K2732" s="811">
        <v>42397</v>
      </c>
      <c r="L2732" s="1477"/>
      <c r="M2732" s="811">
        <v>42395</v>
      </c>
      <c r="N2732" s="331"/>
      <c r="O2732" s="263"/>
      <c r="P2732" s="386"/>
      <c r="Q2732" s="1100"/>
      <c r="R2732" s="1415"/>
      <c r="S2732" s="1415"/>
      <c r="U2732" s="386"/>
      <c r="V2732" s="318"/>
      <c r="W2732" s="1090"/>
      <c r="X2732" s="1101"/>
      <c r="Y2732" s="1087"/>
      <c r="Z2732" s="1102"/>
      <c r="AA2732" s="1101"/>
      <c r="AB2732" s="318" t="s">
        <v>8458</v>
      </c>
      <c r="AD2732" s="1091"/>
      <c r="AE2732" s="1103"/>
      <c r="AF2732" s="1092"/>
      <c r="AG2732" s="1091" t="s">
        <v>5807</v>
      </c>
    </row>
    <row r="2733" spans="1:33" ht="15.75" customHeight="1">
      <c r="A2733" s="743">
        <v>42340</v>
      </c>
      <c r="B2733" s="592" t="s">
        <v>100</v>
      </c>
      <c r="C2733" s="970" t="s">
        <v>8459</v>
      </c>
      <c r="D2733" s="386" t="s">
        <v>8460</v>
      </c>
      <c r="E2733" s="597" t="s">
        <v>8425</v>
      </c>
      <c r="F2733" s="329">
        <v>1</v>
      </c>
      <c r="G2733" s="1088">
        <v>179</v>
      </c>
      <c r="H2733" s="1098">
        <f t="shared" si="176"/>
        <v>179</v>
      </c>
      <c r="I2733" s="254" t="s">
        <v>170</v>
      </c>
      <c r="J2733" s="331" t="s">
        <v>8461</v>
      </c>
      <c r="K2733" s="811">
        <v>42380</v>
      </c>
      <c r="L2733" s="1477"/>
      <c r="M2733" s="386"/>
      <c r="N2733" s="331" t="s">
        <v>1999</v>
      </c>
      <c r="O2733" s="263"/>
      <c r="P2733" s="752"/>
      <c r="Q2733" s="318">
        <v>4564</v>
      </c>
      <c r="R2733" s="1410"/>
      <c r="S2733" s="1410"/>
      <c r="U2733" s="386"/>
      <c r="V2733" s="386" t="s">
        <v>2000</v>
      </c>
      <c r="W2733" s="1090">
        <v>42405</v>
      </c>
      <c r="X2733" s="1083">
        <v>42387</v>
      </c>
      <c r="Y2733" s="263" t="s">
        <v>8462</v>
      </c>
      <c r="Z2733" s="1086">
        <v>6390</v>
      </c>
      <c r="AA2733" s="1099">
        <v>42397</v>
      </c>
      <c r="AB2733" s="386"/>
      <c r="AD2733" s="1092"/>
      <c r="AE2733" s="1104"/>
      <c r="AF2733" s="1091"/>
      <c r="AG2733" s="1091" t="s">
        <v>283</v>
      </c>
    </row>
    <row r="2734" spans="1:33" ht="15.75" customHeight="1">
      <c r="A2734" s="743">
        <v>42342</v>
      </c>
      <c r="B2734" s="592" t="s">
        <v>100</v>
      </c>
      <c r="C2734" s="970" t="s">
        <v>8463</v>
      </c>
      <c r="D2734" s="386" t="s">
        <v>8464</v>
      </c>
      <c r="E2734" s="597" t="s">
        <v>8465</v>
      </c>
      <c r="F2734" s="329">
        <v>1</v>
      </c>
      <c r="G2734" s="1088">
        <v>1267</v>
      </c>
      <c r="H2734" s="1098">
        <f t="shared" si="176"/>
        <v>1267</v>
      </c>
      <c r="I2734" s="254" t="s">
        <v>170</v>
      </c>
      <c r="J2734" s="331" t="s">
        <v>8461</v>
      </c>
      <c r="K2734" s="811">
        <v>42398</v>
      </c>
      <c r="L2734" s="1477"/>
      <c r="M2734" s="811">
        <v>42398</v>
      </c>
      <c r="N2734" s="267" t="s">
        <v>1414</v>
      </c>
      <c r="O2734" s="263" t="s">
        <v>8466</v>
      </c>
      <c r="P2734" s="752"/>
      <c r="Q2734" s="318">
        <f>1197*32.688</f>
        <v>39127.536</v>
      </c>
      <c r="R2734" s="1410"/>
      <c r="S2734" s="1410"/>
      <c r="U2734" s="386"/>
      <c r="V2734" s="386" t="s">
        <v>8467</v>
      </c>
      <c r="W2734" s="1090">
        <v>42382</v>
      </c>
      <c r="X2734" s="1083">
        <v>42396</v>
      </c>
      <c r="Y2734" s="318" t="s">
        <v>8468</v>
      </c>
      <c r="Z2734" s="1086">
        <v>72765</v>
      </c>
      <c r="AA2734" s="1090">
        <v>42373</v>
      </c>
      <c r="AB2734" s="386" t="s">
        <v>8469</v>
      </c>
      <c r="AD2734" s="1091"/>
      <c r="AE2734" s="1104"/>
      <c r="AF2734" s="1091"/>
      <c r="AG2734" s="1091" t="s">
        <v>8415</v>
      </c>
    </row>
    <row r="2735" spans="1:33" ht="15.75" customHeight="1">
      <c r="A2735" s="743">
        <v>42342</v>
      </c>
      <c r="B2735" s="592" t="s">
        <v>100</v>
      </c>
      <c r="C2735" s="970" t="s">
        <v>8463</v>
      </c>
      <c r="D2735" s="386" t="s">
        <v>8464</v>
      </c>
      <c r="E2735" s="318" t="s">
        <v>6119</v>
      </c>
      <c r="F2735" s="328">
        <v>1</v>
      </c>
      <c r="G2735" s="386">
        <v>62</v>
      </c>
      <c r="H2735" s="1098">
        <f t="shared" si="176"/>
        <v>62</v>
      </c>
      <c r="I2735" s="254" t="s">
        <v>170</v>
      </c>
      <c r="J2735" s="331" t="s">
        <v>8461</v>
      </c>
      <c r="K2735" s="811">
        <v>42398</v>
      </c>
      <c r="L2735" s="1477"/>
      <c r="M2735" s="811">
        <v>42398</v>
      </c>
      <c r="N2735" s="267" t="s">
        <v>6735</v>
      </c>
      <c r="O2735" s="970" t="s">
        <v>8470</v>
      </c>
      <c r="P2735" s="386"/>
      <c r="Q2735" s="752">
        <v>1234</v>
      </c>
      <c r="R2735" s="1405"/>
      <c r="S2735" s="1405"/>
      <c r="U2735" s="386"/>
      <c r="V2735" s="318" t="s">
        <v>8471</v>
      </c>
      <c r="W2735" s="1090">
        <v>42374</v>
      </c>
      <c r="X2735" s="1095">
        <v>42374</v>
      </c>
      <c r="Y2735" s="386" t="s">
        <v>8472</v>
      </c>
      <c r="Z2735" s="824">
        <v>2468</v>
      </c>
      <c r="AA2735" s="1094">
        <v>42373</v>
      </c>
      <c r="AB2735" s="386" t="s">
        <v>8469</v>
      </c>
      <c r="AD2735" s="1091"/>
      <c r="AE2735" s="1091"/>
      <c r="AF2735" s="1091"/>
      <c r="AG2735" s="1091" t="s">
        <v>8415</v>
      </c>
    </row>
    <row r="2736" spans="1:33" ht="15.75" customHeight="1">
      <c r="A2736" s="743">
        <v>42342</v>
      </c>
      <c r="B2736" s="592" t="s">
        <v>100</v>
      </c>
      <c r="C2736" s="970" t="s">
        <v>8463</v>
      </c>
      <c r="D2736" s="386" t="s">
        <v>8464</v>
      </c>
      <c r="E2736" s="308" t="s">
        <v>6109</v>
      </c>
      <c r="F2736" s="328">
        <v>1</v>
      </c>
      <c r="G2736" s="386">
        <v>38</v>
      </c>
      <c r="H2736" s="1098">
        <f t="shared" si="176"/>
        <v>38</v>
      </c>
      <c r="I2736" s="254" t="s">
        <v>170</v>
      </c>
      <c r="J2736" s="331" t="s">
        <v>8461</v>
      </c>
      <c r="K2736" s="811">
        <v>42398</v>
      </c>
      <c r="L2736" s="1477"/>
      <c r="M2736" s="811">
        <v>42398</v>
      </c>
      <c r="N2736" s="267" t="s">
        <v>1414</v>
      </c>
      <c r="O2736" s="263" t="s">
        <v>8466</v>
      </c>
      <c r="P2736" s="386"/>
      <c r="Q2736" s="752">
        <f>35*1.05*32.688</f>
        <v>1201.2840000000001</v>
      </c>
      <c r="R2736" s="1405"/>
      <c r="S2736" s="1405"/>
      <c r="U2736" s="386"/>
      <c r="V2736" s="386" t="s">
        <v>8467</v>
      </c>
      <c r="W2736" s="1090">
        <v>42382</v>
      </c>
      <c r="X2736" s="1095">
        <v>42396</v>
      </c>
      <c r="Y2736" s="318" t="s">
        <v>8468</v>
      </c>
      <c r="Z2736" s="824" t="s">
        <v>8473</v>
      </c>
      <c r="AA2736" s="1094">
        <v>42373</v>
      </c>
      <c r="AB2736" s="386" t="s">
        <v>8469</v>
      </c>
      <c r="AD2736" s="1091"/>
      <c r="AE2736" s="1091"/>
      <c r="AF2736" s="1091"/>
      <c r="AG2736" s="1091" t="s">
        <v>8415</v>
      </c>
    </row>
    <row r="2737" spans="1:33" ht="15.75" customHeight="1">
      <c r="A2737" s="755">
        <v>42601</v>
      </c>
      <c r="B2737" s="338" t="s">
        <v>3386</v>
      </c>
      <c r="C2737" s="263"/>
      <c r="D2737" s="318" t="s">
        <v>8474</v>
      </c>
      <c r="E2737" s="571" t="s">
        <v>8475</v>
      </c>
      <c r="F2737" s="574">
        <v>2</v>
      </c>
      <c r="G2737" s="752">
        <v>1017</v>
      </c>
      <c r="H2737" s="323">
        <f t="shared" si="176"/>
        <v>2034</v>
      </c>
      <c r="I2737" s="1029" t="s">
        <v>3315</v>
      </c>
      <c r="J2737" s="331" t="s">
        <v>8476</v>
      </c>
      <c r="K2737" s="811">
        <v>42613</v>
      </c>
      <c r="L2737" s="1477"/>
      <c r="M2737" s="811">
        <v>42608</v>
      </c>
      <c r="N2737" s="331" t="s">
        <v>6101</v>
      </c>
      <c r="O2737" s="263" t="s">
        <v>8477</v>
      </c>
      <c r="P2737" s="752">
        <v>1986.6</v>
      </c>
      <c r="Q2737" s="318">
        <v>62995</v>
      </c>
      <c r="R2737" s="1410"/>
      <c r="S2737" s="1410"/>
      <c r="U2737" s="386"/>
      <c r="V2737" s="386" t="s">
        <v>2010</v>
      </c>
      <c r="W2737" s="1096">
        <v>42620</v>
      </c>
      <c r="X2737" s="1083">
        <v>42606</v>
      </c>
      <c r="Y2737" s="263" t="s">
        <v>8478</v>
      </c>
      <c r="Z2737" s="1086">
        <v>62995</v>
      </c>
      <c r="AA2737" s="811">
        <v>42619</v>
      </c>
      <c r="AB2737" s="263" t="s">
        <v>8479</v>
      </c>
      <c r="AD2737" s="1092"/>
      <c r="AE2737" s="1103"/>
      <c r="AF2737" s="1092"/>
      <c r="AG2737" s="386" t="s">
        <v>283</v>
      </c>
    </row>
    <row r="2738" spans="1:33" ht="15.75" customHeight="1">
      <c r="A2738" s="743">
        <v>42342</v>
      </c>
      <c r="B2738" s="592" t="s">
        <v>100</v>
      </c>
      <c r="C2738" s="970" t="s">
        <v>8480</v>
      </c>
      <c r="D2738" s="386" t="s">
        <v>8481</v>
      </c>
      <c r="E2738" s="318" t="s">
        <v>6119</v>
      </c>
      <c r="F2738" s="386">
        <v>1</v>
      </c>
      <c r="G2738" s="386">
        <v>62</v>
      </c>
      <c r="H2738" s="1098">
        <f t="shared" si="176"/>
        <v>62</v>
      </c>
      <c r="I2738" s="254" t="s">
        <v>170</v>
      </c>
      <c r="J2738" s="331" t="s">
        <v>8461</v>
      </c>
      <c r="K2738" s="811">
        <v>42398</v>
      </c>
      <c r="L2738" s="1477"/>
      <c r="M2738" s="811">
        <v>42398</v>
      </c>
      <c r="N2738" s="267" t="s">
        <v>6735</v>
      </c>
      <c r="O2738" s="970" t="s">
        <v>8470</v>
      </c>
      <c r="P2738" s="464"/>
      <c r="Q2738" s="1052">
        <v>1234</v>
      </c>
      <c r="R2738" s="1394"/>
      <c r="S2738" s="1394"/>
      <c r="U2738" s="386"/>
      <c r="V2738" s="318" t="s">
        <v>8471</v>
      </c>
      <c r="W2738" s="1090">
        <v>42374</v>
      </c>
      <c r="X2738" s="1095">
        <v>42374</v>
      </c>
      <c r="Y2738" s="386" t="s">
        <v>8472</v>
      </c>
      <c r="Z2738" s="824" t="s">
        <v>8482</v>
      </c>
      <c r="AA2738" s="1094">
        <v>42373</v>
      </c>
      <c r="AB2738" s="386" t="s">
        <v>8469</v>
      </c>
      <c r="AD2738" s="1091"/>
      <c r="AE2738" s="1105"/>
      <c r="AF2738" s="1091"/>
      <c r="AG2738" s="1091" t="s">
        <v>8415</v>
      </c>
    </row>
    <row r="2739" spans="1:33" ht="15.75" customHeight="1">
      <c r="A2739" s="743">
        <v>42342</v>
      </c>
      <c r="B2739" s="592" t="s">
        <v>100</v>
      </c>
      <c r="C2739" s="970" t="s">
        <v>8480</v>
      </c>
      <c r="D2739" s="386" t="s">
        <v>8481</v>
      </c>
      <c r="E2739" s="318" t="s">
        <v>6109</v>
      </c>
      <c r="F2739" s="386">
        <v>1</v>
      </c>
      <c r="G2739" s="386">
        <v>38</v>
      </c>
      <c r="H2739" s="1098">
        <f t="shared" si="176"/>
        <v>38</v>
      </c>
      <c r="I2739" s="254" t="s">
        <v>170</v>
      </c>
      <c r="J2739" s="331" t="s">
        <v>8461</v>
      </c>
      <c r="K2739" s="811">
        <v>42398</v>
      </c>
      <c r="L2739" s="1477"/>
      <c r="M2739" s="811">
        <v>42398</v>
      </c>
      <c r="N2739" s="267" t="s">
        <v>1414</v>
      </c>
      <c r="O2739" s="970" t="s">
        <v>8483</v>
      </c>
      <c r="P2739" s="386"/>
      <c r="Q2739" s="752">
        <f>35*1.05*32.688</f>
        <v>1201.2840000000001</v>
      </c>
      <c r="R2739" s="1405"/>
      <c r="S2739" s="1405"/>
      <c r="U2739" s="386"/>
      <c r="V2739" s="386" t="s">
        <v>8467</v>
      </c>
      <c r="W2739" s="1090">
        <v>42382</v>
      </c>
      <c r="X2739" s="1095">
        <v>42396</v>
      </c>
      <c r="Y2739" s="318" t="s">
        <v>8468</v>
      </c>
      <c r="Z2739" s="824" t="s">
        <v>8473</v>
      </c>
      <c r="AA2739" s="1094">
        <v>42373</v>
      </c>
      <c r="AB2739" s="386" t="s">
        <v>8469</v>
      </c>
      <c r="AD2739" s="1091"/>
      <c r="AE2739" s="1091"/>
      <c r="AF2739" s="1091"/>
      <c r="AG2739" s="1091" t="s">
        <v>8415</v>
      </c>
    </row>
    <row r="2740" spans="1:33" ht="15.75" customHeight="1">
      <c r="A2740" s="743">
        <v>42347</v>
      </c>
      <c r="B2740" s="338" t="s">
        <v>3347</v>
      </c>
      <c r="C2740" s="970" t="s">
        <v>8484</v>
      </c>
      <c r="D2740" s="338" t="s">
        <v>8485</v>
      </c>
      <c r="E2740" s="338" t="s">
        <v>8486</v>
      </c>
      <c r="F2740" s="752">
        <v>105</v>
      </c>
      <c r="G2740" s="752">
        <v>197</v>
      </c>
      <c r="H2740" s="1098">
        <f t="shared" si="176"/>
        <v>20685</v>
      </c>
      <c r="I2740" s="254" t="s">
        <v>170</v>
      </c>
      <c r="J2740" s="592" t="s">
        <v>3350</v>
      </c>
      <c r="K2740" s="811">
        <v>42384</v>
      </c>
      <c r="L2740" s="1477"/>
      <c r="M2740" s="811">
        <v>42383</v>
      </c>
      <c r="N2740" s="331" t="s">
        <v>89</v>
      </c>
      <c r="O2740" s="263" t="s">
        <v>8487</v>
      </c>
      <c r="P2740" s="752">
        <v>19348.875</v>
      </c>
      <c r="Q2740" s="1100"/>
      <c r="R2740" s="1415"/>
      <c r="S2740" s="1415"/>
      <c r="U2740" s="386"/>
      <c r="V2740" s="318" t="s">
        <v>5896</v>
      </c>
      <c r="W2740" s="1090"/>
      <c r="X2740" s="1083">
        <v>42383</v>
      </c>
      <c r="Y2740" s="263" t="s">
        <v>8488</v>
      </c>
      <c r="Z2740" s="1086">
        <v>828482</v>
      </c>
      <c r="AA2740" s="1083">
        <v>42398</v>
      </c>
      <c r="AB2740" s="318" t="s">
        <v>8489</v>
      </c>
      <c r="AD2740" s="1091"/>
      <c r="AE2740" s="1103"/>
      <c r="AF2740" s="1092"/>
      <c r="AG2740" s="1091" t="s">
        <v>283</v>
      </c>
    </row>
    <row r="2741" spans="1:33" ht="15.75" customHeight="1">
      <c r="A2741" s="743">
        <v>42347</v>
      </c>
      <c r="B2741" s="338" t="s">
        <v>3347</v>
      </c>
      <c r="C2741" s="970" t="s">
        <v>8490</v>
      </c>
      <c r="D2741" s="338" t="s">
        <v>8485</v>
      </c>
      <c r="E2741" s="338" t="s">
        <v>8491</v>
      </c>
      <c r="F2741" s="752">
        <v>20</v>
      </c>
      <c r="G2741" s="752">
        <v>391</v>
      </c>
      <c r="H2741" s="1098">
        <f t="shared" si="176"/>
        <v>7820</v>
      </c>
      <c r="I2741" s="254" t="s">
        <v>170</v>
      </c>
      <c r="J2741" s="592" t="s">
        <v>3350</v>
      </c>
      <c r="K2741" s="811">
        <v>42384</v>
      </c>
      <c r="L2741" s="1477"/>
      <c r="M2741" s="811">
        <v>42383</v>
      </c>
      <c r="N2741" s="331" t="s">
        <v>89</v>
      </c>
      <c r="O2741" s="263" t="s">
        <v>8487</v>
      </c>
      <c r="P2741" s="752">
        <v>7308</v>
      </c>
      <c r="Q2741" s="1100"/>
      <c r="R2741" s="1415"/>
      <c r="S2741" s="1415"/>
      <c r="U2741" s="386"/>
      <c r="V2741" s="318" t="s">
        <v>5896</v>
      </c>
      <c r="W2741" s="1090"/>
      <c r="X2741" s="1083">
        <v>42383</v>
      </c>
      <c r="Y2741" s="263" t="s">
        <v>8488</v>
      </c>
      <c r="Z2741" s="1086" t="s">
        <v>8492</v>
      </c>
      <c r="AA2741" s="1083">
        <v>42398</v>
      </c>
      <c r="AB2741" s="318" t="s">
        <v>8489</v>
      </c>
      <c r="AD2741" s="1091"/>
      <c r="AE2741" s="1103"/>
      <c r="AF2741" s="1092"/>
      <c r="AG2741" s="1091" t="s">
        <v>283</v>
      </c>
    </row>
    <row r="2742" spans="1:33" ht="15.75" customHeight="1">
      <c r="A2742" s="743">
        <v>42627</v>
      </c>
      <c r="B2742" s="592" t="s">
        <v>3386</v>
      </c>
      <c r="C2742" s="970"/>
      <c r="D2742" s="386" t="s">
        <v>8493</v>
      </c>
      <c r="E2742" s="338" t="s">
        <v>8475</v>
      </c>
      <c r="F2742" s="386">
        <v>2</v>
      </c>
      <c r="G2742" s="386">
        <v>1017</v>
      </c>
      <c r="H2742" s="1106">
        <f>G2742*F2742</f>
        <v>2034</v>
      </c>
      <c r="I2742" s="254" t="s">
        <v>3315</v>
      </c>
      <c r="J2742" s="331" t="s">
        <v>8476</v>
      </c>
      <c r="K2742" s="811">
        <v>42670</v>
      </c>
      <c r="L2742" s="1477"/>
      <c r="M2742" s="811">
        <v>42669</v>
      </c>
      <c r="N2742" s="331" t="s">
        <v>6101</v>
      </c>
      <c r="O2742" s="386" t="s">
        <v>8494</v>
      </c>
      <c r="P2742" s="318">
        <v>1974</v>
      </c>
      <c r="Q2742" s="318">
        <v>62536</v>
      </c>
      <c r="R2742" s="1410"/>
      <c r="S2742" s="1410"/>
      <c r="U2742" s="386"/>
      <c r="V2742" s="386" t="s">
        <v>2010</v>
      </c>
      <c r="W2742" s="1084">
        <v>42682</v>
      </c>
      <c r="X2742" s="1095">
        <v>42668</v>
      </c>
      <c r="Y2742" s="386" t="s">
        <v>8495</v>
      </c>
      <c r="Z2742" s="824">
        <v>62536</v>
      </c>
      <c r="AA2742" s="585"/>
      <c r="AB2742" s="318" t="s">
        <v>8496</v>
      </c>
      <c r="AD2742" s="386"/>
      <c r="AE2742" s="386"/>
      <c r="AF2742" s="386"/>
      <c r="AG2742" s="386" t="s">
        <v>283</v>
      </c>
    </row>
    <row r="2743" spans="1:33" ht="15.75" customHeight="1">
      <c r="A2743" s="755">
        <v>42354</v>
      </c>
      <c r="B2743" s="338" t="s">
        <v>5800</v>
      </c>
      <c r="C2743" s="970"/>
      <c r="D2743" s="318" t="s">
        <v>8455</v>
      </c>
      <c r="E2743" s="338" t="s">
        <v>8497</v>
      </c>
      <c r="F2743" s="752">
        <v>1000</v>
      </c>
      <c r="G2743" s="464">
        <v>34.46</v>
      </c>
      <c r="H2743" s="1098">
        <f t="shared" ref="H2743:H2746" si="177">F2743*G2743</f>
        <v>34460</v>
      </c>
      <c r="I2743" s="254" t="s">
        <v>170</v>
      </c>
      <c r="J2743" s="331" t="s">
        <v>8457</v>
      </c>
      <c r="K2743" s="811">
        <v>42377</v>
      </c>
      <c r="L2743" s="1477"/>
      <c r="M2743" s="811">
        <v>42376</v>
      </c>
      <c r="N2743" s="331"/>
      <c r="O2743" s="263"/>
      <c r="P2743" s="386"/>
      <c r="Q2743" s="1100"/>
      <c r="R2743" s="1415"/>
      <c r="S2743" s="1415"/>
      <c r="U2743" s="386"/>
      <c r="V2743" s="318"/>
      <c r="W2743" s="1090"/>
      <c r="X2743" s="1101"/>
      <c r="Y2743" s="1087"/>
      <c r="Z2743" s="1102"/>
      <c r="AA2743" s="1101"/>
      <c r="AB2743" s="318" t="s">
        <v>8498</v>
      </c>
      <c r="AD2743" s="1091"/>
      <c r="AE2743" s="1103"/>
      <c r="AF2743" s="1092"/>
      <c r="AG2743" s="1091" t="s">
        <v>5807</v>
      </c>
    </row>
    <row r="2744" spans="1:33" ht="15.75" customHeight="1">
      <c r="A2744" s="755">
        <v>42354</v>
      </c>
      <c r="B2744" s="338" t="s">
        <v>5800</v>
      </c>
      <c r="C2744" s="970"/>
      <c r="D2744" s="318" t="s">
        <v>8455</v>
      </c>
      <c r="E2744" s="338" t="s">
        <v>8497</v>
      </c>
      <c r="F2744" s="752">
        <v>20</v>
      </c>
      <c r="G2744" s="464">
        <v>0</v>
      </c>
      <c r="H2744" s="1098">
        <f t="shared" si="177"/>
        <v>0</v>
      </c>
      <c r="I2744" s="254" t="s">
        <v>170</v>
      </c>
      <c r="J2744" s="331" t="s">
        <v>8457</v>
      </c>
      <c r="K2744" s="811">
        <v>42377</v>
      </c>
      <c r="L2744" s="1477"/>
      <c r="M2744" s="811">
        <v>42376</v>
      </c>
      <c r="N2744" s="331"/>
      <c r="O2744" s="263"/>
      <c r="P2744" s="386"/>
      <c r="Q2744" s="1100"/>
      <c r="R2744" s="1415"/>
      <c r="S2744" s="1415"/>
      <c r="U2744" s="386"/>
      <c r="V2744" s="318"/>
      <c r="W2744" s="1090"/>
      <c r="X2744" s="1101"/>
      <c r="Y2744" s="1087"/>
      <c r="Z2744" s="1102"/>
      <c r="AA2744" s="1101"/>
      <c r="AB2744" s="318" t="s">
        <v>8498</v>
      </c>
      <c r="AD2744" s="1091"/>
      <c r="AE2744" s="1103"/>
      <c r="AF2744" s="1092"/>
      <c r="AG2744" s="1091" t="s">
        <v>5807</v>
      </c>
    </row>
    <row r="2745" spans="1:33" ht="15.75" customHeight="1">
      <c r="A2745" s="755">
        <v>42354</v>
      </c>
      <c r="B2745" s="338" t="s">
        <v>5800</v>
      </c>
      <c r="C2745" s="970"/>
      <c r="D2745" s="318" t="s">
        <v>8455</v>
      </c>
      <c r="E2745" s="338" t="s">
        <v>8497</v>
      </c>
      <c r="F2745" s="752">
        <v>1000</v>
      </c>
      <c r="G2745" s="464">
        <v>34.46</v>
      </c>
      <c r="H2745" s="1098">
        <f t="shared" si="177"/>
        <v>34460</v>
      </c>
      <c r="I2745" s="254" t="s">
        <v>170</v>
      </c>
      <c r="J2745" s="331" t="s">
        <v>8457</v>
      </c>
      <c r="K2745" s="811">
        <v>42397</v>
      </c>
      <c r="L2745" s="1477"/>
      <c r="M2745" s="811">
        <v>42395</v>
      </c>
      <c r="N2745" s="331"/>
      <c r="O2745" s="263"/>
      <c r="P2745" s="386"/>
      <c r="Q2745" s="1100"/>
      <c r="R2745" s="1415"/>
      <c r="S2745" s="1415"/>
      <c r="U2745" s="386"/>
      <c r="V2745" s="318"/>
      <c r="W2745" s="1090"/>
      <c r="X2745" s="1101"/>
      <c r="Y2745" s="1087"/>
      <c r="Z2745" s="1102"/>
      <c r="AA2745" s="1101"/>
      <c r="AB2745" s="318" t="s">
        <v>8458</v>
      </c>
      <c r="AD2745" s="1091"/>
      <c r="AE2745" s="1103"/>
      <c r="AF2745" s="1092"/>
      <c r="AG2745" s="1091" t="s">
        <v>5807</v>
      </c>
    </row>
    <row r="2746" spans="1:33" ht="15.75" customHeight="1">
      <c r="A2746" s="755">
        <v>42354</v>
      </c>
      <c r="B2746" s="338" t="s">
        <v>5800</v>
      </c>
      <c r="C2746" s="970"/>
      <c r="D2746" s="318" t="s">
        <v>8455</v>
      </c>
      <c r="E2746" s="338" t="s">
        <v>8497</v>
      </c>
      <c r="F2746" s="752">
        <v>20</v>
      </c>
      <c r="G2746" s="464">
        <v>0</v>
      </c>
      <c r="H2746" s="1098">
        <f t="shared" si="177"/>
        <v>0</v>
      </c>
      <c r="I2746" s="254" t="s">
        <v>170</v>
      </c>
      <c r="J2746" s="331" t="s">
        <v>8457</v>
      </c>
      <c r="K2746" s="811">
        <v>42397</v>
      </c>
      <c r="L2746" s="1477"/>
      <c r="M2746" s="811">
        <v>42395</v>
      </c>
      <c r="N2746" s="401"/>
      <c r="O2746" s="263"/>
      <c r="P2746" s="386"/>
      <c r="Q2746" s="1100"/>
      <c r="R2746" s="1415"/>
      <c r="S2746" s="1415"/>
      <c r="U2746" s="386"/>
      <c r="V2746" s="318"/>
      <c r="W2746" s="1090"/>
      <c r="X2746" s="1101"/>
      <c r="Y2746" s="1087"/>
      <c r="Z2746" s="1102"/>
      <c r="AA2746" s="1101"/>
      <c r="AB2746" s="318" t="s">
        <v>8458</v>
      </c>
      <c r="AD2746" s="1091"/>
      <c r="AE2746" s="1103"/>
      <c r="AF2746" s="1092"/>
      <c r="AG2746" s="1091" t="s">
        <v>5807</v>
      </c>
    </row>
    <row r="2747" spans="1:33" ht="15.75" customHeight="1">
      <c r="A2747" s="743">
        <v>42627</v>
      </c>
      <c r="B2747" s="592" t="s">
        <v>3386</v>
      </c>
      <c r="C2747" s="970"/>
      <c r="D2747" s="386" t="s">
        <v>8499</v>
      </c>
      <c r="E2747" s="338" t="s">
        <v>8475</v>
      </c>
      <c r="F2747" s="386">
        <v>4</v>
      </c>
      <c r="G2747" s="386">
        <v>1017</v>
      </c>
      <c r="H2747" s="1106">
        <f>G2747*F2747</f>
        <v>4068</v>
      </c>
      <c r="I2747" s="1029" t="s">
        <v>3315</v>
      </c>
      <c r="J2747" s="331" t="s">
        <v>8476</v>
      </c>
      <c r="K2747" s="811">
        <v>42684</v>
      </c>
      <c r="L2747" s="1477"/>
      <c r="M2747" s="811">
        <v>42681</v>
      </c>
      <c r="N2747" s="331" t="s">
        <v>6101</v>
      </c>
      <c r="O2747" s="386" t="s">
        <v>8494</v>
      </c>
      <c r="P2747" s="318">
        <v>3948</v>
      </c>
      <c r="Q2747" s="318">
        <v>124243</v>
      </c>
      <c r="R2747" s="1410"/>
      <c r="S2747" s="1410"/>
      <c r="U2747" s="1091"/>
      <c r="V2747" s="386" t="s">
        <v>2010</v>
      </c>
      <c r="W2747" s="1084">
        <v>42692</v>
      </c>
      <c r="X2747" s="1083">
        <v>42678</v>
      </c>
      <c r="Y2747" s="263" t="s">
        <v>8500</v>
      </c>
      <c r="Z2747" s="1086">
        <v>124243</v>
      </c>
      <c r="AA2747" s="1099">
        <v>42695</v>
      </c>
      <c r="AB2747" s="263" t="s">
        <v>8501</v>
      </c>
      <c r="AD2747" s="386"/>
      <c r="AE2747" s="386"/>
      <c r="AF2747" s="386"/>
      <c r="AG2747" s="386"/>
    </row>
    <row r="2748" spans="1:33" ht="15.75" customHeight="1">
      <c r="A2748" s="755">
        <v>42359</v>
      </c>
      <c r="B2748" s="338" t="s">
        <v>8502</v>
      </c>
      <c r="C2748" s="970" t="s">
        <v>8503</v>
      </c>
      <c r="D2748" s="318" t="s">
        <v>8504</v>
      </c>
      <c r="E2748" s="592" t="s">
        <v>8505</v>
      </c>
      <c r="F2748" s="1088">
        <v>1</v>
      </c>
      <c r="G2748" s="1088">
        <f>97*1.05</f>
        <v>101.85000000000001</v>
      </c>
      <c r="H2748" s="1098">
        <f t="shared" ref="H2748:H2749" si="178">F2748*G2748</f>
        <v>101.85000000000001</v>
      </c>
      <c r="I2748" s="254" t="s">
        <v>170</v>
      </c>
      <c r="J2748" s="331" t="s">
        <v>232</v>
      </c>
      <c r="K2748" s="811">
        <v>42383</v>
      </c>
      <c r="L2748" s="1477"/>
      <c r="M2748" s="811"/>
      <c r="N2748" s="331" t="s">
        <v>89</v>
      </c>
      <c r="O2748" s="263" t="s">
        <v>8506</v>
      </c>
      <c r="P2748" s="318">
        <v>89.25</v>
      </c>
      <c r="Q2748" s="1100"/>
      <c r="R2748" s="1415"/>
      <c r="S2748" s="1415"/>
      <c r="U2748" s="386"/>
      <c r="V2748" s="318" t="s">
        <v>5896</v>
      </c>
      <c r="W2748" s="1090"/>
      <c r="X2748" s="1083">
        <v>42383</v>
      </c>
      <c r="Y2748" s="263" t="s">
        <v>8507</v>
      </c>
      <c r="Z2748" s="1086">
        <v>2945</v>
      </c>
      <c r="AA2748" s="1083">
        <v>42398</v>
      </c>
      <c r="AB2748" s="318" t="s">
        <v>8508</v>
      </c>
      <c r="AD2748" s="386" t="s">
        <v>8509</v>
      </c>
      <c r="AE2748" s="1100">
        <v>3402</v>
      </c>
      <c r="AF2748" s="318" t="s">
        <v>8510</v>
      </c>
      <c r="AG2748" s="1091"/>
    </row>
    <row r="2749" spans="1:33" ht="15.75" customHeight="1">
      <c r="A2749" s="755">
        <v>42362</v>
      </c>
      <c r="B2749" s="592" t="s">
        <v>3709</v>
      </c>
      <c r="C2749" s="970"/>
      <c r="D2749" s="318" t="s">
        <v>8511</v>
      </c>
      <c r="E2749" s="592" t="s">
        <v>8512</v>
      </c>
      <c r="F2749" s="386">
        <v>35</v>
      </c>
      <c r="G2749" s="386">
        <v>92</v>
      </c>
      <c r="H2749" s="1098">
        <f t="shared" si="178"/>
        <v>3220</v>
      </c>
      <c r="I2749" s="254" t="s">
        <v>3712</v>
      </c>
      <c r="J2749" s="592" t="s">
        <v>8513</v>
      </c>
      <c r="K2749" s="1099">
        <v>42390</v>
      </c>
      <c r="L2749" s="1484"/>
      <c r="M2749" s="811">
        <v>42375</v>
      </c>
      <c r="N2749" s="267" t="s">
        <v>89</v>
      </c>
      <c r="O2749" s="318" t="s">
        <v>8514</v>
      </c>
      <c r="P2749" s="752">
        <v>3013.5</v>
      </c>
      <c r="Q2749" s="386"/>
      <c r="R2749" s="1407"/>
      <c r="S2749" s="1407"/>
      <c r="U2749" s="386"/>
      <c r="V2749" s="318" t="s">
        <v>5896</v>
      </c>
      <c r="W2749" s="585"/>
      <c r="X2749" s="1099">
        <v>42374</v>
      </c>
      <c r="Y2749" s="386" t="s">
        <v>8515</v>
      </c>
      <c r="Z2749" s="824">
        <v>87205</v>
      </c>
      <c r="AA2749" s="1090">
        <v>42398</v>
      </c>
      <c r="AB2749" s="386" t="s">
        <v>8516</v>
      </c>
      <c r="AD2749" s="1091"/>
      <c r="AE2749" s="1091"/>
      <c r="AF2749" s="1091"/>
      <c r="AG2749" s="386" t="s">
        <v>283</v>
      </c>
    </row>
    <row r="2750" spans="1:33" ht="15.75" customHeight="1">
      <c r="A2750" s="755">
        <v>42387</v>
      </c>
      <c r="B2750" s="592" t="s">
        <v>6357</v>
      </c>
      <c r="C2750" s="970"/>
      <c r="D2750" s="386" t="s">
        <v>8517</v>
      </c>
      <c r="E2750" s="338" t="s">
        <v>8518</v>
      </c>
      <c r="F2750" s="318">
        <v>3</v>
      </c>
      <c r="G2750" s="1052">
        <v>6962</v>
      </c>
      <c r="H2750" s="464">
        <f>G2750*F2750</f>
        <v>20886</v>
      </c>
      <c r="I2750" s="254" t="s">
        <v>170</v>
      </c>
      <c r="J2750" s="331" t="s">
        <v>8519</v>
      </c>
      <c r="K2750" s="811">
        <v>42544</v>
      </c>
      <c r="L2750" s="1477"/>
      <c r="M2750" s="811">
        <v>42531</v>
      </c>
      <c r="N2750" s="331" t="s">
        <v>8520</v>
      </c>
      <c r="O2750" s="263" t="s">
        <v>8521</v>
      </c>
      <c r="P2750" s="1107"/>
      <c r="Q2750" s="1089">
        <v>680626</v>
      </c>
      <c r="R2750" s="1454"/>
      <c r="S2750" s="1454"/>
      <c r="U2750" s="386"/>
      <c r="V2750" s="318" t="s">
        <v>8522</v>
      </c>
      <c r="W2750" s="1090">
        <v>42487</v>
      </c>
      <c r="X2750" s="1083">
        <v>42529</v>
      </c>
      <c r="Y2750" s="263" t="s">
        <v>8523</v>
      </c>
      <c r="Z2750" s="1086">
        <v>673442</v>
      </c>
      <c r="AA2750" s="1083">
        <v>42529</v>
      </c>
      <c r="AB2750" s="318" t="s">
        <v>8524</v>
      </c>
      <c r="AD2750" s="1091"/>
      <c r="AE2750" s="1091"/>
      <c r="AF2750" s="1091"/>
      <c r="AG2750" s="1092" t="s">
        <v>8525</v>
      </c>
    </row>
    <row r="2751" spans="1:33" ht="15.75" customHeight="1">
      <c r="A2751" s="743">
        <v>42376</v>
      </c>
      <c r="B2751" s="338" t="s">
        <v>76</v>
      </c>
      <c r="C2751" s="970">
        <v>6</v>
      </c>
      <c r="D2751" s="386" t="s">
        <v>8526</v>
      </c>
      <c r="E2751" s="592" t="s">
        <v>8527</v>
      </c>
      <c r="F2751" s="1088">
        <v>45</v>
      </c>
      <c r="G2751" s="323">
        <v>1.9</v>
      </c>
      <c r="H2751" s="1098">
        <f t="shared" ref="H2751:H2761" si="179">F2751*G2751</f>
        <v>85.5</v>
      </c>
      <c r="I2751" s="254" t="s">
        <v>170</v>
      </c>
      <c r="J2751" s="267" t="s">
        <v>8447</v>
      </c>
      <c r="K2751" s="811">
        <v>42384</v>
      </c>
      <c r="L2751" s="1477"/>
      <c r="M2751" s="811">
        <v>42384</v>
      </c>
      <c r="N2751" s="267" t="s">
        <v>3608</v>
      </c>
      <c r="O2751" s="970" t="s">
        <v>8528</v>
      </c>
      <c r="P2751" s="386"/>
      <c r="Q2751" s="1108">
        <v>2504</v>
      </c>
      <c r="R2751" s="1455"/>
      <c r="S2751" s="1455"/>
      <c r="U2751" s="386"/>
      <c r="V2751" s="386" t="s">
        <v>2093</v>
      </c>
      <c r="W2751" s="1090">
        <v>42434</v>
      </c>
      <c r="X2751" s="1083">
        <v>42383</v>
      </c>
      <c r="Y2751" s="263" t="s">
        <v>8529</v>
      </c>
      <c r="Z2751" s="1086">
        <v>5576</v>
      </c>
      <c r="AA2751" s="1095">
        <v>42436</v>
      </c>
      <c r="AB2751" s="318" t="s">
        <v>8451</v>
      </c>
      <c r="AD2751" s="1091"/>
      <c r="AE2751" s="1104"/>
      <c r="AF2751" s="1091"/>
      <c r="AG2751" s="386" t="s">
        <v>8415</v>
      </c>
    </row>
    <row r="2752" spans="1:33" ht="15.75" customHeight="1">
      <c r="A2752" s="743">
        <v>42376</v>
      </c>
      <c r="B2752" s="338" t="s">
        <v>76</v>
      </c>
      <c r="C2752" s="970">
        <v>6</v>
      </c>
      <c r="D2752" s="386" t="s">
        <v>8526</v>
      </c>
      <c r="E2752" s="592" t="s">
        <v>8530</v>
      </c>
      <c r="F2752" s="1088">
        <v>45</v>
      </c>
      <c r="G2752" s="323">
        <v>2.25</v>
      </c>
      <c r="H2752" s="1098">
        <f t="shared" si="179"/>
        <v>101.25</v>
      </c>
      <c r="I2752" s="254" t="s">
        <v>170</v>
      </c>
      <c r="J2752" s="267" t="s">
        <v>8447</v>
      </c>
      <c r="K2752" s="811">
        <v>42384</v>
      </c>
      <c r="L2752" s="1477"/>
      <c r="M2752" s="811">
        <v>42384</v>
      </c>
      <c r="N2752" s="267" t="s">
        <v>3608</v>
      </c>
      <c r="O2752" s="970" t="s">
        <v>8528</v>
      </c>
      <c r="P2752" s="386"/>
      <c r="Q2752" s="1108">
        <v>3071</v>
      </c>
      <c r="R2752" s="1455"/>
      <c r="S2752" s="1455"/>
      <c r="U2752" s="386"/>
      <c r="V2752" s="386" t="s">
        <v>2093</v>
      </c>
      <c r="W2752" s="1090">
        <v>42434</v>
      </c>
      <c r="X2752" s="1083">
        <v>42383</v>
      </c>
      <c r="Y2752" s="263" t="s">
        <v>8529</v>
      </c>
      <c r="Z2752" s="1086" t="s">
        <v>8531</v>
      </c>
      <c r="AA2752" s="1095">
        <v>42436</v>
      </c>
      <c r="AB2752" s="318" t="s">
        <v>8451</v>
      </c>
      <c r="AD2752" s="1091"/>
      <c r="AE2752" s="1104"/>
      <c r="AF2752" s="1091"/>
      <c r="AG2752" s="386" t="s">
        <v>8415</v>
      </c>
    </row>
    <row r="2753" spans="1:33" ht="15.75" customHeight="1">
      <c r="A2753" s="743">
        <v>42376</v>
      </c>
      <c r="B2753" s="338" t="s">
        <v>76</v>
      </c>
      <c r="C2753" s="970">
        <v>6</v>
      </c>
      <c r="D2753" s="386" t="s">
        <v>8526</v>
      </c>
      <c r="E2753" s="592" t="s">
        <v>8532</v>
      </c>
      <c r="F2753" s="1088">
        <v>2</v>
      </c>
      <c r="G2753" s="323">
        <v>122</v>
      </c>
      <c r="H2753" s="1098">
        <f t="shared" si="179"/>
        <v>244</v>
      </c>
      <c r="I2753" s="254" t="s">
        <v>170</v>
      </c>
      <c r="J2753" s="267" t="s">
        <v>8447</v>
      </c>
      <c r="K2753" s="1099">
        <v>42390</v>
      </c>
      <c r="L2753" s="1484"/>
      <c r="M2753" s="811">
        <v>42388</v>
      </c>
      <c r="N2753" s="267" t="s">
        <v>8533</v>
      </c>
      <c r="O2753" s="970" t="s">
        <v>8534</v>
      </c>
      <c r="P2753" s="386"/>
      <c r="Q2753" s="752">
        <f>220*1.05*33</f>
        <v>7623</v>
      </c>
      <c r="R2753" s="1405"/>
      <c r="S2753" s="1405"/>
      <c r="U2753" s="386"/>
      <c r="V2753" s="386" t="s">
        <v>8535</v>
      </c>
      <c r="W2753" s="1090">
        <v>42387</v>
      </c>
      <c r="X2753" s="1083">
        <v>42387</v>
      </c>
      <c r="Y2753" s="263" t="s">
        <v>8536</v>
      </c>
      <c r="Z2753" s="1086">
        <v>7970</v>
      </c>
      <c r="AA2753" s="1095">
        <v>42387</v>
      </c>
      <c r="AB2753" s="318" t="s">
        <v>8537</v>
      </c>
      <c r="AD2753" s="1091"/>
      <c r="AE2753" s="1104"/>
      <c r="AF2753" s="1091"/>
      <c r="AG2753" s="386" t="s">
        <v>8415</v>
      </c>
    </row>
    <row r="2754" spans="1:33" ht="15.75" customHeight="1">
      <c r="A2754" s="743">
        <v>42376</v>
      </c>
      <c r="B2754" s="338" t="s">
        <v>76</v>
      </c>
      <c r="C2754" s="970">
        <v>6</v>
      </c>
      <c r="D2754" s="386" t="s">
        <v>8526</v>
      </c>
      <c r="E2754" s="592" t="s">
        <v>8538</v>
      </c>
      <c r="F2754" s="1088">
        <v>2</v>
      </c>
      <c r="G2754" s="323">
        <v>7</v>
      </c>
      <c r="H2754" s="1098">
        <f t="shared" si="179"/>
        <v>14</v>
      </c>
      <c r="I2754" s="254" t="s">
        <v>170</v>
      </c>
      <c r="J2754" s="267" t="s">
        <v>8447</v>
      </c>
      <c r="K2754" s="1099">
        <v>42390</v>
      </c>
      <c r="L2754" s="1484"/>
      <c r="M2754" s="811">
        <v>42388</v>
      </c>
      <c r="N2754" s="267" t="s">
        <v>8533</v>
      </c>
      <c r="O2754" s="970" t="s">
        <v>8534</v>
      </c>
      <c r="P2754" s="386"/>
      <c r="Q2754" s="752">
        <f>10*1.05*33</f>
        <v>346.5</v>
      </c>
      <c r="R2754" s="1405"/>
      <c r="S2754" s="1405"/>
      <c r="U2754" s="386"/>
      <c r="V2754" s="386" t="s">
        <v>8535</v>
      </c>
      <c r="W2754" s="1090">
        <v>42387</v>
      </c>
      <c r="X2754" s="1083">
        <v>42387</v>
      </c>
      <c r="Y2754" s="263" t="s">
        <v>8536</v>
      </c>
      <c r="Z2754" s="1086" t="s">
        <v>8539</v>
      </c>
      <c r="AA2754" s="1095">
        <v>42387</v>
      </c>
      <c r="AB2754" s="318" t="s">
        <v>8537</v>
      </c>
      <c r="AD2754" s="1091"/>
      <c r="AE2754" s="1104"/>
      <c r="AF2754" s="1091"/>
      <c r="AG2754" s="386" t="s">
        <v>8415</v>
      </c>
    </row>
    <row r="2755" spans="1:33" ht="15.75" customHeight="1">
      <c r="A2755" s="743">
        <v>42376</v>
      </c>
      <c r="B2755" s="338" t="s">
        <v>76</v>
      </c>
      <c r="C2755" s="970"/>
      <c r="D2755" s="386" t="s">
        <v>8540</v>
      </c>
      <c r="E2755" s="592" t="s">
        <v>8541</v>
      </c>
      <c r="F2755" s="1088">
        <v>45</v>
      </c>
      <c r="G2755" s="323">
        <v>6.45</v>
      </c>
      <c r="H2755" s="1098">
        <f t="shared" si="179"/>
        <v>290.25</v>
      </c>
      <c r="I2755" s="254" t="s">
        <v>170</v>
      </c>
      <c r="J2755" s="267" t="s">
        <v>8447</v>
      </c>
      <c r="K2755" s="1099">
        <v>42390</v>
      </c>
      <c r="L2755" s="1484"/>
      <c r="M2755" s="811">
        <v>42389</v>
      </c>
      <c r="N2755" s="267" t="s">
        <v>3608</v>
      </c>
      <c r="O2755" s="970" t="s">
        <v>8542</v>
      </c>
      <c r="P2755" s="386"/>
      <c r="Q2755" s="752">
        <v>8033</v>
      </c>
      <c r="R2755" s="1405"/>
      <c r="S2755" s="1405"/>
      <c r="U2755" s="386"/>
      <c r="V2755" s="386" t="s">
        <v>2093</v>
      </c>
      <c r="W2755" s="1090">
        <v>42434</v>
      </c>
      <c r="X2755" s="1083">
        <v>42388</v>
      </c>
      <c r="Y2755" s="263" t="s">
        <v>8543</v>
      </c>
      <c r="Z2755" s="1086">
        <v>8033</v>
      </c>
      <c r="AA2755" s="1095">
        <v>42436</v>
      </c>
      <c r="AB2755" s="318" t="s">
        <v>8537</v>
      </c>
      <c r="AD2755" s="1091"/>
      <c r="AE2755" s="1104"/>
      <c r="AF2755" s="1091"/>
      <c r="AG2755" s="386" t="s">
        <v>8415</v>
      </c>
    </row>
    <row r="2756" spans="1:33" ht="15.75" customHeight="1">
      <c r="A2756" s="743">
        <v>42376</v>
      </c>
      <c r="B2756" s="338" t="s">
        <v>5800</v>
      </c>
      <c r="C2756" s="970"/>
      <c r="D2756" s="386" t="s">
        <v>8544</v>
      </c>
      <c r="E2756" s="592" t="s">
        <v>8545</v>
      </c>
      <c r="F2756" s="1088">
        <v>1</v>
      </c>
      <c r="G2756" s="323">
        <v>1300</v>
      </c>
      <c r="H2756" s="1098">
        <f t="shared" si="179"/>
        <v>1300</v>
      </c>
      <c r="I2756" s="254" t="s">
        <v>170</v>
      </c>
      <c r="J2756" s="331" t="s">
        <v>8457</v>
      </c>
      <c r="K2756" s="811">
        <v>42397</v>
      </c>
      <c r="L2756" s="1477"/>
      <c r="M2756" s="1090">
        <v>42387</v>
      </c>
      <c r="N2756" s="267" t="s">
        <v>8546</v>
      </c>
      <c r="O2756" s="970"/>
      <c r="P2756" s="386"/>
      <c r="Q2756" s="752">
        <v>37403</v>
      </c>
      <c r="R2756" s="1405"/>
      <c r="S2756" s="1405"/>
      <c r="U2756" s="386"/>
      <c r="V2756" s="386" t="s">
        <v>8547</v>
      </c>
      <c r="W2756" s="1090">
        <v>42405</v>
      </c>
      <c r="X2756" s="1083">
        <v>42390</v>
      </c>
      <c r="Y2756" s="263" t="s">
        <v>8548</v>
      </c>
      <c r="Z2756" s="1086">
        <v>37403</v>
      </c>
      <c r="AA2756" s="1095">
        <v>42397</v>
      </c>
      <c r="AB2756" s="318" t="s">
        <v>8498</v>
      </c>
      <c r="AD2756" s="386"/>
      <c r="AE2756" s="1104"/>
      <c r="AF2756" s="1091"/>
      <c r="AG2756" s="1091" t="s">
        <v>283</v>
      </c>
    </row>
    <row r="2757" spans="1:33" ht="15.75" customHeight="1">
      <c r="A2757" s="743">
        <v>42376</v>
      </c>
      <c r="B2757" s="338" t="s">
        <v>5800</v>
      </c>
      <c r="C2757" s="970"/>
      <c r="D2757" s="386" t="s">
        <v>8544</v>
      </c>
      <c r="E2757" s="592" t="s">
        <v>8549</v>
      </c>
      <c r="F2757" s="1088">
        <v>1</v>
      </c>
      <c r="G2757" s="323">
        <v>1360</v>
      </c>
      <c r="H2757" s="1098">
        <f t="shared" si="179"/>
        <v>1360</v>
      </c>
      <c r="I2757" s="254" t="s">
        <v>170</v>
      </c>
      <c r="J2757" s="331" t="s">
        <v>8457</v>
      </c>
      <c r="K2757" s="811">
        <v>42397</v>
      </c>
      <c r="L2757" s="1477"/>
      <c r="M2757" s="1090">
        <v>42397</v>
      </c>
      <c r="N2757" s="267" t="s">
        <v>8546</v>
      </c>
      <c r="O2757" s="970"/>
      <c r="P2757" s="386"/>
      <c r="Q2757" s="752">
        <v>35351</v>
      </c>
      <c r="R2757" s="1405"/>
      <c r="S2757" s="1405"/>
      <c r="U2757" s="386"/>
      <c r="V2757" s="386" t="s">
        <v>8547</v>
      </c>
      <c r="W2757" s="1090">
        <v>42433</v>
      </c>
      <c r="X2757" s="1083">
        <v>42423</v>
      </c>
      <c r="Y2757" s="263" t="s">
        <v>8550</v>
      </c>
      <c r="Z2757" s="1086">
        <v>35351</v>
      </c>
      <c r="AA2757" s="1095">
        <v>42436</v>
      </c>
      <c r="AB2757" s="318" t="s">
        <v>8458</v>
      </c>
      <c r="AD2757" s="1091"/>
      <c r="AE2757" s="1104"/>
      <c r="AF2757" s="1091"/>
      <c r="AG2757" s="1091" t="s">
        <v>283</v>
      </c>
    </row>
    <row r="2758" spans="1:33" ht="15.75" customHeight="1">
      <c r="A2758" s="743">
        <v>42376</v>
      </c>
      <c r="B2758" s="592" t="s">
        <v>100</v>
      </c>
      <c r="C2758" s="970"/>
      <c r="D2758" s="386" t="s">
        <v>8551</v>
      </c>
      <c r="E2758" s="592" t="s">
        <v>8552</v>
      </c>
      <c r="F2758" s="1088">
        <v>1</v>
      </c>
      <c r="G2758" s="323">
        <v>50</v>
      </c>
      <c r="H2758" s="1098">
        <f t="shared" si="179"/>
        <v>50</v>
      </c>
      <c r="I2758" s="254" t="s">
        <v>170</v>
      </c>
      <c r="J2758" s="331" t="s">
        <v>8461</v>
      </c>
      <c r="K2758" s="811">
        <v>42380</v>
      </c>
      <c r="L2758" s="1477"/>
      <c r="M2758" s="386"/>
      <c r="N2758" s="331" t="s">
        <v>1999</v>
      </c>
      <c r="O2758" s="970"/>
      <c r="P2758" s="386"/>
      <c r="Q2758" s="752">
        <v>1826</v>
      </c>
      <c r="R2758" s="1405"/>
      <c r="S2758" s="1405"/>
      <c r="U2758" s="386"/>
      <c r="V2758" s="386" t="s">
        <v>2000</v>
      </c>
      <c r="W2758" s="1090">
        <v>42405</v>
      </c>
      <c r="X2758" s="1083">
        <v>42387</v>
      </c>
      <c r="Y2758" s="263" t="s">
        <v>8462</v>
      </c>
      <c r="Z2758" s="1086" t="s">
        <v>8553</v>
      </c>
      <c r="AA2758" s="811">
        <v>42397</v>
      </c>
      <c r="AB2758" s="386" t="s">
        <v>8554</v>
      </c>
      <c r="AD2758" s="1091"/>
      <c r="AE2758" s="1104"/>
      <c r="AF2758" s="1091"/>
      <c r="AG2758" s="1091"/>
    </row>
    <row r="2759" spans="1:33" ht="15.75" customHeight="1">
      <c r="A2759" s="743">
        <v>42376</v>
      </c>
      <c r="B2759" s="338" t="s">
        <v>76</v>
      </c>
      <c r="C2759" s="970"/>
      <c r="D2759" s="318" t="s">
        <v>8555</v>
      </c>
      <c r="E2759" s="592" t="s">
        <v>8556</v>
      </c>
      <c r="F2759" s="1088">
        <v>1</v>
      </c>
      <c r="G2759" s="323">
        <v>0</v>
      </c>
      <c r="H2759" s="1098">
        <f t="shared" si="179"/>
        <v>0</v>
      </c>
      <c r="I2759" s="254" t="s">
        <v>170</v>
      </c>
      <c r="J2759" s="267"/>
      <c r="K2759" s="811">
        <v>42457</v>
      </c>
      <c r="L2759" s="1477"/>
      <c r="M2759" s="386"/>
      <c r="N2759" s="267"/>
      <c r="O2759" s="970"/>
      <c r="P2759" s="386"/>
      <c r="Q2759" s="752"/>
      <c r="R2759" s="1405"/>
      <c r="S2759" s="1405"/>
      <c r="U2759" s="386"/>
      <c r="V2759" s="386"/>
      <c r="W2759" s="1090"/>
      <c r="X2759" s="1101"/>
      <c r="Y2759" s="1087"/>
      <c r="Z2759" s="1102"/>
      <c r="AA2759" s="1109"/>
      <c r="AB2759" s="318" t="s">
        <v>6253</v>
      </c>
      <c r="AD2759" s="1091"/>
      <c r="AE2759" s="1104"/>
      <c r="AF2759" s="1091"/>
      <c r="AG2759" s="1091"/>
    </row>
    <row r="2760" spans="1:33" ht="15.75" customHeight="1">
      <c r="A2760" s="743">
        <v>42376</v>
      </c>
      <c r="B2760" s="338" t="s">
        <v>76</v>
      </c>
      <c r="C2760" s="970"/>
      <c r="D2760" s="318" t="s">
        <v>8555</v>
      </c>
      <c r="E2760" s="592" t="s">
        <v>8557</v>
      </c>
      <c r="F2760" s="1088">
        <v>1</v>
      </c>
      <c r="G2760" s="323">
        <v>0</v>
      </c>
      <c r="H2760" s="1098">
        <f t="shared" si="179"/>
        <v>0</v>
      </c>
      <c r="I2760" s="254" t="s">
        <v>170</v>
      </c>
      <c r="J2760" s="267"/>
      <c r="K2760" s="811">
        <v>42457</v>
      </c>
      <c r="L2760" s="1477"/>
      <c r="M2760" s="386"/>
      <c r="N2760" s="267"/>
      <c r="O2760" s="970"/>
      <c r="P2760" s="386"/>
      <c r="Q2760" s="752"/>
      <c r="R2760" s="1405"/>
      <c r="S2760" s="1405"/>
      <c r="U2760" s="386"/>
      <c r="V2760" s="386"/>
      <c r="W2760" s="1090"/>
      <c r="X2760" s="1101"/>
      <c r="Y2760" s="1087"/>
      <c r="Z2760" s="1102"/>
      <c r="AA2760" s="1109"/>
      <c r="AB2760" s="318" t="s">
        <v>6253</v>
      </c>
      <c r="AD2760" s="1091"/>
      <c r="AE2760" s="1104"/>
      <c r="AF2760" s="1091"/>
      <c r="AG2760" s="1091"/>
    </row>
    <row r="2761" spans="1:33" ht="15.75" customHeight="1">
      <c r="A2761" s="743">
        <v>42376</v>
      </c>
      <c r="B2761" s="338" t="s">
        <v>76</v>
      </c>
      <c r="C2761" s="970"/>
      <c r="D2761" s="318" t="s">
        <v>8555</v>
      </c>
      <c r="E2761" s="592" t="s">
        <v>8558</v>
      </c>
      <c r="F2761" s="1088">
        <v>1</v>
      </c>
      <c r="G2761" s="323">
        <v>0</v>
      </c>
      <c r="H2761" s="1098">
        <f t="shared" si="179"/>
        <v>0</v>
      </c>
      <c r="I2761" s="254" t="s">
        <v>170</v>
      </c>
      <c r="J2761" s="267"/>
      <c r="K2761" s="811">
        <v>42457</v>
      </c>
      <c r="L2761" s="1477"/>
      <c r="M2761" s="386"/>
      <c r="N2761" s="267"/>
      <c r="O2761" s="970"/>
      <c r="P2761" s="386"/>
      <c r="Q2761" s="752"/>
      <c r="R2761" s="1405"/>
      <c r="S2761" s="1405"/>
      <c r="U2761" s="386"/>
      <c r="V2761" s="386"/>
      <c r="W2761" s="1090"/>
      <c r="X2761" s="1101"/>
      <c r="Y2761" s="1087"/>
      <c r="Z2761" s="1102"/>
      <c r="AA2761" s="1109"/>
      <c r="AB2761" s="318" t="s">
        <v>6253</v>
      </c>
      <c r="AD2761" s="1091"/>
      <c r="AE2761" s="1104"/>
      <c r="AF2761" s="1091"/>
      <c r="AG2761" s="1091"/>
    </row>
    <row r="2762" spans="1:33" ht="15.75" customHeight="1">
      <c r="A2762" s="743">
        <v>42382</v>
      </c>
      <c r="B2762" s="338" t="s">
        <v>76</v>
      </c>
      <c r="C2762" s="970"/>
      <c r="D2762" s="386" t="s">
        <v>8559</v>
      </c>
      <c r="E2762" s="592" t="s">
        <v>8560</v>
      </c>
      <c r="F2762" s="1088">
        <v>10</v>
      </c>
      <c r="G2762" s="323">
        <v>23.3</v>
      </c>
      <c r="H2762" s="464">
        <f t="shared" ref="H2762:H2777" si="180">G2762*F2762</f>
        <v>233</v>
      </c>
      <c r="I2762" s="254" t="s">
        <v>170</v>
      </c>
      <c r="J2762" s="267" t="s">
        <v>315</v>
      </c>
      <c r="K2762" s="811">
        <v>42437</v>
      </c>
      <c r="L2762" s="1477"/>
      <c r="M2762" s="1096">
        <v>42436</v>
      </c>
      <c r="N2762" s="267" t="s">
        <v>3940</v>
      </c>
      <c r="O2762" s="254" t="s">
        <v>2966</v>
      </c>
      <c r="P2762" s="386"/>
      <c r="Q2762" s="752">
        <v>7277</v>
      </c>
      <c r="R2762" s="1405"/>
      <c r="S2762" s="1405"/>
      <c r="U2762" s="386"/>
      <c r="V2762" s="263" t="s">
        <v>8561</v>
      </c>
      <c r="W2762" s="1090">
        <v>42433</v>
      </c>
      <c r="X2762" s="1083">
        <v>42433</v>
      </c>
      <c r="Y2762" s="263" t="s">
        <v>8562</v>
      </c>
      <c r="Z2762" s="1086">
        <v>7277</v>
      </c>
      <c r="AA2762" s="1095">
        <v>42433</v>
      </c>
      <c r="AB2762" s="318" t="s">
        <v>8563</v>
      </c>
      <c r="AD2762" s="1091"/>
      <c r="AE2762" s="1104"/>
      <c r="AF2762" s="1091"/>
      <c r="AG2762" s="1091"/>
    </row>
    <row r="2763" spans="1:33" ht="15.75" customHeight="1">
      <c r="A2763" s="743">
        <v>42382</v>
      </c>
      <c r="B2763" s="338" t="s">
        <v>76</v>
      </c>
      <c r="C2763" s="970"/>
      <c r="D2763" s="386" t="s">
        <v>8564</v>
      </c>
      <c r="E2763" s="592" t="s">
        <v>8560</v>
      </c>
      <c r="F2763" s="1088">
        <v>90</v>
      </c>
      <c r="G2763" s="323">
        <v>23.3</v>
      </c>
      <c r="H2763" s="464">
        <f t="shared" si="180"/>
        <v>2097</v>
      </c>
      <c r="I2763" s="254" t="s">
        <v>170</v>
      </c>
      <c r="J2763" s="267" t="s">
        <v>315</v>
      </c>
      <c r="K2763" s="811">
        <v>42499</v>
      </c>
      <c r="L2763" s="1477"/>
      <c r="M2763" s="1084">
        <v>42496</v>
      </c>
      <c r="N2763" s="267" t="s">
        <v>3940</v>
      </c>
      <c r="O2763" s="254" t="s">
        <v>8565</v>
      </c>
      <c r="P2763" s="386"/>
      <c r="Q2763" s="752">
        <v>64080</v>
      </c>
      <c r="R2763" s="1405"/>
      <c r="S2763" s="1405"/>
      <c r="U2763" s="386"/>
      <c r="V2763" s="263" t="s">
        <v>8561</v>
      </c>
      <c r="W2763" s="1090"/>
      <c r="X2763" s="1083">
        <v>42496</v>
      </c>
      <c r="Y2763" s="318" t="s">
        <v>8566</v>
      </c>
      <c r="Z2763" s="1086">
        <v>64079</v>
      </c>
      <c r="AA2763" s="1095">
        <v>42494</v>
      </c>
      <c r="AB2763" s="318" t="s">
        <v>8567</v>
      </c>
      <c r="AD2763" s="1091"/>
      <c r="AE2763" s="1104"/>
      <c r="AF2763" s="1091"/>
      <c r="AG2763" s="1091"/>
    </row>
    <row r="2764" spans="1:33" ht="15.75" customHeight="1">
      <c r="A2764" s="743">
        <v>42383</v>
      </c>
      <c r="B2764" s="592" t="s">
        <v>1189</v>
      </c>
      <c r="C2764" s="970" t="s">
        <v>8568</v>
      </c>
      <c r="D2764" s="386" t="s">
        <v>8569</v>
      </c>
      <c r="E2764" s="592" t="s">
        <v>8570</v>
      </c>
      <c r="F2764" s="1088">
        <v>2</v>
      </c>
      <c r="G2764" s="323">
        <v>732</v>
      </c>
      <c r="H2764" s="464">
        <f t="shared" si="180"/>
        <v>1464</v>
      </c>
      <c r="I2764" s="254" t="s">
        <v>170</v>
      </c>
      <c r="J2764" s="267" t="s">
        <v>8571</v>
      </c>
      <c r="K2764" s="811">
        <v>42404</v>
      </c>
      <c r="L2764" s="1477"/>
      <c r="M2764" s="1096">
        <v>42402</v>
      </c>
      <c r="N2764" s="267" t="s">
        <v>3432</v>
      </c>
      <c r="O2764" s="970" t="s">
        <v>8572</v>
      </c>
      <c r="P2764" s="386"/>
      <c r="Q2764" s="752">
        <v>45982</v>
      </c>
      <c r="R2764" s="1405"/>
      <c r="S2764" s="1405"/>
      <c r="U2764" s="386"/>
      <c r="V2764" s="386" t="s">
        <v>8443</v>
      </c>
      <c r="W2764" s="1090">
        <v>42495</v>
      </c>
      <c r="X2764" s="1083">
        <v>42401</v>
      </c>
      <c r="Y2764" s="263" t="s">
        <v>8573</v>
      </c>
      <c r="Z2764" s="1086">
        <v>46962</v>
      </c>
      <c r="AA2764" s="1109">
        <v>42475</v>
      </c>
      <c r="AB2764" s="318" t="s">
        <v>8574</v>
      </c>
      <c r="AD2764" s="1091"/>
      <c r="AE2764" s="1104"/>
      <c r="AF2764" s="1091"/>
      <c r="AG2764" s="386" t="s">
        <v>8415</v>
      </c>
    </row>
    <row r="2765" spans="1:33" ht="15.75" customHeight="1">
      <c r="A2765" s="743">
        <v>42383</v>
      </c>
      <c r="B2765" s="592" t="s">
        <v>1189</v>
      </c>
      <c r="C2765" s="970" t="s">
        <v>8568</v>
      </c>
      <c r="D2765" s="386" t="s">
        <v>8569</v>
      </c>
      <c r="E2765" s="592" t="s">
        <v>8575</v>
      </c>
      <c r="F2765" s="1088">
        <v>2</v>
      </c>
      <c r="G2765" s="323">
        <v>36</v>
      </c>
      <c r="H2765" s="464">
        <f t="shared" si="180"/>
        <v>72</v>
      </c>
      <c r="I2765" s="254" t="s">
        <v>170</v>
      </c>
      <c r="J2765" s="267" t="s">
        <v>8571</v>
      </c>
      <c r="K2765" s="811">
        <v>42404</v>
      </c>
      <c r="L2765" s="1477"/>
      <c r="M2765" s="1096">
        <v>42402</v>
      </c>
      <c r="N2765" s="267" t="s">
        <v>3432</v>
      </c>
      <c r="O2765" s="970" t="s">
        <v>8572</v>
      </c>
      <c r="P2765" s="386"/>
      <c r="Q2765" s="752">
        <v>812</v>
      </c>
      <c r="R2765" s="1405"/>
      <c r="S2765" s="1405"/>
      <c r="U2765" s="386"/>
      <c r="V2765" s="386" t="s">
        <v>8443</v>
      </c>
      <c r="W2765" s="1090">
        <v>42495</v>
      </c>
      <c r="X2765" s="1083">
        <v>42401</v>
      </c>
      <c r="Y2765" s="263" t="s">
        <v>8573</v>
      </c>
      <c r="Z2765" s="1086" t="s">
        <v>8576</v>
      </c>
      <c r="AA2765" s="1109">
        <v>42475</v>
      </c>
      <c r="AB2765" s="318" t="s">
        <v>8574</v>
      </c>
      <c r="AD2765" s="1091"/>
      <c r="AE2765" s="1104"/>
      <c r="AF2765" s="1091"/>
      <c r="AG2765" s="386" t="s">
        <v>8415</v>
      </c>
    </row>
    <row r="2766" spans="1:33" ht="15.75" customHeight="1">
      <c r="A2766" s="743">
        <v>42383</v>
      </c>
      <c r="B2766" s="592" t="s">
        <v>1189</v>
      </c>
      <c r="C2766" s="970" t="s">
        <v>8568</v>
      </c>
      <c r="D2766" s="386" t="s">
        <v>8569</v>
      </c>
      <c r="E2766" s="592" t="s">
        <v>8577</v>
      </c>
      <c r="F2766" s="1088">
        <v>2</v>
      </c>
      <c r="G2766" s="323">
        <v>3</v>
      </c>
      <c r="H2766" s="464">
        <f t="shared" si="180"/>
        <v>6</v>
      </c>
      <c r="I2766" s="254" t="s">
        <v>170</v>
      </c>
      <c r="J2766" s="267" t="s">
        <v>8571</v>
      </c>
      <c r="K2766" s="811">
        <v>42404</v>
      </c>
      <c r="L2766" s="1477"/>
      <c r="M2766" s="1096">
        <v>42402</v>
      </c>
      <c r="N2766" s="267" t="s">
        <v>3432</v>
      </c>
      <c r="O2766" s="970" t="s">
        <v>8572</v>
      </c>
      <c r="P2766" s="386"/>
      <c r="Q2766" s="752">
        <v>168</v>
      </c>
      <c r="R2766" s="1405"/>
      <c r="S2766" s="1405"/>
      <c r="U2766" s="386"/>
      <c r="V2766" s="386" t="s">
        <v>8443</v>
      </c>
      <c r="W2766" s="1090">
        <v>42495</v>
      </c>
      <c r="X2766" s="1083">
        <v>42401</v>
      </c>
      <c r="Y2766" s="263" t="s">
        <v>8573</v>
      </c>
      <c r="Z2766" s="1086" t="s">
        <v>8576</v>
      </c>
      <c r="AA2766" s="1095">
        <v>42475</v>
      </c>
      <c r="AB2766" s="318" t="s">
        <v>8574</v>
      </c>
      <c r="AD2766" s="1091"/>
      <c r="AE2766" s="1104"/>
      <c r="AF2766" s="1091"/>
      <c r="AG2766" s="386" t="s">
        <v>8415</v>
      </c>
    </row>
    <row r="2767" spans="1:33" ht="15.75" customHeight="1">
      <c r="A2767" s="755">
        <v>42384</v>
      </c>
      <c r="B2767" s="338" t="s">
        <v>629</v>
      </c>
      <c r="C2767" s="263" t="s">
        <v>8578</v>
      </c>
      <c r="D2767" s="318" t="s">
        <v>8579</v>
      </c>
      <c r="E2767" s="338" t="s">
        <v>6470</v>
      </c>
      <c r="F2767" s="752">
        <v>3</v>
      </c>
      <c r="G2767" s="752">
        <v>86.1</v>
      </c>
      <c r="H2767" s="464">
        <f t="shared" si="180"/>
        <v>258.29999999999995</v>
      </c>
      <c r="I2767" s="254" t="s">
        <v>8580</v>
      </c>
      <c r="J2767" s="267" t="s">
        <v>89</v>
      </c>
      <c r="K2767" s="811">
        <v>42394</v>
      </c>
      <c r="L2767" s="1477"/>
      <c r="M2767" s="386"/>
      <c r="N2767" s="267" t="s">
        <v>89</v>
      </c>
      <c r="O2767" s="263" t="s">
        <v>8581</v>
      </c>
      <c r="P2767" s="318">
        <v>226.8</v>
      </c>
      <c r="Q2767" s="752"/>
      <c r="R2767" s="1405"/>
      <c r="S2767" s="1405"/>
      <c r="U2767" s="386"/>
      <c r="V2767" s="318" t="s">
        <v>5896</v>
      </c>
      <c r="W2767" s="1090"/>
      <c r="X2767" s="1083">
        <v>42390</v>
      </c>
      <c r="Y2767" s="263" t="s">
        <v>8582</v>
      </c>
      <c r="Z2767" s="1086">
        <v>22684</v>
      </c>
      <c r="AA2767" s="1095">
        <v>42398</v>
      </c>
      <c r="AB2767" s="318" t="s">
        <v>8583</v>
      </c>
      <c r="AD2767" s="592" t="s">
        <v>8584</v>
      </c>
      <c r="AE2767" s="1110">
        <v>27412</v>
      </c>
      <c r="AF2767" s="386" t="s">
        <v>8585</v>
      </c>
      <c r="AG2767" s="386"/>
    </row>
    <row r="2768" spans="1:33" ht="15.75" customHeight="1">
      <c r="A2768" s="755">
        <v>42384</v>
      </c>
      <c r="B2768" s="338" t="s">
        <v>629</v>
      </c>
      <c r="C2768" s="263" t="s">
        <v>8578</v>
      </c>
      <c r="D2768" s="318" t="s">
        <v>8579</v>
      </c>
      <c r="E2768" s="338" t="s">
        <v>8586</v>
      </c>
      <c r="F2768" s="752">
        <v>3</v>
      </c>
      <c r="G2768" s="752">
        <v>185.85</v>
      </c>
      <c r="H2768" s="464">
        <f t="shared" si="180"/>
        <v>557.54999999999995</v>
      </c>
      <c r="I2768" s="254" t="s">
        <v>8580</v>
      </c>
      <c r="J2768" s="267" t="s">
        <v>89</v>
      </c>
      <c r="K2768" s="811">
        <v>42394</v>
      </c>
      <c r="L2768" s="1477"/>
      <c r="M2768" s="386"/>
      <c r="N2768" s="267" t="s">
        <v>89</v>
      </c>
      <c r="O2768" s="263" t="s">
        <v>8581</v>
      </c>
      <c r="P2768" s="318">
        <v>450.45</v>
      </c>
      <c r="Q2768" s="752"/>
      <c r="R2768" s="1405"/>
      <c r="S2768" s="1405"/>
      <c r="U2768" s="386"/>
      <c r="V2768" s="318" t="s">
        <v>5896</v>
      </c>
      <c r="W2768" s="1090"/>
      <c r="X2768" s="1083">
        <v>42390</v>
      </c>
      <c r="Y2768" s="263" t="s">
        <v>8582</v>
      </c>
      <c r="Z2768" s="1086" t="s">
        <v>8587</v>
      </c>
      <c r="AA2768" s="1095">
        <v>42398</v>
      </c>
      <c r="AB2768" s="318" t="s">
        <v>8588</v>
      </c>
      <c r="AD2768" s="592" t="s">
        <v>8584</v>
      </c>
      <c r="AE2768" s="1110" t="s">
        <v>8588</v>
      </c>
      <c r="AF2768" s="386" t="s">
        <v>8585</v>
      </c>
      <c r="AG2768" s="386"/>
    </row>
    <row r="2769" spans="1:33" ht="15.75" customHeight="1">
      <c r="A2769" s="743">
        <v>42387</v>
      </c>
      <c r="B2769" s="592" t="s">
        <v>100</v>
      </c>
      <c r="C2769" s="970" t="s">
        <v>8589</v>
      </c>
      <c r="D2769" s="386" t="s">
        <v>8590</v>
      </c>
      <c r="E2769" s="592" t="s">
        <v>8591</v>
      </c>
      <c r="F2769" s="1088">
        <v>10</v>
      </c>
      <c r="G2769" s="323">
        <v>141</v>
      </c>
      <c r="H2769" s="464">
        <f t="shared" si="180"/>
        <v>1410</v>
      </c>
      <c r="I2769" s="254" t="s">
        <v>170</v>
      </c>
      <c r="J2769" s="331" t="s">
        <v>8461</v>
      </c>
      <c r="K2769" s="811">
        <v>42398</v>
      </c>
      <c r="L2769" s="1477"/>
      <c r="M2769" s="811">
        <v>42397</v>
      </c>
      <c r="N2769" s="267" t="s">
        <v>3432</v>
      </c>
      <c r="O2769" s="970" t="s">
        <v>8592</v>
      </c>
      <c r="P2769" s="386"/>
      <c r="Q2769" s="752">
        <v>45392</v>
      </c>
      <c r="R2769" s="1405"/>
      <c r="S2769" s="1405"/>
      <c r="U2769" s="386"/>
      <c r="V2769" s="386" t="s">
        <v>8443</v>
      </c>
      <c r="W2769" s="1090">
        <v>42526</v>
      </c>
      <c r="X2769" s="1083">
        <v>42396</v>
      </c>
      <c r="Y2769" s="263" t="s">
        <v>8593</v>
      </c>
      <c r="Z2769" s="1086">
        <v>45392</v>
      </c>
      <c r="AA2769" s="1095">
        <v>42475</v>
      </c>
      <c r="AB2769" s="386" t="s">
        <v>8469</v>
      </c>
      <c r="AD2769" s="1091"/>
      <c r="AE2769" s="1104"/>
      <c r="AF2769" s="1091"/>
      <c r="AG2769" s="1091" t="s">
        <v>8415</v>
      </c>
    </row>
    <row r="2770" spans="1:33" ht="15.75" customHeight="1">
      <c r="A2770" s="743">
        <v>42387</v>
      </c>
      <c r="B2770" s="592" t="s">
        <v>6395</v>
      </c>
      <c r="C2770" s="744">
        <v>16000006</v>
      </c>
      <c r="D2770" s="328" t="s">
        <v>8594</v>
      </c>
      <c r="E2770" s="571" t="s">
        <v>6398</v>
      </c>
      <c r="F2770" s="574">
        <v>5</v>
      </c>
      <c r="G2770" s="265">
        <v>321</v>
      </c>
      <c r="H2770" s="323">
        <f t="shared" si="180"/>
        <v>1605</v>
      </c>
      <c r="I2770" s="254" t="s">
        <v>8429</v>
      </c>
      <c r="J2770" s="331" t="s">
        <v>8461</v>
      </c>
      <c r="K2770" s="811">
        <v>42397</v>
      </c>
      <c r="L2770" s="1477"/>
      <c r="M2770" s="1096">
        <v>42395</v>
      </c>
      <c r="N2770" s="331" t="s">
        <v>89</v>
      </c>
      <c r="O2770" s="263" t="s">
        <v>8595</v>
      </c>
      <c r="P2770" s="752">
        <v>1396.5</v>
      </c>
      <c r="Q2770" s="386"/>
      <c r="R2770" s="1407"/>
      <c r="S2770" s="1407"/>
      <c r="U2770" s="386"/>
      <c r="V2770" s="318" t="s">
        <v>5896</v>
      </c>
      <c r="W2770" s="1090"/>
      <c r="X2770" s="1083">
        <v>42395</v>
      </c>
      <c r="Y2770" s="263" t="s">
        <v>8596</v>
      </c>
      <c r="Z2770" s="1086">
        <v>46776</v>
      </c>
      <c r="AA2770" s="1083">
        <v>42398</v>
      </c>
      <c r="AB2770" s="318" t="s">
        <v>8597</v>
      </c>
      <c r="AD2770" s="1091"/>
      <c r="AE2770" s="1091"/>
      <c r="AF2770" s="1091"/>
      <c r="AG2770" s="1092"/>
    </row>
    <row r="2771" spans="1:33" ht="15.75" customHeight="1">
      <c r="A2771" s="743">
        <v>42387</v>
      </c>
      <c r="B2771" s="592" t="s">
        <v>6395</v>
      </c>
      <c r="C2771" s="744">
        <v>16000006</v>
      </c>
      <c r="D2771" s="328" t="s">
        <v>8598</v>
      </c>
      <c r="E2771" s="597" t="s">
        <v>8599</v>
      </c>
      <c r="F2771" s="574">
        <v>1</v>
      </c>
      <c r="G2771" s="265">
        <v>55</v>
      </c>
      <c r="H2771" s="464">
        <f t="shared" si="180"/>
        <v>55</v>
      </c>
      <c r="I2771" s="254" t="s">
        <v>8429</v>
      </c>
      <c r="J2771" s="331" t="s">
        <v>8461</v>
      </c>
      <c r="K2771" s="811">
        <v>42397</v>
      </c>
      <c r="L2771" s="1477"/>
      <c r="M2771" s="811"/>
      <c r="N2771" s="331" t="s">
        <v>1999</v>
      </c>
      <c r="O2771" s="263"/>
      <c r="P2771" s="1107"/>
      <c r="Q2771" s="752">
        <v>3665</v>
      </c>
      <c r="R2771" s="1405"/>
      <c r="S2771" s="1405"/>
      <c r="U2771" s="386"/>
      <c r="V2771" s="386" t="s">
        <v>2000</v>
      </c>
      <c r="W2771" s="1090">
        <v>42433</v>
      </c>
      <c r="X2771" s="1083">
        <v>42405</v>
      </c>
      <c r="Y2771" s="263" t="s">
        <v>8600</v>
      </c>
      <c r="Z2771" s="1086">
        <v>28344</v>
      </c>
      <c r="AA2771" s="811">
        <v>42436</v>
      </c>
      <c r="AB2771" s="1092"/>
      <c r="AD2771" s="1091"/>
      <c r="AE2771" s="1091"/>
      <c r="AF2771" s="1091"/>
      <c r="AG2771" s="1092" t="s">
        <v>283</v>
      </c>
    </row>
    <row r="2772" spans="1:33" ht="15.75" customHeight="1">
      <c r="A2772" s="755">
        <v>42387</v>
      </c>
      <c r="B2772" s="338" t="s">
        <v>8502</v>
      </c>
      <c r="C2772" s="744" t="s">
        <v>8601</v>
      </c>
      <c r="D2772" s="328" t="s">
        <v>8602</v>
      </c>
      <c r="E2772" s="597" t="s">
        <v>8505</v>
      </c>
      <c r="F2772" s="574">
        <v>5</v>
      </c>
      <c r="G2772" s="265">
        <v>101.85</v>
      </c>
      <c r="H2772" s="464">
        <f t="shared" si="180"/>
        <v>509.25</v>
      </c>
      <c r="I2772" s="254" t="s">
        <v>170</v>
      </c>
      <c r="J2772" s="267" t="s">
        <v>89</v>
      </c>
      <c r="K2772" s="811">
        <v>42394</v>
      </c>
      <c r="L2772" s="1477"/>
      <c r="M2772" s="811"/>
      <c r="N2772" s="331" t="s">
        <v>89</v>
      </c>
      <c r="O2772" s="263" t="s">
        <v>8603</v>
      </c>
      <c r="P2772" s="752">
        <v>446.25</v>
      </c>
      <c r="Q2772" s="386"/>
      <c r="R2772" s="1407"/>
      <c r="S2772" s="1407"/>
      <c r="U2772" s="386"/>
      <c r="V2772" s="318" t="s">
        <v>5896</v>
      </c>
      <c r="W2772" s="1090"/>
      <c r="X2772" s="1083">
        <v>42389</v>
      </c>
      <c r="Y2772" s="263" t="s">
        <v>8604</v>
      </c>
      <c r="Z2772" s="1086">
        <v>14726</v>
      </c>
      <c r="AA2772" s="1083">
        <v>42398</v>
      </c>
      <c r="AB2772" s="318" t="s">
        <v>8605</v>
      </c>
      <c r="AD2772" s="386" t="s">
        <v>8584</v>
      </c>
      <c r="AE2772" s="386">
        <v>17111</v>
      </c>
      <c r="AF2772" s="386" t="s">
        <v>8585</v>
      </c>
      <c r="AG2772" s="1092"/>
    </row>
    <row r="2773" spans="1:33" ht="15.75" customHeight="1">
      <c r="A2773" s="755">
        <v>42387</v>
      </c>
      <c r="B2773" s="592" t="s">
        <v>6357</v>
      </c>
      <c r="C2773" s="744"/>
      <c r="D2773" s="328" t="s">
        <v>8517</v>
      </c>
      <c r="E2773" s="571" t="s">
        <v>8606</v>
      </c>
      <c r="F2773" s="308">
        <v>1</v>
      </c>
      <c r="G2773" s="266">
        <v>2900</v>
      </c>
      <c r="H2773" s="464">
        <f t="shared" si="180"/>
        <v>2900</v>
      </c>
      <c r="I2773" s="254" t="s">
        <v>170</v>
      </c>
      <c r="J2773" s="331" t="s">
        <v>8519</v>
      </c>
      <c r="K2773" s="811">
        <v>42544</v>
      </c>
      <c r="L2773" s="1477"/>
      <c r="M2773" s="811">
        <v>42485</v>
      </c>
      <c r="N2773" s="331" t="s">
        <v>6361</v>
      </c>
      <c r="O2773" s="263" t="s">
        <v>8607</v>
      </c>
      <c r="P2773" s="752"/>
      <c r="Q2773" s="318">
        <f>(76000+3800)*1.05</f>
        <v>83790</v>
      </c>
      <c r="R2773" s="1410"/>
      <c r="S2773" s="1410"/>
      <c r="U2773" s="386"/>
      <c r="V2773" s="592" t="s">
        <v>6362</v>
      </c>
      <c r="W2773" s="1096">
        <v>42526</v>
      </c>
      <c r="X2773" s="1083">
        <v>42507</v>
      </c>
      <c r="Y2773" s="263" t="s">
        <v>8608</v>
      </c>
      <c r="Z2773" s="1086">
        <v>83790</v>
      </c>
      <c r="AA2773" s="1083">
        <v>42523</v>
      </c>
      <c r="AB2773" s="318" t="s">
        <v>8524</v>
      </c>
      <c r="AD2773" s="1091"/>
      <c r="AE2773" s="1091"/>
      <c r="AF2773" s="1091"/>
      <c r="AG2773" s="1092" t="s">
        <v>8525</v>
      </c>
    </row>
    <row r="2774" spans="1:33" ht="15.75" customHeight="1">
      <c r="A2774" s="743">
        <v>42387</v>
      </c>
      <c r="B2774" s="592" t="s">
        <v>6357</v>
      </c>
      <c r="C2774" s="744"/>
      <c r="D2774" s="328" t="s">
        <v>8517</v>
      </c>
      <c r="E2774" s="571" t="s">
        <v>8609</v>
      </c>
      <c r="F2774" s="308">
        <v>2</v>
      </c>
      <c r="G2774" s="266">
        <v>700</v>
      </c>
      <c r="H2774" s="464">
        <f t="shared" si="180"/>
        <v>1400</v>
      </c>
      <c r="I2774" s="254" t="s">
        <v>170</v>
      </c>
      <c r="J2774" s="331" t="s">
        <v>8519</v>
      </c>
      <c r="K2774" s="811">
        <v>42544</v>
      </c>
      <c r="L2774" s="1477"/>
      <c r="M2774" s="811"/>
      <c r="N2774" s="331"/>
      <c r="O2774" s="263"/>
      <c r="P2774" s="752"/>
      <c r="Q2774" s="386"/>
      <c r="R2774" s="1407"/>
      <c r="S2774" s="1407"/>
      <c r="U2774" s="386"/>
      <c r="V2774" s="318"/>
      <c r="W2774" s="1090"/>
      <c r="X2774" s="1083"/>
      <c r="Y2774" s="263"/>
      <c r="Z2774" s="1086"/>
      <c r="AA2774" s="1083"/>
      <c r="AB2774" s="318" t="s">
        <v>8524</v>
      </c>
      <c r="AD2774" s="1091"/>
      <c r="AE2774" s="1091"/>
      <c r="AF2774" s="1091"/>
      <c r="AG2774" s="1092" t="s">
        <v>8525</v>
      </c>
    </row>
    <row r="2775" spans="1:33" ht="15.75" customHeight="1">
      <c r="A2775" s="743">
        <v>42387</v>
      </c>
      <c r="B2775" s="592" t="s">
        <v>6357</v>
      </c>
      <c r="C2775" s="744"/>
      <c r="D2775" s="328" t="s">
        <v>8517</v>
      </c>
      <c r="E2775" s="571" t="s">
        <v>8610</v>
      </c>
      <c r="F2775" s="308">
        <v>3</v>
      </c>
      <c r="G2775" s="266">
        <v>555</v>
      </c>
      <c r="H2775" s="464">
        <f t="shared" si="180"/>
        <v>1665</v>
      </c>
      <c r="I2775" s="254" t="s">
        <v>170</v>
      </c>
      <c r="J2775" s="331" t="s">
        <v>8519</v>
      </c>
      <c r="K2775" s="811">
        <v>42544</v>
      </c>
      <c r="L2775" s="1477"/>
      <c r="M2775" s="811">
        <v>42433</v>
      </c>
      <c r="N2775" s="331" t="s">
        <v>8611</v>
      </c>
      <c r="O2775" s="263" t="s">
        <v>8612</v>
      </c>
      <c r="P2775" s="752"/>
      <c r="Q2775" s="318">
        <f>48000*1.05</f>
        <v>50400</v>
      </c>
      <c r="R2775" s="1410"/>
      <c r="S2775" s="1410"/>
      <c r="U2775" s="386"/>
      <c r="V2775" s="308" t="s">
        <v>8613</v>
      </c>
      <c r="W2775" s="1090">
        <v>42394</v>
      </c>
      <c r="X2775" s="1083">
        <v>42433</v>
      </c>
      <c r="Y2775" s="263" t="s">
        <v>8614</v>
      </c>
      <c r="Z2775" s="1086">
        <v>72450</v>
      </c>
      <c r="AA2775" s="1083">
        <v>42394</v>
      </c>
      <c r="AB2775" s="318" t="s">
        <v>8524</v>
      </c>
      <c r="AD2775" s="1091"/>
      <c r="AE2775" s="1091"/>
      <c r="AF2775" s="1091"/>
      <c r="AG2775" s="1092" t="s">
        <v>8525</v>
      </c>
    </row>
    <row r="2776" spans="1:33" ht="15.75" customHeight="1">
      <c r="A2776" s="755">
        <v>42387</v>
      </c>
      <c r="B2776" s="592" t="s">
        <v>6357</v>
      </c>
      <c r="C2776" s="744"/>
      <c r="D2776" s="328" t="s">
        <v>8517</v>
      </c>
      <c r="E2776" s="571" t="s">
        <v>8615</v>
      </c>
      <c r="F2776" s="308">
        <v>3</v>
      </c>
      <c r="G2776" s="266">
        <v>244</v>
      </c>
      <c r="H2776" s="464">
        <f t="shared" si="180"/>
        <v>732</v>
      </c>
      <c r="I2776" s="254" t="s">
        <v>170</v>
      </c>
      <c r="J2776" s="331" t="s">
        <v>8519</v>
      </c>
      <c r="K2776" s="811">
        <v>42544</v>
      </c>
      <c r="L2776" s="1477"/>
      <c r="M2776" s="811">
        <v>42433</v>
      </c>
      <c r="N2776" s="331" t="s">
        <v>8611</v>
      </c>
      <c r="O2776" s="263" t="s">
        <v>8612</v>
      </c>
      <c r="P2776" s="752"/>
      <c r="Q2776" s="318">
        <f>21000*1.05</f>
        <v>22050</v>
      </c>
      <c r="R2776" s="1410"/>
      <c r="S2776" s="1410"/>
      <c r="U2776" s="386"/>
      <c r="V2776" s="308" t="s">
        <v>8613</v>
      </c>
      <c r="W2776" s="1090">
        <v>42394</v>
      </c>
      <c r="X2776" s="1083">
        <v>42433</v>
      </c>
      <c r="Y2776" s="263" t="s">
        <v>8614</v>
      </c>
      <c r="Z2776" s="1086" t="s">
        <v>8616</v>
      </c>
      <c r="AA2776" s="1083">
        <v>42394</v>
      </c>
      <c r="AB2776" s="318" t="s">
        <v>8524</v>
      </c>
      <c r="AD2776" s="1091"/>
      <c r="AE2776" s="1091"/>
      <c r="AF2776" s="1091"/>
      <c r="AG2776" s="1092" t="s">
        <v>8525</v>
      </c>
    </row>
    <row r="2777" spans="1:33" ht="15.75" customHeight="1">
      <c r="A2777" s="743">
        <v>42387</v>
      </c>
      <c r="B2777" s="592" t="s">
        <v>6357</v>
      </c>
      <c r="C2777" s="744"/>
      <c r="D2777" s="328" t="s">
        <v>8517</v>
      </c>
      <c r="E2777" s="571" t="s">
        <v>8617</v>
      </c>
      <c r="F2777" s="308">
        <v>1</v>
      </c>
      <c r="G2777" s="266">
        <v>1000</v>
      </c>
      <c r="H2777" s="464">
        <f t="shared" si="180"/>
        <v>1000</v>
      </c>
      <c r="I2777" s="254" t="s">
        <v>170</v>
      </c>
      <c r="J2777" s="331" t="s">
        <v>8519</v>
      </c>
      <c r="K2777" s="811">
        <v>42544</v>
      </c>
      <c r="L2777" s="1477"/>
      <c r="M2777" s="811">
        <v>42515</v>
      </c>
      <c r="N2777" s="331" t="s">
        <v>6361</v>
      </c>
      <c r="O2777" s="263" t="s">
        <v>8618</v>
      </c>
      <c r="P2777" s="752"/>
      <c r="Q2777" s="318">
        <f>22000*1.05</f>
        <v>23100</v>
      </c>
      <c r="R2777" s="1410"/>
      <c r="S2777" s="1410"/>
      <c r="U2777" s="386"/>
      <c r="V2777" s="592" t="s">
        <v>6362</v>
      </c>
      <c r="W2777" s="1096">
        <v>42526</v>
      </c>
      <c r="X2777" s="1083">
        <v>42507</v>
      </c>
      <c r="Y2777" s="263" t="s">
        <v>8619</v>
      </c>
      <c r="Z2777" s="1086">
        <v>23100</v>
      </c>
      <c r="AA2777" s="1083">
        <v>42523</v>
      </c>
      <c r="AB2777" s="318" t="s">
        <v>8524</v>
      </c>
      <c r="AD2777" s="1091"/>
      <c r="AE2777" s="1091"/>
      <c r="AF2777" s="1091"/>
      <c r="AG2777" s="1092" t="s">
        <v>8525</v>
      </c>
    </row>
    <row r="2778" spans="1:33" ht="15.75" customHeight="1">
      <c r="A2778" s="743">
        <v>42328</v>
      </c>
      <c r="B2778" s="592" t="s">
        <v>986</v>
      </c>
      <c r="C2778" s="744" t="s">
        <v>8435</v>
      </c>
      <c r="D2778" s="328" t="s">
        <v>8436</v>
      </c>
      <c r="E2778" s="597" t="s">
        <v>8620</v>
      </c>
      <c r="F2778" s="328">
        <v>10</v>
      </c>
      <c r="G2778" s="328">
        <v>3546</v>
      </c>
      <c r="H2778" s="1098">
        <f>F2778*G2778</f>
        <v>35460</v>
      </c>
      <c r="I2778" s="254" t="s">
        <v>170</v>
      </c>
      <c r="J2778" s="331" t="s">
        <v>8438</v>
      </c>
      <c r="K2778" s="811">
        <v>42377</v>
      </c>
      <c r="L2778" s="1477"/>
      <c r="M2778" s="811">
        <v>42376</v>
      </c>
      <c r="N2778" s="267" t="s">
        <v>2001</v>
      </c>
      <c r="O2778" s="386" t="s">
        <v>8621</v>
      </c>
      <c r="P2778" s="386"/>
      <c r="Q2778" s="318">
        <v>1018500</v>
      </c>
      <c r="R2778" s="1410"/>
      <c r="S2778" s="1410"/>
      <c r="U2778" s="386"/>
      <c r="V2778" s="386" t="s">
        <v>5901</v>
      </c>
      <c r="W2778" s="1094">
        <v>42374</v>
      </c>
      <c r="X2778" s="1090">
        <v>42376</v>
      </c>
      <c r="Y2778" s="386" t="s">
        <v>8622</v>
      </c>
      <c r="Z2778" s="824">
        <v>1018500</v>
      </c>
      <c r="AA2778" s="1090">
        <v>42374</v>
      </c>
      <c r="AB2778" s="386" t="s">
        <v>8441</v>
      </c>
      <c r="AD2778" s="1091"/>
      <c r="AE2778" s="1091"/>
      <c r="AF2778" s="1091"/>
      <c r="AG2778" s="386" t="s">
        <v>283</v>
      </c>
    </row>
    <row r="2779" spans="1:33" ht="15.75" customHeight="1">
      <c r="A2779" s="743">
        <v>42387</v>
      </c>
      <c r="B2779" s="592" t="s">
        <v>6357</v>
      </c>
      <c r="C2779" s="744"/>
      <c r="D2779" s="328" t="s">
        <v>8517</v>
      </c>
      <c r="E2779" s="571" t="s">
        <v>8623</v>
      </c>
      <c r="F2779" s="308">
        <v>1</v>
      </c>
      <c r="G2779" s="1052">
        <v>2000</v>
      </c>
      <c r="H2779" s="464">
        <f t="shared" ref="H2779:H2860" si="181">G2779*F2779</f>
        <v>2000</v>
      </c>
      <c r="I2779" s="254" t="s">
        <v>170</v>
      </c>
      <c r="J2779" s="331" t="s">
        <v>8519</v>
      </c>
      <c r="K2779" s="811">
        <v>42544</v>
      </c>
      <c r="L2779" s="1477"/>
      <c r="M2779" s="811"/>
      <c r="N2779" s="331"/>
      <c r="O2779" s="263"/>
      <c r="P2779" s="752"/>
      <c r="Q2779" s="386"/>
      <c r="R2779" s="1407"/>
      <c r="S2779" s="1407"/>
      <c r="U2779" s="386"/>
      <c r="V2779" s="318"/>
      <c r="W2779" s="1090"/>
      <c r="X2779" s="1101"/>
      <c r="Y2779" s="1087"/>
      <c r="Z2779" s="1102"/>
      <c r="AA2779" s="1101"/>
      <c r="AB2779" s="318" t="s">
        <v>8524</v>
      </c>
      <c r="AD2779" s="1091"/>
      <c r="AE2779" s="1091"/>
      <c r="AF2779" s="1091"/>
      <c r="AG2779" s="1092" t="s">
        <v>8525</v>
      </c>
    </row>
    <row r="2780" spans="1:33" ht="15.75" customHeight="1">
      <c r="A2780" s="256">
        <v>42387</v>
      </c>
      <c r="B2780" s="597" t="s">
        <v>6357</v>
      </c>
      <c r="C2780" s="744"/>
      <c r="D2780" s="328" t="s">
        <v>8517</v>
      </c>
      <c r="E2780" s="571" t="s">
        <v>8624</v>
      </c>
      <c r="F2780" s="308">
        <v>1</v>
      </c>
      <c r="G2780" s="265">
        <v>390</v>
      </c>
      <c r="H2780" s="464">
        <f t="shared" si="181"/>
        <v>390</v>
      </c>
      <c r="I2780" s="254" t="s">
        <v>170</v>
      </c>
      <c r="J2780" s="331" t="s">
        <v>8519</v>
      </c>
      <c r="K2780" s="811">
        <v>42544</v>
      </c>
      <c r="L2780" s="1477"/>
      <c r="M2780" s="811"/>
      <c r="N2780" s="331"/>
      <c r="O2780" s="263"/>
      <c r="P2780" s="752"/>
      <c r="Q2780" s="386"/>
      <c r="R2780" s="1407"/>
      <c r="S2780" s="1407"/>
      <c r="U2780" s="386"/>
      <c r="V2780" s="318"/>
      <c r="W2780" s="1090"/>
      <c r="X2780" s="1101"/>
      <c r="Y2780" s="1087"/>
      <c r="Z2780" s="1102"/>
      <c r="AA2780" s="1101"/>
      <c r="AB2780" s="318" t="s">
        <v>8524</v>
      </c>
      <c r="AD2780" s="1091"/>
      <c r="AE2780" s="1091"/>
      <c r="AF2780" s="1091"/>
      <c r="AG2780" s="1092" t="s">
        <v>8525</v>
      </c>
    </row>
    <row r="2781" spans="1:33" ht="15.75" customHeight="1">
      <c r="A2781" s="264" t="s">
        <v>8625</v>
      </c>
      <c r="B2781" s="597" t="s">
        <v>228</v>
      </c>
      <c r="C2781" s="744"/>
      <c r="D2781" s="308" t="s">
        <v>8626</v>
      </c>
      <c r="E2781" s="597" t="s">
        <v>461</v>
      </c>
      <c r="F2781" s="329">
        <v>10</v>
      </c>
      <c r="G2781" s="574">
        <v>449.4</v>
      </c>
      <c r="H2781" s="464">
        <f t="shared" si="181"/>
        <v>4494</v>
      </c>
      <c r="I2781" s="254" t="s">
        <v>170</v>
      </c>
      <c r="J2781" s="267" t="s">
        <v>89</v>
      </c>
      <c r="K2781" s="811">
        <v>42401</v>
      </c>
      <c r="L2781" s="1477"/>
      <c r="M2781" s="811"/>
      <c r="N2781" s="331" t="s">
        <v>89</v>
      </c>
      <c r="O2781" s="263" t="s">
        <v>8627</v>
      </c>
      <c r="P2781" s="752">
        <v>4063.5</v>
      </c>
      <c r="Q2781" s="386"/>
      <c r="R2781" s="1407"/>
      <c r="S2781" s="1407"/>
      <c r="U2781" s="386"/>
      <c r="V2781" s="318" t="s">
        <v>5896</v>
      </c>
      <c r="W2781" s="1090"/>
      <c r="X2781" s="1083">
        <v>42401</v>
      </c>
      <c r="Y2781" s="263" t="s">
        <v>8628</v>
      </c>
      <c r="Z2781" s="1086">
        <v>129347</v>
      </c>
      <c r="AA2781" s="1083">
        <v>42453</v>
      </c>
      <c r="AB2781" s="318" t="s">
        <v>8629</v>
      </c>
      <c r="AD2781" s="386" t="s">
        <v>8630</v>
      </c>
      <c r="AE2781" s="1097">
        <v>150549</v>
      </c>
      <c r="AF2781" s="386" t="s">
        <v>8631</v>
      </c>
      <c r="AG2781" s="318"/>
    </row>
    <row r="2782" spans="1:33" ht="15.75" customHeight="1">
      <c r="A2782" s="256">
        <v>42391</v>
      </c>
      <c r="B2782" s="338" t="s">
        <v>8502</v>
      </c>
      <c r="C2782" s="744" t="s">
        <v>8632</v>
      </c>
      <c r="D2782" s="308" t="s">
        <v>8633</v>
      </c>
      <c r="E2782" s="328" t="s">
        <v>8505</v>
      </c>
      <c r="F2782" s="574">
        <v>2</v>
      </c>
      <c r="G2782" s="464">
        <v>101.85</v>
      </c>
      <c r="H2782" s="464">
        <f t="shared" si="181"/>
        <v>203.7</v>
      </c>
      <c r="I2782" s="254" t="s">
        <v>170</v>
      </c>
      <c r="J2782" s="267" t="s">
        <v>89</v>
      </c>
      <c r="K2782" s="811">
        <v>42404</v>
      </c>
      <c r="L2782" s="1477"/>
      <c r="M2782" s="811"/>
      <c r="N2782" s="331" t="s">
        <v>89</v>
      </c>
      <c r="O2782" s="263" t="s">
        <v>8634</v>
      </c>
      <c r="P2782" s="752">
        <v>178.5</v>
      </c>
      <c r="Q2782" s="386"/>
      <c r="R2782" s="1407"/>
      <c r="S2782" s="1407"/>
      <c r="U2782" s="386"/>
      <c r="V2782" s="318" t="s">
        <v>5896</v>
      </c>
      <c r="W2782" s="1090"/>
      <c r="X2782" s="1083">
        <v>42403</v>
      </c>
      <c r="Y2782" s="263" t="s">
        <v>8635</v>
      </c>
      <c r="Z2782" s="1086">
        <v>7030</v>
      </c>
      <c r="AA2782" s="1083">
        <v>42453</v>
      </c>
      <c r="AB2782" s="318" t="s">
        <v>8636</v>
      </c>
      <c r="AD2782" s="592" t="s">
        <v>8637</v>
      </c>
      <c r="AE2782" s="1097">
        <v>8035</v>
      </c>
      <c r="AF2782" s="1088" t="s">
        <v>8638</v>
      </c>
      <c r="AG2782" s="1092"/>
    </row>
    <row r="2783" spans="1:33" ht="15.75" customHeight="1">
      <c r="A2783" s="256">
        <v>42391</v>
      </c>
      <c r="B2783" s="338" t="s">
        <v>8502</v>
      </c>
      <c r="C2783" s="744" t="s">
        <v>8632</v>
      </c>
      <c r="D2783" s="308" t="s">
        <v>8633</v>
      </c>
      <c r="E2783" s="328" t="s">
        <v>8639</v>
      </c>
      <c r="F2783" s="574">
        <v>1</v>
      </c>
      <c r="G2783" s="464">
        <v>35.700000000000003</v>
      </c>
      <c r="H2783" s="464">
        <f t="shared" si="181"/>
        <v>35.700000000000003</v>
      </c>
      <c r="I2783" s="254" t="s">
        <v>170</v>
      </c>
      <c r="J2783" s="267" t="s">
        <v>89</v>
      </c>
      <c r="K2783" s="811">
        <v>42404</v>
      </c>
      <c r="L2783" s="1477"/>
      <c r="M2783" s="811"/>
      <c r="N2783" s="331" t="s">
        <v>89</v>
      </c>
      <c r="O2783" s="263" t="s">
        <v>8634</v>
      </c>
      <c r="P2783" s="752">
        <v>31.5</v>
      </c>
      <c r="Q2783" s="386"/>
      <c r="R2783" s="1407"/>
      <c r="S2783" s="1407"/>
      <c r="U2783" s="386"/>
      <c r="V2783" s="318" t="s">
        <v>5896</v>
      </c>
      <c r="W2783" s="1090"/>
      <c r="X2783" s="1083">
        <v>42403</v>
      </c>
      <c r="Y2783" s="263" t="s">
        <v>8635</v>
      </c>
      <c r="Z2783" s="1086" t="s">
        <v>8588</v>
      </c>
      <c r="AA2783" s="1083">
        <v>42453</v>
      </c>
      <c r="AB2783" s="318" t="s">
        <v>8636</v>
      </c>
      <c r="AD2783" s="592" t="s">
        <v>8637</v>
      </c>
      <c r="AE2783" s="1110" t="s">
        <v>8640</v>
      </c>
      <c r="AF2783" s="1088" t="s">
        <v>8638</v>
      </c>
      <c r="AG2783" s="1092"/>
    </row>
    <row r="2784" spans="1:33" ht="15.75" customHeight="1">
      <c r="A2784" s="743">
        <v>42391</v>
      </c>
      <c r="B2784" s="338" t="s">
        <v>3347</v>
      </c>
      <c r="C2784" s="744"/>
      <c r="D2784" s="624" t="s">
        <v>8641</v>
      </c>
      <c r="E2784" s="328" t="s">
        <v>8642</v>
      </c>
      <c r="F2784" s="574">
        <v>1</v>
      </c>
      <c r="G2784" s="464">
        <v>0</v>
      </c>
      <c r="H2784" s="464">
        <f t="shared" si="181"/>
        <v>0</v>
      </c>
      <c r="I2784" s="254" t="s">
        <v>170</v>
      </c>
      <c r="J2784" s="331" t="s">
        <v>8643</v>
      </c>
      <c r="K2784" s="811">
        <v>42422</v>
      </c>
      <c r="L2784" s="1477"/>
      <c r="M2784" s="811"/>
      <c r="N2784" s="331"/>
      <c r="O2784" s="263"/>
      <c r="P2784" s="752"/>
      <c r="Q2784" s="386"/>
      <c r="R2784" s="1407"/>
      <c r="S2784" s="1407"/>
      <c r="U2784" s="386"/>
      <c r="V2784" s="318"/>
      <c r="W2784" s="1090"/>
      <c r="X2784" s="1101"/>
      <c r="Y2784" s="1087"/>
      <c r="Z2784" s="1102"/>
      <c r="AA2784" s="1101"/>
      <c r="AB2784" s="1092"/>
      <c r="AD2784" s="1091"/>
      <c r="AE2784" s="1105"/>
      <c r="AF2784" s="1091"/>
      <c r="AG2784" s="1092"/>
    </row>
    <row r="2785" spans="1:33" ht="15.75" customHeight="1">
      <c r="A2785" s="743">
        <v>42391</v>
      </c>
      <c r="B2785" s="571" t="s">
        <v>3347</v>
      </c>
      <c r="C2785" s="744"/>
      <c r="D2785" s="624" t="s">
        <v>8641</v>
      </c>
      <c r="E2785" s="328" t="s">
        <v>8644</v>
      </c>
      <c r="F2785" s="574">
        <v>1</v>
      </c>
      <c r="G2785" s="265">
        <v>0</v>
      </c>
      <c r="H2785" s="464">
        <f t="shared" si="181"/>
        <v>0</v>
      </c>
      <c r="I2785" s="254" t="s">
        <v>170</v>
      </c>
      <c r="J2785" s="331" t="s">
        <v>8643</v>
      </c>
      <c r="K2785" s="811">
        <v>42422</v>
      </c>
      <c r="L2785" s="1477"/>
      <c r="M2785" s="811"/>
      <c r="N2785" s="331"/>
      <c r="O2785" s="263"/>
      <c r="P2785" s="752"/>
      <c r="Q2785" s="386"/>
      <c r="R2785" s="1407"/>
      <c r="S2785" s="1407"/>
      <c r="U2785" s="386"/>
      <c r="V2785" s="318"/>
      <c r="W2785" s="1090"/>
      <c r="X2785" s="1101"/>
      <c r="Y2785" s="1087"/>
      <c r="Z2785" s="1102"/>
      <c r="AA2785" s="1101"/>
      <c r="AB2785" s="1092"/>
      <c r="AD2785" s="1091"/>
      <c r="AE2785" s="1105"/>
      <c r="AF2785" s="1091"/>
      <c r="AG2785" s="1092"/>
    </row>
    <row r="2786" spans="1:33" ht="15.75" customHeight="1">
      <c r="A2786" s="755">
        <v>42394</v>
      </c>
      <c r="B2786" s="592" t="s">
        <v>100</v>
      </c>
      <c r="C2786" s="744" t="s">
        <v>8645</v>
      </c>
      <c r="D2786" s="308" t="s">
        <v>8646</v>
      </c>
      <c r="E2786" s="571" t="s">
        <v>8647</v>
      </c>
      <c r="F2786" s="574">
        <v>12</v>
      </c>
      <c r="G2786" s="464">
        <v>387</v>
      </c>
      <c r="H2786" s="464">
        <f t="shared" si="181"/>
        <v>4644</v>
      </c>
      <c r="I2786" s="254" t="s">
        <v>170</v>
      </c>
      <c r="J2786" s="331" t="s">
        <v>8461</v>
      </c>
      <c r="K2786" s="811">
        <v>42398</v>
      </c>
      <c r="L2786" s="1477"/>
      <c r="M2786" s="811">
        <v>42398</v>
      </c>
      <c r="N2786" s="331" t="s">
        <v>2266</v>
      </c>
      <c r="O2786" s="263" t="s">
        <v>8648</v>
      </c>
      <c r="P2786" s="752"/>
      <c r="Q2786" s="318">
        <v>138600</v>
      </c>
      <c r="R2786" s="1410"/>
      <c r="S2786" s="1410"/>
      <c r="U2786" s="386"/>
      <c r="V2786" s="318" t="s">
        <v>2268</v>
      </c>
      <c r="W2786" s="1090">
        <v>42395</v>
      </c>
      <c r="X2786" s="1083">
        <v>42398</v>
      </c>
      <c r="Y2786" s="263" t="s">
        <v>8649</v>
      </c>
      <c r="Z2786" s="1086">
        <v>138600</v>
      </c>
      <c r="AA2786" s="1083">
        <v>42395</v>
      </c>
      <c r="AB2786" s="386" t="s">
        <v>8469</v>
      </c>
      <c r="AD2786" s="1091"/>
      <c r="AE2786" s="1091"/>
      <c r="AF2786" s="1091"/>
      <c r="AG2786" s="1092" t="s">
        <v>8415</v>
      </c>
    </row>
    <row r="2787" spans="1:33" ht="15.75" customHeight="1">
      <c r="A2787" s="755">
        <v>42396</v>
      </c>
      <c r="B2787" s="338" t="s">
        <v>8502</v>
      </c>
      <c r="C2787" s="744" t="s">
        <v>8650</v>
      </c>
      <c r="D2787" s="308" t="s">
        <v>8651</v>
      </c>
      <c r="E2787" s="328" t="s">
        <v>8505</v>
      </c>
      <c r="F2787" s="574">
        <v>1</v>
      </c>
      <c r="G2787" s="464">
        <v>101.85</v>
      </c>
      <c r="H2787" s="464">
        <f t="shared" si="181"/>
        <v>101.85</v>
      </c>
      <c r="I2787" s="254" t="s">
        <v>170</v>
      </c>
      <c r="J2787" s="267" t="s">
        <v>89</v>
      </c>
      <c r="K2787" s="811">
        <v>42404</v>
      </c>
      <c r="L2787" s="1477"/>
      <c r="M2787" s="811"/>
      <c r="N2787" s="331" t="s">
        <v>89</v>
      </c>
      <c r="O2787" s="263" t="s">
        <v>8652</v>
      </c>
      <c r="P2787" s="752">
        <v>89.25</v>
      </c>
      <c r="Q2787" s="386"/>
      <c r="R2787" s="1407"/>
      <c r="S2787" s="1407"/>
      <c r="U2787" s="386"/>
      <c r="V2787" s="318" t="s">
        <v>5896</v>
      </c>
      <c r="W2787" s="1090"/>
      <c r="X2787" s="1083">
        <v>42403</v>
      </c>
      <c r="Y2787" s="263" t="s">
        <v>8653</v>
      </c>
      <c r="Z2787" s="1086">
        <v>2988</v>
      </c>
      <c r="AA2787" s="1083">
        <v>42453</v>
      </c>
      <c r="AB2787" s="318" t="s">
        <v>8654</v>
      </c>
      <c r="AD2787" s="592" t="s">
        <v>8637</v>
      </c>
      <c r="AE2787" s="1097">
        <v>20509</v>
      </c>
      <c r="AF2787" s="1088" t="s">
        <v>8638</v>
      </c>
      <c r="AG2787" s="1092"/>
    </row>
    <row r="2788" spans="1:33" ht="15.75" customHeight="1">
      <c r="A2788" s="755">
        <v>42396</v>
      </c>
      <c r="B2788" s="592" t="s">
        <v>100</v>
      </c>
      <c r="C2788" s="744"/>
      <c r="D2788" s="308" t="s">
        <v>8655</v>
      </c>
      <c r="E2788" s="597" t="s">
        <v>8656</v>
      </c>
      <c r="F2788" s="574">
        <v>1</v>
      </c>
      <c r="G2788" s="464">
        <v>823</v>
      </c>
      <c r="H2788" s="464">
        <f t="shared" si="181"/>
        <v>823</v>
      </c>
      <c r="I2788" s="254" t="s">
        <v>170</v>
      </c>
      <c r="J2788" s="331" t="s">
        <v>8461</v>
      </c>
      <c r="K2788" s="811">
        <v>42398</v>
      </c>
      <c r="L2788" s="1477"/>
      <c r="M2788" s="811"/>
      <c r="N2788" s="331" t="s">
        <v>1999</v>
      </c>
      <c r="O2788" s="263"/>
      <c r="P2788" s="752"/>
      <c r="Q2788" s="318">
        <v>24679</v>
      </c>
      <c r="R2788" s="1410"/>
      <c r="S2788" s="1410"/>
      <c r="U2788" s="386"/>
      <c r="V2788" s="386" t="s">
        <v>2000</v>
      </c>
      <c r="W2788" s="1090">
        <v>42433</v>
      </c>
      <c r="X2788" s="1083">
        <v>42405</v>
      </c>
      <c r="Y2788" s="263" t="s">
        <v>8600</v>
      </c>
      <c r="Z2788" s="1086" t="s">
        <v>8657</v>
      </c>
      <c r="AA2788" s="1083">
        <v>42436</v>
      </c>
      <c r="AB2788" s="386" t="s">
        <v>8469</v>
      </c>
      <c r="AD2788" s="1091"/>
      <c r="AE2788" s="1091"/>
      <c r="AF2788" s="1091"/>
      <c r="AG2788" s="1092" t="s">
        <v>8415</v>
      </c>
    </row>
    <row r="2789" spans="1:33" ht="15.75" customHeight="1">
      <c r="A2789" s="755">
        <v>42397</v>
      </c>
      <c r="B2789" s="338" t="s">
        <v>76</v>
      </c>
      <c r="C2789" s="744">
        <v>65</v>
      </c>
      <c r="D2789" s="308" t="s">
        <v>8658</v>
      </c>
      <c r="E2789" s="595" t="s">
        <v>361</v>
      </c>
      <c r="F2789" s="574">
        <v>44</v>
      </c>
      <c r="G2789" s="464">
        <v>20</v>
      </c>
      <c r="H2789" s="464">
        <f t="shared" si="181"/>
        <v>880</v>
      </c>
      <c r="I2789" s="254" t="s">
        <v>170</v>
      </c>
      <c r="J2789" s="267" t="s">
        <v>315</v>
      </c>
      <c r="K2789" s="811">
        <v>42426</v>
      </c>
      <c r="L2789" s="1477"/>
      <c r="M2789" s="811">
        <v>42418</v>
      </c>
      <c r="N2789" s="331" t="s">
        <v>6101</v>
      </c>
      <c r="O2789" s="263" t="s">
        <v>8659</v>
      </c>
      <c r="P2789" s="752"/>
      <c r="Q2789" s="1089">
        <v>26753</v>
      </c>
      <c r="R2789" s="1454"/>
      <c r="S2789" s="1454"/>
      <c r="U2789" s="386"/>
      <c r="V2789" s="318" t="s">
        <v>8660</v>
      </c>
      <c r="W2789" s="1090">
        <v>42436</v>
      </c>
      <c r="X2789" s="1083">
        <v>42418</v>
      </c>
      <c r="Y2789" s="263" t="s">
        <v>8661</v>
      </c>
      <c r="Z2789" s="1086">
        <v>26753</v>
      </c>
      <c r="AA2789" s="1083">
        <v>42436</v>
      </c>
      <c r="AB2789" s="318" t="s">
        <v>8662</v>
      </c>
      <c r="AD2789" s="1091"/>
      <c r="AE2789" s="1091"/>
      <c r="AF2789" s="1091"/>
      <c r="AG2789" s="318" t="s">
        <v>8415</v>
      </c>
    </row>
    <row r="2790" spans="1:33" ht="15.75" customHeight="1">
      <c r="A2790" s="755">
        <v>42397</v>
      </c>
      <c r="B2790" s="338" t="s">
        <v>76</v>
      </c>
      <c r="C2790" s="744">
        <v>65</v>
      </c>
      <c r="D2790" s="308" t="s">
        <v>8663</v>
      </c>
      <c r="E2790" s="595" t="s">
        <v>361</v>
      </c>
      <c r="F2790" s="574">
        <v>56</v>
      </c>
      <c r="G2790" s="265">
        <v>20</v>
      </c>
      <c r="H2790" s="464">
        <f t="shared" si="181"/>
        <v>1120</v>
      </c>
      <c r="I2790" s="254" t="s">
        <v>170</v>
      </c>
      <c r="J2790" s="267" t="s">
        <v>315</v>
      </c>
      <c r="K2790" s="811">
        <v>42437</v>
      </c>
      <c r="L2790" s="1477"/>
      <c r="M2790" s="811">
        <v>42433</v>
      </c>
      <c r="N2790" s="331" t="s">
        <v>6101</v>
      </c>
      <c r="O2790" s="263" t="s">
        <v>8659</v>
      </c>
      <c r="P2790" s="752"/>
      <c r="Q2790" s="1089">
        <f>17.4*56*1.05*33.2</f>
        <v>33967.584000000003</v>
      </c>
      <c r="R2790" s="1454"/>
      <c r="S2790" s="1454"/>
      <c r="U2790" s="386"/>
      <c r="V2790" s="318" t="s">
        <v>8660</v>
      </c>
      <c r="W2790" s="1090">
        <v>42447</v>
      </c>
      <c r="X2790" s="1083">
        <v>42432</v>
      </c>
      <c r="Y2790" s="263" t="s">
        <v>8664</v>
      </c>
      <c r="Z2790" s="1086">
        <v>33968</v>
      </c>
      <c r="AA2790" s="1083">
        <v>42447</v>
      </c>
      <c r="AB2790" s="318" t="s">
        <v>8563</v>
      </c>
      <c r="AD2790" s="1091"/>
      <c r="AE2790" s="1091"/>
      <c r="AF2790" s="1091"/>
      <c r="AG2790" s="318" t="s">
        <v>8415</v>
      </c>
    </row>
    <row r="2791" spans="1:33" ht="15.75" customHeight="1">
      <c r="A2791" s="755">
        <v>42397</v>
      </c>
      <c r="B2791" s="338" t="s">
        <v>76</v>
      </c>
      <c r="C2791" s="744">
        <v>65</v>
      </c>
      <c r="D2791" s="308" t="s">
        <v>8665</v>
      </c>
      <c r="E2791" s="571" t="s">
        <v>8666</v>
      </c>
      <c r="F2791" s="574">
        <v>4</v>
      </c>
      <c r="G2791" s="464">
        <v>6.7</v>
      </c>
      <c r="H2791" s="464">
        <f t="shared" si="181"/>
        <v>26.8</v>
      </c>
      <c r="I2791" s="254" t="s">
        <v>170</v>
      </c>
      <c r="J2791" s="267" t="s">
        <v>315</v>
      </c>
      <c r="K2791" s="811">
        <v>42426</v>
      </c>
      <c r="L2791" s="1477"/>
      <c r="M2791" s="811">
        <v>42424</v>
      </c>
      <c r="N2791" s="331" t="s">
        <v>2006</v>
      </c>
      <c r="O2791" s="263" t="s">
        <v>8667</v>
      </c>
      <c r="P2791" s="752"/>
      <c r="Q2791" s="318">
        <v>462</v>
      </c>
      <c r="R2791" s="1410"/>
      <c r="S2791" s="1410"/>
      <c r="U2791" s="386"/>
      <c r="V2791" s="318" t="s">
        <v>2146</v>
      </c>
      <c r="W2791" s="1090">
        <v>42434</v>
      </c>
      <c r="X2791" s="1083">
        <v>42419</v>
      </c>
      <c r="Y2791" s="263" t="s">
        <v>8668</v>
      </c>
      <c r="Z2791" s="1086">
        <v>462</v>
      </c>
      <c r="AA2791" s="1083">
        <v>42436</v>
      </c>
      <c r="AB2791" s="318" t="s">
        <v>8662</v>
      </c>
      <c r="AD2791" s="1091"/>
      <c r="AE2791" s="1091"/>
      <c r="AF2791" s="1091"/>
      <c r="AG2791" s="318" t="s">
        <v>8415</v>
      </c>
    </row>
    <row r="2792" spans="1:33" ht="15.75" customHeight="1">
      <c r="A2792" s="755">
        <v>42398</v>
      </c>
      <c r="B2792" s="338" t="s">
        <v>8502</v>
      </c>
      <c r="C2792" s="744" t="s">
        <v>8669</v>
      </c>
      <c r="D2792" s="308" t="s">
        <v>8670</v>
      </c>
      <c r="E2792" s="328" t="s">
        <v>8505</v>
      </c>
      <c r="F2792" s="574">
        <v>5</v>
      </c>
      <c r="G2792" s="464">
        <v>101.85</v>
      </c>
      <c r="H2792" s="464">
        <f t="shared" si="181"/>
        <v>509.25</v>
      </c>
      <c r="I2792" s="254" t="s">
        <v>170</v>
      </c>
      <c r="J2792" s="267" t="s">
        <v>89</v>
      </c>
      <c r="K2792" s="811">
        <v>42404</v>
      </c>
      <c r="L2792" s="1477"/>
      <c r="M2792" s="811"/>
      <c r="N2792" s="331" t="s">
        <v>89</v>
      </c>
      <c r="O2792" s="263" t="s">
        <v>8671</v>
      </c>
      <c r="P2792" s="752">
        <v>446.25</v>
      </c>
      <c r="Q2792" s="386"/>
      <c r="R2792" s="1407"/>
      <c r="S2792" s="1407"/>
      <c r="U2792" s="386"/>
      <c r="V2792" s="318" t="s">
        <v>5896</v>
      </c>
      <c r="W2792" s="1090"/>
      <c r="X2792" s="1083">
        <v>42403</v>
      </c>
      <c r="Y2792" s="263" t="s">
        <v>8672</v>
      </c>
      <c r="Z2792" s="1086">
        <v>14938</v>
      </c>
      <c r="AA2792" s="1083">
        <v>42453</v>
      </c>
      <c r="AB2792" s="318" t="s">
        <v>8654</v>
      </c>
      <c r="AD2792" s="592" t="s">
        <v>8637</v>
      </c>
      <c r="AE2792" s="1088" t="s">
        <v>8673</v>
      </c>
      <c r="AF2792" s="1088" t="s">
        <v>8638</v>
      </c>
      <c r="AG2792" s="1092"/>
    </row>
    <row r="2793" spans="1:33" ht="15.75" customHeight="1">
      <c r="A2793" s="755">
        <v>42402</v>
      </c>
      <c r="B2793" s="338" t="s">
        <v>100</v>
      </c>
      <c r="C2793" s="744" t="s">
        <v>8674</v>
      </c>
      <c r="D2793" s="308" t="s">
        <v>8675</v>
      </c>
      <c r="E2793" s="571" t="s">
        <v>6142</v>
      </c>
      <c r="F2793" s="574">
        <v>6</v>
      </c>
      <c r="G2793" s="464">
        <v>123</v>
      </c>
      <c r="H2793" s="464">
        <f t="shared" si="181"/>
        <v>738</v>
      </c>
      <c r="I2793" s="254" t="s">
        <v>170</v>
      </c>
      <c r="J2793" s="331" t="s">
        <v>8461</v>
      </c>
      <c r="K2793" s="811">
        <v>42422</v>
      </c>
      <c r="L2793" s="1477"/>
      <c r="M2793" s="811">
        <v>42419</v>
      </c>
      <c r="N2793" s="267" t="s">
        <v>3432</v>
      </c>
      <c r="O2793" s="263" t="s">
        <v>8676</v>
      </c>
      <c r="P2793" s="752"/>
      <c r="Q2793" s="318">
        <v>22195</v>
      </c>
      <c r="R2793" s="1410"/>
      <c r="S2793" s="1410"/>
      <c r="U2793" s="386"/>
      <c r="V2793" s="318" t="s">
        <v>8443</v>
      </c>
      <c r="W2793" s="1096">
        <v>42495</v>
      </c>
      <c r="X2793" s="1083">
        <v>42418</v>
      </c>
      <c r="Y2793" s="263" t="s">
        <v>8677</v>
      </c>
      <c r="Z2793" s="1086">
        <v>22195</v>
      </c>
      <c r="AA2793" s="1083">
        <v>42494</v>
      </c>
      <c r="AB2793" s="318" t="s">
        <v>8678</v>
      </c>
      <c r="AD2793" s="1091"/>
      <c r="AE2793" s="1091"/>
      <c r="AF2793" s="1091"/>
      <c r="AG2793" s="1092" t="s">
        <v>8415</v>
      </c>
    </row>
    <row r="2794" spans="1:33" ht="15.75" customHeight="1">
      <c r="A2794" s="755">
        <v>42402</v>
      </c>
      <c r="B2794" s="338" t="s">
        <v>100</v>
      </c>
      <c r="C2794" s="744"/>
      <c r="D2794" s="308" t="s">
        <v>8679</v>
      </c>
      <c r="E2794" s="597" t="s">
        <v>8680</v>
      </c>
      <c r="F2794" s="329">
        <v>1</v>
      </c>
      <c r="G2794" s="1088">
        <v>49</v>
      </c>
      <c r="H2794" s="464">
        <f t="shared" si="181"/>
        <v>49</v>
      </c>
      <c r="I2794" s="254" t="s">
        <v>170</v>
      </c>
      <c r="J2794" s="331" t="s">
        <v>8461</v>
      </c>
      <c r="K2794" s="811">
        <v>42422</v>
      </c>
      <c r="L2794" s="1477"/>
      <c r="M2794" s="811">
        <v>42422</v>
      </c>
      <c r="N2794" s="331" t="s">
        <v>1999</v>
      </c>
      <c r="O2794" s="263"/>
      <c r="P2794" s="752"/>
      <c r="Q2794" s="752">
        <v>0</v>
      </c>
      <c r="R2794" s="1405"/>
      <c r="S2794" s="1405"/>
      <c r="U2794" s="386"/>
      <c r="V2794" s="386" t="s">
        <v>2000</v>
      </c>
      <c r="W2794" s="1090"/>
      <c r="X2794" s="1101"/>
      <c r="Y2794" s="1087"/>
      <c r="Z2794" s="1102"/>
      <c r="AA2794" s="1083">
        <v>42433</v>
      </c>
      <c r="AB2794" s="318" t="s">
        <v>8678</v>
      </c>
      <c r="AD2794" s="1091"/>
      <c r="AE2794" s="1091"/>
      <c r="AF2794" s="1091"/>
      <c r="AG2794" s="1092" t="s">
        <v>8415</v>
      </c>
    </row>
    <row r="2795" spans="1:33" ht="15.75" customHeight="1">
      <c r="A2795" s="755">
        <v>42402</v>
      </c>
      <c r="B2795" s="592" t="s">
        <v>325</v>
      </c>
      <c r="C2795" s="744">
        <v>3020040</v>
      </c>
      <c r="D2795" s="308" t="s">
        <v>8681</v>
      </c>
      <c r="E2795" s="597" t="s">
        <v>8682</v>
      </c>
      <c r="F2795" s="329">
        <v>1</v>
      </c>
      <c r="G2795" s="1088">
        <v>607</v>
      </c>
      <c r="H2795" s="464">
        <f t="shared" si="181"/>
        <v>607</v>
      </c>
      <c r="I2795" s="254" t="s">
        <v>170</v>
      </c>
      <c r="J2795" s="331" t="s">
        <v>3613</v>
      </c>
      <c r="K2795" s="811">
        <v>42422</v>
      </c>
      <c r="L2795" s="1477"/>
      <c r="M2795" s="811">
        <v>42417</v>
      </c>
      <c r="N2795" s="331" t="s">
        <v>3614</v>
      </c>
      <c r="O2795" s="263" t="s">
        <v>8683</v>
      </c>
      <c r="P2795" s="752"/>
      <c r="Q2795" s="1089">
        <v>19846</v>
      </c>
      <c r="R2795" s="1454"/>
      <c r="S2795" s="1454"/>
      <c r="U2795" s="386"/>
      <c r="V2795" s="318" t="s">
        <v>2159</v>
      </c>
      <c r="W2795" s="1090">
        <v>42460</v>
      </c>
      <c r="X2795" s="1083">
        <v>42417</v>
      </c>
      <c r="Y2795" s="263" t="s">
        <v>8684</v>
      </c>
      <c r="Z2795" s="1086">
        <v>20724</v>
      </c>
      <c r="AA2795" s="1083">
        <v>42460</v>
      </c>
      <c r="AB2795" s="318" t="s">
        <v>8685</v>
      </c>
      <c r="AD2795" s="1091"/>
      <c r="AE2795" s="1091"/>
      <c r="AF2795" s="1091"/>
      <c r="AG2795" s="1092" t="s">
        <v>8415</v>
      </c>
    </row>
    <row r="2796" spans="1:33" ht="15.75" customHeight="1">
      <c r="A2796" s="755">
        <v>42402</v>
      </c>
      <c r="B2796" s="592" t="s">
        <v>325</v>
      </c>
      <c r="C2796" s="744">
        <v>3020040</v>
      </c>
      <c r="D2796" s="308" t="s">
        <v>8681</v>
      </c>
      <c r="E2796" s="597" t="s">
        <v>4256</v>
      </c>
      <c r="F2796" s="329">
        <v>1</v>
      </c>
      <c r="G2796" s="1088">
        <v>27</v>
      </c>
      <c r="H2796" s="464">
        <f t="shared" si="181"/>
        <v>27</v>
      </c>
      <c r="I2796" s="254" t="s">
        <v>170</v>
      </c>
      <c r="J2796" s="331" t="s">
        <v>3613</v>
      </c>
      <c r="K2796" s="811">
        <v>42422</v>
      </c>
      <c r="L2796" s="1477"/>
      <c r="M2796" s="811">
        <v>42417</v>
      </c>
      <c r="N2796" s="331" t="s">
        <v>3614</v>
      </c>
      <c r="O2796" s="263" t="s">
        <v>8683</v>
      </c>
      <c r="P2796" s="752"/>
      <c r="Q2796" s="1089">
        <v>878</v>
      </c>
      <c r="R2796" s="1454"/>
      <c r="S2796" s="1454"/>
      <c r="U2796" s="386"/>
      <c r="V2796" s="318" t="s">
        <v>2159</v>
      </c>
      <c r="W2796" s="1090">
        <v>42460</v>
      </c>
      <c r="X2796" s="1083">
        <v>42417</v>
      </c>
      <c r="Y2796" s="263" t="s">
        <v>8684</v>
      </c>
      <c r="Z2796" s="1086" t="s">
        <v>8686</v>
      </c>
      <c r="AA2796" s="1083">
        <v>42460</v>
      </c>
      <c r="AB2796" s="318" t="s">
        <v>8685</v>
      </c>
      <c r="AD2796" s="1091"/>
      <c r="AE2796" s="1091"/>
      <c r="AF2796" s="1091"/>
      <c r="AG2796" s="318" t="s">
        <v>8415</v>
      </c>
    </row>
    <row r="2797" spans="1:33" ht="15.75" customHeight="1">
      <c r="A2797" s="755">
        <v>42403</v>
      </c>
      <c r="B2797" s="338" t="s">
        <v>665</v>
      </c>
      <c r="C2797" s="744"/>
      <c r="D2797" s="308" t="s">
        <v>8687</v>
      </c>
      <c r="E2797" s="308" t="s">
        <v>8688</v>
      </c>
      <c r="F2797" s="574">
        <v>4</v>
      </c>
      <c r="G2797" s="464">
        <v>923</v>
      </c>
      <c r="H2797" s="464">
        <f t="shared" si="181"/>
        <v>3692</v>
      </c>
      <c r="I2797" s="254" t="s">
        <v>170</v>
      </c>
      <c r="J2797" s="267" t="s">
        <v>8689</v>
      </c>
      <c r="K2797" s="811">
        <v>42422</v>
      </c>
      <c r="L2797" s="1477"/>
      <c r="M2797" s="811">
        <v>42416</v>
      </c>
      <c r="N2797" s="331" t="s">
        <v>89</v>
      </c>
      <c r="O2797" s="263" t="s">
        <v>8690</v>
      </c>
      <c r="P2797" s="752">
        <v>3486</v>
      </c>
      <c r="Q2797" s="386"/>
      <c r="R2797" s="1407"/>
      <c r="S2797" s="1407"/>
      <c r="U2797" s="386"/>
      <c r="V2797" s="318" t="s">
        <v>5896</v>
      </c>
      <c r="W2797" s="1090"/>
      <c r="X2797" s="1083">
        <v>42415</v>
      </c>
      <c r="Y2797" s="263" t="s">
        <v>8691</v>
      </c>
      <c r="Z2797" s="1086">
        <v>120071</v>
      </c>
      <c r="AA2797" s="1083">
        <v>42453</v>
      </c>
      <c r="AB2797" s="318" t="s">
        <v>8692</v>
      </c>
      <c r="AD2797" s="1091"/>
      <c r="AE2797" s="1091"/>
      <c r="AF2797" s="1091"/>
      <c r="AG2797" s="318" t="s">
        <v>283</v>
      </c>
    </row>
    <row r="2798" spans="1:33" ht="15.75" customHeight="1">
      <c r="A2798" s="755">
        <v>42403</v>
      </c>
      <c r="B2798" s="338" t="s">
        <v>665</v>
      </c>
      <c r="C2798" s="744"/>
      <c r="D2798" s="308" t="s">
        <v>8687</v>
      </c>
      <c r="E2798" s="571" t="s">
        <v>8693</v>
      </c>
      <c r="F2798" s="574">
        <v>4</v>
      </c>
      <c r="G2798" s="464">
        <v>103</v>
      </c>
      <c r="H2798" s="464">
        <f t="shared" si="181"/>
        <v>412</v>
      </c>
      <c r="I2798" s="254" t="s">
        <v>170</v>
      </c>
      <c r="J2798" s="267" t="s">
        <v>8689</v>
      </c>
      <c r="K2798" s="811">
        <v>42422</v>
      </c>
      <c r="L2798" s="1477"/>
      <c r="M2798" s="811">
        <v>42416</v>
      </c>
      <c r="N2798" s="331" t="s">
        <v>89</v>
      </c>
      <c r="O2798" s="263" t="s">
        <v>8690</v>
      </c>
      <c r="P2798" s="752">
        <v>390.6</v>
      </c>
      <c r="Q2798" s="386"/>
      <c r="R2798" s="1407"/>
      <c r="S2798" s="1407"/>
      <c r="U2798" s="386"/>
      <c r="V2798" s="318" t="s">
        <v>5896</v>
      </c>
      <c r="W2798" s="1090"/>
      <c r="X2798" s="1083">
        <v>42415</v>
      </c>
      <c r="Y2798" s="263" t="s">
        <v>8691</v>
      </c>
      <c r="Z2798" s="1086" t="s">
        <v>8694</v>
      </c>
      <c r="AA2798" s="1083">
        <v>42453</v>
      </c>
      <c r="AB2798" s="318" t="s">
        <v>8692</v>
      </c>
      <c r="AD2798" s="1091"/>
      <c r="AE2798" s="1091"/>
      <c r="AF2798" s="1091"/>
      <c r="AG2798" s="318" t="s">
        <v>283</v>
      </c>
    </row>
    <row r="2799" spans="1:33" ht="15.75" customHeight="1">
      <c r="A2799" s="755">
        <v>42404</v>
      </c>
      <c r="B2799" s="338" t="s">
        <v>76</v>
      </c>
      <c r="C2799" s="744"/>
      <c r="D2799" s="308" t="s">
        <v>8695</v>
      </c>
      <c r="E2799" s="571" t="s">
        <v>8530</v>
      </c>
      <c r="F2799" s="574">
        <v>110</v>
      </c>
      <c r="G2799" s="464">
        <v>2.25</v>
      </c>
      <c r="H2799" s="464">
        <f t="shared" si="181"/>
        <v>247.5</v>
      </c>
      <c r="I2799" s="254" t="s">
        <v>170</v>
      </c>
      <c r="J2799" s="267" t="s">
        <v>315</v>
      </c>
      <c r="K2799" s="811">
        <v>42426</v>
      </c>
      <c r="L2799" s="1477"/>
      <c r="M2799" s="811">
        <v>42426</v>
      </c>
      <c r="N2799" s="331" t="s">
        <v>3608</v>
      </c>
      <c r="O2799" s="263" t="s">
        <v>8696</v>
      </c>
      <c r="P2799" s="752"/>
      <c r="Q2799" s="318">
        <v>7508</v>
      </c>
      <c r="R2799" s="1410"/>
      <c r="S2799" s="1410"/>
      <c r="U2799" s="386"/>
      <c r="V2799" s="386" t="s">
        <v>2093</v>
      </c>
      <c r="W2799" s="1096">
        <v>42495</v>
      </c>
      <c r="X2799" s="1083">
        <v>42425</v>
      </c>
      <c r="Y2799" s="263" t="s">
        <v>8697</v>
      </c>
      <c r="Z2799" s="1086">
        <v>13629</v>
      </c>
      <c r="AA2799" s="1083">
        <v>42496</v>
      </c>
      <c r="AB2799" s="318" t="s">
        <v>8662</v>
      </c>
      <c r="AD2799" s="1091"/>
      <c r="AE2799" s="1091"/>
      <c r="AF2799" s="1091"/>
      <c r="AG2799" s="318" t="s">
        <v>8415</v>
      </c>
    </row>
    <row r="2800" spans="1:33" ht="15.75" customHeight="1">
      <c r="A2800" s="755">
        <v>42404</v>
      </c>
      <c r="B2800" s="338" t="s">
        <v>76</v>
      </c>
      <c r="C2800" s="744"/>
      <c r="D2800" s="308" t="s">
        <v>8695</v>
      </c>
      <c r="E2800" s="571" t="s">
        <v>8527</v>
      </c>
      <c r="F2800" s="574">
        <v>110</v>
      </c>
      <c r="G2800" s="464">
        <v>1.9</v>
      </c>
      <c r="H2800" s="464">
        <f t="shared" si="181"/>
        <v>209</v>
      </c>
      <c r="I2800" s="254" t="s">
        <v>170</v>
      </c>
      <c r="J2800" s="267" t="s">
        <v>315</v>
      </c>
      <c r="K2800" s="811">
        <v>42426</v>
      </c>
      <c r="L2800" s="1477"/>
      <c r="M2800" s="811">
        <v>42426</v>
      </c>
      <c r="N2800" s="331" t="s">
        <v>3608</v>
      </c>
      <c r="O2800" s="263" t="s">
        <v>8696</v>
      </c>
      <c r="P2800" s="752"/>
      <c r="Q2800" s="318">
        <v>6121</v>
      </c>
      <c r="R2800" s="1410"/>
      <c r="S2800" s="1410"/>
      <c r="U2800" s="386"/>
      <c r="V2800" s="386" t="s">
        <v>2093</v>
      </c>
      <c r="W2800" s="1096">
        <v>42495</v>
      </c>
      <c r="X2800" s="1083">
        <v>42425</v>
      </c>
      <c r="Y2800" s="263" t="s">
        <v>8697</v>
      </c>
      <c r="Z2800" s="1086" t="s">
        <v>8698</v>
      </c>
      <c r="AA2800" s="1083">
        <v>42496</v>
      </c>
      <c r="AB2800" s="318" t="s">
        <v>8662</v>
      </c>
      <c r="AD2800" s="1091"/>
      <c r="AE2800" s="1091"/>
      <c r="AF2800" s="1091"/>
      <c r="AG2800" s="318" t="s">
        <v>8415</v>
      </c>
    </row>
    <row r="2801" spans="1:33" ht="15.75" customHeight="1">
      <c r="A2801" s="256">
        <v>42404</v>
      </c>
      <c r="B2801" s="571" t="s">
        <v>8502</v>
      </c>
      <c r="C2801" s="420" t="s">
        <v>8699</v>
      </c>
      <c r="D2801" s="308" t="s">
        <v>8700</v>
      </c>
      <c r="E2801" s="328" t="s">
        <v>8505</v>
      </c>
      <c r="F2801" s="574">
        <v>2</v>
      </c>
      <c r="G2801" s="265">
        <v>101.85</v>
      </c>
      <c r="H2801" s="265">
        <f t="shared" si="181"/>
        <v>203.7</v>
      </c>
      <c r="I2801" s="264" t="s">
        <v>170</v>
      </c>
      <c r="J2801" s="401" t="s">
        <v>89</v>
      </c>
      <c r="K2801" s="256">
        <v>42418</v>
      </c>
      <c r="L2801" s="256"/>
      <c r="M2801" s="256"/>
      <c r="N2801" s="401" t="s">
        <v>89</v>
      </c>
      <c r="O2801" s="250" t="s">
        <v>8701</v>
      </c>
      <c r="P2801" s="574">
        <v>178.5</v>
      </c>
      <c r="Q2801" s="328"/>
      <c r="R2801" s="1407"/>
      <c r="S2801" s="1407"/>
      <c r="U2801" s="328"/>
      <c r="V2801" s="308" t="s">
        <v>5896</v>
      </c>
      <c r="W2801" s="624"/>
      <c r="X2801" s="750">
        <v>42415</v>
      </c>
      <c r="Y2801" s="250" t="s">
        <v>8702</v>
      </c>
      <c r="Z2801" s="996">
        <v>5935</v>
      </c>
      <c r="AA2801" s="750">
        <v>42453</v>
      </c>
      <c r="AB2801" s="308" t="s">
        <v>8703</v>
      </c>
      <c r="AD2801" s="1111" t="s">
        <v>8704</v>
      </c>
      <c r="AE2801" s="770">
        <v>6777</v>
      </c>
      <c r="AF2801" s="328" t="s">
        <v>8705</v>
      </c>
      <c r="AG2801" s="308"/>
    </row>
    <row r="2802" spans="1:33" ht="15.75" customHeight="1">
      <c r="A2802" s="256">
        <v>42410</v>
      </c>
      <c r="B2802" s="338" t="s">
        <v>8502</v>
      </c>
      <c r="C2802" s="744" t="s">
        <v>8706</v>
      </c>
      <c r="D2802" s="308" t="s">
        <v>8707</v>
      </c>
      <c r="E2802" s="328" t="s">
        <v>8505</v>
      </c>
      <c r="F2802" s="574">
        <v>2</v>
      </c>
      <c r="G2802" s="464">
        <v>101.85</v>
      </c>
      <c r="H2802" s="464">
        <f t="shared" si="181"/>
        <v>203.7</v>
      </c>
      <c r="I2802" s="254" t="s">
        <v>170</v>
      </c>
      <c r="J2802" s="331" t="s">
        <v>89</v>
      </c>
      <c r="K2802" s="811">
        <v>42417</v>
      </c>
      <c r="L2802" s="1477"/>
      <c r="M2802" s="811"/>
      <c r="N2802" s="331" t="s">
        <v>89</v>
      </c>
      <c r="O2802" s="263" t="s">
        <v>8708</v>
      </c>
      <c r="P2802" s="752">
        <v>178.5</v>
      </c>
      <c r="Q2802" s="386"/>
      <c r="R2802" s="1407"/>
      <c r="S2802" s="1407"/>
      <c r="U2802" s="386"/>
      <c r="V2802" s="318" t="s">
        <v>5896</v>
      </c>
      <c r="W2802" s="1090"/>
      <c r="X2802" s="1083">
        <v>42416</v>
      </c>
      <c r="Y2802" s="263" t="s">
        <v>8709</v>
      </c>
      <c r="Z2802" s="1086">
        <v>5935</v>
      </c>
      <c r="AA2802" s="1083">
        <v>42453</v>
      </c>
      <c r="AB2802" s="318" t="s">
        <v>8710</v>
      </c>
      <c r="AD2802" s="592" t="s">
        <v>8711</v>
      </c>
      <c r="AE2802" s="1097">
        <v>6759</v>
      </c>
      <c r="AF2802" s="386" t="s">
        <v>8705</v>
      </c>
      <c r="AG2802" s="318"/>
    </row>
    <row r="2803" spans="1:33" ht="15.75" customHeight="1">
      <c r="A2803" s="755">
        <v>42414</v>
      </c>
      <c r="B2803" s="338" t="s">
        <v>100</v>
      </c>
      <c r="C2803" s="744" t="s">
        <v>8712</v>
      </c>
      <c r="D2803" s="308" t="s">
        <v>8713</v>
      </c>
      <c r="E2803" s="308" t="s">
        <v>8714</v>
      </c>
      <c r="F2803" s="328">
        <v>2</v>
      </c>
      <c r="G2803" s="386">
        <v>575</v>
      </c>
      <c r="H2803" s="464">
        <f t="shared" si="181"/>
        <v>1150</v>
      </c>
      <c r="I2803" s="254" t="s">
        <v>170</v>
      </c>
      <c r="J2803" s="331" t="s">
        <v>8461</v>
      </c>
      <c r="K2803" s="811">
        <v>42426</v>
      </c>
      <c r="L2803" s="1477"/>
      <c r="M2803" s="811">
        <v>42426</v>
      </c>
      <c r="N2803" s="264" t="s">
        <v>1414</v>
      </c>
      <c r="O2803" s="263" t="s">
        <v>8715</v>
      </c>
      <c r="P2803" s="752"/>
      <c r="Q2803" s="318">
        <v>36232.559999999998</v>
      </c>
      <c r="R2803" s="1410"/>
      <c r="S2803" s="1410"/>
      <c r="U2803" s="386"/>
      <c r="V2803" s="386" t="s">
        <v>8467</v>
      </c>
      <c r="W2803" s="1090">
        <v>42433</v>
      </c>
      <c r="X2803" s="1083">
        <v>42425</v>
      </c>
      <c r="Y2803" s="263" t="s">
        <v>8716</v>
      </c>
      <c r="Z2803" s="1086">
        <v>42504</v>
      </c>
      <c r="AA2803" s="1095">
        <v>42433</v>
      </c>
      <c r="AB2803" s="318" t="s">
        <v>8717</v>
      </c>
      <c r="AD2803" s="1091"/>
      <c r="AE2803" s="1091"/>
      <c r="AF2803" s="1091"/>
      <c r="AG2803" s="318" t="s">
        <v>8415</v>
      </c>
    </row>
    <row r="2804" spans="1:33" ht="15.75" customHeight="1">
      <c r="A2804" s="755">
        <v>42414</v>
      </c>
      <c r="B2804" s="338" t="s">
        <v>100</v>
      </c>
      <c r="C2804" s="744" t="s">
        <v>8712</v>
      </c>
      <c r="D2804" s="308" t="s">
        <v>8713</v>
      </c>
      <c r="E2804" s="308" t="s">
        <v>6115</v>
      </c>
      <c r="F2804" s="328">
        <v>2</v>
      </c>
      <c r="G2804" s="386">
        <v>380</v>
      </c>
      <c r="H2804" s="464">
        <f t="shared" si="181"/>
        <v>760</v>
      </c>
      <c r="I2804" s="254" t="s">
        <v>170</v>
      </c>
      <c r="J2804" s="331" t="s">
        <v>8461</v>
      </c>
      <c r="K2804" s="811">
        <v>42426</v>
      </c>
      <c r="L2804" s="1477"/>
      <c r="M2804" s="811">
        <v>42422</v>
      </c>
      <c r="N2804" s="331" t="s">
        <v>8718</v>
      </c>
      <c r="O2804" s="263" t="s">
        <v>8719</v>
      </c>
      <c r="P2804" s="752"/>
      <c r="Q2804" s="318">
        <f>735*33.52</f>
        <v>24637.200000000001</v>
      </c>
      <c r="R2804" s="1410"/>
      <c r="S2804" s="1410"/>
      <c r="U2804" s="386"/>
      <c r="V2804" s="318" t="s">
        <v>8720</v>
      </c>
      <c r="W2804" s="1090">
        <v>42416</v>
      </c>
      <c r="X2804" s="1083">
        <v>42419</v>
      </c>
      <c r="Y2804" s="263" t="s">
        <v>8721</v>
      </c>
      <c r="Z2804" s="1086">
        <v>24637</v>
      </c>
      <c r="AA2804" s="811">
        <v>42416</v>
      </c>
      <c r="AB2804" s="318" t="s">
        <v>8717</v>
      </c>
      <c r="AD2804" s="1091"/>
      <c r="AE2804" s="1091"/>
      <c r="AF2804" s="1091"/>
      <c r="AG2804" s="318" t="s">
        <v>8415</v>
      </c>
    </row>
    <row r="2805" spans="1:33" ht="15.75" customHeight="1">
      <c r="A2805" s="755">
        <v>42414</v>
      </c>
      <c r="B2805" s="338" t="s">
        <v>100</v>
      </c>
      <c r="C2805" s="744" t="s">
        <v>8712</v>
      </c>
      <c r="D2805" s="308" t="s">
        <v>8713</v>
      </c>
      <c r="E2805" s="308" t="s">
        <v>8722</v>
      </c>
      <c r="F2805" s="328">
        <v>2</v>
      </c>
      <c r="G2805" s="386">
        <v>62</v>
      </c>
      <c r="H2805" s="464">
        <f t="shared" si="181"/>
        <v>124</v>
      </c>
      <c r="I2805" s="254" t="s">
        <v>170</v>
      </c>
      <c r="J2805" s="331" t="s">
        <v>8461</v>
      </c>
      <c r="K2805" s="811">
        <v>42426</v>
      </c>
      <c r="L2805" s="1477"/>
      <c r="M2805" s="811">
        <v>42418</v>
      </c>
      <c r="N2805" s="267" t="s">
        <v>6735</v>
      </c>
      <c r="O2805" s="263" t="s">
        <v>8723</v>
      </c>
      <c r="P2805" s="752"/>
      <c r="Q2805" s="318">
        <f>2350*1.05</f>
        <v>2467.5</v>
      </c>
      <c r="R2805" s="1410"/>
      <c r="S2805" s="1410"/>
      <c r="U2805" s="386"/>
      <c r="V2805" s="318" t="s">
        <v>8471</v>
      </c>
      <c r="W2805" s="1090">
        <v>42416</v>
      </c>
      <c r="X2805" s="1083">
        <v>42417</v>
      </c>
      <c r="Y2805" s="263" t="s">
        <v>8724</v>
      </c>
      <c r="Z2805" s="1086">
        <v>8255</v>
      </c>
      <c r="AA2805" s="1083">
        <v>42416</v>
      </c>
      <c r="AB2805" s="318" t="s">
        <v>8717</v>
      </c>
      <c r="AD2805" s="1091"/>
      <c r="AE2805" s="1091"/>
      <c r="AF2805" s="1091"/>
      <c r="AG2805" s="318" t="s">
        <v>8415</v>
      </c>
    </row>
    <row r="2806" spans="1:33" ht="15.75" customHeight="1">
      <c r="A2806" s="755">
        <v>42414</v>
      </c>
      <c r="B2806" s="338" t="s">
        <v>100</v>
      </c>
      <c r="C2806" s="744" t="s">
        <v>8712</v>
      </c>
      <c r="D2806" s="308" t="s">
        <v>8713</v>
      </c>
      <c r="E2806" s="308" t="s">
        <v>6109</v>
      </c>
      <c r="F2806" s="328">
        <v>2</v>
      </c>
      <c r="G2806" s="386">
        <v>38</v>
      </c>
      <c r="H2806" s="464">
        <f t="shared" si="181"/>
        <v>76</v>
      </c>
      <c r="I2806" s="254" t="s">
        <v>170</v>
      </c>
      <c r="J2806" s="331" t="s">
        <v>8461</v>
      </c>
      <c r="K2806" s="811">
        <v>42426</v>
      </c>
      <c r="L2806" s="1477"/>
      <c r="M2806" s="811">
        <v>42426</v>
      </c>
      <c r="N2806" s="264" t="s">
        <v>1414</v>
      </c>
      <c r="O2806" s="263" t="s">
        <v>8715</v>
      </c>
      <c r="P2806" s="752"/>
      <c r="Q2806" s="318">
        <v>2438.73</v>
      </c>
      <c r="R2806" s="1410"/>
      <c r="S2806" s="1410"/>
      <c r="U2806" s="386"/>
      <c r="V2806" s="386" t="s">
        <v>8467</v>
      </c>
      <c r="W2806" s="1090">
        <v>42433</v>
      </c>
      <c r="X2806" s="1101"/>
      <c r="Y2806" s="263" t="s">
        <v>8716</v>
      </c>
      <c r="Z2806" s="1086" t="s">
        <v>8725</v>
      </c>
      <c r="AA2806" s="1095">
        <v>42433</v>
      </c>
      <c r="AB2806" s="318" t="s">
        <v>8717</v>
      </c>
      <c r="AD2806" s="1091"/>
      <c r="AE2806" s="1091"/>
      <c r="AF2806" s="1091"/>
      <c r="AG2806" s="318" t="s">
        <v>8415</v>
      </c>
    </row>
    <row r="2807" spans="1:33" ht="15.75" customHeight="1">
      <c r="A2807" s="755">
        <v>42414</v>
      </c>
      <c r="B2807" s="338" t="s">
        <v>100</v>
      </c>
      <c r="C2807" s="744" t="s">
        <v>8712</v>
      </c>
      <c r="D2807" s="308" t="s">
        <v>8713</v>
      </c>
      <c r="E2807" s="308" t="s">
        <v>8726</v>
      </c>
      <c r="F2807" s="328">
        <v>2</v>
      </c>
      <c r="G2807" s="386">
        <v>30</v>
      </c>
      <c r="H2807" s="464">
        <f t="shared" si="181"/>
        <v>60</v>
      </c>
      <c r="I2807" s="254" t="s">
        <v>170</v>
      </c>
      <c r="J2807" s="331" t="s">
        <v>8461</v>
      </c>
      <c r="K2807" s="811">
        <v>42426</v>
      </c>
      <c r="L2807" s="1477"/>
      <c r="M2807" s="811">
        <v>42426</v>
      </c>
      <c r="N2807" s="264" t="s">
        <v>1414</v>
      </c>
      <c r="O2807" s="263" t="s">
        <v>8715</v>
      </c>
      <c r="P2807" s="752"/>
      <c r="Q2807" s="318">
        <v>1741.95</v>
      </c>
      <c r="R2807" s="1410"/>
      <c r="S2807" s="1410"/>
      <c r="U2807" s="386"/>
      <c r="V2807" s="386" t="s">
        <v>8467</v>
      </c>
      <c r="W2807" s="1090">
        <v>42433</v>
      </c>
      <c r="X2807" s="1101"/>
      <c r="Y2807" s="263" t="s">
        <v>8716</v>
      </c>
      <c r="Z2807" s="1086" t="s">
        <v>8725</v>
      </c>
      <c r="AA2807" s="1095">
        <v>42433</v>
      </c>
      <c r="AB2807" s="318" t="s">
        <v>8717</v>
      </c>
      <c r="AD2807" s="1091"/>
      <c r="AE2807" s="1091"/>
      <c r="AF2807" s="1091"/>
      <c r="AG2807" s="318" t="s">
        <v>8415</v>
      </c>
    </row>
    <row r="2808" spans="1:33" ht="15.75" customHeight="1">
      <c r="A2808" s="755">
        <v>42414</v>
      </c>
      <c r="B2808" s="338" t="s">
        <v>100</v>
      </c>
      <c r="C2808" s="744" t="s">
        <v>8712</v>
      </c>
      <c r="D2808" s="308" t="s">
        <v>8713</v>
      </c>
      <c r="E2808" s="308" t="s">
        <v>8727</v>
      </c>
      <c r="F2808" s="328">
        <v>2</v>
      </c>
      <c r="G2808" s="386">
        <v>30</v>
      </c>
      <c r="H2808" s="464">
        <f t="shared" si="181"/>
        <v>60</v>
      </c>
      <c r="I2808" s="254" t="s">
        <v>170</v>
      </c>
      <c r="J2808" s="331" t="s">
        <v>8461</v>
      </c>
      <c r="K2808" s="811">
        <v>42426</v>
      </c>
      <c r="L2808" s="1477"/>
      <c r="M2808" s="811">
        <v>42426</v>
      </c>
      <c r="N2808" s="264" t="s">
        <v>1414</v>
      </c>
      <c r="O2808" s="263" t="s">
        <v>8715</v>
      </c>
      <c r="P2808" s="752"/>
      <c r="Q2808" s="318">
        <v>2090.34</v>
      </c>
      <c r="R2808" s="1410"/>
      <c r="S2808" s="1410"/>
      <c r="U2808" s="386"/>
      <c r="V2808" s="386" t="s">
        <v>8467</v>
      </c>
      <c r="W2808" s="1090">
        <v>42433</v>
      </c>
      <c r="X2808" s="1101"/>
      <c r="Y2808" s="263" t="s">
        <v>8716</v>
      </c>
      <c r="Z2808" s="1086" t="s">
        <v>8725</v>
      </c>
      <c r="AA2808" s="1095">
        <v>42433</v>
      </c>
      <c r="AB2808" s="318" t="s">
        <v>8717</v>
      </c>
      <c r="AD2808" s="1091"/>
      <c r="AE2808" s="1091"/>
      <c r="AF2808" s="1091"/>
      <c r="AG2808" s="318" t="s">
        <v>8415</v>
      </c>
    </row>
    <row r="2809" spans="1:33" ht="15.75" customHeight="1">
      <c r="A2809" s="755">
        <v>42414</v>
      </c>
      <c r="B2809" s="338" t="s">
        <v>100</v>
      </c>
      <c r="C2809" s="744" t="s">
        <v>8712</v>
      </c>
      <c r="D2809" s="308" t="s">
        <v>8713</v>
      </c>
      <c r="E2809" s="571" t="s">
        <v>8728</v>
      </c>
      <c r="F2809" s="328">
        <v>2</v>
      </c>
      <c r="G2809" s="464">
        <v>94</v>
      </c>
      <c r="H2809" s="464">
        <f t="shared" si="181"/>
        <v>188</v>
      </c>
      <c r="I2809" s="254" t="s">
        <v>170</v>
      </c>
      <c r="J2809" s="331" t="s">
        <v>8461</v>
      </c>
      <c r="K2809" s="811">
        <v>42426</v>
      </c>
      <c r="L2809" s="1477"/>
      <c r="M2809" s="811">
        <v>42418</v>
      </c>
      <c r="N2809" s="267" t="s">
        <v>6735</v>
      </c>
      <c r="O2809" s="263" t="s">
        <v>8723</v>
      </c>
      <c r="P2809" s="752"/>
      <c r="Q2809" s="318">
        <f>5512*1.05</f>
        <v>5787.6</v>
      </c>
      <c r="R2809" s="1410"/>
      <c r="S2809" s="1410"/>
      <c r="U2809" s="386"/>
      <c r="V2809" s="318" t="s">
        <v>8471</v>
      </c>
      <c r="W2809" s="1090">
        <v>42416</v>
      </c>
      <c r="X2809" s="1083">
        <v>42417</v>
      </c>
      <c r="Y2809" s="263" t="s">
        <v>8724</v>
      </c>
      <c r="Z2809" s="1086" t="s">
        <v>8729</v>
      </c>
      <c r="AA2809" s="1083">
        <v>42416</v>
      </c>
      <c r="AB2809" s="318" t="s">
        <v>8717</v>
      </c>
      <c r="AD2809" s="1091"/>
      <c r="AE2809" s="1091"/>
      <c r="AF2809" s="1091"/>
      <c r="AG2809" s="318" t="s">
        <v>8415</v>
      </c>
    </row>
    <row r="2810" spans="1:33" ht="15.75" customHeight="1">
      <c r="A2810" s="755">
        <v>42414</v>
      </c>
      <c r="B2810" s="338" t="s">
        <v>665</v>
      </c>
      <c r="C2810" s="744"/>
      <c r="D2810" s="308" t="s">
        <v>8730</v>
      </c>
      <c r="E2810" s="571" t="s">
        <v>8731</v>
      </c>
      <c r="F2810" s="574">
        <v>2</v>
      </c>
      <c r="G2810" s="464">
        <v>347</v>
      </c>
      <c r="H2810" s="464">
        <f t="shared" si="181"/>
        <v>694</v>
      </c>
      <c r="I2810" s="254" t="s">
        <v>170</v>
      </c>
      <c r="J2810" s="267" t="s">
        <v>8689</v>
      </c>
      <c r="K2810" s="811">
        <v>42422</v>
      </c>
      <c r="L2810" s="1477"/>
      <c r="M2810" s="811">
        <v>42417</v>
      </c>
      <c r="N2810" s="331" t="s">
        <v>89</v>
      </c>
      <c r="O2810" s="263" t="s">
        <v>8732</v>
      </c>
      <c r="P2810" s="752">
        <v>642.6</v>
      </c>
      <c r="Q2810" s="386"/>
      <c r="R2810" s="1407"/>
      <c r="S2810" s="1407"/>
      <c r="U2810" s="386"/>
      <c r="V2810" s="318" t="s">
        <v>5896</v>
      </c>
      <c r="W2810" s="1090"/>
      <c r="X2810" s="1083">
        <v>42417</v>
      </c>
      <c r="Y2810" s="263" t="s">
        <v>8733</v>
      </c>
      <c r="Z2810" s="1086">
        <v>21366</v>
      </c>
      <c r="AA2810" s="1083">
        <v>42453</v>
      </c>
      <c r="AB2810" s="318" t="s">
        <v>8692</v>
      </c>
      <c r="AD2810" s="1091"/>
      <c r="AE2810" s="1091"/>
      <c r="AF2810" s="1091"/>
      <c r="AG2810" s="318" t="s">
        <v>283</v>
      </c>
    </row>
    <row r="2811" spans="1:33" ht="15.75" customHeight="1">
      <c r="A2811" s="755">
        <v>42414</v>
      </c>
      <c r="B2811" s="338" t="s">
        <v>100</v>
      </c>
      <c r="C2811" s="744" t="s">
        <v>8712</v>
      </c>
      <c r="D2811" s="308" t="s">
        <v>8734</v>
      </c>
      <c r="E2811" s="571" t="s">
        <v>6111</v>
      </c>
      <c r="F2811" s="328">
        <v>3</v>
      </c>
      <c r="G2811" s="464">
        <v>237</v>
      </c>
      <c r="H2811" s="464">
        <f t="shared" si="181"/>
        <v>711</v>
      </c>
      <c r="I2811" s="254" t="s">
        <v>170</v>
      </c>
      <c r="J2811" s="331" t="s">
        <v>8461</v>
      </c>
      <c r="K2811" s="811">
        <v>42446</v>
      </c>
      <c r="L2811" s="1477"/>
      <c r="M2811" s="811">
        <v>42444</v>
      </c>
      <c r="N2811" s="401" t="s">
        <v>6112</v>
      </c>
      <c r="O2811" s="263" t="s">
        <v>8735</v>
      </c>
      <c r="P2811" s="752"/>
      <c r="Q2811" s="318">
        <f>180*3*33.02*1.05</f>
        <v>18722.340000000004</v>
      </c>
      <c r="R2811" s="1410"/>
      <c r="S2811" s="1410"/>
      <c r="U2811" s="386"/>
      <c r="V2811" s="318" t="s">
        <v>2109</v>
      </c>
      <c r="W2811" s="1096">
        <v>42433</v>
      </c>
      <c r="X2811" s="1083">
        <v>42443</v>
      </c>
      <c r="Y2811" s="263" t="s">
        <v>8736</v>
      </c>
      <c r="Z2811" s="1086">
        <v>18723</v>
      </c>
      <c r="AA2811" s="1083">
        <v>42436</v>
      </c>
      <c r="AB2811" s="318" t="s">
        <v>8737</v>
      </c>
      <c r="AD2811" s="1091"/>
      <c r="AE2811" s="1091"/>
      <c r="AF2811" s="1091"/>
      <c r="AG2811" s="318" t="s">
        <v>283</v>
      </c>
    </row>
    <row r="2812" spans="1:33" ht="15.75" customHeight="1">
      <c r="A2812" s="755">
        <v>42415</v>
      </c>
      <c r="B2812" s="338" t="s">
        <v>986</v>
      </c>
      <c r="C2812" s="744" t="s">
        <v>8738</v>
      </c>
      <c r="D2812" s="308" t="s">
        <v>8739</v>
      </c>
      <c r="E2812" s="571" t="s">
        <v>8740</v>
      </c>
      <c r="F2812" s="574">
        <v>1</v>
      </c>
      <c r="G2812" s="464">
        <v>588</v>
      </c>
      <c r="H2812" s="464">
        <f t="shared" si="181"/>
        <v>588</v>
      </c>
      <c r="I2812" s="254" t="s">
        <v>170</v>
      </c>
      <c r="J2812" s="331" t="s">
        <v>8438</v>
      </c>
      <c r="K2812" s="811">
        <v>42422</v>
      </c>
      <c r="L2812" s="1477"/>
      <c r="M2812" s="811">
        <v>42417</v>
      </c>
      <c r="N2812" s="331" t="s">
        <v>3432</v>
      </c>
      <c r="O2812" s="263" t="s">
        <v>8741</v>
      </c>
      <c r="P2812" s="752"/>
      <c r="Q2812" s="318">
        <v>18139</v>
      </c>
      <c r="R2812" s="1410"/>
      <c r="S2812" s="1410"/>
      <c r="U2812" s="386"/>
      <c r="V2812" s="318" t="s">
        <v>8742</v>
      </c>
      <c r="W2812" s="1090">
        <v>42495</v>
      </c>
      <c r="X2812" s="1083">
        <v>42416</v>
      </c>
      <c r="Y2812" s="263" t="s">
        <v>8743</v>
      </c>
      <c r="Z2812" s="1086">
        <v>18139</v>
      </c>
      <c r="AA2812" s="1083">
        <v>42494</v>
      </c>
      <c r="AB2812" s="318" t="s">
        <v>8744</v>
      </c>
      <c r="AD2812" s="1091"/>
      <c r="AE2812" s="1091"/>
      <c r="AF2812" s="1091"/>
      <c r="AG2812" s="318" t="s">
        <v>283</v>
      </c>
    </row>
    <row r="2813" spans="1:33" ht="15.75" customHeight="1">
      <c r="A2813" s="755">
        <v>42415</v>
      </c>
      <c r="B2813" s="338" t="s">
        <v>100</v>
      </c>
      <c r="C2813" s="744" t="s">
        <v>8745</v>
      </c>
      <c r="D2813" s="308" t="s">
        <v>8746</v>
      </c>
      <c r="E2813" s="595" t="s">
        <v>8747</v>
      </c>
      <c r="F2813" s="329">
        <v>6</v>
      </c>
      <c r="G2813" s="1088">
        <v>357</v>
      </c>
      <c r="H2813" s="464">
        <f t="shared" si="181"/>
        <v>2142</v>
      </c>
      <c r="I2813" s="254" t="s">
        <v>170</v>
      </c>
      <c r="J2813" s="331" t="s">
        <v>8461</v>
      </c>
      <c r="K2813" s="811">
        <v>42433</v>
      </c>
      <c r="L2813" s="1477"/>
      <c r="M2813" s="811">
        <v>42432</v>
      </c>
      <c r="N2813" s="267" t="s">
        <v>2001</v>
      </c>
      <c r="O2813" s="263" t="s">
        <v>8748</v>
      </c>
      <c r="P2813" s="1107"/>
      <c r="Q2813" s="318">
        <v>69300</v>
      </c>
      <c r="R2813" s="1410"/>
      <c r="S2813" s="1410"/>
      <c r="U2813" s="386"/>
      <c r="V2813" s="318" t="s">
        <v>5901</v>
      </c>
      <c r="W2813" s="1090">
        <v>42495</v>
      </c>
      <c r="X2813" s="1083">
        <v>42431</v>
      </c>
      <c r="Y2813" s="263" t="s">
        <v>8749</v>
      </c>
      <c r="Z2813" s="1086">
        <v>69300</v>
      </c>
      <c r="AA2813" s="1083">
        <v>42485</v>
      </c>
      <c r="AB2813" s="318" t="s">
        <v>8750</v>
      </c>
      <c r="AD2813" s="1091"/>
      <c r="AE2813" s="1091"/>
      <c r="AF2813" s="1091"/>
      <c r="AG2813" s="318" t="s">
        <v>283</v>
      </c>
    </row>
    <row r="2814" spans="1:33" ht="15.75" customHeight="1">
      <c r="A2814" s="755">
        <v>42417</v>
      </c>
      <c r="B2814" s="592" t="s">
        <v>8751</v>
      </c>
      <c r="C2814" s="744">
        <v>7000119302</v>
      </c>
      <c r="D2814" s="308" t="s">
        <v>8752</v>
      </c>
      <c r="E2814" s="571" t="s">
        <v>8753</v>
      </c>
      <c r="F2814" s="574">
        <v>18</v>
      </c>
      <c r="G2814" s="464">
        <v>130</v>
      </c>
      <c r="H2814" s="464">
        <f t="shared" si="181"/>
        <v>2340</v>
      </c>
      <c r="I2814" s="254" t="s">
        <v>170</v>
      </c>
      <c r="J2814" s="267" t="s">
        <v>6092</v>
      </c>
      <c r="K2814" s="811">
        <v>42430</v>
      </c>
      <c r="L2814" s="1477"/>
      <c r="M2814" s="811">
        <v>42426</v>
      </c>
      <c r="N2814" s="331" t="s">
        <v>3432</v>
      </c>
      <c r="O2814" s="263" t="s">
        <v>8754</v>
      </c>
      <c r="P2814" s="1107"/>
      <c r="Q2814" s="1054">
        <v>72633</v>
      </c>
      <c r="R2814" s="1413"/>
      <c r="S2814" s="1413"/>
      <c r="U2814" s="386"/>
      <c r="V2814" s="318" t="s">
        <v>8443</v>
      </c>
      <c r="W2814" s="1090">
        <v>42526</v>
      </c>
      <c r="X2814" s="1083">
        <v>42426</v>
      </c>
      <c r="Y2814" s="263" t="s">
        <v>8755</v>
      </c>
      <c r="Z2814" s="1086">
        <v>240011</v>
      </c>
      <c r="AA2814" s="1083">
        <v>42494</v>
      </c>
      <c r="AB2814" s="318" t="s">
        <v>8756</v>
      </c>
      <c r="AD2814" s="1091"/>
      <c r="AE2814" s="1091"/>
      <c r="AF2814" s="1091"/>
      <c r="AG2814" s="318" t="s">
        <v>283</v>
      </c>
    </row>
    <row r="2815" spans="1:33" ht="15.75" customHeight="1">
      <c r="A2815" s="755">
        <v>42417</v>
      </c>
      <c r="B2815" s="592" t="s">
        <v>8751</v>
      </c>
      <c r="C2815" s="744">
        <v>7000119302</v>
      </c>
      <c r="D2815" s="308" t="s">
        <v>8752</v>
      </c>
      <c r="E2815" s="571" t="s">
        <v>8757</v>
      </c>
      <c r="F2815" s="574">
        <v>18</v>
      </c>
      <c r="G2815" s="464">
        <v>49</v>
      </c>
      <c r="H2815" s="464">
        <f t="shared" si="181"/>
        <v>882</v>
      </c>
      <c r="I2815" s="254" t="s">
        <v>170</v>
      </c>
      <c r="J2815" s="267" t="s">
        <v>6092</v>
      </c>
      <c r="K2815" s="811">
        <v>42430</v>
      </c>
      <c r="L2815" s="1477"/>
      <c r="M2815" s="811">
        <v>42426</v>
      </c>
      <c r="N2815" s="331" t="s">
        <v>3432</v>
      </c>
      <c r="O2815" s="263" t="s">
        <v>8754</v>
      </c>
      <c r="P2815" s="752"/>
      <c r="Q2815" s="1054">
        <v>29484</v>
      </c>
      <c r="R2815" s="1413"/>
      <c r="S2815" s="1413"/>
      <c r="U2815" s="386"/>
      <c r="V2815" s="318" t="s">
        <v>8443</v>
      </c>
      <c r="W2815" s="1090">
        <v>42526</v>
      </c>
      <c r="X2815" s="1083">
        <v>42426</v>
      </c>
      <c r="Y2815" s="263" t="s">
        <v>8755</v>
      </c>
      <c r="Z2815" s="1086" t="s">
        <v>8758</v>
      </c>
      <c r="AA2815" s="1083">
        <v>42494</v>
      </c>
      <c r="AB2815" s="318" t="s">
        <v>8756</v>
      </c>
      <c r="AD2815" s="1091"/>
      <c r="AE2815" s="1091"/>
      <c r="AF2815" s="1091"/>
      <c r="AG2815" s="318" t="s">
        <v>283</v>
      </c>
    </row>
    <row r="2816" spans="1:33" ht="15.75" customHeight="1">
      <c r="A2816" s="755">
        <v>42417</v>
      </c>
      <c r="B2816" s="592" t="s">
        <v>8751</v>
      </c>
      <c r="C2816" s="744">
        <v>7000119302</v>
      </c>
      <c r="D2816" s="308" t="s">
        <v>8752</v>
      </c>
      <c r="E2816" s="571" t="s">
        <v>8759</v>
      </c>
      <c r="F2816" s="574">
        <v>18</v>
      </c>
      <c r="G2816" s="464">
        <v>246</v>
      </c>
      <c r="H2816" s="464">
        <f t="shared" si="181"/>
        <v>4428</v>
      </c>
      <c r="I2816" s="254" t="s">
        <v>170</v>
      </c>
      <c r="J2816" s="267" t="s">
        <v>6092</v>
      </c>
      <c r="K2816" s="811">
        <v>42430</v>
      </c>
      <c r="L2816" s="1477"/>
      <c r="M2816" s="811">
        <v>42426</v>
      </c>
      <c r="N2816" s="331" t="s">
        <v>3432</v>
      </c>
      <c r="O2816" s="263" t="s">
        <v>8754</v>
      </c>
      <c r="P2816" s="752"/>
      <c r="Q2816" s="1054">
        <v>137894</v>
      </c>
      <c r="R2816" s="1413"/>
      <c r="S2816" s="1413"/>
      <c r="U2816" s="386"/>
      <c r="V2816" s="318" t="s">
        <v>8443</v>
      </c>
      <c r="W2816" s="1090">
        <v>42526</v>
      </c>
      <c r="X2816" s="1083">
        <v>42426</v>
      </c>
      <c r="Y2816" s="263" t="s">
        <v>8755</v>
      </c>
      <c r="Z2816" s="1086" t="s">
        <v>8758</v>
      </c>
      <c r="AA2816" s="1083">
        <v>42494</v>
      </c>
      <c r="AB2816" s="318" t="s">
        <v>8756</v>
      </c>
      <c r="AD2816" s="1091"/>
      <c r="AE2816" s="1091"/>
      <c r="AF2816" s="1091"/>
      <c r="AG2816" s="318" t="s">
        <v>283</v>
      </c>
    </row>
    <row r="2817" spans="1:33" ht="15.75" customHeight="1">
      <c r="A2817" s="755">
        <v>42417</v>
      </c>
      <c r="B2817" s="592" t="s">
        <v>8751</v>
      </c>
      <c r="C2817" s="744">
        <v>7000119302</v>
      </c>
      <c r="D2817" s="308" t="s">
        <v>8760</v>
      </c>
      <c r="E2817" s="571" t="s">
        <v>8753</v>
      </c>
      <c r="F2817" s="574">
        <v>6</v>
      </c>
      <c r="G2817" s="464">
        <v>130</v>
      </c>
      <c r="H2817" s="464">
        <f t="shared" si="181"/>
        <v>780</v>
      </c>
      <c r="I2817" s="254" t="s">
        <v>170</v>
      </c>
      <c r="J2817" s="267" t="s">
        <v>6092</v>
      </c>
      <c r="K2817" s="811">
        <v>42436</v>
      </c>
      <c r="L2817" s="1477"/>
      <c r="M2817" s="829">
        <v>42433</v>
      </c>
      <c r="N2817" s="331" t="s">
        <v>3432</v>
      </c>
      <c r="O2817" s="263" t="s">
        <v>8754</v>
      </c>
      <c r="P2817" s="752"/>
      <c r="Q2817" s="1054">
        <f>3843*1.05*6</f>
        <v>24210.9</v>
      </c>
      <c r="R2817" s="1413"/>
      <c r="S2817" s="1413"/>
      <c r="U2817" s="386"/>
      <c r="V2817" s="318" t="s">
        <v>8443</v>
      </c>
      <c r="W2817" s="1090">
        <v>42526</v>
      </c>
      <c r="X2817" s="1083">
        <v>42432</v>
      </c>
      <c r="Y2817" s="263" t="s">
        <v>8761</v>
      </c>
      <c r="Z2817" s="1086">
        <v>80004</v>
      </c>
      <c r="AA2817" s="1083">
        <v>42494</v>
      </c>
      <c r="AB2817" s="318" t="s">
        <v>8762</v>
      </c>
      <c r="AD2817" s="1091"/>
      <c r="AE2817" s="1091"/>
      <c r="AF2817" s="1091"/>
      <c r="AG2817" s="318" t="s">
        <v>283</v>
      </c>
    </row>
    <row r="2818" spans="1:33" ht="15.75" customHeight="1">
      <c r="A2818" s="755">
        <v>42417</v>
      </c>
      <c r="B2818" s="592" t="s">
        <v>8751</v>
      </c>
      <c r="C2818" s="744">
        <v>7000119302</v>
      </c>
      <c r="D2818" s="308" t="s">
        <v>8760</v>
      </c>
      <c r="E2818" s="571" t="s">
        <v>8757</v>
      </c>
      <c r="F2818" s="574">
        <v>6</v>
      </c>
      <c r="G2818" s="464">
        <v>49</v>
      </c>
      <c r="H2818" s="464">
        <f t="shared" si="181"/>
        <v>294</v>
      </c>
      <c r="I2818" s="254" t="s">
        <v>170</v>
      </c>
      <c r="J2818" s="267" t="s">
        <v>6092</v>
      </c>
      <c r="K2818" s="811">
        <v>42436</v>
      </c>
      <c r="L2818" s="1477"/>
      <c r="M2818" s="829">
        <v>42433</v>
      </c>
      <c r="N2818" s="331" t="s">
        <v>3432</v>
      </c>
      <c r="O2818" s="263" t="s">
        <v>8754</v>
      </c>
      <c r="P2818" s="752"/>
      <c r="Q2818" s="1054">
        <f>1560*6*1.05</f>
        <v>9828</v>
      </c>
      <c r="R2818" s="1413"/>
      <c r="S2818" s="1413"/>
      <c r="U2818" s="386"/>
      <c r="V2818" s="318" t="s">
        <v>8443</v>
      </c>
      <c r="W2818" s="1090">
        <v>42526</v>
      </c>
      <c r="X2818" s="1083">
        <v>42432</v>
      </c>
      <c r="Y2818" s="263" t="s">
        <v>8761</v>
      </c>
      <c r="Z2818" s="1086" t="s">
        <v>8763</v>
      </c>
      <c r="AA2818" s="1083">
        <v>42494</v>
      </c>
      <c r="AB2818" s="318" t="s">
        <v>8762</v>
      </c>
      <c r="AD2818" s="1091"/>
      <c r="AE2818" s="1091"/>
      <c r="AF2818" s="1091"/>
      <c r="AG2818" s="318" t="s">
        <v>283</v>
      </c>
    </row>
    <row r="2819" spans="1:33" ht="15.75" customHeight="1">
      <c r="A2819" s="755">
        <v>42417</v>
      </c>
      <c r="B2819" s="592" t="s">
        <v>8751</v>
      </c>
      <c r="C2819" s="744">
        <v>7000119302</v>
      </c>
      <c r="D2819" s="308" t="s">
        <v>8760</v>
      </c>
      <c r="E2819" s="571" t="s">
        <v>8759</v>
      </c>
      <c r="F2819" s="574">
        <v>6</v>
      </c>
      <c r="G2819" s="464">
        <v>246</v>
      </c>
      <c r="H2819" s="464">
        <f t="shared" si="181"/>
        <v>1476</v>
      </c>
      <c r="I2819" s="254" t="s">
        <v>170</v>
      </c>
      <c r="J2819" s="267" t="s">
        <v>6092</v>
      </c>
      <c r="K2819" s="811">
        <v>42436</v>
      </c>
      <c r="L2819" s="1477"/>
      <c r="M2819" s="829">
        <v>42433</v>
      </c>
      <c r="N2819" s="331" t="s">
        <v>3432</v>
      </c>
      <c r="O2819" s="263" t="s">
        <v>8754</v>
      </c>
      <c r="P2819" s="752"/>
      <c r="Q2819" s="1054">
        <f>7296*6*1.05</f>
        <v>45964.800000000003</v>
      </c>
      <c r="R2819" s="1413"/>
      <c r="S2819" s="1413"/>
      <c r="U2819" s="386"/>
      <c r="V2819" s="318" t="s">
        <v>8443</v>
      </c>
      <c r="W2819" s="1090">
        <v>42526</v>
      </c>
      <c r="X2819" s="1083">
        <v>42432</v>
      </c>
      <c r="Y2819" s="263" t="s">
        <v>8761</v>
      </c>
      <c r="Z2819" s="1086" t="s">
        <v>8763</v>
      </c>
      <c r="AA2819" s="1083">
        <v>42494</v>
      </c>
      <c r="AB2819" s="318" t="s">
        <v>8762</v>
      </c>
      <c r="AD2819" s="1091"/>
      <c r="AE2819" s="1091"/>
      <c r="AF2819" s="1091"/>
      <c r="AG2819" s="318" t="s">
        <v>283</v>
      </c>
    </row>
    <row r="2820" spans="1:33" ht="15.75" customHeight="1">
      <c r="A2820" s="755">
        <v>42418</v>
      </c>
      <c r="B2820" s="338" t="s">
        <v>100</v>
      </c>
      <c r="C2820" s="744" t="s">
        <v>8764</v>
      </c>
      <c r="D2820" s="308" t="s">
        <v>8765</v>
      </c>
      <c r="E2820" s="571" t="s">
        <v>8766</v>
      </c>
      <c r="F2820" s="574">
        <v>1</v>
      </c>
      <c r="G2820" s="464">
        <v>474</v>
      </c>
      <c r="H2820" s="464">
        <f t="shared" si="181"/>
        <v>474</v>
      </c>
      <c r="I2820" s="254" t="s">
        <v>170</v>
      </c>
      <c r="J2820" s="331" t="s">
        <v>8461</v>
      </c>
      <c r="K2820" s="811">
        <v>42422</v>
      </c>
      <c r="L2820" s="1477"/>
      <c r="M2820" s="829">
        <v>42422</v>
      </c>
      <c r="N2820" s="264" t="s">
        <v>1414</v>
      </c>
      <c r="O2820" s="263" t="s">
        <v>8767</v>
      </c>
      <c r="P2820" s="752"/>
      <c r="Q2820" s="1054">
        <v>14700</v>
      </c>
      <c r="R2820" s="1413"/>
      <c r="S2820" s="1413"/>
      <c r="U2820" s="386"/>
      <c r="V2820" s="386" t="s">
        <v>8467</v>
      </c>
      <c r="W2820" s="1090">
        <v>42433</v>
      </c>
      <c r="X2820" s="1083">
        <v>42419</v>
      </c>
      <c r="Y2820" s="263" t="s">
        <v>8768</v>
      </c>
      <c r="Z2820" s="1086">
        <v>16433</v>
      </c>
      <c r="AA2820" s="1095">
        <v>42433</v>
      </c>
      <c r="AB2820" s="318" t="s">
        <v>8678</v>
      </c>
      <c r="AD2820" s="1091"/>
      <c r="AE2820" s="1091"/>
      <c r="AF2820" s="1091"/>
      <c r="AG2820" s="318" t="s">
        <v>8415</v>
      </c>
    </row>
    <row r="2821" spans="1:33" ht="15.75" customHeight="1">
      <c r="A2821" s="755">
        <v>42418</v>
      </c>
      <c r="B2821" s="338" t="s">
        <v>100</v>
      </c>
      <c r="C2821" s="744" t="s">
        <v>8764</v>
      </c>
      <c r="D2821" s="308" t="s">
        <v>8765</v>
      </c>
      <c r="E2821" s="571" t="s">
        <v>8769</v>
      </c>
      <c r="F2821" s="574">
        <v>1</v>
      </c>
      <c r="G2821" s="464">
        <v>38</v>
      </c>
      <c r="H2821" s="464">
        <f t="shared" si="181"/>
        <v>38</v>
      </c>
      <c r="I2821" s="254" t="s">
        <v>170</v>
      </c>
      <c r="J2821" s="331" t="s">
        <v>8461</v>
      </c>
      <c r="K2821" s="811">
        <v>42422</v>
      </c>
      <c r="L2821" s="1477"/>
      <c r="M2821" s="829">
        <v>42422</v>
      </c>
      <c r="N2821" s="264" t="s">
        <v>1414</v>
      </c>
      <c r="O2821" s="263" t="s">
        <v>8767</v>
      </c>
      <c r="P2821" s="752"/>
      <c r="Q2821" s="318">
        <v>840</v>
      </c>
      <c r="R2821" s="1410"/>
      <c r="S2821" s="1410"/>
      <c r="U2821" s="386"/>
      <c r="V2821" s="386" t="s">
        <v>8467</v>
      </c>
      <c r="W2821" s="1090">
        <v>42433</v>
      </c>
      <c r="X2821" s="1083">
        <v>42419</v>
      </c>
      <c r="Y2821" s="263" t="s">
        <v>8768</v>
      </c>
      <c r="Z2821" s="1086" t="s">
        <v>8770</v>
      </c>
      <c r="AA2821" s="1095">
        <v>42433</v>
      </c>
      <c r="AB2821" s="318" t="s">
        <v>8678</v>
      </c>
      <c r="AD2821" s="1091"/>
      <c r="AE2821" s="1091"/>
      <c r="AF2821" s="1091"/>
      <c r="AG2821" s="318" t="s">
        <v>8415</v>
      </c>
    </row>
    <row r="2822" spans="1:33" ht="15.75" customHeight="1">
      <c r="A2822" s="755">
        <v>42418</v>
      </c>
      <c r="B2822" s="338" t="s">
        <v>100</v>
      </c>
      <c r="C2822" s="744" t="s">
        <v>8764</v>
      </c>
      <c r="D2822" s="308" t="s">
        <v>8765</v>
      </c>
      <c r="E2822" s="571" t="s">
        <v>8771</v>
      </c>
      <c r="F2822" s="574">
        <v>1</v>
      </c>
      <c r="G2822" s="464">
        <v>27</v>
      </c>
      <c r="H2822" s="464">
        <f t="shared" si="181"/>
        <v>27</v>
      </c>
      <c r="I2822" s="254" t="s">
        <v>170</v>
      </c>
      <c r="J2822" s="331" t="s">
        <v>8461</v>
      </c>
      <c r="K2822" s="811">
        <v>42422</v>
      </c>
      <c r="L2822" s="1477"/>
      <c r="M2822" s="829">
        <v>42422</v>
      </c>
      <c r="N2822" s="264" t="s">
        <v>1414</v>
      </c>
      <c r="O2822" s="263" t="s">
        <v>8767</v>
      </c>
      <c r="P2822" s="752"/>
      <c r="Q2822" s="318">
        <v>714</v>
      </c>
      <c r="R2822" s="1410"/>
      <c r="S2822" s="1410"/>
      <c r="U2822" s="386"/>
      <c r="V2822" s="386" t="s">
        <v>8467</v>
      </c>
      <c r="W2822" s="1090">
        <v>42433</v>
      </c>
      <c r="X2822" s="1083">
        <v>42419</v>
      </c>
      <c r="Y2822" s="263" t="s">
        <v>8768</v>
      </c>
      <c r="Z2822" s="1086" t="s">
        <v>8770</v>
      </c>
      <c r="AA2822" s="1095">
        <v>42433</v>
      </c>
      <c r="AB2822" s="318" t="s">
        <v>8678</v>
      </c>
      <c r="AD2822" s="1091"/>
      <c r="AE2822" s="1091"/>
      <c r="AF2822" s="1091"/>
      <c r="AG2822" s="318" t="s">
        <v>8415</v>
      </c>
    </row>
    <row r="2823" spans="1:33" ht="15.75" customHeight="1">
      <c r="A2823" s="755">
        <v>42418</v>
      </c>
      <c r="B2823" s="338" t="s">
        <v>100</v>
      </c>
      <c r="C2823" s="744" t="s">
        <v>8764</v>
      </c>
      <c r="D2823" s="308" t="s">
        <v>8765</v>
      </c>
      <c r="E2823" s="571" t="s">
        <v>8772</v>
      </c>
      <c r="F2823" s="574">
        <v>1</v>
      </c>
      <c r="G2823" s="464">
        <v>7</v>
      </c>
      <c r="H2823" s="464">
        <f t="shared" si="181"/>
        <v>7</v>
      </c>
      <c r="I2823" s="254" t="s">
        <v>170</v>
      </c>
      <c r="J2823" s="331" t="s">
        <v>8461</v>
      </c>
      <c r="K2823" s="811">
        <v>42422</v>
      </c>
      <c r="L2823" s="1477"/>
      <c r="M2823" s="829">
        <v>42422</v>
      </c>
      <c r="N2823" s="264" t="s">
        <v>1414</v>
      </c>
      <c r="O2823" s="263" t="s">
        <v>8767</v>
      </c>
      <c r="P2823" s="752"/>
      <c r="Q2823" s="318">
        <v>179</v>
      </c>
      <c r="R2823" s="1410"/>
      <c r="S2823" s="1410"/>
      <c r="U2823" s="386"/>
      <c r="V2823" s="386" t="s">
        <v>8467</v>
      </c>
      <c r="W2823" s="1090">
        <v>42433</v>
      </c>
      <c r="X2823" s="1083">
        <v>42419</v>
      </c>
      <c r="Y2823" s="263" t="s">
        <v>8768</v>
      </c>
      <c r="Z2823" s="1086" t="s">
        <v>8770</v>
      </c>
      <c r="AA2823" s="1095">
        <v>42433</v>
      </c>
      <c r="AB2823" s="318" t="s">
        <v>8678</v>
      </c>
      <c r="AD2823" s="1091"/>
      <c r="AE2823" s="1091"/>
      <c r="AF2823" s="1091"/>
      <c r="AG2823" s="318" t="s">
        <v>8415</v>
      </c>
    </row>
    <row r="2824" spans="1:33" ht="15.75" customHeight="1">
      <c r="A2824" s="755">
        <v>42418</v>
      </c>
      <c r="B2824" s="338" t="s">
        <v>100</v>
      </c>
      <c r="C2824" s="744" t="s">
        <v>8773</v>
      </c>
      <c r="D2824" s="308" t="s">
        <v>8774</v>
      </c>
      <c r="E2824" s="571" t="s">
        <v>8775</v>
      </c>
      <c r="F2824" s="574">
        <v>1</v>
      </c>
      <c r="G2824" s="464">
        <v>405</v>
      </c>
      <c r="H2824" s="464">
        <f t="shared" si="181"/>
        <v>405</v>
      </c>
      <c r="I2824" s="254" t="s">
        <v>170</v>
      </c>
      <c r="J2824" s="331" t="s">
        <v>8461</v>
      </c>
      <c r="K2824" s="811">
        <v>42439</v>
      </c>
      <c r="L2824" s="1477"/>
      <c r="M2824" s="811">
        <v>42438</v>
      </c>
      <c r="N2824" s="264" t="s">
        <v>1414</v>
      </c>
      <c r="O2824" s="263" t="s">
        <v>8776</v>
      </c>
      <c r="P2824" s="752"/>
      <c r="Q2824" s="1054">
        <v>12474</v>
      </c>
      <c r="R2824" s="1413"/>
      <c r="S2824" s="1413"/>
      <c r="U2824" s="386"/>
      <c r="V2824" s="386" t="s">
        <v>8467</v>
      </c>
      <c r="W2824" s="1090">
        <v>42433</v>
      </c>
      <c r="X2824" s="1083">
        <v>42437</v>
      </c>
      <c r="Y2824" s="263" t="s">
        <v>8777</v>
      </c>
      <c r="Z2824" s="1086">
        <v>14207</v>
      </c>
      <c r="AA2824" s="1095">
        <v>42433</v>
      </c>
      <c r="AB2824" s="318" t="s">
        <v>8778</v>
      </c>
      <c r="AD2824" s="1091"/>
      <c r="AE2824" s="1091"/>
      <c r="AF2824" s="1091"/>
      <c r="AG2824" s="318" t="s">
        <v>283</v>
      </c>
    </row>
    <row r="2825" spans="1:33" ht="15.75" customHeight="1">
      <c r="A2825" s="755">
        <v>42418</v>
      </c>
      <c r="B2825" s="338" t="s">
        <v>100</v>
      </c>
      <c r="C2825" s="744" t="s">
        <v>8773</v>
      </c>
      <c r="D2825" s="308" t="s">
        <v>8774</v>
      </c>
      <c r="E2825" s="571" t="s">
        <v>8769</v>
      </c>
      <c r="F2825" s="574">
        <v>1</v>
      </c>
      <c r="G2825" s="464">
        <v>38</v>
      </c>
      <c r="H2825" s="464">
        <f t="shared" si="181"/>
        <v>38</v>
      </c>
      <c r="I2825" s="254" t="s">
        <v>170</v>
      </c>
      <c r="J2825" s="331" t="s">
        <v>8461</v>
      </c>
      <c r="K2825" s="811">
        <v>42439</v>
      </c>
      <c r="L2825" s="1477"/>
      <c r="M2825" s="811">
        <v>42438</v>
      </c>
      <c r="N2825" s="264" t="s">
        <v>1414</v>
      </c>
      <c r="O2825" s="263" t="s">
        <v>8776</v>
      </c>
      <c r="P2825" s="752"/>
      <c r="Q2825" s="318">
        <v>840</v>
      </c>
      <c r="R2825" s="1410"/>
      <c r="S2825" s="1410"/>
      <c r="U2825" s="386"/>
      <c r="V2825" s="386" t="s">
        <v>8467</v>
      </c>
      <c r="W2825" s="1090">
        <v>42433</v>
      </c>
      <c r="X2825" s="1083">
        <v>42437</v>
      </c>
      <c r="Y2825" s="263" t="s">
        <v>8777</v>
      </c>
      <c r="Z2825" s="1086" t="s">
        <v>8779</v>
      </c>
      <c r="AA2825" s="1095">
        <v>42433</v>
      </c>
      <c r="AB2825" s="318" t="s">
        <v>8778</v>
      </c>
      <c r="AD2825" s="1091"/>
      <c r="AE2825" s="1091"/>
      <c r="AF2825" s="1091"/>
      <c r="AG2825" s="318" t="s">
        <v>283</v>
      </c>
    </row>
    <row r="2826" spans="1:33" ht="15.75" customHeight="1">
      <c r="A2826" s="755">
        <v>42418</v>
      </c>
      <c r="B2826" s="338" t="s">
        <v>100</v>
      </c>
      <c r="C2826" s="744" t="s">
        <v>8773</v>
      </c>
      <c r="D2826" s="308" t="s">
        <v>8774</v>
      </c>
      <c r="E2826" s="571" t="s">
        <v>8771</v>
      </c>
      <c r="F2826" s="574">
        <v>1</v>
      </c>
      <c r="G2826" s="464">
        <v>27</v>
      </c>
      <c r="H2826" s="464">
        <f t="shared" si="181"/>
        <v>27</v>
      </c>
      <c r="I2826" s="254" t="s">
        <v>170</v>
      </c>
      <c r="J2826" s="331" t="s">
        <v>8461</v>
      </c>
      <c r="K2826" s="811">
        <v>42439</v>
      </c>
      <c r="L2826" s="1477"/>
      <c r="M2826" s="811">
        <v>42438</v>
      </c>
      <c r="N2826" s="264" t="s">
        <v>1414</v>
      </c>
      <c r="O2826" s="263" t="s">
        <v>8776</v>
      </c>
      <c r="P2826" s="752"/>
      <c r="Q2826" s="318">
        <v>714</v>
      </c>
      <c r="R2826" s="1410"/>
      <c r="S2826" s="1410"/>
      <c r="U2826" s="386"/>
      <c r="V2826" s="386" t="s">
        <v>8467</v>
      </c>
      <c r="W2826" s="1090">
        <v>42433</v>
      </c>
      <c r="X2826" s="1083">
        <v>42437</v>
      </c>
      <c r="Y2826" s="263" t="s">
        <v>8777</v>
      </c>
      <c r="Z2826" s="1086" t="s">
        <v>8779</v>
      </c>
      <c r="AA2826" s="1095">
        <v>42433</v>
      </c>
      <c r="AB2826" s="318" t="s">
        <v>8778</v>
      </c>
      <c r="AD2826" s="1091"/>
      <c r="AE2826" s="1091"/>
      <c r="AF2826" s="1091"/>
      <c r="AG2826" s="318" t="s">
        <v>283</v>
      </c>
    </row>
    <row r="2827" spans="1:33" ht="15.75" customHeight="1">
      <c r="A2827" s="755">
        <v>42418</v>
      </c>
      <c r="B2827" s="338" t="s">
        <v>100</v>
      </c>
      <c r="C2827" s="744" t="s">
        <v>8773</v>
      </c>
      <c r="D2827" s="308" t="s">
        <v>8774</v>
      </c>
      <c r="E2827" s="571" t="s">
        <v>8772</v>
      </c>
      <c r="F2827" s="574">
        <v>1</v>
      </c>
      <c r="G2827" s="464">
        <v>7</v>
      </c>
      <c r="H2827" s="464">
        <f t="shared" si="181"/>
        <v>7</v>
      </c>
      <c r="I2827" s="254" t="s">
        <v>170</v>
      </c>
      <c r="J2827" s="331" t="s">
        <v>8461</v>
      </c>
      <c r="K2827" s="811">
        <v>42439</v>
      </c>
      <c r="L2827" s="1477"/>
      <c r="M2827" s="811">
        <v>42438</v>
      </c>
      <c r="N2827" s="264" t="s">
        <v>1414</v>
      </c>
      <c r="O2827" s="263" t="s">
        <v>8776</v>
      </c>
      <c r="P2827" s="752"/>
      <c r="Q2827" s="318">
        <v>179</v>
      </c>
      <c r="R2827" s="1410"/>
      <c r="S2827" s="1410"/>
      <c r="U2827" s="386"/>
      <c r="V2827" s="386" t="s">
        <v>8467</v>
      </c>
      <c r="W2827" s="1090">
        <v>42433</v>
      </c>
      <c r="X2827" s="1083">
        <v>42437</v>
      </c>
      <c r="Y2827" s="263" t="s">
        <v>8777</v>
      </c>
      <c r="Z2827" s="1086" t="s">
        <v>8779</v>
      </c>
      <c r="AA2827" s="1095">
        <v>42433</v>
      </c>
      <c r="AB2827" s="318" t="s">
        <v>8778</v>
      </c>
      <c r="AD2827" s="1091"/>
      <c r="AE2827" s="1091"/>
      <c r="AF2827" s="1091"/>
      <c r="AG2827" s="318" t="s">
        <v>283</v>
      </c>
    </row>
    <row r="2828" spans="1:33" ht="15.75" customHeight="1">
      <c r="A2828" s="755">
        <v>42418</v>
      </c>
      <c r="B2828" s="338" t="s">
        <v>76</v>
      </c>
      <c r="C2828" s="744">
        <v>55</v>
      </c>
      <c r="D2828" s="308" t="s">
        <v>8780</v>
      </c>
      <c r="E2828" s="571" t="s">
        <v>8781</v>
      </c>
      <c r="F2828" s="574">
        <v>2</v>
      </c>
      <c r="G2828" s="464">
        <v>146</v>
      </c>
      <c r="H2828" s="464">
        <f t="shared" si="181"/>
        <v>292</v>
      </c>
      <c r="I2828" s="254" t="s">
        <v>170</v>
      </c>
      <c r="J2828" s="267" t="s">
        <v>315</v>
      </c>
      <c r="K2828" s="811">
        <v>42457</v>
      </c>
      <c r="L2828" s="1477"/>
      <c r="M2828" s="811">
        <v>42451</v>
      </c>
      <c r="N2828" s="331" t="s">
        <v>8782</v>
      </c>
      <c r="O2828" s="263" t="s">
        <v>8783</v>
      </c>
      <c r="P2828" s="752"/>
      <c r="Q2828" s="318">
        <f>283.5*32.9</f>
        <v>9327.15</v>
      </c>
      <c r="R2828" s="1410"/>
      <c r="S2828" s="1410"/>
      <c r="U2828" s="386"/>
      <c r="V2828" s="318" t="s">
        <v>8784</v>
      </c>
      <c r="W2828" s="1090">
        <v>42447</v>
      </c>
      <c r="X2828" s="1083">
        <v>42450</v>
      </c>
      <c r="Y2828" s="263" t="s">
        <v>8785</v>
      </c>
      <c r="Z2828" s="1086">
        <v>9328</v>
      </c>
      <c r="AA2828" s="1083">
        <v>42447</v>
      </c>
      <c r="AB2828" s="318" t="s">
        <v>8786</v>
      </c>
      <c r="AD2828" s="1091"/>
      <c r="AE2828" s="1091"/>
      <c r="AF2828" s="1091"/>
      <c r="AG2828" s="318" t="s">
        <v>283</v>
      </c>
    </row>
    <row r="2829" spans="1:33" ht="15.75" customHeight="1">
      <c r="A2829" s="755">
        <v>42418</v>
      </c>
      <c r="B2829" s="338" t="s">
        <v>76</v>
      </c>
      <c r="C2829" s="744">
        <v>132</v>
      </c>
      <c r="D2829" s="308" t="s">
        <v>8787</v>
      </c>
      <c r="E2829" s="571" t="s">
        <v>8788</v>
      </c>
      <c r="F2829" s="574">
        <v>10</v>
      </c>
      <c r="G2829" s="464">
        <v>3</v>
      </c>
      <c r="H2829" s="464">
        <f t="shared" si="181"/>
        <v>30</v>
      </c>
      <c r="I2829" s="254" t="s">
        <v>170</v>
      </c>
      <c r="J2829" s="267" t="s">
        <v>315</v>
      </c>
      <c r="K2829" s="811">
        <v>42426</v>
      </c>
      <c r="L2829" s="1477"/>
      <c r="M2829" s="811">
        <v>42424</v>
      </c>
      <c r="N2829" s="331" t="s">
        <v>1967</v>
      </c>
      <c r="O2829" s="263" t="s">
        <v>8789</v>
      </c>
      <c r="P2829" s="752"/>
      <c r="Q2829" s="318">
        <v>872</v>
      </c>
      <c r="R2829" s="1410"/>
      <c r="S2829" s="1410"/>
      <c r="U2829" s="386"/>
      <c r="V2829" s="318" t="s">
        <v>1969</v>
      </c>
      <c r="W2829" s="1090">
        <v>42452</v>
      </c>
      <c r="X2829" s="1083">
        <v>42423</v>
      </c>
      <c r="Y2829" s="263" t="s">
        <v>8790</v>
      </c>
      <c r="Z2829" s="1086">
        <v>872</v>
      </c>
      <c r="AA2829" s="1083">
        <v>42436</v>
      </c>
      <c r="AB2829" s="318" t="s">
        <v>8662</v>
      </c>
      <c r="AD2829" s="1091"/>
      <c r="AE2829" s="1091"/>
      <c r="AF2829" s="1091"/>
      <c r="AG2829" s="318" t="s">
        <v>8415</v>
      </c>
    </row>
    <row r="2830" spans="1:33" ht="15.75" customHeight="1">
      <c r="A2830" s="755">
        <v>42421</v>
      </c>
      <c r="B2830" s="571" t="s">
        <v>8502</v>
      </c>
      <c r="C2830" s="744" t="s">
        <v>8791</v>
      </c>
      <c r="D2830" s="308" t="s">
        <v>8792</v>
      </c>
      <c r="E2830" s="328" t="s">
        <v>8505</v>
      </c>
      <c r="F2830" s="574">
        <v>1</v>
      </c>
      <c r="G2830" s="464">
        <v>101.85</v>
      </c>
      <c r="H2830" s="464">
        <f t="shared" si="181"/>
        <v>101.85</v>
      </c>
      <c r="I2830" s="254" t="s">
        <v>170</v>
      </c>
      <c r="J2830" s="331" t="s">
        <v>89</v>
      </c>
      <c r="K2830" s="811">
        <v>42425</v>
      </c>
      <c r="L2830" s="1477"/>
      <c r="M2830" s="811"/>
      <c r="N2830" s="331" t="s">
        <v>89</v>
      </c>
      <c r="O2830" s="263" t="s">
        <v>8793</v>
      </c>
      <c r="P2830" s="752">
        <v>89.25</v>
      </c>
      <c r="Q2830" s="386"/>
      <c r="R2830" s="1407"/>
      <c r="S2830" s="1407"/>
      <c r="U2830" s="386"/>
      <c r="V2830" s="318" t="s">
        <v>5896</v>
      </c>
      <c r="W2830" s="1090"/>
      <c r="X2830" s="1083">
        <v>42423</v>
      </c>
      <c r="Y2830" s="263" t="s">
        <v>8794</v>
      </c>
      <c r="Z2830" s="1086">
        <v>2942</v>
      </c>
      <c r="AA2830" s="1083">
        <v>42453</v>
      </c>
      <c r="AB2830" s="318" t="s">
        <v>8795</v>
      </c>
      <c r="AD2830" s="592" t="s">
        <v>8796</v>
      </c>
      <c r="AE2830" s="386">
        <v>6596</v>
      </c>
      <c r="AF2830" s="1091"/>
      <c r="AG2830" s="1092"/>
    </row>
    <row r="2831" spans="1:33" ht="15.75" customHeight="1">
      <c r="A2831" s="755">
        <v>42422</v>
      </c>
      <c r="B2831" s="571" t="s">
        <v>8502</v>
      </c>
      <c r="C2831" s="744" t="s">
        <v>8797</v>
      </c>
      <c r="D2831" s="308" t="s">
        <v>8798</v>
      </c>
      <c r="E2831" s="328" t="s">
        <v>8799</v>
      </c>
      <c r="F2831" s="574">
        <v>3</v>
      </c>
      <c r="G2831" s="464">
        <v>32.130000000000003</v>
      </c>
      <c r="H2831" s="464">
        <f t="shared" si="181"/>
        <v>96.390000000000015</v>
      </c>
      <c r="I2831" s="254" t="s">
        <v>170</v>
      </c>
      <c r="J2831" s="331" t="s">
        <v>89</v>
      </c>
      <c r="K2831" s="811">
        <v>42425</v>
      </c>
      <c r="L2831" s="1477"/>
      <c r="M2831" s="811"/>
      <c r="N2831" s="331" t="s">
        <v>89</v>
      </c>
      <c r="O2831" s="263" t="s">
        <v>8800</v>
      </c>
      <c r="P2831" s="752">
        <v>81.900000000000006</v>
      </c>
      <c r="Q2831" s="386"/>
      <c r="R2831" s="1407"/>
      <c r="S2831" s="1407"/>
      <c r="U2831" s="386"/>
      <c r="V2831" s="318" t="s">
        <v>5896</v>
      </c>
      <c r="W2831" s="1090"/>
      <c r="X2831" s="1083">
        <v>42424</v>
      </c>
      <c r="Y2831" s="263" t="s">
        <v>8801</v>
      </c>
      <c r="Z2831" s="1086">
        <v>2700</v>
      </c>
      <c r="AA2831" s="1083">
        <v>42453</v>
      </c>
      <c r="AB2831" s="318" t="s">
        <v>8795</v>
      </c>
      <c r="AD2831" s="592" t="s">
        <v>8796</v>
      </c>
      <c r="AE2831" s="1088" t="s">
        <v>8802</v>
      </c>
      <c r="AF2831" s="1091"/>
      <c r="AG2831" s="1092"/>
    </row>
    <row r="2832" spans="1:33" ht="15.75" customHeight="1">
      <c r="A2832" s="743">
        <v>42424</v>
      </c>
      <c r="B2832" s="592" t="s">
        <v>53</v>
      </c>
      <c r="C2832" s="744" t="s">
        <v>8803</v>
      </c>
      <c r="D2832" s="328" t="s">
        <v>8804</v>
      </c>
      <c r="E2832" s="571" t="s">
        <v>8805</v>
      </c>
      <c r="F2832" s="329">
        <v>15</v>
      </c>
      <c r="G2832" s="323">
        <v>150.15</v>
      </c>
      <c r="H2832" s="464">
        <f t="shared" si="181"/>
        <v>2252.25</v>
      </c>
      <c r="I2832" s="254" t="s">
        <v>8429</v>
      </c>
      <c r="J2832" s="267" t="s">
        <v>89</v>
      </c>
      <c r="K2832" s="811">
        <v>42450</v>
      </c>
      <c r="L2832" s="1477"/>
      <c r="M2832" s="811"/>
      <c r="N2832" s="331" t="s">
        <v>89</v>
      </c>
      <c r="O2832" s="263" t="s">
        <v>8806</v>
      </c>
      <c r="P2832" s="752">
        <v>2016</v>
      </c>
      <c r="Q2832" s="386"/>
      <c r="R2832" s="1407"/>
      <c r="S2832" s="1407"/>
      <c r="U2832" s="386"/>
      <c r="V2832" s="318" t="s">
        <v>5896</v>
      </c>
      <c r="W2832" s="1090"/>
      <c r="X2832" s="1083">
        <v>42450</v>
      </c>
      <c r="Y2832" s="263" t="s">
        <v>8807</v>
      </c>
      <c r="Z2832" s="1086">
        <v>62413</v>
      </c>
      <c r="AA2832" s="1083">
        <v>42453</v>
      </c>
      <c r="AB2832" s="318" t="s">
        <v>8808</v>
      </c>
      <c r="AD2832" s="386" t="s">
        <v>8809</v>
      </c>
      <c r="AE2832" s="1097">
        <v>73243</v>
      </c>
      <c r="AF2832" s="386"/>
      <c r="AG2832" s="318" t="s">
        <v>283</v>
      </c>
    </row>
    <row r="2833" spans="1:33" ht="15.75" customHeight="1">
      <c r="A2833" s="755">
        <v>42425</v>
      </c>
      <c r="B2833" s="592" t="s">
        <v>6060</v>
      </c>
      <c r="C2833" s="744"/>
      <c r="D2833" s="308" t="s">
        <v>8810</v>
      </c>
      <c r="E2833" s="571" t="s">
        <v>8811</v>
      </c>
      <c r="F2833" s="574">
        <v>2</v>
      </c>
      <c r="G2833" s="464">
        <v>253</v>
      </c>
      <c r="H2833" s="464">
        <f t="shared" si="181"/>
        <v>506</v>
      </c>
      <c r="I2833" s="254" t="s">
        <v>170</v>
      </c>
      <c r="J2833" s="331" t="s">
        <v>8812</v>
      </c>
      <c r="K2833" s="811">
        <v>42457</v>
      </c>
      <c r="L2833" s="1477"/>
      <c r="M2833" s="811">
        <v>42453</v>
      </c>
      <c r="N2833" s="331" t="s">
        <v>89</v>
      </c>
      <c r="O2833" s="263" t="s">
        <v>8813</v>
      </c>
      <c r="P2833" s="752">
        <v>614.25</v>
      </c>
      <c r="Q2833" s="386"/>
      <c r="R2833" s="1407"/>
      <c r="S2833" s="1407"/>
      <c r="U2833" s="386"/>
      <c r="V2833" s="318" t="s">
        <v>5896</v>
      </c>
      <c r="W2833" s="1090"/>
      <c r="X2833" s="1083">
        <v>42453</v>
      </c>
      <c r="Y2833" s="263" t="s">
        <v>8814</v>
      </c>
      <c r="Z2833" s="1086">
        <v>32359</v>
      </c>
      <c r="AA2833" s="1083">
        <v>42471</v>
      </c>
      <c r="AB2833" s="318" t="s">
        <v>8815</v>
      </c>
      <c r="AD2833" s="1091"/>
      <c r="AE2833" s="1091"/>
      <c r="AF2833" s="1091"/>
      <c r="AG2833" s="318" t="s">
        <v>283</v>
      </c>
    </row>
    <row r="2834" spans="1:33" ht="15.75" customHeight="1">
      <c r="A2834" s="755">
        <v>42425</v>
      </c>
      <c r="B2834" s="592" t="s">
        <v>6060</v>
      </c>
      <c r="C2834" s="744"/>
      <c r="D2834" s="308" t="s">
        <v>8810</v>
      </c>
      <c r="E2834" s="571" t="s">
        <v>8816</v>
      </c>
      <c r="F2834" s="574">
        <v>2</v>
      </c>
      <c r="G2834" s="464">
        <v>88</v>
      </c>
      <c r="H2834" s="464">
        <f t="shared" si="181"/>
        <v>176</v>
      </c>
      <c r="I2834" s="254" t="s">
        <v>170</v>
      </c>
      <c r="J2834" s="331" t="s">
        <v>8812</v>
      </c>
      <c r="K2834" s="811">
        <v>42457</v>
      </c>
      <c r="L2834" s="1477"/>
      <c r="M2834" s="811">
        <v>42453</v>
      </c>
      <c r="N2834" s="331" t="s">
        <v>89</v>
      </c>
      <c r="O2834" s="263" t="s">
        <v>8813</v>
      </c>
      <c r="P2834" s="752">
        <v>184.8</v>
      </c>
      <c r="Q2834" s="386"/>
      <c r="R2834" s="1407"/>
      <c r="S2834" s="1407"/>
      <c r="U2834" s="386"/>
      <c r="V2834" s="318" t="s">
        <v>5896</v>
      </c>
      <c r="W2834" s="1090"/>
      <c r="X2834" s="1083">
        <v>42453</v>
      </c>
      <c r="Y2834" s="263" t="s">
        <v>8814</v>
      </c>
      <c r="Z2834" s="1086" t="s">
        <v>8817</v>
      </c>
      <c r="AA2834" s="1083">
        <v>42471</v>
      </c>
      <c r="AB2834" s="318" t="s">
        <v>8815</v>
      </c>
      <c r="AD2834" s="1091"/>
      <c r="AE2834" s="1091"/>
      <c r="AF2834" s="1091"/>
      <c r="AG2834" s="318" t="s">
        <v>283</v>
      </c>
    </row>
    <row r="2835" spans="1:33" ht="15.75" customHeight="1">
      <c r="A2835" s="755">
        <v>42425</v>
      </c>
      <c r="B2835" s="592" t="s">
        <v>6060</v>
      </c>
      <c r="C2835" s="744"/>
      <c r="D2835" s="308" t="s">
        <v>8810</v>
      </c>
      <c r="E2835" s="571" t="s">
        <v>8818</v>
      </c>
      <c r="F2835" s="574">
        <v>3</v>
      </c>
      <c r="G2835" s="464">
        <v>64.5</v>
      </c>
      <c r="H2835" s="464">
        <f t="shared" si="181"/>
        <v>193.5</v>
      </c>
      <c r="I2835" s="254" t="s">
        <v>170</v>
      </c>
      <c r="J2835" s="331" t="s">
        <v>8812</v>
      </c>
      <c r="K2835" s="811">
        <v>42457</v>
      </c>
      <c r="L2835" s="1477"/>
      <c r="M2835" s="811">
        <v>42453</v>
      </c>
      <c r="N2835" s="331" t="s">
        <v>89</v>
      </c>
      <c r="O2835" s="263" t="s">
        <v>8813</v>
      </c>
      <c r="P2835" s="752">
        <v>189</v>
      </c>
      <c r="Q2835" s="386"/>
      <c r="R2835" s="1407"/>
      <c r="S2835" s="1407"/>
      <c r="U2835" s="386"/>
      <c r="V2835" s="318" t="s">
        <v>5896</v>
      </c>
      <c r="W2835" s="1090"/>
      <c r="X2835" s="1083">
        <v>42453</v>
      </c>
      <c r="Y2835" s="263" t="s">
        <v>8814</v>
      </c>
      <c r="Z2835" s="1086" t="s">
        <v>8817</v>
      </c>
      <c r="AA2835" s="1083">
        <v>42471</v>
      </c>
      <c r="AB2835" s="318" t="s">
        <v>8815</v>
      </c>
      <c r="AD2835" s="1091"/>
      <c r="AE2835" s="1091"/>
      <c r="AF2835" s="1091"/>
      <c r="AG2835" s="318" t="s">
        <v>283</v>
      </c>
    </row>
    <row r="2836" spans="1:33" ht="15.75" customHeight="1">
      <c r="A2836" s="755">
        <v>42430</v>
      </c>
      <c r="B2836" s="592" t="s">
        <v>100</v>
      </c>
      <c r="C2836" s="744" t="s">
        <v>8819</v>
      </c>
      <c r="D2836" s="308" t="s">
        <v>8820</v>
      </c>
      <c r="E2836" s="571" t="s">
        <v>6445</v>
      </c>
      <c r="F2836" s="574">
        <v>1</v>
      </c>
      <c r="G2836" s="464">
        <v>99</v>
      </c>
      <c r="H2836" s="464">
        <f t="shared" si="181"/>
        <v>99</v>
      </c>
      <c r="I2836" s="254" t="s">
        <v>170</v>
      </c>
      <c r="J2836" s="331" t="s">
        <v>8461</v>
      </c>
      <c r="K2836" s="811">
        <v>42433</v>
      </c>
      <c r="L2836" s="1477"/>
      <c r="M2836" s="829">
        <v>42433</v>
      </c>
      <c r="N2836" s="331" t="s">
        <v>3330</v>
      </c>
      <c r="O2836" s="263" t="s">
        <v>8821</v>
      </c>
      <c r="P2836" s="752"/>
      <c r="Q2836" s="318">
        <v>2781</v>
      </c>
      <c r="R2836" s="1410"/>
      <c r="S2836" s="1410"/>
      <c r="U2836" s="386"/>
      <c r="V2836" s="386" t="s">
        <v>8822</v>
      </c>
      <c r="W2836" s="1090"/>
      <c r="X2836" s="1083">
        <v>42432</v>
      </c>
      <c r="Y2836" s="263" t="s">
        <v>8823</v>
      </c>
      <c r="Z2836" s="1086">
        <v>2781</v>
      </c>
      <c r="AA2836" s="811">
        <v>42433</v>
      </c>
      <c r="AB2836" s="318" t="s">
        <v>8750</v>
      </c>
      <c r="AD2836" s="1091"/>
      <c r="AE2836" s="1091"/>
      <c r="AF2836" s="1091"/>
      <c r="AG2836" s="318" t="s">
        <v>283</v>
      </c>
    </row>
    <row r="2837" spans="1:33" ht="15.75" customHeight="1">
      <c r="A2837" s="755">
        <v>42430</v>
      </c>
      <c r="B2837" s="592" t="s">
        <v>100</v>
      </c>
      <c r="C2837" s="744" t="s">
        <v>8819</v>
      </c>
      <c r="D2837" s="308" t="s">
        <v>8820</v>
      </c>
      <c r="E2837" s="308" t="s">
        <v>6452</v>
      </c>
      <c r="F2837" s="574">
        <v>2</v>
      </c>
      <c r="G2837" s="464">
        <v>2</v>
      </c>
      <c r="H2837" s="464">
        <f t="shared" si="181"/>
        <v>4</v>
      </c>
      <c r="I2837" s="254" t="s">
        <v>170</v>
      </c>
      <c r="J2837" s="331" t="s">
        <v>8461</v>
      </c>
      <c r="K2837" s="811">
        <v>42433</v>
      </c>
      <c r="L2837" s="1477"/>
      <c r="M2837" s="829">
        <v>42433</v>
      </c>
      <c r="N2837" s="331" t="s">
        <v>3608</v>
      </c>
      <c r="O2837" s="263" t="s">
        <v>8824</v>
      </c>
      <c r="P2837" s="752"/>
      <c r="Q2837" s="318">
        <v>116</v>
      </c>
      <c r="R2837" s="1410"/>
      <c r="S2837" s="1410"/>
      <c r="U2837" s="386"/>
      <c r="V2837" s="318" t="s">
        <v>2093</v>
      </c>
      <c r="W2837" s="1090">
        <v>42495</v>
      </c>
      <c r="X2837" s="1083">
        <v>42432</v>
      </c>
      <c r="Y2837" s="263" t="s">
        <v>8825</v>
      </c>
      <c r="Z2837" s="1086">
        <v>390</v>
      </c>
      <c r="AA2837" s="1083">
        <v>42496</v>
      </c>
      <c r="AB2837" s="318" t="s">
        <v>8750</v>
      </c>
      <c r="AD2837" s="1091"/>
      <c r="AE2837" s="1091"/>
      <c r="AF2837" s="1091"/>
      <c r="AG2837" s="318" t="s">
        <v>283</v>
      </c>
    </row>
    <row r="2838" spans="1:33" ht="15.75" customHeight="1">
      <c r="A2838" s="755">
        <v>42430</v>
      </c>
      <c r="B2838" s="592" t="s">
        <v>100</v>
      </c>
      <c r="C2838" s="744" t="s">
        <v>8819</v>
      </c>
      <c r="D2838" s="308" t="s">
        <v>8820</v>
      </c>
      <c r="E2838" s="571" t="s">
        <v>8826</v>
      </c>
      <c r="F2838" s="574">
        <v>1</v>
      </c>
      <c r="G2838" s="464">
        <v>3</v>
      </c>
      <c r="H2838" s="464">
        <f t="shared" si="181"/>
        <v>3</v>
      </c>
      <c r="I2838" s="254" t="s">
        <v>170</v>
      </c>
      <c r="J2838" s="331" t="s">
        <v>8461</v>
      </c>
      <c r="K2838" s="811">
        <v>42433</v>
      </c>
      <c r="L2838" s="1477"/>
      <c r="M2838" s="829">
        <v>42433</v>
      </c>
      <c r="N2838" s="331" t="s">
        <v>3608</v>
      </c>
      <c r="O2838" s="263" t="s">
        <v>8824</v>
      </c>
      <c r="P2838" s="752"/>
      <c r="Q2838" s="318">
        <v>68</v>
      </c>
      <c r="R2838" s="1410"/>
      <c r="S2838" s="1410"/>
      <c r="U2838" s="386"/>
      <c r="V2838" s="318" t="s">
        <v>2093</v>
      </c>
      <c r="W2838" s="1090">
        <v>42495</v>
      </c>
      <c r="X2838" s="1083">
        <v>42432</v>
      </c>
      <c r="Y2838" s="263" t="s">
        <v>8825</v>
      </c>
      <c r="Z2838" s="1086" t="s">
        <v>8827</v>
      </c>
      <c r="AA2838" s="1083">
        <v>42496</v>
      </c>
      <c r="AB2838" s="318" t="s">
        <v>8750</v>
      </c>
      <c r="AD2838" s="1091"/>
      <c r="AE2838" s="1091"/>
      <c r="AF2838" s="1091"/>
      <c r="AG2838" s="318" t="s">
        <v>283</v>
      </c>
    </row>
    <row r="2839" spans="1:33" ht="15.75" customHeight="1">
      <c r="A2839" s="755">
        <v>42430</v>
      </c>
      <c r="B2839" s="592" t="s">
        <v>100</v>
      </c>
      <c r="C2839" s="744" t="s">
        <v>8819</v>
      </c>
      <c r="D2839" s="308" t="s">
        <v>8820</v>
      </c>
      <c r="E2839" s="597" t="s">
        <v>8828</v>
      </c>
      <c r="F2839" s="574">
        <v>1</v>
      </c>
      <c r="G2839" s="464">
        <v>7</v>
      </c>
      <c r="H2839" s="464">
        <f t="shared" si="181"/>
        <v>7</v>
      </c>
      <c r="I2839" s="254" t="s">
        <v>170</v>
      </c>
      <c r="J2839" s="331" t="s">
        <v>8461</v>
      </c>
      <c r="K2839" s="811">
        <v>42433</v>
      </c>
      <c r="L2839" s="1477"/>
      <c r="M2839" s="829">
        <v>42433</v>
      </c>
      <c r="N2839" s="331" t="s">
        <v>3608</v>
      </c>
      <c r="O2839" s="263" t="s">
        <v>8824</v>
      </c>
      <c r="P2839" s="752"/>
      <c r="Q2839" s="318">
        <v>206</v>
      </c>
      <c r="R2839" s="1410"/>
      <c r="S2839" s="1410"/>
      <c r="U2839" s="386"/>
      <c r="V2839" s="318" t="s">
        <v>2093</v>
      </c>
      <c r="W2839" s="1090">
        <v>42495</v>
      </c>
      <c r="X2839" s="1083">
        <v>42432</v>
      </c>
      <c r="Y2839" s="263" t="s">
        <v>8825</v>
      </c>
      <c r="Z2839" s="1086" t="s">
        <v>8827</v>
      </c>
      <c r="AA2839" s="1083">
        <v>42496</v>
      </c>
      <c r="AB2839" s="318" t="s">
        <v>8750</v>
      </c>
      <c r="AD2839" s="1091"/>
      <c r="AE2839" s="1091"/>
      <c r="AF2839" s="1091"/>
      <c r="AG2839" s="318" t="s">
        <v>283</v>
      </c>
    </row>
    <row r="2840" spans="1:33" ht="15.75" customHeight="1">
      <c r="A2840" s="755">
        <v>42430</v>
      </c>
      <c r="B2840" s="592" t="s">
        <v>100</v>
      </c>
      <c r="C2840" s="744" t="s">
        <v>8819</v>
      </c>
      <c r="D2840" s="308" t="s">
        <v>8820</v>
      </c>
      <c r="E2840" s="571" t="s">
        <v>8829</v>
      </c>
      <c r="F2840" s="574">
        <v>1</v>
      </c>
      <c r="G2840" s="464">
        <v>36</v>
      </c>
      <c r="H2840" s="464">
        <f t="shared" si="181"/>
        <v>36</v>
      </c>
      <c r="I2840" s="254" t="s">
        <v>170</v>
      </c>
      <c r="J2840" s="331" t="s">
        <v>8461</v>
      </c>
      <c r="K2840" s="811">
        <v>42433</v>
      </c>
      <c r="L2840" s="1477"/>
      <c r="M2840" s="811"/>
      <c r="N2840" s="331"/>
      <c r="O2840" s="263"/>
      <c r="P2840" s="752"/>
      <c r="Q2840" s="386"/>
      <c r="R2840" s="1407"/>
      <c r="S2840" s="1407"/>
      <c r="U2840" s="386"/>
      <c r="V2840" s="318"/>
      <c r="W2840" s="1090"/>
      <c r="X2840" s="1101"/>
      <c r="Y2840" s="1087"/>
      <c r="Z2840" s="1102"/>
      <c r="AA2840" s="1101"/>
      <c r="AB2840" s="318" t="s">
        <v>8750</v>
      </c>
      <c r="AD2840" s="1091"/>
      <c r="AE2840" s="1091"/>
      <c r="AF2840" s="1091"/>
      <c r="AG2840" s="318" t="s">
        <v>283</v>
      </c>
    </row>
    <row r="2841" spans="1:33" ht="15.75" customHeight="1">
      <c r="A2841" s="755">
        <v>42431</v>
      </c>
      <c r="B2841" s="338" t="s">
        <v>3347</v>
      </c>
      <c r="C2841" s="744" t="s">
        <v>8830</v>
      </c>
      <c r="D2841" s="308" t="s">
        <v>8831</v>
      </c>
      <c r="E2841" s="328" t="s">
        <v>8832</v>
      </c>
      <c r="F2841" s="574">
        <v>30</v>
      </c>
      <c r="G2841" s="464">
        <v>183.8</v>
      </c>
      <c r="H2841" s="464">
        <f t="shared" si="181"/>
        <v>5514</v>
      </c>
      <c r="I2841" s="254" t="s">
        <v>170</v>
      </c>
      <c r="J2841" s="592" t="s">
        <v>3350</v>
      </c>
      <c r="K2841" s="811">
        <v>42457</v>
      </c>
      <c r="L2841" s="1477"/>
      <c r="M2841" s="811">
        <v>42453</v>
      </c>
      <c r="N2841" s="331" t="s">
        <v>89</v>
      </c>
      <c r="O2841" s="263" t="s">
        <v>8833</v>
      </c>
      <c r="P2841" s="752">
        <v>5528.25</v>
      </c>
      <c r="Q2841" s="386"/>
      <c r="R2841" s="1407"/>
      <c r="S2841" s="1407"/>
      <c r="U2841" s="386"/>
      <c r="V2841" s="318" t="s">
        <v>5896</v>
      </c>
      <c r="W2841" s="1090"/>
      <c r="X2841" s="1083">
        <v>42452</v>
      </c>
      <c r="Y2841" s="263" t="s">
        <v>8834</v>
      </c>
      <c r="Z2841" s="1112" t="s">
        <v>8835</v>
      </c>
      <c r="AA2841" s="1083">
        <v>42471</v>
      </c>
      <c r="AB2841" s="318" t="s">
        <v>8836</v>
      </c>
      <c r="AD2841" s="1091"/>
      <c r="AE2841" s="1091"/>
      <c r="AF2841" s="1091"/>
      <c r="AG2841" s="338" t="s">
        <v>8837</v>
      </c>
    </row>
    <row r="2842" spans="1:33" ht="15.75" customHeight="1">
      <c r="A2842" s="755">
        <v>42431</v>
      </c>
      <c r="B2842" s="338" t="s">
        <v>3347</v>
      </c>
      <c r="C2842" s="744" t="s">
        <v>8830</v>
      </c>
      <c r="D2842" s="308" t="s">
        <v>8838</v>
      </c>
      <c r="E2842" s="328" t="s">
        <v>8832</v>
      </c>
      <c r="F2842" s="574">
        <v>70</v>
      </c>
      <c r="G2842" s="464">
        <v>183.8</v>
      </c>
      <c r="H2842" s="464">
        <f t="shared" si="181"/>
        <v>12866</v>
      </c>
      <c r="I2842" s="254" t="s">
        <v>170</v>
      </c>
      <c r="J2842" s="592" t="s">
        <v>3350</v>
      </c>
      <c r="K2842" s="811">
        <v>42457</v>
      </c>
      <c r="L2842" s="1477"/>
      <c r="M2842" s="811">
        <v>42453</v>
      </c>
      <c r="N2842" s="331" t="s">
        <v>89</v>
      </c>
      <c r="O2842" s="263" t="s">
        <v>8839</v>
      </c>
      <c r="P2842" s="752">
        <v>12899.25</v>
      </c>
      <c r="Q2842" s="386"/>
      <c r="R2842" s="1407"/>
      <c r="S2842" s="1407"/>
      <c r="U2842" s="386"/>
      <c r="V2842" s="318" t="s">
        <v>5896</v>
      </c>
      <c r="W2842" s="1090"/>
      <c r="X2842" s="1083">
        <v>42452</v>
      </c>
      <c r="Y2842" s="263" t="s">
        <v>8840</v>
      </c>
      <c r="Z2842" s="1086" t="s">
        <v>8841</v>
      </c>
      <c r="AA2842" s="1083">
        <v>42471</v>
      </c>
      <c r="AB2842" s="318" t="s">
        <v>8836</v>
      </c>
      <c r="AD2842" s="1091"/>
      <c r="AE2842" s="1091"/>
      <c r="AF2842" s="1091"/>
      <c r="AG2842" s="338" t="s">
        <v>8837</v>
      </c>
    </row>
    <row r="2843" spans="1:33" ht="15.75" customHeight="1">
      <c r="A2843" s="1113" t="s">
        <v>8842</v>
      </c>
      <c r="B2843" s="592" t="s">
        <v>228</v>
      </c>
      <c r="C2843" s="744"/>
      <c r="D2843" s="308" t="s">
        <v>8843</v>
      </c>
      <c r="E2843" s="597" t="s">
        <v>461</v>
      </c>
      <c r="F2843" s="329">
        <v>20</v>
      </c>
      <c r="G2843" s="574">
        <v>449.4</v>
      </c>
      <c r="H2843" s="464">
        <f t="shared" si="181"/>
        <v>8988</v>
      </c>
      <c r="I2843" s="254" t="s">
        <v>170</v>
      </c>
      <c r="J2843" s="267" t="s">
        <v>89</v>
      </c>
      <c r="K2843" s="811">
        <v>42440</v>
      </c>
      <c r="L2843" s="1477"/>
      <c r="M2843" s="811"/>
      <c r="N2843" s="331" t="s">
        <v>89</v>
      </c>
      <c r="O2843" s="263" t="s">
        <v>8844</v>
      </c>
      <c r="P2843" s="752">
        <v>8127</v>
      </c>
      <c r="Q2843" s="386"/>
      <c r="R2843" s="1407"/>
      <c r="S2843" s="1407"/>
      <c r="U2843" s="386"/>
      <c r="V2843" s="318" t="s">
        <v>5896</v>
      </c>
      <c r="W2843" s="1090"/>
      <c r="X2843" s="1083">
        <v>42440</v>
      </c>
      <c r="Y2843" s="263" t="s">
        <v>8845</v>
      </c>
      <c r="Z2843" s="1086">
        <v>253478</v>
      </c>
      <c r="AA2843" s="1083">
        <v>42453</v>
      </c>
      <c r="AB2843" s="318" t="s">
        <v>8846</v>
      </c>
      <c r="AD2843" s="1091" t="s">
        <v>8847</v>
      </c>
      <c r="AE2843" s="1091">
        <v>291121</v>
      </c>
      <c r="AF2843" s="1091" t="s">
        <v>8848</v>
      </c>
      <c r="AG2843" s="1092"/>
    </row>
    <row r="2844" spans="1:33" ht="15.75" customHeight="1">
      <c r="A2844" s="755">
        <v>42433</v>
      </c>
      <c r="B2844" s="338" t="s">
        <v>3347</v>
      </c>
      <c r="C2844" s="744"/>
      <c r="D2844" s="308" t="s">
        <v>8849</v>
      </c>
      <c r="E2844" s="328" t="s">
        <v>8832</v>
      </c>
      <c r="F2844" s="574">
        <v>100</v>
      </c>
      <c r="G2844" s="464">
        <v>189.1</v>
      </c>
      <c r="H2844" s="464">
        <f t="shared" si="181"/>
        <v>18910</v>
      </c>
      <c r="I2844" s="254" t="s">
        <v>170</v>
      </c>
      <c r="J2844" s="338" t="s">
        <v>3350</v>
      </c>
      <c r="K2844" s="811">
        <v>42478</v>
      </c>
      <c r="L2844" s="1477"/>
      <c r="M2844" s="811">
        <v>42472</v>
      </c>
      <c r="N2844" s="331" t="s">
        <v>89</v>
      </c>
      <c r="O2844" s="263" t="s">
        <v>8850</v>
      </c>
      <c r="P2844" s="752">
        <v>18427.5</v>
      </c>
      <c r="Q2844" s="386"/>
      <c r="R2844" s="1407"/>
      <c r="S2844" s="1407"/>
      <c r="U2844" s="386"/>
      <c r="V2844" s="318" t="s">
        <v>5896</v>
      </c>
      <c r="W2844" s="1090"/>
      <c r="X2844" s="1083">
        <v>42472</v>
      </c>
      <c r="Y2844" s="263" t="s">
        <v>8851</v>
      </c>
      <c r="Z2844" s="1086">
        <v>561246</v>
      </c>
      <c r="AA2844" s="1083">
        <v>42494</v>
      </c>
      <c r="AB2844" s="318" t="s">
        <v>8852</v>
      </c>
      <c r="AD2844" s="1091"/>
      <c r="AE2844" s="1091"/>
      <c r="AF2844" s="1091"/>
      <c r="AG2844" s="338" t="s">
        <v>283</v>
      </c>
    </row>
    <row r="2845" spans="1:33" ht="15.75" customHeight="1">
      <c r="A2845" s="755">
        <v>42434</v>
      </c>
      <c r="B2845" s="592" t="s">
        <v>100</v>
      </c>
      <c r="C2845" s="744"/>
      <c r="D2845" s="744" t="s">
        <v>8853</v>
      </c>
      <c r="E2845" s="328" t="s">
        <v>8854</v>
      </c>
      <c r="F2845" s="574">
        <v>1</v>
      </c>
      <c r="G2845" s="464">
        <v>157</v>
      </c>
      <c r="H2845" s="464">
        <f t="shared" si="181"/>
        <v>157</v>
      </c>
      <c r="I2845" s="254" t="s">
        <v>170</v>
      </c>
      <c r="J2845" s="331" t="s">
        <v>8461</v>
      </c>
      <c r="K2845" s="811">
        <v>42433</v>
      </c>
      <c r="L2845" s="1477"/>
      <c r="M2845" s="811"/>
      <c r="N2845" s="331" t="s">
        <v>1999</v>
      </c>
      <c r="O2845" s="263"/>
      <c r="P2845" s="752"/>
      <c r="Q2845" s="318">
        <v>3929</v>
      </c>
      <c r="R2845" s="1410"/>
      <c r="S2845" s="1410"/>
      <c r="U2845" s="386"/>
      <c r="V2845" s="386" t="s">
        <v>2000</v>
      </c>
      <c r="W2845" s="1090">
        <v>42459</v>
      </c>
      <c r="X2845" s="1083">
        <v>42429</v>
      </c>
      <c r="Y2845" s="263" t="s">
        <v>8855</v>
      </c>
      <c r="Z2845" s="1086">
        <v>6162</v>
      </c>
      <c r="AA2845" s="1083">
        <v>42460</v>
      </c>
      <c r="AB2845" s="318" t="s">
        <v>8778</v>
      </c>
      <c r="AD2845" s="1091"/>
      <c r="AE2845" s="1091"/>
      <c r="AF2845" s="1091"/>
      <c r="AG2845" s="1092" t="s">
        <v>283</v>
      </c>
    </row>
    <row r="2846" spans="1:33" ht="15.75" customHeight="1">
      <c r="A2846" s="755">
        <v>42434</v>
      </c>
      <c r="B2846" s="592" t="s">
        <v>100</v>
      </c>
      <c r="C2846" s="744"/>
      <c r="D2846" s="744" t="s">
        <v>8856</v>
      </c>
      <c r="E2846" s="328" t="s">
        <v>8857</v>
      </c>
      <c r="F2846" s="574">
        <v>1</v>
      </c>
      <c r="G2846" s="464">
        <v>39</v>
      </c>
      <c r="H2846" s="464">
        <f t="shared" si="181"/>
        <v>39</v>
      </c>
      <c r="I2846" s="254" t="s">
        <v>170</v>
      </c>
      <c r="J2846" s="331" t="s">
        <v>8461</v>
      </c>
      <c r="K2846" s="811">
        <v>42433</v>
      </c>
      <c r="L2846" s="1477"/>
      <c r="M2846" s="811"/>
      <c r="N2846" s="331" t="s">
        <v>1999</v>
      </c>
      <c r="O2846" s="263"/>
      <c r="P2846" s="752"/>
      <c r="Q2846" s="318">
        <v>2233</v>
      </c>
      <c r="R2846" s="1410"/>
      <c r="S2846" s="1410"/>
      <c r="U2846" s="386"/>
      <c r="V2846" s="386" t="s">
        <v>2000</v>
      </c>
      <c r="W2846" s="1090">
        <v>42459</v>
      </c>
      <c r="X2846" s="1083">
        <v>42429</v>
      </c>
      <c r="Y2846" s="263" t="s">
        <v>8855</v>
      </c>
      <c r="Z2846" s="1086" t="s">
        <v>8858</v>
      </c>
      <c r="AA2846" s="1083">
        <v>42460</v>
      </c>
      <c r="AB2846" s="318" t="s">
        <v>8778</v>
      </c>
      <c r="AD2846" s="1091"/>
      <c r="AE2846" s="1091"/>
      <c r="AF2846" s="1091"/>
      <c r="AG2846" s="1092" t="s">
        <v>283</v>
      </c>
    </row>
    <row r="2847" spans="1:33" ht="15.75" customHeight="1">
      <c r="A2847" s="755">
        <v>42434</v>
      </c>
      <c r="B2847" s="592" t="s">
        <v>100</v>
      </c>
      <c r="C2847" s="744"/>
      <c r="D2847" s="308" t="s">
        <v>8859</v>
      </c>
      <c r="E2847" s="571" t="s">
        <v>8860</v>
      </c>
      <c r="F2847" s="574">
        <v>1</v>
      </c>
      <c r="G2847" s="464">
        <v>147</v>
      </c>
      <c r="H2847" s="464">
        <f t="shared" si="181"/>
        <v>147</v>
      </c>
      <c r="I2847" s="254" t="s">
        <v>170</v>
      </c>
      <c r="J2847" s="331" t="s">
        <v>8461</v>
      </c>
      <c r="K2847" s="811">
        <v>42433</v>
      </c>
      <c r="L2847" s="1477"/>
      <c r="M2847" s="811"/>
      <c r="N2847" s="331" t="s">
        <v>1999</v>
      </c>
      <c r="O2847" s="263"/>
      <c r="P2847" s="752"/>
      <c r="Q2847" s="318">
        <v>4035</v>
      </c>
      <c r="R2847" s="1410"/>
      <c r="S2847" s="1410"/>
      <c r="U2847" s="386"/>
      <c r="V2847" s="386" t="s">
        <v>2000</v>
      </c>
      <c r="W2847" s="1096">
        <v>42470</v>
      </c>
      <c r="X2847" s="1083">
        <v>42440</v>
      </c>
      <c r="Y2847" s="263" t="s">
        <v>8861</v>
      </c>
      <c r="Z2847" s="1086">
        <v>5182</v>
      </c>
      <c r="AA2847" s="1101"/>
      <c r="AB2847" s="318" t="s">
        <v>8778</v>
      </c>
      <c r="AD2847" s="1091"/>
      <c r="AE2847" s="1091"/>
      <c r="AF2847" s="1091"/>
      <c r="AG2847" s="1092" t="s">
        <v>283</v>
      </c>
    </row>
    <row r="2848" spans="1:33" ht="15.75" customHeight="1">
      <c r="A2848" s="755">
        <v>42437</v>
      </c>
      <c r="B2848" s="592" t="s">
        <v>986</v>
      </c>
      <c r="C2848" s="744" t="s">
        <v>8862</v>
      </c>
      <c r="D2848" s="308" t="s">
        <v>8863</v>
      </c>
      <c r="E2848" s="571" t="s">
        <v>8864</v>
      </c>
      <c r="F2848" s="574">
        <v>1</v>
      </c>
      <c r="G2848" s="464">
        <v>265</v>
      </c>
      <c r="H2848" s="464">
        <f t="shared" si="181"/>
        <v>265</v>
      </c>
      <c r="I2848" s="254" t="s">
        <v>170</v>
      </c>
      <c r="J2848" s="331" t="s">
        <v>8438</v>
      </c>
      <c r="K2848" s="811">
        <v>42439</v>
      </c>
      <c r="L2848" s="1477"/>
      <c r="M2848" s="811">
        <v>42438</v>
      </c>
      <c r="N2848" s="331" t="s">
        <v>8865</v>
      </c>
      <c r="O2848" s="263" t="s">
        <v>8866</v>
      </c>
      <c r="P2848" s="752"/>
      <c r="Q2848" s="318">
        <f>262.5*33.01</f>
        <v>8665.125</v>
      </c>
      <c r="R2848" s="1410"/>
      <c r="S2848" s="1410"/>
      <c r="U2848" s="386"/>
      <c r="V2848" s="318" t="s">
        <v>8867</v>
      </c>
      <c r="W2848" s="1090">
        <v>42437</v>
      </c>
      <c r="X2848" s="1083">
        <v>42437</v>
      </c>
      <c r="Y2848" s="263" t="s">
        <v>8868</v>
      </c>
      <c r="Z2848" s="1086">
        <v>8666</v>
      </c>
      <c r="AA2848" s="811">
        <v>42437</v>
      </c>
      <c r="AB2848" s="318" t="s">
        <v>8869</v>
      </c>
      <c r="AD2848" s="1091"/>
      <c r="AE2848" s="1091"/>
      <c r="AF2848" s="1091"/>
      <c r="AG2848" s="318" t="s">
        <v>283</v>
      </c>
    </row>
    <row r="2849" spans="1:33" ht="15.75" customHeight="1">
      <c r="A2849" s="755">
        <v>42437</v>
      </c>
      <c r="B2849" s="592" t="s">
        <v>986</v>
      </c>
      <c r="C2849" s="744"/>
      <c r="D2849" s="308" t="s">
        <v>8870</v>
      </c>
      <c r="E2849" s="571" t="s">
        <v>8871</v>
      </c>
      <c r="F2849" s="574">
        <v>1</v>
      </c>
      <c r="G2849" s="464">
        <v>30</v>
      </c>
      <c r="H2849" s="464">
        <f t="shared" si="181"/>
        <v>30</v>
      </c>
      <c r="I2849" s="254" t="s">
        <v>170</v>
      </c>
      <c r="J2849" s="331" t="s">
        <v>8438</v>
      </c>
      <c r="K2849" s="811">
        <v>42439</v>
      </c>
      <c r="L2849" s="1477"/>
      <c r="M2849" s="811">
        <v>42438</v>
      </c>
      <c r="N2849" s="331" t="s">
        <v>8872</v>
      </c>
      <c r="O2849" s="263" t="s">
        <v>8873</v>
      </c>
      <c r="P2849" s="752"/>
      <c r="Q2849" s="318">
        <v>893</v>
      </c>
      <c r="R2849" s="1410"/>
      <c r="S2849" s="1410"/>
      <c r="U2849" s="386"/>
      <c r="V2849" s="318" t="s">
        <v>8874</v>
      </c>
      <c r="W2849" s="1090">
        <v>42437</v>
      </c>
      <c r="X2849" s="1083">
        <v>42438</v>
      </c>
      <c r="Y2849" s="263" t="s">
        <v>8875</v>
      </c>
      <c r="Z2849" s="1086">
        <v>893</v>
      </c>
      <c r="AA2849" s="1084">
        <v>42437</v>
      </c>
      <c r="AB2849" s="318" t="s">
        <v>8869</v>
      </c>
      <c r="AD2849" s="1091"/>
      <c r="AE2849" s="1091"/>
      <c r="AF2849" s="1091"/>
      <c r="AG2849" s="318" t="s">
        <v>576</v>
      </c>
    </row>
    <row r="2850" spans="1:33" ht="15.75" customHeight="1">
      <c r="A2850" s="755">
        <v>42439</v>
      </c>
      <c r="B2850" s="592" t="s">
        <v>100</v>
      </c>
      <c r="C2850" s="744"/>
      <c r="D2850" s="308" t="s">
        <v>8876</v>
      </c>
      <c r="E2850" s="571" t="s">
        <v>8877</v>
      </c>
      <c r="F2850" s="574">
        <v>1</v>
      </c>
      <c r="G2850" s="464">
        <v>51</v>
      </c>
      <c r="H2850" s="464">
        <f t="shared" si="181"/>
        <v>51</v>
      </c>
      <c r="I2850" s="254" t="s">
        <v>170</v>
      </c>
      <c r="J2850" s="331" t="s">
        <v>8461</v>
      </c>
      <c r="K2850" s="811">
        <v>42439</v>
      </c>
      <c r="L2850" s="1477"/>
      <c r="M2850" s="811"/>
      <c r="N2850" s="331" t="s">
        <v>1999</v>
      </c>
      <c r="O2850" s="263"/>
      <c r="P2850" s="752"/>
      <c r="Q2850" s="318">
        <v>1676</v>
      </c>
      <c r="R2850" s="1410"/>
      <c r="S2850" s="1410"/>
      <c r="U2850" s="386"/>
      <c r="V2850" s="386" t="s">
        <v>2000</v>
      </c>
      <c r="W2850" s="1096">
        <v>42477</v>
      </c>
      <c r="X2850" s="1083">
        <v>42447</v>
      </c>
      <c r="Y2850" s="263" t="s">
        <v>8878</v>
      </c>
      <c r="Z2850" s="1086">
        <v>1676</v>
      </c>
      <c r="AA2850" s="811">
        <v>42471</v>
      </c>
      <c r="AB2850" s="318" t="s">
        <v>8778</v>
      </c>
      <c r="AD2850" s="1091"/>
      <c r="AE2850" s="1091"/>
      <c r="AF2850" s="1091"/>
      <c r="AG2850" s="1092" t="s">
        <v>283</v>
      </c>
    </row>
    <row r="2851" spans="1:33" ht="15.75" customHeight="1">
      <c r="A2851" s="1113" t="s">
        <v>8879</v>
      </c>
      <c r="B2851" s="338" t="s">
        <v>228</v>
      </c>
      <c r="C2851" s="744"/>
      <c r="D2851" s="308" t="s">
        <v>8880</v>
      </c>
      <c r="E2851" s="597" t="s">
        <v>8881</v>
      </c>
      <c r="F2851" s="574">
        <v>1</v>
      </c>
      <c r="G2851" s="464">
        <v>0</v>
      </c>
      <c r="H2851" s="464">
        <f t="shared" si="181"/>
        <v>0</v>
      </c>
      <c r="I2851" s="254" t="s">
        <v>170</v>
      </c>
      <c r="J2851" s="331"/>
      <c r="K2851" s="811">
        <v>42453</v>
      </c>
      <c r="L2851" s="1477"/>
      <c r="M2851" s="811">
        <v>42452</v>
      </c>
      <c r="N2851" s="331"/>
      <c r="O2851" s="263"/>
      <c r="P2851" s="752"/>
      <c r="Q2851" s="386"/>
      <c r="R2851" s="1407"/>
      <c r="S2851" s="1407"/>
      <c r="U2851" s="386"/>
      <c r="V2851" s="318"/>
      <c r="W2851" s="1090"/>
      <c r="X2851" s="1101"/>
      <c r="Y2851" s="1087"/>
      <c r="Z2851" s="1102"/>
      <c r="AA2851" s="1114"/>
      <c r="AB2851" s="1092"/>
      <c r="AD2851" s="1091"/>
      <c r="AE2851" s="1091"/>
      <c r="AF2851" s="1091"/>
      <c r="AG2851" s="1092" t="s">
        <v>8882</v>
      </c>
    </row>
    <row r="2852" spans="1:33" ht="15.75" customHeight="1">
      <c r="A2852" s="1113" t="s">
        <v>8883</v>
      </c>
      <c r="B2852" s="338" t="s">
        <v>228</v>
      </c>
      <c r="C2852" s="744"/>
      <c r="D2852" s="308" t="s">
        <v>8880</v>
      </c>
      <c r="E2852" s="597" t="s">
        <v>8884</v>
      </c>
      <c r="F2852" s="574">
        <v>1</v>
      </c>
      <c r="G2852" s="464">
        <v>0</v>
      </c>
      <c r="H2852" s="464">
        <f t="shared" si="181"/>
        <v>0</v>
      </c>
      <c r="I2852" s="254" t="s">
        <v>170</v>
      </c>
      <c r="J2852" s="331"/>
      <c r="K2852" s="811">
        <v>42453</v>
      </c>
      <c r="L2852" s="1477"/>
      <c r="M2852" s="811">
        <v>42452</v>
      </c>
      <c r="N2852" s="331"/>
      <c r="O2852" s="263"/>
      <c r="P2852" s="752"/>
      <c r="Q2852" s="386"/>
      <c r="R2852" s="1407"/>
      <c r="S2852" s="1407"/>
      <c r="U2852" s="386"/>
      <c r="V2852" s="318"/>
      <c r="W2852" s="1090"/>
      <c r="X2852" s="1101"/>
      <c r="Y2852" s="1087"/>
      <c r="Z2852" s="1102"/>
      <c r="AA2852" s="1114"/>
      <c r="AB2852" s="1092"/>
      <c r="AD2852" s="1091"/>
      <c r="AE2852" s="1091"/>
      <c r="AF2852" s="1091"/>
      <c r="AG2852" s="1092" t="s">
        <v>8882</v>
      </c>
    </row>
    <row r="2853" spans="1:33" ht="15.75" customHeight="1">
      <c r="A2853" s="1113" t="s">
        <v>8885</v>
      </c>
      <c r="B2853" s="338" t="s">
        <v>228</v>
      </c>
      <c r="C2853" s="744"/>
      <c r="D2853" s="308" t="s">
        <v>8880</v>
      </c>
      <c r="E2853" s="597" t="s">
        <v>8886</v>
      </c>
      <c r="F2853" s="574">
        <v>1</v>
      </c>
      <c r="G2853" s="464">
        <v>0</v>
      </c>
      <c r="H2853" s="464">
        <f t="shared" si="181"/>
        <v>0</v>
      </c>
      <c r="I2853" s="254" t="s">
        <v>170</v>
      </c>
      <c r="J2853" s="331"/>
      <c r="K2853" s="811">
        <v>42453</v>
      </c>
      <c r="L2853" s="1477"/>
      <c r="M2853" s="811">
        <v>42452</v>
      </c>
      <c r="N2853" s="331"/>
      <c r="O2853" s="263"/>
      <c r="P2853" s="752"/>
      <c r="Q2853" s="386"/>
      <c r="R2853" s="1407"/>
      <c r="S2853" s="1407"/>
      <c r="U2853" s="386"/>
      <c r="V2853" s="318"/>
      <c r="W2853" s="1090"/>
      <c r="X2853" s="1101"/>
      <c r="Y2853" s="1087"/>
      <c r="Z2853" s="1102"/>
      <c r="AA2853" s="1114"/>
      <c r="AB2853" s="1092"/>
      <c r="AD2853" s="1091"/>
      <c r="AE2853" s="1091"/>
      <c r="AF2853" s="1091"/>
      <c r="AG2853" s="1092" t="s">
        <v>8882</v>
      </c>
    </row>
    <row r="2854" spans="1:33" ht="15.75" customHeight="1">
      <c r="A2854" s="755">
        <v>42443</v>
      </c>
      <c r="B2854" s="338" t="s">
        <v>3347</v>
      </c>
      <c r="C2854" s="744"/>
      <c r="D2854" s="571" t="s">
        <v>8887</v>
      </c>
      <c r="E2854" s="571" t="s">
        <v>5894</v>
      </c>
      <c r="F2854" s="574">
        <v>10</v>
      </c>
      <c r="G2854" s="464">
        <v>375.4</v>
      </c>
      <c r="H2854" s="464">
        <f t="shared" si="181"/>
        <v>3754</v>
      </c>
      <c r="I2854" s="254" t="s">
        <v>170</v>
      </c>
      <c r="J2854" s="338" t="s">
        <v>3350</v>
      </c>
      <c r="K2854" s="811">
        <v>42478</v>
      </c>
      <c r="L2854" s="1477"/>
      <c r="M2854" s="811">
        <v>42457</v>
      </c>
      <c r="N2854" s="331" t="s">
        <v>89</v>
      </c>
      <c r="O2854" s="263" t="s">
        <v>8888</v>
      </c>
      <c r="P2854" s="752">
        <v>3475.5</v>
      </c>
      <c r="Q2854" s="386"/>
      <c r="R2854" s="1407"/>
      <c r="S2854" s="1407"/>
      <c r="U2854" s="386"/>
      <c r="V2854" s="318" t="s">
        <v>5896</v>
      </c>
      <c r="W2854" s="1090"/>
      <c r="X2854" s="1083">
        <v>42457</v>
      </c>
      <c r="Y2854" s="263" t="s">
        <v>8889</v>
      </c>
      <c r="Z2854" s="1086">
        <v>105570</v>
      </c>
      <c r="AA2854" s="811">
        <v>42471</v>
      </c>
      <c r="AB2854" s="318" t="s">
        <v>8852</v>
      </c>
      <c r="AD2854" s="1091"/>
      <c r="AE2854" s="1091"/>
      <c r="AF2854" s="1091"/>
      <c r="AG2854" s="338" t="s">
        <v>283</v>
      </c>
    </row>
    <row r="2855" spans="1:33" ht="15.75" customHeight="1">
      <c r="A2855" s="755">
        <v>42444</v>
      </c>
      <c r="B2855" s="338" t="s">
        <v>629</v>
      </c>
      <c r="C2855" s="744" t="s">
        <v>8890</v>
      </c>
      <c r="D2855" s="308" t="s">
        <v>8891</v>
      </c>
      <c r="E2855" s="571" t="s">
        <v>4107</v>
      </c>
      <c r="F2855" s="574">
        <v>80</v>
      </c>
      <c r="G2855" s="464">
        <v>164.85</v>
      </c>
      <c r="H2855" s="464">
        <f t="shared" si="181"/>
        <v>13188</v>
      </c>
      <c r="I2855" s="254" t="s">
        <v>170</v>
      </c>
      <c r="J2855" s="331" t="s">
        <v>8892</v>
      </c>
      <c r="K2855" s="811">
        <v>42457</v>
      </c>
      <c r="L2855" s="1477"/>
      <c r="M2855" s="811">
        <v>42453</v>
      </c>
      <c r="N2855" s="331" t="s">
        <v>2001</v>
      </c>
      <c r="O2855" s="263" t="s">
        <v>8893</v>
      </c>
      <c r="P2855" s="752"/>
      <c r="Q2855" s="318">
        <v>399252</v>
      </c>
      <c r="R2855" s="1410"/>
      <c r="S2855" s="1410"/>
      <c r="U2855" s="386"/>
      <c r="V2855" s="318" t="s">
        <v>8894</v>
      </c>
      <c r="W2855" s="1090">
        <v>42495</v>
      </c>
      <c r="X2855" s="1083">
        <v>42452</v>
      </c>
      <c r="Y2855" s="263" t="s">
        <v>8895</v>
      </c>
      <c r="Z2855" s="1086">
        <v>399252</v>
      </c>
      <c r="AA2855" s="1083">
        <v>42485</v>
      </c>
      <c r="AB2855" s="318" t="s">
        <v>8896</v>
      </c>
      <c r="AD2855" s="1091" t="s">
        <v>8897</v>
      </c>
      <c r="AE2855" s="1105">
        <v>430192</v>
      </c>
      <c r="AF2855" s="1091" t="s">
        <v>8898</v>
      </c>
      <c r="AG2855" s="1092"/>
    </row>
    <row r="2856" spans="1:33" ht="15.75" customHeight="1">
      <c r="A2856" s="755">
        <v>42444</v>
      </c>
      <c r="B2856" s="338" t="s">
        <v>629</v>
      </c>
      <c r="C2856" s="744" t="s">
        <v>8890</v>
      </c>
      <c r="D2856" s="308" t="s">
        <v>8899</v>
      </c>
      <c r="E2856" s="571" t="s">
        <v>4107</v>
      </c>
      <c r="F2856" s="574">
        <v>90</v>
      </c>
      <c r="G2856" s="464">
        <v>164.85</v>
      </c>
      <c r="H2856" s="464">
        <f t="shared" si="181"/>
        <v>14836.5</v>
      </c>
      <c r="I2856" s="254" t="s">
        <v>170</v>
      </c>
      <c r="J2856" s="331" t="s">
        <v>8892</v>
      </c>
      <c r="K2856" s="811">
        <v>42471</v>
      </c>
      <c r="L2856" s="1477"/>
      <c r="M2856" s="811">
        <v>42468</v>
      </c>
      <c r="N2856" s="331" t="s">
        <v>2001</v>
      </c>
      <c r="O2856" s="263" t="s">
        <v>8893</v>
      </c>
      <c r="P2856" s="752"/>
      <c r="Q2856" s="318">
        <v>449159</v>
      </c>
      <c r="R2856" s="1410"/>
      <c r="S2856" s="1410"/>
      <c r="U2856" s="386"/>
      <c r="V2856" s="318" t="s">
        <v>8894</v>
      </c>
      <c r="W2856" s="1090"/>
      <c r="X2856" s="1083">
        <v>42467</v>
      </c>
      <c r="Y2856" s="318" t="s">
        <v>8900</v>
      </c>
      <c r="Z2856" s="1086">
        <v>449159</v>
      </c>
      <c r="AA2856" s="811">
        <v>42529</v>
      </c>
      <c r="AB2856" s="318" t="s">
        <v>8901</v>
      </c>
      <c r="AD2856" s="386" t="s">
        <v>8902</v>
      </c>
      <c r="AE2856" s="1097">
        <v>481000</v>
      </c>
      <c r="AF2856" s="386" t="s">
        <v>8903</v>
      </c>
      <c r="AG2856" s="1092"/>
    </row>
    <row r="2857" spans="1:33" ht="15.75" customHeight="1">
      <c r="A2857" s="755">
        <v>42446</v>
      </c>
      <c r="B2857" s="338" t="s">
        <v>100</v>
      </c>
      <c r="C2857" s="744"/>
      <c r="D2857" s="308" t="s">
        <v>8904</v>
      </c>
      <c r="E2857" s="571" t="s">
        <v>8905</v>
      </c>
      <c r="F2857" s="574">
        <v>1</v>
      </c>
      <c r="G2857" s="464">
        <v>77</v>
      </c>
      <c r="H2857" s="464">
        <f t="shared" si="181"/>
        <v>77</v>
      </c>
      <c r="I2857" s="254" t="s">
        <v>170</v>
      </c>
      <c r="J2857" s="331" t="s">
        <v>8461</v>
      </c>
      <c r="K2857" s="811">
        <v>42446</v>
      </c>
      <c r="L2857" s="1477"/>
      <c r="M2857" s="811"/>
      <c r="N2857" s="331"/>
      <c r="O2857" s="263"/>
      <c r="P2857" s="752"/>
      <c r="Q2857" s="318">
        <v>2678</v>
      </c>
      <c r="R2857" s="1410"/>
      <c r="S2857" s="1410"/>
      <c r="U2857" s="386"/>
      <c r="V2857" s="318"/>
      <c r="W2857" s="1096">
        <v>42484</v>
      </c>
      <c r="X2857" s="1083">
        <v>42454</v>
      </c>
      <c r="Y2857" s="263" t="s">
        <v>8906</v>
      </c>
      <c r="Z2857" s="1086">
        <v>2678</v>
      </c>
      <c r="AA2857" s="811">
        <v>42471</v>
      </c>
      <c r="AB2857" s="318" t="s">
        <v>8737</v>
      </c>
      <c r="AD2857" s="1091"/>
      <c r="AE2857" s="1091"/>
      <c r="AF2857" s="1091"/>
      <c r="AG2857" s="1092" t="s">
        <v>283</v>
      </c>
    </row>
    <row r="2858" spans="1:33" ht="15.75" customHeight="1">
      <c r="A2858" s="755">
        <v>42446</v>
      </c>
      <c r="B2858" s="338" t="s">
        <v>4590</v>
      </c>
      <c r="C2858" s="744"/>
      <c r="D2858" s="308" t="s">
        <v>8907</v>
      </c>
      <c r="E2858" s="571" t="s">
        <v>8908</v>
      </c>
      <c r="F2858" s="574">
        <v>8</v>
      </c>
      <c r="G2858" s="464">
        <v>47</v>
      </c>
      <c r="H2858" s="464">
        <f t="shared" si="181"/>
        <v>376</v>
      </c>
      <c r="I2858" s="1029" t="s">
        <v>3315</v>
      </c>
      <c r="J2858" s="331" t="s">
        <v>8461</v>
      </c>
      <c r="K2858" s="811">
        <v>42453</v>
      </c>
      <c r="L2858" s="1477"/>
      <c r="M2858" s="811">
        <v>42451</v>
      </c>
      <c r="N2858" s="331" t="s">
        <v>3614</v>
      </c>
      <c r="O2858" s="263" t="s">
        <v>8909</v>
      </c>
      <c r="P2858" s="752"/>
      <c r="Q2858" s="318">
        <v>6552</v>
      </c>
      <c r="R2858" s="1410"/>
      <c r="S2858" s="1410"/>
      <c r="U2858" s="386"/>
      <c r="V2858" s="318" t="s">
        <v>6186</v>
      </c>
      <c r="W2858" s="1096">
        <v>42490</v>
      </c>
      <c r="X2858" s="1083">
        <v>42451</v>
      </c>
      <c r="Y2858" s="263" t="s">
        <v>8910</v>
      </c>
      <c r="Z2858" s="1086">
        <v>6552</v>
      </c>
      <c r="AA2858" s="811">
        <v>42516</v>
      </c>
      <c r="AB2858" s="318" t="s">
        <v>8911</v>
      </c>
      <c r="AD2858" s="1091"/>
      <c r="AE2858" s="1091"/>
      <c r="AF2858" s="1091"/>
      <c r="AG2858" s="318" t="s">
        <v>8415</v>
      </c>
    </row>
    <row r="2859" spans="1:33" ht="15.75" customHeight="1">
      <c r="A2859" s="755">
        <v>42446</v>
      </c>
      <c r="B2859" s="338" t="s">
        <v>4590</v>
      </c>
      <c r="C2859" s="744"/>
      <c r="D2859" s="308" t="s">
        <v>8907</v>
      </c>
      <c r="E2859" s="571" t="s">
        <v>8912</v>
      </c>
      <c r="F2859" s="574">
        <v>1</v>
      </c>
      <c r="G2859" s="464">
        <v>135</v>
      </c>
      <c r="H2859" s="464">
        <f t="shared" si="181"/>
        <v>135</v>
      </c>
      <c r="I2859" s="1029" t="s">
        <v>3315</v>
      </c>
      <c r="J2859" s="331" t="s">
        <v>8461</v>
      </c>
      <c r="K2859" s="811">
        <v>42453</v>
      </c>
      <c r="L2859" s="1477"/>
      <c r="M2859" s="811"/>
      <c r="N2859" s="331" t="s">
        <v>1999</v>
      </c>
      <c r="O2859" s="263"/>
      <c r="P2859" s="752"/>
      <c r="Q2859" s="386">
        <v>2470</v>
      </c>
      <c r="R2859" s="1407"/>
      <c r="S2859" s="1407"/>
      <c r="U2859" s="386"/>
      <c r="V2859" s="318" t="s">
        <v>2000</v>
      </c>
      <c r="W2859" s="1096">
        <v>42490</v>
      </c>
      <c r="X2859" s="1083">
        <v>42460</v>
      </c>
      <c r="Y2859" s="263" t="s">
        <v>8913</v>
      </c>
      <c r="Z2859" s="1086">
        <v>2470</v>
      </c>
      <c r="AA2859" s="811">
        <v>42471</v>
      </c>
      <c r="AB2859" s="318" t="s">
        <v>8911</v>
      </c>
      <c r="AD2859" s="1091"/>
      <c r="AE2859" s="1091"/>
      <c r="AF2859" s="1091"/>
      <c r="AG2859" s="318" t="s">
        <v>8415</v>
      </c>
    </row>
    <row r="2860" spans="1:33" ht="15.75" customHeight="1">
      <c r="A2860" s="755">
        <v>42447</v>
      </c>
      <c r="B2860" s="338" t="s">
        <v>1189</v>
      </c>
      <c r="C2860" s="744" t="s">
        <v>8914</v>
      </c>
      <c r="D2860" s="308" t="s">
        <v>8915</v>
      </c>
      <c r="E2860" s="571" t="s">
        <v>8916</v>
      </c>
      <c r="F2860" s="574">
        <v>250</v>
      </c>
      <c r="G2860" s="464">
        <v>14.9</v>
      </c>
      <c r="H2860" s="464">
        <f t="shared" si="181"/>
        <v>3725</v>
      </c>
      <c r="I2860" s="254" t="s">
        <v>42</v>
      </c>
      <c r="J2860" s="331" t="s">
        <v>8917</v>
      </c>
      <c r="K2860" s="811">
        <v>42502</v>
      </c>
      <c r="L2860" s="1477"/>
      <c r="M2860" s="811">
        <v>42494</v>
      </c>
      <c r="N2860" s="331" t="s">
        <v>2411</v>
      </c>
      <c r="O2860" s="263" t="s">
        <v>8918</v>
      </c>
      <c r="P2860" s="752"/>
      <c r="Q2860" s="318">
        <v>120750</v>
      </c>
      <c r="R2860" s="1410"/>
      <c r="S2860" s="1410"/>
      <c r="U2860" s="386"/>
      <c r="V2860" s="318" t="s">
        <v>2413</v>
      </c>
      <c r="W2860" s="1096">
        <v>42526</v>
      </c>
      <c r="X2860" s="263" t="s">
        <v>8919</v>
      </c>
      <c r="Y2860" s="263" t="s">
        <v>8920</v>
      </c>
      <c r="Z2860" s="1086" t="s">
        <v>8921</v>
      </c>
      <c r="AA2860" s="811">
        <v>42527</v>
      </c>
      <c r="AB2860" s="263" t="s">
        <v>8922</v>
      </c>
      <c r="AD2860" s="1091"/>
      <c r="AE2860" s="1091"/>
      <c r="AF2860" s="1091"/>
      <c r="AG2860" s="318" t="s">
        <v>283</v>
      </c>
    </row>
    <row r="2861" spans="1:33" ht="15.75" customHeight="1">
      <c r="A2861" s="775">
        <v>42447</v>
      </c>
      <c r="B2861" s="338" t="s">
        <v>76</v>
      </c>
      <c r="C2861" s="274">
        <v>256</v>
      </c>
      <c r="D2861" s="777" t="s">
        <v>8923</v>
      </c>
      <c r="E2861" s="1115" t="s">
        <v>8924</v>
      </c>
      <c r="F2861" s="837">
        <v>4</v>
      </c>
      <c r="G2861" s="813">
        <v>226</v>
      </c>
      <c r="H2861" s="813"/>
      <c r="I2861" s="280" t="s">
        <v>170</v>
      </c>
      <c r="J2861" s="281" t="s">
        <v>315</v>
      </c>
      <c r="K2861" s="814"/>
      <c r="L2861" s="1478"/>
      <c r="M2861" s="814"/>
      <c r="N2861" s="281" t="s">
        <v>8925</v>
      </c>
      <c r="O2861" s="762" t="s">
        <v>8926</v>
      </c>
      <c r="P2861" s="909"/>
      <c r="Q2861" s="1116">
        <f>853*32.506</f>
        <v>27727.617999999999</v>
      </c>
      <c r="R2861" s="1456"/>
      <c r="S2861" s="1456"/>
      <c r="U2861" s="779"/>
      <c r="V2861" s="779" t="s">
        <v>8867</v>
      </c>
      <c r="W2861" s="1117"/>
      <c r="X2861" s="1118"/>
      <c r="Y2861" s="1119"/>
      <c r="Z2861" s="1120"/>
      <c r="AA2861" s="1121"/>
      <c r="AB2861" s="1122"/>
      <c r="AD2861" s="1122"/>
      <c r="AE2861" s="1122"/>
      <c r="AF2861" s="1122"/>
      <c r="AG2861" s="779"/>
    </row>
    <row r="2862" spans="1:33" ht="15.75" customHeight="1">
      <c r="A2862" s="755">
        <v>42448</v>
      </c>
      <c r="B2862" s="592" t="s">
        <v>100</v>
      </c>
      <c r="C2862" s="744" t="s">
        <v>8927</v>
      </c>
      <c r="D2862" s="308" t="s">
        <v>8928</v>
      </c>
      <c r="E2862" s="597" t="s">
        <v>3407</v>
      </c>
      <c r="F2862" s="328">
        <v>12</v>
      </c>
      <c r="G2862" s="386">
        <v>80</v>
      </c>
      <c r="H2862" s="464">
        <f t="shared" ref="H2862:H2906" si="182">G2862*F2862</f>
        <v>960</v>
      </c>
      <c r="I2862" s="264" t="s">
        <v>170</v>
      </c>
      <c r="J2862" s="331" t="s">
        <v>8461</v>
      </c>
      <c r="K2862" s="811">
        <v>42478</v>
      </c>
      <c r="L2862" s="1477"/>
      <c r="M2862" s="811">
        <v>42471</v>
      </c>
      <c r="N2862" s="331" t="s">
        <v>2001</v>
      </c>
      <c r="O2862" s="263" t="s">
        <v>8918</v>
      </c>
      <c r="P2862" s="752"/>
      <c r="Q2862" s="318">
        <v>30240</v>
      </c>
      <c r="R2862" s="1410"/>
      <c r="S2862" s="1410"/>
      <c r="U2862" s="386"/>
      <c r="V2862" s="318" t="s">
        <v>2003</v>
      </c>
      <c r="W2862" s="1096">
        <v>42526</v>
      </c>
      <c r="X2862" s="1083">
        <v>42471</v>
      </c>
      <c r="Y2862" s="263" t="s">
        <v>8929</v>
      </c>
      <c r="Z2862" s="1086">
        <v>97965</v>
      </c>
      <c r="AA2862" s="811">
        <v>42529</v>
      </c>
      <c r="AB2862" s="308" t="s">
        <v>8930</v>
      </c>
      <c r="AD2862" s="1091"/>
      <c r="AE2862" s="1091"/>
      <c r="AF2862" s="1091"/>
      <c r="AG2862" s="1092" t="s">
        <v>283</v>
      </c>
    </row>
    <row r="2863" spans="1:33" ht="15.75" customHeight="1">
      <c r="A2863" s="755">
        <v>42448</v>
      </c>
      <c r="B2863" s="592" t="s">
        <v>100</v>
      </c>
      <c r="C2863" s="744" t="s">
        <v>8927</v>
      </c>
      <c r="D2863" s="308" t="s">
        <v>8928</v>
      </c>
      <c r="E2863" s="597" t="s">
        <v>3413</v>
      </c>
      <c r="F2863" s="328">
        <v>12</v>
      </c>
      <c r="G2863" s="386">
        <v>60</v>
      </c>
      <c r="H2863" s="464">
        <f t="shared" si="182"/>
        <v>720</v>
      </c>
      <c r="I2863" s="254" t="s">
        <v>170</v>
      </c>
      <c r="J2863" s="331" t="s">
        <v>8461</v>
      </c>
      <c r="K2863" s="811">
        <v>42478</v>
      </c>
      <c r="L2863" s="1477"/>
      <c r="M2863" s="811">
        <v>42471</v>
      </c>
      <c r="N2863" s="331" t="s">
        <v>2001</v>
      </c>
      <c r="O2863" s="263" t="s">
        <v>8918</v>
      </c>
      <c r="P2863" s="752"/>
      <c r="Q2863" s="318">
        <v>22680</v>
      </c>
      <c r="R2863" s="1410"/>
      <c r="S2863" s="1410"/>
      <c r="U2863" s="386"/>
      <c r="V2863" s="318" t="s">
        <v>2003</v>
      </c>
      <c r="W2863" s="1096">
        <v>42526</v>
      </c>
      <c r="X2863" s="1083">
        <v>42471</v>
      </c>
      <c r="Y2863" s="263" t="s">
        <v>8929</v>
      </c>
      <c r="Z2863" s="1086" t="s">
        <v>8931</v>
      </c>
      <c r="AA2863" s="811">
        <v>42529</v>
      </c>
      <c r="AB2863" s="318" t="s">
        <v>8930</v>
      </c>
      <c r="AD2863" s="1091"/>
      <c r="AE2863" s="1091"/>
      <c r="AF2863" s="1091"/>
      <c r="AG2863" s="1092" t="s">
        <v>283</v>
      </c>
    </row>
    <row r="2864" spans="1:33" ht="15.75" customHeight="1">
      <c r="A2864" s="755">
        <v>42448</v>
      </c>
      <c r="B2864" s="592" t="s">
        <v>100</v>
      </c>
      <c r="C2864" s="744" t="s">
        <v>8927</v>
      </c>
      <c r="D2864" s="308" t="s">
        <v>8928</v>
      </c>
      <c r="E2864" s="597" t="s">
        <v>3415</v>
      </c>
      <c r="F2864" s="328">
        <v>12</v>
      </c>
      <c r="G2864" s="386">
        <v>116</v>
      </c>
      <c r="H2864" s="464">
        <f t="shared" si="182"/>
        <v>1392</v>
      </c>
      <c r="I2864" s="254" t="s">
        <v>170</v>
      </c>
      <c r="J2864" s="331" t="s">
        <v>8461</v>
      </c>
      <c r="K2864" s="811">
        <v>42478</v>
      </c>
      <c r="L2864" s="1477"/>
      <c r="M2864" s="811">
        <v>42471</v>
      </c>
      <c r="N2864" s="331" t="s">
        <v>2001</v>
      </c>
      <c r="O2864" s="263" t="s">
        <v>8918</v>
      </c>
      <c r="P2864" s="752"/>
      <c r="Q2864" s="318">
        <v>44100</v>
      </c>
      <c r="R2864" s="1410"/>
      <c r="S2864" s="1410"/>
      <c r="U2864" s="386"/>
      <c r="V2864" s="318" t="s">
        <v>2003</v>
      </c>
      <c r="W2864" s="747">
        <v>42526</v>
      </c>
      <c r="X2864" s="1083">
        <v>42471</v>
      </c>
      <c r="Y2864" s="263" t="s">
        <v>8929</v>
      </c>
      <c r="Z2864" s="1086" t="s">
        <v>8931</v>
      </c>
      <c r="AA2864" s="811">
        <v>42529</v>
      </c>
      <c r="AB2864" s="318" t="s">
        <v>8930</v>
      </c>
      <c r="AD2864" s="1091"/>
      <c r="AE2864" s="1091"/>
      <c r="AF2864" s="1091"/>
      <c r="AG2864" s="1092" t="s">
        <v>283</v>
      </c>
    </row>
    <row r="2865" spans="1:33" ht="15.75" customHeight="1">
      <c r="A2865" s="755">
        <v>42448</v>
      </c>
      <c r="B2865" s="592" t="s">
        <v>100</v>
      </c>
      <c r="C2865" s="744" t="s">
        <v>8927</v>
      </c>
      <c r="D2865" s="308" t="s">
        <v>8928</v>
      </c>
      <c r="E2865" s="597" t="s">
        <v>3416</v>
      </c>
      <c r="F2865" s="328">
        <v>12</v>
      </c>
      <c r="G2865" s="386">
        <v>2</v>
      </c>
      <c r="H2865" s="464">
        <f t="shared" si="182"/>
        <v>24</v>
      </c>
      <c r="I2865" s="254" t="s">
        <v>170</v>
      </c>
      <c r="J2865" s="331" t="s">
        <v>8461</v>
      </c>
      <c r="K2865" s="811">
        <v>42478</v>
      </c>
      <c r="L2865" s="1477"/>
      <c r="M2865" s="811">
        <v>42471</v>
      </c>
      <c r="N2865" s="331" t="s">
        <v>8932</v>
      </c>
      <c r="O2865" s="263"/>
      <c r="P2865" s="752"/>
      <c r="Q2865" s="386"/>
      <c r="R2865" s="1407"/>
      <c r="S2865" s="1407"/>
      <c r="U2865" s="318"/>
      <c r="V2865" s="318"/>
      <c r="W2865" s="624"/>
      <c r="X2865" s="318" t="s">
        <v>6529</v>
      </c>
      <c r="Y2865" s="1087"/>
      <c r="Z2865" s="1102"/>
      <c r="AA2865" s="1114"/>
      <c r="AB2865" s="318" t="s">
        <v>8930</v>
      </c>
      <c r="AD2865" s="1091"/>
      <c r="AE2865" s="1091"/>
      <c r="AF2865" s="1091"/>
      <c r="AG2865" s="1092" t="s">
        <v>283</v>
      </c>
    </row>
    <row r="2866" spans="1:33" ht="15.75" customHeight="1">
      <c r="A2866" s="755">
        <v>42448</v>
      </c>
      <c r="B2866" s="592" t="s">
        <v>100</v>
      </c>
      <c r="C2866" s="744" t="s">
        <v>8927</v>
      </c>
      <c r="D2866" s="308" t="s">
        <v>8928</v>
      </c>
      <c r="E2866" s="597" t="s">
        <v>3418</v>
      </c>
      <c r="F2866" s="328">
        <v>12</v>
      </c>
      <c r="G2866" s="386">
        <v>2.5</v>
      </c>
      <c r="H2866" s="464">
        <f t="shared" si="182"/>
        <v>30</v>
      </c>
      <c r="I2866" s="254" t="s">
        <v>170</v>
      </c>
      <c r="J2866" s="331" t="s">
        <v>8461</v>
      </c>
      <c r="K2866" s="811">
        <v>42478</v>
      </c>
      <c r="L2866" s="1477"/>
      <c r="M2866" s="811">
        <v>42471</v>
      </c>
      <c r="N2866" s="331" t="s">
        <v>2001</v>
      </c>
      <c r="O2866" s="263" t="s">
        <v>8933</v>
      </c>
      <c r="P2866" s="752"/>
      <c r="Q2866" s="318">
        <v>3780</v>
      </c>
      <c r="R2866" s="1410"/>
      <c r="S2866" s="1410"/>
      <c r="U2866" s="386"/>
      <c r="V2866" s="318" t="s">
        <v>2003</v>
      </c>
      <c r="W2866" s="624"/>
      <c r="X2866" s="386" t="s">
        <v>6531</v>
      </c>
      <c r="Y2866" s="1087"/>
      <c r="Z2866" s="1102"/>
      <c r="AA2866" s="811">
        <v>42529</v>
      </c>
      <c r="AB2866" s="318" t="s">
        <v>8930</v>
      </c>
      <c r="AD2866" s="1091"/>
      <c r="AE2866" s="1091"/>
      <c r="AF2866" s="1091"/>
      <c r="AG2866" s="1092" t="s">
        <v>283</v>
      </c>
    </row>
    <row r="2867" spans="1:33" ht="15.75" customHeight="1">
      <c r="A2867" s="755">
        <v>42448</v>
      </c>
      <c r="B2867" s="592" t="s">
        <v>100</v>
      </c>
      <c r="C2867" s="744" t="s">
        <v>8927</v>
      </c>
      <c r="D2867" s="308" t="s">
        <v>8928</v>
      </c>
      <c r="E2867" s="597" t="s">
        <v>3420</v>
      </c>
      <c r="F2867" s="328">
        <v>12</v>
      </c>
      <c r="G2867" s="386">
        <v>4</v>
      </c>
      <c r="H2867" s="464">
        <f t="shared" si="182"/>
        <v>48</v>
      </c>
      <c r="I2867" s="254" t="s">
        <v>170</v>
      </c>
      <c r="J2867" s="331" t="s">
        <v>8461</v>
      </c>
      <c r="K2867" s="811">
        <v>42478</v>
      </c>
      <c r="L2867" s="1477"/>
      <c r="M2867" s="811">
        <v>42471</v>
      </c>
      <c r="N2867" s="331" t="s">
        <v>2001</v>
      </c>
      <c r="O2867" s="263" t="s">
        <v>8918</v>
      </c>
      <c r="P2867" s="752"/>
      <c r="Q2867" s="318">
        <v>945</v>
      </c>
      <c r="R2867" s="1410"/>
      <c r="S2867" s="1410"/>
      <c r="U2867" s="328"/>
      <c r="V2867" s="318" t="s">
        <v>2003</v>
      </c>
      <c r="W2867" s="1096">
        <v>42526</v>
      </c>
      <c r="X2867" s="750">
        <v>42471</v>
      </c>
      <c r="Y2867" s="263" t="s">
        <v>8929</v>
      </c>
      <c r="Z2867" s="1086" t="s">
        <v>8931</v>
      </c>
      <c r="AA2867" s="811">
        <v>42529</v>
      </c>
      <c r="AB2867" s="318" t="s">
        <v>8930</v>
      </c>
      <c r="AD2867" s="1091"/>
      <c r="AE2867" s="1091"/>
      <c r="AF2867" s="1091"/>
      <c r="AG2867" s="1092" t="s">
        <v>283</v>
      </c>
    </row>
    <row r="2868" spans="1:33" ht="15.75" customHeight="1">
      <c r="A2868" s="755">
        <v>42448</v>
      </c>
      <c r="B2868" s="592" t="s">
        <v>100</v>
      </c>
      <c r="C2868" s="744" t="s">
        <v>8927</v>
      </c>
      <c r="D2868" s="308" t="s">
        <v>8928</v>
      </c>
      <c r="E2868" s="597" t="s">
        <v>3421</v>
      </c>
      <c r="F2868" s="328">
        <v>12</v>
      </c>
      <c r="G2868" s="386">
        <v>8</v>
      </c>
      <c r="H2868" s="464">
        <f t="shared" si="182"/>
        <v>96</v>
      </c>
      <c r="I2868" s="254" t="s">
        <v>170</v>
      </c>
      <c r="J2868" s="331" t="s">
        <v>8461</v>
      </c>
      <c r="K2868" s="811">
        <v>42478</v>
      </c>
      <c r="L2868" s="1477"/>
      <c r="M2868" s="811">
        <v>42471</v>
      </c>
      <c r="N2868" s="331" t="s">
        <v>8934</v>
      </c>
      <c r="O2868" s="263"/>
      <c r="P2868" s="752"/>
      <c r="Q2868" s="386">
        <v>2500</v>
      </c>
      <c r="R2868" s="1407"/>
      <c r="S2868" s="1407"/>
      <c r="U2868" s="386"/>
      <c r="V2868" s="318"/>
      <c r="W2868" s="1090"/>
      <c r="X2868" s="263" t="s">
        <v>5529</v>
      </c>
      <c r="Y2868" s="263" t="s">
        <v>5529</v>
      </c>
      <c r="Z2868" s="263" t="s">
        <v>5529</v>
      </c>
      <c r="AA2868" s="811"/>
      <c r="AB2868" s="318" t="s">
        <v>8930</v>
      </c>
      <c r="AD2868" s="1091"/>
      <c r="AE2868" s="1091"/>
      <c r="AF2868" s="1091"/>
      <c r="AG2868" s="1092" t="s">
        <v>283</v>
      </c>
    </row>
    <row r="2869" spans="1:33" ht="15.75" customHeight="1">
      <c r="A2869" s="755">
        <v>42448</v>
      </c>
      <c r="B2869" s="592" t="s">
        <v>100</v>
      </c>
      <c r="C2869" s="744"/>
      <c r="D2869" s="308" t="s">
        <v>8935</v>
      </c>
      <c r="E2869" s="571" t="s">
        <v>8936</v>
      </c>
      <c r="F2869" s="328">
        <v>1</v>
      </c>
      <c r="G2869" s="464">
        <v>1575</v>
      </c>
      <c r="H2869" s="464">
        <f t="shared" si="182"/>
        <v>1575</v>
      </c>
      <c r="I2869" s="254" t="s">
        <v>170</v>
      </c>
      <c r="J2869" s="331" t="s">
        <v>8461</v>
      </c>
      <c r="K2869" s="811">
        <v>42478</v>
      </c>
      <c r="L2869" s="1477"/>
      <c r="M2869" s="811"/>
      <c r="N2869" s="331"/>
      <c r="O2869" s="263"/>
      <c r="P2869" s="752"/>
      <c r="Q2869" s="1054">
        <v>43868</v>
      </c>
      <c r="R2869" s="1413"/>
      <c r="S2869" s="1413"/>
      <c r="U2869" s="386"/>
      <c r="V2869" s="318"/>
      <c r="W2869" s="747">
        <v>42512</v>
      </c>
      <c r="X2869" s="1083">
        <v>42482</v>
      </c>
      <c r="Y2869" s="263" t="s">
        <v>8937</v>
      </c>
      <c r="Z2869" s="1086">
        <v>43868</v>
      </c>
      <c r="AA2869" s="811">
        <v>42494</v>
      </c>
      <c r="AB2869" s="318" t="s">
        <v>8930</v>
      </c>
      <c r="AD2869" s="1091"/>
      <c r="AE2869" s="1091"/>
      <c r="AF2869" s="1091"/>
      <c r="AG2869" s="1092" t="s">
        <v>283</v>
      </c>
    </row>
    <row r="2870" spans="1:33" ht="15.75" customHeight="1">
      <c r="A2870" s="755">
        <v>42448</v>
      </c>
      <c r="B2870" s="338" t="s">
        <v>629</v>
      </c>
      <c r="C2870" s="744" t="s">
        <v>8938</v>
      </c>
      <c r="D2870" s="308" t="s">
        <v>8939</v>
      </c>
      <c r="E2870" s="571" t="s">
        <v>8940</v>
      </c>
      <c r="F2870" s="574">
        <v>3</v>
      </c>
      <c r="G2870" s="464">
        <v>84</v>
      </c>
      <c r="H2870" s="464">
        <f t="shared" si="182"/>
        <v>252</v>
      </c>
      <c r="I2870" s="254" t="s">
        <v>170</v>
      </c>
      <c r="J2870" s="331" t="s">
        <v>89</v>
      </c>
      <c r="K2870" s="811">
        <v>42452</v>
      </c>
      <c r="L2870" s="1477"/>
      <c r="M2870" s="811"/>
      <c r="N2870" s="331" t="s">
        <v>89</v>
      </c>
      <c r="O2870" s="263" t="s">
        <v>8941</v>
      </c>
      <c r="P2870" s="752">
        <v>236.25</v>
      </c>
      <c r="Q2870" s="386"/>
      <c r="R2870" s="1407"/>
      <c r="S2870" s="1407"/>
      <c r="U2870" s="386"/>
      <c r="V2870" s="318" t="s">
        <v>5896</v>
      </c>
      <c r="W2870" s="1090"/>
      <c r="X2870" s="1083">
        <v>42452</v>
      </c>
      <c r="Y2870" s="263" t="s">
        <v>8942</v>
      </c>
      <c r="Z2870" s="1086">
        <v>7737</v>
      </c>
      <c r="AA2870" s="811">
        <v>42471</v>
      </c>
      <c r="AB2870" s="318" t="s">
        <v>8943</v>
      </c>
      <c r="AD2870" s="386" t="s">
        <v>8944</v>
      </c>
      <c r="AE2870" s="1097">
        <v>8166</v>
      </c>
      <c r="AF2870" s="386" t="s">
        <v>8898</v>
      </c>
      <c r="AG2870" s="1092"/>
    </row>
    <row r="2871" spans="1:33" ht="15.75" customHeight="1">
      <c r="A2871" s="755">
        <v>42451</v>
      </c>
      <c r="B2871" s="338" t="s">
        <v>415</v>
      </c>
      <c r="C2871" s="744" t="s">
        <v>8945</v>
      </c>
      <c r="D2871" s="308" t="s">
        <v>8946</v>
      </c>
      <c r="E2871" s="571" t="s">
        <v>8947</v>
      </c>
      <c r="F2871" s="574">
        <v>1</v>
      </c>
      <c r="G2871" s="464">
        <v>379</v>
      </c>
      <c r="H2871" s="464">
        <f t="shared" si="182"/>
        <v>379</v>
      </c>
      <c r="I2871" s="254" t="s">
        <v>170</v>
      </c>
      <c r="J2871" s="331" t="s">
        <v>8948</v>
      </c>
      <c r="K2871" s="811">
        <v>42474</v>
      </c>
      <c r="L2871" s="1477"/>
      <c r="M2871" s="811">
        <v>42473</v>
      </c>
      <c r="N2871" s="331"/>
      <c r="O2871" s="263"/>
      <c r="P2871" s="752"/>
      <c r="Q2871" s="657"/>
      <c r="R2871" s="1418"/>
      <c r="S2871" s="1418"/>
      <c r="U2871" s="386"/>
      <c r="V2871" s="318"/>
      <c r="W2871" s="1090"/>
      <c r="X2871" s="1101"/>
      <c r="Y2871" s="386" t="s">
        <v>8949</v>
      </c>
      <c r="Z2871" s="386" t="s">
        <v>8949</v>
      </c>
      <c r="AA2871" s="1114"/>
      <c r="AB2871" s="318" t="s">
        <v>8950</v>
      </c>
      <c r="AD2871" s="1091"/>
      <c r="AE2871" s="386"/>
      <c r="AF2871" s="1091"/>
      <c r="AG2871" s="1092" t="s">
        <v>8415</v>
      </c>
    </row>
    <row r="2872" spans="1:33" ht="15.75" customHeight="1">
      <c r="A2872" s="755">
        <v>42451</v>
      </c>
      <c r="B2872" s="338" t="s">
        <v>415</v>
      </c>
      <c r="C2872" s="744" t="s">
        <v>8951</v>
      </c>
      <c r="D2872" s="308" t="s">
        <v>8946</v>
      </c>
      <c r="E2872" s="571" t="s">
        <v>8952</v>
      </c>
      <c r="F2872" s="574">
        <v>1</v>
      </c>
      <c r="G2872" s="464">
        <v>45</v>
      </c>
      <c r="H2872" s="464">
        <f t="shared" si="182"/>
        <v>45</v>
      </c>
      <c r="I2872" s="254" t="s">
        <v>170</v>
      </c>
      <c r="J2872" s="331" t="s">
        <v>8948</v>
      </c>
      <c r="K2872" s="811">
        <v>42474</v>
      </c>
      <c r="L2872" s="1477"/>
      <c r="M2872" s="811">
        <v>42473</v>
      </c>
      <c r="N2872" s="331"/>
      <c r="O2872" s="263"/>
      <c r="P2872" s="752"/>
      <c r="Q2872" s="386"/>
      <c r="R2872" s="1407"/>
      <c r="S2872" s="1407"/>
      <c r="U2872" s="386"/>
      <c r="V2872" s="318"/>
      <c r="W2872" s="1090"/>
      <c r="X2872" s="1101"/>
      <c r="Y2872" s="386" t="s">
        <v>8949</v>
      </c>
      <c r="Z2872" s="386" t="s">
        <v>8949</v>
      </c>
      <c r="AA2872" s="1114"/>
      <c r="AB2872" s="318" t="s">
        <v>8950</v>
      </c>
      <c r="AD2872" s="1091"/>
      <c r="AE2872" s="386"/>
      <c r="AF2872" s="1091"/>
      <c r="AG2872" s="1092" t="s">
        <v>8415</v>
      </c>
    </row>
    <row r="2873" spans="1:33" ht="15.75" customHeight="1">
      <c r="A2873" s="755">
        <v>42451</v>
      </c>
      <c r="B2873" s="338" t="s">
        <v>415</v>
      </c>
      <c r="C2873" s="744" t="s">
        <v>8945</v>
      </c>
      <c r="D2873" s="308" t="s">
        <v>8946</v>
      </c>
      <c r="E2873" s="571" t="s">
        <v>8953</v>
      </c>
      <c r="F2873" s="574">
        <v>1</v>
      </c>
      <c r="G2873" s="464">
        <v>25</v>
      </c>
      <c r="H2873" s="464">
        <f t="shared" si="182"/>
        <v>25</v>
      </c>
      <c r="I2873" s="254" t="s">
        <v>170</v>
      </c>
      <c r="J2873" s="331" t="s">
        <v>8948</v>
      </c>
      <c r="K2873" s="811">
        <v>42474</v>
      </c>
      <c r="L2873" s="1477"/>
      <c r="M2873" s="811">
        <v>42473</v>
      </c>
      <c r="N2873" s="331"/>
      <c r="O2873" s="263"/>
      <c r="P2873" s="752"/>
      <c r="Q2873" s="318">
        <v>250</v>
      </c>
      <c r="R2873" s="1410"/>
      <c r="S2873" s="1410"/>
      <c r="U2873" s="386"/>
      <c r="V2873" s="318"/>
      <c r="W2873" s="1090"/>
      <c r="X2873" s="1083">
        <v>42475</v>
      </c>
      <c r="Y2873" s="263" t="s">
        <v>8954</v>
      </c>
      <c r="Z2873" s="254">
        <v>250</v>
      </c>
      <c r="AA2873" s="811">
        <v>42475</v>
      </c>
      <c r="AB2873" s="318" t="s">
        <v>8950</v>
      </c>
      <c r="AD2873" s="1091"/>
      <c r="AE2873" s="1091"/>
      <c r="AF2873" s="1091"/>
      <c r="AG2873" s="1092" t="s">
        <v>8415</v>
      </c>
    </row>
    <row r="2874" spans="1:33" ht="15.75" customHeight="1">
      <c r="A2874" s="755">
        <v>42452</v>
      </c>
      <c r="B2874" s="592" t="s">
        <v>3709</v>
      </c>
      <c r="C2874" s="744" t="s">
        <v>8955</v>
      </c>
      <c r="D2874" s="308" t="s">
        <v>8956</v>
      </c>
      <c r="E2874" s="571" t="s">
        <v>3715</v>
      </c>
      <c r="F2874" s="574">
        <v>4</v>
      </c>
      <c r="G2874" s="464">
        <v>147</v>
      </c>
      <c r="H2874" s="464">
        <f t="shared" si="182"/>
        <v>588</v>
      </c>
      <c r="I2874" s="254" t="s">
        <v>3712</v>
      </c>
      <c r="J2874" s="331" t="s">
        <v>8957</v>
      </c>
      <c r="K2874" s="811">
        <v>42461</v>
      </c>
      <c r="L2874" s="1477"/>
      <c r="M2874" s="811">
        <v>42457</v>
      </c>
      <c r="N2874" s="331" t="s">
        <v>89</v>
      </c>
      <c r="O2874" s="263" t="s">
        <v>8958</v>
      </c>
      <c r="P2874" s="752">
        <v>432.6</v>
      </c>
      <c r="Q2874" s="386"/>
      <c r="R2874" s="1407"/>
      <c r="S2874" s="1407"/>
      <c r="U2874" s="386"/>
      <c r="V2874" s="318" t="s">
        <v>5896</v>
      </c>
      <c r="W2874" s="1090"/>
      <c r="X2874" s="1083">
        <v>42457</v>
      </c>
      <c r="Y2874" s="263" t="s">
        <v>8959</v>
      </c>
      <c r="Z2874" s="1086">
        <v>14168</v>
      </c>
      <c r="AA2874" s="811">
        <v>42471</v>
      </c>
      <c r="AB2874" s="318" t="s">
        <v>8960</v>
      </c>
      <c r="AD2874" s="1091"/>
      <c r="AE2874" s="1091"/>
      <c r="AF2874" s="1091"/>
      <c r="AG2874" s="318" t="s">
        <v>283</v>
      </c>
    </row>
    <row r="2875" spans="1:33" ht="15.75" customHeight="1">
      <c r="A2875" s="755">
        <v>42453</v>
      </c>
      <c r="B2875" s="338" t="s">
        <v>5017</v>
      </c>
      <c r="C2875" s="744" t="s">
        <v>8961</v>
      </c>
      <c r="D2875" s="308" t="s">
        <v>8962</v>
      </c>
      <c r="E2875" s="571" t="s">
        <v>7737</v>
      </c>
      <c r="F2875" s="574">
        <v>15</v>
      </c>
      <c r="G2875" s="464">
        <f>9.4*1.05</f>
        <v>9.870000000000001</v>
      </c>
      <c r="H2875" s="464">
        <f t="shared" si="182"/>
        <v>148.05000000000001</v>
      </c>
      <c r="I2875" s="1029" t="s">
        <v>3315</v>
      </c>
      <c r="J2875" s="331" t="s">
        <v>5882</v>
      </c>
      <c r="K2875" s="811">
        <v>42474</v>
      </c>
      <c r="L2875" s="1477"/>
      <c r="M2875" s="811">
        <v>42472</v>
      </c>
      <c r="N2875" s="331" t="s">
        <v>2411</v>
      </c>
      <c r="O2875" s="318" t="s">
        <v>8963</v>
      </c>
      <c r="P2875" s="752"/>
      <c r="Q2875" s="752">
        <v>3780</v>
      </c>
      <c r="R2875" s="1405"/>
      <c r="S2875" s="1405"/>
      <c r="U2875" s="386"/>
      <c r="V2875" s="318" t="s">
        <v>8964</v>
      </c>
      <c r="W2875" s="1096">
        <v>42526</v>
      </c>
      <c r="X2875" s="1083">
        <v>42471</v>
      </c>
      <c r="Y2875" s="263" t="s">
        <v>8965</v>
      </c>
      <c r="Z2875" s="1086">
        <v>25499</v>
      </c>
      <c r="AA2875" s="811">
        <v>42527</v>
      </c>
      <c r="AB2875" s="318" t="s">
        <v>8966</v>
      </c>
      <c r="AD2875" s="592" t="s">
        <v>8967</v>
      </c>
      <c r="AE2875" s="1097">
        <v>27900</v>
      </c>
      <c r="AF2875" s="386" t="s">
        <v>8968</v>
      </c>
      <c r="AG2875" s="1092"/>
    </row>
    <row r="2876" spans="1:33" ht="15.75" customHeight="1">
      <c r="A2876" s="755">
        <v>42453</v>
      </c>
      <c r="B2876" s="338" t="s">
        <v>5017</v>
      </c>
      <c r="C2876" s="744" t="s">
        <v>8961</v>
      </c>
      <c r="D2876" s="308" t="s">
        <v>8962</v>
      </c>
      <c r="E2876" s="571" t="s">
        <v>8969</v>
      </c>
      <c r="F2876" s="574">
        <v>15</v>
      </c>
      <c r="G2876" s="464">
        <f>37*1.05</f>
        <v>38.85</v>
      </c>
      <c r="H2876" s="464">
        <f t="shared" si="182"/>
        <v>582.75</v>
      </c>
      <c r="I2876" s="1029" t="s">
        <v>3315</v>
      </c>
      <c r="J2876" s="331" t="s">
        <v>5882</v>
      </c>
      <c r="K2876" s="811">
        <v>42474</v>
      </c>
      <c r="L2876" s="1477"/>
      <c r="M2876" s="811">
        <v>42472</v>
      </c>
      <c r="N2876" s="331" t="s">
        <v>2411</v>
      </c>
      <c r="O2876" s="318" t="s">
        <v>8963</v>
      </c>
      <c r="P2876" s="752"/>
      <c r="Q2876" s="752">
        <v>17939</v>
      </c>
      <c r="R2876" s="1405"/>
      <c r="S2876" s="1405"/>
      <c r="U2876" s="386"/>
      <c r="V2876" s="318" t="s">
        <v>8964</v>
      </c>
      <c r="W2876" s="1096">
        <v>42526</v>
      </c>
      <c r="X2876" s="1083">
        <v>42471</v>
      </c>
      <c r="Y2876" s="263" t="s">
        <v>8965</v>
      </c>
      <c r="Z2876" s="1086" t="s">
        <v>8970</v>
      </c>
      <c r="AA2876" s="811">
        <v>42527</v>
      </c>
      <c r="AB2876" s="318" t="s">
        <v>8966</v>
      </c>
      <c r="AD2876" s="592" t="s">
        <v>8967</v>
      </c>
      <c r="AE2876" s="1088" t="s">
        <v>8970</v>
      </c>
      <c r="AF2876" s="386" t="s">
        <v>8968</v>
      </c>
      <c r="AG2876" s="1092"/>
    </row>
    <row r="2877" spans="1:33" ht="15.75" customHeight="1">
      <c r="A2877" s="755">
        <v>42453</v>
      </c>
      <c r="B2877" s="338" t="s">
        <v>5017</v>
      </c>
      <c r="C2877" s="744" t="s">
        <v>8961</v>
      </c>
      <c r="D2877" s="308" t="s">
        <v>8962</v>
      </c>
      <c r="E2877" s="571" t="s">
        <v>7265</v>
      </c>
      <c r="F2877" s="574">
        <v>15</v>
      </c>
      <c r="G2877" s="464">
        <f>8.4*1.05</f>
        <v>8.82</v>
      </c>
      <c r="H2877" s="464">
        <f t="shared" si="182"/>
        <v>132.30000000000001</v>
      </c>
      <c r="I2877" s="1029" t="s">
        <v>3315</v>
      </c>
      <c r="J2877" s="331" t="s">
        <v>5882</v>
      </c>
      <c r="K2877" s="811">
        <v>42474</v>
      </c>
      <c r="L2877" s="1477"/>
      <c r="M2877" s="811">
        <v>42472</v>
      </c>
      <c r="N2877" s="331" t="s">
        <v>2411</v>
      </c>
      <c r="O2877" s="318" t="s">
        <v>8963</v>
      </c>
      <c r="P2877" s="752"/>
      <c r="Q2877" s="752">
        <v>3780</v>
      </c>
      <c r="R2877" s="1405"/>
      <c r="S2877" s="1405"/>
      <c r="U2877" s="386"/>
      <c r="V2877" s="318" t="s">
        <v>8964</v>
      </c>
      <c r="W2877" s="1096">
        <v>42526</v>
      </c>
      <c r="X2877" s="1083">
        <v>42471</v>
      </c>
      <c r="Y2877" s="263" t="s">
        <v>8965</v>
      </c>
      <c r="Z2877" s="1086" t="s">
        <v>8970</v>
      </c>
      <c r="AA2877" s="811">
        <v>42527</v>
      </c>
      <c r="AB2877" s="318" t="s">
        <v>8966</v>
      </c>
      <c r="AD2877" s="592" t="s">
        <v>8967</v>
      </c>
      <c r="AE2877" s="1088" t="s">
        <v>8970</v>
      </c>
      <c r="AF2877" s="386" t="s">
        <v>8968</v>
      </c>
      <c r="AG2877" s="1092"/>
    </row>
    <row r="2878" spans="1:33" ht="15.75" customHeight="1">
      <c r="A2878" s="755">
        <v>42453</v>
      </c>
      <c r="B2878" s="338" t="s">
        <v>5017</v>
      </c>
      <c r="C2878" s="744" t="s">
        <v>8961</v>
      </c>
      <c r="D2878" s="308" t="s">
        <v>8962</v>
      </c>
      <c r="E2878" s="571" t="s">
        <v>7258</v>
      </c>
      <c r="F2878" s="574">
        <v>20</v>
      </c>
      <c r="G2878" s="464">
        <f>11*1.05</f>
        <v>11.55</v>
      </c>
      <c r="H2878" s="464">
        <f t="shared" si="182"/>
        <v>231</v>
      </c>
      <c r="I2878" s="1029" t="s">
        <v>3315</v>
      </c>
      <c r="J2878" s="331" t="s">
        <v>8971</v>
      </c>
      <c r="K2878" s="811">
        <v>42488</v>
      </c>
      <c r="L2878" s="1477"/>
      <c r="M2878" s="811">
        <v>42482</v>
      </c>
      <c r="N2878" s="331" t="s">
        <v>2411</v>
      </c>
      <c r="O2878" s="318" t="s">
        <v>8963</v>
      </c>
      <c r="P2878" s="752"/>
      <c r="Q2878" s="752">
        <v>7119</v>
      </c>
      <c r="R2878" s="1405"/>
      <c r="S2878" s="1405"/>
      <c r="U2878" s="386"/>
      <c r="V2878" s="318" t="s">
        <v>8964</v>
      </c>
      <c r="W2878" s="1096">
        <v>42526</v>
      </c>
      <c r="X2878" s="1083">
        <v>42481</v>
      </c>
      <c r="Y2878" s="263" t="s">
        <v>8972</v>
      </c>
      <c r="Z2878" s="1086">
        <v>7119</v>
      </c>
      <c r="AA2878" s="811">
        <v>42527</v>
      </c>
      <c r="AB2878" s="318" t="s">
        <v>8973</v>
      </c>
      <c r="AD2878" s="592" t="s">
        <v>8974</v>
      </c>
      <c r="AE2878" s="1097">
        <v>13729</v>
      </c>
      <c r="AF2878" s="386" t="s">
        <v>8968</v>
      </c>
      <c r="AG2878" s="1092"/>
    </row>
    <row r="2879" spans="1:33" ht="15.75" customHeight="1">
      <c r="A2879" s="755">
        <v>42453</v>
      </c>
      <c r="B2879" s="338" t="s">
        <v>5017</v>
      </c>
      <c r="C2879" s="744" t="s">
        <v>8961</v>
      </c>
      <c r="D2879" s="308" t="s">
        <v>8962</v>
      </c>
      <c r="E2879" s="571" t="s">
        <v>8975</v>
      </c>
      <c r="F2879" s="574">
        <v>10</v>
      </c>
      <c r="G2879" s="464">
        <f>18.5*1.05</f>
        <v>19.425000000000001</v>
      </c>
      <c r="H2879" s="464">
        <f t="shared" si="182"/>
        <v>194.25</v>
      </c>
      <c r="I2879" s="1029" t="s">
        <v>3315</v>
      </c>
      <c r="J2879" s="331" t="s">
        <v>8971</v>
      </c>
      <c r="K2879" s="811">
        <v>42488</v>
      </c>
      <c r="L2879" s="1477"/>
      <c r="M2879" s="811">
        <v>42486</v>
      </c>
      <c r="N2879" s="331" t="s">
        <v>2411</v>
      </c>
      <c r="O2879" s="318" t="s">
        <v>8963</v>
      </c>
      <c r="P2879" s="752"/>
      <c r="Q2879" s="752">
        <v>5985</v>
      </c>
      <c r="R2879" s="1405"/>
      <c r="S2879" s="1405"/>
      <c r="U2879" s="386"/>
      <c r="V2879" s="318" t="s">
        <v>8964</v>
      </c>
      <c r="W2879" s="1096">
        <v>42526</v>
      </c>
      <c r="X2879" s="1083">
        <v>42481</v>
      </c>
      <c r="Y2879" s="263" t="s">
        <v>8976</v>
      </c>
      <c r="Z2879" s="1086">
        <v>5985</v>
      </c>
      <c r="AA2879" s="811">
        <v>42527</v>
      </c>
      <c r="AB2879" s="318" t="s">
        <v>8973</v>
      </c>
      <c r="AD2879" s="592" t="s">
        <v>8974</v>
      </c>
      <c r="AE2879" s="1088" t="s">
        <v>8977</v>
      </c>
      <c r="AF2879" s="386" t="s">
        <v>8968</v>
      </c>
      <c r="AG2879" s="1092"/>
    </row>
    <row r="2880" spans="1:33" ht="15.75" customHeight="1">
      <c r="A2880" s="755">
        <v>42453</v>
      </c>
      <c r="B2880" s="338" t="s">
        <v>5017</v>
      </c>
      <c r="C2880" s="744" t="s">
        <v>8978</v>
      </c>
      <c r="D2880" s="308" t="s">
        <v>8979</v>
      </c>
      <c r="E2880" s="571" t="s">
        <v>7258</v>
      </c>
      <c r="F2880" s="574">
        <v>10</v>
      </c>
      <c r="G2880" s="464">
        <f>11*1.05</f>
        <v>11.55</v>
      </c>
      <c r="H2880" s="464">
        <f t="shared" si="182"/>
        <v>115.5</v>
      </c>
      <c r="I2880" s="1029" t="s">
        <v>3315</v>
      </c>
      <c r="J2880" s="331" t="s">
        <v>5882</v>
      </c>
      <c r="K2880" s="811">
        <v>42474</v>
      </c>
      <c r="L2880" s="1477"/>
      <c r="M2880" s="811">
        <v>42472</v>
      </c>
      <c r="N2880" s="331" t="s">
        <v>2411</v>
      </c>
      <c r="O2880" s="318" t="s">
        <v>8980</v>
      </c>
      <c r="P2880" s="752"/>
      <c r="Q2880" s="752">
        <v>3560</v>
      </c>
      <c r="R2880" s="1405"/>
      <c r="S2880" s="1405"/>
      <c r="U2880" s="386"/>
      <c r="V2880" s="318" t="s">
        <v>8964</v>
      </c>
      <c r="W2880" s="1096">
        <v>42526</v>
      </c>
      <c r="X2880" s="1083">
        <v>42471</v>
      </c>
      <c r="Y2880" s="263" t="s">
        <v>8981</v>
      </c>
      <c r="Z2880" s="1086">
        <v>12059</v>
      </c>
      <c r="AA2880" s="811">
        <v>42527</v>
      </c>
      <c r="AB2880" s="318" t="s">
        <v>8982</v>
      </c>
      <c r="AD2880" s="592" t="s">
        <v>8967</v>
      </c>
      <c r="AE2880" s="1097">
        <v>13034</v>
      </c>
      <c r="AF2880" s="386" t="s">
        <v>8968</v>
      </c>
      <c r="AG2880" s="1092"/>
    </row>
    <row r="2881" spans="1:33" ht="15.75" customHeight="1">
      <c r="A2881" s="755">
        <v>42453</v>
      </c>
      <c r="B2881" s="338" t="s">
        <v>5017</v>
      </c>
      <c r="C2881" s="744" t="s">
        <v>8978</v>
      </c>
      <c r="D2881" s="308" t="s">
        <v>8979</v>
      </c>
      <c r="E2881" s="571" t="s">
        <v>7737</v>
      </c>
      <c r="F2881" s="574">
        <v>5</v>
      </c>
      <c r="G2881" s="464">
        <f>9.4*1.05</f>
        <v>9.870000000000001</v>
      </c>
      <c r="H2881" s="464">
        <f t="shared" si="182"/>
        <v>49.350000000000009</v>
      </c>
      <c r="I2881" s="1029" t="s">
        <v>3315</v>
      </c>
      <c r="J2881" s="331" t="s">
        <v>5882</v>
      </c>
      <c r="K2881" s="811">
        <v>42474</v>
      </c>
      <c r="L2881" s="1477"/>
      <c r="M2881" s="811">
        <v>42472</v>
      </c>
      <c r="N2881" s="331" t="s">
        <v>2411</v>
      </c>
      <c r="O2881" s="318" t="s">
        <v>8980</v>
      </c>
      <c r="P2881" s="752"/>
      <c r="Q2881" s="752">
        <v>1260</v>
      </c>
      <c r="R2881" s="1405"/>
      <c r="S2881" s="1405"/>
      <c r="U2881" s="386"/>
      <c r="V2881" s="318" t="s">
        <v>8964</v>
      </c>
      <c r="W2881" s="1096">
        <v>42526</v>
      </c>
      <c r="X2881" s="1083">
        <v>42471</v>
      </c>
      <c r="Y2881" s="263" t="s">
        <v>8981</v>
      </c>
      <c r="Z2881" s="1086" t="s">
        <v>8983</v>
      </c>
      <c r="AA2881" s="811">
        <v>42527</v>
      </c>
      <c r="AB2881" s="318" t="s">
        <v>8982</v>
      </c>
      <c r="AD2881" s="592" t="s">
        <v>8967</v>
      </c>
      <c r="AE2881" s="1100" t="s">
        <v>8983</v>
      </c>
      <c r="AF2881" s="386" t="s">
        <v>8968</v>
      </c>
      <c r="AG2881" s="1092"/>
    </row>
    <row r="2882" spans="1:33" ht="15.75" customHeight="1">
      <c r="A2882" s="755">
        <v>42453</v>
      </c>
      <c r="B2882" s="338" t="s">
        <v>5017</v>
      </c>
      <c r="C2882" s="744" t="s">
        <v>8978</v>
      </c>
      <c r="D2882" s="308" t="s">
        <v>8979</v>
      </c>
      <c r="E2882" s="571" t="s">
        <v>8969</v>
      </c>
      <c r="F2882" s="574">
        <v>5</v>
      </c>
      <c r="G2882" s="464">
        <f>37*1.05</f>
        <v>38.85</v>
      </c>
      <c r="H2882" s="464">
        <f t="shared" si="182"/>
        <v>194.25</v>
      </c>
      <c r="I2882" s="1029" t="s">
        <v>3315</v>
      </c>
      <c r="J2882" s="331" t="s">
        <v>5882</v>
      </c>
      <c r="K2882" s="811">
        <v>42474</v>
      </c>
      <c r="L2882" s="1477"/>
      <c r="M2882" s="811">
        <v>42472</v>
      </c>
      <c r="N2882" s="331" t="s">
        <v>2411</v>
      </c>
      <c r="O2882" s="318" t="s">
        <v>8980</v>
      </c>
      <c r="P2882" s="752"/>
      <c r="Q2882" s="752">
        <v>5980</v>
      </c>
      <c r="R2882" s="1405"/>
      <c r="S2882" s="1405"/>
      <c r="U2882" s="386"/>
      <c r="V2882" s="318" t="s">
        <v>8964</v>
      </c>
      <c r="W2882" s="1096">
        <v>42526</v>
      </c>
      <c r="X2882" s="1083">
        <v>42471</v>
      </c>
      <c r="Y2882" s="263" t="s">
        <v>8981</v>
      </c>
      <c r="Z2882" s="1086" t="s">
        <v>8983</v>
      </c>
      <c r="AA2882" s="811">
        <v>42527</v>
      </c>
      <c r="AB2882" s="318" t="s">
        <v>8982</v>
      </c>
      <c r="AD2882" s="592" t="s">
        <v>8967</v>
      </c>
      <c r="AE2882" s="1100" t="s">
        <v>8983</v>
      </c>
      <c r="AF2882" s="386" t="s">
        <v>8968</v>
      </c>
      <c r="AG2882" s="1092"/>
    </row>
    <row r="2883" spans="1:33" ht="15.75" customHeight="1">
      <c r="A2883" s="755">
        <v>42453</v>
      </c>
      <c r="B2883" s="338" t="s">
        <v>5017</v>
      </c>
      <c r="C2883" s="744" t="s">
        <v>8978</v>
      </c>
      <c r="D2883" s="308" t="s">
        <v>8979</v>
      </c>
      <c r="E2883" s="571" t="s">
        <v>7265</v>
      </c>
      <c r="F2883" s="574">
        <v>5</v>
      </c>
      <c r="G2883" s="464">
        <f>8.4*1.05</f>
        <v>8.82</v>
      </c>
      <c r="H2883" s="464">
        <f t="shared" si="182"/>
        <v>44.1</v>
      </c>
      <c r="I2883" s="1029" t="s">
        <v>3315</v>
      </c>
      <c r="J2883" s="331" t="s">
        <v>5882</v>
      </c>
      <c r="K2883" s="811">
        <v>42474</v>
      </c>
      <c r="L2883" s="1477"/>
      <c r="M2883" s="811">
        <v>42472</v>
      </c>
      <c r="N2883" s="331" t="s">
        <v>2411</v>
      </c>
      <c r="O2883" s="318" t="s">
        <v>8980</v>
      </c>
      <c r="P2883" s="752"/>
      <c r="Q2883" s="752">
        <v>1260</v>
      </c>
      <c r="R2883" s="1405"/>
      <c r="S2883" s="1405"/>
      <c r="U2883" s="386"/>
      <c r="V2883" s="318" t="s">
        <v>8964</v>
      </c>
      <c r="W2883" s="1096">
        <v>42526</v>
      </c>
      <c r="X2883" s="1083">
        <v>42471</v>
      </c>
      <c r="Y2883" s="263" t="s">
        <v>8981</v>
      </c>
      <c r="Z2883" s="1086" t="s">
        <v>8983</v>
      </c>
      <c r="AA2883" s="811">
        <v>42527</v>
      </c>
      <c r="AB2883" s="318" t="s">
        <v>8982</v>
      </c>
      <c r="AD2883" s="592" t="s">
        <v>8967</v>
      </c>
      <c r="AE2883" s="1100" t="s">
        <v>8983</v>
      </c>
      <c r="AF2883" s="386" t="s">
        <v>8968</v>
      </c>
      <c r="AG2883" s="1092"/>
    </row>
    <row r="2884" spans="1:33" ht="15.75" customHeight="1">
      <c r="A2884" s="755">
        <v>42454</v>
      </c>
      <c r="B2884" s="338" t="s">
        <v>629</v>
      </c>
      <c r="C2884" s="744" t="s">
        <v>8984</v>
      </c>
      <c r="D2884" s="250" t="s">
        <v>8985</v>
      </c>
      <c r="E2884" s="571" t="s">
        <v>8986</v>
      </c>
      <c r="F2884" s="574">
        <v>3</v>
      </c>
      <c r="G2884" s="464">
        <v>185.85</v>
      </c>
      <c r="H2884" s="464">
        <f t="shared" si="182"/>
        <v>557.54999999999995</v>
      </c>
      <c r="I2884" s="254" t="s">
        <v>170</v>
      </c>
      <c r="J2884" s="331" t="s">
        <v>89</v>
      </c>
      <c r="K2884" s="811">
        <v>42461</v>
      </c>
      <c r="L2884" s="1477"/>
      <c r="M2884" s="254"/>
      <c r="N2884" s="331" t="s">
        <v>89</v>
      </c>
      <c r="O2884" s="263" t="s">
        <v>8987</v>
      </c>
      <c r="P2884" s="752">
        <v>450.45</v>
      </c>
      <c r="Q2884" s="386"/>
      <c r="R2884" s="1407"/>
      <c r="S2884" s="1407"/>
      <c r="U2884" s="386"/>
      <c r="V2884" s="318" t="s">
        <v>5896</v>
      </c>
      <c r="W2884" s="1090"/>
      <c r="X2884" s="1083">
        <v>42461</v>
      </c>
      <c r="Y2884" s="263" t="s">
        <v>8988</v>
      </c>
      <c r="Z2884" s="1086">
        <v>22058</v>
      </c>
      <c r="AA2884" s="811">
        <v>42471</v>
      </c>
      <c r="AB2884" s="318" t="s">
        <v>8989</v>
      </c>
      <c r="AD2884" s="386" t="s">
        <v>8990</v>
      </c>
      <c r="AE2884" s="1097">
        <v>26258</v>
      </c>
      <c r="AF2884" s="386" t="s">
        <v>8991</v>
      </c>
      <c r="AG2884" s="1092"/>
    </row>
    <row r="2885" spans="1:33" ht="15.75" customHeight="1">
      <c r="A2885" s="755">
        <v>42454</v>
      </c>
      <c r="B2885" s="338" t="s">
        <v>629</v>
      </c>
      <c r="C2885" s="744" t="s">
        <v>8984</v>
      </c>
      <c r="D2885" s="250" t="s">
        <v>8985</v>
      </c>
      <c r="E2885" s="571" t="s">
        <v>8992</v>
      </c>
      <c r="F2885" s="574">
        <v>3</v>
      </c>
      <c r="G2885" s="464">
        <v>86.1</v>
      </c>
      <c r="H2885" s="464">
        <f t="shared" si="182"/>
        <v>258.29999999999995</v>
      </c>
      <c r="I2885" s="254" t="s">
        <v>170</v>
      </c>
      <c r="J2885" s="331" t="s">
        <v>89</v>
      </c>
      <c r="K2885" s="811">
        <v>42461</v>
      </c>
      <c r="L2885" s="1477"/>
      <c r="M2885" s="811"/>
      <c r="N2885" s="331" t="s">
        <v>89</v>
      </c>
      <c r="O2885" s="263" t="s">
        <v>8987</v>
      </c>
      <c r="P2885" s="752">
        <v>226.8</v>
      </c>
      <c r="Q2885" s="386"/>
      <c r="R2885" s="1407"/>
      <c r="S2885" s="1407"/>
      <c r="U2885" s="386"/>
      <c r="V2885" s="318" t="s">
        <v>5896</v>
      </c>
      <c r="W2885" s="1090"/>
      <c r="X2885" s="1083">
        <v>42461</v>
      </c>
      <c r="Y2885" s="263" t="s">
        <v>8988</v>
      </c>
      <c r="Z2885" s="1086" t="s">
        <v>8993</v>
      </c>
      <c r="AA2885" s="811">
        <v>42471</v>
      </c>
      <c r="AB2885" s="318" t="s">
        <v>8989</v>
      </c>
      <c r="AD2885" s="386" t="s">
        <v>8990</v>
      </c>
      <c r="AE2885" s="1088" t="s">
        <v>8994</v>
      </c>
      <c r="AF2885" s="386" t="s">
        <v>8991</v>
      </c>
      <c r="AG2885" s="1092"/>
    </row>
    <row r="2886" spans="1:33" ht="15.75" customHeight="1">
      <c r="A2886" s="755">
        <v>42457</v>
      </c>
      <c r="B2886" s="338" t="s">
        <v>629</v>
      </c>
      <c r="C2886" s="744"/>
      <c r="D2886" s="308" t="s">
        <v>8995</v>
      </c>
      <c r="E2886" s="571" t="s">
        <v>8996</v>
      </c>
      <c r="F2886" s="574">
        <v>1</v>
      </c>
      <c r="G2886" s="464">
        <v>0</v>
      </c>
      <c r="H2886" s="464">
        <f t="shared" si="182"/>
        <v>0</v>
      </c>
      <c r="I2886" s="254" t="s">
        <v>170</v>
      </c>
      <c r="J2886" s="331" t="s">
        <v>5882</v>
      </c>
      <c r="K2886" s="811">
        <v>42475</v>
      </c>
      <c r="L2886" s="1477"/>
      <c r="M2886" s="811"/>
      <c r="N2886" s="331"/>
      <c r="O2886" s="263"/>
      <c r="P2886" s="752"/>
      <c r="Q2886" s="386"/>
      <c r="R2886" s="1407"/>
      <c r="S2886" s="1407"/>
      <c r="U2886" s="386"/>
      <c r="V2886" s="318"/>
      <c r="W2886" s="1090"/>
      <c r="X2886" s="318" t="s">
        <v>8997</v>
      </c>
      <c r="Y2886" s="318" t="s">
        <v>8997</v>
      </c>
      <c r="Z2886" s="318" t="s">
        <v>8997</v>
      </c>
      <c r="AA2886" s="1114"/>
      <c r="AB2886" s="1114"/>
      <c r="AD2886" s="1114"/>
      <c r="AE2886" s="386"/>
      <c r="AF2886" s="386"/>
      <c r="AG2886" s="1092"/>
    </row>
    <row r="2887" spans="1:33" ht="15.75" customHeight="1">
      <c r="A2887" s="755">
        <v>42457</v>
      </c>
      <c r="B2887" s="338" t="s">
        <v>629</v>
      </c>
      <c r="C2887" s="744"/>
      <c r="D2887" s="308" t="s">
        <v>8995</v>
      </c>
      <c r="E2887" s="571" t="s">
        <v>8998</v>
      </c>
      <c r="F2887" s="574">
        <v>1</v>
      </c>
      <c r="G2887" s="464">
        <v>0</v>
      </c>
      <c r="H2887" s="464">
        <f t="shared" si="182"/>
        <v>0</v>
      </c>
      <c r="I2887" s="254" t="s">
        <v>170</v>
      </c>
      <c r="J2887" s="331" t="s">
        <v>5882</v>
      </c>
      <c r="K2887" s="811">
        <v>42475</v>
      </c>
      <c r="L2887" s="1477"/>
      <c r="M2887" s="811"/>
      <c r="N2887" s="331"/>
      <c r="O2887" s="263"/>
      <c r="P2887" s="752"/>
      <c r="Q2887" s="386"/>
      <c r="R2887" s="1407"/>
      <c r="S2887" s="1407"/>
      <c r="U2887" s="386"/>
      <c r="V2887" s="318"/>
      <c r="W2887" s="1090"/>
      <c r="X2887" s="318" t="s">
        <v>8997</v>
      </c>
      <c r="Y2887" s="318" t="s">
        <v>8997</v>
      </c>
      <c r="Z2887" s="318" t="s">
        <v>8997</v>
      </c>
      <c r="AA2887" s="1114"/>
      <c r="AB2887" s="1114"/>
      <c r="AD2887" s="1114"/>
      <c r="AE2887" s="1091"/>
      <c r="AF2887" s="1091"/>
      <c r="AG2887" s="1092"/>
    </row>
    <row r="2888" spans="1:33" ht="15.75" customHeight="1">
      <c r="A2888" s="755">
        <v>42457</v>
      </c>
      <c r="B2888" s="338" t="s">
        <v>629</v>
      </c>
      <c r="C2888" s="744"/>
      <c r="D2888" s="308" t="s">
        <v>8995</v>
      </c>
      <c r="E2888" s="571" t="s">
        <v>8999</v>
      </c>
      <c r="F2888" s="574">
        <v>1</v>
      </c>
      <c r="G2888" s="464">
        <v>0</v>
      </c>
      <c r="H2888" s="464">
        <f t="shared" si="182"/>
        <v>0</v>
      </c>
      <c r="I2888" s="254" t="s">
        <v>170</v>
      </c>
      <c r="J2888" s="331" t="s">
        <v>5882</v>
      </c>
      <c r="K2888" s="811">
        <v>42475</v>
      </c>
      <c r="L2888" s="1477"/>
      <c r="M2888" s="811"/>
      <c r="N2888" s="331"/>
      <c r="O2888" s="263"/>
      <c r="P2888" s="752"/>
      <c r="Q2888" s="386"/>
      <c r="R2888" s="1407"/>
      <c r="S2888" s="1407"/>
      <c r="U2888" s="386"/>
      <c r="V2888" s="318"/>
      <c r="W2888" s="1090"/>
      <c r="X2888" s="318" t="s">
        <v>8997</v>
      </c>
      <c r="Y2888" s="318" t="s">
        <v>8997</v>
      </c>
      <c r="Z2888" s="318" t="s">
        <v>8997</v>
      </c>
      <c r="AA2888" s="1114"/>
      <c r="AB2888" s="1114"/>
      <c r="AD2888" s="1114"/>
      <c r="AE2888" s="1091"/>
      <c r="AF2888" s="1091"/>
      <c r="AG2888" s="1092"/>
    </row>
    <row r="2889" spans="1:33" ht="15.75" customHeight="1">
      <c r="A2889" s="755">
        <v>42458</v>
      </c>
      <c r="B2889" s="338" t="s">
        <v>228</v>
      </c>
      <c r="C2889" s="744"/>
      <c r="D2889" s="308" t="s">
        <v>9000</v>
      </c>
      <c r="E2889" s="597" t="s">
        <v>461</v>
      </c>
      <c r="F2889" s="574">
        <v>25</v>
      </c>
      <c r="G2889" s="752">
        <v>449.4</v>
      </c>
      <c r="H2889" s="464">
        <f t="shared" si="182"/>
        <v>11235</v>
      </c>
      <c r="I2889" s="254" t="s">
        <v>170</v>
      </c>
      <c r="J2889" s="267" t="s">
        <v>89</v>
      </c>
      <c r="K2889" s="811">
        <v>42467</v>
      </c>
      <c r="L2889" s="1477"/>
      <c r="M2889" s="811"/>
      <c r="N2889" s="331" t="s">
        <v>89</v>
      </c>
      <c r="O2889" s="263" t="s">
        <v>9001</v>
      </c>
      <c r="P2889" s="752">
        <v>10158.75</v>
      </c>
      <c r="Q2889" s="386"/>
      <c r="R2889" s="1407"/>
      <c r="S2889" s="1407"/>
      <c r="U2889" s="386"/>
      <c r="V2889" s="318" t="s">
        <v>5896</v>
      </c>
      <c r="W2889" s="1090"/>
      <c r="X2889" s="1083">
        <v>42466</v>
      </c>
      <c r="Y2889" s="263" t="s">
        <v>9002</v>
      </c>
      <c r="Z2889" s="1086">
        <v>314626</v>
      </c>
      <c r="AA2889" s="811">
        <v>42494</v>
      </c>
      <c r="AB2889" s="318" t="s">
        <v>9003</v>
      </c>
      <c r="AD2889" s="386" t="s">
        <v>9004</v>
      </c>
      <c r="AE2889" s="1097">
        <v>364340</v>
      </c>
      <c r="AF2889" s="386" t="s">
        <v>9005</v>
      </c>
      <c r="AG2889" s="1092"/>
    </row>
    <row r="2890" spans="1:33" ht="15.75" customHeight="1">
      <c r="A2890" s="755">
        <v>42534</v>
      </c>
      <c r="B2890" s="338" t="s">
        <v>4903</v>
      </c>
      <c r="C2890" s="744" t="s">
        <v>9006</v>
      </c>
      <c r="D2890" s="308" t="s">
        <v>9007</v>
      </c>
      <c r="E2890" s="571" t="s">
        <v>9008</v>
      </c>
      <c r="F2890" s="574">
        <v>20</v>
      </c>
      <c r="G2890" s="464">
        <v>3511</v>
      </c>
      <c r="H2890" s="464">
        <f t="shared" si="182"/>
        <v>70220</v>
      </c>
      <c r="I2890" s="254" t="s">
        <v>3315</v>
      </c>
      <c r="J2890" s="331" t="s">
        <v>8438</v>
      </c>
      <c r="K2890" s="811">
        <v>42604</v>
      </c>
      <c r="L2890" s="1477"/>
      <c r="M2890" s="811">
        <v>42572</v>
      </c>
      <c r="N2890" s="331" t="s">
        <v>2001</v>
      </c>
      <c r="O2890" s="263" t="s">
        <v>9009</v>
      </c>
      <c r="P2890" s="752"/>
      <c r="Q2890" s="318">
        <v>2010750</v>
      </c>
      <c r="R2890" s="1410"/>
      <c r="S2890" s="1410"/>
      <c r="U2890" s="386"/>
      <c r="V2890" s="318" t="s">
        <v>2003</v>
      </c>
      <c r="W2890" s="1096">
        <v>42611</v>
      </c>
      <c r="X2890" s="1083">
        <v>42572</v>
      </c>
      <c r="Y2890" s="263" t="s">
        <v>9010</v>
      </c>
      <c r="Z2890" s="1086">
        <v>2010750</v>
      </c>
      <c r="AA2890" s="811">
        <v>42608</v>
      </c>
      <c r="AB2890" s="318" t="s">
        <v>9011</v>
      </c>
      <c r="AD2890" s="1091"/>
      <c r="AE2890" s="1091"/>
      <c r="AF2890" s="1091"/>
      <c r="AG2890" s="318" t="s">
        <v>283</v>
      </c>
    </row>
    <row r="2891" spans="1:33" ht="15.75" customHeight="1">
      <c r="A2891" s="755">
        <v>42461</v>
      </c>
      <c r="B2891" s="338" t="s">
        <v>3347</v>
      </c>
      <c r="C2891" s="744"/>
      <c r="D2891" s="308" t="s">
        <v>9012</v>
      </c>
      <c r="E2891" s="328" t="s">
        <v>8832</v>
      </c>
      <c r="F2891" s="574">
        <v>100</v>
      </c>
      <c r="G2891" s="265">
        <v>189.1</v>
      </c>
      <c r="H2891" s="464">
        <f t="shared" si="182"/>
        <v>18910</v>
      </c>
      <c r="I2891" s="254" t="s">
        <v>170</v>
      </c>
      <c r="J2891" s="338" t="s">
        <v>3350</v>
      </c>
      <c r="K2891" s="811">
        <v>42478</v>
      </c>
      <c r="L2891" s="1477"/>
      <c r="M2891" s="811">
        <v>42472</v>
      </c>
      <c r="N2891" s="331" t="s">
        <v>89</v>
      </c>
      <c r="O2891" s="263" t="s">
        <v>9013</v>
      </c>
      <c r="P2891" s="752">
        <v>17482.5</v>
      </c>
      <c r="Q2891" s="386"/>
      <c r="R2891" s="1407"/>
      <c r="S2891" s="1407"/>
      <c r="U2891" s="386"/>
      <c r="V2891" s="318" t="s">
        <v>5896</v>
      </c>
      <c r="W2891" s="1090"/>
      <c r="X2891" s="1083">
        <v>42472</v>
      </c>
      <c r="Y2891" s="263" t="s">
        <v>9014</v>
      </c>
      <c r="Z2891" s="1086">
        <v>530817</v>
      </c>
      <c r="AA2891" s="1083">
        <v>42494</v>
      </c>
      <c r="AB2891" s="318" t="s">
        <v>8852</v>
      </c>
      <c r="AD2891" s="1091"/>
      <c r="AE2891" s="1091"/>
      <c r="AF2891" s="1091"/>
      <c r="AG2891" s="338" t="s">
        <v>283</v>
      </c>
    </row>
    <row r="2892" spans="1:33" ht="15.75" customHeight="1">
      <c r="A2892" s="755">
        <v>42461</v>
      </c>
      <c r="B2892" s="338" t="s">
        <v>3347</v>
      </c>
      <c r="C2892" s="744"/>
      <c r="D2892" s="571" t="s">
        <v>9015</v>
      </c>
      <c r="E2892" s="571" t="s">
        <v>5894</v>
      </c>
      <c r="F2892" s="574">
        <v>10</v>
      </c>
      <c r="G2892" s="265">
        <v>375.4</v>
      </c>
      <c r="H2892" s="464">
        <f t="shared" si="182"/>
        <v>3754</v>
      </c>
      <c r="I2892" s="254" t="s">
        <v>170</v>
      </c>
      <c r="J2892" s="338" t="s">
        <v>3350</v>
      </c>
      <c r="K2892" s="811">
        <v>42478</v>
      </c>
      <c r="L2892" s="1477"/>
      <c r="M2892" s="811">
        <v>42472</v>
      </c>
      <c r="N2892" s="331" t="s">
        <v>89</v>
      </c>
      <c r="O2892" s="263" t="s">
        <v>9016</v>
      </c>
      <c r="P2892" s="752">
        <v>3475.5</v>
      </c>
      <c r="Q2892" s="657"/>
      <c r="R2892" s="1418"/>
      <c r="S2892" s="1418"/>
      <c r="U2892" s="386"/>
      <c r="V2892" s="318" t="s">
        <v>5896</v>
      </c>
      <c r="W2892" s="1090"/>
      <c r="X2892" s="1083">
        <v>42472</v>
      </c>
      <c r="Y2892" s="263" t="s">
        <v>9017</v>
      </c>
      <c r="Z2892" s="1086">
        <v>103797</v>
      </c>
      <c r="AA2892" s="1083">
        <v>42494</v>
      </c>
      <c r="AB2892" s="318" t="s">
        <v>8852</v>
      </c>
      <c r="AD2892" s="1091"/>
      <c r="AE2892" s="1091"/>
      <c r="AF2892" s="1091"/>
      <c r="AG2892" s="338" t="s">
        <v>283</v>
      </c>
    </row>
    <row r="2893" spans="1:33" ht="15.75" customHeight="1">
      <c r="A2893" s="755">
        <v>42461</v>
      </c>
      <c r="B2893" s="592" t="s">
        <v>100</v>
      </c>
      <c r="C2893" s="744" t="s">
        <v>9018</v>
      </c>
      <c r="D2893" s="308" t="s">
        <v>9019</v>
      </c>
      <c r="E2893" s="571" t="s">
        <v>8747</v>
      </c>
      <c r="F2893" s="574">
        <v>4</v>
      </c>
      <c r="G2893" s="464">
        <v>357</v>
      </c>
      <c r="H2893" s="464">
        <f t="shared" si="182"/>
        <v>1428</v>
      </c>
      <c r="I2893" s="254" t="s">
        <v>170</v>
      </c>
      <c r="J2893" s="331" t="s">
        <v>8461</v>
      </c>
      <c r="K2893" s="811">
        <v>42485</v>
      </c>
      <c r="L2893" s="1477"/>
      <c r="M2893" s="811">
        <v>42478</v>
      </c>
      <c r="N2893" s="331" t="s">
        <v>2001</v>
      </c>
      <c r="O2893" s="318" t="s">
        <v>9020</v>
      </c>
      <c r="P2893" s="752"/>
      <c r="Q2893" s="318">
        <v>46200</v>
      </c>
      <c r="R2893" s="1410"/>
      <c r="S2893" s="1410"/>
      <c r="U2893" s="386"/>
      <c r="V2893" s="318" t="s">
        <v>2003</v>
      </c>
      <c r="W2893" s="1090"/>
      <c r="X2893" s="1083">
        <v>42475</v>
      </c>
      <c r="Y2893" s="263" t="s">
        <v>9021</v>
      </c>
      <c r="Z2893" s="1086">
        <v>51030</v>
      </c>
      <c r="AA2893" s="811">
        <v>42529</v>
      </c>
      <c r="AB2893" s="318" t="s">
        <v>9022</v>
      </c>
      <c r="AD2893" s="1091"/>
      <c r="AE2893" s="1091"/>
      <c r="AF2893" s="1091"/>
      <c r="AG2893" s="1092"/>
    </row>
    <row r="2894" spans="1:33" ht="15.75" customHeight="1">
      <c r="A2894" s="755">
        <v>42461</v>
      </c>
      <c r="B2894" s="592" t="s">
        <v>100</v>
      </c>
      <c r="C2894" s="744" t="s">
        <v>9018</v>
      </c>
      <c r="D2894" s="308" t="s">
        <v>9019</v>
      </c>
      <c r="E2894" s="571" t="s">
        <v>9023</v>
      </c>
      <c r="F2894" s="574">
        <v>4</v>
      </c>
      <c r="G2894" s="464">
        <v>41</v>
      </c>
      <c r="H2894" s="464">
        <f t="shared" si="182"/>
        <v>164</v>
      </c>
      <c r="I2894" s="254" t="s">
        <v>170</v>
      </c>
      <c r="J2894" s="331" t="s">
        <v>8461</v>
      </c>
      <c r="K2894" s="811">
        <v>42485</v>
      </c>
      <c r="L2894" s="1477"/>
      <c r="M2894" s="811">
        <v>42478</v>
      </c>
      <c r="N2894" s="331" t="s">
        <v>2001</v>
      </c>
      <c r="O2894" s="318" t="s">
        <v>9020</v>
      </c>
      <c r="P2894" s="752"/>
      <c r="Q2894" s="318">
        <v>4830</v>
      </c>
      <c r="R2894" s="1410"/>
      <c r="S2894" s="1410"/>
      <c r="U2894" s="386"/>
      <c r="V2894" s="318" t="s">
        <v>2003</v>
      </c>
      <c r="W2894" s="1090"/>
      <c r="X2894" s="1083">
        <v>42475</v>
      </c>
      <c r="Y2894" s="263" t="s">
        <v>9021</v>
      </c>
      <c r="Z2894" s="1086" t="s">
        <v>9024</v>
      </c>
      <c r="AA2894" s="811">
        <v>42529</v>
      </c>
      <c r="AB2894" s="318" t="s">
        <v>9022</v>
      </c>
      <c r="AD2894" s="1091"/>
      <c r="AE2894" s="1091"/>
      <c r="AF2894" s="1091"/>
      <c r="AG2894" s="1092"/>
    </row>
    <row r="2895" spans="1:33" ht="15.75" customHeight="1">
      <c r="A2895" s="755">
        <v>42461</v>
      </c>
      <c r="B2895" s="338" t="s">
        <v>100</v>
      </c>
      <c r="C2895" s="744"/>
      <c r="D2895" s="308" t="s">
        <v>9025</v>
      </c>
      <c r="E2895" s="571" t="s">
        <v>9026</v>
      </c>
      <c r="F2895" s="574">
        <v>1</v>
      </c>
      <c r="G2895" s="464">
        <v>128</v>
      </c>
      <c r="H2895" s="464">
        <f t="shared" si="182"/>
        <v>128</v>
      </c>
      <c r="I2895" s="254" t="s">
        <v>170</v>
      </c>
      <c r="J2895" s="331" t="s">
        <v>8461</v>
      </c>
      <c r="K2895" s="811">
        <v>42485</v>
      </c>
      <c r="L2895" s="1477"/>
      <c r="M2895" s="802"/>
      <c r="N2895" s="331" t="s">
        <v>1999</v>
      </c>
      <c r="O2895" s="263"/>
      <c r="P2895" s="752"/>
      <c r="Q2895" s="318">
        <v>6653</v>
      </c>
      <c r="R2895" s="1410"/>
      <c r="S2895" s="1410"/>
      <c r="U2895" s="386"/>
      <c r="V2895" s="386" t="s">
        <v>2000</v>
      </c>
      <c r="W2895" s="1096">
        <v>42520</v>
      </c>
      <c r="X2895" s="1083">
        <v>42490</v>
      </c>
      <c r="Y2895" s="263" t="s">
        <v>9027</v>
      </c>
      <c r="Z2895" s="1086">
        <v>11135</v>
      </c>
      <c r="AA2895" s="811">
        <v>42527</v>
      </c>
      <c r="AB2895" s="318" t="s">
        <v>9022</v>
      </c>
      <c r="AD2895" s="1091"/>
      <c r="AE2895" s="1091"/>
      <c r="AF2895" s="1091"/>
      <c r="AG2895" s="1092"/>
    </row>
    <row r="2896" spans="1:33" ht="15.75" customHeight="1">
      <c r="A2896" s="755">
        <v>42461</v>
      </c>
      <c r="B2896" s="338" t="s">
        <v>76</v>
      </c>
      <c r="C2896" s="744">
        <v>290</v>
      </c>
      <c r="D2896" s="308" t="s">
        <v>9028</v>
      </c>
      <c r="E2896" s="571" t="s">
        <v>9029</v>
      </c>
      <c r="F2896" s="574">
        <v>1</v>
      </c>
      <c r="G2896" s="265">
        <v>65</v>
      </c>
      <c r="H2896" s="464">
        <f t="shared" si="182"/>
        <v>65</v>
      </c>
      <c r="I2896" s="254" t="s">
        <v>170</v>
      </c>
      <c r="J2896" s="331" t="s">
        <v>1083</v>
      </c>
      <c r="K2896" s="811">
        <v>42478</v>
      </c>
      <c r="L2896" s="1477"/>
      <c r="M2896" s="811">
        <v>42474</v>
      </c>
      <c r="N2896" s="331" t="s">
        <v>1967</v>
      </c>
      <c r="O2896" s="263" t="s">
        <v>9030</v>
      </c>
      <c r="P2896" s="752">
        <v>57.75</v>
      </c>
      <c r="Q2896" s="386"/>
      <c r="R2896" s="1407"/>
      <c r="S2896" s="1407"/>
      <c r="U2896" s="386"/>
      <c r="V2896" s="318" t="s">
        <v>1969</v>
      </c>
      <c r="W2896" s="1096">
        <v>42526</v>
      </c>
      <c r="X2896" s="1083">
        <v>42474</v>
      </c>
      <c r="Y2896" s="263" t="s">
        <v>9031</v>
      </c>
      <c r="Z2896" s="1086">
        <v>1871</v>
      </c>
      <c r="AA2896" s="811">
        <v>42527</v>
      </c>
      <c r="AB2896" s="263" t="s">
        <v>9032</v>
      </c>
      <c r="AD2896" s="1091"/>
      <c r="AE2896" s="1091"/>
      <c r="AF2896" s="1091"/>
      <c r="AG2896" s="318" t="s">
        <v>283</v>
      </c>
    </row>
    <row r="2897" spans="1:33" ht="15.75" customHeight="1">
      <c r="A2897" s="755">
        <v>42466</v>
      </c>
      <c r="B2897" s="338" t="s">
        <v>325</v>
      </c>
      <c r="C2897" s="744">
        <v>3020359</v>
      </c>
      <c r="D2897" s="308" t="s">
        <v>9033</v>
      </c>
      <c r="E2897" s="571" t="s">
        <v>8682</v>
      </c>
      <c r="F2897" s="574">
        <v>1</v>
      </c>
      <c r="G2897" s="265">
        <v>607</v>
      </c>
      <c r="H2897" s="464">
        <f t="shared" si="182"/>
        <v>607</v>
      </c>
      <c r="I2897" s="254" t="s">
        <v>3315</v>
      </c>
      <c r="J2897" s="331" t="s">
        <v>3613</v>
      </c>
      <c r="K2897" s="811">
        <v>42502</v>
      </c>
      <c r="L2897" s="1477"/>
      <c r="M2897" s="811">
        <v>42493</v>
      </c>
      <c r="N2897" s="331" t="s">
        <v>3614</v>
      </c>
      <c r="O2897" s="263" t="s">
        <v>9034</v>
      </c>
      <c r="P2897" s="752">
        <v>593.25</v>
      </c>
      <c r="Q2897" s="386"/>
      <c r="R2897" s="1407"/>
      <c r="S2897" s="1407"/>
      <c r="U2897" s="386"/>
      <c r="V2897" s="318" t="s">
        <v>6186</v>
      </c>
      <c r="W2897" s="1096">
        <v>42526</v>
      </c>
      <c r="X2897" s="1083">
        <v>42489</v>
      </c>
      <c r="Y2897" s="263" t="s">
        <v>9035</v>
      </c>
      <c r="Z2897" s="1086">
        <v>19997</v>
      </c>
      <c r="AA2897" s="811">
        <v>42527</v>
      </c>
      <c r="AB2897" s="250" t="s">
        <v>9036</v>
      </c>
      <c r="AD2897" s="1091"/>
      <c r="AE2897" s="1091"/>
      <c r="AF2897" s="1091"/>
      <c r="AG2897" s="1092" t="s">
        <v>8415</v>
      </c>
    </row>
    <row r="2898" spans="1:33" ht="15.75" customHeight="1">
      <c r="A2898" s="755">
        <v>42466</v>
      </c>
      <c r="B2898" s="338" t="s">
        <v>325</v>
      </c>
      <c r="C2898" s="744">
        <v>3020359</v>
      </c>
      <c r="D2898" s="308" t="s">
        <v>9033</v>
      </c>
      <c r="E2898" s="571" t="s">
        <v>4256</v>
      </c>
      <c r="F2898" s="574">
        <v>1</v>
      </c>
      <c r="G2898" s="265">
        <v>27</v>
      </c>
      <c r="H2898" s="464">
        <f t="shared" si="182"/>
        <v>27</v>
      </c>
      <c r="I2898" s="254" t="s">
        <v>3315</v>
      </c>
      <c r="J2898" s="331" t="s">
        <v>3613</v>
      </c>
      <c r="K2898" s="811">
        <v>42502</v>
      </c>
      <c r="L2898" s="1477"/>
      <c r="M2898" s="811">
        <v>42493</v>
      </c>
      <c r="N2898" s="331" t="s">
        <v>3614</v>
      </c>
      <c r="O2898" s="263" t="s">
        <v>9037</v>
      </c>
      <c r="P2898" s="752">
        <v>26.25</v>
      </c>
      <c r="Q2898" s="386"/>
      <c r="R2898" s="1407"/>
      <c r="S2898" s="1407"/>
      <c r="U2898" s="386"/>
      <c r="V2898" s="318" t="s">
        <v>6186</v>
      </c>
      <c r="W2898" s="1096">
        <v>42526</v>
      </c>
      <c r="X2898" s="1083">
        <v>42489</v>
      </c>
      <c r="Y2898" s="263" t="s">
        <v>9035</v>
      </c>
      <c r="Z2898" s="1086" t="s">
        <v>9038</v>
      </c>
      <c r="AA2898" s="811">
        <v>42527</v>
      </c>
      <c r="AB2898" s="250" t="s">
        <v>9036</v>
      </c>
      <c r="AD2898" s="1091"/>
      <c r="AE2898" s="1091"/>
      <c r="AF2898" s="1091"/>
      <c r="AG2898" s="1092" t="s">
        <v>8415</v>
      </c>
    </row>
    <row r="2899" spans="1:33" ht="15.75" customHeight="1">
      <c r="A2899" s="755">
        <v>42466</v>
      </c>
      <c r="B2899" s="338" t="s">
        <v>325</v>
      </c>
      <c r="C2899" s="744">
        <v>3020359</v>
      </c>
      <c r="D2899" s="308" t="s">
        <v>9039</v>
      </c>
      <c r="E2899" s="571" t="s">
        <v>8682</v>
      </c>
      <c r="F2899" s="574">
        <v>4</v>
      </c>
      <c r="G2899" s="265">
        <v>607</v>
      </c>
      <c r="H2899" s="464">
        <f t="shared" si="182"/>
        <v>2428</v>
      </c>
      <c r="I2899" s="254" t="s">
        <v>3315</v>
      </c>
      <c r="J2899" s="331" t="s">
        <v>3613</v>
      </c>
      <c r="K2899" s="811">
        <v>42529</v>
      </c>
      <c r="L2899" s="1477"/>
      <c r="M2899" s="811">
        <v>42529</v>
      </c>
      <c r="N2899" s="331" t="s">
        <v>3614</v>
      </c>
      <c r="O2899" s="263" t="s">
        <v>9040</v>
      </c>
      <c r="P2899" s="752">
        <v>2373</v>
      </c>
      <c r="Q2899" s="657"/>
      <c r="R2899" s="1418"/>
      <c r="S2899" s="1418"/>
      <c r="U2899" s="386"/>
      <c r="V2899" s="318" t="s">
        <v>6186</v>
      </c>
      <c r="W2899" s="1096">
        <v>42587</v>
      </c>
      <c r="X2899" s="750">
        <v>42528</v>
      </c>
      <c r="Y2899" s="250" t="s">
        <v>9041</v>
      </c>
      <c r="Z2899" s="753">
        <v>80550</v>
      </c>
      <c r="AA2899" s="811">
        <v>42565</v>
      </c>
      <c r="AB2899" s="250" t="s">
        <v>9042</v>
      </c>
      <c r="AD2899" s="1091"/>
      <c r="AE2899" s="1091"/>
      <c r="AF2899" s="1091"/>
      <c r="AG2899" s="1092" t="s">
        <v>283</v>
      </c>
    </row>
    <row r="2900" spans="1:33" ht="15.75" customHeight="1">
      <c r="A2900" s="755">
        <v>42466</v>
      </c>
      <c r="B2900" s="338" t="s">
        <v>325</v>
      </c>
      <c r="C2900" s="744">
        <v>3020359</v>
      </c>
      <c r="D2900" s="308" t="s">
        <v>9039</v>
      </c>
      <c r="E2900" s="571" t="s">
        <v>4256</v>
      </c>
      <c r="F2900" s="574">
        <v>4</v>
      </c>
      <c r="G2900" s="265">
        <v>27</v>
      </c>
      <c r="H2900" s="464">
        <f t="shared" si="182"/>
        <v>108</v>
      </c>
      <c r="I2900" s="254" t="s">
        <v>3315</v>
      </c>
      <c r="J2900" s="331" t="s">
        <v>3613</v>
      </c>
      <c r="K2900" s="811">
        <v>42529</v>
      </c>
      <c r="L2900" s="1477"/>
      <c r="M2900" s="811">
        <v>42529</v>
      </c>
      <c r="N2900" s="331" t="s">
        <v>3614</v>
      </c>
      <c r="O2900" s="263" t="s">
        <v>9040</v>
      </c>
      <c r="P2900" s="752">
        <v>105</v>
      </c>
      <c r="Q2900" s="657"/>
      <c r="R2900" s="1418"/>
      <c r="S2900" s="1418"/>
      <c r="U2900" s="386"/>
      <c r="V2900" s="318" t="s">
        <v>6186</v>
      </c>
      <c r="W2900" s="1096">
        <v>42587</v>
      </c>
      <c r="X2900" s="750">
        <v>42528</v>
      </c>
      <c r="Y2900" s="250" t="s">
        <v>9041</v>
      </c>
      <c r="Z2900" s="753" t="s">
        <v>9043</v>
      </c>
      <c r="AA2900" s="811">
        <v>42565</v>
      </c>
      <c r="AB2900" s="250" t="s">
        <v>9042</v>
      </c>
      <c r="AD2900" s="1091"/>
      <c r="AE2900" s="1091"/>
      <c r="AF2900" s="1091"/>
      <c r="AG2900" s="1092" t="s">
        <v>283</v>
      </c>
    </row>
    <row r="2901" spans="1:33" ht="15.75" customHeight="1">
      <c r="A2901" s="755">
        <v>42466</v>
      </c>
      <c r="B2901" s="338" t="s">
        <v>986</v>
      </c>
      <c r="C2901" s="744" t="s">
        <v>9044</v>
      </c>
      <c r="D2901" s="308" t="s">
        <v>9045</v>
      </c>
      <c r="E2901" s="571" t="s">
        <v>9046</v>
      </c>
      <c r="F2901" s="574">
        <v>1</v>
      </c>
      <c r="G2901" s="265">
        <v>130</v>
      </c>
      <c r="H2901" s="464">
        <f t="shared" si="182"/>
        <v>130</v>
      </c>
      <c r="I2901" s="254" t="s">
        <v>3315</v>
      </c>
      <c r="J2901" s="331" t="s">
        <v>8438</v>
      </c>
      <c r="K2901" s="811">
        <v>42478</v>
      </c>
      <c r="L2901" s="1477"/>
      <c r="M2901" s="811">
        <v>42468</v>
      </c>
      <c r="N2901" s="331" t="s">
        <v>5935</v>
      </c>
      <c r="O2901" s="308" t="s">
        <v>9047</v>
      </c>
      <c r="P2901" s="752"/>
      <c r="Q2901" s="318">
        <v>3918.6</v>
      </c>
      <c r="R2901" s="1410"/>
      <c r="S2901" s="1410"/>
      <c r="U2901" s="386"/>
      <c r="V2901" s="318" t="s">
        <v>8443</v>
      </c>
      <c r="W2901" s="1096">
        <v>42556</v>
      </c>
      <c r="X2901" s="1083">
        <v>42467</v>
      </c>
      <c r="Y2901" s="263" t="s">
        <v>9048</v>
      </c>
      <c r="Z2901" s="1086">
        <v>3919</v>
      </c>
      <c r="AA2901" s="811">
        <v>42529</v>
      </c>
      <c r="AB2901" s="263" t="s">
        <v>9049</v>
      </c>
      <c r="AD2901" s="1091"/>
      <c r="AE2901" s="1091"/>
      <c r="AF2901" s="1091"/>
      <c r="AG2901" s="318" t="s">
        <v>283</v>
      </c>
    </row>
    <row r="2902" spans="1:33" ht="15.75" customHeight="1">
      <c r="A2902" s="755">
        <v>42466</v>
      </c>
      <c r="B2902" s="338" t="s">
        <v>76</v>
      </c>
      <c r="C2902" s="744"/>
      <c r="D2902" s="308" t="s">
        <v>9050</v>
      </c>
      <c r="E2902" s="308" t="s">
        <v>9051</v>
      </c>
      <c r="F2902" s="574">
        <v>1</v>
      </c>
      <c r="G2902" s="265">
        <v>558</v>
      </c>
      <c r="H2902" s="464">
        <f t="shared" si="182"/>
        <v>558</v>
      </c>
      <c r="I2902" s="254" t="s">
        <v>170</v>
      </c>
      <c r="J2902" s="331" t="s">
        <v>1083</v>
      </c>
      <c r="K2902" s="811">
        <v>42572</v>
      </c>
      <c r="L2902" s="1477"/>
      <c r="M2902" s="254"/>
      <c r="N2902" s="401" t="s">
        <v>6112</v>
      </c>
      <c r="O2902" s="263" t="s">
        <v>3556</v>
      </c>
      <c r="P2902" s="752"/>
      <c r="Q2902" s="386"/>
      <c r="R2902" s="1407"/>
      <c r="S2902" s="1407"/>
      <c r="U2902" s="308"/>
      <c r="V2902" s="308"/>
      <c r="W2902" s="1090"/>
      <c r="X2902" s="308" t="s">
        <v>9052</v>
      </c>
      <c r="Y2902" s="308" t="s">
        <v>9052</v>
      </c>
      <c r="Z2902" s="308" t="s">
        <v>9052</v>
      </c>
      <c r="AA2902" s="811"/>
      <c r="AB2902" s="318" t="s">
        <v>9053</v>
      </c>
      <c r="AD2902" s="1091"/>
      <c r="AE2902" s="1091"/>
      <c r="AF2902" s="1091"/>
      <c r="AG2902" s="318" t="s">
        <v>283</v>
      </c>
    </row>
    <row r="2903" spans="1:33" ht="15.75" customHeight="1">
      <c r="A2903" s="755">
        <v>42466</v>
      </c>
      <c r="B2903" s="338" t="s">
        <v>76</v>
      </c>
      <c r="C2903" s="744"/>
      <c r="D2903" s="308" t="s">
        <v>9054</v>
      </c>
      <c r="E2903" s="308" t="s">
        <v>9055</v>
      </c>
      <c r="F2903" s="574">
        <v>1</v>
      </c>
      <c r="G2903" s="265">
        <v>166</v>
      </c>
      <c r="H2903" s="464">
        <f t="shared" si="182"/>
        <v>166</v>
      </c>
      <c r="I2903" s="254" t="s">
        <v>170</v>
      </c>
      <c r="J2903" s="331" t="s">
        <v>315</v>
      </c>
      <c r="K2903" s="256">
        <v>42541</v>
      </c>
      <c r="L2903" s="1477"/>
      <c r="M2903" s="254" t="s">
        <v>9056</v>
      </c>
      <c r="N2903" s="331" t="s">
        <v>9057</v>
      </c>
      <c r="O2903" s="263" t="s">
        <v>3556</v>
      </c>
      <c r="P2903" s="1107"/>
      <c r="Q2903" s="657"/>
      <c r="R2903" s="1418"/>
      <c r="S2903" s="1418"/>
      <c r="U2903" s="308"/>
      <c r="V2903" s="328"/>
      <c r="W2903" s="1090"/>
      <c r="X2903" s="308" t="s">
        <v>9052</v>
      </c>
      <c r="Y2903" s="308" t="s">
        <v>9052</v>
      </c>
      <c r="Z2903" s="308" t="s">
        <v>9052</v>
      </c>
      <c r="AA2903" s="308"/>
      <c r="AB2903" s="318" t="s">
        <v>9058</v>
      </c>
      <c r="AD2903" s="1091"/>
      <c r="AE2903" s="1091"/>
      <c r="AF2903" s="1091"/>
      <c r="AG2903" s="318" t="s">
        <v>283</v>
      </c>
    </row>
    <row r="2904" spans="1:33" ht="15.75" customHeight="1">
      <c r="A2904" s="755">
        <v>42466</v>
      </c>
      <c r="B2904" s="338" t="s">
        <v>76</v>
      </c>
      <c r="C2904" s="744"/>
      <c r="D2904" s="308" t="s">
        <v>9059</v>
      </c>
      <c r="E2904" s="308" t="s">
        <v>9060</v>
      </c>
      <c r="F2904" s="574">
        <v>1</v>
      </c>
      <c r="G2904" s="265">
        <v>85</v>
      </c>
      <c r="H2904" s="464">
        <f t="shared" si="182"/>
        <v>85</v>
      </c>
      <c r="I2904" s="254" t="s">
        <v>170</v>
      </c>
      <c r="J2904" s="331" t="s">
        <v>315</v>
      </c>
      <c r="K2904" s="256">
        <v>42541</v>
      </c>
      <c r="L2904" s="1477"/>
      <c r="M2904" s="254" t="s">
        <v>9061</v>
      </c>
      <c r="N2904" s="254" t="s">
        <v>9062</v>
      </c>
      <c r="O2904" s="318" t="s">
        <v>9063</v>
      </c>
      <c r="P2904" s="1107"/>
      <c r="Q2904" s="318">
        <v>2194.5</v>
      </c>
      <c r="R2904" s="1410"/>
      <c r="S2904" s="1410"/>
      <c r="U2904" s="328"/>
      <c r="V2904" s="744" t="s">
        <v>9064</v>
      </c>
      <c r="W2904" s="1090"/>
      <c r="X2904" s="308" t="s">
        <v>5529</v>
      </c>
      <c r="Y2904" s="308" t="s">
        <v>5529</v>
      </c>
      <c r="Z2904" s="308" t="s">
        <v>5529</v>
      </c>
      <c r="AA2904" s="811">
        <v>42474</v>
      </c>
      <c r="AB2904" s="318" t="s">
        <v>9058</v>
      </c>
      <c r="AD2904" s="1091"/>
      <c r="AE2904" s="1091"/>
      <c r="AF2904" s="1091"/>
      <c r="AG2904" s="318" t="s">
        <v>283</v>
      </c>
    </row>
    <row r="2905" spans="1:33" ht="15.75" customHeight="1">
      <c r="A2905" s="755">
        <v>42466</v>
      </c>
      <c r="B2905" s="338" t="s">
        <v>76</v>
      </c>
      <c r="C2905" s="744"/>
      <c r="D2905" s="308" t="s">
        <v>9065</v>
      </c>
      <c r="E2905" s="571" t="s">
        <v>9066</v>
      </c>
      <c r="F2905" s="574">
        <v>1</v>
      </c>
      <c r="G2905" s="265">
        <v>20</v>
      </c>
      <c r="H2905" s="464">
        <f t="shared" si="182"/>
        <v>20</v>
      </c>
      <c r="I2905" s="254" t="s">
        <v>170</v>
      </c>
      <c r="J2905" s="331" t="s">
        <v>315</v>
      </c>
      <c r="K2905" s="256">
        <v>42541</v>
      </c>
      <c r="L2905" s="1477"/>
      <c r="M2905" s="1093"/>
      <c r="N2905" s="401" t="s">
        <v>6112</v>
      </c>
      <c r="O2905" s="318" t="s">
        <v>9067</v>
      </c>
      <c r="P2905" s="752"/>
      <c r="Q2905" s="318">
        <v>340</v>
      </c>
      <c r="R2905" s="1410"/>
      <c r="S2905" s="1410"/>
      <c r="U2905" s="386"/>
      <c r="V2905" s="318" t="s">
        <v>2109</v>
      </c>
      <c r="W2905" s="1090"/>
      <c r="X2905" s="308" t="s">
        <v>5529</v>
      </c>
      <c r="Y2905" s="308" t="s">
        <v>5529</v>
      </c>
      <c r="Z2905" s="308" t="s">
        <v>5529</v>
      </c>
      <c r="AA2905" s="811">
        <v>42572</v>
      </c>
      <c r="AB2905" s="318" t="s">
        <v>9058</v>
      </c>
      <c r="AD2905" s="1091"/>
      <c r="AE2905" s="1091"/>
      <c r="AF2905" s="1091"/>
      <c r="AG2905" s="318" t="s">
        <v>283</v>
      </c>
    </row>
    <row r="2906" spans="1:33" ht="15.75" customHeight="1">
      <c r="A2906" s="755">
        <v>42467</v>
      </c>
      <c r="B2906" s="338" t="s">
        <v>9068</v>
      </c>
      <c r="C2906" s="757" t="s">
        <v>9069</v>
      </c>
      <c r="D2906" s="308" t="s">
        <v>9070</v>
      </c>
      <c r="E2906" s="571" t="s">
        <v>9071</v>
      </c>
      <c r="F2906" s="574">
        <v>10</v>
      </c>
      <c r="G2906" s="265">
        <v>169</v>
      </c>
      <c r="H2906" s="464">
        <f t="shared" si="182"/>
        <v>1690</v>
      </c>
      <c r="I2906" s="758" t="s">
        <v>3315</v>
      </c>
      <c r="J2906" s="331" t="s">
        <v>8461</v>
      </c>
      <c r="K2906" s="811">
        <v>42481</v>
      </c>
      <c r="L2906" s="1477"/>
      <c r="M2906" s="811">
        <v>42478</v>
      </c>
      <c r="N2906" s="331" t="s">
        <v>3432</v>
      </c>
      <c r="O2906" s="263" t="s">
        <v>9072</v>
      </c>
      <c r="P2906" s="752"/>
      <c r="Q2906" s="318">
        <v>55083</v>
      </c>
      <c r="R2906" s="1410"/>
      <c r="S2906" s="1410"/>
      <c r="U2906" s="386"/>
      <c r="V2906" s="318" t="s">
        <v>8443</v>
      </c>
      <c r="W2906" s="1096">
        <v>42526</v>
      </c>
      <c r="X2906" s="1083">
        <v>42478</v>
      </c>
      <c r="Y2906" s="263" t="s">
        <v>9073</v>
      </c>
      <c r="Z2906" s="1086">
        <v>55083</v>
      </c>
      <c r="AA2906" s="811">
        <v>42529</v>
      </c>
      <c r="AB2906" s="318" t="s">
        <v>9074</v>
      </c>
      <c r="AD2906" s="1091"/>
      <c r="AE2906" s="1091"/>
      <c r="AF2906" s="1091"/>
      <c r="AG2906" s="318" t="s">
        <v>283</v>
      </c>
    </row>
    <row r="2907" spans="1:33" ht="15.75" customHeight="1">
      <c r="A2907" s="755">
        <v>42467</v>
      </c>
      <c r="B2907" s="338" t="s">
        <v>9068</v>
      </c>
      <c r="C2907" s="757" t="s">
        <v>9069</v>
      </c>
      <c r="D2907" s="308" t="s">
        <v>9070</v>
      </c>
      <c r="E2907" s="571" t="s">
        <v>346</v>
      </c>
      <c r="F2907" s="574">
        <v>1</v>
      </c>
      <c r="G2907" s="464">
        <v>1</v>
      </c>
      <c r="H2907" s="464">
        <v>158</v>
      </c>
      <c r="I2907" s="758" t="s">
        <v>3315</v>
      </c>
      <c r="J2907" s="331" t="s">
        <v>8461</v>
      </c>
      <c r="K2907" s="811">
        <v>42481</v>
      </c>
      <c r="L2907" s="1477"/>
      <c r="M2907" s="811"/>
      <c r="N2907" s="331" t="s">
        <v>1999</v>
      </c>
      <c r="O2907" s="263"/>
      <c r="P2907" s="752"/>
      <c r="Q2907" s="318">
        <v>4482</v>
      </c>
      <c r="R2907" s="1410"/>
      <c r="S2907" s="1410"/>
      <c r="U2907" s="386"/>
      <c r="V2907" s="386" t="s">
        <v>2000</v>
      </c>
      <c r="W2907" s="1096">
        <v>42520</v>
      </c>
      <c r="X2907" s="1083">
        <v>42490</v>
      </c>
      <c r="Y2907" s="263" t="s">
        <v>9027</v>
      </c>
      <c r="Z2907" s="1086" t="s">
        <v>9075</v>
      </c>
      <c r="AA2907" s="811">
        <v>42527</v>
      </c>
      <c r="AB2907" s="318" t="s">
        <v>9074</v>
      </c>
      <c r="AD2907" s="1091"/>
      <c r="AE2907" s="1091"/>
      <c r="AF2907" s="1091"/>
      <c r="AG2907" s="318" t="s">
        <v>283</v>
      </c>
    </row>
    <row r="2908" spans="1:33" ht="15.75" customHeight="1">
      <c r="A2908" s="755">
        <v>42467</v>
      </c>
      <c r="B2908" s="338" t="s">
        <v>76</v>
      </c>
      <c r="C2908" s="744">
        <v>299</v>
      </c>
      <c r="D2908" s="308" t="s">
        <v>9076</v>
      </c>
      <c r="E2908" s="571" t="s">
        <v>9077</v>
      </c>
      <c r="F2908" s="574">
        <v>30</v>
      </c>
      <c r="G2908" s="464">
        <v>300</v>
      </c>
      <c r="H2908" s="464">
        <f t="shared" ref="H2908:H2920" si="183">G2908*F2908</f>
        <v>9000</v>
      </c>
      <c r="I2908" s="254" t="s">
        <v>170</v>
      </c>
      <c r="J2908" s="331" t="s">
        <v>315</v>
      </c>
      <c r="K2908" s="811">
        <v>42493</v>
      </c>
      <c r="L2908" s="1477"/>
      <c r="M2908" s="811">
        <v>42486</v>
      </c>
      <c r="N2908" s="331" t="s">
        <v>1967</v>
      </c>
      <c r="O2908" s="263" t="s">
        <v>9078</v>
      </c>
      <c r="P2908" s="752">
        <v>8190</v>
      </c>
      <c r="Q2908" s="386"/>
      <c r="R2908" s="1407"/>
      <c r="S2908" s="1407"/>
      <c r="U2908" s="386"/>
      <c r="V2908" s="318" t="s">
        <v>1969</v>
      </c>
      <c r="W2908" s="1096">
        <v>42526</v>
      </c>
      <c r="X2908" s="1083">
        <v>42489</v>
      </c>
      <c r="Y2908" s="263" t="s">
        <v>9079</v>
      </c>
      <c r="Z2908" s="1086">
        <v>264005</v>
      </c>
      <c r="AA2908" s="811">
        <v>42527</v>
      </c>
      <c r="AB2908" s="318" t="s">
        <v>9080</v>
      </c>
      <c r="AD2908" s="1091"/>
      <c r="AE2908" s="1091"/>
      <c r="AF2908" s="1091"/>
      <c r="AG2908" s="318" t="s">
        <v>283</v>
      </c>
    </row>
    <row r="2909" spans="1:33" ht="15.75" customHeight="1">
      <c r="A2909" s="755">
        <v>42467</v>
      </c>
      <c r="B2909" s="571" t="s">
        <v>8502</v>
      </c>
      <c r="C2909" s="744" t="s">
        <v>9081</v>
      </c>
      <c r="D2909" s="308" t="s">
        <v>9082</v>
      </c>
      <c r="E2909" s="328" t="s">
        <v>6063</v>
      </c>
      <c r="F2909" s="574">
        <v>1</v>
      </c>
      <c r="G2909" s="265">
        <v>61.95</v>
      </c>
      <c r="H2909" s="464">
        <f t="shared" si="183"/>
        <v>61.95</v>
      </c>
      <c r="I2909" s="254" t="s">
        <v>42</v>
      </c>
      <c r="J2909" s="331" t="s">
        <v>89</v>
      </c>
      <c r="K2909" s="811">
        <v>42474</v>
      </c>
      <c r="L2909" s="1477"/>
      <c r="M2909" s="811"/>
      <c r="N2909" s="331" t="s">
        <v>89</v>
      </c>
      <c r="O2909" s="263" t="s">
        <v>9083</v>
      </c>
      <c r="P2909" s="752">
        <v>54.6</v>
      </c>
      <c r="Q2909" s="386"/>
      <c r="R2909" s="1407"/>
      <c r="S2909" s="1407"/>
      <c r="U2909" s="386"/>
      <c r="V2909" s="318" t="s">
        <v>5896</v>
      </c>
      <c r="W2909" s="1090"/>
      <c r="X2909" s="1083">
        <v>42472</v>
      </c>
      <c r="Y2909" s="263" t="s">
        <v>9084</v>
      </c>
      <c r="Z2909" s="1085">
        <v>1758</v>
      </c>
      <c r="AA2909" s="811">
        <v>42527</v>
      </c>
      <c r="AB2909" s="318" t="s">
        <v>9085</v>
      </c>
      <c r="AD2909" s="386" t="s">
        <v>9086</v>
      </c>
      <c r="AE2909" s="1097">
        <v>2002</v>
      </c>
      <c r="AF2909" s="386" t="s">
        <v>9087</v>
      </c>
      <c r="AG2909" s="318"/>
    </row>
    <row r="2910" spans="1:33" ht="15.75" customHeight="1">
      <c r="A2910" s="755">
        <v>42468</v>
      </c>
      <c r="B2910" s="338" t="s">
        <v>7379</v>
      </c>
      <c r="C2910" s="744"/>
      <c r="D2910" s="308" t="s">
        <v>9088</v>
      </c>
      <c r="E2910" s="308" t="s">
        <v>5073</v>
      </c>
      <c r="F2910" s="574">
        <v>2</v>
      </c>
      <c r="G2910" s="265">
        <v>106</v>
      </c>
      <c r="H2910" s="464">
        <f t="shared" si="183"/>
        <v>212</v>
      </c>
      <c r="I2910" s="254" t="s">
        <v>170</v>
      </c>
      <c r="J2910" s="331" t="s">
        <v>9089</v>
      </c>
      <c r="K2910" s="811">
        <v>42485</v>
      </c>
      <c r="L2910" s="1477"/>
      <c r="M2910" s="811">
        <v>42475</v>
      </c>
      <c r="N2910" s="331" t="s">
        <v>3678</v>
      </c>
      <c r="O2910" s="308" t="s">
        <v>9090</v>
      </c>
      <c r="P2910" s="752"/>
      <c r="Q2910" s="318">
        <v>6510</v>
      </c>
      <c r="R2910" s="1410"/>
      <c r="S2910" s="1410"/>
      <c r="U2910" s="386"/>
      <c r="V2910" s="386" t="s">
        <v>3680</v>
      </c>
      <c r="W2910" s="1096">
        <v>42526</v>
      </c>
      <c r="X2910" s="1083">
        <v>42474</v>
      </c>
      <c r="Y2910" s="263" t="s">
        <v>9091</v>
      </c>
      <c r="Z2910" s="1085">
        <v>26670</v>
      </c>
      <c r="AA2910" s="811">
        <v>42527</v>
      </c>
      <c r="AB2910" s="318" t="s">
        <v>9092</v>
      </c>
      <c r="AD2910" s="1091"/>
      <c r="AE2910" s="1091"/>
      <c r="AF2910" s="1091"/>
      <c r="AG2910" s="1092" t="s">
        <v>283</v>
      </c>
    </row>
    <row r="2911" spans="1:33" ht="15.75" customHeight="1">
      <c r="A2911" s="755">
        <v>42468</v>
      </c>
      <c r="B2911" s="338" t="s">
        <v>7379</v>
      </c>
      <c r="C2911" s="744"/>
      <c r="D2911" s="308" t="s">
        <v>9088</v>
      </c>
      <c r="E2911" s="308" t="s">
        <v>5077</v>
      </c>
      <c r="F2911" s="574">
        <v>2</v>
      </c>
      <c r="G2911" s="265">
        <v>240</v>
      </c>
      <c r="H2911" s="464">
        <f t="shared" si="183"/>
        <v>480</v>
      </c>
      <c r="I2911" s="254" t="s">
        <v>170</v>
      </c>
      <c r="J2911" s="331" t="s">
        <v>9089</v>
      </c>
      <c r="K2911" s="811">
        <v>42485</v>
      </c>
      <c r="L2911" s="1477"/>
      <c r="M2911" s="811">
        <v>42475</v>
      </c>
      <c r="N2911" s="331" t="s">
        <v>3678</v>
      </c>
      <c r="O2911" s="308" t="s">
        <v>9090</v>
      </c>
      <c r="P2911" s="752"/>
      <c r="Q2911" s="318">
        <v>15120</v>
      </c>
      <c r="R2911" s="1410"/>
      <c r="S2911" s="1410"/>
      <c r="U2911" s="386"/>
      <c r="V2911" s="386" t="s">
        <v>3680</v>
      </c>
      <c r="W2911" s="1096">
        <v>42526</v>
      </c>
      <c r="X2911" s="1083">
        <v>42474</v>
      </c>
      <c r="Y2911" s="263" t="s">
        <v>9091</v>
      </c>
      <c r="Z2911" s="1085" t="s">
        <v>9093</v>
      </c>
      <c r="AA2911" s="811">
        <v>42527</v>
      </c>
      <c r="AB2911" s="318" t="s">
        <v>9092</v>
      </c>
      <c r="AD2911" s="1091"/>
      <c r="AE2911" s="1091"/>
      <c r="AF2911" s="1091"/>
      <c r="AG2911" s="1092" t="s">
        <v>283</v>
      </c>
    </row>
    <row r="2912" spans="1:33" ht="15.75" customHeight="1">
      <c r="A2912" s="755">
        <v>42468</v>
      </c>
      <c r="B2912" s="338" t="s">
        <v>7379</v>
      </c>
      <c r="C2912" s="744"/>
      <c r="D2912" s="308" t="s">
        <v>9088</v>
      </c>
      <c r="E2912" s="308" t="s">
        <v>5079</v>
      </c>
      <c r="F2912" s="574">
        <v>2</v>
      </c>
      <c r="G2912" s="265">
        <v>82</v>
      </c>
      <c r="H2912" s="464">
        <f t="shared" si="183"/>
        <v>164</v>
      </c>
      <c r="I2912" s="254" t="s">
        <v>170</v>
      </c>
      <c r="J2912" s="331" t="s">
        <v>9089</v>
      </c>
      <c r="K2912" s="811">
        <v>42485</v>
      </c>
      <c r="L2912" s="1477"/>
      <c r="M2912" s="811">
        <v>42475</v>
      </c>
      <c r="N2912" s="331" t="s">
        <v>3678</v>
      </c>
      <c r="O2912" s="308" t="s">
        <v>9090</v>
      </c>
      <c r="P2912" s="752"/>
      <c r="Q2912" s="318">
        <v>5040</v>
      </c>
      <c r="R2912" s="1410"/>
      <c r="S2912" s="1410"/>
      <c r="U2912" s="386"/>
      <c r="V2912" s="386" t="s">
        <v>3680</v>
      </c>
      <c r="W2912" s="1096">
        <v>42526</v>
      </c>
      <c r="X2912" s="1083">
        <v>42474</v>
      </c>
      <c r="Y2912" s="263" t="s">
        <v>9091</v>
      </c>
      <c r="Z2912" s="1085" t="s">
        <v>9093</v>
      </c>
      <c r="AA2912" s="811">
        <v>42527</v>
      </c>
      <c r="AB2912" s="318" t="s">
        <v>9092</v>
      </c>
      <c r="AD2912" s="1091"/>
      <c r="AE2912" s="1091"/>
      <c r="AF2912" s="1091"/>
      <c r="AG2912" s="1092" t="s">
        <v>283</v>
      </c>
    </row>
    <row r="2913" spans="1:33" ht="15.75" customHeight="1">
      <c r="A2913" s="755">
        <v>42468</v>
      </c>
      <c r="B2913" s="338" t="s">
        <v>1189</v>
      </c>
      <c r="C2913" s="744" t="s">
        <v>9094</v>
      </c>
      <c r="D2913" s="308" t="s">
        <v>9095</v>
      </c>
      <c r="E2913" s="571" t="s">
        <v>8916</v>
      </c>
      <c r="F2913" s="574">
        <v>140</v>
      </c>
      <c r="G2913" s="464">
        <v>14.9</v>
      </c>
      <c r="H2913" s="464">
        <f t="shared" si="183"/>
        <v>2086</v>
      </c>
      <c r="I2913" s="264" t="s">
        <v>42</v>
      </c>
      <c r="J2913" s="331" t="s">
        <v>8917</v>
      </c>
      <c r="K2913" s="811">
        <v>42502</v>
      </c>
      <c r="L2913" s="1477"/>
      <c r="M2913" s="811">
        <v>42499</v>
      </c>
      <c r="N2913" s="331" t="s">
        <v>2411</v>
      </c>
      <c r="O2913" s="263" t="s">
        <v>9096</v>
      </c>
      <c r="P2913" s="752"/>
      <c r="Q2913" s="318">
        <v>67620</v>
      </c>
      <c r="R2913" s="1410"/>
      <c r="S2913" s="1410"/>
      <c r="U2913" s="386"/>
      <c r="V2913" s="318" t="s">
        <v>2413</v>
      </c>
      <c r="W2913" s="1096">
        <v>42526</v>
      </c>
      <c r="X2913" s="1083">
        <v>42499</v>
      </c>
      <c r="Y2913" s="263" t="s">
        <v>9097</v>
      </c>
      <c r="Z2913" s="1086">
        <v>101430</v>
      </c>
      <c r="AA2913" s="811">
        <v>42527</v>
      </c>
      <c r="AB2913" s="250" t="s">
        <v>8922</v>
      </c>
      <c r="AD2913" s="1091"/>
      <c r="AE2913" s="1091"/>
      <c r="AF2913" s="1091"/>
      <c r="AG2913" s="318" t="s">
        <v>283</v>
      </c>
    </row>
    <row r="2914" spans="1:33" ht="15.75" customHeight="1">
      <c r="A2914" s="755">
        <v>42468</v>
      </c>
      <c r="B2914" s="338" t="s">
        <v>1189</v>
      </c>
      <c r="C2914" s="744" t="s">
        <v>9094</v>
      </c>
      <c r="D2914" s="308" t="s">
        <v>9098</v>
      </c>
      <c r="E2914" s="571" t="s">
        <v>8916</v>
      </c>
      <c r="F2914" s="574">
        <v>110</v>
      </c>
      <c r="G2914" s="265">
        <v>14.9</v>
      </c>
      <c r="H2914" s="464">
        <f t="shared" si="183"/>
        <v>1639</v>
      </c>
      <c r="I2914" s="264" t="s">
        <v>42</v>
      </c>
      <c r="J2914" s="331" t="s">
        <v>920</v>
      </c>
      <c r="K2914" s="811">
        <v>42513</v>
      </c>
      <c r="L2914" s="1477"/>
      <c r="M2914" s="811">
        <v>42501</v>
      </c>
      <c r="N2914" s="331" t="s">
        <v>2411</v>
      </c>
      <c r="O2914" s="263" t="s">
        <v>9096</v>
      </c>
      <c r="P2914" s="752"/>
      <c r="Q2914" s="318">
        <v>53130</v>
      </c>
      <c r="R2914" s="1410"/>
      <c r="S2914" s="1410"/>
      <c r="U2914" s="386"/>
      <c r="V2914" s="318" t="s">
        <v>2413</v>
      </c>
      <c r="W2914" s="1096">
        <v>42526</v>
      </c>
      <c r="X2914" s="1083">
        <v>42502</v>
      </c>
      <c r="Y2914" s="263" t="s">
        <v>9099</v>
      </c>
      <c r="Z2914" s="1086">
        <v>53130</v>
      </c>
      <c r="AA2914" s="811">
        <v>42527</v>
      </c>
      <c r="AB2914" s="318" t="s">
        <v>9100</v>
      </c>
      <c r="AD2914" s="1091"/>
      <c r="AE2914" s="1091"/>
      <c r="AF2914" s="1091"/>
      <c r="AG2914" s="318" t="s">
        <v>283</v>
      </c>
    </row>
    <row r="2915" spans="1:33" ht="15.75" customHeight="1">
      <c r="A2915" s="755">
        <v>42468</v>
      </c>
      <c r="B2915" s="338" t="s">
        <v>986</v>
      </c>
      <c r="C2915" s="744" t="s">
        <v>9101</v>
      </c>
      <c r="D2915" s="308" t="s">
        <v>9102</v>
      </c>
      <c r="E2915" s="571" t="s">
        <v>9103</v>
      </c>
      <c r="F2915" s="574">
        <v>1</v>
      </c>
      <c r="G2915" s="464">
        <v>141</v>
      </c>
      <c r="H2915" s="464">
        <f t="shared" si="183"/>
        <v>141</v>
      </c>
      <c r="I2915" s="254" t="s">
        <v>3315</v>
      </c>
      <c r="J2915" s="331" t="s">
        <v>8438</v>
      </c>
      <c r="K2915" s="811">
        <v>42516</v>
      </c>
      <c r="L2915" s="1477"/>
      <c r="M2915" s="811">
        <v>42510</v>
      </c>
      <c r="N2915" s="331" t="s">
        <v>5935</v>
      </c>
      <c r="O2915" s="263" t="s">
        <v>9104</v>
      </c>
      <c r="P2915" s="752"/>
      <c r="Q2915" s="318">
        <v>4326</v>
      </c>
      <c r="R2915" s="1410"/>
      <c r="S2915" s="1410"/>
      <c r="U2915" s="386"/>
      <c r="V2915" s="318" t="s">
        <v>8443</v>
      </c>
      <c r="W2915" s="747">
        <v>42526</v>
      </c>
      <c r="X2915" s="1083">
        <v>42510</v>
      </c>
      <c r="Y2915" s="263" t="s">
        <v>9105</v>
      </c>
      <c r="Z2915" s="1086">
        <v>4326</v>
      </c>
      <c r="AA2915" s="811">
        <v>42557</v>
      </c>
      <c r="AB2915" s="318" t="s">
        <v>9106</v>
      </c>
      <c r="AD2915" s="1091"/>
      <c r="AE2915" s="1091"/>
      <c r="AF2915" s="1091"/>
      <c r="AG2915" s="318" t="s">
        <v>283</v>
      </c>
    </row>
    <row r="2916" spans="1:33" ht="15.75" customHeight="1">
      <c r="A2916" s="755">
        <v>42548</v>
      </c>
      <c r="B2916" s="338" t="s">
        <v>4903</v>
      </c>
      <c r="C2916" s="744" t="s">
        <v>9107</v>
      </c>
      <c r="D2916" s="308" t="s">
        <v>9108</v>
      </c>
      <c r="E2916" s="571" t="s">
        <v>8620</v>
      </c>
      <c r="F2916" s="574">
        <v>7</v>
      </c>
      <c r="G2916" s="464">
        <v>3511</v>
      </c>
      <c r="H2916" s="464">
        <f t="shared" si="183"/>
        <v>24577</v>
      </c>
      <c r="I2916" s="254" t="s">
        <v>3315</v>
      </c>
      <c r="J2916" s="331" t="s">
        <v>8438</v>
      </c>
      <c r="K2916" s="811">
        <v>42604</v>
      </c>
      <c r="L2916" s="1477"/>
      <c r="M2916" s="811">
        <v>42601</v>
      </c>
      <c r="N2916" s="401" t="s">
        <v>2001</v>
      </c>
      <c r="O2916" s="263" t="s">
        <v>9109</v>
      </c>
      <c r="P2916" s="752"/>
      <c r="Q2916" s="318">
        <v>703763</v>
      </c>
      <c r="R2916" s="1410"/>
      <c r="S2916" s="1410"/>
      <c r="U2916" s="386"/>
      <c r="V2916" s="318" t="s">
        <v>2003</v>
      </c>
      <c r="W2916" s="1096">
        <v>42611</v>
      </c>
      <c r="X2916" s="1083">
        <v>42600</v>
      </c>
      <c r="Y2916" s="318" t="s">
        <v>9110</v>
      </c>
      <c r="Z2916" s="1086">
        <v>703763</v>
      </c>
      <c r="AA2916" s="811">
        <v>42608</v>
      </c>
      <c r="AB2916" s="318" t="s">
        <v>9011</v>
      </c>
      <c r="AD2916" s="1091"/>
      <c r="AE2916" s="1091"/>
      <c r="AF2916" s="1091"/>
      <c r="AG2916" s="318" t="s">
        <v>283</v>
      </c>
    </row>
    <row r="2917" spans="1:33" ht="15.75" customHeight="1">
      <c r="A2917" s="755">
        <v>42468</v>
      </c>
      <c r="B2917" s="338" t="s">
        <v>100</v>
      </c>
      <c r="C2917" s="744" t="s">
        <v>9111</v>
      </c>
      <c r="D2917" s="308" t="s">
        <v>9112</v>
      </c>
      <c r="E2917" s="308" t="s">
        <v>6119</v>
      </c>
      <c r="F2917" s="574">
        <v>6</v>
      </c>
      <c r="G2917" s="464">
        <v>62</v>
      </c>
      <c r="H2917" s="464">
        <f t="shared" si="183"/>
        <v>372</v>
      </c>
      <c r="I2917" s="254" t="s">
        <v>170</v>
      </c>
      <c r="J2917" s="331" t="s">
        <v>8461</v>
      </c>
      <c r="K2917" s="811">
        <v>42485</v>
      </c>
      <c r="L2917" s="1477"/>
      <c r="M2917" s="254" t="s">
        <v>9113</v>
      </c>
      <c r="N2917" s="401" t="s">
        <v>2124</v>
      </c>
      <c r="O2917" s="263" t="s">
        <v>9114</v>
      </c>
      <c r="P2917" s="752"/>
      <c r="Q2917" s="318">
        <v>6596.1</v>
      </c>
      <c r="R2917" s="1410"/>
      <c r="S2917" s="1410"/>
      <c r="U2917" s="386"/>
      <c r="V2917" s="318" t="s">
        <v>2126</v>
      </c>
      <c r="W2917" s="1096">
        <v>42474</v>
      </c>
      <c r="X2917" s="1083">
        <v>42475</v>
      </c>
      <c r="Y2917" s="263" t="s">
        <v>9115</v>
      </c>
      <c r="Z2917" s="1086">
        <v>6596</v>
      </c>
      <c r="AA2917" s="811">
        <v>42474</v>
      </c>
      <c r="AB2917" s="318" t="s">
        <v>9022</v>
      </c>
      <c r="AD2917" s="1091"/>
      <c r="AE2917" s="1091"/>
      <c r="AF2917" s="1091"/>
      <c r="AG2917" s="1092"/>
    </row>
    <row r="2918" spans="1:33" ht="15.75" customHeight="1">
      <c r="A2918" s="755">
        <v>42468</v>
      </c>
      <c r="B2918" s="338" t="s">
        <v>100</v>
      </c>
      <c r="C2918" s="744" t="s">
        <v>9111</v>
      </c>
      <c r="D2918" s="308" t="s">
        <v>9112</v>
      </c>
      <c r="E2918" s="597" t="s">
        <v>8591</v>
      </c>
      <c r="F2918" s="329">
        <v>10</v>
      </c>
      <c r="G2918" s="323">
        <v>141</v>
      </c>
      <c r="H2918" s="464">
        <f t="shared" si="183"/>
        <v>1410</v>
      </c>
      <c r="I2918" s="254" t="s">
        <v>170</v>
      </c>
      <c r="J2918" s="331" t="s">
        <v>8461</v>
      </c>
      <c r="K2918" s="811">
        <v>42485</v>
      </c>
      <c r="L2918" s="1477"/>
      <c r="M2918" s="811">
        <v>42478</v>
      </c>
      <c r="N2918" s="331" t="s">
        <v>3432</v>
      </c>
      <c r="O2918" s="263" t="s">
        <v>9116</v>
      </c>
      <c r="P2918" s="752"/>
      <c r="Q2918" s="318">
        <v>45392</v>
      </c>
      <c r="R2918" s="1410"/>
      <c r="S2918" s="1410"/>
      <c r="U2918" s="386"/>
      <c r="V2918" s="318" t="s">
        <v>8443</v>
      </c>
      <c r="W2918" s="1090"/>
      <c r="X2918" s="1083">
        <v>42478</v>
      </c>
      <c r="Y2918" s="263" t="s">
        <v>9117</v>
      </c>
      <c r="Z2918" s="1086">
        <v>45392</v>
      </c>
      <c r="AA2918" s="811">
        <v>42529</v>
      </c>
      <c r="AB2918" s="318" t="s">
        <v>9022</v>
      </c>
      <c r="AD2918" s="1091"/>
      <c r="AE2918" s="1091"/>
      <c r="AF2918" s="1091"/>
      <c r="AG2918" s="1092"/>
    </row>
    <row r="2919" spans="1:33" ht="15.75" customHeight="1">
      <c r="A2919" s="755">
        <v>42468</v>
      </c>
      <c r="B2919" s="338" t="s">
        <v>100</v>
      </c>
      <c r="C2919" s="744" t="s">
        <v>9118</v>
      </c>
      <c r="D2919" s="308" t="s">
        <v>9119</v>
      </c>
      <c r="E2919" s="571" t="s">
        <v>9120</v>
      </c>
      <c r="F2919" s="574">
        <v>5</v>
      </c>
      <c r="G2919" s="464">
        <v>321</v>
      </c>
      <c r="H2919" s="464">
        <f t="shared" si="183"/>
        <v>1605</v>
      </c>
      <c r="I2919" s="254" t="s">
        <v>170</v>
      </c>
      <c r="J2919" s="331" t="s">
        <v>8461</v>
      </c>
      <c r="K2919" s="811">
        <v>42478</v>
      </c>
      <c r="L2919" s="1477"/>
      <c r="M2919" s="811">
        <v>42475</v>
      </c>
      <c r="N2919" s="331" t="s">
        <v>1995</v>
      </c>
      <c r="O2919" s="263" t="s">
        <v>9121</v>
      </c>
      <c r="P2919" s="752"/>
      <c r="Q2919" s="318">
        <v>61069</v>
      </c>
      <c r="R2919" s="1410"/>
      <c r="S2919" s="1410"/>
      <c r="U2919" s="386"/>
      <c r="V2919" s="318" t="s">
        <v>9122</v>
      </c>
      <c r="W2919" s="1096">
        <v>42474</v>
      </c>
      <c r="X2919" s="1083">
        <v>42474</v>
      </c>
      <c r="Y2919" s="263" t="s">
        <v>9123</v>
      </c>
      <c r="Z2919" s="1086">
        <v>61068</v>
      </c>
      <c r="AA2919" s="811">
        <v>42474</v>
      </c>
      <c r="AB2919" s="318" t="s">
        <v>8930</v>
      </c>
      <c r="AD2919" s="1091"/>
      <c r="AE2919" s="1091"/>
      <c r="AF2919" s="1091"/>
      <c r="AG2919" s="1092" t="s">
        <v>283</v>
      </c>
    </row>
    <row r="2920" spans="1:33" ht="15.75" customHeight="1">
      <c r="A2920" s="755">
        <v>42468</v>
      </c>
      <c r="B2920" s="338" t="s">
        <v>100</v>
      </c>
      <c r="C2920" s="744" t="s">
        <v>9118</v>
      </c>
      <c r="D2920" s="308" t="s">
        <v>9119</v>
      </c>
      <c r="E2920" s="571" t="s">
        <v>9124</v>
      </c>
      <c r="F2920" s="574">
        <v>5</v>
      </c>
      <c r="G2920" s="464">
        <v>57</v>
      </c>
      <c r="H2920" s="464">
        <f t="shared" si="183"/>
        <v>285</v>
      </c>
      <c r="I2920" s="254" t="s">
        <v>170</v>
      </c>
      <c r="J2920" s="331" t="s">
        <v>8461</v>
      </c>
      <c r="K2920" s="811">
        <v>42478</v>
      </c>
      <c r="L2920" s="1477"/>
      <c r="M2920" s="811">
        <v>42475</v>
      </c>
      <c r="N2920" s="331" t="s">
        <v>1995</v>
      </c>
      <c r="O2920" s="263" t="s">
        <v>9121</v>
      </c>
      <c r="P2920" s="574"/>
      <c r="Q2920" s="328"/>
      <c r="R2920" s="1407"/>
      <c r="S2920" s="1407"/>
      <c r="U2920" s="386"/>
      <c r="V2920" s="308" t="s">
        <v>9122</v>
      </c>
      <c r="W2920" s="1090"/>
      <c r="X2920" s="1083">
        <v>42474</v>
      </c>
      <c r="Y2920" s="263" t="s">
        <v>9123</v>
      </c>
      <c r="Z2920" s="1086" t="s">
        <v>9125</v>
      </c>
      <c r="AA2920" s="811"/>
      <c r="AB2920" s="318" t="s">
        <v>8930</v>
      </c>
      <c r="AD2920" s="1091"/>
      <c r="AE2920" s="1091"/>
      <c r="AF2920" s="1091"/>
      <c r="AG2920" s="1092" t="s">
        <v>283</v>
      </c>
    </row>
    <row r="2921" spans="1:33" ht="15.75" customHeight="1">
      <c r="A2921" s="755">
        <v>42468</v>
      </c>
      <c r="B2921" s="338" t="s">
        <v>100</v>
      </c>
      <c r="C2921" s="744" t="s">
        <v>9118</v>
      </c>
      <c r="D2921" s="308" t="s">
        <v>9126</v>
      </c>
      <c r="E2921" s="571" t="s">
        <v>9127</v>
      </c>
      <c r="F2921" s="574">
        <v>1</v>
      </c>
      <c r="G2921" s="464">
        <v>262</v>
      </c>
      <c r="H2921" s="464">
        <v>247</v>
      </c>
      <c r="I2921" s="254" t="s">
        <v>170</v>
      </c>
      <c r="J2921" s="331" t="s">
        <v>8461</v>
      </c>
      <c r="K2921" s="811">
        <v>42478</v>
      </c>
      <c r="L2921" s="1477"/>
      <c r="M2921" s="1093"/>
      <c r="N2921" s="331" t="s">
        <v>1999</v>
      </c>
      <c r="O2921" s="263"/>
      <c r="P2921" s="574"/>
      <c r="Q2921" s="572">
        <v>43868</v>
      </c>
      <c r="R2921" s="1413"/>
      <c r="S2921" s="1413"/>
      <c r="U2921" s="386"/>
      <c r="V2921" s="328" t="s">
        <v>9128</v>
      </c>
      <c r="W2921" s="1090"/>
      <c r="X2921" s="1083">
        <v>42482</v>
      </c>
      <c r="Y2921" s="263" t="s">
        <v>8937</v>
      </c>
      <c r="Z2921" s="1086">
        <v>43868</v>
      </c>
      <c r="AA2921" s="811">
        <v>42494</v>
      </c>
      <c r="AB2921" s="318" t="s">
        <v>8930</v>
      </c>
      <c r="AD2921" s="1091"/>
      <c r="AE2921" s="1091"/>
      <c r="AF2921" s="1091"/>
      <c r="AG2921" s="1092" t="s">
        <v>283</v>
      </c>
    </row>
    <row r="2922" spans="1:33" ht="15.75" customHeight="1">
      <c r="A2922" s="755">
        <v>42468</v>
      </c>
      <c r="B2922" s="338" t="s">
        <v>100</v>
      </c>
      <c r="C2922" s="744" t="s">
        <v>9129</v>
      </c>
      <c r="D2922" s="308" t="s">
        <v>9130</v>
      </c>
      <c r="E2922" s="571" t="s">
        <v>6445</v>
      </c>
      <c r="F2922" s="574">
        <v>1</v>
      </c>
      <c r="G2922" s="464">
        <v>99</v>
      </c>
      <c r="H2922" s="464">
        <f t="shared" ref="H2922:H2964" si="184">G2922*F2922</f>
        <v>99</v>
      </c>
      <c r="I2922" s="254" t="s">
        <v>170</v>
      </c>
      <c r="J2922" s="331" t="s">
        <v>8461</v>
      </c>
      <c r="K2922" s="811">
        <v>42478</v>
      </c>
      <c r="L2922" s="1477"/>
      <c r="M2922" s="811">
        <v>42475</v>
      </c>
      <c r="N2922" s="331" t="s">
        <v>3330</v>
      </c>
      <c r="O2922" s="263" t="s">
        <v>9131</v>
      </c>
      <c r="P2922" s="574"/>
      <c r="Q2922" s="308">
        <v>2892</v>
      </c>
      <c r="R2922" s="1410"/>
      <c r="S2922" s="1410"/>
      <c r="U2922" s="386"/>
      <c r="V2922" s="328" t="s">
        <v>8822</v>
      </c>
      <c r="W2922" s="1096">
        <v>42474</v>
      </c>
      <c r="X2922" s="1083">
        <v>42475</v>
      </c>
      <c r="Y2922" s="263" t="s">
        <v>9132</v>
      </c>
      <c r="Z2922" s="1086">
        <v>2892</v>
      </c>
      <c r="AA2922" s="811">
        <v>42474</v>
      </c>
      <c r="AB2922" s="318" t="s">
        <v>8930</v>
      </c>
      <c r="AD2922" s="1091"/>
      <c r="AE2922" s="1091"/>
      <c r="AF2922" s="1091"/>
      <c r="AG2922" s="1092" t="s">
        <v>283</v>
      </c>
    </row>
    <row r="2923" spans="1:33" ht="15.75" customHeight="1">
      <c r="A2923" s="755">
        <v>42468</v>
      </c>
      <c r="B2923" s="338" t="s">
        <v>100</v>
      </c>
      <c r="C2923" s="744" t="s">
        <v>9129</v>
      </c>
      <c r="D2923" s="308" t="s">
        <v>9130</v>
      </c>
      <c r="E2923" s="308" t="s">
        <v>6452</v>
      </c>
      <c r="F2923" s="574">
        <v>2</v>
      </c>
      <c r="G2923" s="464">
        <v>2</v>
      </c>
      <c r="H2923" s="464">
        <f t="shared" si="184"/>
        <v>4</v>
      </c>
      <c r="I2923" s="254" t="s">
        <v>170</v>
      </c>
      <c r="J2923" s="331" t="s">
        <v>8461</v>
      </c>
      <c r="K2923" s="811">
        <v>42478</v>
      </c>
      <c r="L2923" s="1477"/>
      <c r="M2923" s="811">
        <v>42475</v>
      </c>
      <c r="N2923" s="331" t="s">
        <v>3608</v>
      </c>
      <c r="O2923" s="263" t="s">
        <v>9133</v>
      </c>
      <c r="P2923" s="574"/>
      <c r="Q2923" s="328"/>
      <c r="R2923" s="1407"/>
      <c r="S2923" s="1407"/>
      <c r="U2923" s="386"/>
      <c r="V2923" s="308"/>
      <c r="W2923" s="1090"/>
      <c r="X2923" s="263" t="s">
        <v>9133</v>
      </c>
      <c r="Y2923" s="263" t="s">
        <v>9133</v>
      </c>
      <c r="Z2923" s="263" t="s">
        <v>9133</v>
      </c>
      <c r="AA2923" s="1114"/>
      <c r="AB2923" s="318" t="s">
        <v>8930</v>
      </c>
      <c r="AD2923" s="1091"/>
      <c r="AE2923" s="1091"/>
      <c r="AF2923" s="1091"/>
      <c r="AG2923" s="1092" t="s">
        <v>283</v>
      </c>
    </row>
    <row r="2924" spans="1:33" ht="15.75" customHeight="1">
      <c r="A2924" s="755">
        <v>42468</v>
      </c>
      <c r="B2924" s="338" t="s">
        <v>100</v>
      </c>
      <c r="C2924" s="744" t="s">
        <v>9129</v>
      </c>
      <c r="D2924" s="308" t="s">
        <v>9130</v>
      </c>
      <c r="E2924" s="571" t="s">
        <v>8826</v>
      </c>
      <c r="F2924" s="574">
        <v>1</v>
      </c>
      <c r="G2924" s="464">
        <v>3</v>
      </c>
      <c r="H2924" s="464">
        <f t="shared" si="184"/>
        <v>3</v>
      </c>
      <c r="I2924" s="254" t="s">
        <v>170</v>
      </c>
      <c r="J2924" s="331" t="s">
        <v>8461</v>
      </c>
      <c r="K2924" s="811">
        <v>42478</v>
      </c>
      <c r="L2924" s="1477"/>
      <c r="M2924" s="811">
        <v>42475</v>
      </c>
      <c r="N2924" s="331" t="s">
        <v>3608</v>
      </c>
      <c r="O2924" s="263" t="s">
        <v>9133</v>
      </c>
      <c r="P2924" s="574"/>
      <c r="Q2924" s="328"/>
      <c r="R2924" s="1407"/>
      <c r="S2924" s="1407"/>
      <c r="U2924" s="386"/>
      <c r="V2924" s="308"/>
      <c r="W2924" s="1090"/>
      <c r="X2924" s="263" t="s">
        <v>9133</v>
      </c>
      <c r="Y2924" s="263" t="s">
        <v>9133</v>
      </c>
      <c r="Z2924" s="263" t="s">
        <v>9133</v>
      </c>
      <c r="AA2924" s="1114"/>
      <c r="AB2924" s="318" t="s">
        <v>8930</v>
      </c>
      <c r="AD2924" s="1091"/>
      <c r="AE2924" s="1091"/>
      <c r="AF2924" s="1091"/>
      <c r="AG2924" s="1092" t="s">
        <v>283</v>
      </c>
    </row>
    <row r="2925" spans="1:33" ht="15.75" customHeight="1">
      <c r="A2925" s="755">
        <v>42468</v>
      </c>
      <c r="B2925" s="338" t="s">
        <v>100</v>
      </c>
      <c r="C2925" s="744" t="s">
        <v>9129</v>
      </c>
      <c r="D2925" s="308" t="s">
        <v>9130</v>
      </c>
      <c r="E2925" s="597" t="s">
        <v>8828</v>
      </c>
      <c r="F2925" s="574">
        <v>1</v>
      </c>
      <c r="G2925" s="464">
        <v>7</v>
      </c>
      <c r="H2925" s="464">
        <f t="shared" si="184"/>
        <v>7</v>
      </c>
      <c r="I2925" s="254" t="s">
        <v>170</v>
      </c>
      <c r="J2925" s="331" t="s">
        <v>8461</v>
      </c>
      <c r="K2925" s="811">
        <v>42478</v>
      </c>
      <c r="L2925" s="1477"/>
      <c r="M2925" s="811">
        <v>42475</v>
      </c>
      <c r="N2925" s="331" t="s">
        <v>3608</v>
      </c>
      <c r="O2925" s="263" t="s">
        <v>9134</v>
      </c>
      <c r="P2925" s="752"/>
      <c r="Q2925" s="318">
        <v>200</v>
      </c>
      <c r="R2925" s="1410"/>
      <c r="S2925" s="1410"/>
      <c r="U2925" s="386"/>
      <c r="V2925" s="318" t="s">
        <v>185</v>
      </c>
      <c r="W2925" s="1096">
        <v>42526</v>
      </c>
      <c r="X2925" s="1083">
        <v>42474</v>
      </c>
      <c r="Y2925" s="263" t="s">
        <v>9135</v>
      </c>
      <c r="Z2925" s="1086">
        <v>200</v>
      </c>
      <c r="AA2925" s="811">
        <v>42557</v>
      </c>
      <c r="AB2925" s="318" t="s">
        <v>8930</v>
      </c>
      <c r="AD2925" s="1091"/>
      <c r="AE2925" s="1091"/>
      <c r="AF2925" s="1091"/>
      <c r="AG2925" s="1092" t="s">
        <v>283</v>
      </c>
    </row>
    <row r="2926" spans="1:33" ht="15.75" customHeight="1">
      <c r="A2926" s="755">
        <v>42468</v>
      </c>
      <c r="B2926" s="338" t="s">
        <v>100</v>
      </c>
      <c r="C2926" s="744" t="s">
        <v>9136</v>
      </c>
      <c r="D2926" s="308" t="s">
        <v>9137</v>
      </c>
      <c r="E2926" s="571" t="s">
        <v>9138</v>
      </c>
      <c r="F2926" s="574">
        <v>1</v>
      </c>
      <c r="G2926" s="464">
        <v>37</v>
      </c>
      <c r="H2926" s="464">
        <f t="shared" si="184"/>
        <v>37</v>
      </c>
      <c r="I2926" s="254" t="s">
        <v>170</v>
      </c>
      <c r="J2926" s="331" t="s">
        <v>8461</v>
      </c>
      <c r="K2926" s="811">
        <v>42478</v>
      </c>
      <c r="L2926" s="1477"/>
      <c r="M2926" s="811">
        <v>42478</v>
      </c>
      <c r="N2926" s="267" t="s">
        <v>2124</v>
      </c>
      <c r="O2926" s="263" t="s">
        <v>9139</v>
      </c>
      <c r="P2926" s="752"/>
      <c r="Q2926" s="318">
        <v>704</v>
      </c>
      <c r="R2926" s="1410"/>
      <c r="S2926" s="1410"/>
      <c r="U2926" s="386"/>
      <c r="V2926" s="318" t="s">
        <v>2126</v>
      </c>
      <c r="W2926" s="1096">
        <v>42474</v>
      </c>
      <c r="X2926" s="1083">
        <v>42475</v>
      </c>
      <c r="Y2926" s="263" t="s">
        <v>9140</v>
      </c>
      <c r="Z2926" s="254">
        <v>704</v>
      </c>
      <c r="AA2926" s="811">
        <v>42474</v>
      </c>
      <c r="AB2926" s="318" t="s">
        <v>8930</v>
      </c>
      <c r="AD2926" s="1091"/>
      <c r="AE2926" s="1091"/>
      <c r="AF2926" s="1091"/>
      <c r="AG2926" s="1092" t="s">
        <v>283</v>
      </c>
    </row>
    <row r="2927" spans="1:33" ht="15.75" customHeight="1">
      <c r="A2927" s="755">
        <v>42469</v>
      </c>
      <c r="B2927" s="338" t="s">
        <v>3347</v>
      </c>
      <c r="C2927" s="744"/>
      <c r="D2927" s="308" t="s">
        <v>9141</v>
      </c>
      <c r="E2927" s="328" t="s">
        <v>8832</v>
      </c>
      <c r="F2927" s="574">
        <v>100</v>
      </c>
      <c r="G2927" s="464">
        <v>189.1</v>
      </c>
      <c r="H2927" s="464">
        <f t="shared" si="184"/>
        <v>18910</v>
      </c>
      <c r="I2927" s="254" t="s">
        <v>170</v>
      </c>
      <c r="J2927" s="592" t="s">
        <v>3350</v>
      </c>
      <c r="K2927" s="811">
        <v>42493</v>
      </c>
      <c r="L2927" s="1477"/>
      <c r="M2927" s="811">
        <v>42482</v>
      </c>
      <c r="N2927" s="331" t="s">
        <v>89</v>
      </c>
      <c r="O2927" s="263" t="s">
        <v>9142</v>
      </c>
      <c r="P2927" s="752">
        <v>17482.5</v>
      </c>
      <c r="Q2927" s="386"/>
      <c r="R2927" s="1407"/>
      <c r="S2927" s="1407"/>
      <c r="U2927" s="386"/>
      <c r="V2927" s="318" t="s">
        <v>5896</v>
      </c>
      <c r="W2927" s="1090"/>
      <c r="X2927" s="1083">
        <v>42482</v>
      </c>
      <c r="Y2927" s="263" t="s">
        <v>9143</v>
      </c>
      <c r="Z2927" s="1086">
        <v>740016</v>
      </c>
      <c r="AA2927" s="811">
        <v>42527</v>
      </c>
      <c r="AB2927" s="263" t="s">
        <v>9144</v>
      </c>
      <c r="AD2927" s="1091"/>
      <c r="AE2927" s="1091"/>
      <c r="AF2927" s="1091"/>
      <c r="AG2927" s="338" t="s">
        <v>8837</v>
      </c>
    </row>
    <row r="2928" spans="1:33" ht="15.75" customHeight="1">
      <c r="A2928" s="755">
        <v>42469</v>
      </c>
      <c r="B2928" s="338" t="s">
        <v>3347</v>
      </c>
      <c r="C2928" s="744"/>
      <c r="D2928" s="308" t="s">
        <v>9141</v>
      </c>
      <c r="E2928" s="571" t="s">
        <v>5894</v>
      </c>
      <c r="F2928" s="574">
        <v>20</v>
      </c>
      <c r="G2928" s="464">
        <v>375.4</v>
      </c>
      <c r="H2928" s="464">
        <f t="shared" si="184"/>
        <v>7508</v>
      </c>
      <c r="I2928" s="254" t="s">
        <v>170</v>
      </c>
      <c r="J2928" s="592" t="s">
        <v>3350</v>
      </c>
      <c r="K2928" s="811">
        <v>42493</v>
      </c>
      <c r="L2928" s="1477"/>
      <c r="M2928" s="811">
        <v>42482</v>
      </c>
      <c r="N2928" s="331" t="s">
        <v>89</v>
      </c>
      <c r="O2928" s="263" t="s">
        <v>9142</v>
      </c>
      <c r="P2928" s="752">
        <v>6951</v>
      </c>
      <c r="Q2928" s="386"/>
      <c r="R2928" s="1407"/>
      <c r="S2928" s="1407"/>
      <c r="U2928" s="386"/>
      <c r="V2928" s="318" t="s">
        <v>5896</v>
      </c>
      <c r="W2928" s="1090"/>
      <c r="X2928" s="1083">
        <v>42482</v>
      </c>
      <c r="Y2928" s="263" t="s">
        <v>9143</v>
      </c>
      <c r="Z2928" s="1086" t="s">
        <v>9145</v>
      </c>
      <c r="AA2928" s="811">
        <v>42527</v>
      </c>
      <c r="AB2928" s="263" t="s">
        <v>9144</v>
      </c>
      <c r="AD2928" s="1091"/>
      <c r="AE2928" s="1091"/>
      <c r="AF2928" s="1091"/>
      <c r="AG2928" s="338" t="s">
        <v>8837</v>
      </c>
    </row>
    <row r="2929" spans="1:33" ht="15.75" customHeight="1">
      <c r="A2929" s="755">
        <v>42469</v>
      </c>
      <c r="B2929" s="338" t="s">
        <v>76</v>
      </c>
      <c r="C2929" s="744">
        <v>316</v>
      </c>
      <c r="D2929" s="308" t="s">
        <v>9146</v>
      </c>
      <c r="E2929" s="571" t="s">
        <v>9077</v>
      </c>
      <c r="F2929" s="574">
        <v>25</v>
      </c>
      <c r="G2929" s="464">
        <v>285</v>
      </c>
      <c r="H2929" s="464">
        <f t="shared" si="184"/>
        <v>7125</v>
      </c>
      <c r="I2929" s="254" t="s">
        <v>170</v>
      </c>
      <c r="J2929" s="331" t="s">
        <v>315</v>
      </c>
      <c r="K2929" s="811">
        <v>42493</v>
      </c>
      <c r="L2929" s="1477"/>
      <c r="M2929" s="811">
        <v>42486</v>
      </c>
      <c r="N2929" s="331" t="s">
        <v>1967</v>
      </c>
      <c r="O2929" s="263" t="s">
        <v>9147</v>
      </c>
      <c r="P2929" s="752">
        <v>6562.5</v>
      </c>
      <c r="Q2929" s="386"/>
      <c r="R2929" s="1407"/>
      <c r="S2929" s="1407"/>
      <c r="U2929" s="386"/>
      <c r="V2929" s="318" t="s">
        <v>1969</v>
      </c>
      <c r="W2929" s="1096">
        <v>42526</v>
      </c>
      <c r="X2929" s="1083">
        <v>42487</v>
      </c>
      <c r="Y2929" s="318" t="s">
        <v>9148</v>
      </c>
      <c r="Z2929" s="1086">
        <v>211722</v>
      </c>
      <c r="AA2929" s="811">
        <v>42527</v>
      </c>
      <c r="AB2929" s="318" t="s">
        <v>9080</v>
      </c>
      <c r="AD2929" s="1091"/>
      <c r="AE2929" s="1091"/>
      <c r="AF2929" s="1091"/>
      <c r="AG2929" s="318" t="s">
        <v>283</v>
      </c>
    </row>
    <row r="2930" spans="1:33" ht="15.75" customHeight="1">
      <c r="A2930" s="755">
        <v>42469</v>
      </c>
      <c r="B2930" s="338" t="s">
        <v>76</v>
      </c>
      <c r="C2930" s="744">
        <v>316</v>
      </c>
      <c r="D2930" s="308" t="s">
        <v>9146</v>
      </c>
      <c r="E2930" s="595" t="s">
        <v>361</v>
      </c>
      <c r="F2930" s="574">
        <v>100</v>
      </c>
      <c r="G2930" s="464">
        <v>20</v>
      </c>
      <c r="H2930" s="464">
        <f t="shared" si="184"/>
        <v>2000</v>
      </c>
      <c r="I2930" s="254" t="s">
        <v>170</v>
      </c>
      <c r="J2930" s="401" t="s">
        <v>315</v>
      </c>
      <c r="K2930" s="811">
        <v>42493</v>
      </c>
      <c r="L2930" s="1477"/>
      <c r="M2930" s="811">
        <v>42485</v>
      </c>
      <c r="N2930" s="267" t="s">
        <v>6101</v>
      </c>
      <c r="O2930" s="263" t="s">
        <v>9149</v>
      </c>
      <c r="P2930" s="752"/>
      <c r="Q2930" s="386">
        <v>59034</v>
      </c>
      <c r="R2930" s="1407"/>
      <c r="S2930" s="1407"/>
      <c r="U2930" s="386"/>
      <c r="V2930" s="386" t="s">
        <v>2010</v>
      </c>
      <c r="W2930" s="1096">
        <v>42495</v>
      </c>
      <c r="X2930" s="1083">
        <v>42485</v>
      </c>
      <c r="Y2930" s="263" t="s">
        <v>9150</v>
      </c>
      <c r="Z2930" s="1086">
        <v>59049</v>
      </c>
      <c r="AA2930" s="811">
        <v>42503</v>
      </c>
      <c r="AB2930" s="318" t="s">
        <v>9080</v>
      </c>
      <c r="AD2930" s="1091"/>
      <c r="AE2930" s="1091"/>
      <c r="AF2930" s="1091"/>
      <c r="AG2930" s="318" t="s">
        <v>283</v>
      </c>
    </row>
    <row r="2931" spans="1:33" ht="15.75" customHeight="1">
      <c r="A2931" s="755">
        <v>42474</v>
      </c>
      <c r="B2931" s="338" t="s">
        <v>5981</v>
      </c>
      <c r="C2931" s="744">
        <v>7000120676</v>
      </c>
      <c r="D2931" s="308" t="s">
        <v>9151</v>
      </c>
      <c r="E2931" s="571" t="s">
        <v>9152</v>
      </c>
      <c r="F2931" s="574">
        <v>5</v>
      </c>
      <c r="G2931" s="464">
        <v>7</v>
      </c>
      <c r="H2931" s="464">
        <f t="shared" si="184"/>
        <v>35</v>
      </c>
      <c r="I2931" s="264" t="s">
        <v>170</v>
      </c>
      <c r="J2931" s="401" t="s">
        <v>3462</v>
      </c>
      <c r="K2931" s="256">
        <v>42478</v>
      </c>
      <c r="L2931" s="1477"/>
      <c r="M2931" s="811">
        <v>42478</v>
      </c>
      <c r="N2931" s="331" t="s">
        <v>5935</v>
      </c>
      <c r="O2931" s="263" t="s">
        <v>9153</v>
      </c>
      <c r="P2931" s="752"/>
      <c r="Q2931" s="318">
        <v>525</v>
      </c>
      <c r="R2931" s="1410"/>
      <c r="S2931" s="1410"/>
      <c r="U2931" s="386"/>
      <c r="V2931" s="318" t="s">
        <v>8443</v>
      </c>
      <c r="W2931" s="1090"/>
      <c r="X2931" s="1083">
        <v>42475</v>
      </c>
      <c r="Y2931" s="263" t="s">
        <v>9154</v>
      </c>
      <c r="Z2931" s="254">
        <v>525</v>
      </c>
      <c r="AA2931" s="811">
        <v>42529</v>
      </c>
      <c r="AB2931" s="263" t="s">
        <v>9155</v>
      </c>
      <c r="AD2931" s="1091"/>
      <c r="AE2931" s="1091"/>
      <c r="AF2931" s="1091"/>
      <c r="AG2931" s="318" t="s">
        <v>283</v>
      </c>
    </row>
    <row r="2932" spans="1:33" ht="15.75" customHeight="1">
      <c r="A2932" s="256">
        <v>42474</v>
      </c>
      <c r="B2932" s="571" t="s">
        <v>986</v>
      </c>
      <c r="C2932" s="744" t="s">
        <v>9156</v>
      </c>
      <c r="D2932" s="308" t="s">
        <v>9157</v>
      </c>
      <c r="E2932" s="571" t="s">
        <v>6813</v>
      </c>
      <c r="F2932" s="574">
        <v>7</v>
      </c>
      <c r="G2932" s="265">
        <v>53</v>
      </c>
      <c r="H2932" s="265">
        <f t="shared" si="184"/>
        <v>371</v>
      </c>
      <c r="I2932" s="254" t="s">
        <v>3315</v>
      </c>
      <c r="J2932" s="401" t="s">
        <v>8438</v>
      </c>
      <c r="K2932" s="256">
        <v>42478</v>
      </c>
      <c r="L2932" s="1477"/>
      <c r="M2932" s="811">
        <v>42478</v>
      </c>
      <c r="N2932" s="331" t="s">
        <v>5935</v>
      </c>
      <c r="O2932" s="263" t="s">
        <v>9158</v>
      </c>
      <c r="P2932" s="752"/>
      <c r="Q2932" s="318">
        <v>11275</v>
      </c>
      <c r="R2932" s="1410"/>
      <c r="S2932" s="1410"/>
      <c r="U2932" s="386"/>
      <c r="V2932" s="318" t="s">
        <v>8443</v>
      </c>
      <c r="W2932" s="1090"/>
      <c r="X2932" s="1083">
        <v>42475</v>
      </c>
      <c r="Y2932" s="263" t="s">
        <v>9159</v>
      </c>
      <c r="Z2932" s="1086">
        <v>11275</v>
      </c>
      <c r="AA2932" s="811">
        <v>42529</v>
      </c>
      <c r="AB2932" s="263" t="s">
        <v>9049</v>
      </c>
      <c r="AD2932" s="1091"/>
      <c r="AE2932" s="1091"/>
      <c r="AF2932" s="1091"/>
      <c r="AG2932" s="318" t="s">
        <v>283</v>
      </c>
    </row>
    <row r="2933" spans="1:33" ht="15.75" customHeight="1">
      <c r="A2933" s="256">
        <v>42478</v>
      </c>
      <c r="B2933" s="571" t="s">
        <v>629</v>
      </c>
      <c r="C2933" s="744" t="s">
        <v>9160</v>
      </c>
      <c r="D2933" s="308" t="s">
        <v>9161</v>
      </c>
      <c r="E2933" s="571" t="s">
        <v>4107</v>
      </c>
      <c r="F2933" s="574">
        <v>30</v>
      </c>
      <c r="G2933" s="265">
        <v>164.85</v>
      </c>
      <c r="H2933" s="265">
        <f t="shared" si="184"/>
        <v>4945.5</v>
      </c>
      <c r="I2933" s="254" t="s">
        <v>170</v>
      </c>
      <c r="J2933" s="331" t="s">
        <v>8971</v>
      </c>
      <c r="K2933" s="811">
        <v>42488</v>
      </c>
      <c r="L2933" s="1477"/>
      <c r="M2933" s="811">
        <v>42487</v>
      </c>
      <c r="N2933" s="331" t="s">
        <v>2001</v>
      </c>
      <c r="O2933" s="263" t="s">
        <v>9162</v>
      </c>
      <c r="P2933" s="752"/>
      <c r="Q2933" s="1054">
        <v>149720</v>
      </c>
      <c r="R2933" s="1413"/>
      <c r="S2933" s="1413"/>
      <c r="U2933" s="386"/>
      <c r="V2933" s="318" t="s">
        <v>2003</v>
      </c>
      <c r="W2933" s="1096">
        <v>42526</v>
      </c>
      <c r="X2933" s="1083">
        <v>42487</v>
      </c>
      <c r="Y2933" s="263" t="s">
        <v>9163</v>
      </c>
      <c r="Z2933" s="1086">
        <v>149720</v>
      </c>
      <c r="AA2933" s="811">
        <v>42529</v>
      </c>
      <c r="AB2933" s="338" t="s">
        <v>9164</v>
      </c>
      <c r="AD2933" s="592" t="s">
        <v>9165</v>
      </c>
      <c r="AE2933" s="1097">
        <v>159913</v>
      </c>
      <c r="AF2933" s="386" t="s">
        <v>8968</v>
      </c>
      <c r="AG2933" s="318"/>
    </row>
    <row r="2934" spans="1:33" ht="15.75" customHeight="1">
      <c r="A2934" s="256">
        <v>42478</v>
      </c>
      <c r="B2934" s="571" t="s">
        <v>8502</v>
      </c>
      <c r="C2934" s="744" t="s">
        <v>9166</v>
      </c>
      <c r="D2934" s="308" t="s">
        <v>9167</v>
      </c>
      <c r="E2934" s="328" t="s">
        <v>8505</v>
      </c>
      <c r="F2934" s="574">
        <v>2</v>
      </c>
      <c r="G2934" s="265">
        <v>101.85</v>
      </c>
      <c r="H2934" s="265">
        <f t="shared" si="184"/>
        <v>203.7</v>
      </c>
      <c r="I2934" s="264" t="s">
        <v>42</v>
      </c>
      <c r="J2934" s="401" t="s">
        <v>89</v>
      </c>
      <c r="K2934" s="256">
        <v>42485</v>
      </c>
      <c r="L2934" s="256"/>
      <c r="M2934" s="256"/>
      <c r="N2934" s="401" t="s">
        <v>89</v>
      </c>
      <c r="O2934" s="250" t="s">
        <v>9168</v>
      </c>
      <c r="P2934" s="574">
        <v>178.5</v>
      </c>
      <c r="Q2934" s="328"/>
      <c r="R2934" s="1407"/>
      <c r="S2934" s="1407"/>
      <c r="U2934" s="328"/>
      <c r="V2934" s="318" t="s">
        <v>5896</v>
      </c>
      <c r="W2934" s="624"/>
      <c r="X2934" s="750">
        <v>42485</v>
      </c>
      <c r="Y2934" s="250" t="s">
        <v>9169</v>
      </c>
      <c r="Z2934" s="996">
        <v>5760</v>
      </c>
      <c r="AA2934" s="811">
        <v>42527</v>
      </c>
      <c r="AB2934" s="318" t="s">
        <v>9170</v>
      </c>
      <c r="AD2934" s="308" t="s">
        <v>9171</v>
      </c>
      <c r="AE2934" s="1097">
        <v>6588</v>
      </c>
      <c r="AF2934" s="386" t="s">
        <v>9172</v>
      </c>
      <c r="AG2934" s="318"/>
    </row>
    <row r="2935" spans="1:33" ht="15.75" customHeight="1">
      <c r="A2935" s="256">
        <v>42480</v>
      </c>
      <c r="B2935" s="571" t="s">
        <v>3347</v>
      </c>
      <c r="C2935" s="744"/>
      <c r="D2935" s="250" t="s">
        <v>9173</v>
      </c>
      <c r="E2935" s="597" t="s">
        <v>8832</v>
      </c>
      <c r="F2935" s="574">
        <v>100</v>
      </c>
      <c r="G2935" s="265">
        <v>183.8</v>
      </c>
      <c r="H2935" s="265">
        <f t="shared" si="184"/>
        <v>18380</v>
      </c>
      <c r="I2935" s="264" t="s">
        <v>170</v>
      </c>
      <c r="J2935" s="592" t="s">
        <v>3350</v>
      </c>
      <c r="K2935" s="256">
        <v>42562</v>
      </c>
      <c r="L2935" s="256"/>
      <c r="M2935" s="256">
        <v>42536</v>
      </c>
      <c r="N2935" s="401" t="s">
        <v>89</v>
      </c>
      <c r="O2935" s="250" t="s">
        <v>9174</v>
      </c>
      <c r="P2935" s="574">
        <v>17482.5</v>
      </c>
      <c r="Q2935" s="328"/>
      <c r="R2935" s="1407"/>
      <c r="S2935" s="1407"/>
      <c r="U2935" s="328"/>
      <c r="V2935" s="318" t="s">
        <v>5896</v>
      </c>
      <c r="W2935" s="747">
        <v>42590</v>
      </c>
      <c r="X2935" s="750">
        <v>42536</v>
      </c>
      <c r="Y2935" s="250" t="s">
        <v>9175</v>
      </c>
      <c r="Z2935" s="1086">
        <v>534609</v>
      </c>
      <c r="AA2935" s="811">
        <v>42590</v>
      </c>
      <c r="AB2935" s="318" t="s">
        <v>9176</v>
      </c>
      <c r="AD2935" s="1091"/>
      <c r="AE2935" s="1091"/>
      <c r="AF2935" s="1091"/>
      <c r="AG2935" s="318" t="s">
        <v>283</v>
      </c>
    </row>
    <row r="2936" spans="1:33" ht="15.75" customHeight="1">
      <c r="A2936" s="256">
        <v>42481</v>
      </c>
      <c r="B2936" s="571" t="s">
        <v>1189</v>
      </c>
      <c r="C2936" s="744" t="s">
        <v>9177</v>
      </c>
      <c r="D2936" s="308" t="s">
        <v>9178</v>
      </c>
      <c r="E2936" s="571" t="s">
        <v>9179</v>
      </c>
      <c r="F2936" s="574">
        <v>1</v>
      </c>
      <c r="G2936" s="265">
        <v>553</v>
      </c>
      <c r="H2936" s="265">
        <f t="shared" si="184"/>
        <v>553</v>
      </c>
      <c r="I2936" s="264" t="s">
        <v>42</v>
      </c>
      <c r="J2936" s="267" t="s">
        <v>920</v>
      </c>
      <c r="K2936" s="256">
        <v>42513</v>
      </c>
      <c r="L2936" s="256"/>
      <c r="M2936" s="256">
        <v>42509</v>
      </c>
      <c r="N2936" s="401" t="s">
        <v>3678</v>
      </c>
      <c r="O2936" s="250" t="s">
        <v>9180</v>
      </c>
      <c r="P2936" s="574"/>
      <c r="Q2936" s="308">
        <v>14700</v>
      </c>
      <c r="R2936" s="1410"/>
      <c r="S2936" s="1410"/>
      <c r="U2936" s="328"/>
      <c r="V2936" s="386" t="s">
        <v>3680</v>
      </c>
      <c r="W2936" s="747">
        <v>42556</v>
      </c>
      <c r="X2936" s="750">
        <v>42508</v>
      </c>
      <c r="Y2936" s="250" t="s">
        <v>9181</v>
      </c>
      <c r="Z2936" s="1086">
        <v>14700</v>
      </c>
      <c r="AA2936" s="811">
        <v>42557</v>
      </c>
      <c r="AB2936" s="318" t="s">
        <v>9100</v>
      </c>
      <c r="AD2936" s="1091"/>
      <c r="AE2936" s="1091"/>
      <c r="AF2936" s="1091"/>
      <c r="AG2936" s="318" t="s">
        <v>283</v>
      </c>
    </row>
    <row r="2937" spans="1:33" ht="15.75" customHeight="1">
      <c r="A2937" s="256">
        <v>42481</v>
      </c>
      <c r="B2937" s="571" t="s">
        <v>1189</v>
      </c>
      <c r="C2937" s="744" t="s">
        <v>9177</v>
      </c>
      <c r="D2937" s="308" t="s">
        <v>9178</v>
      </c>
      <c r="E2937" s="571" t="s">
        <v>9182</v>
      </c>
      <c r="F2937" s="574">
        <v>1</v>
      </c>
      <c r="G2937" s="265">
        <v>35</v>
      </c>
      <c r="H2937" s="265">
        <f t="shared" si="184"/>
        <v>35</v>
      </c>
      <c r="I2937" s="264" t="s">
        <v>42</v>
      </c>
      <c r="J2937" s="267" t="s">
        <v>920</v>
      </c>
      <c r="K2937" s="256">
        <v>42513</v>
      </c>
      <c r="L2937" s="256"/>
      <c r="M2937" s="256">
        <v>42507</v>
      </c>
      <c r="N2937" s="401" t="s">
        <v>2124</v>
      </c>
      <c r="O2937" s="250" t="s">
        <v>9183</v>
      </c>
      <c r="P2937" s="574"/>
      <c r="Q2937" s="308">
        <v>940</v>
      </c>
      <c r="R2937" s="1410"/>
      <c r="S2937" s="1410"/>
      <c r="U2937" s="328"/>
      <c r="V2937" s="318" t="s">
        <v>2126</v>
      </c>
      <c r="W2937" s="624"/>
      <c r="X2937" s="750">
        <v>42499</v>
      </c>
      <c r="Y2937" s="250" t="s">
        <v>9184</v>
      </c>
      <c r="Z2937" s="1086">
        <v>1727</v>
      </c>
      <c r="AA2937" s="811">
        <v>42494</v>
      </c>
      <c r="AB2937" s="318" t="s">
        <v>9100</v>
      </c>
      <c r="AD2937" s="1091"/>
      <c r="AE2937" s="1091"/>
      <c r="AF2937" s="1091"/>
      <c r="AG2937" s="318" t="s">
        <v>283</v>
      </c>
    </row>
    <row r="2938" spans="1:33" ht="15.75" customHeight="1">
      <c r="A2938" s="256">
        <v>42481</v>
      </c>
      <c r="B2938" s="571" t="s">
        <v>1189</v>
      </c>
      <c r="C2938" s="744" t="s">
        <v>9177</v>
      </c>
      <c r="D2938" s="308" t="s">
        <v>9178</v>
      </c>
      <c r="E2938" s="571" t="s">
        <v>9185</v>
      </c>
      <c r="F2938" s="574">
        <v>1</v>
      </c>
      <c r="G2938" s="265">
        <v>45</v>
      </c>
      <c r="H2938" s="265">
        <f t="shared" si="184"/>
        <v>45</v>
      </c>
      <c r="I2938" s="264" t="s">
        <v>42</v>
      </c>
      <c r="J2938" s="267" t="s">
        <v>920</v>
      </c>
      <c r="K2938" s="256">
        <v>42513</v>
      </c>
      <c r="L2938" s="256"/>
      <c r="M2938" s="256">
        <v>42507</v>
      </c>
      <c r="N2938" s="401" t="s">
        <v>2124</v>
      </c>
      <c r="O2938" s="250" t="s">
        <v>9183</v>
      </c>
      <c r="P2938" s="574"/>
      <c r="Q2938" s="308">
        <v>788</v>
      </c>
      <c r="R2938" s="1410"/>
      <c r="S2938" s="1410"/>
      <c r="U2938" s="328"/>
      <c r="V2938" s="318" t="s">
        <v>2126</v>
      </c>
      <c r="W2938" s="624"/>
      <c r="X2938" s="750">
        <v>42499</v>
      </c>
      <c r="Y2938" s="250" t="s">
        <v>9184</v>
      </c>
      <c r="Z2938" s="1086" t="s">
        <v>9186</v>
      </c>
      <c r="AA2938" s="811">
        <v>42494</v>
      </c>
      <c r="AB2938" s="318" t="s">
        <v>9100</v>
      </c>
      <c r="AD2938" s="1091"/>
      <c r="AE2938" s="1091"/>
      <c r="AF2938" s="1091"/>
      <c r="AG2938" s="318" t="s">
        <v>283</v>
      </c>
    </row>
    <row r="2939" spans="1:33" ht="15.75" customHeight="1">
      <c r="A2939" s="256">
        <v>42481</v>
      </c>
      <c r="B2939" s="571" t="s">
        <v>1189</v>
      </c>
      <c r="C2939" s="744" t="s">
        <v>9177</v>
      </c>
      <c r="D2939" s="308" t="s">
        <v>9178</v>
      </c>
      <c r="E2939" s="571" t="s">
        <v>9187</v>
      </c>
      <c r="F2939" s="574">
        <v>1</v>
      </c>
      <c r="G2939" s="265">
        <v>30</v>
      </c>
      <c r="H2939" s="265">
        <f t="shared" si="184"/>
        <v>30</v>
      </c>
      <c r="I2939" s="264" t="s">
        <v>42</v>
      </c>
      <c r="J2939" s="267" t="s">
        <v>920</v>
      </c>
      <c r="K2939" s="256">
        <v>42513</v>
      </c>
      <c r="L2939" s="256"/>
      <c r="M2939" s="256">
        <v>42510</v>
      </c>
      <c r="N2939" s="401" t="s">
        <v>170</v>
      </c>
      <c r="O2939" s="250"/>
      <c r="P2939" s="574"/>
      <c r="Q2939" s="328">
        <v>500</v>
      </c>
      <c r="R2939" s="1407"/>
      <c r="S2939" s="1407"/>
      <c r="U2939" s="328"/>
      <c r="V2939" s="328"/>
      <c r="W2939" s="624"/>
      <c r="X2939" s="250" t="s">
        <v>9188</v>
      </c>
      <c r="Y2939" s="250" t="s">
        <v>9188</v>
      </c>
      <c r="Z2939" s="250" t="s">
        <v>9188</v>
      </c>
      <c r="AA2939" s="811"/>
      <c r="AB2939" s="318" t="s">
        <v>9100</v>
      </c>
      <c r="AD2939" s="1091"/>
      <c r="AE2939" s="1091"/>
      <c r="AF2939" s="1091"/>
      <c r="AG2939" s="318" t="s">
        <v>283</v>
      </c>
    </row>
    <row r="2940" spans="1:33" ht="15.75" customHeight="1">
      <c r="A2940" s="256">
        <v>42481</v>
      </c>
      <c r="B2940" s="571" t="s">
        <v>1189</v>
      </c>
      <c r="C2940" s="744" t="s">
        <v>9177</v>
      </c>
      <c r="D2940" s="308" t="s">
        <v>9178</v>
      </c>
      <c r="E2940" s="571" t="s">
        <v>9189</v>
      </c>
      <c r="F2940" s="574">
        <v>4</v>
      </c>
      <c r="G2940" s="265">
        <v>177</v>
      </c>
      <c r="H2940" s="265">
        <f t="shared" si="184"/>
        <v>708</v>
      </c>
      <c r="I2940" s="264" t="s">
        <v>42</v>
      </c>
      <c r="J2940" s="267" t="s">
        <v>920</v>
      </c>
      <c r="K2940" s="256">
        <v>42513</v>
      </c>
      <c r="L2940" s="256"/>
      <c r="M2940" s="256">
        <v>42499</v>
      </c>
      <c r="N2940" s="401" t="s">
        <v>89</v>
      </c>
      <c r="O2940" s="250" t="s">
        <v>9183</v>
      </c>
      <c r="P2940" s="574">
        <v>613.20000000000005</v>
      </c>
      <c r="Q2940" s="328"/>
      <c r="R2940" s="1407"/>
      <c r="S2940" s="1407"/>
      <c r="U2940" s="328"/>
      <c r="V2940" s="318" t="s">
        <v>5896</v>
      </c>
      <c r="W2940" s="624"/>
      <c r="X2940" s="750">
        <v>42496</v>
      </c>
      <c r="Y2940" s="250" t="s">
        <v>9190</v>
      </c>
      <c r="Z2940" s="1086">
        <v>19800</v>
      </c>
      <c r="AA2940" s="811">
        <v>42557</v>
      </c>
      <c r="AB2940" s="318" t="s">
        <v>9100</v>
      </c>
      <c r="AD2940" s="1091"/>
      <c r="AE2940" s="1091"/>
      <c r="AF2940" s="1091"/>
      <c r="AG2940" s="318" t="s">
        <v>283</v>
      </c>
    </row>
    <row r="2941" spans="1:33" ht="15.75" customHeight="1">
      <c r="A2941" s="594">
        <v>42481</v>
      </c>
      <c r="B2941" s="597" t="s">
        <v>6395</v>
      </c>
      <c r="C2941" s="744">
        <v>16000042</v>
      </c>
      <c r="D2941" s="328" t="s">
        <v>9191</v>
      </c>
      <c r="E2941" s="571" t="s">
        <v>6398</v>
      </c>
      <c r="F2941" s="574">
        <v>2</v>
      </c>
      <c r="G2941" s="265">
        <v>321</v>
      </c>
      <c r="H2941" s="265">
        <f t="shared" si="184"/>
        <v>642</v>
      </c>
      <c r="I2941" s="264" t="s">
        <v>8429</v>
      </c>
      <c r="J2941" s="331" t="s">
        <v>8461</v>
      </c>
      <c r="K2941" s="811">
        <v>42495</v>
      </c>
      <c r="L2941" s="1477"/>
      <c r="M2941" s="256">
        <v>42494</v>
      </c>
      <c r="N2941" s="331" t="s">
        <v>89</v>
      </c>
      <c r="O2941" s="263" t="s">
        <v>9192</v>
      </c>
      <c r="P2941" s="752">
        <v>558.6</v>
      </c>
      <c r="Q2941" s="386"/>
      <c r="R2941" s="1407"/>
      <c r="S2941" s="1407"/>
      <c r="U2941" s="386"/>
      <c r="V2941" s="318" t="s">
        <v>5896</v>
      </c>
      <c r="W2941" s="1090"/>
      <c r="X2941" s="1083">
        <v>42495</v>
      </c>
      <c r="Y2941" s="263" t="s">
        <v>9193</v>
      </c>
      <c r="Z2941" s="1086">
        <v>18037</v>
      </c>
      <c r="AA2941" s="811">
        <v>42557</v>
      </c>
      <c r="AB2941" s="263" t="s">
        <v>9194</v>
      </c>
      <c r="AD2941" s="1091"/>
      <c r="AE2941" s="1091"/>
      <c r="AF2941" s="1091"/>
      <c r="AG2941" s="1092" t="s">
        <v>283</v>
      </c>
    </row>
    <row r="2942" spans="1:33" ht="15.75" customHeight="1">
      <c r="A2942" s="594">
        <v>42481</v>
      </c>
      <c r="B2942" s="597" t="s">
        <v>6395</v>
      </c>
      <c r="C2942" s="744">
        <v>16000042</v>
      </c>
      <c r="D2942" s="328" t="s">
        <v>9191</v>
      </c>
      <c r="E2942" s="571" t="s">
        <v>8599</v>
      </c>
      <c r="F2942" s="574">
        <v>1</v>
      </c>
      <c r="G2942" s="265">
        <v>120</v>
      </c>
      <c r="H2942" s="265">
        <f t="shared" si="184"/>
        <v>120</v>
      </c>
      <c r="I2942" s="264" t="s">
        <v>8429</v>
      </c>
      <c r="J2942" s="331" t="s">
        <v>8461</v>
      </c>
      <c r="K2942" s="256">
        <v>42495</v>
      </c>
      <c r="L2942" s="256"/>
      <c r="M2942" s="256"/>
      <c r="N2942" s="331" t="s">
        <v>1999</v>
      </c>
      <c r="O2942" s="250"/>
      <c r="P2942" s="574"/>
      <c r="Q2942" s="308">
        <v>3598</v>
      </c>
      <c r="R2942" s="1410"/>
      <c r="S2942" s="1410"/>
      <c r="U2942" s="328"/>
      <c r="V2942" s="386" t="s">
        <v>2000</v>
      </c>
      <c r="W2942" s="747">
        <v>42536</v>
      </c>
      <c r="X2942" s="1083">
        <v>42506</v>
      </c>
      <c r="Y2942" s="263" t="s">
        <v>9195</v>
      </c>
      <c r="Z2942" s="1086">
        <v>3598</v>
      </c>
      <c r="AA2942" s="811">
        <v>42557</v>
      </c>
      <c r="AB2942" s="263" t="s">
        <v>9194</v>
      </c>
      <c r="AD2942" s="1091"/>
      <c r="AE2942" s="1091"/>
      <c r="AF2942" s="1091"/>
      <c r="AG2942" s="1092" t="s">
        <v>283</v>
      </c>
    </row>
    <row r="2943" spans="1:33" ht="15.75" customHeight="1">
      <c r="A2943" s="256">
        <v>42485</v>
      </c>
      <c r="B2943" s="597" t="s">
        <v>8751</v>
      </c>
      <c r="C2943" s="744">
        <v>7000120920</v>
      </c>
      <c r="D2943" s="308" t="s">
        <v>9196</v>
      </c>
      <c r="E2943" s="571" t="s">
        <v>9197</v>
      </c>
      <c r="F2943" s="574">
        <v>40</v>
      </c>
      <c r="G2943" s="265">
        <v>246</v>
      </c>
      <c r="H2943" s="265">
        <f t="shared" si="184"/>
        <v>9840</v>
      </c>
      <c r="I2943" s="264" t="s">
        <v>170</v>
      </c>
      <c r="J2943" s="401" t="s">
        <v>6092</v>
      </c>
      <c r="K2943" s="256">
        <v>42493</v>
      </c>
      <c r="L2943" s="256"/>
      <c r="M2943" s="256">
        <v>42489</v>
      </c>
      <c r="N2943" s="401" t="s">
        <v>3432</v>
      </c>
      <c r="O2943" s="250" t="s">
        <v>9198</v>
      </c>
      <c r="P2943" s="574"/>
      <c r="Q2943" s="308">
        <v>306432</v>
      </c>
      <c r="R2943" s="1410"/>
      <c r="S2943" s="1410"/>
      <c r="U2943" s="328"/>
      <c r="V2943" s="308" t="s">
        <v>8443</v>
      </c>
      <c r="W2943" s="747">
        <v>42526</v>
      </c>
      <c r="X2943" s="750">
        <v>42488</v>
      </c>
      <c r="Y2943" s="250" t="s">
        <v>9199</v>
      </c>
      <c r="Z2943" s="996">
        <v>306432</v>
      </c>
      <c r="AA2943" s="811">
        <v>42538</v>
      </c>
      <c r="AB2943" s="318" t="s">
        <v>9200</v>
      </c>
      <c r="AD2943" s="1091"/>
      <c r="AE2943" s="1091"/>
      <c r="AF2943" s="1091"/>
      <c r="AG2943" s="318" t="s">
        <v>283</v>
      </c>
    </row>
    <row r="2944" spans="1:33" ht="15.75" customHeight="1">
      <c r="A2944" s="256">
        <v>42485</v>
      </c>
      <c r="B2944" s="571" t="s">
        <v>89</v>
      </c>
      <c r="C2944" s="744"/>
      <c r="D2944" s="308" t="s">
        <v>9196</v>
      </c>
      <c r="E2944" s="571" t="s">
        <v>9201</v>
      </c>
      <c r="F2944" s="574">
        <v>1</v>
      </c>
      <c r="G2944" s="265">
        <v>40.950000000000003</v>
      </c>
      <c r="H2944" s="265">
        <f t="shared" si="184"/>
        <v>40.950000000000003</v>
      </c>
      <c r="I2944" s="254" t="s">
        <v>42</v>
      </c>
      <c r="J2944" s="401" t="s">
        <v>5882</v>
      </c>
      <c r="K2944" s="977">
        <v>42506</v>
      </c>
      <c r="L2944" s="977"/>
      <c r="M2944" s="897" t="s">
        <v>70</v>
      </c>
      <c r="N2944" s="331" t="s">
        <v>9202</v>
      </c>
      <c r="O2944" s="250" t="s">
        <v>9203</v>
      </c>
      <c r="P2944" s="337"/>
      <c r="Q2944" s="328">
        <v>930</v>
      </c>
      <c r="R2944" s="1407"/>
      <c r="S2944" s="1407"/>
      <c r="U2944" s="328"/>
      <c r="V2944" s="318" t="s">
        <v>9204</v>
      </c>
      <c r="W2944" s="1090"/>
      <c r="X2944" s="250" t="s">
        <v>5529</v>
      </c>
      <c r="Y2944" s="250" t="s">
        <v>5529</v>
      </c>
      <c r="Z2944" s="263" t="s">
        <v>5529</v>
      </c>
      <c r="AA2944" s="811"/>
      <c r="AB2944" s="318" t="s">
        <v>9205</v>
      </c>
      <c r="AD2944" s="386" t="s">
        <v>9206</v>
      </c>
      <c r="AE2944" s="1097">
        <v>1324</v>
      </c>
      <c r="AF2944" s="386" t="s">
        <v>9207</v>
      </c>
      <c r="AG2944" s="318"/>
    </row>
    <row r="2945" spans="1:33" ht="15.75" customHeight="1">
      <c r="A2945" s="256">
        <v>42485</v>
      </c>
      <c r="B2945" s="597" t="s">
        <v>8751</v>
      </c>
      <c r="C2945" s="744">
        <v>7000120920</v>
      </c>
      <c r="D2945" s="308" t="s">
        <v>9208</v>
      </c>
      <c r="E2945" s="571" t="s">
        <v>9197</v>
      </c>
      <c r="F2945" s="574">
        <v>10</v>
      </c>
      <c r="G2945" s="265">
        <v>246</v>
      </c>
      <c r="H2945" s="265">
        <f t="shared" si="184"/>
        <v>2460</v>
      </c>
      <c r="I2945" s="254" t="s">
        <v>170</v>
      </c>
      <c r="J2945" s="401" t="s">
        <v>6092</v>
      </c>
      <c r="K2945" s="256">
        <v>42509</v>
      </c>
      <c r="L2945" s="256"/>
      <c r="M2945" s="256">
        <v>42508</v>
      </c>
      <c r="N2945" s="331" t="s">
        <v>3432</v>
      </c>
      <c r="O2945" s="250" t="s">
        <v>9198</v>
      </c>
      <c r="P2945" s="574"/>
      <c r="Q2945" s="308">
        <v>76608</v>
      </c>
      <c r="R2945" s="1410"/>
      <c r="S2945" s="1410"/>
      <c r="U2945" s="328"/>
      <c r="V2945" s="318" t="s">
        <v>8443</v>
      </c>
      <c r="W2945" s="624"/>
      <c r="X2945" s="750">
        <v>42503</v>
      </c>
      <c r="Y2945" s="250" t="s">
        <v>9209</v>
      </c>
      <c r="Z2945" s="1086">
        <v>400176</v>
      </c>
      <c r="AA2945" s="811">
        <v>42557</v>
      </c>
      <c r="AB2945" s="318" t="s">
        <v>9210</v>
      </c>
      <c r="AD2945" s="1091"/>
      <c r="AE2945" s="1091"/>
      <c r="AF2945" s="1091"/>
      <c r="AG2945" s="318" t="s">
        <v>283</v>
      </c>
    </row>
    <row r="2946" spans="1:33" ht="15.75" customHeight="1">
      <c r="A2946" s="256">
        <v>42485</v>
      </c>
      <c r="B2946" s="597" t="s">
        <v>8751</v>
      </c>
      <c r="C2946" s="744">
        <v>7000120920</v>
      </c>
      <c r="D2946" s="308" t="s">
        <v>9208</v>
      </c>
      <c r="E2946" s="571" t="s">
        <v>9211</v>
      </c>
      <c r="F2946" s="574">
        <v>45</v>
      </c>
      <c r="G2946" s="265">
        <v>243</v>
      </c>
      <c r="H2946" s="265">
        <f t="shared" si="184"/>
        <v>10935</v>
      </c>
      <c r="I2946" s="254" t="s">
        <v>170</v>
      </c>
      <c r="J2946" s="401" t="s">
        <v>6092</v>
      </c>
      <c r="K2946" s="256">
        <v>42509</v>
      </c>
      <c r="L2946" s="256"/>
      <c r="M2946" s="256">
        <v>42508</v>
      </c>
      <c r="N2946" s="331" t="s">
        <v>3432</v>
      </c>
      <c r="O2946" s="250" t="s">
        <v>9198</v>
      </c>
      <c r="P2946" s="574"/>
      <c r="Q2946" s="308">
        <v>323568</v>
      </c>
      <c r="R2946" s="1410"/>
      <c r="S2946" s="1410"/>
      <c r="U2946" s="328"/>
      <c r="V2946" s="318" t="s">
        <v>8443</v>
      </c>
      <c r="W2946" s="624"/>
      <c r="X2946" s="750">
        <v>42503</v>
      </c>
      <c r="Y2946" s="250" t="s">
        <v>9209</v>
      </c>
      <c r="Z2946" s="1086" t="s">
        <v>9212</v>
      </c>
      <c r="AA2946" s="811">
        <v>42557</v>
      </c>
      <c r="AB2946" s="318" t="s">
        <v>9210</v>
      </c>
      <c r="AD2946" s="1091"/>
      <c r="AE2946" s="1091"/>
      <c r="AF2946" s="1091"/>
      <c r="AG2946" s="318" t="s">
        <v>283</v>
      </c>
    </row>
    <row r="2947" spans="1:33" ht="15.75" customHeight="1">
      <c r="A2947" s="256">
        <v>42488</v>
      </c>
      <c r="B2947" s="571" t="s">
        <v>325</v>
      </c>
      <c r="C2947" s="744">
        <v>1602281</v>
      </c>
      <c r="D2947" s="308" t="s">
        <v>9213</v>
      </c>
      <c r="E2947" s="571" t="s">
        <v>9214</v>
      </c>
      <c r="F2947" s="574">
        <v>4</v>
      </c>
      <c r="G2947" s="265">
        <v>960</v>
      </c>
      <c r="H2947" s="265">
        <f t="shared" si="184"/>
        <v>3840</v>
      </c>
      <c r="I2947" s="254" t="s">
        <v>3315</v>
      </c>
      <c r="J2947" s="331" t="s">
        <v>3613</v>
      </c>
      <c r="K2947" s="256">
        <v>42502</v>
      </c>
      <c r="L2947" s="256"/>
      <c r="M2947" s="256">
        <v>42501</v>
      </c>
      <c r="N2947" s="331" t="s">
        <v>3614</v>
      </c>
      <c r="O2947" s="250" t="s">
        <v>9215</v>
      </c>
      <c r="P2947" s="574">
        <v>3486</v>
      </c>
      <c r="Q2947" s="593"/>
      <c r="R2947" s="1418"/>
      <c r="S2947" s="1418"/>
      <c r="U2947" s="328"/>
      <c r="V2947" s="318" t="s">
        <v>6186</v>
      </c>
      <c r="W2947" s="1096">
        <v>42526</v>
      </c>
      <c r="X2947" s="750">
        <v>42500</v>
      </c>
      <c r="Y2947" s="250" t="s">
        <v>9216</v>
      </c>
      <c r="Z2947" s="1086">
        <v>113005</v>
      </c>
      <c r="AA2947" s="811">
        <v>42527</v>
      </c>
      <c r="AB2947" s="250" t="s">
        <v>9036</v>
      </c>
      <c r="AD2947" s="1091"/>
      <c r="AE2947" s="1091"/>
      <c r="AF2947" s="1091"/>
      <c r="AG2947" s="1092" t="s">
        <v>283</v>
      </c>
    </row>
    <row r="2948" spans="1:33" ht="15.75" customHeight="1">
      <c r="A2948" s="256">
        <v>42488</v>
      </c>
      <c r="B2948" s="571" t="s">
        <v>325</v>
      </c>
      <c r="C2948" s="744">
        <v>1602281</v>
      </c>
      <c r="D2948" s="308" t="s">
        <v>9217</v>
      </c>
      <c r="E2948" s="571" t="s">
        <v>9214</v>
      </c>
      <c r="F2948" s="574">
        <v>1</v>
      </c>
      <c r="G2948" s="265">
        <v>960</v>
      </c>
      <c r="H2948" s="265">
        <f t="shared" si="184"/>
        <v>960</v>
      </c>
      <c r="I2948" s="254" t="s">
        <v>3315</v>
      </c>
      <c r="J2948" s="331" t="s">
        <v>3613</v>
      </c>
      <c r="K2948" s="811">
        <v>42529</v>
      </c>
      <c r="L2948" s="1477"/>
      <c r="M2948" s="256">
        <v>42529</v>
      </c>
      <c r="N2948" s="331" t="s">
        <v>3614</v>
      </c>
      <c r="O2948" s="250" t="s">
        <v>9218</v>
      </c>
      <c r="P2948" s="574">
        <v>871.5</v>
      </c>
      <c r="Q2948" s="593"/>
      <c r="R2948" s="1418"/>
      <c r="S2948" s="1418"/>
      <c r="U2948" s="328"/>
      <c r="V2948" s="318" t="s">
        <v>6186</v>
      </c>
      <c r="W2948" s="1096">
        <v>42587</v>
      </c>
      <c r="X2948" s="750">
        <v>42528</v>
      </c>
      <c r="Y2948" s="250" t="s">
        <v>9219</v>
      </c>
      <c r="Z2948" s="1085">
        <v>28329</v>
      </c>
      <c r="AA2948" s="811">
        <v>42565</v>
      </c>
      <c r="AB2948" s="250" t="s">
        <v>9042</v>
      </c>
      <c r="AD2948" s="1091"/>
      <c r="AE2948" s="1091"/>
      <c r="AF2948" s="1091"/>
      <c r="AG2948" s="1092" t="s">
        <v>283</v>
      </c>
    </row>
    <row r="2949" spans="1:33" ht="15.75" customHeight="1">
      <c r="A2949" s="256">
        <v>42488</v>
      </c>
      <c r="B2949" s="338" t="s">
        <v>76</v>
      </c>
      <c r="C2949" s="744">
        <v>373</v>
      </c>
      <c r="D2949" s="308" t="s">
        <v>9220</v>
      </c>
      <c r="E2949" s="571" t="s">
        <v>9221</v>
      </c>
      <c r="F2949" s="574">
        <v>1</v>
      </c>
      <c r="G2949" s="265">
        <v>97</v>
      </c>
      <c r="H2949" s="265">
        <f t="shared" si="184"/>
        <v>97</v>
      </c>
      <c r="I2949" s="254" t="s">
        <v>170</v>
      </c>
      <c r="J2949" s="331" t="s">
        <v>315</v>
      </c>
      <c r="K2949" s="256">
        <v>42506</v>
      </c>
      <c r="L2949" s="256"/>
      <c r="M2949" s="256">
        <v>42500</v>
      </c>
      <c r="N2949" s="331" t="s">
        <v>3330</v>
      </c>
      <c r="O2949" s="250" t="s">
        <v>9222</v>
      </c>
      <c r="P2949" s="337"/>
      <c r="Q2949" s="308">
        <v>2984</v>
      </c>
      <c r="R2949" s="1410"/>
      <c r="S2949" s="1410"/>
      <c r="U2949" s="328"/>
      <c r="V2949" s="386" t="s">
        <v>8822</v>
      </c>
      <c r="W2949" s="747">
        <v>42526</v>
      </c>
      <c r="X2949" s="750">
        <v>42500</v>
      </c>
      <c r="Y2949" s="250" t="s">
        <v>9223</v>
      </c>
      <c r="Z2949" s="996">
        <v>2984</v>
      </c>
      <c r="AA2949" s="811">
        <v>42529</v>
      </c>
      <c r="AB2949" s="250" t="s">
        <v>9224</v>
      </c>
      <c r="AD2949" s="1091"/>
      <c r="AE2949" s="1091"/>
      <c r="AF2949" s="1091"/>
      <c r="AG2949" s="318" t="s">
        <v>283</v>
      </c>
    </row>
    <row r="2950" spans="1:33" ht="15.75" customHeight="1">
      <c r="A2950" s="256">
        <v>42488</v>
      </c>
      <c r="B2950" s="338" t="s">
        <v>76</v>
      </c>
      <c r="C2950" s="744">
        <v>373</v>
      </c>
      <c r="D2950" s="308" t="s">
        <v>9220</v>
      </c>
      <c r="E2950" s="571" t="s">
        <v>9225</v>
      </c>
      <c r="F2950" s="574">
        <v>30</v>
      </c>
      <c r="G2950" s="265">
        <v>2.2999999999999998</v>
      </c>
      <c r="H2950" s="265">
        <f t="shared" si="184"/>
        <v>69</v>
      </c>
      <c r="I2950" s="254" t="s">
        <v>170</v>
      </c>
      <c r="J2950" s="331" t="s">
        <v>315</v>
      </c>
      <c r="K2950" s="256">
        <v>42506</v>
      </c>
      <c r="L2950" s="256"/>
      <c r="M2950" s="256">
        <v>42503</v>
      </c>
      <c r="N2950" s="401" t="s">
        <v>2006</v>
      </c>
      <c r="O2950" s="250" t="s">
        <v>9226</v>
      </c>
      <c r="P2950" s="574"/>
      <c r="Q2950" s="308">
        <v>1732.5</v>
      </c>
      <c r="R2950" s="1410"/>
      <c r="S2950" s="1410"/>
      <c r="U2950" s="328"/>
      <c r="V2950" s="318" t="s">
        <v>2146</v>
      </c>
      <c r="W2950" s="624"/>
      <c r="X2950" s="750">
        <v>42502</v>
      </c>
      <c r="Y2950" s="250" t="s">
        <v>9227</v>
      </c>
      <c r="Z2950" s="1086">
        <v>5775</v>
      </c>
      <c r="AA2950" s="811">
        <v>42565</v>
      </c>
      <c r="AB2950" s="250" t="s">
        <v>9224</v>
      </c>
      <c r="AD2950" s="1091"/>
      <c r="AE2950" s="1091"/>
      <c r="AF2950" s="1091"/>
      <c r="AG2950" s="318" t="s">
        <v>283</v>
      </c>
    </row>
    <row r="2951" spans="1:33" ht="15.75" customHeight="1">
      <c r="A2951" s="256">
        <v>42488</v>
      </c>
      <c r="B2951" s="338" t="s">
        <v>76</v>
      </c>
      <c r="C2951" s="744">
        <v>373</v>
      </c>
      <c r="D2951" s="308" t="s">
        <v>9220</v>
      </c>
      <c r="E2951" s="571" t="s">
        <v>9225</v>
      </c>
      <c r="F2951" s="574">
        <v>70</v>
      </c>
      <c r="G2951" s="265">
        <v>2.2999999999999998</v>
      </c>
      <c r="H2951" s="265">
        <f t="shared" si="184"/>
        <v>161</v>
      </c>
      <c r="I2951" s="254" t="s">
        <v>170</v>
      </c>
      <c r="J2951" s="331" t="s">
        <v>315</v>
      </c>
      <c r="K2951" s="256">
        <v>42506</v>
      </c>
      <c r="L2951" s="256"/>
      <c r="M2951" s="256">
        <v>42503</v>
      </c>
      <c r="N2951" s="401" t="s">
        <v>2006</v>
      </c>
      <c r="O2951" s="250" t="s">
        <v>9226</v>
      </c>
      <c r="P2951" s="574"/>
      <c r="Q2951" s="308">
        <v>4042.5</v>
      </c>
      <c r="R2951" s="1410"/>
      <c r="S2951" s="1410"/>
      <c r="U2951" s="328"/>
      <c r="V2951" s="318" t="s">
        <v>2146</v>
      </c>
      <c r="W2951" s="624"/>
      <c r="X2951" s="750">
        <v>42502</v>
      </c>
      <c r="Y2951" s="250" t="s">
        <v>9227</v>
      </c>
      <c r="Z2951" s="1086" t="s">
        <v>9228</v>
      </c>
      <c r="AA2951" s="811">
        <v>42565</v>
      </c>
      <c r="AB2951" s="250" t="s">
        <v>9224</v>
      </c>
      <c r="AD2951" s="1091"/>
      <c r="AE2951" s="1091"/>
      <c r="AF2951" s="1091"/>
      <c r="AG2951" s="318" t="s">
        <v>283</v>
      </c>
    </row>
    <row r="2952" spans="1:33" ht="15.75" customHeight="1">
      <c r="A2952" s="256">
        <v>42494</v>
      </c>
      <c r="B2952" s="571" t="s">
        <v>415</v>
      </c>
      <c r="C2952" s="744" t="s">
        <v>9229</v>
      </c>
      <c r="D2952" s="308" t="s">
        <v>9230</v>
      </c>
      <c r="E2952" s="571" t="s">
        <v>9189</v>
      </c>
      <c r="F2952" s="574">
        <v>8</v>
      </c>
      <c r="G2952" s="265">
        <v>174</v>
      </c>
      <c r="H2952" s="265">
        <f t="shared" si="184"/>
        <v>1392</v>
      </c>
      <c r="I2952" s="254" t="s">
        <v>170</v>
      </c>
      <c r="J2952" s="331" t="s">
        <v>9231</v>
      </c>
      <c r="K2952" s="256">
        <v>42506</v>
      </c>
      <c r="L2952" s="256"/>
      <c r="M2952" s="256">
        <v>42499</v>
      </c>
      <c r="N2952" s="401" t="s">
        <v>89</v>
      </c>
      <c r="O2952" s="250" t="s">
        <v>9232</v>
      </c>
      <c r="P2952" s="574">
        <v>1226.4000000000001</v>
      </c>
      <c r="Q2952" s="328"/>
      <c r="R2952" s="1407"/>
      <c r="S2952" s="1407"/>
      <c r="U2952" s="328"/>
      <c r="V2952" s="318" t="s">
        <v>5896</v>
      </c>
      <c r="W2952" s="624"/>
      <c r="X2952" s="750">
        <v>42496</v>
      </c>
      <c r="Y2952" s="250" t="s">
        <v>9233</v>
      </c>
      <c r="Z2952" s="996">
        <v>39600</v>
      </c>
      <c r="AA2952" s="811">
        <v>42557</v>
      </c>
      <c r="AB2952" s="250" t="s">
        <v>9234</v>
      </c>
      <c r="AD2952" s="1091"/>
      <c r="AE2952" s="1091"/>
      <c r="AF2952" s="1091"/>
      <c r="AG2952" s="1092" t="s">
        <v>8415</v>
      </c>
    </row>
    <row r="2953" spans="1:33" ht="15.75" customHeight="1">
      <c r="A2953" s="256">
        <v>42494</v>
      </c>
      <c r="B2953" s="571" t="s">
        <v>415</v>
      </c>
      <c r="C2953" s="744" t="s">
        <v>9229</v>
      </c>
      <c r="D2953" s="308" t="s">
        <v>9230</v>
      </c>
      <c r="E2953" s="571" t="s">
        <v>9235</v>
      </c>
      <c r="F2953" s="574">
        <v>8</v>
      </c>
      <c r="G2953" s="265">
        <v>18</v>
      </c>
      <c r="H2953" s="265">
        <f t="shared" si="184"/>
        <v>144</v>
      </c>
      <c r="I2953" s="254" t="s">
        <v>170</v>
      </c>
      <c r="J2953" s="331" t="s">
        <v>9231</v>
      </c>
      <c r="K2953" s="256">
        <v>42506</v>
      </c>
      <c r="L2953" s="256"/>
      <c r="M2953" s="256">
        <v>42495</v>
      </c>
      <c r="N2953" s="401"/>
      <c r="O2953" s="250"/>
      <c r="P2953" s="574"/>
      <c r="Q2953" s="328">
        <v>1800</v>
      </c>
      <c r="R2953" s="1407"/>
      <c r="S2953" s="1407"/>
      <c r="U2953" s="328"/>
      <c r="V2953" s="308"/>
      <c r="W2953" s="624"/>
      <c r="X2953" s="328" t="s">
        <v>9236</v>
      </c>
      <c r="Y2953" s="328" t="s">
        <v>9236</v>
      </c>
      <c r="Z2953" s="328" t="s">
        <v>9236</v>
      </c>
      <c r="AA2953" s="811"/>
      <c r="AB2953" s="250" t="s">
        <v>9234</v>
      </c>
      <c r="AD2953" s="1091"/>
      <c r="AE2953" s="1091"/>
      <c r="AF2953" s="1091"/>
      <c r="AG2953" s="1092" t="s">
        <v>8415</v>
      </c>
    </row>
    <row r="2954" spans="1:33" ht="15.75" customHeight="1">
      <c r="A2954" s="256">
        <v>42494</v>
      </c>
      <c r="B2954" s="571" t="s">
        <v>665</v>
      </c>
      <c r="C2954" s="744"/>
      <c r="D2954" s="308" t="s">
        <v>9237</v>
      </c>
      <c r="E2954" s="571" t="s">
        <v>9238</v>
      </c>
      <c r="F2954" s="574">
        <v>1</v>
      </c>
      <c r="G2954" s="265">
        <v>515</v>
      </c>
      <c r="H2954" s="265">
        <f t="shared" si="184"/>
        <v>515</v>
      </c>
      <c r="I2954" s="254" t="s">
        <v>170</v>
      </c>
      <c r="J2954" s="267" t="s">
        <v>9239</v>
      </c>
      <c r="K2954" s="811">
        <v>42537</v>
      </c>
      <c r="L2954" s="1477"/>
      <c r="M2954" s="256">
        <v>42529</v>
      </c>
      <c r="N2954" s="401" t="s">
        <v>9240</v>
      </c>
      <c r="O2954" s="250" t="s">
        <v>9241</v>
      </c>
      <c r="P2954" s="337"/>
      <c r="Q2954" s="328">
        <v>15506</v>
      </c>
      <c r="R2954" s="1407"/>
      <c r="S2954" s="1407"/>
      <c r="U2954" s="328"/>
      <c r="V2954" s="308" t="s">
        <v>9242</v>
      </c>
      <c r="W2954" s="624"/>
      <c r="X2954" s="750">
        <v>42527</v>
      </c>
      <c r="Y2954" s="250" t="s">
        <v>9243</v>
      </c>
      <c r="Z2954" s="1086">
        <v>15506</v>
      </c>
      <c r="AA2954" s="811">
        <v>42523</v>
      </c>
      <c r="AB2954" s="318" t="s">
        <v>9244</v>
      </c>
      <c r="AD2954" s="1091"/>
      <c r="AE2954" s="1091"/>
      <c r="AF2954" s="1091"/>
      <c r="AG2954" s="318" t="s">
        <v>283</v>
      </c>
    </row>
    <row r="2955" spans="1:33" ht="15.75" customHeight="1">
      <c r="A2955" s="256">
        <v>42494</v>
      </c>
      <c r="B2955" s="571" t="s">
        <v>1189</v>
      </c>
      <c r="C2955" s="744" t="s">
        <v>9245</v>
      </c>
      <c r="D2955" s="308" t="s">
        <v>9246</v>
      </c>
      <c r="E2955" s="571" t="s">
        <v>8916</v>
      </c>
      <c r="F2955" s="574">
        <v>180</v>
      </c>
      <c r="G2955" s="265">
        <v>14.9</v>
      </c>
      <c r="H2955" s="265">
        <f t="shared" si="184"/>
        <v>2682</v>
      </c>
      <c r="I2955" s="264" t="s">
        <v>42</v>
      </c>
      <c r="J2955" s="267" t="s">
        <v>920</v>
      </c>
      <c r="K2955" s="811">
        <v>42558</v>
      </c>
      <c r="L2955" s="1477"/>
      <c r="M2955" s="256">
        <v>42542</v>
      </c>
      <c r="N2955" s="331" t="s">
        <v>2411</v>
      </c>
      <c r="O2955" s="250" t="s">
        <v>9247</v>
      </c>
      <c r="P2955" s="574"/>
      <c r="Q2955" s="308">
        <v>86940</v>
      </c>
      <c r="R2955" s="1410"/>
      <c r="S2955" s="1410"/>
      <c r="U2955" s="328"/>
      <c r="V2955" s="318" t="s">
        <v>2413</v>
      </c>
      <c r="W2955" s="747">
        <v>42556</v>
      </c>
      <c r="X2955" s="750">
        <v>42541</v>
      </c>
      <c r="Y2955" s="250" t="s">
        <v>9248</v>
      </c>
      <c r="Z2955" s="1086">
        <v>86940</v>
      </c>
      <c r="AA2955" s="811">
        <v>42557</v>
      </c>
      <c r="AB2955" s="318" t="s">
        <v>9249</v>
      </c>
      <c r="AD2955" s="1091"/>
      <c r="AE2955" s="1091"/>
      <c r="AF2955" s="1091"/>
      <c r="AG2955" s="318" t="s">
        <v>283</v>
      </c>
    </row>
    <row r="2956" spans="1:33" ht="15.75" customHeight="1">
      <c r="A2956" s="256">
        <v>42494</v>
      </c>
      <c r="B2956" s="571" t="s">
        <v>1189</v>
      </c>
      <c r="C2956" s="744" t="s">
        <v>9245</v>
      </c>
      <c r="D2956" s="308" t="s">
        <v>9250</v>
      </c>
      <c r="E2956" s="571" t="s">
        <v>8916</v>
      </c>
      <c r="F2956" s="574">
        <v>70</v>
      </c>
      <c r="G2956" s="265">
        <v>14.9</v>
      </c>
      <c r="H2956" s="265">
        <f t="shared" si="184"/>
        <v>1043</v>
      </c>
      <c r="I2956" s="264" t="s">
        <v>42</v>
      </c>
      <c r="J2956" s="267" t="s">
        <v>920</v>
      </c>
      <c r="K2956" s="811">
        <v>42558</v>
      </c>
      <c r="L2956" s="1477"/>
      <c r="M2956" s="256">
        <v>42548</v>
      </c>
      <c r="N2956" s="331" t="s">
        <v>2411</v>
      </c>
      <c r="O2956" s="250" t="s">
        <v>9247</v>
      </c>
      <c r="P2956" s="574"/>
      <c r="Q2956" s="308">
        <v>33810</v>
      </c>
      <c r="R2956" s="1410"/>
      <c r="S2956" s="1410"/>
      <c r="U2956" s="328"/>
      <c r="V2956" s="318" t="s">
        <v>2413</v>
      </c>
      <c r="W2956" s="747">
        <v>42587</v>
      </c>
      <c r="X2956" s="750">
        <v>42552</v>
      </c>
      <c r="Y2956" s="250" t="s">
        <v>9251</v>
      </c>
      <c r="Z2956" s="1086">
        <v>33810</v>
      </c>
      <c r="AA2956" s="811">
        <v>42586</v>
      </c>
      <c r="AB2956" s="318" t="s">
        <v>9249</v>
      </c>
      <c r="AD2956" s="1091"/>
      <c r="AE2956" s="1091"/>
      <c r="AF2956" s="1091"/>
      <c r="AG2956" s="318" t="s">
        <v>283</v>
      </c>
    </row>
    <row r="2957" spans="1:33" ht="15.75" customHeight="1">
      <c r="A2957" s="256">
        <v>42496</v>
      </c>
      <c r="B2957" s="571" t="s">
        <v>8502</v>
      </c>
      <c r="C2957" s="744" t="s">
        <v>9252</v>
      </c>
      <c r="D2957" s="308" t="s">
        <v>9253</v>
      </c>
      <c r="E2957" s="328" t="s">
        <v>8505</v>
      </c>
      <c r="F2957" s="574">
        <v>1</v>
      </c>
      <c r="G2957" s="265">
        <v>101.85</v>
      </c>
      <c r="H2957" s="265">
        <f t="shared" si="184"/>
        <v>101.85</v>
      </c>
      <c r="I2957" s="264" t="s">
        <v>42</v>
      </c>
      <c r="J2957" s="401" t="s">
        <v>89</v>
      </c>
      <c r="K2957" s="256">
        <v>42500</v>
      </c>
      <c r="L2957" s="256"/>
      <c r="M2957" s="256"/>
      <c r="N2957" s="401" t="s">
        <v>89</v>
      </c>
      <c r="O2957" s="250" t="s">
        <v>9254</v>
      </c>
      <c r="P2957" s="574">
        <v>89.25</v>
      </c>
      <c r="Q2957" s="328"/>
      <c r="R2957" s="1407"/>
      <c r="S2957" s="1407"/>
      <c r="U2957" s="328"/>
      <c r="V2957" s="318" t="s">
        <v>5896</v>
      </c>
      <c r="W2957" s="624"/>
      <c r="X2957" s="1083">
        <v>42499</v>
      </c>
      <c r="Y2957" s="318" t="s">
        <v>9255</v>
      </c>
      <c r="Z2957" s="1086">
        <v>2882</v>
      </c>
      <c r="AA2957" s="811">
        <v>42557</v>
      </c>
      <c r="AB2957" s="318" t="s">
        <v>9256</v>
      </c>
      <c r="AD2957" s="386" t="s">
        <v>9257</v>
      </c>
      <c r="AE2957" s="1097">
        <v>3301</v>
      </c>
      <c r="AF2957" s="386" t="s">
        <v>9258</v>
      </c>
      <c r="AG2957" s="318"/>
    </row>
    <row r="2958" spans="1:33" ht="15.75" customHeight="1">
      <c r="A2958" s="256">
        <v>42499</v>
      </c>
      <c r="B2958" s="571" t="s">
        <v>228</v>
      </c>
      <c r="C2958" s="744"/>
      <c r="D2958" s="308" t="s">
        <v>9259</v>
      </c>
      <c r="E2958" s="571" t="s">
        <v>461</v>
      </c>
      <c r="F2958" s="574">
        <v>25</v>
      </c>
      <c r="G2958" s="574">
        <v>449.4</v>
      </c>
      <c r="H2958" s="265">
        <f t="shared" si="184"/>
        <v>11235</v>
      </c>
      <c r="I2958" s="254" t="s">
        <v>170</v>
      </c>
      <c r="J2958" s="401" t="s">
        <v>89</v>
      </c>
      <c r="K2958" s="256">
        <v>42509</v>
      </c>
      <c r="L2958" s="256"/>
      <c r="M2958" s="256"/>
      <c r="N2958" s="331" t="s">
        <v>89</v>
      </c>
      <c r="O2958" s="263" t="s">
        <v>9260</v>
      </c>
      <c r="P2958" s="752">
        <v>10158.75</v>
      </c>
      <c r="Q2958" s="386"/>
      <c r="R2958" s="1407"/>
      <c r="S2958" s="1407"/>
      <c r="U2958" s="328"/>
      <c r="V2958" s="318" t="s">
        <v>5896</v>
      </c>
      <c r="W2958" s="624"/>
      <c r="X2958" s="750">
        <v>42507</v>
      </c>
      <c r="Y2958" s="250" t="s">
        <v>9261</v>
      </c>
      <c r="Z2958" s="996">
        <v>312260</v>
      </c>
      <c r="AA2958" s="811">
        <v>42557</v>
      </c>
      <c r="AB2958" s="318" t="s">
        <v>9262</v>
      </c>
      <c r="AD2958" s="386" t="s">
        <v>9263</v>
      </c>
      <c r="AE2958" s="1097">
        <v>367217</v>
      </c>
      <c r="AF2958" s="386" t="s">
        <v>9264</v>
      </c>
      <c r="AG2958" s="1092"/>
    </row>
    <row r="2959" spans="1:33" ht="15.75" customHeight="1">
      <c r="A2959" s="256">
        <v>42499</v>
      </c>
      <c r="B2959" s="571" t="s">
        <v>1166</v>
      </c>
      <c r="C2959" s="744"/>
      <c r="D2959" s="308" t="s">
        <v>9265</v>
      </c>
      <c r="E2959" s="571" t="s">
        <v>9266</v>
      </c>
      <c r="F2959" s="574">
        <v>2</v>
      </c>
      <c r="G2959" s="265">
        <v>120</v>
      </c>
      <c r="H2959" s="265">
        <f t="shared" si="184"/>
        <v>240</v>
      </c>
      <c r="I2959" s="254" t="s">
        <v>3712</v>
      </c>
      <c r="J2959" s="401" t="s">
        <v>9267</v>
      </c>
      <c r="K2959" s="256">
        <v>42509</v>
      </c>
      <c r="L2959" s="256"/>
      <c r="M2959" s="256">
        <v>42506</v>
      </c>
      <c r="N2959" s="401" t="s">
        <v>3678</v>
      </c>
      <c r="O2959" s="250" t="s">
        <v>9268</v>
      </c>
      <c r="P2959" s="574"/>
      <c r="Q2959" s="308">
        <v>6405</v>
      </c>
      <c r="R2959" s="1410"/>
      <c r="S2959" s="1410"/>
      <c r="U2959" s="328"/>
      <c r="V2959" s="386" t="s">
        <v>3680</v>
      </c>
      <c r="W2959" s="624"/>
      <c r="X2959" s="750">
        <v>42503</v>
      </c>
      <c r="Y2959" s="250" t="s">
        <v>9269</v>
      </c>
      <c r="Z2959" s="996">
        <v>6405</v>
      </c>
      <c r="AA2959" s="811">
        <v>42557</v>
      </c>
      <c r="AB2959" s="250" t="s">
        <v>9270</v>
      </c>
      <c r="AD2959" s="1091"/>
      <c r="AE2959" s="1091"/>
      <c r="AF2959" s="1091"/>
      <c r="AG2959" s="1092" t="s">
        <v>283</v>
      </c>
    </row>
    <row r="2960" spans="1:33" ht="15.75" customHeight="1">
      <c r="A2960" s="256">
        <v>42500</v>
      </c>
      <c r="B2960" s="571" t="s">
        <v>100</v>
      </c>
      <c r="C2960" s="744" t="s">
        <v>9271</v>
      </c>
      <c r="D2960" s="308" t="s">
        <v>9272</v>
      </c>
      <c r="E2960" s="308" t="s">
        <v>9120</v>
      </c>
      <c r="F2960" s="574">
        <v>3</v>
      </c>
      <c r="G2960" s="265">
        <v>339</v>
      </c>
      <c r="H2960" s="265">
        <f t="shared" si="184"/>
        <v>1017</v>
      </c>
      <c r="I2960" s="254" t="s">
        <v>170</v>
      </c>
      <c r="J2960" s="401" t="s">
        <v>5810</v>
      </c>
      <c r="K2960" s="256">
        <v>42513</v>
      </c>
      <c r="L2960" s="256"/>
      <c r="M2960" s="256">
        <v>42508</v>
      </c>
      <c r="N2960" s="331" t="s">
        <v>1995</v>
      </c>
      <c r="O2960" s="263" t="s">
        <v>9273</v>
      </c>
      <c r="P2960" s="752"/>
      <c r="Q2960" s="318">
        <v>31224.375</v>
      </c>
      <c r="R2960" s="1410"/>
      <c r="S2960" s="1410"/>
      <c r="U2960" s="328"/>
      <c r="V2960" s="318" t="s">
        <v>9122</v>
      </c>
      <c r="W2960" s="624"/>
      <c r="X2960" s="750">
        <v>42508</v>
      </c>
      <c r="Y2960" s="250" t="s">
        <v>9274</v>
      </c>
      <c r="Z2960" s="1086">
        <v>48493</v>
      </c>
      <c r="AA2960" s="811">
        <v>42509</v>
      </c>
      <c r="AB2960" s="318" t="s">
        <v>9275</v>
      </c>
      <c r="AD2960" s="1091"/>
      <c r="AE2960" s="1091"/>
      <c r="AF2960" s="1091"/>
      <c r="AG2960" s="1092" t="s">
        <v>8415</v>
      </c>
    </row>
    <row r="2961" spans="1:33" ht="15.75" customHeight="1">
      <c r="A2961" s="256">
        <v>42500</v>
      </c>
      <c r="B2961" s="571" t="s">
        <v>100</v>
      </c>
      <c r="C2961" s="744" t="s">
        <v>9271</v>
      </c>
      <c r="D2961" s="308" t="s">
        <v>9272</v>
      </c>
      <c r="E2961" s="308" t="s">
        <v>9276</v>
      </c>
      <c r="F2961" s="574">
        <v>3</v>
      </c>
      <c r="G2961" s="265">
        <v>57</v>
      </c>
      <c r="H2961" s="265">
        <f t="shared" si="184"/>
        <v>171</v>
      </c>
      <c r="I2961" s="254" t="s">
        <v>170</v>
      </c>
      <c r="J2961" s="401" t="s">
        <v>5810</v>
      </c>
      <c r="K2961" s="256">
        <v>42513</v>
      </c>
      <c r="L2961" s="256"/>
      <c r="M2961" s="256">
        <v>42508</v>
      </c>
      <c r="N2961" s="331" t="s">
        <v>1995</v>
      </c>
      <c r="O2961" s="263" t="s">
        <v>9273</v>
      </c>
      <c r="P2961" s="752"/>
      <c r="Q2961" s="318">
        <v>5528.25</v>
      </c>
      <c r="R2961" s="1410"/>
      <c r="S2961" s="1410"/>
      <c r="U2961" s="328"/>
      <c r="V2961" s="318" t="s">
        <v>9122</v>
      </c>
      <c r="W2961" s="624"/>
      <c r="X2961" s="750">
        <v>42508</v>
      </c>
      <c r="Y2961" s="250" t="s">
        <v>9274</v>
      </c>
      <c r="Z2961" s="1086" t="s">
        <v>9277</v>
      </c>
      <c r="AA2961" s="811">
        <v>42509</v>
      </c>
      <c r="AB2961" s="318" t="s">
        <v>9275</v>
      </c>
      <c r="AD2961" s="1091"/>
      <c r="AE2961" s="1091"/>
      <c r="AF2961" s="1091"/>
      <c r="AG2961" s="1092" t="s">
        <v>8415</v>
      </c>
    </row>
    <row r="2962" spans="1:33" ht="15.75" customHeight="1">
      <c r="A2962" s="256">
        <v>42500</v>
      </c>
      <c r="B2962" s="571" t="s">
        <v>100</v>
      </c>
      <c r="C2962" s="744" t="s">
        <v>9271</v>
      </c>
      <c r="D2962" s="308" t="s">
        <v>9272</v>
      </c>
      <c r="E2962" s="308" t="s">
        <v>9278</v>
      </c>
      <c r="F2962" s="574">
        <v>1</v>
      </c>
      <c r="G2962" s="265">
        <v>322</v>
      </c>
      <c r="H2962" s="265">
        <f t="shared" si="184"/>
        <v>322</v>
      </c>
      <c r="I2962" s="254" t="s">
        <v>170</v>
      </c>
      <c r="J2962" s="401" t="s">
        <v>5810</v>
      </c>
      <c r="K2962" s="256">
        <v>42513</v>
      </c>
      <c r="L2962" s="256"/>
      <c r="M2962" s="256">
        <v>42508</v>
      </c>
      <c r="N2962" s="331" t="s">
        <v>1995</v>
      </c>
      <c r="O2962" s="263" t="s">
        <v>9273</v>
      </c>
      <c r="P2962" s="752"/>
      <c r="Q2962" s="318">
        <v>9896.25</v>
      </c>
      <c r="R2962" s="1410"/>
      <c r="S2962" s="1410"/>
      <c r="U2962" s="328"/>
      <c r="V2962" s="318" t="s">
        <v>9122</v>
      </c>
      <c r="W2962" s="624"/>
      <c r="X2962" s="750">
        <v>42508</v>
      </c>
      <c r="Y2962" s="250" t="s">
        <v>9274</v>
      </c>
      <c r="Z2962" s="1086" t="s">
        <v>9277</v>
      </c>
      <c r="AA2962" s="811">
        <v>42509</v>
      </c>
      <c r="AB2962" s="318" t="s">
        <v>9275</v>
      </c>
      <c r="AD2962" s="1091"/>
      <c r="AE2962" s="1091"/>
      <c r="AF2962" s="1091"/>
      <c r="AG2962" s="1092" t="s">
        <v>8415</v>
      </c>
    </row>
    <row r="2963" spans="1:33" ht="15.75" customHeight="1">
      <c r="A2963" s="256">
        <v>42500</v>
      </c>
      <c r="B2963" s="571" t="s">
        <v>100</v>
      </c>
      <c r="C2963" s="744" t="s">
        <v>9271</v>
      </c>
      <c r="D2963" s="308" t="s">
        <v>9272</v>
      </c>
      <c r="E2963" s="308" t="s">
        <v>9276</v>
      </c>
      <c r="F2963" s="574">
        <v>1</v>
      </c>
      <c r="G2963" s="265">
        <v>57</v>
      </c>
      <c r="H2963" s="265">
        <f t="shared" si="184"/>
        <v>57</v>
      </c>
      <c r="I2963" s="254" t="s">
        <v>170</v>
      </c>
      <c r="J2963" s="401" t="s">
        <v>5810</v>
      </c>
      <c r="K2963" s="256">
        <v>42513</v>
      </c>
      <c r="L2963" s="256"/>
      <c r="M2963" s="256">
        <v>42508</v>
      </c>
      <c r="N2963" s="331" t="s">
        <v>1995</v>
      </c>
      <c r="O2963" s="263" t="s">
        <v>9273</v>
      </c>
      <c r="P2963" s="752"/>
      <c r="Q2963" s="318">
        <v>1842.75</v>
      </c>
      <c r="R2963" s="1410"/>
      <c r="S2963" s="1410"/>
      <c r="U2963" s="328"/>
      <c r="V2963" s="318" t="s">
        <v>9122</v>
      </c>
      <c r="W2963" s="624"/>
      <c r="X2963" s="750">
        <v>42508</v>
      </c>
      <c r="Y2963" s="250" t="s">
        <v>9274</v>
      </c>
      <c r="Z2963" s="1086" t="s">
        <v>9277</v>
      </c>
      <c r="AA2963" s="811">
        <v>42509</v>
      </c>
      <c r="AB2963" s="318" t="s">
        <v>9275</v>
      </c>
      <c r="AD2963" s="1091"/>
      <c r="AE2963" s="1091"/>
      <c r="AF2963" s="1091"/>
      <c r="AG2963" s="1092" t="s">
        <v>8415</v>
      </c>
    </row>
    <row r="2964" spans="1:33" ht="15.75" customHeight="1">
      <c r="A2964" s="256">
        <v>42500</v>
      </c>
      <c r="B2964" s="571" t="s">
        <v>100</v>
      </c>
      <c r="C2964" s="744" t="s">
        <v>9271</v>
      </c>
      <c r="D2964" s="308" t="s">
        <v>9272</v>
      </c>
      <c r="E2964" s="571" t="s">
        <v>8425</v>
      </c>
      <c r="F2964" s="574">
        <v>1</v>
      </c>
      <c r="G2964" s="265">
        <v>86</v>
      </c>
      <c r="H2964" s="265">
        <f t="shared" si="184"/>
        <v>86</v>
      </c>
      <c r="I2964" s="254" t="s">
        <v>170</v>
      </c>
      <c r="J2964" s="756" t="s">
        <v>5810</v>
      </c>
      <c r="K2964" s="256">
        <v>42513</v>
      </c>
      <c r="L2964" s="256"/>
      <c r="M2964" s="256"/>
      <c r="N2964" s="331" t="s">
        <v>1999</v>
      </c>
      <c r="O2964" s="250"/>
      <c r="P2964" s="574"/>
      <c r="Q2964" s="308">
        <v>2233</v>
      </c>
      <c r="R2964" s="1410"/>
      <c r="S2964" s="1410"/>
      <c r="U2964" s="328"/>
      <c r="V2964" s="386" t="s">
        <v>2000</v>
      </c>
      <c r="W2964" s="747">
        <v>42551</v>
      </c>
      <c r="X2964" s="750">
        <v>42521</v>
      </c>
      <c r="Y2964" s="250" t="s">
        <v>9279</v>
      </c>
      <c r="Z2964" s="996">
        <v>2233</v>
      </c>
      <c r="AA2964" s="811">
        <v>42557</v>
      </c>
      <c r="AB2964" s="318" t="s">
        <v>9275</v>
      </c>
      <c r="AD2964" s="1091"/>
      <c r="AE2964" s="1091"/>
      <c r="AF2964" s="1091"/>
      <c r="AG2964" s="1092" t="s">
        <v>8415</v>
      </c>
    </row>
    <row r="2965" spans="1:33" ht="15.75" customHeight="1">
      <c r="A2965" s="289">
        <v>42502</v>
      </c>
      <c r="B2965" s="1115" t="s">
        <v>5981</v>
      </c>
      <c r="C2965" s="768">
        <v>7000121316</v>
      </c>
      <c r="D2965" s="777" t="s">
        <v>9280</v>
      </c>
      <c r="E2965" s="777" t="s">
        <v>9281</v>
      </c>
      <c r="F2965" s="837">
        <v>1</v>
      </c>
      <c r="G2965" s="279">
        <v>178</v>
      </c>
      <c r="H2965" s="887"/>
      <c r="I2965" s="280" t="s">
        <v>170</v>
      </c>
      <c r="J2965" s="981" t="s">
        <v>3462</v>
      </c>
      <c r="K2965" s="289">
        <v>42530</v>
      </c>
      <c r="L2965" s="289"/>
      <c r="M2965" s="289">
        <v>42528</v>
      </c>
      <c r="N2965" s="281" t="s">
        <v>3432</v>
      </c>
      <c r="O2965" s="274" t="s">
        <v>9282</v>
      </c>
      <c r="P2965" s="837"/>
      <c r="Q2965" s="764"/>
      <c r="R2965" s="1457"/>
      <c r="S2965" s="1457"/>
      <c r="U2965" s="575"/>
      <c r="V2965" s="779" t="s">
        <v>8443</v>
      </c>
      <c r="W2965" s="1123"/>
      <c r="X2965" s="781"/>
      <c r="Y2965" s="780"/>
      <c r="Z2965" s="1120"/>
      <c r="AA2965" s="1121"/>
      <c r="AB2965" s="1122"/>
      <c r="AD2965" s="1124"/>
      <c r="AE2965" s="1124"/>
      <c r="AF2965" s="1124"/>
      <c r="AG2965" s="318"/>
    </row>
    <row r="2966" spans="1:33" ht="15.75" customHeight="1">
      <c r="A2966" s="289">
        <v>42502</v>
      </c>
      <c r="B2966" s="1115" t="s">
        <v>5981</v>
      </c>
      <c r="C2966" s="768">
        <v>7000121316</v>
      </c>
      <c r="D2966" s="777" t="s">
        <v>9280</v>
      </c>
      <c r="E2966" s="777" t="s">
        <v>9283</v>
      </c>
      <c r="F2966" s="837">
        <v>1</v>
      </c>
      <c r="G2966" s="279">
        <v>945</v>
      </c>
      <c r="H2966" s="887"/>
      <c r="I2966" s="280" t="s">
        <v>170</v>
      </c>
      <c r="J2966" s="981" t="s">
        <v>3462</v>
      </c>
      <c r="K2966" s="289">
        <v>42530</v>
      </c>
      <c r="L2966" s="289"/>
      <c r="M2966" s="289">
        <v>42528</v>
      </c>
      <c r="N2966" s="281" t="s">
        <v>3432</v>
      </c>
      <c r="O2966" s="274" t="s">
        <v>9282</v>
      </c>
      <c r="P2966" s="837"/>
      <c r="Q2966" s="764"/>
      <c r="R2966" s="1457"/>
      <c r="S2966" s="1457"/>
      <c r="U2966" s="575"/>
      <c r="V2966" s="779" t="s">
        <v>8443</v>
      </c>
      <c r="W2966" s="1123"/>
      <c r="X2966" s="781"/>
      <c r="Y2966" s="780"/>
      <c r="Z2966" s="1120"/>
      <c r="AA2966" s="1121"/>
      <c r="AB2966" s="1122"/>
      <c r="AD2966" s="1124"/>
      <c r="AE2966" s="1124"/>
      <c r="AF2966" s="1124"/>
      <c r="AG2966" s="318"/>
    </row>
    <row r="2967" spans="1:33" ht="15.75" customHeight="1">
      <c r="A2967" s="256">
        <v>42502</v>
      </c>
      <c r="B2967" s="338" t="s">
        <v>76</v>
      </c>
      <c r="C2967" s="744">
        <v>434</v>
      </c>
      <c r="D2967" s="308" t="s">
        <v>9284</v>
      </c>
      <c r="E2967" s="571" t="s">
        <v>6445</v>
      </c>
      <c r="F2967" s="574">
        <v>15</v>
      </c>
      <c r="G2967" s="265">
        <v>92</v>
      </c>
      <c r="H2967" s="265">
        <f t="shared" ref="H2967:H2993" si="185">G2967*F2967</f>
        <v>1380</v>
      </c>
      <c r="I2967" s="254" t="s">
        <v>170</v>
      </c>
      <c r="J2967" s="267" t="s">
        <v>315</v>
      </c>
      <c r="K2967" s="256">
        <v>42516</v>
      </c>
      <c r="L2967" s="256"/>
      <c r="M2967" s="256">
        <v>42509</v>
      </c>
      <c r="N2967" s="331" t="s">
        <v>3330</v>
      </c>
      <c r="O2967" s="250" t="s">
        <v>9285</v>
      </c>
      <c r="P2967" s="574"/>
      <c r="Q2967" s="308">
        <v>40824</v>
      </c>
      <c r="R2967" s="1410"/>
      <c r="S2967" s="1410"/>
      <c r="U2967" s="328"/>
      <c r="V2967" s="386" t="s">
        <v>8822</v>
      </c>
      <c r="W2967" s="747">
        <v>42526</v>
      </c>
      <c r="X2967" s="750">
        <v>42509</v>
      </c>
      <c r="Y2967" s="250" t="s">
        <v>9286</v>
      </c>
      <c r="Z2967" s="1086">
        <v>40824</v>
      </c>
      <c r="AA2967" s="811">
        <v>42529</v>
      </c>
      <c r="AB2967" s="318" t="s">
        <v>9287</v>
      </c>
      <c r="AD2967" s="1091"/>
      <c r="AE2967" s="1091"/>
      <c r="AF2967" s="1091"/>
      <c r="AG2967" s="318" t="s">
        <v>283</v>
      </c>
    </row>
    <row r="2968" spans="1:33" ht="15.75" customHeight="1">
      <c r="A2968" s="256">
        <v>42502</v>
      </c>
      <c r="B2968" s="571" t="s">
        <v>5940</v>
      </c>
      <c r="C2968" s="744" t="s">
        <v>6655</v>
      </c>
      <c r="D2968" s="308" t="s">
        <v>9288</v>
      </c>
      <c r="E2968" s="571" t="s">
        <v>5943</v>
      </c>
      <c r="F2968" s="574">
        <v>7</v>
      </c>
      <c r="G2968" s="265">
        <v>148</v>
      </c>
      <c r="H2968" s="265">
        <f t="shared" si="185"/>
        <v>1036</v>
      </c>
      <c r="I2968" s="254" t="s">
        <v>3315</v>
      </c>
      <c r="J2968" s="401" t="s">
        <v>3571</v>
      </c>
      <c r="K2968" s="256">
        <v>42544</v>
      </c>
      <c r="L2968" s="256"/>
      <c r="M2968" s="256">
        <v>42514</v>
      </c>
      <c r="N2968" s="331" t="s">
        <v>2001</v>
      </c>
      <c r="O2968" s="250" t="s">
        <v>9289</v>
      </c>
      <c r="P2968" s="574"/>
      <c r="Q2968" s="308">
        <v>31605</v>
      </c>
      <c r="R2968" s="1410"/>
      <c r="S2968" s="1410"/>
      <c r="U2968" s="328"/>
      <c r="V2968" s="318" t="s">
        <v>2003</v>
      </c>
      <c r="W2968" s="624"/>
      <c r="X2968" s="750">
        <v>42513</v>
      </c>
      <c r="Y2968" s="250" t="s">
        <v>9290</v>
      </c>
      <c r="Z2968" s="1086">
        <v>63210</v>
      </c>
      <c r="AA2968" s="811">
        <v>42529</v>
      </c>
      <c r="AB2968" s="318" t="s">
        <v>9291</v>
      </c>
      <c r="AD2968" s="1091"/>
      <c r="AE2968" s="1091"/>
      <c r="AF2968" s="1091"/>
      <c r="AG2968" s="318" t="s">
        <v>283</v>
      </c>
    </row>
    <row r="2969" spans="1:33" ht="15.75" customHeight="1">
      <c r="A2969" s="256">
        <v>42502</v>
      </c>
      <c r="B2969" s="571" t="s">
        <v>5940</v>
      </c>
      <c r="C2969" s="744" t="s">
        <v>6655</v>
      </c>
      <c r="D2969" s="308" t="s">
        <v>9288</v>
      </c>
      <c r="E2969" s="571" t="s">
        <v>5947</v>
      </c>
      <c r="F2969" s="574">
        <v>7</v>
      </c>
      <c r="G2969" s="265">
        <v>148</v>
      </c>
      <c r="H2969" s="265">
        <f t="shared" si="185"/>
        <v>1036</v>
      </c>
      <c r="I2969" s="254" t="s">
        <v>3315</v>
      </c>
      <c r="J2969" s="401" t="s">
        <v>3571</v>
      </c>
      <c r="K2969" s="256">
        <v>42544</v>
      </c>
      <c r="L2969" s="256"/>
      <c r="M2969" s="256">
        <v>42514</v>
      </c>
      <c r="N2969" s="331" t="s">
        <v>2001</v>
      </c>
      <c r="O2969" s="250" t="s">
        <v>9289</v>
      </c>
      <c r="P2969" s="574"/>
      <c r="Q2969" s="308">
        <v>31605</v>
      </c>
      <c r="R2969" s="1410"/>
      <c r="S2969" s="1410"/>
      <c r="U2969" s="328"/>
      <c r="V2969" s="318" t="s">
        <v>2003</v>
      </c>
      <c r="W2969" s="624"/>
      <c r="X2969" s="750">
        <v>42513</v>
      </c>
      <c r="Y2969" s="250" t="s">
        <v>9290</v>
      </c>
      <c r="Z2969" s="1086" t="s">
        <v>9292</v>
      </c>
      <c r="AA2969" s="811">
        <v>42529</v>
      </c>
      <c r="AB2969" s="318" t="s">
        <v>9291</v>
      </c>
      <c r="AD2969" s="1091"/>
      <c r="AE2969" s="1091"/>
      <c r="AF2969" s="1091"/>
      <c r="AG2969" s="318" t="s">
        <v>283</v>
      </c>
    </row>
    <row r="2970" spans="1:33" ht="15.75" customHeight="1">
      <c r="A2970" s="256">
        <v>42502</v>
      </c>
      <c r="B2970" s="571" t="s">
        <v>5940</v>
      </c>
      <c r="C2970" s="744" t="s">
        <v>6655</v>
      </c>
      <c r="D2970" s="308" t="s">
        <v>9288</v>
      </c>
      <c r="E2970" s="571" t="s">
        <v>6661</v>
      </c>
      <c r="F2970" s="574">
        <v>7</v>
      </c>
      <c r="G2970" s="265">
        <v>1239</v>
      </c>
      <c r="H2970" s="265">
        <f t="shared" si="185"/>
        <v>8673</v>
      </c>
      <c r="I2970" s="254" t="s">
        <v>3315</v>
      </c>
      <c r="J2970" s="401" t="s">
        <v>3571</v>
      </c>
      <c r="K2970" s="256">
        <v>42544</v>
      </c>
      <c r="L2970" s="256"/>
      <c r="M2970" s="256">
        <v>42536</v>
      </c>
      <c r="N2970" s="331" t="s">
        <v>2001</v>
      </c>
      <c r="O2970" s="250" t="s">
        <v>9289</v>
      </c>
      <c r="P2970" s="574"/>
      <c r="Q2970" s="308">
        <v>264527</v>
      </c>
      <c r="R2970" s="1410"/>
      <c r="S2970" s="1410"/>
      <c r="U2970" s="328"/>
      <c r="V2970" s="318" t="s">
        <v>2003</v>
      </c>
      <c r="W2970" s="747">
        <v>42587</v>
      </c>
      <c r="X2970" s="750">
        <v>42535</v>
      </c>
      <c r="Y2970" s="250" t="s">
        <v>9293</v>
      </c>
      <c r="Z2970" s="1086">
        <v>264527</v>
      </c>
      <c r="AA2970" s="811">
        <v>42586</v>
      </c>
      <c r="AB2970" s="318" t="s">
        <v>9291</v>
      </c>
      <c r="AD2970" s="1091"/>
      <c r="AE2970" s="1091"/>
      <c r="AF2970" s="1091"/>
      <c r="AG2970" s="318" t="s">
        <v>283</v>
      </c>
    </row>
    <row r="2971" spans="1:33" ht="15.75" customHeight="1">
      <c r="A2971" s="256">
        <v>42502</v>
      </c>
      <c r="B2971" s="571" t="s">
        <v>5940</v>
      </c>
      <c r="C2971" s="744" t="s">
        <v>6655</v>
      </c>
      <c r="D2971" s="308" t="s">
        <v>9288</v>
      </c>
      <c r="E2971" s="571" t="s">
        <v>9294</v>
      </c>
      <c r="F2971" s="574">
        <v>1</v>
      </c>
      <c r="G2971" s="265">
        <v>15</v>
      </c>
      <c r="H2971" s="265">
        <f t="shared" si="185"/>
        <v>15</v>
      </c>
      <c r="I2971" s="254" t="s">
        <v>3315</v>
      </c>
      <c r="J2971" s="756"/>
      <c r="K2971" s="256">
        <v>42544</v>
      </c>
      <c r="L2971" s="256"/>
      <c r="M2971" s="586"/>
      <c r="N2971" s="331"/>
      <c r="O2971" s="250"/>
      <c r="P2971" s="574"/>
      <c r="Q2971" s="593"/>
      <c r="R2971" s="1418"/>
      <c r="S2971" s="1418"/>
      <c r="U2971" s="328"/>
      <c r="V2971" s="318"/>
      <c r="W2971" s="624"/>
      <c r="X2971" s="788"/>
      <c r="Y2971" s="818"/>
      <c r="Z2971" s="1102"/>
      <c r="AA2971" s="1114"/>
      <c r="AB2971" s="318" t="s">
        <v>9291</v>
      </c>
      <c r="AD2971" s="1091"/>
      <c r="AE2971" s="1091"/>
      <c r="AF2971" s="1091"/>
      <c r="AG2971" s="318" t="s">
        <v>283</v>
      </c>
    </row>
    <row r="2972" spans="1:33" ht="15.75" customHeight="1">
      <c r="A2972" s="256">
        <v>42503</v>
      </c>
      <c r="B2972" s="571" t="s">
        <v>6357</v>
      </c>
      <c r="C2972" s="744"/>
      <c r="D2972" s="328" t="s">
        <v>8517</v>
      </c>
      <c r="E2972" s="308" t="s">
        <v>9295</v>
      </c>
      <c r="F2972" s="574">
        <v>8</v>
      </c>
      <c r="G2972" s="265">
        <v>31</v>
      </c>
      <c r="H2972" s="265">
        <f t="shared" si="185"/>
        <v>248</v>
      </c>
      <c r="I2972" s="254" t="s">
        <v>170</v>
      </c>
      <c r="J2972" s="756" t="s">
        <v>8519</v>
      </c>
      <c r="K2972" s="256">
        <v>42544</v>
      </c>
      <c r="L2972" s="256"/>
      <c r="M2972" s="256"/>
      <c r="N2972" s="331"/>
      <c r="O2972" s="250"/>
      <c r="P2972" s="574"/>
      <c r="Q2972" s="328"/>
      <c r="R2972" s="1407"/>
      <c r="S2972" s="1407"/>
      <c r="U2972" s="328"/>
      <c r="V2972" s="318"/>
      <c r="W2972" s="624"/>
      <c r="X2972" s="788"/>
      <c r="Y2972" s="818"/>
      <c r="Z2972" s="1102"/>
      <c r="AA2972" s="1114"/>
      <c r="AB2972" s="318" t="s">
        <v>8524</v>
      </c>
      <c r="AD2972" s="1091"/>
      <c r="AE2972" s="1091"/>
      <c r="AF2972" s="1091"/>
      <c r="AG2972" s="1092"/>
    </row>
    <row r="2973" spans="1:33" ht="15.75" customHeight="1">
      <c r="A2973" s="256">
        <v>42503</v>
      </c>
      <c r="B2973" s="571" t="s">
        <v>6357</v>
      </c>
      <c r="C2973" s="744"/>
      <c r="D2973" s="328" t="s">
        <v>8517</v>
      </c>
      <c r="E2973" s="308" t="s">
        <v>9296</v>
      </c>
      <c r="F2973" s="574">
        <v>1</v>
      </c>
      <c r="G2973" s="265">
        <v>500</v>
      </c>
      <c r="H2973" s="265">
        <f t="shared" si="185"/>
        <v>500</v>
      </c>
      <c r="I2973" s="254" t="s">
        <v>170</v>
      </c>
      <c r="J2973" s="756" t="s">
        <v>8519</v>
      </c>
      <c r="K2973" s="256">
        <v>42544</v>
      </c>
      <c r="L2973" s="256"/>
      <c r="M2973" s="256"/>
      <c r="N2973" s="401"/>
      <c r="O2973" s="250"/>
      <c r="P2973" s="574"/>
      <c r="Q2973" s="328"/>
      <c r="R2973" s="1407"/>
      <c r="S2973" s="1407"/>
      <c r="U2973" s="328"/>
      <c r="V2973" s="318"/>
      <c r="W2973" s="624"/>
      <c r="X2973" s="788"/>
      <c r="Y2973" s="818"/>
      <c r="Z2973" s="1102"/>
      <c r="AA2973" s="1114"/>
      <c r="AB2973" s="318" t="s">
        <v>8524</v>
      </c>
      <c r="AD2973" s="1091"/>
      <c r="AE2973" s="1091"/>
      <c r="AF2973" s="1091"/>
      <c r="AG2973" s="1092"/>
    </row>
    <row r="2974" spans="1:33" ht="15.75" customHeight="1">
      <c r="A2974" s="256">
        <v>42503</v>
      </c>
      <c r="B2974" s="571" t="s">
        <v>100</v>
      </c>
      <c r="C2974" s="744" t="s">
        <v>9297</v>
      </c>
      <c r="D2974" s="308" t="s">
        <v>9298</v>
      </c>
      <c r="E2974" s="571" t="s">
        <v>9299</v>
      </c>
      <c r="F2974" s="574">
        <v>7</v>
      </c>
      <c r="G2974" s="265">
        <v>188</v>
      </c>
      <c r="H2974" s="265">
        <f t="shared" si="185"/>
        <v>1316</v>
      </c>
      <c r="I2974" s="254" t="s">
        <v>3315</v>
      </c>
      <c r="J2974" s="756" t="s">
        <v>5810</v>
      </c>
      <c r="K2974" s="256">
        <v>42551</v>
      </c>
      <c r="L2974" s="256"/>
      <c r="M2974" s="256">
        <v>42538</v>
      </c>
      <c r="N2974" s="331" t="s">
        <v>2001</v>
      </c>
      <c r="O2974" s="250" t="s">
        <v>9300</v>
      </c>
      <c r="P2974" s="574"/>
      <c r="Q2974" s="308">
        <v>39690</v>
      </c>
      <c r="R2974" s="1410"/>
      <c r="S2974" s="1410"/>
      <c r="U2974" s="328"/>
      <c r="V2974" s="308" t="s">
        <v>2003</v>
      </c>
      <c r="W2974" s="747">
        <v>42587</v>
      </c>
      <c r="X2974" s="750">
        <v>42537</v>
      </c>
      <c r="Y2974" s="250" t="s">
        <v>9301</v>
      </c>
      <c r="Z2974" s="1086">
        <v>39690</v>
      </c>
      <c r="AA2974" s="811">
        <v>42586</v>
      </c>
      <c r="AB2974" s="318" t="s">
        <v>9302</v>
      </c>
      <c r="AD2974" s="1091"/>
      <c r="AE2974" s="1091"/>
      <c r="AF2974" s="1091"/>
      <c r="AG2974" s="1092" t="s">
        <v>283</v>
      </c>
    </row>
    <row r="2975" spans="1:33" ht="15.75" customHeight="1">
      <c r="A2975" s="256">
        <v>42503</v>
      </c>
      <c r="B2975" s="571" t="s">
        <v>100</v>
      </c>
      <c r="C2975" s="744" t="s">
        <v>9297</v>
      </c>
      <c r="D2975" s="308" t="s">
        <v>9298</v>
      </c>
      <c r="E2975" s="571" t="s">
        <v>8425</v>
      </c>
      <c r="F2975" s="574">
        <v>1</v>
      </c>
      <c r="G2975" s="265">
        <v>107</v>
      </c>
      <c r="H2975" s="265">
        <f t="shared" si="185"/>
        <v>107</v>
      </c>
      <c r="I2975" s="254" t="s">
        <v>170</v>
      </c>
      <c r="J2975" s="331" t="s">
        <v>5810</v>
      </c>
      <c r="K2975" s="811">
        <v>42551</v>
      </c>
      <c r="L2975" s="1477"/>
      <c r="M2975" s="256"/>
      <c r="N2975" s="401" t="s">
        <v>1999</v>
      </c>
      <c r="O2975" s="250"/>
      <c r="P2975" s="574"/>
      <c r="Q2975" s="572">
        <v>5709</v>
      </c>
      <c r="R2975" s="1413"/>
      <c r="S2975" s="1413"/>
      <c r="U2975" s="328"/>
      <c r="V2975" s="308"/>
      <c r="W2975" s="747">
        <v>42586</v>
      </c>
      <c r="X2975" s="750">
        <v>42556</v>
      </c>
      <c r="Y2975" s="250" t="s">
        <v>9303</v>
      </c>
      <c r="Z2975" s="1086">
        <v>5709</v>
      </c>
      <c r="AA2975" s="811">
        <v>42592</v>
      </c>
      <c r="AB2975" s="318" t="s">
        <v>9302</v>
      </c>
      <c r="AD2975" s="1091"/>
      <c r="AE2975" s="1091"/>
      <c r="AF2975" s="1091"/>
      <c r="AG2975" s="1092" t="s">
        <v>283</v>
      </c>
    </row>
    <row r="2976" spans="1:33" ht="15.75" customHeight="1">
      <c r="A2976" s="256">
        <v>42503</v>
      </c>
      <c r="B2976" s="571" t="s">
        <v>100</v>
      </c>
      <c r="C2976" s="744" t="s">
        <v>9297</v>
      </c>
      <c r="D2976" s="308" t="s">
        <v>9304</v>
      </c>
      <c r="E2976" s="571" t="s">
        <v>9299</v>
      </c>
      <c r="F2976" s="574">
        <v>1</v>
      </c>
      <c r="G2976" s="265">
        <v>188</v>
      </c>
      <c r="H2976" s="265">
        <f t="shared" si="185"/>
        <v>188</v>
      </c>
      <c r="I2976" s="254" t="s">
        <v>3315</v>
      </c>
      <c r="J2976" s="331" t="s">
        <v>5810</v>
      </c>
      <c r="K2976" s="811">
        <v>42565</v>
      </c>
      <c r="L2976" s="1477"/>
      <c r="M2976" s="256">
        <v>42556</v>
      </c>
      <c r="N2976" s="264" t="s">
        <v>9305</v>
      </c>
      <c r="O2976" s="250"/>
      <c r="P2976" s="574"/>
      <c r="Q2976" s="308">
        <v>4805</v>
      </c>
      <c r="R2976" s="1410"/>
      <c r="S2976" s="1410"/>
      <c r="U2976" s="328"/>
      <c r="V2976" s="328"/>
      <c r="W2976" s="624"/>
      <c r="X2976" s="750">
        <v>42542</v>
      </c>
      <c r="Y2976" s="250" t="s">
        <v>9306</v>
      </c>
      <c r="Z2976" s="1086">
        <v>4085</v>
      </c>
      <c r="AA2976" s="811"/>
      <c r="AB2976" s="318" t="s">
        <v>9307</v>
      </c>
      <c r="AD2976" s="1091"/>
      <c r="AE2976" s="1091"/>
      <c r="AF2976" s="1091"/>
      <c r="AG2976" s="1092" t="s">
        <v>283</v>
      </c>
    </row>
    <row r="2977" spans="1:33" ht="15.75" customHeight="1">
      <c r="A2977" s="256">
        <v>42684</v>
      </c>
      <c r="B2977" s="571" t="s">
        <v>4903</v>
      </c>
      <c r="C2977" s="250" t="s">
        <v>9308</v>
      </c>
      <c r="D2977" s="308" t="s">
        <v>9309</v>
      </c>
      <c r="E2977" s="571" t="s">
        <v>6512</v>
      </c>
      <c r="F2977" s="574">
        <v>1</v>
      </c>
      <c r="G2977" s="574">
        <v>2102</v>
      </c>
      <c r="H2977" s="265">
        <f t="shared" si="185"/>
        <v>2102</v>
      </c>
      <c r="I2977" s="254" t="s">
        <v>3315</v>
      </c>
      <c r="J2977" s="756" t="s">
        <v>3588</v>
      </c>
      <c r="K2977" s="811">
        <v>42727</v>
      </c>
      <c r="L2977" s="1477"/>
      <c r="M2977" s="256">
        <v>42727</v>
      </c>
      <c r="N2977" s="401" t="s">
        <v>3432</v>
      </c>
      <c r="O2977" s="250" t="s">
        <v>9310</v>
      </c>
      <c r="P2977" s="574"/>
      <c r="Q2977" s="976">
        <v>64219</v>
      </c>
      <c r="R2977" s="1428"/>
      <c r="S2977" s="1428"/>
      <c r="U2977" s="328"/>
      <c r="V2977" s="318" t="s">
        <v>5937</v>
      </c>
      <c r="W2977" s="1096">
        <v>42799</v>
      </c>
      <c r="X2977" s="750">
        <v>42726</v>
      </c>
      <c r="Y2977" s="250" t="s">
        <v>9311</v>
      </c>
      <c r="Z2977" s="1086">
        <v>64219</v>
      </c>
      <c r="AA2977" s="811">
        <v>42801</v>
      </c>
      <c r="AB2977" s="308" t="s">
        <v>9312</v>
      </c>
      <c r="AD2977" s="1092"/>
      <c r="AE2977" s="1103"/>
      <c r="AF2977" s="1092"/>
      <c r="AG2977" s="1091" t="s">
        <v>283</v>
      </c>
    </row>
    <row r="2978" spans="1:33" ht="15.75" customHeight="1">
      <c r="A2978" s="256">
        <v>42507</v>
      </c>
      <c r="B2978" s="571" t="s">
        <v>100</v>
      </c>
      <c r="C2978" s="744" t="s">
        <v>9313</v>
      </c>
      <c r="D2978" s="308" t="s">
        <v>9314</v>
      </c>
      <c r="E2978" s="308" t="s">
        <v>6119</v>
      </c>
      <c r="F2978" s="574">
        <v>2</v>
      </c>
      <c r="G2978" s="265">
        <v>62</v>
      </c>
      <c r="H2978" s="265">
        <f t="shared" si="185"/>
        <v>124</v>
      </c>
      <c r="I2978" s="254" t="s">
        <v>170</v>
      </c>
      <c r="J2978" s="756" t="s">
        <v>5810</v>
      </c>
      <c r="K2978" s="811">
        <v>42521</v>
      </c>
      <c r="L2978" s="1477"/>
      <c r="M2978" s="254" t="s">
        <v>9315</v>
      </c>
      <c r="N2978" s="401" t="s">
        <v>6735</v>
      </c>
      <c r="O2978" s="250" t="s">
        <v>9316</v>
      </c>
      <c r="P2978" s="574"/>
      <c r="Q2978" s="308">
        <v>2199</v>
      </c>
      <c r="R2978" s="1410"/>
      <c r="S2978" s="1410"/>
      <c r="U2978" s="328"/>
      <c r="V2978" s="318" t="s">
        <v>2126</v>
      </c>
      <c r="W2978" s="1084">
        <v>42509</v>
      </c>
      <c r="X2978" s="750">
        <v>42510</v>
      </c>
      <c r="Y2978" s="250" t="s">
        <v>9317</v>
      </c>
      <c r="Z2978" s="1086">
        <v>2199</v>
      </c>
      <c r="AA2978" s="811">
        <v>42509</v>
      </c>
      <c r="AB2978" s="250" t="s">
        <v>9318</v>
      </c>
      <c r="AD2978" s="1091"/>
      <c r="AE2978" s="1091"/>
      <c r="AF2978" s="1091"/>
      <c r="AG2978" s="1092" t="s">
        <v>8415</v>
      </c>
    </row>
    <row r="2979" spans="1:33" ht="15.75" customHeight="1">
      <c r="A2979" s="256">
        <v>42507</v>
      </c>
      <c r="B2979" s="571" t="s">
        <v>100</v>
      </c>
      <c r="C2979" s="744" t="s">
        <v>9313</v>
      </c>
      <c r="D2979" s="308" t="s">
        <v>9314</v>
      </c>
      <c r="E2979" s="308" t="s">
        <v>8425</v>
      </c>
      <c r="F2979" s="574">
        <v>1</v>
      </c>
      <c r="G2979" s="265">
        <v>83</v>
      </c>
      <c r="H2979" s="265">
        <f t="shared" si="185"/>
        <v>83</v>
      </c>
      <c r="I2979" s="254" t="s">
        <v>170</v>
      </c>
      <c r="J2979" s="756" t="s">
        <v>5810</v>
      </c>
      <c r="K2979" s="811">
        <v>42521</v>
      </c>
      <c r="L2979" s="1477"/>
      <c r="M2979" s="256"/>
      <c r="N2979" s="401"/>
      <c r="O2979" s="250"/>
      <c r="P2979" s="574"/>
      <c r="Q2979" s="308">
        <v>2590</v>
      </c>
      <c r="R2979" s="1410"/>
      <c r="S2979" s="1410"/>
      <c r="U2979" s="328"/>
      <c r="V2979" s="308"/>
      <c r="W2979" s="747">
        <v>42560</v>
      </c>
      <c r="X2979" s="750">
        <v>42530</v>
      </c>
      <c r="Y2979" s="250" t="s">
        <v>9319</v>
      </c>
      <c r="Z2979" s="996">
        <v>2590</v>
      </c>
      <c r="AA2979" s="811">
        <v>42563</v>
      </c>
      <c r="AB2979" s="250" t="s">
        <v>9318</v>
      </c>
      <c r="AD2979" s="1091"/>
      <c r="AE2979" s="1091"/>
      <c r="AF2979" s="1091"/>
      <c r="AG2979" s="1092" t="s">
        <v>8415</v>
      </c>
    </row>
    <row r="2980" spans="1:33" ht="15.75" customHeight="1">
      <c r="A2980" s="256">
        <v>42507</v>
      </c>
      <c r="B2980" s="338" t="s">
        <v>76</v>
      </c>
      <c r="C2980" s="744">
        <v>458</v>
      </c>
      <c r="D2980" s="308" t="s">
        <v>9320</v>
      </c>
      <c r="E2980" s="308" t="s">
        <v>6452</v>
      </c>
      <c r="F2980" s="574">
        <v>20</v>
      </c>
      <c r="G2980" s="265">
        <v>3</v>
      </c>
      <c r="H2980" s="265">
        <f t="shared" si="185"/>
        <v>60</v>
      </c>
      <c r="I2980" s="254" t="s">
        <v>170</v>
      </c>
      <c r="J2980" s="267" t="s">
        <v>315</v>
      </c>
      <c r="K2980" s="256">
        <v>42529</v>
      </c>
      <c r="L2980" s="256"/>
      <c r="M2980" s="256">
        <v>42528</v>
      </c>
      <c r="N2980" s="331" t="s">
        <v>3608</v>
      </c>
      <c r="O2980" s="263" t="s">
        <v>3556</v>
      </c>
      <c r="P2980" s="574"/>
      <c r="Q2980" s="308"/>
      <c r="R2980" s="1410"/>
      <c r="S2980" s="1410"/>
      <c r="U2980" s="308"/>
      <c r="V2980" s="318"/>
      <c r="W2980" s="624"/>
      <c r="X2980" s="308" t="s">
        <v>9321</v>
      </c>
      <c r="Y2980" s="308" t="s">
        <v>9321</v>
      </c>
      <c r="Z2980" s="308" t="s">
        <v>9321</v>
      </c>
      <c r="AA2980" s="811"/>
      <c r="AB2980" s="318" t="s">
        <v>9322</v>
      </c>
      <c r="AD2980" s="1091"/>
      <c r="AE2980" s="1091"/>
      <c r="AF2980" s="1091"/>
      <c r="AG2980" s="318" t="s">
        <v>283</v>
      </c>
    </row>
    <row r="2981" spans="1:33" ht="15.75" customHeight="1">
      <c r="A2981" s="256">
        <v>42507</v>
      </c>
      <c r="B2981" s="338" t="s">
        <v>76</v>
      </c>
      <c r="C2981" s="744">
        <v>458</v>
      </c>
      <c r="D2981" s="308" t="s">
        <v>9320</v>
      </c>
      <c r="E2981" s="597" t="s">
        <v>8530</v>
      </c>
      <c r="F2981" s="329">
        <v>5</v>
      </c>
      <c r="G2981" s="252">
        <v>4</v>
      </c>
      <c r="H2981" s="265">
        <f t="shared" si="185"/>
        <v>20</v>
      </c>
      <c r="I2981" s="254" t="s">
        <v>170</v>
      </c>
      <c r="J2981" s="267" t="s">
        <v>315</v>
      </c>
      <c r="K2981" s="256">
        <v>42529</v>
      </c>
      <c r="L2981" s="256"/>
      <c r="M2981" s="256">
        <v>42528</v>
      </c>
      <c r="N2981" s="331" t="s">
        <v>3608</v>
      </c>
      <c r="O2981" s="263" t="s">
        <v>3556</v>
      </c>
      <c r="P2981" s="574"/>
      <c r="Q2981" s="308"/>
      <c r="R2981" s="1410"/>
      <c r="S2981" s="1410"/>
      <c r="U2981" s="308"/>
      <c r="V2981" s="318"/>
      <c r="W2981" s="624"/>
      <c r="X2981" s="308" t="s">
        <v>9321</v>
      </c>
      <c r="Y2981" s="308" t="s">
        <v>9321</v>
      </c>
      <c r="Z2981" s="308" t="s">
        <v>9321</v>
      </c>
      <c r="AA2981" s="811"/>
      <c r="AB2981" s="318" t="s">
        <v>9322</v>
      </c>
      <c r="AD2981" s="1091"/>
      <c r="AE2981" s="1091"/>
      <c r="AF2981" s="1091"/>
      <c r="AG2981" s="318" t="s">
        <v>283</v>
      </c>
    </row>
    <row r="2982" spans="1:33" ht="15.75" customHeight="1">
      <c r="A2982" s="256">
        <v>42507</v>
      </c>
      <c r="B2982" s="338" t="s">
        <v>76</v>
      </c>
      <c r="C2982" s="744">
        <v>458</v>
      </c>
      <c r="D2982" s="308" t="s">
        <v>9320</v>
      </c>
      <c r="E2982" s="597" t="s">
        <v>8527</v>
      </c>
      <c r="F2982" s="329">
        <v>5</v>
      </c>
      <c r="G2982" s="252">
        <v>4</v>
      </c>
      <c r="H2982" s="265">
        <f t="shared" si="185"/>
        <v>20</v>
      </c>
      <c r="I2982" s="254" t="s">
        <v>170</v>
      </c>
      <c r="J2982" s="267" t="s">
        <v>315</v>
      </c>
      <c r="K2982" s="256">
        <v>42529</v>
      </c>
      <c r="L2982" s="256"/>
      <c r="M2982" s="256">
        <v>42528</v>
      </c>
      <c r="N2982" s="331" t="s">
        <v>3608</v>
      </c>
      <c r="O2982" s="263" t="s">
        <v>3556</v>
      </c>
      <c r="P2982" s="574"/>
      <c r="Q2982" s="308"/>
      <c r="R2982" s="1410"/>
      <c r="S2982" s="1410"/>
      <c r="U2982" s="308"/>
      <c r="V2982" s="318"/>
      <c r="W2982" s="624"/>
      <c r="X2982" s="308" t="s">
        <v>9321</v>
      </c>
      <c r="Y2982" s="308" t="s">
        <v>9321</v>
      </c>
      <c r="Z2982" s="308" t="s">
        <v>9321</v>
      </c>
      <c r="AA2982" s="811"/>
      <c r="AB2982" s="318" t="s">
        <v>9322</v>
      </c>
      <c r="AD2982" s="1091"/>
      <c r="AE2982" s="1091"/>
      <c r="AF2982" s="1091"/>
      <c r="AG2982" s="318" t="s">
        <v>283</v>
      </c>
    </row>
    <row r="2983" spans="1:33" ht="15.75" customHeight="1">
      <c r="A2983" s="256">
        <v>42509</v>
      </c>
      <c r="B2983" s="571" t="s">
        <v>6357</v>
      </c>
      <c r="C2983" s="744"/>
      <c r="D2983" s="328" t="s">
        <v>8517</v>
      </c>
      <c r="E2983" s="571" t="s">
        <v>9323</v>
      </c>
      <c r="F2983" s="574">
        <v>3</v>
      </c>
      <c r="G2983" s="265">
        <v>75</v>
      </c>
      <c r="H2983" s="265">
        <f t="shared" si="185"/>
        <v>225</v>
      </c>
      <c r="I2983" s="254" t="s">
        <v>170</v>
      </c>
      <c r="J2983" s="331" t="s">
        <v>8519</v>
      </c>
      <c r="K2983" s="256">
        <v>42544</v>
      </c>
      <c r="L2983" s="256"/>
      <c r="M2983" s="256"/>
      <c r="N2983" s="331"/>
      <c r="O2983" s="250"/>
      <c r="P2983" s="574"/>
      <c r="Q2983" s="328"/>
      <c r="R2983" s="1407"/>
      <c r="S2983" s="1407"/>
      <c r="U2983" s="328"/>
      <c r="V2983" s="318"/>
      <c r="W2983" s="624"/>
      <c r="X2983" s="788"/>
      <c r="Y2983" s="818"/>
      <c r="Z2983" s="999"/>
      <c r="AA2983" s="1114"/>
      <c r="AB2983" s="318" t="s">
        <v>8524</v>
      </c>
      <c r="AD2983" s="1091"/>
      <c r="AE2983" s="1091"/>
      <c r="AF2983" s="1091"/>
      <c r="AG2983" s="1092"/>
    </row>
    <row r="2984" spans="1:33" ht="15.75" customHeight="1">
      <c r="A2984" s="256">
        <v>42509</v>
      </c>
      <c r="B2984" s="571" t="s">
        <v>6357</v>
      </c>
      <c r="C2984" s="744"/>
      <c r="D2984" s="328" t="s">
        <v>8517</v>
      </c>
      <c r="E2984" s="257" t="s">
        <v>9324</v>
      </c>
      <c r="F2984" s="574">
        <v>2</v>
      </c>
      <c r="G2984" s="265">
        <v>70</v>
      </c>
      <c r="H2984" s="265">
        <f t="shared" si="185"/>
        <v>140</v>
      </c>
      <c r="I2984" s="254" t="s">
        <v>170</v>
      </c>
      <c r="J2984" s="331" t="s">
        <v>8519</v>
      </c>
      <c r="K2984" s="256">
        <v>42544</v>
      </c>
      <c r="L2984" s="256"/>
      <c r="M2984" s="256"/>
      <c r="N2984" s="331"/>
      <c r="O2984" s="250"/>
      <c r="P2984" s="574"/>
      <c r="Q2984" s="328"/>
      <c r="R2984" s="1407"/>
      <c r="S2984" s="1407"/>
      <c r="U2984" s="328"/>
      <c r="V2984" s="318"/>
      <c r="W2984" s="624"/>
      <c r="X2984" s="788"/>
      <c r="Y2984" s="818"/>
      <c r="Z2984" s="999"/>
      <c r="AA2984" s="1114"/>
      <c r="AB2984" s="318" t="s">
        <v>8524</v>
      </c>
      <c r="AD2984" s="1091"/>
      <c r="AE2984" s="1091"/>
      <c r="AF2984" s="1091"/>
      <c r="AG2984" s="1092"/>
    </row>
    <row r="2985" spans="1:33" ht="15.75" customHeight="1">
      <c r="A2985" s="256">
        <v>42509</v>
      </c>
      <c r="B2985" s="571" t="s">
        <v>6357</v>
      </c>
      <c r="C2985" s="744"/>
      <c r="D2985" s="328" t="s">
        <v>8517</v>
      </c>
      <c r="E2985" s="257" t="s">
        <v>9325</v>
      </c>
      <c r="F2985" s="574">
        <v>2</v>
      </c>
      <c r="G2985" s="265">
        <v>90</v>
      </c>
      <c r="H2985" s="265">
        <f t="shared" si="185"/>
        <v>180</v>
      </c>
      <c r="I2985" s="254" t="s">
        <v>170</v>
      </c>
      <c r="J2985" s="331" t="s">
        <v>8519</v>
      </c>
      <c r="K2985" s="256">
        <v>42544</v>
      </c>
      <c r="L2985" s="256"/>
      <c r="M2985" s="256"/>
      <c r="N2985" s="331"/>
      <c r="O2985" s="250"/>
      <c r="P2985" s="574"/>
      <c r="Q2985" s="328"/>
      <c r="R2985" s="1407"/>
      <c r="S2985" s="1407"/>
      <c r="U2985" s="328"/>
      <c r="V2985" s="318"/>
      <c r="W2985" s="624"/>
      <c r="X2985" s="788"/>
      <c r="Y2985" s="818"/>
      <c r="Z2985" s="999"/>
      <c r="AA2985" s="1114"/>
      <c r="AB2985" s="318" t="s">
        <v>8524</v>
      </c>
      <c r="AD2985" s="1091"/>
      <c r="AE2985" s="1091"/>
      <c r="AF2985" s="1091"/>
      <c r="AG2985" s="1092"/>
    </row>
    <row r="2986" spans="1:33" ht="15.75" customHeight="1">
      <c r="A2986" s="256">
        <v>42509</v>
      </c>
      <c r="B2986" s="338" t="s">
        <v>76</v>
      </c>
      <c r="C2986" s="744">
        <v>467</v>
      </c>
      <c r="D2986" s="308" t="s">
        <v>9326</v>
      </c>
      <c r="E2986" s="571" t="s">
        <v>9327</v>
      </c>
      <c r="F2986" s="574">
        <v>8</v>
      </c>
      <c r="G2986" s="265">
        <v>184</v>
      </c>
      <c r="H2986" s="265">
        <f t="shared" si="185"/>
        <v>1472</v>
      </c>
      <c r="I2986" s="254" t="s">
        <v>170</v>
      </c>
      <c r="J2986" s="267" t="s">
        <v>315</v>
      </c>
      <c r="K2986" s="811">
        <v>42516</v>
      </c>
      <c r="L2986" s="1477"/>
      <c r="M2986" s="256">
        <v>42514</v>
      </c>
      <c r="N2986" s="401" t="s">
        <v>1967</v>
      </c>
      <c r="O2986" s="250" t="s">
        <v>9328</v>
      </c>
      <c r="P2986" s="574">
        <v>1386</v>
      </c>
      <c r="Q2986" s="308">
        <v>45309</v>
      </c>
      <c r="R2986" s="1410"/>
      <c r="S2986" s="1410"/>
      <c r="U2986" s="328"/>
      <c r="V2986" s="308" t="s">
        <v>1969</v>
      </c>
      <c r="W2986" s="747">
        <v>42618</v>
      </c>
      <c r="X2986" s="750">
        <v>42515</v>
      </c>
      <c r="Y2986" s="250" t="s">
        <v>9329</v>
      </c>
      <c r="Z2986" s="1086">
        <v>45309</v>
      </c>
      <c r="AA2986" s="811">
        <v>42619</v>
      </c>
      <c r="AB2986" s="318" t="s">
        <v>9287</v>
      </c>
      <c r="AD2986" s="1091"/>
      <c r="AE2986" s="1091"/>
      <c r="AF2986" s="1091"/>
      <c r="AG2986" s="318" t="s">
        <v>283</v>
      </c>
    </row>
    <row r="2987" spans="1:33" ht="15.75" customHeight="1">
      <c r="A2987" s="256">
        <v>42509</v>
      </c>
      <c r="B2987" s="338" t="s">
        <v>76</v>
      </c>
      <c r="C2987" s="744">
        <v>467</v>
      </c>
      <c r="D2987" s="308" t="s">
        <v>9326</v>
      </c>
      <c r="E2987" s="571" t="s">
        <v>9330</v>
      </c>
      <c r="F2987" s="574">
        <v>8</v>
      </c>
      <c r="G2987" s="265">
        <v>17</v>
      </c>
      <c r="H2987" s="265">
        <f t="shared" si="185"/>
        <v>136</v>
      </c>
      <c r="I2987" s="254" t="s">
        <v>170</v>
      </c>
      <c r="J2987" s="267" t="s">
        <v>315</v>
      </c>
      <c r="K2987" s="811">
        <v>42516</v>
      </c>
      <c r="L2987" s="1477"/>
      <c r="M2987" s="256">
        <v>42514</v>
      </c>
      <c r="N2987" s="401" t="s">
        <v>1967</v>
      </c>
      <c r="O2987" s="250" t="s">
        <v>9328</v>
      </c>
      <c r="P2987" s="574">
        <v>108.96</v>
      </c>
      <c r="Q2987" s="308">
        <v>3570</v>
      </c>
      <c r="R2987" s="1410"/>
      <c r="S2987" s="1410"/>
      <c r="U2987" s="328"/>
      <c r="V2987" s="308" t="s">
        <v>1969</v>
      </c>
      <c r="W2987" s="747">
        <v>42618</v>
      </c>
      <c r="X2987" s="750">
        <v>42516</v>
      </c>
      <c r="Y2987" s="250" t="s">
        <v>9331</v>
      </c>
      <c r="Z2987" s="1086">
        <v>3570</v>
      </c>
      <c r="AA2987" s="811">
        <v>42619</v>
      </c>
      <c r="AB2987" s="318" t="s">
        <v>9287</v>
      </c>
      <c r="AD2987" s="1091"/>
      <c r="AE2987" s="1091"/>
      <c r="AF2987" s="1091"/>
      <c r="AG2987" s="318" t="s">
        <v>283</v>
      </c>
    </row>
    <row r="2988" spans="1:33" ht="15.75" customHeight="1">
      <c r="A2988" s="256">
        <v>42509</v>
      </c>
      <c r="B2988" s="338" t="s">
        <v>76</v>
      </c>
      <c r="C2988" s="744">
        <v>467</v>
      </c>
      <c r="D2988" s="308" t="s">
        <v>9326</v>
      </c>
      <c r="E2988" s="571" t="s">
        <v>9330</v>
      </c>
      <c r="F2988" s="574">
        <v>2</v>
      </c>
      <c r="G2988" s="265">
        <v>17</v>
      </c>
      <c r="H2988" s="265">
        <f t="shared" si="185"/>
        <v>34</v>
      </c>
      <c r="I2988" s="254" t="s">
        <v>170</v>
      </c>
      <c r="J2988" s="267" t="s">
        <v>315</v>
      </c>
      <c r="K2988" s="811">
        <v>42529</v>
      </c>
      <c r="L2988" s="1477"/>
      <c r="M2988" s="256">
        <v>42528</v>
      </c>
      <c r="N2988" s="401" t="s">
        <v>1967</v>
      </c>
      <c r="O2988" s="250" t="s">
        <v>9328</v>
      </c>
      <c r="P2988" s="574">
        <v>27.24</v>
      </c>
      <c r="Q2988" s="308">
        <v>884</v>
      </c>
      <c r="R2988" s="1410"/>
      <c r="S2988" s="1410"/>
      <c r="U2988" s="328"/>
      <c r="V2988" s="308" t="s">
        <v>1969</v>
      </c>
      <c r="W2988" s="747">
        <v>42618</v>
      </c>
      <c r="X2988" s="750">
        <v>42529</v>
      </c>
      <c r="Y2988" s="250" t="s">
        <v>9332</v>
      </c>
      <c r="Z2988" s="254">
        <v>884</v>
      </c>
      <c r="AA2988" s="811">
        <v>42619</v>
      </c>
      <c r="AB2988" s="318" t="s">
        <v>9322</v>
      </c>
      <c r="AD2988" s="1091"/>
      <c r="AE2988" s="1091"/>
      <c r="AF2988" s="1091"/>
      <c r="AG2988" s="318" t="s">
        <v>283</v>
      </c>
    </row>
    <row r="2989" spans="1:33" ht="15.75" customHeight="1">
      <c r="A2989" s="256">
        <v>42510</v>
      </c>
      <c r="B2989" s="571" t="s">
        <v>5981</v>
      </c>
      <c r="C2989" s="744">
        <v>7000121486</v>
      </c>
      <c r="D2989" s="308" t="s">
        <v>9333</v>
      </c>
      <c r="E2989" s="571" t="s">
        <v>6404</v>
      </c>
      <c r="F2989" s="574">
        <v>5</v>
      </c>
      <c r="G2989" s="265">
        <v>116</v>
      </c>
      <c r="H2989" s="265">
        <f t="shared" si="185"/>
        <v>580</v>
      </c>
      <c r="I2989" s="254" t="s">
        <v>170</v>
      </c>
      <c r="J2989" s="401" t="s">
        <v>3462</v>
      </c>
      <c r="K2989" s="256">
        <v>42516</v>
      </c>
      <c r="L2989" s="256"/>
      <c r="M2989" s="256">
        <v>42514</v>
      </c>
      <c r="N2989" s="331" t="s">
        <v>5935</v>
      </c>
      <c r="O2989" s="250" t="s">
        <v>9334</v>
      </c>
      <c r="P2989" s="574"/>
      <c r="Q2989" s="308">
        <v>17010</v>
      </c>
      <c r="R2989" s="1410"/>
      <c r="S2989" s="1410"/>
      <c r="U2989" s="328"/>
      <c r="V2989" s="318" t="s">
        <v>8443</v>
      </c>
      <c r="W2989" s="747">
        <v>42526</v>
      </c>
      <c r="X2989" s="750">
        <v>42514</v>
      </c>
      <c r="Y2989" s="250" t="s">
        <v>9335</v>
      </c>
      <c r="Z2989" s="1086">
        <v>17010</v>
      </c>
      <c r="AA2989" s="811">
        <v>42557</v>
      </c>
      <c r="AB2989" s="318" t="s">
        <v>9336</v>
      </c>
      <c r="AD2989" s="1091"/>
      <c r="AE2989" s="1091"/>
      <c r="AF2989" s="1091"/>
      <c r="AG2989" s="318" t="s">
        <v>283</v>
      </c>
    </row>
    <row r="2990" spans="1:33" ht="15.75" customHeight="1">
      <c r="A2990" s="256">
        <v>42513</v>
      </c>
      <c r="B2990" s="571" t="s">
        <v>100</v>
      </c>
      <c r="C2990" s="744" t="s">
        <v>9337</v>
      </c>
      <c r="D2990" s="308" t="s">
        <v>9338</v>
      </c>
      <c r="E2990" s="571" t="s">
        <v>9339</v>
      </c>
      <c r="F2990" s="574">
        <v>2</v>
      </c>
      <c r="G2990" s="265">
        <v>784</v>
      </c>
      <c r="H2990" s="265">
        <f t="shared" si="185"/>
        <v>1568</v>
      </c>
      <c r="I2990" s="254" t="s">
        <v>170</v>
      </c>
      <c r="J2990" s="756" t="s">
        <v>5810</v>
      </c>
      <c r="K2990" s="256">
        <v>42551</v>
      </c>
      <c r="L2990" s="256"/>
      <c r="M2990" s="256">
        <v>42551</v>
      </c>
      <c r="N2990" s="401" t="s">
        <v>9240</v>
      </c>
      <c r="O2990" s="250" t="s">
        <v>9340</v>
      </c>
      <c r="P2990" s="337"/>
      <c r="Q2990" s="328">
        <v>47238</v>
      </c>
      <c r="R2990" s="1407"/>
      <c r="S2990" s="1407"/>
      <c r="U2990" s="328"/>
      <c r="V2990" s="308" t="s">
        <v>9242</v>
      </c>
      <c r="W2990" s="1084">
        <v>42523</v>
      </c>
      <c r="X2990" s="750">
        <v>42550</v>
      </c>
      <c r="Y2990" s="250" t="s">
        <v>9341</v>
      </c>
      <c r="Z2990" s="1086">
        <v>47238</v>
      </c>
      <c r="AA2990" s="811">
        <v>42523</v>
      </c>
      <c r="AB2990" s="318" t="s">
        <v>9302</v>
      </c>
      <c r="AD2990" s="1091"/>
      <c r="AE2990" s="1091"/>
      <c r="AF2990" s="1091"/>
      <c r="AG2990" s="318" t="s">
        <v>283</v>
      </c>
    </row>
    <row r="2991" spans="1:33" ht="15.75" customHeight="1">
      <c r="A2991" s="256">
        <v>42513</v>
      </c>
      <c r="B2991" s="571" t="s">
        <v>100</v>
      </c>
      <c r="C2991" s="744" t="s">
        <v>9337</v>
      </c>
      <c r="D2991" s="308" t="s">
        <v>9342</v>
      </c>
      <c r="E2991" s="571" t="s">
        <v>9343</v>
      </c>
      <c r="F2991" s="574">
        <v>1</v>
      </c>
      <c r="G2991" s="265">
        <v>140</v>
      </c>
      <c r="H2991" s="265">
        <f t="shared" si="185"/>
        <v>140</v>
      </c>
      <c r="I2991" s="254" t="s">
        <v>170</v>
      </c>
      <c r="J2991" s="756" t="s">
        <v>5810</v>
      </c>
      <c r="K2991" s="256">
        <v>42551</v>
      </c>
      <c r="L2991" s="256"/>
      <c r="M2991" s="256"/>
      <c r="N2991" s="331" t="s">
        <v>1999</v>
      </c>
      <c r="O2991" s="250"/>
      <c r="P2991" s="574"/>
      <c r="Q2991" s="329" t="s">
        <v>9344</v>
      </c>
      <c r="R2991" s="1442"/>
      <c r="S2991" s="1442"/>
      <c r="U2991" s="328"/>
      <c r="V2991" s="308"/>
      <c r="W2991" s="747">
        <v>42586</v>
      </c>
      <c r="X2991" s="750">
        <v>42556</v>
      </c>
      <c r="Y2991" s="250" t="s">
        <v>9303</v>
      </c>
      <c r="Z2991" s="1086" t="s">
        <v>9345</v>
      </c>
      <c r="AA2991" s="811">
        <v>42592</v>
      </c>
      <c r="AB2991" s="1092"/>
      <c r="AD2991" s="1091"/>
      <c r="AE2991" s="1091"/>
      <c r="AF2991" s="1091"/>
      <c r="AG2991" s="318" t="s">
        <v>283</v>
      </c>
    </row>
    <row r="2992" spans="1:33" ht="15.75" customHeight="1">
      <c r="A2992" s="256">
        <v>42514</v>
      </c>
      <c r="B2992" s="571" t="s">
        <v>100</v>
      </c>
      <c r="C2992" s="744" t="s">
        <v>9346</v>
      </c>
      <c r="D2992" s="308" t="s">
        <v>9347</v>
      </c>
      <c r="E2992" s="597" t="s">
        <v>8591</v>
      </c>
      <c r="F2992" s="329">
        <v>10</v>
      </c>
      <c r="G2992" s="252">
        <v>141</v>
      </c>
      <c r="H2992" s="265">
        <f t="shared" si="185"/>
        <v>1410</v>
      </c>
      <c r="I2992" s="254" t="s">
        <v>170</v>
      </c>
      <c r="J2992" s="756" t="s">
        <v>5810</v>
      </c>
      <c r="K2992" s="256">
        <v>42537</v>
      </c>
      <c r="L2992" s="256"/>
      <c r="M2992" s="256">
        <v>42535</v>
      </c>
      <c r="N2992" s="331" t="s">
        <v>3432</v>
      </c>
      <c r="O2992" s="250" t="s">
        <v>9348</v>
      </c>
      <c r="P2992" s="574"/>
      <c r="Q2992" s="308">
        <v>45392</v>
      </c>
      <c r="R2992" s="1410"/>
      <c r="S2992" s="1410"/>
      <c r="U2992" s="328"/>
      <c r="V2992" s="318" t="s">
        <v>8443</v>
      </c>
      <c r="W2992" s="747">
        <v>42587</v>
      </c>
      <c r="X2992" s="750">
        <v>42536</v>
      </c>
      <c r="Y2992" s="250" t="s">
        <v>9349</v>
      </c>
      <c r="Z2992" s="1086">
        <v>45392</v>
      </c>
      <c r="AA2992" s="811">
        <v>42586</v>
      </c>
      <c r="AB2992" s="318" t="s">
        <v>9350</v>
      </c>
      <c r="AD2992" s="1091"/>
      <c r="AE2992" s="1091"/>
      <c r="AF2992" s="1091"/>
      <c r="AG2992" s="318" t="s">
        <v>283</v>
      </c>
    </row>
    <row r="2993" spans="1:33" ht="15.75" customHeight="1">
      <c r="A2993" s="256">
        <v>42515</v>
      </c>
      <c r="B2993" s="597" t="s">
        <v>8751</v>
      </c>
      <c r="C2993" s="744">
        <v>7000121616</v>
      </c>
      <c r="D2993" s="308" t="s">
        <v>9351</v>
      </c>
      <c r="E2993" s="571" t="s">
        <v>9352</v>
      </c>
      <c r="F2993" s="574">
        <v>2</v>
      </c>
      <c r="G2993" s="265">
        <v>23.5</v>
      </c>
      <c r="H2993" s="265">
        <f t="shared" si="185"/>
        <v>47</v>
      </c>
      <c r="I2993" s="254" t="s">
        <v>170</v>
      </c>
      <c r="J2993" s="401" t="s">
        <v>3462</v>
      </c>
      <c r="K2993" s="811">
        <v>42523</v>
      </c>
      <c r="L2993" s="1477"/>
      <c r="M2993" s="256">
        <v>42521</v>
      </c>
      <c r="N2993" s="331" t="s">
        <v>3432</v>
      </c>
      <c r="O2993" s="250" t="s">
        <v>9353</v>
      </c>
      <c r="P2993" s="574"/>
      <c r="Q2993" s="308">
        <v>1344</v>
      </c>
      <c r="R2993" s="1410"/>
      <c r="S2993" s="1410"/>
      <c r="U2993" s="328"/>
      <c r="V2993" s="318" t="s">
        <v>8443</v>
      </c>
      <c r="W2993" s="747">
        <v>42556</v>
      </c>
      <c r="X2993" s="750">
        <v>42521</v>
      </c>
      <c r="Y2993" s="250" t="s">
        <v>9354</v>
      </c>
      <c r="Z2993" s="1086">
        <v>1344</v>
      </c>
      <c r="AA2993" s="811">
        <v>42557</v>
      </c>
      <c r="AB2993" s="318" t="s">
        <v>9355</v>
      </c>
      <c r="AD2993" s="1091"/>
      <c r="AE2993" s="1091"/>
      <c r="AF2993" s="1091"/>
      <c r="AG2993" s="318" t="s">
        <v>283</v>
      </c>
    </row>
    <row r="2994" spans="1:33" ht="15.75" customHeight="1">
      <c r="A2994" s="594">
        <v>42340</v>
      </c>
      <c r="B2994" s="597" t="s">
        <v>100</v>
      </c>
      <c r="C2994" s="328"/>
      <c r="D2994" s="328" t="s">
        <v>8460</v>
      </c>
      <c r="E2994" s="597" t="s">
        <v>9356</v>
      </c>
      <c r="F2994" s="328">
        <v>5</v>
      </c>
      <c r="G2994" s="328">
        <v>1166</v>
      </c>
      <c r="H2994" s="1027">
        <f>F2994*G2994</f>
        <v>5830</v>
      </c>
      <c r="I2994" s="254" t="s">
        <v>170</v>
      </c>
      <c r="J2994" s="756" t="s">
        <v>8461</v>
      </c>
      <c r="K2994" s="256">
        <v>42380</v>
      </c>
      <c r="L2994" s="256"/>
      <c r="M2994" s="256">
        <v>42377</v>
      </c>
      <c r="N2994" s="367" t="s">
        <v>2001</v>
      </c>
      <c r="O2994" s="328" t="s">
        <v>9357</v>
      </c>
      <c r="P2994" s="328"/>
      <c r="Q2994" s="308">
        <v>189525</v>
      </c>
      <c r="R2994" s="1410"/>
      <c r="S2994" s="1410"/>
      <c r="U2994" s="328"/>
      <c r="V2994" s="386" t="s">
        <v>5901</v>
      </c>
      <c r="W2994" s="573">
        <v>42434</v>
      </c>
      <c r="X2994" s="624">
        <v>42376</v>
      </c>
      <c r="Y2994" s="386" t="s">
        <v>9358</v>
      </c>
      <c r="Z2994" s="824">
        <v>189525</v>
      </c>
      <c r="AA2994" s="1090">
        <v>42436</v>
      </c>
      <c r="AB2994" s="386" t="s">
        <v>8554</v>
      </c>
      <c r="AD2994" s="1091"/>
      <c r="AE2994" s="1091"/>
      <c r="AF2994" s="1091"/>
      <c r="AG2994" s="1091" t="s">
        <v>283</v>
      </c>
    </row>
    <row r="2995" spans="1:33" ht="15.75" customHeight="1">
      <c r="A2995" s="256">
        <v>42516</v>
      </c>
      <c r="B2995" s="571" t="s">
        <v>100</v>
      </c>
      <c r="C2995" s="744" t="s">
        <v>9359</v>
      </c>
      <c r="D2995" s="308" t="s">
        <v>9360</v>
      </c>
      <c r="E2995" s="308" t="s">
        <v>6119</v>
      </c>
      <c r="F2995" s="574">
        <v>6</v>
      </c>
      <c r="G2995" s="265">
        <v>62</v>
      </c>
      <c r="H2995" s="265">
        <f t="shared" ref="H2995:H3010" si="186">G2995*F2995</f>
        <v>372</v>
      </c>
      <c r="I2995" s="254" t="s">
        <v>170</v>
      </c>
      <c r="J2995" s="756" t="s">
        <v>5810</v>
      </c>
      <c r="K2995" s="256">
        <v>42537</v>
      </c>
      <c r="L2995" s="256"/>
      <c r="M2995" s="264" t="s">
        <v>9361</v>
      </c>
      <c r="N2995" s="401" t="s">
        <v>6735</v>
      </c>
      <c r="O2995" s="250" t="s">
        <v>9362</v>
      </c>
      <c r="P2995" s="574"/>
      <c r="Q2995" s="308">
        <v>6187</v>
      </c>
      <c r="R2995" s="1410"/>
      <c r="S2995" s="1410"/>
      <c r="U2995" s="328"/>
      <c r="V2995" s="318" t="s">
        <v>2126</v>
      </c>
      <c r="W2995" s="624"/>
      <c r="X2995" s="750">
        <v>42528</v>
      </c>
      <c r="Y2995" s="250" t="s">
        <v>9363</v>
      </c>
      <c r="Z2995" s="1086">
        <v>6187</v>
      </c>
      <c r="AA2995" s="811">
        <v>42527</v>
      </c>
      <c r="AB2995" s="318" t="s">
        <v>9350</v>
      </c>
      <c r="AD2995" s="1091"/>
      <c r="AE2995" s="1091"/>
      <c r="AF2995" s="1091"/>
      <c r="AG2995" s="318" t="s">
        <v>283</v>
      </c>
    </row>
    <row r="2996" spans="1:33" ht="15.75" customHeight="1">
      <c r="A2996" s="256">
        <v>42516</v>
      </c>
      <c r="B2996" s="571" t="s">
        <v>100</v>
      </c>
      <c r="C2996" s="744" t="s">
        <v>9359</v>
      </c>
      <c r="D2996" s="308" t="s">
        <v>9360</v>
      </c>
      <c r="E2996" s="744" t="s">
        <v>9364</v>
      </c>
      <c r="F2996" s="574">
        <v>1</v>
      </c>
      <c r="G2996" s="265">
        <v>169</v>
      </c>
      <c r="H2996" s="265">
        <f t="shared" si="186"/>
        <v>169</v>
      </c>
      <c r="I2996" s="254" t="s">
        <v>170</v>
      </c>
      <c r="J2996" s="756" t="s">
        <v>5810</v>
      </c>
      <c r="K2996" s="256">
        <v>42537</v>
      </c>
      <c r="L2996" s="256"/>
      <c r="M2996" s="256"/>
      <c r="N2996" s="401"/>
      <c r="O2996" s="250"/>
      <c r="P2996" s="574"/>
      <c r="Q2996" s="328">
        <v>4934</v>
      </c>
      <c r="R2996" s="1407"/>
      <c r="S2996" s="1407"/>
      <c r="U2996" s="328"/>
      <c r="V2996" s="308"/>
      <c r="W2996" s="747">
        <v>42575</v>
      </c>
      <c r="X2996" s="1083">
        <v>42545</v>
      </c>
      <c r="Y2996" s="318" t="s">
        <v>9365</v>
      </c>
      <c r="Z2996" s="1086">
        <v>4934</v>
      </c>
      <c r="AA2996" s="811">
        <v>42563</v>
      </c>
      <c r="AB2996" s="318" t="s">
        <v>9350</v>
      </c>
      <c r="AD2996" s="1091"/>
      <c r="AE2996" s="1091"/>
      <c r="AF2996" s="1091"/>
      <c r="AG2996" s="318" t="s">
        <v>283</v>
      </c>
    </row>
    <row r="2997" spans="1:33" ht="15.75" customHeight="1">
      <c r="A2997" s="256">
        <v>42516</v>
      </c>
      <c r="B2997" s="571" t="s">
        <v>8502</v>
      </c>
      <c r="C2997" s="744" t="s">
        <v>9366</v>
      </c>
      <c r="D2997" s="308" t="s">
        <v>9367</v>
      </c>
      <c r="E2997" s="328" t="s">
        <v>8505</v>
      </c>
      <c r="F2997" s="574">
        <v>1</v>
      </c>
      <c r="G2997" s="265">
        <v>101.85</v>
      </c>
      <c r="H2997" s="265">
        <f t="shared" si="186"/>
        <v>101.85</v>
      </c>
      <c r="I2997" s="264" t="s">
        <v>42</v>
      </c>
      <c r="J2997" s="401" t="s">
        <v>89</v>
      </c>
      <c r="K2997" s="256">
        <v>42528</v>
      </c>
      <c r="L2997" s="256"/>
      <c r="M2997" s="256"/>
      <c r="N2997" s="401" t="s">
        <v>89</v>
      </c>
      <c r="O2997" s="250" t="s">
        <v>9368</v>
      </c>
      <c r="P2997" s="574">
        <v>89.25</v>
      </c>
      <c r="Q2997" s="328"/>
      <c r="R2997" s="1407"/>
      <c r="S2997" s="1407"/>
      <c r="U2997" s="328"/>
      <c r="V2997" s="308" t="s">
        <v>5896</v>
      </c>
      <c r="W2997" s="1051">
        <v>42590</v>
      </c>
      <c r="X2997" s="750">
        <v>42524</v>
      </c>
      <c r="Y2997" s="250" t="s">
        <v>9369</v>
      </c>
      <c r="Z2997" s="1086">
        <v>2909</v>
      </c>
      <c r="AA2997" s="811">
        <v>42590</v>
      </c>
      <c r="AB2997" s="318" t="s">
        <v>9370</v>
      </c>
      <c r="AD2997" s="308" t="s">
        <v>9371</v>
      </c>
      <c r="AE2997" s="1097">
        <v>3299</v>
      </c>
      <c r="AF2997" s="386" t="s">
        <v>9372</v>
      </c>
      <c r="AG2997" s="1092"/>
    </row>
    <row r="2998" spans="1:33" ht="15.75" customHeight="1">
      <c r="A2998" s="256">
        <v>42527</v>
      </c>
      <c r="B2998" s="597" t="s">
        <v>629</v>
      </c>
      <c r="C2998" s="744" t="s">
        <v>9373</v>
      </c>
      <c r="D2998" s="308" t="s">
        <v>9374</v>
      </c>
      <c r="E2998" s="597" t="s">
        <v>5925</v>
      </c>
      <c r="F2998" s="329">
        <v>125</v>
      </c>
      <c r="G2998" s="329">
        <v>109.2</v>
      </c>
      <c r="H2998" s="265">
        <f t="shared" si="186"/>
        <v>13650</v>
      </c>
      <c r="I2998" s="254" t="s">
        <v>170</v>
      </c>
      <c r="J2998" s="401" t="s">
        <v>89</v>
      </c>
      <c r="K2998" s="256">
        <v>42565</v>
      </c>
      <c r="L2998" s="256"/>
      <c r="M2998" s="256"/>
      <c r="N2998" s="401" t="s">
        <v>89</v>
      </c>
      <c r="O2998" s="250" t="s">
        <v>9375</v>
      </c>
      <c r="P2998" s="1027">
        <v>11773.125</v>
      </c>
      <c r="Q2998" s="328"/>
      <c r="R2998" s="1407"/>
      <c r="S2998" s="1407"/>
      <c r="U2998" s="328"/>
      <c r="V2998" s="308" t="s">
        <v>5896</v>
      </c>
      <c r="W2998" s="747">
        <v>42618</v>
      </c>
      <c r="X2998" s="750">
        <v>42565</v>
      </c>
      <c r="Y2998" s="318" t="s">
        <v>9376</v>
      </c>
      <c r="Z2998" s="1086">
        <v>379271</v>
      </c>
      <c r="AA2998" s="811">
        <v>42608</v>
      </c>
      <c r="AB2998" s="318" t="s">
        <v>9377</v>
      </c>
      <c r="AD2998" s="386" t="s">
        <v>9378</v>
      </c>
      <c r="AE2998" s="1097">
        <v>651553</v>
      </c>
      <c r="AF2998" s="386" t="s">
        <v>8968</v>
      </c>
      <c r="AG2998" s="1092"/>
    </row>
    <row r="2999" spans="1:33" ht="15.75" customHeight="1">
      <c r="A2999" s="256">
        <v>42527</v>
      </c>
      <c r="B2999" s="571" t="s">
        <v>6565</v>
      </c>
      <c r="C2999" s="744">
        <v>36710</v>
      </c>
      <c r="D2999" s="308" t="s">
        <v>9379</v>
      </c>
      <c r="E2999" s="571" t="s">
        <v>4616</v>
      </c>
      <c r="F2999" s="574">
        <v>17</v>
      </c>
      <c r="G2999" s="265">
        <v>90</v>
      </c>
      <c r="H2999" s="265">
        <f t="shared" si="186"/>
        <v>1530</v>
      </c>
      <c r="I2999" s="254" t="s">
        <v>3315</v>
      </c>
      <c r="J2999" s="331" t="s">
        <v>6567</v>
      </c>
      <c r="K2999" s="256">
        <v>42537</v>
      </c>
      <c r="L2999" s="256"/>
      <c r="M2999" s="256">
        <v>42535</v>
      </c>
      <c r="N2999" s="401" t="s">
        <v>89</v>
      </c>
      <c r="O2999" s="250" t="s">
        <v>9380</v>
      </c>
      <c r="P2999" s="574">
        <v>1410.15</v>
      </c>
      <c r="Q2999" s="328"/>
      <c r="R2999" s="1407"/>
      <c r="S2999" s="1407"/>
      <c r="U2999" s="328"/>
      <c r="V2999" s="308" t="s">
        <v>5896</v>
      </c>
      <c r="W2999" s="747">
        <v>42590</v>
      </c>
      <c r="X2999" s="750">
        <v>42534</v>
      </c>
      <c r="Y2999" s="250" t="s">
        <v>9381</v>
      </c>
      <c r="Z2999" s="996">
        <v>45731</v>
      </c>
      <c r="AA2999" s="811">
        <v>42590</v>
      </c>
      <c r="AB2999" s="318" t="s">
        <v>9382</v>
      </c>
      <c r="AD2999" s="1091"/>
      <c r="AE2999" s="1091"/>
      <c r="AF2999" s="1091"/>
      <c r="AG2999" s="318" t="s">
        <v>283</v>
      </c>
    </row>
    <row r="3000" spans="1:33" ht="15.75" customHeight="1">
      <c r="A3000" s="256">
        <v>42534</v>
      </c>
      <c r="B3000" s="571" t="s">
        <v>5800</v>
      </c>
      <c r="C3000" s="744"/>
      <c r="D3000" s="308" t="s">
        <v>9383</v>
      </c>
      <c r="E3000" s="571" t="s">
        <v>5817</v>
      </c>
      <c r="F3000" s="574">
        <v>2</v>
      </c>
      <c r="G3000" s="265">
        <v>465</v>
      </c>
      <c r="H3000" s="265">
        <f t="shared" si="186"/>
        <v>930</v>
      </c>
      <c r="I3000" s="254" t="s">
        <v>170</v>
      </c>
      <c r="J3000" s="401" t="s">
        <v>5810</v>
      </c>
      <c r="K3000" s="977">
        <v>42555</v>
      </c>
      <c r="L3000" s="977"/>
      <c r="M3000" s="256">
        <v>42538</v>
      </c>
      <c r="N3000" s="401" t="s">
        <v>5818</v>
      </c>
      <c r="O3000" s="250" t="s">
        <v>5819</v>
      </c>
      <c r="P3000" s="574"/>
      <c r="Q3000" s="308">
        <v>27300</v>
      </c>
      <c r="R3000" s="1410"/>
      <c r="S3000" s="1410"/>
      <c r="U3000" s="328"/>
      <c r="V3000" s="308" t="s">
        <v>5820</v>
      </c>
      <c r="W3000" s="624"/>
      <c r="X3000" s="750">
        <v>42537</v>
      </c>
      <c r="Y3000" s="250" t="s">
        <v>9384</v>
      </c>
      <c r="Z3000" s="1086">
        <v>40950</v>
      </c>
      <c r="AA3000" s="811">
        <v>42534</v>
      </c>
      <c r="AB3000" s="318" t="s">
        <v>5836</v>
      </c>
      <c r="AD3000" s="1091"/>
      <c r="AE3000" s="1091"/>
      <c r="AF3000" s="1091"/>
      <c r="AG3000" s="1091" t="s">
        <v>283</v>
      </c>
    </row>
    <row r="3001" spans="1:33" ht="15.75" customHeight="1">
      <c r="A3001" s="256">
        <v>42534</v>
      </c>
      <c r="B3001" s="571" t="s">
        <v>5800</v>
      </c>
      <c r="C3001" s="744"/>
      <c r="D3001" s="308" t="s">
        <v>9383</v>
      </c>
      <c r="E3001" s="571" t="s">
        <v>5821</v>
      </c>
      <c r="F3001" s="574">
        <v>1</v>
      </c>
      <c r="G3001" s="265">
        <v>501</v>
      </c>
      <c r="H3001" s="265">
        <f t="shared" si="186"/>
        <v>501</v>
      </c>
      <c r="I3001" s="254" t="s">
        <v>170</v>
      </c>
      <c r="J3001" s="401" t="s">
        <v>5810</v>
      </c>
      <c r="K3001" s="977">
        <v>42555</v>
      </c>
      <c r="L3001" s="977"/>
      <c r="M3001" s="256">
        <v>42541</v>
      </c>
      <c r="N3001" s="401" t="s">
        <v>5822</v>
      </c>
      <c r="O3001" s="250" t="s">
        <v>5823</v>
      </c>
      <c r="P3001" s="574"/>
      <c r="Q3001" s="308">
        <v>14737</v>
      </c>
      <c r="R3001" s="1410"/>
      <c r="S3001" s="1410"/>
      <c r="U3001" s="328"/>
      <c r="V3001" s="308" t="s">
        <v>5824</v>
      </c>
      <c r="W3001" s="624"/>
      <c r="X3001" s="750">
        <v>42538</v>
      </c>
      <c r="Y3001" s="250" t="s">
        <v>9385</v>
      </c>
      <c r="Z3001" s="1086">
        <v>29475</v>
      </c>
      <c r="AA3001" s="811">
        <v>42535</v>
      </c>
      <c r="AB3001" s="318" t="s">
        <v>5836</v>
      </c>
      <c r="AD3001" s="1091"/>
      <c r="AE3001" s="1091"/>
      <c r="AF3001" s="1091"/>
      <c r="AG3001" s="1091" t="s">
        <v>283</v>
      </c>
    </row>
    <row r="3002" spans="1:33" ht="15.75" customHeight="1">
      <c r="A3002" s="256">
        <v>42534</v>
      </c>
      <c r="B3002" s="571" t="s">
        <v>5800</v>
      </c>
      <c r="C3002" s="744"/>
      <c r="D3002" s="308" t="s">
        <v>9383</v>
      </c>
      <c r="E3002" s="571" t="s">
        <v>9386</v>
      </c>
      <c r="F3002" s="574">
        <v>4</v>
      </c>
      <c r="G3002" s="265">
        <v>111</v>
      </c>
      <c r="H3002" s="265">
        <f t="shared" si="186"/>
        <v>444</v>
      </c>
      <c r="I3002" s="254" t="s">
        <v>170</v>
      </c>
      <c r="J3002" s="401" t="s">
        <v>5810</v>
      </c>
      <c r="K3002" s="977">
        <v>42555</v>
      </c>
      <c r="L3002" s="977"/>
      <c r="M3002" s="256">
        <v>42549</v>
      </c>
      <c r="N3002" s="401" t="s">
        <v>2124</v>
      </c>
      <c r="O3002" s="250" t="s">
        <v>9387</v>
      </c>
      <c r="P3002" s="574"/>
      <c r="Q3002" s="308">
        <v>13364</v>
      </c>
      <c r="R3002" s="1410"/>
      <c r="S3002" s="1410"/>
      <c r="U3002" s="328"/>
      <c r="V3002" s="308" t="s">
        <v>2126</v>
      </c>
      <c r="W3002" s="624"/>
      <c r="X3002" s="750">
        <v>42548</v>
      </c>
      <c r="Y3002" s="250" t="s">
        <v>9388</v>
      </c>
      <c r="Z3002" s="1086">
        <v>28384</v>
      </c>
      <c r="AA3002" s="811">
        <v>42544</v>
      </c>
      <c r="AB3002" s="318" t="s">
        <v>5836</v>
      </c>
      <c r="AD3002" s="1091"/>
      <c r="AE3002" s="1091"/>
      <c r="AF3002" s="1091"/>
      <c r="AG3002" s="1091" t="s">
        <v>283</v>
      </c>
    </row>
    <row r="3003" spans="1:33" ht="15.75" customHeight="1">
      <c r="A3003" s="256">
        <v>42534</v>
      </c>
      <c r="B3003" s="571" t="s">
        <v>5800</v>
      </c>
      <c r="C3003" s="744"/>
      <c r="D3003" s="308" t="s">
        <v>9383</v>
      </c>
      <c r="E3003" s="571" t="s">
        <v>9389</v>
      </c>
      <c r="F3003" s="574">
        <v>6</v>
      </c>
      <c r="G3003" s="265">
        <v>84.5</v>
      </c>
      <c r="H3003" s="265">
        <f t="shared" si="186"/>
        <v>507</v>
      </c>
      <c r="I3003" s="254" t="s">
        <v>170</v>
      </c>
      <c r="J3003" s="401" t="s">
        <v>5810</v>
      </c>
      <c r="K3003" s="977">
        <v>42555</v>
      </c>
      <c r="L3003" s="977"/>
      <c r="M3003" s="256">
        <v>42549</v>
      </c>
      <c r="N3003" s="401" t="s">
        <v>2124</v>
      </c>
      <c r="O3003" s="250" t="s">
        <v>9387</v>
      </c>
      <c r="P3003" s="574"/>
      <c r="Q3003" s="308">
        <v>15020</v>
      </c>
      <c r="R3003" s="1410"/>
      <c r="S3003" s="1410"/>
      <c r="U3003" s="328"/>
      <c r="V3003" s="318" t="s">
        <v>2126</v>
      </c>
      <c r="W3003" s="624"/>
      <c r="X3003" s="750">
        <v>42548</v>
      </c>
      <c r="Y3003" s="250" t="s">
        <v>9388</v>
      </c>
      <c r="Z3003" s="1086" t="s">
        <v>9390</v>
      </c>
      <c r="AA3003" s="811">
        <v>42544</v>
      </c>
      <c r="AB3003" s="318" t="s">
        <v>5836</v>
      </c>
      <c r="AD3003" s="1091"/>
      <c r="AE3003" s="1091"/>
      <c r="AF3003" s="1091"/>
      <c r="AG3003" s="1091" t="s">
        <v>283</v>
      </c>
    </row>
    <row r="3004" spans="1:33" ht="15.75" customHeight="1">
      <c r="A3004" s="256">
        <v>42534</v>
      </c>
      <c r="B3004" s="571" t="s">
        <v>5800</v>
      </c>
      <c r="C3004" s="744"/>
      <c r="D3004" s="308" t="s">
        <v>9383</v>
      </c>
      <c r="E3004" s="571" t="s">
        <v>9391</v>
      </c>
      <c r="F3004" s="574">
        <v>4</v>
      </c>
      <c r="G3004" s="265">
        <v>86</v>
      </c>
      <c r="H3004" s="265">
        <f t="shared" si="186"/>
        <v>344</v>
      </c>
      <c r="I3004" s="254" t="s">
        <v>170</v>
      </c>
      <c r="J3004" s="401" t="s">
        <v>5810</v>
      </c>
      <c r="K3004" s="977">
        <v>42555</v>
      </c>
      <c r="L3004" s="977"/>
      <c r="M3004" s="256">
        <v>42550</v>
      </c>
      <c r="N3004" s="401" t="s">
        <v>9392</v>
      </c>
      <c r="O3004" s="250" t="s">
        <v>9393</v>
      </c>
      <c r="P3004" s="574"/>
      <c r="Q3004" s="308">
        <v>10210</v>
      </c>
      <c r="R3004" s="1410"/>
      <c r="S3004" s="1410"/>
      <c r="U3004" s="328"/>
      <c r="V3004" s="318" t="s">
        <v>2089</v>
      </c>
      <c r="W3004" s="624"/>
      <c r="X3004" s="750">
        <v>42549</v>
      </c>
      <c r="Y3004" s="250" t="s">
        <v>9394</v>
      </c>
      <c r="Z3004" s="1086">
        <v>10210</v>
      </c>
      <c r="AA3004" s="811">
        <v>42544</v>
      </c>
      <c r="AB3004" s="318" t="s">
        <v>5836</v>
      </c>
      <c r="AD3004" s="1091"/>
      <c r="AE3004" s="1091"/>
      <c r="AF3004" s="1091"/>
      <c r="AG3004" s="1091" t="s">
        <v>283</v>
      </c>
    </row>
    <row r="3005" spans="1:33" ht="15.75" customHeight="1">
      <c r="A3005" s="256">
        <v>42534</v>
      </c>
      <c r="B3005" s="571" t="s">
        <v>5800</v>
      </c>
      <c r="C3005" s="744"/>
      <c r="D3005" s="308" t="s">
        <v>9383</v>
      </c>
      <c r="E3005" s="571" t="s">
        <v>9395</v>
      </c>
      <c r="F3005" s="574">
        <v>6</v>
      </c>
      <c r="G3005" s="265">
        <v>59</v>
      </c>
      <c r="H3005" s="265">
        <f t="shared" si="186"/>
        <v>354</v>
      </c>
      <c r="I3005" s="254" t="s">
        <v>170</v>
      </c>
      <c r="J3005" s="401" t="s">
        <v>5810</v>
      </c>
      <c r="K3005" s="977">
        <v>42555</v>
      </c>
      <c r="L3005" s="977"/>
      <c r="M3005" s="256">
        <v>42549</v>
      </c>
      <c r="N3005" s="401" t="s">
        <v>9396</v>
      </c>
      <c r="O3005" s="250" t="s">
        <v>9397</v>
      </c>
      <c r="P3005" s="574"/>
      <c r="Q3005" s="308">
        <v>10395</v>
      </c>
      <c r="R3005" s="1410"/>
      <c r="S3005" s="1410"/>
      <c r="U3005" s="328"/>
      <c r="V3005" s="308" t="s">
        <v>9398</v>
      </c>
      <c r="W3005" s="624"/>
      <c r="X3005" s="750">
        <v>42545</v>
      </c>
      <c r="Y3005" s="250" t="s">
        <v>9399</v>
      </c>
      <c r="Z3005" s="1086">
        <v>10395</v>
      </c>
      <c r="AA3005" s="811">
        <v>42544</v>
      </c>
      <c r="AB3005" s="318" t="s">
        <v>5836</v>
      </c>
      <c r="AD3005" s="1091"/>
      <c r="AE3005" s="1091"/>
      <c r="AF3005" s="1091"/>
      <c r="AG3005" s="1091" t="s">
        <v>283</v>
      </c>
    </row>
    <row r="3006" spans="1:33" ht="15.75" customHeight="1">
      <c r="A3006" s="256">
        <v>42534</v>
      </c>
      <c r="B3006" s="338" t="s">
        <v>76</v>
      </c>
      <c r="C3006" s="744">
        <v>548</v>
      </c>
      <c r="D3006" s="308" t="s">
        <v>9400</v>
      </c>
      <c r="E3006" s="571" t="s">
        <v>9401</v>
      </c>
      <c r="F3006" s="574">
        <v>1</v>
      </c>
      <c r="G3006" s="265">
        <v>106</v>
      </c>
      <c r="H3006" s="265">
        <f t="shared" si="186"/>
        <v>106</v>
      </c>
      <c r="I3006" s="254" t="s">
        <v>170</v>
      </c>
      <c r="J3006" s="401" t="s">
        <v>6506</v>
      </c>
      <c r="K3006" s="256">
        <v>42544</v>
      </c>
      <c r="L3006" s="256"/>
      <c r="M3006" s="256">
        <v>42542</v>
      </c>
      <c r="N3006" s="401" t="s">
        <v>3330</v>
      </c>
      <c r="O3006" s="250" t="s">
        <v>9402</v>
      </c>
      <c r="P3006" s="574"/>
      <c r="Q3006" s="308">
        <v>3266</v>
      </c>
      <c r="R3006" s="1410"/>
      <c r="S3006" s="1410"/>
      <c r="U3006" s="328"/>
      <c r="V3006" s="328" t="s">
        <v>8822</v>
      </c>
      <c r="W3006" s="624"/>
      <c r="X3006" s="750">
        <v>42542</v>
      </c>
      <c r="Y3006" s="250" t="s">
        <v>9403</v>
      </c>
      <c r="Z3006" s="1086">
        <v>3266</v>
      </c>
      <c r="AA3006" s="811">
        <v>42557</v>
      </c>
      <c r="AB3006" s="318" t="s">
        <v>9404</v>
      </c>
      <c r="AD3006" s="1091"/>
      <c r="AE3006" s="1091"/>
      <c r="AF3006" s="1091"/>
      <c r="AG3006" s="318" t="s">
        <v>283</v>
      </c>
    </row>
    <row r="3007" spans="1:33" ht="15.75" customHeight="1">
      <c r="A3007" s="256">
        <v>42534</v>
      </c>
      <c r="B3007" s="571" t="s">
        <v>415</v>
      </c>
      <c r="C3007" s="744" t="s">
        <v>9405</v>
      </c>
      <c r="D3007" s="308" t="s">
        <v>9406</v>
      </c>
      <c r="E3007" s="571" t="s">
        <v>3430</v>
      </c>
      <c r="F3007" s="574">
        <v>5</v>
      </c>
      <c r="G3007" s="265">
        <v>352</v>
      </c>
      <c r="H3007" s="265">
        <f t="shared" si="186"/>
        <v>1760</v>
      </c>
      <c r="I3007" s="254" t="s">
        <v>170</v>
      </c>
      <c r="J3007" s="331" t="s">
        <v>9407</v>
      </c>
      <c r="K3007" s="256">
        <v>42555</v>
      </c>
      <c r="L3007" s="256"/>
      <c r="M3007" s="256">
        <v>42545</v>
      </c>
      <c r="N3007" s="331" t="s">
        <v>3432</v>
      </c>
      <c r="O3007" s="250" t="s">
        <v>9408</v>
      </c>
      <c r="P3007" s="574"/>
      <c r="Q3007" s="308">
        <v>52006</v>
      </c>
      <c r="R3007" s="1410"/>
      <c r="S3007" s="1410"/>
      <c r="U3007" s="328"/>
      <c r="V3007" s="318" t="s">
        <v>8443</v>
      </c>
      <c r="W3007" s="747">
        <v>42587</v>
      </c>
      <c r="X3007" s="750">
        <v>42536</v>
      </c>
      <c r="Y3007" s="250" t="s">
        <v>9409</v>
      </c>
      <c r="Z3007" s="1125" t="s">
        <v>9410</v>
      </c>
      <c r="AA3007" s="811">
        <v>42586</v>
      </c>
      <c r="AB3007" s="318" t="s">
        <v>9411</v>
      </c>
      <c r="AD3007" s="1091"/>
      <c r="AE3007" s="1091"/>
      <c r="AF3007" s="1091"/>
      <c r="AG3007" s="1092" t="s">
        <v>8415</v>
      </c>
    </row>
    <row r="3008" spans="1:33" ht="15.75" customHeight="1">
      <c r="A3008" s="256">
        <v>42534</v>
      </c>
      <c r="B3008" s="571" t="s">
        <v>415</v>
      </c>
      <c r="C3008" s="744" t="s">
        <v>9405</v>
      </c>
      <c r="D3008" s="308" t="s">
        <v>9406</v>
      </c>
      <c r="E3008" s="571" t="s">
        <v>9412</v>
      </c>
      <c r="F3008" s="574">
        <v>6</v>
      </c>
      <c r="G3008" s="265">
        <v>60</v>
      </c>
      <c r="H3008" s="265">
        <f t="shared" si="186"/>
        <v>360</v>
      </c>
      <c r="I3008" s="254" t="s">
        <v>170</v>
      </c>
      <c r="J3008" s="331" t="s">
        <v>9407</v>
      </c>
      <c r="K3008" s="256">
        <v>42555</v>
      </c>
      <c r="L3008" s="256"/>
      <c r="M3008" s="256">
        <v>42549</v>
      </c>
      <c r="N3008" s="331" t="s">
        <v>2051</v>
      </c>
      <c r="O3008" s="250" t="s">
        <v>9413</v>
      </c>
      <c r="P3008" s="574"/>
      <c r="Q3008" s="308">
        <v>7560</v>
      </c>
      <c r="R3008" s="1410"/>
      <c r="S3008" s="1410"/>
      <c r="U3008" s="328"/>
      <c r="V3008" s="386" t="s">
        <v>9414</v>
      </c>
      <c r="W3008" s="624"/>
      <c r="X3008" s="750">
        <v>42550</v>
      </c>
      <c r="Y3008" s="250" t="s">
        <v>9415</v>
      </c>
      <c r="Z3008" s="1086">
        <v>7560</v>
      </c>
      <c r="AA3008" s="811">
        <v>42544</v>
      </c>
      <c r="AB3008" s="318" t="s">
        <v>9411</v>
      </c>
      <c r="AD3008" s="1091"/>
      <c r="AE3008" s="1091"/>
      <c r="AF3008" s="1091"/>
      <c r="AG3008" s="1092" t="s">
        <v>8415</v>
      </c>
    </row>
    <row r="3009" spans="1:33" ht="15.75" customHeight="1">
      <c r="A3009" s="256">
        <v>42534</v>
      </c>
      <c r="B3009" s="571" t="s">
        <v>415</v>
      </c>
      <c r="C3009" s="744" t="s">
        <v>9405</v>
      </c>
      <c r="D3009" s="308" t="s">
        <v>9416</v>
      </c>
      <c r="E3009" s="571" t="s">
        <v>3430</v>
      </c>
      <c r="F3009" s="574">
        <v>1</v>
      </c>
      <c r="G3009" s="265">
        <v>352</v>
      </c>
      <c r="H3009" s="265">
        <f t="shared" si="186"/>
        <v>352</v>
      </c>
      <c r="I3009" s="254" t="s">
        <v>170</v>
      </c>
      <c r="J3009" s="331" t="s">
        <v>8948</v>
      </c>
      <c r="K3009" s="256">
        <v>42604</v>
      </c>
      <c r="L3009" s="256"/>
      <c r="M3009" s="256">
        <v>42600</v>
      </c>
      <c r="N3009" s="331" t="s">
        <v>3432</v>
      </c>
      <c r="O3009" s="250" t="s">
        <v>9408</v>
      </c>
      <c r="P3009" s="574"/>
      <c r="Q3009" s="308">
        <v>10401</v>
      </c>
      <c r="R3009" s="1410"/>
      <c r="S3009" s="1410"/>
      <c r="U3009" s="328"/>
      <c r="V3009" s="318" t="s">
        <v>8443</v>
      </c>
      <c r="W3009" s="747">
        <v>42648</v>
      </c>
      <c r="X3009" s="750">
        <v>42599</v>
      </c>
      <c r="Y3009" s="250" t="s">
        <v>9417</v>
      </c>
      <c r="Z3009" s="1086">
        <v>10401</v>
      </c>
      <c r="AA3009" s="811">
        <v>42634</v>
      </c>
      <c r="AB3009" s="318" t="s">
        <v>9418</v>
      </c>
      <c r="AD3009" s="1091"/>
      <c r="AE3009" s="1091"/>
      <c r="AF3009" s="1091"/>
      <c r="AG3009" s="1092" t="s">
        <v>8415</v>
      </c>
    </row>
    <row r="3010" spans="1:33" ht="15.75" customHeight="1">
      <c r="A3010" s="256">
        <v>42534</v>
      </c>
      <c r="B3010" s="571" t="s">
        <v>4903</v>
      </c>
      <c r="C3010" s="744" t="s">
        <v>9006</v>
      </c>
      <c r="D3010" s="308" t="s">
        <v>9007</v>
      </c>
      <c r="E3010" s="571" t="s">
        <v>9419</v>
      </c>
      <c r="F3010" s="574">
        <v>32</v>
      </c>
      <c r="G3010" s="265">
        <v>129</v>
      </c>
      <c r="H3010" s="265">
        <f t="shared" si="186"/>
        <v>4128</v>
      </c>
      <c r="I3010" s="254" t="s">
        <v>3315</v>
      </c>
      <c r="J3010" s="331" t="s">
        <v>8438</v>
      </c>
      <c r="K3010" s="256">
        <v>42604</v>
      </c>
      <c r="L3010" s="256"/>
      <c r="M3010" s="256">
        <v>42569</v>
      </c>
      <c r="N3010" s="401" t="s">
        <v>3432</v>
      </c>
      <c r="O3010" s="250" t="s">
        <v>9420</v>
      </c>
      <c r="P3010" s="574"/>
      <c r="Q3010" s="308">
        <v>124925</v>
      </c>
      <c r="R3010" s="1410"/>
      <c r="S3010" s="1410"/>
      <c r="U3010" s="328"/>
      <c r="V3010" s="308" t="s">
        <v>8443</v>
      </c>
      <c r="W3010" s="747">
        <v>42597</v>
      </c>
      <c r="X3010" s="750">
        <v>42566</v>
      </c>
      <c r="Y3010" s="250" t="s">
        <v>9421</v>
      </c>
      <c r="Z3010" s="1086">
        <v>124925</v>
      </c>
      <c r="AA3010" s="811"/>
      <c r="AB3010" s="318" t="s">
        <v>9011</v>
      </c>
      <c r="AD3010" s="1091"/>
      <c r="AE3010" s="1091"/>
      <c r="AF3010" s="1091"/>
      <c r="AG3010" s="318" t="s">
        <v>283</v>
      </c>
    </row>
    <row r="3011" spans="1:33" ht="15.75" customHeight="1">
      <c r="A3011" s="594">
        <v>42342</v>
      </c>
      <c r="B3011" s="597" t="s">
        <v>100</v>
      </c>
      <c r="C3011" s="744" t="s">
        <v>8480</v>
      </c>
      <c r="D3011" s="328" t="s">
        <v>8481</v>
      </c>
      <c r="E3011" s="571" t="s">
        <v>9422</v>
      </c>
      <c r="F3011" s="328">
        <v>1</v>
      </c>
      <c r="G3011" s="402">
        <v>1012</v>
      </c>
      <c r="H3011" s="1027">
        <f>F3011*G3011</f>
        <v>1012</v>
      </c>
      <c r="I3011" s="254" t="s">
        <v>170</v>
      </c>
      <c r="J3011" s="331" t="s">
        <v>8461</v>
      </c>
      <c r="K3011" s="256">
        <v>42398</v>
      </c>
      <c r="L3011" s="256"/>
      <c r="M3011" s="256">
        <v>42398</v>
      </c>
      <c r="N3011" s="267" t="s">
        <v>1414</v>
      </c>
      <c r="O3011" s="744" t="s">
        <v>8483</v>
      </c>
      <c r="P3011" s="328"/>
      <c r="Q3011" s="574">
        <f>910*1.05*32.688</f>
        <v>31233.384000000002</v>
      </c>
      <c r="R3011" s="1405"/>
      <c r="S3011" s="1405"/>
      <c r="U3011" s="328"/>
      <c r="V3011" s="386" t="s">
        <v>8467</v>
      </c>
      <c r="W3011" s="624">
        <v>42382</v>
      </c>
      <c r="X3011" s="748">
        <v>42396</v>
      </c>
      <c r="Y3011" s="308" t="s">
        <v>8468</v>
      </c>
      <c r="Z3011" s="824" t="s">
        <v>8473</v>
      </c>
      <c r="AA3011" s="1094">
        <v>42373</v>
      </c>
      <c r="AB3011" s="386" t="s">
        <v>8469</v>
      </c>
      <c r="AD3011" s="1091"/>
      <c r="AE3011" s="1091"/>
      <c r="AF3011" s="1091"/>
      <c r="AG3011" s="1091" t="s">
        <v>8415</v>
      </c>
    </row>
    <row r="3012" spans="1:33" ht="27" customHeight="1">
      <c r="A3012" s="256">
        <v>42534</v>
      </c>
      <c r="B3012" s="571" t="s">
        <v>4903</v>
      </c>
      <c r="C3012" s="744" t="s">
        <v>9006</v>
      </c>
      <c r="D3012" s="308" t="s">
        <v>9007</v>
      </c>
      <c r="E3012" s="571" t="s">
        <v>9423</v>
      </c>
      <c r="F3012" s="574">
        <v>32</v>
      </c>
      <c r="G3012" s="265">
        <v>293</v>
      </c>
      <c r="H3012" s="265">
        <f t="shared" ref="H3012:H3013" si="187">G3012*F3012</f>
        <v>9376</v>
      </c>
      <c r="I3012" s="254" t="s">
        <v>3315</v>
      </c>
      <c r="J3012" s="331" t="s">
        <v>8438</v>
      </c>
      <c r="K3012" s="256">
        <v>42604</v>
      </c>
      <c r="L3012" s="256"/>
      <c r="M3012" s="256">
        <v>42599</v>
      </c>
      <c r="N3012" s="331" t="s">
        <v>89</v>
      </c>
      <c r="O3012" s="250" t="s">
        <v>9424</v>
      </c>
      <c r="P3012" s="574">
        <v>7635.2640000000001</v>
      </c>
      <c r="Q3012" s="328"/>
      <c r="R3012" s="1407"/>
      <c r="S3012" s="1407"/>
      <c r="U3012" s="328"/>
      <c r="V3012" s="318" t="s">
        <v>5896</v>
      </c>
      <c r="W3012" s="1096">
        <v>42618</v>
      </c>
      <c r="X3012" s="750">
        <v>42599</v>
      </c>
      <c r="Y3012" s="250" t="s">
        <v>9425</v>
      </c>
      <c r="Z3012" s="1086">
        <v>240473</v>
      </c>
      <c r="AA3012" s="811">
        <v>42621</v>
      </c>
      <c r="AB3012" s="318" t="s">
        <v>9011</v>
      </c>
      <c r="AD3012" s="1091"/>
      <c r="AE3012" s="1091"/>
      <c r="AF3012" s="1091"/>
      <c r="AG3012" s="318" t="s">
        <v>283</v>
      </c>
    </row>
    <row r="3013" spans="1:33" ht="27" customHeight="1">
      <c r="A3013" s="256">
        <v>42534</v>
      </c>
      <c r="B3013" s="571" t="s">
        <v>3347</v>
      </c>
      <c r="C3013" s="744"/>
      <c r="D3013" s="308" t="s">
        <v>9426</v>
      </c>
      <c r="E3013" s="571" t="s">
        <v>9427</v>
      </c>
      <c r="F3013" s="574">
        <v>3</v>
      </c>
      <c r="G3013" s="265">
        <v>1</v>
      </c>
      <c r="H3013" s="265">
        <f t="shared" si="187"/>
        <v>3</v>
      </c>
      <c r="I3013" s="254" t="s">
        <v>170</v>
      </c>
      <c r="J3013" s="592" t="s">
        <v>3350</v>
      </c>
      <c r="K3013" s="256">
        <v>42562</v>
      </c>
      <c r="L3013" s="256"/>
      <c r="M3013" s="256">
        <v>42542</v>
      </c>
      <c r="N3013" s="401" t="s">
        <v>89</v>
      </c>
      <c r="O3013" s="250" t="s">
        <v>9428</v>
      </c>
      <c r="P3013" s="574">
        <v>494.55</v>
      </c>
      <c r="Q3013" s="328"/>
      <c r="R3013" s="1407"/>
      <c r="S3013" s="1407"/>
      <c r="U3013" s="328"/>
      <c r="V3013" s="308" t="s">
        <v>5896</v>
      </c>
      <c r="W3013" s="747">
        <v>42590</v>
      </c>
      <c r="X3013" s="1083">
        <v>42542</v>
      </c>
      <c r="Y3013" s="263" t="s">
        <v>9429</v>
      </c>
      <c r="Z3013" s="1086">
        <v>16014</v>
      </c>
      <c r="AA3013" s="811">
        <v>42590</v>
      </c>
      <c r="AB3013" s="318" t="s">
        <v>9176</v>
      </c>
      <c r="AD3013" s="1091"/>
      <c r="AE3013" s="1091"/>
      <c r="AF3013" s="1091"/>
      <c r="AG3013" s="318" t="s">
        <v>283</v>
      </c>
    </row>
    <row r="3014" spans="1:33" ht="15.75" customHeight="1">
      <c r="A3014" s="256">
        <v>42534</v>
      </c>
      <c r="B3014" s="571" t="s">
        <v>3347</v>
      </c>
      <c r="C3014" s="744"/>
      <c r="D3014" s="308" t="s">
        <v>9430</v>
      </c>
      <c r="E3014" s="571" t="s">
        <v>9431</v>
      </c>
      <c r="F3014" s="574">
        <v>1</v>
      </c>
      <c r="G3014" s="265">
        <v>0</v>
      </c>
      <c r="H3014" s="265">
        <v>0</v>
      </c>
      <c r="I3014" s="254" t="s">
        <v>170</v>
      </c>
      <c r="J3014" s="592" t="s">
        <v>3350</v>
      </c>
      <c r="K3014" s="256">
        <v>42562</v>
      </c>
      <c r="L3014" s="256"/>
      <c r="M3014" s="256">
        <v>42554</v>
      </c>
      <c r="N3014" s="401"/>
      <c r="O3014" s="250"/>
      <c r="P3014" s="337"/>
      <c r="Q3014" s="328"/>
      <c r="R3014" s="1407"/>
      <c r="S3014" s="1407"/>
      <c r="U3014" s="328"/>
      <c r="V3014" s="318"/>
      <c r="W3014" s="624"/>
      <c r="X3014" s="250" t="s">
        <v>8882</v>
      </c>
      <c r="Y3014" s="250" t="s">
        <v>8882</v>
      </c>
      <c r="Z3014" s="263" t="s">
        <v>8882</v>
      </c>
      <c r="AA3014" s="811"/>
      <c r="AB3014" s="318" t="s">
        <v>9176</v>
      </c>
      <c r="AD3014" s="1091"/>
      <c r="AE3014" s="1091"/>
      <c r="AF3014" s="1091"/>
      <c r="AG3014" s="318"/>
    </row>
    <row r="3015" spans="1:33" ht="15.75" customHeight="1">
      <c r="A3015" s="256">
        <v>42535</v>
      </c>
      <c r="B3015" s="571" t="s">
        <v>9432</v>
      </c>
      <c r="C3015" s="744" t="s">
        <v>9433</v>
      </c>
      <c r="D3015" s="308" t="s">
        <v>9434</v>
      </c>
      <c r="E3015" s="571" t="s">
        <v>9435</v>
      </c>
      <c r="F3015" s="574">
        <v>1</v>
      </c>
      <c r="G3015" s="265">
        <v>603</v>
      </c>
      <c r="H3015" s="265">
        <f t="shared" ref="H3015:H3026" si="188">G3015*F3015</f>
        <v>603</v>
      </c>
      <c r="I3015" s="254" t="s">
        <v>3315</v>
      </c>
      <c r="J3015" s="401" t="s">
        <v>9436</v>
      </c>
      <c r="K3015" s="256">
        <v>42544</v>
      </c>
      <c r="L3015" s="256"/>
      <c r="M3015" s="256">
        <v>42543</v>
      </c>
      <c r="N3015" s="401" t="s">
        <v>9437</v>
      </c>
      <c r="O3015" s="250" t="s">
        <v>9438</v>
      </c>
      <c r="P3015" s="574"/>
      <c r="Q3015" s="308">
        <v>18480</v>
      </c>
      <c r="R3015" s="1410"/>
      <c r="S3015" s="1410"/>
      <c r="U3015" s="328"/>
      <c r="V3015" s="308" t="s">
        <v>9439</v>
      </c>
      <c r="W3015" s="624"/>
      <c r="X3015" s="750">
        <v>42542</v>
      </c>
      <c r="Y3015" s="250" t="s">
        <v>9440</v>
      </c>
      <c r="Z3015" s="1086">
        <v>21032</v>
      </c>
      <c r="AA3015" s="811">
        <v>42542</v>
      </c>
      <c r="AB3015" s="318" t="s">
        <v>9441</v>
      </c>
      <c r="AD3015" s="1091"/>
      <c r="AE3015" s="1091"/>
      <c r="AF3015" s="1091"/>
      <c r="AG3015" s="1092"/>
    </row>
    <row r="3016" spans="1:33" ht="15.75" customHeight="1">
      <c r="A3016" s="256">
        <v>42535</v>
      </c>
      <c r="B3016" s="571" t="s">
        <v>9432</v>
      </c>
      <c r="C3016" s="744" t="s">
        <v>9433</v>
      </c>
      <c r="D3016" s="308" t="s">
        <v>9434</v>
      </c>
      <c r="E3016" s="571" t="s">
        <v>9442</v>
      </c>
      <c r="F3016" s="574">
        <v>6</v>
      </c>
      <c r="G3016" s="265">
        <v>18</v>
      </c>
      <c r="H3016" s="265">
        <f t="shared" si="188"/>
        <v>108</v>
      </c>
      <c r="I3016" s="254" t="s">
        <v>3315</v>
      </c>
      <c r="J3016" s="401" t="s">
        <v>9436</v>
      </c>
      <c r="K3016" s="256">
        <v>42544</v>
      </c>
      <c r="L3016" s="256"/>
      <c r="M3016" s="256">
        <v>42543</v>
      </c>
      <c r="N3016" s="401" t="s">
        <v>9437</v>
      </c>
      <c r="O3016" s="250" t="s">
        <v>9438</v>
      </c>
      <c r="P3016" s="574"/>
      <c r="Q3016" s="308">
        <v>2552</v>
      </c>
      <c r="R3016" s="1410"/>
      <c r="S3016" s="1410"/>
      <c r="U3016" s="328"/>
      <c r="V3016" s="308" t="s">
        <v>9439</v>
      </c>
      <c r="W3016" s="624"/>
      <c r="X3016" s="750">
        <v>42542</v>
      </c>
      <c r="Y3016" s="250" t="s">
        <v>9440</v>
      </c>
      <c r="Z3016" s="1086" t="s">
        <v>9443</v>
      </c>
      <c r="AA3016" s="811">
        <v>42542</v>
      </c>
      <c r="AB3016" s="318" t="s">
        <v>9441</v>
      </c>
      <c r="AD3016" s="1091"/>
      <c r="AE3016" s="1091"/>
      <c r="AF3016" s="1091"/>
      <c r="AG3016" s="1092"/>
    </row>
    <row r="3017" spans="1:33" ht="15.75" customHeight="1">
      <c r="A3017" s="256">
        <v>42535</v>
      </c>
      <c r="B3017" s="571" t="s">
        <v>9432</v>
      </c>
      <c r="C3017" s="744" t="s">
        <v>9433</v>
      </c>
      <c r="D3017" s="308" t="s">
        <v>9434</v>
      </c>
      <c r="E3017" s="571" t="s">
        <v>692</v>
      </c>
      <c r="F3017" s="574">
        <v>1</v>
      </c>
      <c r="G3017" s="265">
        <f>25</f>
        <v>25</v>
      </c>
      <c r="H3017" s="265">
        <f t="shared" si="188"/>
        <v>25</v>
      </c>
      <c r="I3017" s="254" t="s">
        <v>3315</v>
      </c>
      <c r="J3017" s="401"/>
      <c r="K3017" s="256">
        <v>42544</v>
      </c>
      <c r="L3017" s="256"/>
      <c r="M3017" s="623"/>
      <c r="N3017" s="331"/>
      <c r="O3017" s="250"/>
      <c r="P3017" s="574"/>
      <c r="Q3017" s="593"/>
      <c r="R3017" s="1418"/>
      <c r="S3017" s="1418"/>
      <c r="U3017" s="328"/>
      <c r="V3017" s="318"/>
      <c r="W3017" s="624"/>
      <c r="X3017" s="250" t="s">
        <v>5529</v>
      </c>
      <c r="Y3017" s="250" t="s">
        <v>5529</v>
      </c>
      <c r="Z3017" s="250" t="s">
        <v>5529</v>
      </c>
      <c r="AA3017" s="811"/>
      <c r="AB3017" s="318" t="s">
        <v>9441</v>
      </c>
      <c r="AD3017" s="1091"/>
      <c r="AE3017" s="1091"/>
      <c r="AF3017" s="1091"/>
      <c r="AG3017" s="1092"/>
    </row>
    <row r="3018" spans="1:33" ht="15.75" customHeight="1">
      <c r="A3018" s="256">
        <v>42536</v>
      </c>
      <c r="B3018" s="571" t="s">
        <v>5981</v>
      </c>
      <c r="C3018" s="744">
        <v>7000122101</v>
      </c>
      <c r="D3018" s="308" t="s">
        <v>9444</v>
      </c>
      <c r="E3018" s="571" t="s">
        <v>9445</v>
      </c>
      <c r="F3018" s="574">
        <v>5</v>
      </c>
      <c r="G3018" s="265">
        <v>116</v>
      </c>
      <c r="H3018" s="265">
        <f t="shared" si="188"/>
        <v>580</v>
      </c>
      <c r="I3018" s="254" t="s">
        <v>170</v>
      </c>
      <c r="J3018" s="401" t="s">
        <v>6092</v>
      </c>
      <c r="K3018" s="256">
        <v>42544</v>
      </c>
      <c r="L3018" s="256"/>
      <c r="M3018" s="256">
        <v>42542</v>
      </c>
      <c r="N3018" s="331" t="s">
        <v>5935</v>
      </c>
      <c r="O3018" s="250" t="s">
        <v>9446</v>
      </c>
      <c r="P3018" s="574"/>
      <c r="Q3018" s="308">
        <v>17005</v>
      </c>
      <c r="R3018" s="1410"/>
      <c r="S3018" s="1410"/>
      <c r="U3018" s="328"/>
      <c r="V3018" s="318" t="s">
        <v>8443</v>
      </c>
      <c r="W3018" s="747">
        <v>42587</v>
      </c>
      <c r="X3018" s="750">
        <v>42541</v>
      </c>
      <c r="Y3018" s="250" t="s">
        <v>9447</v>
      </c>
      <c r="Z3018" s="1086">
        <v>17005</v>
      </c>
      <c r="AA3018" s="811">
        <v>42586</v>
      </c>
      <c r="AB3018" s="318" t="s">
        <v>9448</v>
      </c>
      <c r="AD3018" s="1091"/>
      <c r="AE3018" s="1091"/>
      <c r="AF3018" s="1091"/>
      <c r="AG3018" s="318" t="s">
        <v>283</v>
      </c>
    </row>
    <row r="3019" spans="1:33" ht="15.75" customHeight="1">
      <c r="A3019" s="256">
        <v>42536</v>
      </c>
      <c r="B3019" s="571" t="s">
        <v>228</v>
      </c>
      <c r="C3019" s="744"/>
      <c r="D3019" s="308" t="s">
        <v>9449</v>
      </c>
      <c r="E3019" s="571" t="s">
        <v>461</v>
      </c>
      <c r="F3019" s="574">
        <v>40</v>
      </c>
      <c r="G3019" s="574">
        <v>449.4</v>
      </c>
      <c r="H3019" s="265">
        <f t="shared" si="188"/>
        <v>17976</v>
      </c>
      <c r="I3019" s="254" t="s">
        <v>170</v>
      </c>
      <c r="J3019" s="401" t="s">
        <v>232</v>
      </c>
      <c r="K3019" s="256">
        <v>42544</v>
      </c>
      <c r="L3019" s="256"/>
      <c r="M3019" s="256"/>
      <c r="N3019" s="401" t="s">
        <v>89</v>
      </c>
      <c r="O3019" s="250" t="s">
        <v>9450</v>
      </c>
      <c r="P3019" s="752">
        <v>16254</v>
      </c>
      <c r="Q3019" s="328"/>
      <c r="R3019" s="1407"/>
      <c r="S3019" s="1407"/>
      <c r="U3019" s="328"/>
      <c r="V3019" s="318" t="s">
        <v>5896</v>
      </c>
      <c r="W3019" s="747">
        <v>42590</v>
      </c>
      <c r="X3019" s="750">
        <v>42544</v>
      </c>
      <c r="Y3019" s="250" t="s">
        <v>9451</v>
      </c>
      <c r="Z3019" s="996">
        <v>500465</v>
      </c>
      <c r="AA3019" s="811">
        <v>42590</v>
      </c>
      <c r="AB3019" s="318" t="s">
        <v>9452</v>
      </c>
      <c r="AD3019" s="592" t="s">
        <v>9453</v>
      </c>
      <c r="AE3019" s="386">
        <v>578288</v>
      </c>
      <c r="AF3019" s="308" t="s">
        <v>9454</v>
      </c>
      <c r="AG3019" s="318"/>
    </row>
    <row r="3020" spans="1:33" ht="15.75" customHeight="1">
      <c r="A3020" s="256">
        <v>42536</v>
      </c>
      <c r="B3020" s="571" t="s">
        <v>100</v>
      </c>
      <c r="C3020" s="744" t="s">
        <v>9455</v>
      </c>
      <c r="D3020" s="308" t="s">
        <v>9456</v>
      </c>
      <c r="E3020" s="597" t="s">
        <v>3407</v>
      </c>
      <c r="F3020" s="329">
        <v>12</v>
      </c>
      <c r="G3020" s="252">
        <v>80</v>
      </c>
      <c r="H3020" s="265">
        <f t="shared" si="188"/>
        <v>960</v>
      </c>
      <c r="I3020" s="254" t="s">
        <v>3315</v>
      </c>
      <c r="J3020" s="401" t="s">
        <v>9457</v>
      </c>
      <c r="K3020" s="256">
        <v>42569</v>
      </c>
      <c r="L3020" s="256"/>
      <c r="M3020" s="256">
        <v>42565</v>
      </c>
      <c r="N3020" s="331" t="s">
        <v>2001</v>
      </c>
      <c r="O3020" s="401" t="s">
        <v>9458</v>
      </c>
      <c r="P3020" s="574"/>
      <c r="Q3020" s="308">
        <v>30240</v>
      </c>
      <c r="R3020" s="1410"/>
      <c r="S3020" s="1410"/>
      <c r="U3020" s="328"/>
      <c r="V3020" s="318" t="s">
        <v>2003</v>
      </c>
      <c r="W3020" s="747">
        <v>42587</v>
      </c>
      <c r="X3020" s="750">
        <v>42564</v>
      </c>
      <c r="Y3020" s="250" t="s">
        <v>9459</v>
      </c>
      <c r="Z3020" s="1086">
        <v>97965</v>
      </c>
      <c r="AA3020" s="811">
        <v>42586</v>
      </c>
      <c r="AB3020" s="318" t="s">
        <v>9460</v>
      </c>
      <c r="AD3020" s="1091"/>
      <c r="AE3020" s="1091"/>
      <c r="AF3020" s="1091"/>
      <c r="AG3020" s="318" t="s">
        <v>283</v>
      </c>
    </row>
    <row r="3021" spans="1:33" ht="15.75" customHeight="1">
      <c r="A3021" s="256">
        <v>42536</v>
      </c>
      <c r="B3021" s="571" t="s">
        <v>100</v>
      </c>
      <c r="C3021" s="744" t="s">
        <v>9455</v>
      </c>
      <c r="D3021" s="308" t="s">
        <v>9456</v>
      </c>
      <c r="E3021" s="597" t="s">
        <v>3413</v>
      </c>
      <c r="F3021" s="329">
        <v>12</v>
      </c>
      <c r="G3021" s="252">
        <v>60</v>
      </c>
      <c r="H3021" s="265">
        <f t="shared" si="188"/>
        <v>720</v>
      </c>
      <c r="I3021" s="254" t="s">
        <v>3315</v>
      </c>
      <c r="J3021" s="401" t="s">
        <v>9457</v>
      </c>
      <c r="K3021" s="256">
        <v>42569</v>
      </c>
      <c r="L3021" s="256"/>
      <c r="M3021" s="256">
        <v>42565</v>
      </c>
      <c r="N3021" s="331" t="s">
        <v>2001</v>
      </c>
      <c r="O3021" s="401" t="s">
        <v>9458</v>
      </c>
      <c r="P3021" s="574"/>
      <c r="Q3021" s="308">
        <v>22680</v>
      </c>
      <c r="R3021" s="1410"/>
      <c r="S3021" s="1410"/>
      <c r="U3021" s="328"/>
      <c r="V3021" s="318" t="s">
        <v>2003</v>
      </c>
      <c r="W3021" s="747">
        <v>42587</v>
      </c>
      <c r="X3021" s="750">
        <v>42564</v>
      </c>
      <c r="Y3021" s="250" t="s">
        <v>9459</v>
      </c>
      <c r="Z3021" s="1086" t="s">
        <v>6890</v>
      </c>
      <c r="AA3021" s="811">
        <v>42586</v>
      </c>
      <c r="AB3021" s="318" t="s">
        <v>9460</v>
      </c>
      <c r="AD3021" s="1091"/>
      <c r="AE3021" s="1091"/>
      <c r="AF3021" s="1091"/>
      <c r="AG3021" s="318" t="s">
        <v>283</v>
      </c>
    </row>
    <row r="3022" spans="1:33" ht="15.75" customHeight="1">
      <c r="A3022" s="256">
        <v>42536</v>
      </c>
      <c r="B3022" s="571" t="s">
        <v>100</v>
      </c>
      <c r="C3022" s="744" t="s">
        <v>9455</v>
      </c>
      <c r="D3022" s="308" t="s">
        <v>9456</v>
      </c>
      <c r="E3022" s="597" t="s">
        <v>3415</v>
      </c>
      <c r="F3022" s="329">
        <v>12</v>
      </c>
      <c r="G3022" s="252">
        <v>116</v>
      </c>
      <c r="H3022" s="265">
        <f t="shared" si="188"/>
        <v>1392</v>
      </c>
      <c r="I3022" s="254" t="s">
        <v>3315</v>
      </c>
      <c r="J3022" s="401" t="s">
        <v>9457</v>
      </c>
      <c r="K3022" s="256">
        <v>42569</v>
      </c>
      <c r="L3022" s="256"/>
      <c r="M3022" s="256">
        <v>42565</v>
      </c>
      <c r="N3022" s="331" t="s">
        <v>2001</v>
      </c>
      <c r="O3022" s="401" t="s">
        <v>9458</v>
      </c>
      <c r="P3022" s="574"/>
      <c r="Q3022" s="308">
        <v>44100</v>
      </c>
      <c r="R3022" s="1410"/>
      <c r="S3022" s="1410"/>
      <c r="U3022" s="328"/>
      <c r="V3022" s="318" t="s">
        <v>2003</v>
      </c>
      <c r="W3022" s="747">
        <v>42587</v>
      </c>
      <c r="X3022" s="750">
        <v>42564</v>
      </c>
      <c r="Y3022" s="250" t="s">
        <v>9459</v>
      </c>
      <c r="Z3022" s="1086" t="s">
        <v>6890</v>
      </c>
      <c r="AA3022" s="811">
        <v>42586</v>
      </c>
      <c r="AB3022" s="318" t="s">
        <v>9460</v>
      </c>
      <c r="AD3022" s="1091"/>
      <c r="AE3022" s="1091"/>
      <c r="AF3022" s="1091"/>
      <c r="AG3022" s="318" t="s">
        <v>283</v>
      </c>
    </row>
    <row r="3023" spans="1:33" ht="15.75" customHeight="1">
      <c r="A3023" s="256">
        <v>42536</v>
      </c>
      <c r="B3023" s="571" t="s">
        <v>100</v>
      </c>
      <c r="C3023" s="744" t="s">
        <v>9455</v>
      </c>
      <c r="D3023" s="308" t="s">
        <v>9456</v>
      </c>
      <c r="E3023" s="597" t="s">
        <v>3416</v>
      </c>
      <c r="F3023" s="329">
        <v>12</v>
      </c>
      <c r="G3023" s="252">
        <v>2</v>
      </c>
      <c r="H3023" s="265">
        <f t="shared" si="188"/>
        <v>24</v>
      </c>
      <c r="I3023" s="254" t="s">
        <v>3315</v>
      </c>
      <c r="J3023" s="401" t="s">
        <v>9457</v>
      </c>
      <c r="K3023" s="256">
        <v>42569</v>
      </c>
      <c r="L3023" s="256"/>
      <c r="M3023" s="264" t="s">
        <v>9461</v>
      </c>
      <c r="N3023" s="401"/>
      <c r="O3023" s="401"/>
      <c r="P3023" s="574"/>
      <c r="Q3023" s="574" t="s">
        <v>6529</v>
      </c>
      <c r="R3023" s="1405"/>
      <c r="S3023" s="1405"/>
      <c r="U3023" s="308"/>
      <c r="V3023" s="308"/>
      <c r="W3023" s="624"/>
      <c r="X3023" s="308" t="s">
        <v>6529</v>
      </c>
      <c r="Y3023" s="308" t="s">
        <v>6529</v>
      </c>
      <c r="Z3023" s="308" t="s">
        <v>6529</v>
      </c>
      <c r="AA3023" s="1114"/>
      <c r="AB3023" s="318" t="s">
        <v>9460</v>
      </c>
      <c r="AD3023" s="1091"/>
      <c r="AE3023" s="1091"/>
      <c r="AF3023" s="1091"/>
      <c r="AG3023" s="318" t="s">
        <v>283</v>
      </c>
    </row>
    <row r="3024" spans="1:33" ht="15.75" customHeight="1">
      <c r="A3024" s="256">
        <v>42536</v>
      </c>
      <c r="B3024" s="571" t="s">
        <v>100</v>
      </c>
      <c r="C3024" s="744" t="s">
        <v>9455</v>
      </c>
      <c r="D3024" s="308" t="s">
        <v>9456</v>
      </c>
      <c r="E3024" s="597" t="s">
        <v>3418</v>
      </c>
      <c r="F3024" s="329">
        <v>12</v>
      </c>
      <c r="G3024" s="252">
        <v>2.5</v>
      </c>
      <c r="H3024" s="265">
        <f t="shared" si="188"/>
        <v>30</v>
      </c>
      <c r="I3024" s="254" t="s">
        <v>3315</v>
      </c>
      <c r="J3024" s="401" t="s">
        <v>9457</v>
      </c>
      <c r="K3024" s="256">
        <v>42569</v>
      </c>
      <c r="L3024" s="256"/>
      <c r="M3024" s="264" t="s">
        <v>9461</v>
      </c>
      <c r="N3024" s="401"/>
      <c r="O3024" s="401"/>
      <c r="P3024" s="574"/>
      <c r="Q3024" s="574" t="s">
        <v>6529</v>
      </c>
      <c r="R3024" s="1405"/>
      <c r="S3024" s="1405"/>
      <c r="U3024" s="328"/>
      <c r="V3024" s="308"/>
      <c r="W3024" s="624"/>
      <c r="X3024" s="328" t="s">
        <v>6531</v>
      </c>
      <c r="Y3024" s="328" t="s">
        <v>6531</v>
      </c>
      <c r="Z3024" s="328" t="s">
        <v>6531</v>
      </c>
      <c r="AA3024" s="1114"/>
      <c r="AB3024" s="318" t="s">
        <v>9460</v>
      </c>
      <c r="AD3024" s="1091"/>
      <c r="AE3024" s="1091"/>
      <c r="AF3024" s="1091"/>
      <c r="AG3024" s="318" t="s">
        <v>283</v>
      </c>
    </row>
    <row r="3025" spans="1:33" ht="15.75" customHeight="1">
      <c r="A3025" s="256">
        <v>42536</v>
      </c>
      <c r="B3025" s="571" t="s">
        <v>100</v>
      </c>
      <c r="C3025" s="744" t="s">
        <v>9455</v>
      </c>
      <c r="D3025" s="308" t="s">
        <v>9456</v>
      </c>
      <c r="E3025" s="597" t="s">
        <v>3420</v>
      </c>
      <c r="F3025" s="329">
        <v>12</v>
      </c>
      <c r="G3025" s="252">
        <v>4</v>
      </c>
      <c r="H3025" s="265">
        <f t="shared" si="188"/>
        <v>48</v>
      </c>
      <c r="I3025" s="254" t="s">
        <v>3315</v>
      </c>
      <c r="J3025" s="401" t="s">
        <v>9457</v>
      </c>
      <c r="K3025" s="256">
        <v>42569</v>
      </c>
      <c r="L3025" s="256"/>
      <c r="M3025" s="256">
        <v>42565</v>
      </c>
      <c r="N3025" s="331" t="s">
        <v>2001</v>
      </c>
      <c r="O3025" s="401" t="s">
        <v>9458</v>
      </c>
      <c r="P3025" s="574"/>
      <c r="Q3025" s="308">
        <v>945</v>
      </c>
      <c r="R3025" s="1410"/>
      <c r="S3025" s="1410"/>
      <c r="U3025" s="328"/>
      <c r="V3025" s="318" t="s">
        <v>2003</v>
      </c>
      <c r="W3025" s="747">
        <v>42587</v>
      </c>
      <c r="X3025" s="750">
        <v>42564</v>
      </c>
      <c r="Y3025" s="250" t="s">
        <v>9459</v>
      </c>
      <c r="Z3025" s="1086" t="s">
        <v>6890</v>
      </c>
      <c r="AA3025" s="811">
        <v>42586</v>
      </c>
      <c r="AB3025" s="318" t="s">
        <v>9460</v>
      </c>
      <c r="AD3025" s="1091"/>
      <c r="AE3025" s="1091"/>
      <c r="AF3025" s="1091"/>
      <c r="AG3025" s="318" t="s">
        <v>283</v>
      </c>
    </row>
    <row r="3026" spans="1:33" ht="15.75" customHeight="1">
      <c r="A3026" s="256">
        <v>42536</v>
      </c>
      <c r="B3026" s="571" t="s">
        <v>100</v>
      </c>
      <c r="C3026" s="744" t="s">
        <v>9455</v>
      </c>
      <c r="D3026" s="308" t="s">
        <v>9456</v>
      </c>
      <c r="E3026" s="597" t="s">
        <v>3421</v>
      </c>
      <c r="F3026" s="329">
        <v>12</v>
      </c>
      <c r="G3026" s="252">
        <v>8</v>
      </c>
      <c r="H3026" s="265">
        <f t="shared" si="188"/>
        <v>96</v>
      </c>
      <c r="I3026" s="254" t="s">
        <v>3315</v>
      </c>
      <c r="J3026" s="401"/>
      <c r="K3026" s="256">
        <v>42569</v>
      </c>
      <c r="L3026" s="256"/>
      <c r="M3026" s="256">
        <v>42568</v>
      </c>
      <c r="N3026" s="401" t="s">
        <v>8934</v>
      </c>
      <c r="O3026" s="250"/>
      <c r="P3026" s="574"/>
      <c r="Q3026" s="308">
        <v>1600</v>
      </c>
      <c r="R3026" s="1410"/>
      <c r="S3026" s="1410"/>
      <c r="U3026" s="328"/>
      <c r="V3026" s="318" t="s">
        <v>9462</v>
      </c>
      <c r="W3026" s="624"/>
      <c r="X3026" s="250" t="s">
        <v>5529</v>
      </c>
      <c r="Y3026" s="250" t="s">
        <v>5529</v>
      </c>
      <c r="Z3026" s="250" t="s">
        <v>5529</v>
      </c>
      <c r="AA3026" s="811">
        <v>42568</v>
      </c>
      <c r="AB3026" s="318" t="s">
        <v>9460</v>
      </c>
      <c r="AD3026" s="1091"/>
      <c r="AE3026" s="1091"/>
      <c r="AF3026" s="1091"/>
      <c r="AG3026" s="318" t="s">
        <v>283</v>
      </c>
    </row>
    <row r="3027" spans="1:33" ht="15.75" customHeight="1">
      <c r="A3027" s="256">
        <v>42348</v>
      </c>
      <c r="B3027" s="597" t="s">
        <v>100</v>
      </c>
      <c r="C3027" s="744" t="s">
        <v>9463</v>
      </c>
      <c r="D3027" s="328" t="s">
        <v>9464</v>
      </c>
      <c r="E3027" s="597" t="s">
        <v>9356</v>
      </c>
      <c r="F3027" s="328">
        <v>2</v>
      </c>
      <c r="G3027" s="328">
        <v>1166</v>
      </c>
      <c r="H3027" s="1027">
        <f>F3027*G3027</f>
        <v>2332</v>
      </c>
      <c r="I3027" s="254" t="s">
        <v>170</v>
      </c>
      <c r="J3027" s="401" t="s">
        <v>8461</v>
      </c>
      <c r="K3027" s="256">
        <v>42380</v>
      </c>
      <c r="L3027" s="256"/>
      <c r="M3027" s="256">
        <v>42377</v>
      </c>
      <c r="N3027" s="367" t="s">
        <v>2001</v>
      </c>
      <c r="O3027" s="889" t="s">
        <v>9465</v>
      </c>
      <c r="P3027" s="328"/>
      <c r="Q3027" s="630">
        <f>75810</f>
        <v>75810</v>
      </c>
      <c r="R3027" s="1415"/>
      <c r="S3027" s="1415"/>
      <c r="U3027" s="328"/>
      <c r="V3027" s="328" t="s">
        <v>5901</v>
      </c>
      <c r="W3027" s="624">
        <v>42434</v>
      </c>
      <c r="X3027" s="750">
        <v>42376</v>
      </c>
      <c r="Y3027" s="250" t="s">
        <v>9466</v>
      </c>
      <c r="Z3027" s="996">
        <v>75810</v>
      </c>
      <c r="AA3027" s="1090">
        <v>42436</v>
      </c>
      <c r="AB3027" s="318" t="s">
        <v>8554</v>
      </c>
      <c r="AD3027" s="1091"/>
      <c r="AE3027" s="1103"/>
      <c r="AF3027" s="1092"/>
      <c r="AG3027" s="1091" t="s">
        <v>283</v>
      </c>
    </row>
    <row r="3028" spans="1:33" ht="15.75" customHeight="1">
      <c r="A3028" s="256">
        <v>42536</v>
      </c>
      <c r="B3028" s="571" t="s">
        <v>4903</v>
      </c>
      <c r="C3028" s="744" t="s">
        <v>9467</v>
      </c>
      <c r="D3028" s="308" t="s">
        <v>9468</v>
      </c>
      <c r="E3028" s="571" t="s">
        <v>9469</v>
      </c>
      <c r="F3028" s="574">
        <v>20</v>
      </c>
      <c r="G3028" s="265">
        <v>866</v>
      </c>
      <c r="H3028" s="265">
        <f t="shared" ref="H3028:H3054" si="189">G3028*F3028</f>
        <v>17320</v>
      </c>
      <c r="I3028" s="254" t="s">
        <v>3315</v>
      </c>
      <c r="J3028" s="401" t="s">
        <v>9470</v>
      </c>
      <c r="K3028" s="256">
        <v>42558</v>
      </c>
      <c r="L3028" s="256"/>
      <c r="M3028" s="264" t="s">
        <v>9471</v>
      </c>
      <c r="N3028" s="401" t="s">
        <v>9472</v>
      </c>
      <c r="O3028" s="250" t="s">
        <v>9473</v>
      </c>
      <c r="P3028" s="574">
        <v>15120</v>
      </c>
      <c r="Q3028" s="328"/>
      <c r="R3028" s="1407"/>
      <c r="S3028" s="1407"/>
      <c r="U3028" s="328"/>
      <c r="V3028" s="308" t="s">
        <v>9474</v>
      </c>
      <c r="W3028" s="624"/>
      <c r="X3028" s="750">
        <v>42562</v>
      </c>
      <c r="Y3028" s="420" t="s">
        <v>9475</v>
      </c>
      <c r="Z3028" s="1086">
        <v>20412</v>
      </c>
      <c r="AA3028" s="811">
        <v>42548</v>
      </c>
      <c r="AB3028" s="318" t="s">
        <v>9476</v>
      </c>
      <c r="AD3028" s="1091"/>
      <c r="AE3028" s="1091"/>
      <c r="AF3028" s="1091"/>
      <c r="AG3028" s="318" t="s">
        <v>283</v>
      </c>
    </row>
    <row r="3029" spans="1:33" ht="15.75" customHeight="1">
      <c r="A3029" s="256">
        <v>42536</v>
      </c>
      <c r="B3029" s="571" t="s">
        <v>4903</v>
      </c>
      <c r="C3029" s="744" t="s">
        <v>9467</v>
      </c>
      <c r="D3029" s="308" t="s">
        <v>9468</v>
      </c>
      <c r="E3029" s="571" t="s">
        <v>9477</v>
      </c>
      <c r="F3029" s="574">
        <v>1</v>
      </c>
      <c r="G3029" s="265">
        <v>750</v>
      </c>
      <c r="H3029" s="265">
        <f t="shared" si="189"/>
        <v>750</v>
      </c>
      <c r="I3029" s="254" t="s">
        <v>3315</v>
      </c>
      <c r="J3029" s="401" t="s">
        <v>9478</v>
      </c>
      <c r="K3029" s="256">
        <v>42558</v>
      </c>
      <c r="L3029" s="256"/>
      <c r="M3029" s="256"/>
      <c r="N3029" s="401"/>
      <c r="O3029" s="250"/>
      <c r="P3029" s="574"/>
      <c r="Q3029" s="308">
        <v>9611</v>
      </c>
      <c r="R3029" s="1410"/>
      <c r="S3029" s="1410"/>
      <c r="U3029" s="328"/>
      <c r="V3029" s="571" t="s">
        <v>9479</v>
      </c>
      <c r="W3029" s="747">
        <v>42587</v>
      </c>
      <c r="X3029" s="750">
        <v>42579</v>
      </c>
      <c r="Y3029" s="250" t="s">
        <v>9480</v>
      </c>
      <c r="Z3029" s="996">
        <v>22417</v>
      </c>
      <c r="AA3029" s="811">
        <v>42590</v>
      </c>
      <c r="AB3029" s="318" t="s">
        <v>9476</v>
      </c>
      <c r="AD3029" s="1091"/>
      <c r="AE3029" s="1091"/>
      <c r="AF3029" s="1091"/>
      <c r="AG3029" s="318" t="s">
        <v>283</v>
      </c>
    </row>
    <row r="3030" spans="1:33" ht="15.75" customHeight="1">
      <c r="A3030" s="256">
        <v>42536</v>
      </c>
      <c r="B3030" s="571" t="s">
        <v>4903</v>
      </c>
      <c r="C3030" s="744" t="s">
        <v>9467</v>
      </c>
      <c r="D3030" s="308" t="s">
        <v>9481</v>
      </c>
      <c r="E3030" s="571" t="s">
        <v>9469</v>
      </c>
      <c r="F3030" s="574">
        <v>7</v>
      </c>
      <c r="G3030" s="265">
        <v>866</v>
      </c>
      <c r="H3030" s="265">
        <f t="shared" si="189"/>
        <v>6062</v>
      </c>
      <c r="I3030" s="254" t="s">
        <v>3315</v>
      </c>
      <c r="J3030" s="401" t="s">
        <v>9470</v>
      </c>
      <c r="K3030" s="256">
        <v>42558</v>
      </c>
      <c r="L3030" s="256"/>
      <c r="M3030" s="264" t="s">
        <v>9471</v>
      </c>
      <c r="N3030" s="401" t="s">
        <v>9472</v>
      </c>
      <c r="O3030" s="250" t="s">
        <v>9482</v>
      </c>
      <c r="P3030" s="574">
        <v>5292</v>
      </c>
      <c r="Q3030" s="308"/>
      <c r="R3030" s="1410"/>
      <c r="S3030" s="1410"/>
      <c r="U3030" s="328"/>
      <c r="V3030" s="308" t="s">
        <v>9474</v>
      </c>
      <c r="W3030" s="624"/>
      <c r="X3030" s="750">
        <v>42562</v>
      </c>
      <c r="Y3030" s="420" t="s">
        <v>9475</v>
      </c>
      <c r="Z3030" s="1086" t="s">
        <v>9483</v>
      </c>
      <c r="AA3030" s="811">
        <v>42550</v>
      </c>
      <c r="AB3030" s="318" t="s">
        <v>9476</v>
      </c>
      <c r="AD3030" s="1091"/>
      <c r="AE3030" s="1091"/>
      <c r="AF3030" s="1091"/>
      <c r="AG3030" s="318" t="s">
        <v>283</v>
      </c>
    </row>
    <row r="3031" spans="1:33" ht="15.75" customHeight="1">
      <c r="A3031" s="256">
        <v>42536</v>
      </c>
      <c r="B3031" s="571" t="s">
        <v>4903</v>
      </c>
      <c r="C3031" s="744" t="s">
        <v>9467</v>
      </c>
      <c r="D3031" s="308" t="s">
        <v>9481</v>
      </c>
      <c r="E3031" s="571" t="s">
        <v>9477</v>
      </c>
      <c r="F3031" s="574">
        <v>1</v>
      </c>
      <c r="G3031" s="265">
        <f>1013-750</f>
        <v>263</v>
      </c>
      <c r="H3031" s="265">
        <f t="shared" si="189"/>
        <v>263</v>
      </c>
      <c r="I3031" s="254" t="s">
        <v>3315</v>
      </c>
      <c r="J3031" s="401" t="s">
        <v>9478</v>
      </c>
      <c r="K3031" s="256">
        <v>42558</v>
      </c>
      <c r="L3031" s="256"/>
      <c r="M3031" s="256"/>
      <c r="N3031" s="331"/>
      <c r="O3031" s="250"/>
      <c r="P3031" s="574"/>
      <c r="Q3031" s="308">
        <v>12806</v>
      </c>
      <c r="R3031" s="1410"/>
      <c r="S3031" s="1410"/>
      <c r="U3031" s="328"/>
      <c r="V3031" s="571" t="s">
        <v>9479</v>
      </c>
      <c r="W3031" s="747">
        <v>42587</v>
      </c>
      <c r="X3031" s="750">
        <v>42579</v>
      </c>
      <c r="Y3031" s="250" t="s">
        <v>9480</v>
      </c>
      <c r="Z3031" s="1086" t="s">
        <v>9484</v>
      </c>
      <c r="AA3031" s="811">
        <v>42590</v>
      </c>
      <c r="AB3031" s="318" t="s">
        <v>9476</v>
      </c>
      <c r="AD3031" s="1091"/>
      <c r="AE3031" s="1091"/>
      <c r="AF3031" s="1091"/>
      <c r="AG3031" s="318" t="s">
        <v>283</v>
      </c>
    </row>
    <row r="3032" spans="1:33" ht="15.75" customHeight="1">
      <c r="A3032" s="256">
        <v>42537</v>
      </c>
      <c r="B3032" s="571" t="s">
        <v>5981</v>
      </c>
      <c r="C3032" s="744">
        <v>7000122128</v>
      </c>
      <c r="D3032" s="308" t="s">
        <v>9485</v>
      </c>
      <c r="E3032" s="571" t="s">
        <v>4759</v>
      </c>
      <c r="F3032" s="574">
        <v>12</v>
      </c>
      <c r="G3032" s="265">
        <v>161</v>
      </c>
      <c r="H3032" s="265">
        <f t="shared" si="189"/>
        <v>1932</v>
      </c>
      <c r="I3032" s="254" t="s">
        <v>170</v>
      </c>
      <c r="J3032" s="401" t="s">
        <v>6092</v>
      </c>
      <c r="K3032" s="256">
        <v>42544</v>
      </c>
      <c r="L3032" s="256"/>
      <c r="M3032" s="256">
        <v>42541</v>
      </c>
      <c r="N3032" s="331" t="s">
        <v>3432</v>
      </c>
      <c r="O3032" s="250" t="s">
        <v>9486</v>
      </c>
      <c r="P3032" s="574"/>
      <c r="Q3032" s="308">
        <v>58061</v>
      </c>
      <c r="R3032" s="1410"/>
      <c r="S3032" s="1410"/>
      <c r="U3032" s="328"/>
      <c r="V3032" s="318" t="s">
        <v>8443</v>
      </c>
      <c r="W3032" s="747">
        <v>42587</v>
      </c>
      <c r="X3032" s="750">
        <v>42541</v>
      </c>
      <c r="Y3032" s="250" t="s">
        <v>9487</v>
      </c>
      <c r="Z3032" s="1086">
        <v>77717</v>
      </c>
      <c r="AA3032" s="811">
        <v>42586</v>
      </c>
      <c r="AB3032" s="318" t="s">
        <v>9448</v>
      </c>
      <c r="AD3032" s="1091"/>
      <c r="AE3032" s="1091"/>
      <c r="AF3032" s="1091"/>
      <c r="AG3032" s="318" t="s">
        <v>283</v>
      </c>
    </row>
    <row r="3033" spans="1:33" ht="15.75" customHeight="1">
      <c r="A3033" s="256">
        <v>42537</v>
      </c>
      <c r="B3033" s="571" t="s">
        <v>5981</v>
      </c>
      <c r="C3033" s="744">
        <v>7000122128</v>
      </c>
      <c r="D3033" s="308" t="s">
        <v>9485</v>
      </c>
      <c r="E3033" s="571" t="s">
        <v>3566</v>
      </c>
      <c r="F3033" s="574">
        <v>12</v>
      </c>
      <c r="G3033" s="265">
        <v>50</v>
      </c>
      <c r="H3033" s="265">
        <f t="shared" si="189"/>
        <v>600</v>
      </c>
      <c r="I3033" s="254" t="s">
        <v>170</v>
      </c>
      <c r="J3033" s="401" t="s">
        <v>6092</v>
      </c>
      <c r="K3033" s="256">
        <v>42544</v>
      </c>
      <c r="L3033" s="256"/>
      <c r="M3033" s="256">
        <v>42541</v>
      </c>
      <c r="N3033" s="331" t="s">
        <v>3432</v>
      </c>
      <c r="O3033" s="250" t="s">
        <v>9486</v>
      </c>
      <c r="P3033" s="574"/>
      <c r="Q3033" s="308">
        <v>19656</v>
      </c>
      <c r="R3033" s="1410"/>
      <c r="S3033" s="1410"/>
      <c r="U3033" s="328"/>
      <c r="V3033" s="318" t="s">
        <v>8443</v>
      </c>
      <c r="W3033" s="747">
        <v>42587</v>
      </c>
      <c r="X3033" s="750">
        <v>42541</v>
      </c>
      <c r="Y3033" s="250" t="s">
        <v>9487</v>
      </c>
      <c r="Z3033" s="1086" t="s">
        <v>9488</v>
      </c>
      <c r="AA3033" s="811">
        <v>42586</v>
      </c>
      <c r="AB3033" s="318" t="s">
        <v>9448</v>
      </c>
      <c r="AD3033" s="1091"/>
      <c r="AE3033" s="1091"/>
      <c r="AF3033" s="1091"/>
      <c r="AG3033" s="318" t="s">
        <v>283</v>
      </c>
    </row>
    <row r="3034" spans="1:33" ht="15.75" customHeight="1">
      <c r="A3034" s="256">
        <v>42537</v>
      </c>
      <c r="B3034" s="597" t="s">
        <v>3709</v>
      </c>
      <c r="C3034" s="744" t="s">
        <v>9489</v>
      </c>
      <c r="D3034" s="308" t="s">
        <v>9490</v>
      </c>
      <c r="E3034" s="571" t="s">
        <v>9491</v>
      </c>
      <c r="F3034" s="574">
        <v>2</v>
      </c>
      <c r="G3034" s="265">
        <v>295</v>
      </c>
      <c r="H3034" s="265">
        <f t="shared" si="189"/>
        <v>590</v>
      </c>
      <c r="I3034" s="254" t="s">
        <v>3712</v>
      </c>
      <c r="J3034" s="401" t="s">
        <v>6020</v>
      </c>
      <c r="K3034" s="594">
        <v>42548</v>
      </c>
      <c r="L3034" s="594"/>
      <c r="M3034" s="256">
        <v>42544</v>
      </c>
      <c r="N3034" s="401" t="s">
        <v>89</v>
      </c>
      <c r="O3034" s="250" t="s">
        <v>9492</v>
      </c>
      <c r="P3034" s="574">
        <v>533.4</v>
      </c>
      <c r="Q3034" s="328"/>
      <c r="R3034" s="1407"/>
      <c r="S3034" s="1407"/>
      <c r="U3034" s="328"/>
      <c r="V3034" s="318" t="s">
        <v>5896</v>
      </c>
      <c r="W3034" s="747">
        <v>42590</v>
      </c>
      <c r="X3034" s="750">
        <v>42538</v>
      </c>
      <c r="Y3034" s="250" t="s">
        <v>9493</v>
      </c>
      <c r="Z3034" s="996">
        <v>17298</v>
      </c>
      <c r="AA3034" s="811">
        <v>42590</v>
      </c>
      <c r="AB3034" s="250" t="s">
        <v>9494</v>
      </c>
      <c r="AD3034" s="1091"/>
      <c r="AE3034" s="1091"/>
      <c r="AF3034" s="1091"/>
      <c r="AG3034" s="318" t="s">
        <v>283</v>
      </c>
    </row>
    <row r="3035" spans="1:33" ht="15.75" customHeight="1">
      <c r="A3035" s="256">
        <v>42538</v>
      </c>
      <c r="B3035" s="338" t="s">
        <v>76</v>
      </c>
      <c r="C3035" s="744">
        <v>572</v>
      </c>
      <c r="D3035" s="308" t="s">
        <v>9495</v>
      </c>
      <c r="E3035" s="571" t="s">
        <v>7880</v>
      </c>
      <c r="F3035" s="574">
        <v>105</v>
      </c>
      <c r="G3035" s="265">
        <v>6.85</v>
      </c>
      <c r="H3035" s="265">
        <f t="shared" si="189"/>
        <v>719.25</v>
      </c>
      <c r="I3035" s="254" t="s">
        <v>170</v>
      </c>
      <c r="J3035" s="331" t="s">
        <v>6506</v>
      </c>
      <c r="K3035" s="256">
        <v>42544</v>
      </c>
      <c r="L3035" s="256"/>
      <c r="M3035" s="256">
        <v>42544</v>
      </c>
      <c r="N3035" s="331" t="s">
        <v>3608</v>
      </c>
      <c r="O3035" s="250" t="s">
        <v>9496</v>
      </c>
      <c r="P3035" s="574"/>
      <c r="Q3035" s="308">
        <v>19845</v>
      </c>
      <c r="R3035" s="1410"/>
      <c r="S3035" s="1410"/>
      <c r="U3035" s="328"/>
      <c r="V3035" s="318" t="s">
        <v>9497</v>
      </c>
      <c r="W3035" s="624"/>
      <c r="X3035" s="750">
        <v>42543</v>
      </c>
      <c r="Y3035" s="250" t="s">
        <v>9498</v>
      </c>
      <c r="Z3035" s="1086">
        <v>19845</v>
      </c>
      <c r="AA3035" s="811">
        <v>42557</v>
      </c>
      <c r="AB3035" s="318" t="s">
        <v>9404</v>
      </c>
      <c r="AD3035" s="1091"/>
      <c r="AE3035" s="1091"/>
      <c r="AF3035" s="1091"/>
      <c r="AG3035" s="318" t="s">
        <v>283</v>
      </c>
    </row>
    <row r="3036" spans="1:33" ht="15.75" customHeight="1">
      <c r="A3036" s="256">
        <v>42538</v>
      </c>
      <c r="B3036" s="338" t="s">
        <v>76</v>
      </c>
      <c r="C3036" s="744"/>
      <c r="D3036" s="328" t="s">
        <v>9499</v>
      </c>
      <c r="E3036" s="847" t="s">
        <v>9500</v>
      </c>
      <c r="F3036" s="574">
        <v>3</v>
      </c>
      <c r="G3036" s="265">
        <v>1</v>
      </c>
      <c r="H3036" s="265">
        <f t="shared" si="189"/>
        <v>3</v>
      </c>
      <c r="I3036" s="254" t="s">
        <v>170</v>
      </c>
      <c r="J3036" s="361" t="s">
        <v>315</v>
      </c>
      <c r="K3036" s="256">
        <v>42612</v>
      </c>
      <c r="L3036" s="256"/>
      <c r="M3036" s="256">
        <v>42578</v>
      </c>
      <c r="N3036" s="331"/>
      <c r="O3036" s="250"/>
      <c r="P3036" s="574"/>
      <c r="Q3036" s="328"/>
      <c r="R3036" s="1407"/>
      <c r="S3036" s="1407"/>
      <c r="U3036" s="328"/>
      <c r="V3036" s="318"/>
      <c r="W3036" s="624"/>
      <c r="X3036" s="328" t="s">
        <v>9499</v>
      </c>
      <c r="Y3036" s="328" t="s">
        <v>9499</v>
      </c>
      <c r="Z3036" s="386" t="s">
        <v>9499</v>
      </c>
      <c r="AA3036" s="811"/>
      <c r="AB3036" s="263" t="s">
        <v>9501</v>
      </c>
      <c r="AD3036" s="1091"/>
      <c r="AE3036" s="1091"/>
      <c r="AF3036" s="1091"/>
      <c r="AG3036" s="318"/>
    </row>
    <row r="3037" spans="1:33" ht="15.75" customHeight="1">
      <c r="A3037" s="256">
        <v>42541</v>
      </c>
      <c r="B3037" s="571" t="s">
        <v>100</v>
      </c>
      <c r="C3037" s="744" t="s">
        <v>9502</v>
      </c>
      <c r="D3037" s="308" t="s">
        <v>9503</v>
      </c>
      <c r="E3037" s="571" t="s">
        <v>3700</v>
      </c>
      <c r="F3037" s="574">
        <v>15</v>
      </c>
      <c r="G3037" s="265">
        <v>9</v>
      </c>
      <c r="H3037" s="265">
        <f t="shared" si="189"/>
        <v>135</v>
      </c>
      <c r="I3037" s="254" t="s">
        <v>3315</v>
      </c>
      <c r="J3037" s="331" t="s">
        <v>5810</v>
      </c>
      <c r="K3037" s="256">
        <v>42551</v>
      </c>
      <c r="L3037" s="256"/>
      <c r="M3037" s="256">
        <v>42548</v>
      </c>
      <c r="N3037" s="331" t="s">
        <v>1995</v>
      </c>
      <c r="O3037" s="250" t="s">
        <v>9504</v>
      </c>
      <c r="P3037" s="574"/>
      <c r="Q3037" s="328">
        <v>4057</v>
      </c>
      <c r="R3037" s="1407"/>
      <c r="S3037" s="1407"/>
      <c r="U3037" s="328"/>
      <c r="V3037" s="318" t="s">
        <v>9122</v>
      </c>
      <c r="W3037" s="1084">
        <v>42544</v>
      </c>
      <c r="X3037" s="750">
        <v>42545</v>
      </c>
      <c r="Y3037" s="250" t="s">
        <v>9505</v>
      </c>
      <c r="Z3037" s="1086">
        <v>4057</v>
      </c>
      <c r="AA3037" s="811">
        <v>42544</v>
      </c>
      <c r="AB3037" s="318" t="s">
        <v>9302</v>
      </c>
      <c r="AD3037" s="1091"/>
      <c r="AE3037" s="1091"/>
      <c r="AF3037" s="1091"/>
      <c r="AG3037" s="318" t="s">
        <v>283</v>
      </c>
    </row>
    <row r="3038" spans="1:33" ht="15.75" customHeight="1">
      <c r="A3038" s="256">
        <v>42541</v>
      </c>
      <c r="B3038" s="338" t="s">
        <v>76</v>
      </c>
      <c r="C3038" s="744">
        <v>593</v>
      </c>
      <c r="D3038" s="308" t="s">
        <v>9506</v>
      </c>
      <c r="E3038" s="571" t="s">
        <v>9507</v>
      </c>
      <c r="F3038" s="574">
        <v>1</v>
      </c>
      <c r="G3038" s="265">
        <v>270</v>
      </c>
      <c r="H3038" s="265">
        <f t="shared" si="189"/>
        <v>270</v>
      </c>
      <c r="I3038" s="254" t="s">
        <v>170</v>
      </c>
      <c r="J3038" s="401" t="s">
        <v>6506</v>
      </c>
      <c r="K3038" s="256">
        <v>42557</v>
      </c>
      <c r="L3038" s="256"/>
      <c r="M3038" s="256">
        <v>42557</v>
      </c>
      <c r="N3038" s="331" t="s">
        <v>1967</v>
      </c>
      <c r="O3038" s="250" t="s">
        <v>9508</v>
      </c>
      <c r="P3038" s="574"/>
      <c r="Q3038" s="308">
        <v>7489</v>
      </c>
      <c r="R3038" s="1410"/>
      <c r="S3038" s="1410"/>
      <c r="U3038" s="328"/>
      <c r="V3038" s="308" t="s">
        <v>1969</v>
      </c>
      <c r="W3038" s="747">
        <v>42618</v>
      </c>
      <c r="X3038" s="750">
        <v>42545</v>
      </c>
      <c r="Y3038" s="250" t="s">
        <v>9509</v>
      </c>
      <c r="Z3038" s="1086">
        <v>7489</v>
      </c>
      <c r="AA3038" s="811">
        <v>42619</v>
      </c>
      <c r="AB3038" s="318" t="s">
        <v>9510</v>
      </c>
      <c r="AD3038" s="1091"/>
      <c r="AE3038" s="1091"/>
      <c r="AF3038" s="1091"/>
      <c r="AG3038" s="318" t="s">
        <v>283</v>
      </c>
    </row>
    <row r="3039" spans="1:33" ht="11.25" customHeight="1">
      <c r="A3039" s="256">
        <v>42543</v>
      </c>
      <c r="B3039" s="571" t="s">
        <v>5981</v>
      </c>
      <c r="C3039" s="744">
        <v>7000122266</v>
      </c>
      <c r="D3039" s="308" t="s">
        <v>9511</v>
      </c>
      <c r="E3039" s="571" t="s">
        <v>9283</v>
      </c>
      <c r="F3039" s="574">
        <v>3</v>
      </c>
      <c r="G3039" s="265">
        <v>945</v>
      </c>
      <c r="H3039" s="265">
        <f t="shared" si="189"/>
        <v>2835</v>
      </c>
      <c r="I3039" s="254" t="s">
        <v>170</v>
      </c>
      <c r="J3039" s="756" t="s">
        <v>3462</v>
      </c>
      <c r="K3039" s="256">
        <v>42556</v>
      </c>
      <c r="L3039" s="256"/>
      <c r="M3039" s="256">
        <v>42552</v>
      </c>
      <c r="N3039" s="401" t="s">
        <v>3432</v>
      </c>
      <c r="O3039" s="250" t="s">
        <v>9512</v>
      </c>
      <c r="P3039" s="574"/>
      <c r="Q3039" s="308">
        <v>83812</v>
      </c>
      <c r="R3039" s="1410"/>
      <c r="S3039" s="1410"/>
      <c r="U3039" s="328"/>
      <c r="V3039" s="308" t="s">
        <v>8443</v>
      </c>
      <c r="W3039" s="747">
        <v>42587</v>
      </c>
      <c r="X3039" s="750">
        <v>42549</v>
      </c>
      <c r="Y3039" s="250" t="s">
        <v>9513</v>
      </c>
      <c r="Z3039" s="1086">
        <v>83812</v>
      </c>
      <c r="AA3039" s="811">
        <v>42586</v>
      </c>
      <c r="AB3039" s="318" t="s">
        <v>9514</v>
      </c>
      <c r="AD3039" s="1091"/>
      <c r="AE3039" s="1091"/>
      <c r="AF3039" s="1091"/>
      <c r="AG3039" s="318" t="s">
        <v>283</v>
      </c>
    </row>
    <row r="3040" spans="1:33" ht="15.75" customHeight="1">
      <c r="A3040" s="256">
        <v>42543</v>
      </c>
      <c r="B3040" s="571" t="s">
        <v>100</v>
      </c>
      <c r="C3040" s="744" t="s">
        <v>9515</v>
      </c>
      <c r="D3040" s="308" t="s">
        <v>9516</v>
      </c>
      <c r="E3040" s="571" t="s">
        <v>8714</v>
      </c>
      <c r="F3040" s="571">
        <v>2</v>
      </c>
      <c r="G3040" s="571">
        <v>575</v>
      </c>
      <c r="H3040" s="571">
        <f t="shared" si="189"/>
        <v>1150</v>
      </c>
      <c r="I3040" s="264" t="s">
        <v>3315</v>
      </c>
      <c r="J3040" s="756" t="s">
        <v>5810</v>
      </c>
      <c r="K3040" s="256">
        <v>42565</v>
      </c>
      <c r="L3040" s="256"/>
      <c r="M3040" s="256">
        <v>42563</v>
      </c>
      <c r="N3040" s="254" t="s">
        <v>1414</v>
      </c>
      <c r="O3040" s="250" t="s">
        <v>9517</v>
      </c>
      <c r="P3040" s="574"/>
      <c r="Q3040" s="308">
        <v>34722</v>
      </c>
      <c r="R3040" s="1410"/>
      <c r="S3040" s="1410"/>
      <c r="U3040" s="328"/>
      <c r="V3040" s="328" t="s">
        <v>1947</v>
      </c>
      <c r="W3040" s="747">
        <v>42587</v>
      </c>
      <c r="X3040" s="750">
        <v>42563</v>
      </c>
      <c r="Y3040" s="250" t="s">
        <v>9518</v>
      </c>
      <c r="Z3040" s="1086">
        <v>40849</v>
      </c>
      <c r="AA3040" s="811">
        <v>42590</v>
      </c>
      <c r="AB3040" s="318" t="s">
        <v>9307</v>
      </c>
      <c r="AD3040" s="1091"/>
      <c r="AE3040" s="1091"/>
      <c r="AF3040" s="1091"/>
      <c r="AG3040" s="318" t="s">
        <v>283</v>
      </c>
    </row>
    <row r="3041" spans="1:33" ht="15.75" customHeight="1">
      <c r="A3041" s="256">
        <v>42543</v>
      </c>
      <c r="B3041" s="571" t="s">
        <v>100</v>
      </c>
      <c r="C3041" s="744" t="s">
        <v>9515</v>
      </c>
      <c r="D3041" s="308" t="s">
        <v>9516</v>
      </c>
      <c r="E3041" s="571" t="s">
        <v>9519</v>
      </c>
      <c r="F3041" s="571">
        <v>2</v>
      </c>
      <c r="G3041" s="571">
        <v>380</v>
      </c>
      <c r="H3041" s="571">
        <f t="shared" si="189"/>
        <v>760</v>
      </c>
      <c r="I3041" s="264" t="s">
        <v>3315</v>
      </c>
      <c r="J3041" s="756" t="s">
        <v>5810</v>
      </c>
      <c r="K3041" s="256">
        <v>42565</v>
      </c>
      <c r="L3041" s="256"/>
      <c r="M3041" s="256">
        <v>42555</v>
      </c>
      <c r="N3041" s="401" t="s">
        <v>9520</v>
      </c>
      <c r="O3041" s="250" t="s">
        <v>9521</v>
      </c>
      <c r="P3041" s="574"/>
      <c r="Q3041" s="308">
        <v>24005</v>
      </c>
      <c r="R3041" s="1410"/>
      <c r="S3041" s="1410"/>
      <c r="U3041" s="328"/>
      <c r="V3041" s="263" t="s">
        <v>9522</v>
      </c>
      <c r="W3041" s="1084">
        <v>42550</v>
      </c>
      <c r="X3041" s="750">
        <v>42551</v>
      </c>
      <c r="Y3041" s="250" t="s">
        <v>9523</v>
      </c>
      <c r="Z3041" s="1086">
        <v>24005</v>
      </c>
      <c r="AA3041" s="811">
        <v>42550</v>
      </c>
      <c r="AB3041" s="318" t="s">
        <v>9307</v>
      </c>
      <c r="AD3041" s="1091"/>
      <c r="AE3041" s="1091"/>
      <c r="AF3041" s="1091"/>
      <c r="AG3041" s="318" t="s">
        <v>283</v>
      </c>
    </row>
    <row r="3042" spans="1:33" ht="15.75" customHeight="1">
      <c r="A3042" s="256">
        <v>42543</v>
      </c>
      <c r="B3042" s="571" t="s">
        <v>100</v>
      </c>
      <c r="C3042" s="744" t="s">
        <v>9515</v>
      </c>
      <c r="D3042" s="308" t="s">
        <v>9516</v>
      </c>
      <c r="E3042" s="571" t="s">
        <v>6119</v>
      </c>
      <c r="F3042" s="571">
        <v>2</v>
      </c>
      <c r="G3042" s="571">
        <v>62</v>
      </c>
      <c r="H3042" s="571">
        <f t="shared" si="189"/>
        <v>124</v>
      </c>
      <c r="I3042" s="264" t="s">
        <v>3315</v>
      </c>
      <c r="J3042" s="756" t="s">
        <v>5810</v>
      </c>
      <c r="K3042" s="256">
        <v>42565</v>
      </c>
      <c r="L3042" s="256"/>
      <c r="M3042" s="256">
        <v>42555</v>
      </c>
      <c r="N3042" s="401" t="s">
        <v>6735</v>
      </c>
      <c r="O3042" s="250" t="s">
        <v>9524</v>
      </c>
      <c r="P3042" s="574"/>
      <c r="Q3042" s="308">
        <v>2184</v>
      </c>
      <c r="R3042" s="1410"/>
      <c r="S3042" s="1410"/>
      <c r="U3042" s="328"/>
      <c r="V3042" s="318" t="s">
        <v>2126</v>
      </c>
      <c r="W3042" s="1084">
        <v>42550</v>
      </c>
      <c r="X3042" s="750">
        <v>42552</v>
      </c>
      <c r="Y3042" s="250" t="s">
        <v>9525</v>
      </c>
      <c r="Z3042" s="1086">
        <v>2184</v>
      </c>
      <c r="AA3042" s="811">
        <v>42550</v>
      </c>
      <c r="AB3042" s="318" t="s">
        <v>9307</v>
      </c>
      <c r="AD3042" s="1091"/>
      <c r="AE3042" s="1091"/>
      <c r="AF3042" s="1091"/>
      <c r="AG3042" s="318" t="s">
        <v>283</v>
      </c>
    </row>
    <row r="3043" spans="1:33" ht="15.75" customHeight="1">
      <c r="A3043" s="256">
        <v>42543</v>
      </c>
      <c r="B3043" s="571" t="s">
        <v>100</v>
      </c>
      <c r="C3043" s="744" t="s">
        <v>9515</v>
      </c>
      <c r="D3043" s="308" t="s">
        <v>9516</v>
      </c>
      <c r="E3043" s="571" t="s">
        <v>9526</v>
      </c>
      <c r="F3043" s="571">
        <v>2</v>
      </c>
      <c r="G3043" s="571">
        <v>94</v>
      </c>
      <c r="H3043" s="571">
        <f t="shared" si="189"/>
        <v>188</v>
      </c>
      <c r="I3043" s="264" t="s">
        <v>3315</v>
      </c>
      <c r="J3043" s="756" t="s">
        <v>5810</v>
      </c>
      <c r="K3043" s="256">
        <v>42565</v>
      </c>
      <c r="L3043" s="256"/>
      <c r="M3043" s="256">
        <v>42555</v>
      </c>
      <c r="N3043" s="401" t="s">
        <v>6735</v>
      </c>
      <c r="O3043" s="250" t="s">
        <v>9524</v>
      </c>
      <c r="P3043" s="574"/>
      <c r="Q3043" s="308">
        <v>5294</v>
      </c>
      <c r="R3043" s="1410"/>
      <c r="S3043" s="1410"/>
      <c r="U3043" s="328"/>
      <c r="V3043" s="308" t="s">
        <v>2126</v>
      </c>
      <c r="W3043" s="1084">
        <v>42550</v>
      </c>
      <c r="X3043" s="750">
        <v>42552</v>
      </c>
      <c r="Y3043" s="250" t="s">
        <v>9527</v>
      </c>
      <c r="Z3043" s="1086">
        <v>5288</v>
      </c>
      <c r="AA3043" s="811">
        <v>42550</v>
      </c>
      <c r="AB3043" s="318" t="s">
        <v>9307</v>
      </c>
      <c r="AD3043" s="1091"/>
      <c r="AE3043" s="1091"/>
      <c r="AF3043" s="1091"/>
      <c r="AG3043" s="318" t="s">
        <v>283</v>
      </c>
    </row>
    <row r="3044" spans="1:33" ht="15.75" customHeight="1">
      <c r="A3044" s="256">
        <v>42543</v>
      </c>
      <c r="B3044" s="571" t="s">
        <v>100</v>
      </c>
      <c r="C3044" s="744" t="s">
        <v>9515</v>
      </c>
      <c r="D3044" s="308" t="s">
        <v>9516</v>
      </c>
      <c r="E3044" s="571" t="s">
        <v>6109</v>
      </c>
      <c r="F3044" s="571">
        <v>2</v>
      </c>
      <c r="G3044" s="571">
        <v>38</v>
      </c>
      <c r="H3044" s="571">
        <f t="shared" si="189"/>
        <v>76</v>
      </c>
      <c r="I3044" s="264" t="s">
        <v>3315</v>
      </c>
      <c r="J3044" s="756" t="s">
        <v>5810</v>
      </c>
      <c r="K3044" s="256">
        <v>42565</v>
      </c>
      <c r="L3044" s="256"/>
      <c r="M3044" s="256">
        <v>42563</v>
      </c>
      <c r="N3044" s="264" t="s">
        <v>1414</v>
      </c>
      <c r="O3044" s="250" t="s">
        <v>9517</v>
      </c>
      <c r="P3044" s="574"/>
      <c r="Q3044" s="308">
        <v>2383</v>
      </c>
      <c r="R3044" s="1410"/>
      <c r="S3044" s="1410"/>
      <c r="U3044" s="328"/>
      <c r="V3044" s="386" t="s">
        <v>1947</v>
      </c>
      <c r="W3044" s="747">
        <v>42587</v>
      </c>
      <c r="X3044" s="750">
        <v>42563</v>
      </c>
      <c r="Y3044" s="250" t="s">
        <v>9518</v>
      </c>
      <c r="Z3044" s="1086" t="s">
        <v>9528</v>
      </c>
      <c r="AA3044" s="811">
        <v>42590</v>
      </c>
      <c r="AB3044" s="318" t="s">
        <v>9307</v>
      </c>
      <c r="AD3044" s="1091"/>
      <c r="AE3044" s="1091"/>
      <c r="AF3044" s="1091"/>
      <c r="AG3044" s="318" t="s">
        <v>283</v>
      </c>
    </row>
    <row r="3045" spans="1:33" ht="15.75" customHeight="1">
      <c r="A3045" s="256">
        <v>42543</v>
      </c>
      <c r="B3045" s="571" t="s">
        <v>100</v>
      </c>
      <c r="C3045" s="744" t="s">
        <v>9515</v>
      </c>
      <c r="D3045" s="308" t="s">
        <v>9516</v>
      </c>
      <c r="E3045" s="571" t="s">
        <v>6110</v>
      </c>
      <c r="F3045" s="571">
        <v>2</v>
      </c>
      <c r="G3045" s="571">
        <v>60</v>
      </c>
      <c r="H3045" s="571">
        <f t="shared" si="189"/>
        <v>120</v>
      </c>
      <c r="I3045" s="264" t="s">
        <v>3315</v>
      </c>
      <c r="J3045" s="756" t="s">
        <v>5810</v>
      </c>
      <c r="K3045" s="256">
        <v>42565</v>
      </c>
      <c r="L3045" s="256"/>
      <c r="M3045" s="256">
        <v>42563</v>
      </c>
      <c r="N3045" s="264" t="s">
        <v>1414</v>
      </c>
      <c r="O3045" s="250" t="s">
        <v>9517</v>
      </c>
      <c r="P3045" s="574"/>
      <c r="Q3045" s="308">
        <v>3744</v>
      </c>
      <c r="R3045" s="1410"/>
      <c r="S3045" s="1410"/>
      <c r="U3045" s="328"/>
      <c r="V3045" s="386" t="s">
        <v>1947</v>
      </c>
      <c r="W3045" s="747">
        <v>42587</v>
      </c>
      <c r="X3045" s="750">
        <v>42563</v>
      </c>
      <c r="Y3045" s="250" t="s">
        <v>9518</v>
      </c>
      <c r="Z3045" s="1086" t="s">
        <v>9528</v>
      </c>
      <c r="AA3045" s="811">
        <v>42590</v>
      </c>
      <c r="AB3045" s="318" t="s">
        <v>9307</v>
      </c>
      <c r="AD3045" s="1091"/>
      <c r="AE3045" s="1091"/>
      <c r="AF3045" s="1091"/>
      <c r="AG3045" s="318" t="s">
        <v>283</v>
      </c>
    </row>
    <row r="3046" spans="1:33" ht="15.75" customHeight="1">
      <c r="A3046" s="256">
        <v>42543</v>
      </c>
      <c r="B3046" s="571" t="s">
        <v>100</v>
      </c>
      <c r="C3046" s="744" t="s">
        <v>9515</v>
      </c>
      <c r="D3046" s="308" t="s">
        <v>9516</v>
      </c>
      <c r="E3046" s="571" t="s">
        <v>6111</v>
      </c>
      <c r="F3046" s="571">
        <v>2</v>
      </c>
      <c r="G3046" s="571">
        <v>237</v>
      </c>
      <c r="H3046" s="571">
        <f t="shared" si="189"/>
        <v>474</v>
      </c>
      <c r="I3046" s="264" t="s">
        <v>3315</v>
      </c>
      <c r="J3046" s="756" t="s">
        <v>5810</v>
      </c>
      <c r="K3046" s="256">
        <v>42565</v>
      </c>
      <c r="L3046" s="256"/>
      <c r="M3046" s="256">
        <v>42564</v>
      </c>
      <c r="N3046" s="401" t="s">
        <v>6112</v>
      </c>
      <c r="O3046" s="250" t="s">
        <v>9529</v>
      </c>
      <c r="P3046" s="574"/>
      <c r="Q3046" s="308">
        <v>12172</v>
      </c>
      <c r="R3046" s="1410"/>
      <c r="S3046" s="1410"/>
      <c r="U3046" s="328"/>
      <c r="V3046" s="318" t="s">
        <v>2109</v>
      </c>
      <c r="W3046" s="624">
        <v>42565</v>
      </c>
      <c r="X3046" s="1083">
        <v>42563</v>
      </c>
      <c r="Y3046" s="263" t="s">
        <v>9530</v>
      </c>
      <c r="Z3046" s="1086">
        <v>12172</v>
      </c>
      <c r="AA3046" s="811">
        <v>42565</v>
      </c>
      <c r="AB3046" s="318" t="s">
        <v>9307</v>
      </c>
      <c r="AD3046" s="1091"/>
      <c r="AE3046" s="1091"/>
      <c r="AF3046" s="1091"/>
      <c r="AG3046" s="318" t="s">
        <v>283</v>
      </c>
    </row>
    <row r="3047" spans="1:33" ht="15.75" customHeight="1">
      <c r="A3047" s="256">
        <v>42543</v>
      </c>
      <c r="B3047" s="571" t="s">
        <v>100</v>
      </c>
      <c r="C3047" s="744" t="s">
        <v>9515</v>
      </c>
      <c r="D3047" s="308" t="s">
        <v>9516</v>
      </c>
      <c r="E3047" s="571" t="s">
        <v>9531</v>
      </c>
      <c r="F3047" s="574">
        <v>1</v>
      </c>
      <c r="G3047" s="265">
        <v>176</v>
      </c>
      <c r="H3047" s="265">
        <f t="shared" si="189"/>
        <v>176</v>
      </c>
      <c r="I3047" s="264" t="s">
        <v>3315</v>
      </c>
      <c r="J3047" s="401"/>
      <c r="K3047" s="256">
        <v>42565</v>
      </c>
      <c r="L3047" s="256"/>
      <c r="M3047" s="264" t="s">
        <v>9532</v>
      </c>
      <c r="N3047" s="401"/>
      <c r="O3047" s="250"/>
      <c r="P3047" s="574"/>
      <c r="Q3047" s="308">
        <v>4536</v>
      </c>
      <c r="R3047" s="1410"/>
      <c r="S3047" s="1410"/>
      <c r="U3047" s="328"/>
      <c r="V3047" s="318" t="s">
        <v>5834</v>
      </c>
      <c r="W3047" s="747">
        <v>42603</v>
      </c>
      <c r="X3047" s="750">
        <v>42573</v>
      </c>
      <c r="Y3047" s="308" t="s">
        <v>9533</v>
      </c>
      <c r="Z3047" s="1086">
        <v>4536</v>
      </c>
      <c r="AA3047" s="811">
        <v>42604</v>
      </c>
      <c r="AB3047" s="318" t="s">
        <v>9307</v>
      </c>
      <c r="AD3047" s="1091"/>
      <c r="AE3047" s="1091"/>
      <c r="AF3047" s="1091"/>
      <c r="AG3047" s="318" t="s">
        <v>283</v>
      </c>
    </row>
    <row r="3048" spans="1:33" ht="15.75" customHeight="1">
      <c r="A3048" s="256">
        <v>42543</v>
      </c>
      <c r="B3048" s="571" t="s">
        <v>100</v>
      </c>
      <c r="C3048" s="744" t="s">
        <v>9534</v>
      </c>
      <c r="D3048" s="308" t="s">
        <v>9535</v>
      </c>
      <c r="E3048" s="571" t="s">
        <v>6461</v>
      </c>
      <c r="F3048" s="574">
        <v>5</v>
      </c>
      <c r="G3048" s="265">
        <v>141</v>
      </c>
      <c r="H3048" s="571">
        <f t="shared" si="189"/>
        <v>705</v>
      </c>
      <c r="I3048" s="264" t="s">
        <v>3315</v>
      </c>
      <c r="J3048" s="401" t="s">
        <v>9536</v>
      </c>
      <c r="K3048" s="256">
        <v>42569</v>
      </c>
      <c r="L3048" s="256"/>
      <c r="M3048" s="256">
        <v>42566</v>
      </c>
      <c r="N3048" s="401" t="s">
        <v>9537</v>
      </c>
      <c r="O3048" s="250" t="s">
        <v>9538</v>
      </c>
      <c r="P3048" s="337"/>
      <c r="Q3048" s="308">
        <v>20633</v>
      </c>
      <c r="R3048" s="1410"/>
      <c r="S3048" s="1410"/>
      <c r="U3048" s="328"/>
      <c r="V3048" s="318" t="s">
        <v>6186</v>
      </c>
      <c r="W3048" s="747">
        <v>42613</v>
      </c>
      <c r="X3048" s="750">
        <v>42565</v>
      </c>
      <c r="Y3048" s="250" t="s">
        <v>9539</v>
      </c>
      <c r="Z3048" s="996">
        <v>20633</v>
      </c>
      <c r="AA3048" s="811">
        <v>42613</v>
      </c>
      <c r="AB3048" s="318" t="s">
        <v>9460</v>
      </c>
      <c r="AD3048" s="1091"/>
      <c r="AE3048" s="1091"/>
      <c r="AF3048" s="1091"/>
      <c r="AG3048" s="318" t="s">
        <v>283</v>
      </c>
    </row>
    <row r="3049" spans="1:33" ht="15.75" customHeight="1">
      <c r="A3049" s="256">
        <v>42543</v>
      </c>
      <c r="B3049" s="597" t="s">
        <v>53</v>
      </c>
      <c r="C3049" s="744" t="s">
        <v>9540</v>
      </c>
      <c r="D3049" s="308" t="s">
        <v>9541</v>
      </c>
      <c r="E3049" s="571" t="s">
        <v>3632</v>
      </c>
      <c r="F3049" s="329">
        <v>4</v>
      </c>
      <c r="G3049" s="252">
        <v>150.15</v>
      </c>
      <c r="H3049" s="571">
        <f t="shared" si="189"/>
        <v>600.6</v>
      </c>
      <c r="I3049" s="254" t="s">
        <v>170</v>
      </c>
      <c r="J3049" s="401" t="s">
        <v>232</v>
      </c>
      <c r="K3049" s="256">
        <v>42544</v>
      </c>
      <c r="L3049" s="256"/>
      <c r="M3049" s="256"/>
      <c r="N3049" s="331" t="s">
        <v>89</v>
      </c>
      <c r="O3049" s="250" t="s">
        <v>9542</v>
      </c>
      <c r="P3049" s="574">
        <v>537.6</v>
      </c>
      <c r="Q3049" s="328"/>
      <c r="R3049" s="1407"/>
      <c r="S3049" s="1407"/>
      <c r="U3049" s="328"/>
      <c r="V3049" s="318" t="s">
        <v>5896</v>
      </c>
      <c r="W3049" s="747">
        <v>42590</v>
      </c>
      <c r="X3049" s="750">
        <v>42544</v>
      </c>
      <c r="Y3049" s="250" t="s">
        <v>9543</v>
      </c>
      <c r="Z3049" s="1086">
        <v>17407</v>
      </c>
      <c r="AA3049" s="811">
        <v>42590</v>
      </c>
      <c r="AB3049" s="318" t="s">
        <v>9544</v>
      </c>
      <c r="AD3049" s="386" t="s">
        <v>9545</v>
      </c>
      <c r="AE3049" s="1097">
        <v>19352</v>
      </c>
      <c r="AF3049" s="386" t="s">
        <v>9546</v>
      </c>
      <c r="AG3049" s="318" t="s">
        <v>283</v>
      </c>
    </row>
    <row r="3050" spans="1:33" ht="15.75" customHeight="1">
      <c r="A3050" s="256">
        <v>42543</v>
      </c>
      <c r="B3050" s="571" t="s">
        <v>5931</v>
      </c>
      <c r="C3050" s="744">
        <v>802530</v>
      </c>
      <c r="D3050" s="308" t="s">
        <v>9547</v>
      </c>
      <c r="E3050" s="571" t="s">
        <v>5933</v>
      </c>
      <c r="F3050" s="574">
        <v>25</v>
      </c>
      <c r="G3050" s="265">
        <v>78</v>
      </c>
      <c r="H3050" s="571">
        <f t="shared" si="189"/>
        <v>1950</v>
      </c>
      <c r="I3050" s="758" t="s">
        <v>3315</v>
      </c>
      <c r="J3050" s="331" t="s">
        <v>5934</v>
      </c>
      <c r="K3050" s="256">
        <v>42562</v>
      </c>
      <c r="L3050" s="256"/>
      <c r="M3050" s="256">
        <v>42555</v>
      </c>
      <c r="N3050" s="401" t="s">
        <v>5935</v>
      </c>
      <c r="O3050" s="308" t="s">
        <v>9548</v>
      </c>
      <c r="P3050" s="752"/>
      <c r="Q3050" s="308">
        <v>60113</v>
      </c>
      <c r="R3050" s="1410"/>
      <c r="S3050" s="1410"/>
      <c r="U3050" s="328"/>
      <c r="V3050" s="318" t="s">
        <v>8443</v>
      </c>
      <c r="W3050" s="747">
        <v>42597</v>
      </c>
      <c r="X3050" s="750">
        <v>42552</v>
      </c>
      <c r="Y3050" s="308" t="s">
        <v>9549</v>
      </c>
      <c r="Z3050" s="1086">
        <v>60113</v>
      </c>
      <c r="AA3050" s="811"/>
      <c r="AB3050" s="318" t="s">
        <v>9550</v>
      </c>
      <c r="AD3050" s="1091"/>
      <c r="AE3050" s="1091"/>
      <c r="AF3050" s="1091"/>
      <c r="AG3050" s="1092" t="s">
        <v>283</v>
      </c>
    </row>
    <row r="3051" spans="1:33" ht="15.75" customHeight="1">
      <c r="A3051" s="256">
        <v>42544</v>
      </c>
      <c r="B3051" s="571" t="s">
        <v>3347</v>
      </c>
      <c r="C3051" s="744"/>
      <c r="D3051" s="250" t="s">
        <v>9551</v>
      </c>
      <c r="E3051" s="571" t="s">
        <v>5894</v>
      </c>
      <c r="F3051" s="574">
        <v>10</v>
      </c>
      <c r="G3051" s="265">
        <v>364.8</v>
      </c>
      <c r="H3051" s="265">
        <f t="shared" si="189"/>
        <v>3648</v>
      </c>
      <c r="I3051" s="254" t="s">
        <v>170</v>
      </c>
      <c r="J3051" s="592" t="s">
        <v>3350</v>
      </c>
      <c r="K3051" s="256">
        <v>42562</v>
      </c>
      <c r="L3051" s="256"/>
      <c r="M3051" s="256">
        <v>42552</v>
      </c>
      <c r="N3051" s="401" t="s">
        <v>89</v>
      </c>
      <c r="O3051" s="250" t="s">
        <v>9552</v>
      </c>
      <c r="P3051" s="574">
        <v>3475.5</v>
      </c>
      <c r="Q3051" s="328"/>
      <c r="R3051" s="1407"/>
      <c r="S3051" s="1407"/>
      <c r="U3051" s="328"/>
      <c r="V3051" s="318" t="s">
        <v>5896</v>
      </c>
      <c r="W3051" s="747">
        <v>42618</v>
      </c>
      <c r="X3051" s="750">
        <v>42552</v>
      </c>
      <c r="Y3051" s="308" t="s">
        <v>9553</v>
      </c>
      <c r="Z3051" s="1086">
        <v>104345</v>
      </c>
      <c r="AA3051" s="811">
        <v>42608</v>
      </c>
      <c r="AB3051" s="318" t="s">
        <v>9176</v>
      </c>
      <c r="AD3051" s="1091"/>
      <c r="AE3051" s="1091"/>
      <c r="AF3051" s="1091"/>
      <c r="AG3051" s="318" t="s">
        <v>283</v>
      </c>
    </row>
    <row r="3052" spans="1:33" ht="15.75" customHeight="1">
      <c r="A3052" s="256">
        <v>42544</v>
      </c>
      <c r="B3052" s="571" t="s">
        <v>665</v>
      </c>
      <c r="C3052" s="744"/>
      <c r="D3052" s="308" t="s">
        <v>9554</v>
      </c>
      <c r="E3052" s="571" t="s">
        <v>3447</v>
      </c>
      <c r="F3052" s="574">
        <v>1</v>
      </c>
      <c r="G3052" s="265">
        <v>410</v>
      </c>
      <c r="H3052" s="265">
        <f t="shared" si="189"/>
        <v>410</v>
      </c>
      <c r="I3052" s="254" t="s">
        <v>170</v>
      </c>
      <c r="J3052" s="267" t="s">
        <v>9239</v>
      </c>
      <c r="K3052" s="811">
        <v>42551</v>
      </c>
      <c r="L3052" s="1477"/>
      <c r="M3052" s="256">
        <v>42549</v>
      </c>
      <c r="N3052" s="401" t="s">
        <v>89</v>
      </c>
      <c r="O3052" s="250" t="s">
        <v>9555</v>
      </c>
      <c r="P3052" s="574">
        <v>388.5</v>
      </c>
      <c r="Q3052" s="328"/>
      <c r="R3052" s="1407"/>
      <c r="S3052" s="1407"/>
      <c r="U3052" s="328"/>
      <c r="V3052" s="308" t="s">
        <v>5896</v>
      </c>
      <c r="W3052" s="747">
        <v>42590</v>
      </c>
      <c r="X3052" s="750">
        <v>42548</v>
      </c>
      <c r="Y3052" s="308" t="s">
        <v>9556</v>
      </c>
      <c r="Z3052" s="1086">
        <v>12580</v>
      </c>
      <c r="AA3052" s="811">
        <v>42590</v>
      </c>
      <c r="AB3052" s="318" t="s">
        <v>9557</v>
      </c>
      <c r="AD3052" s="1091"/>
      <c r="AE3052" s="1091"/>
      <c r="AF3052" s="1091"/>
      <c r="AG3052" s="318" t="s">
        <v>283</v>
      </c>
    </row>
    <row r="3053" spans="1:33" ht="15.75" customHeight="1">
      <c r="A3053" s="256">
        <v>42545</v>
      </c>
      <c r="B3053" s="338" t="s">
        <v>76</v>
      </c>
      <c r="C3053" s="744"/>
      <c r="D3053" s="308" t="s">
        <v>9558</v>
      </c>
      <c r="E3053" s="308" t="s">
        <v>9559</v>
      </c>
      <c r="F3053" s="574">
        <v>1</v>
      </c>
      <c r="G3053" s="265">
        <v>55</v>
      </c>
      <c r="H3053" s="265">
        <f t="shared" si="189"/>
        <v>55</v>
      </c>
      <c r="I3053" s="254" t="s">
        <v>170</v>
      </c>
      <c r="J3053" s="331" t="s">
        <v>1083</v>
      </c>
      <c r="K3053" s="811">
        <v>42572</v>
      </c>
      <c r="L3053" s="1477"/>
      <c r="M3053" s="256"/>
      <c r="N3053" s="401" t="s">
        <v>9560</v>
      </c>
      <c r="O3053" s="250"/>
      <c r="P3053" s="574"/>
      <c r="Q3053" s="328">
        <v>3019</v>
      </c>
      <c r="R3053" s="1407"/>
      <c r="S3053" s="1407"/>
      <c r="U3053" s="328"/>
      <c r="V3053" s="308"/>
      <c r="W3053" s="624"/>
      <c r="X3053" s="750">
        <v>42549</v>
      </c>
      <c r="Y3053" s="308" t="s">
        <v>9561</v>
      </c>
      <c r="Z3053" s="1086">
        <v>4071</v>
      </c>
      <c r="AA3053" s="811">
        <v>42544</v>
      </c>
      <c r="AB3053" s="318" t="s">
        <v>9053</v>
      </c>
      <c r="AD3053" s="1091"/>
      <c r="AE3053" s="1091"/>
      <c r="AF3053" s="1091"/>
      <c r="AG3053" s="318" t="s">
        <v>283</v>
      </c>
    </row>
    <row r="3054" spans="1:33" ht="15.75" customHeight="1">
      <c r="A3054" s="256">
        <v>42545</v>
      </c>
      <c r="B3054" s="338" t="s">
        <v>76</v>
      </c>
      <c r="C3054" s="744"/>
      <c r="D3054" s="308" t="s">
        <v>9558</v>
      </c>
      <c r="E3054" s="308" t="s">
        <v>9562</v>
      </c>
      <c r="F3054" s="574">
        <v>1</v>
      </c>
      <c r="G3054" s="265">
        <v>15</v>
      </c>
      <c r="H3054" s="265">
        <f t="shared" si="189"/>
        <v>15</v>
      </c>
      <c r="I3054" s="254" t="s">
        <v>170</v>
      </c>
      <c r="J3054" s="331" t="s">
        <v>1083</v>
      </c>
      <c r="K3054" s="256">
        <v>42572</v>
      </c>
      <c r="L3054" s="256"/>
      <c r="M3054" s="256"/>
      <c r="N3054" s="331" t="s">
        <v>9560</v>
      </c>
      <c r="O3054" s="250"/>
      <c r="P3054" s="574"/>
      <c r="Q3054" s="328">
        <v>1052</v>
      </c>
      <c r="R3054" s="1407"/>
      <c r="S3054" s="1407"/>
      <c r="U3054" s="328"/>
      <c r="V3054" s="318"/>
      <c r="W3054" s="624"/>
      <c r="X3054" s="750">
        <v>42549</v>
      </c>
      <c r="Y3054" s="308" t="s">
        <v>9561</v>
      </c>
      <c r="Z3054" s="254" t="s">
        <v>9563</v>
      </c>
      <c r="AA3054" s="811">
        <v>42544</v>
      </c>
      <c r="AB3054" s="318" t="s">
        <v>9053</v>
      </c>
      <c r="AD3054" s="1091"/>
      <c r="AE3054" s="1091"/>
      <c r="AF3054" s="1091"/>
      <c r="AG3054" s="318" t="s">
        <v>283</v>
      </c>
    </row>
    <row r="3055" spans="1:33" ht="15.75" customHeight="1">
      <c r="A3055" s="594">
        <v>42374</v>
      </c>
      <c r="B3055" s="597" t="s">
        <v>100</v>
      </c>
      <c r="C3055" s="744" t="s">
        <v>9564</v>
      </c>
      <c r="D3055" s="328" t="s">
        <v>9565</v>
      </c>
      <c r="E3055" s="597" t="s">
        <v>9566</v>
      </c>
      <c r="F3055" s="329">
        <v>6</v>
      </c>
      <c r="G3055" s="252">
        <v>1186</v>
      </c>
      <c r="H3055" s="1027">
        <f>F3055*G3055</f>
        <v>7116</v>
      </c>
      <c r="I3055" s="254" t="s">
        <v>170</v>
      </c>
      <c r="J3055" s="331" t="s">
        <v>8461</v>
      </c>
      <c r="K3055" s="256">
        <v>42398</v>
      </c>
      <c r="L3055" s="256"/>
      <c r="M3055" s="256">
        <v>42395</v>
      </c>
      <c r="N3055" s="367" t="s">
        <v>2001</v>
      </c>
      <c r="O3055" s="744" t="s">
        <v>9567</v>
      </c>
      <c r="P3055" s="328"/>
      <c r="Q3055" s="574">
        <v>229320</v>
      </c>
      <c r="R3055" s="1405"/>
      <c r="S3055" s="1405"/>
      <c r="U3055" s="328"/>
      <c r="V3055" s="328" t="s">
        <v>5901</v>
      </c>
      <c r="W3055" s="624">
        <v>42465</v>
      </c>
      <c r="X3055" s="1083">
        <v>42394</v>
      </c>
      <c r="Y3055" s="263" t="s">
        <v>9568</v>
      </c>
      <c r="Z3055" s="1086">
        <v>229320</v>
      </c>
      <c r="AA3055" s="1095">
        <v>42460</v>
      </c>
      <c r="AB3055" s="386" t="s">
        <v>8469</v>
      </c>
      <c r="AD3055" s="1091"/>
      <c r="AE3055" s="1104"/>
      <c r="AF3055" s="1091"/>
      <c r="AG3055" s="1091" t="s">
        <v>8415</v>
      </c>
    </row>
    <row r="3056" spans="1:33" ht="15.75" customHeight="1">
      <c r="A3056" s="256">
        <v>42548</v>
      </c>
      <c r="B3056" s="571" t="s">
        <v>4903</v>
      </c>
      <c r="C3056" s="744" t="s">
        <v>9107</v>
      </c>
      <c r="D3056" s="308" t="s">
        <v>9108</v>
      </c>
      <c r="E3056" s="571" t="s">
        <v>6398</v>
      </c>
      <c r="F3056" s="574">
        <v>12</v>
      </c>
      <c r="G3056" s="265">
        <v>293</v>
      </c>
      <c r="H3056" s="265">
        <f t="shared" ref="H3056:H3058" si="190">G3056*F3056</f>
        <v>3516</v>
      </c>
      <c r="I3056" s="254" t="s">
        <v>3315</v>
      </c>
      <c r="J3056" s="331" t="s">
        <v>8438</v>
      </c>
      <c r="K3056" s="256">
        <v>42604</v>
      </c>
      <c r="L3056" s="256"/>
      <c r="M3056" s="256">
        <v>42599</v>
      </c>
      <c r="N3056" s="331" t="s">
        <v>89</v>
      </c>
      <c r="O3056" s="250" t="s">
        <v>9569</v>
      </c>
      <c r="P3056" s="1027">
        <v>2863.2240000000002</v>
      </c>
      <c r="Q3056" s="328"/>
      <c r="R3056" s="1407"/>
      <c r="S3056" s="1407"/>
      <c r="U3056" s="328"/>
      <c r="V3056" s="318" t="s">
        <v>5896</v>
      </c>
      <c r="W3056" s="1096">
        <v>42618</v>
      </c>
      <c r="X3056" s="750">
        <v>42599</v>
      </c>
      <c r="Y3056" s="250" t="s">
        <v>9570</v>
      </c>
      <c r="Z3056" s="1086">
        <v>90177</v>
      </c>
      <c r="AA3056" s="811">
        <v>42621</v>
      </c>
      <c r="AB3056" s="318" t="s">
        <v>9011</v>
      </c>
      <c r="AD3056" s="1091"/>
      <c r="AE3056" s="1091"/>
      <c r="AF3056" s="1091"/>
      <c r="AG3056" s="318" t="s">
        <v>283</v>
      </c>
    </row>
    <row r="3057" spans="1:33" ht="15.75" customHeight="1">
      <c r="A3057" s="755">
        <v>42548</v>
      </c>
      <c r="B3057" s="338" t="s">
        <v>4903</v>
      </c>
      <c r="C3057" s="744" t="s">
        <v>9107</v>
      </c>
      <c r="D3057" s="308" t="s">
        <v>9108</v>
      </c>
      <c r="E3057" s="571" t="s">
        <v>7405</v>
      </c>
      <c r="F3057" s="574">
        <v>12</v>
      </c>
      <c r="G3057" s="265">
        <v>129</v>
      </c>
      <c r="H3057" s="265">
        <f t="shared" si="190"/>
        <v>1548</v>
      </c>
      <c r="I3057" s="254" t="s">
        <v>3315</v>
      </c>
      <c r="J3057" s="401" t="s">
        <v>8438</v>
      </c>
      <c r="K3057" s="256">
        <v>42604</v>
      </c>
      <c r="L3057" s="256"/>
      <c r="M3057" s="256">
        <v>42569</v>
      </c>
      <c r="N3057" s="331" t="s">
        <v>5935</v>
      </c>
      <c r="O3057" s="250" t="s">
        <v>9571</v>
      </c>
      <c r="P3057" s="574"/>
      <c r="Q3057" s="308">
        <v>46847</v>
      </c>
      <c r="R3057" s="1410"/>
      <c r="S3057" s="1410"/>
      <c r="U3057" s="328"/>
      <c r="V3057" s="318"/>
      <c r="W3057" s="747">
        <v>42597</v>
      </c>
      <c r="X3057" s="750">
        <v>42566</v>
      </c>
      <c r="Y3057" s="308" t="s">
        <v>9572</v>
      </c>
      <c r="Z3057" s="1086">
        <v>46847</v>
      </c>
      <c r="AA3057" s="811"/>
      <c r="AB3057" s="318" t="s">
        <v>9011</v>
      </c>
      <c r="AD3057" s="1091"/>
      <c r="AE3057" s="1091"/>
      <c r="AF3057" s="1091"/>
      <c r="AG3057" s="318" t="s">
        <v>283</v>
      </c>
    </row>
    <row r="3058" spans="1:33" ht="15.75" customHeight="1">
      <c r="A3058" s="755">
        <v>42548</v>
      </c>
      <c r="B3058" s="338" t="s">
        <v>5981</v>
      </c>
      <c r="C3058" s="744">
        <v>7000122391</v>
      </c>
      <c r="D3058" s="308" t="s">
        <v>9573</v>
      </c>
      <c r="E3058" s="571" t="s">
        <v>3490</v>
      </c>
      <c r="F3058" s="574">
        <v>1</v>
      </c>
      <c r="G3058" s="265">
        <v>385</v>
      </c>
      <c r="H3058" s="265">
        <f t="shared" si="190"/>
        <v>385</v>
      </c>
      <c r="I3058" s="254" t="s">
        <v>170</v>
      </c>
      <c r="J3058" s="756" t="s">
        <v>3462</v>
      </c>
      <c r="K3058" s="256">
        <v>42558</v>
      </c>
      <c r="L3058" s="256"/>
      <c r="M3058" s="256">
        <v>42556</v>
      </c>
      <c r="N3058" s="401" t="s">
        <v>5935</v>
      </c>
      <c r="O3058" s="308" t="s">
        <v>9574</v>
      </c>
      <c r="P3058" s="574"/>
      <c r="Q3058" s="308">
        <v>11603</v>
      </c>
      <c r="R3058" s="1410"/>
      <c r="S3058" s="1410"/>
      <c r="U3058" s="328"/>
      <c r="V3058" s="308" t="s">
        <v>8443</v>
      </c>
      <c r="W3058" s="624"/>
      <c r="X3058" s="750">
        <v>42552</v>
      </c>
      <c r="Y3058" s="308" t="s">
        <v>9575</v>
      </c>
      <c r="Z3058" s="1086">
        <v>11603</v>
      </c>
      <c r="AA3058" s="811">
        <v>42557</v>
      </c>
      <c r="AB3058" s="318" t="s">
        <v>9576</v>
      </c>
      <c r="AD3058" s="1091"/>
      <c r="AE3058" s="1091"/>
      <c r="AF3058" s="1091"/>
      <c r="AG3058" s="318" t="s">
        <v>283</v>
      </c>
    </row>
    <row r="3059" spans="1:33" ht="15.75" customHeight="1">
      <c r="A3059" s="775">
        <v>42549</v>
      </c>
      <c r="B3059" s="765" t="s">
        <v>100</v>
      </c>
      <c r="C3059" s="768" t="s">
        <v>9577</v>
      </c>
      <c r="D3059" s="777" t="s">
        <v>9578</v>
      </c>
      <c r="E3059" s="1115" t="s">
        <v>9579</v>
      </c>
      <c r="F3059" s="837">
        <v>1</v>
      </c>
      <c r="G3059" s="279">
        <v>146</v>
      </c>
      <c r="H3059" s="279">
        <v>0</v>
      </c>
      <c r="I3059" s="280" t="s">
        <v>3315</v>
      </c>
      <c r="J3059" s="401"/>
      <c r="K3059" s="256"/>
      <c r="L3059" s="256"/>
      <c r="M3059" s="256"/>
      <c r="N3059" s="331"/>
      <c r="O3059" s="250"/>
      <c r="P3059" s="574"/>
      <c r="Q3059" s="328"/>
      <c r="R3059" s="1407"/>
      <c r="S3059" s="1407"/>
      <c r="U3059" s="328"/>
      <c r="V3059" s="318"/>
      <c r="W3059" s="624"/>
      <c r="X3059" s="973"/>
      <c r="Y3059" s="973"/>
      <c r="Z3059" s="1126"/>
      <c r="AA3059" s="1114"/>
      <c r="AB3059" s="1092"/>
      <c r="AD3059" s="1091"/>
      <c r="AE3059" s="1091"/>
      <c r="AF3059" s="1091"/>
      <c r="AG3059" s="318"/>
    </row>
    <row r="3060" spans="1:33" ht="15.75" customHeight="1">
      <c r="A3060" s="755">
        <v>42549</v>
      </c>
      <c r="B3060" s="338" t="s">
        <v>5981</v>
      </c>
      <c r="C3060" s="744">
        <v>7000122465</v>
      </c>
      <c r="D3060" s="308" t="s">
        <v>9580</v>
      </c>
      <c r="E3060" s="571" t="s">
        <v>9581</v>
      </c>
      <c r="F3060" s="574">
        <v>2</v>
      </c>
      <c r="G3060" s="265">
        <v>50</v>
      </c>
      <c r="H3060" s="265">
        <f t="shared" ref="H3060:H3083" si="191">G3060*F3060</f>
        <v>100</v>
      </c>
      <c r="I3060" s="254" t="s">
        <v>170</v>
      </c>
      <c r="J3060" s="401" t="s">
        <v>3462</v>
      </c>
      <c r="K3060" s="256">
        <v>42558</v>
      </c>
      <c r="L3060" s="256"/>
      <c r="M3060" s="256">
        <v>42556</v>
      </c>
      <c r="N3060" s="331" t="s">
        <v>5935</v>
      </c>
      <c r="O3060" s="308" t="s">
        <v>9582</v>
      </c>
      <c r="P3060" s="574"/>
      <c r="Q3060" s="308">
        <v>2835</v>
      </c>
      <c r="R3060" s="1410"/>
      <c r="S3060" s="1410"/>
      <c r="U3060" s="328"/>
      <c r="V3060" s="318" t="s">
        <v>8443</v>
      </c>
      <c r="W3060" s="747">
        <v>42597</v>
      </c>
      <c r="X3060" s="750">
        <v>42552</v>
      </c>
      <c r="Y3060" s="308" t="s">
        <v>9583</v>
      </c>
      <c r="Z3060" s="1086">
        <v>5809</v>
      </c>
      <c r="AA3060" s="811"/>
      <c r="AB3060" s="318" t="s">
        <v>9576</v>
      </c>
      <c r="AD3060" s="1091"/>
      <c r="AE3060" s="1091"/>
      <c r="AF3060" s="1091"/>
      <c r="AG3060" s="318" t="s">
        <v>283</v>
      </c>
    </row>
    <row r="3061" spans="1:33" ht="15.75" customHeight="1">
      <c r="A3061" s="755">
        <v>42549</v>
      </c>
      <c r="B3061" s="338" t="s">
        <v>5981</v>
      </c>
      <c r="C3061" s="744">
        <v>7000122465</v>
      </c>
      <c r="D3061" s="308" t="s">
        <v>9580</v>
      </c>
      <c r="E3061" s="571" t="s">
        <v>9584</v>
      </c>
      <c r="F3061" s="574">
        <v>2</v>
      </c>
      <c r="G3061" s="265">
        <v>52</v>
      </c>
      <c r="H3061" s="265">
        <f t="shared" si="191"/>
        <v>104</v>
      </c>
      <c r="I3061" s="254" t="s">
        <v>170</v>
      </c>
      <c r="J3061" s="401" t="s">
        <v>3462</v>
      </c>
      <c r="K3061" s="256">
        <v>42558</v>
      </c>
      <c r="L3061" s="256"/>
      <c r="M3061" s="256">
        <v>42556</v>
      </c>
      <c r="N3061" s="331" t="s">
        <v>5935</v>
      </c>
      <c r="O3061" s="308" t="s">
        <v>9582</v>
      </c>
      <c r="P3061" s="574"/>
      <c r="Q3061" s="308">
        <v>2974</v>
      </c>
      <c r="R3061" s="1410"/>
      <c r="S3061" s="1410"/>
      <c r="U3061" s="328"/>
      <c r="V3061" s="318" t="s">
        <v>8443</v>
      </c>
      <c r="W3061" s="747">
        <v>42597</v>
      </c>
      <c r="X3061" s="750">
        <v>42552</v>
      </c>
      <c r="Y3061" s="308" t="s">
        <v>9583</v>
      </c>
      <c r="Z3061" s="254" t="s">
        <v>9585</v>
      </c>
      <c r="AA3061" s="811"/>
      <c r="AB3061" s="318" t="s">
        <v>9576</v>
      </c>
      <c r="AD3061" s="1091"/>
      <c r="AE3061" s="1091"/>
      <c r="AF3061" s="1091"/>
      <c r="AG3061" s="318" t="s">
        <v>283</v>
      </c>
    </row>
    <row r="3062" spans="1:33" ht="15.75" customHeight="1">
      <c r="A3062" s="755">
        <v>42550</v>
      </c>
      <c r="B3062" s="338" t="s">
        <v>5981</v>
      </c>
      <c r="C3062" s="744">
        <v>7000122478</v>
      </c>
      <c r="D3062" s="308" t="s">
        <v>9586</v>
      </c>
      <c r="E3062" s="571" t="s">
        <v>9587</v>
      </c>
      <c r="F3062" s="574">
        <v>1</v>
      </c>
      <c r="G3062" s="265">
        <v>102</v>
      </c>
      <c r="H3062" s="265">
        <f t="shared" si="191"/>
        <v>102</v>
      </c>
      <c r="I3062" s="254" t="s">
        <v>170</v>
      </c>
      <c r="J3062" s="401" t="s">
        <v>3462</v>
      </c>
      <c r="K3062" s="256">
        <v>42558</v>
      </c>
      <c r="L3062" s="256"/>
      <c r="M3062" s="256">
        <v>42557</v>
      </c>
      <c r="N3062" s="401" t="s">
        <v>5935</v>
      </c>
      <c r="O3062" s="308" t="s">
        <v>9588</v>
      </c>
      <c r="P3062" s="574"/>
      <c r="Q3062" s="308">
        <v>2987</v>
      </c>
      <c r="R3062" s="1410"/>
      <c r="S3062" s="1410"/>
      <c r="U3062" s="328"/>
      <c r="V3062" s="308" t="s">
        <v>8443</v>
      </c>
      <c r="W3062" s="747">
        <v>42597</v>
      </c>
      <c r="X3062" s="1083">
        <v>42556</v>
      </c>
      <c r="Y3062" s="318" t="s">
        <v>9589</v>
      </c>
      <c r="Z3062" s="1086">
        <v>2987</v>
      </c>
      <c r="AA3062" s="811"/>
      <c r="AB3062" s="318" t="s">
        <v>9576</v>
      </c>
      <c r="AD3062" s="1091"/>
      <c r="AE3062" s="1091"/>
      <c r="AF3062" s="1091"/>
      <c r="AG3062" s="318" t="s">
        <v>283</v>
      </c>
    </row>
    <row r="3063" spans="1:33" ht="15.75" customHeight="1">
      <c r="A3063" s="755">
        <v>42550</v>
      </c>
      <c r="B3063" s="338" t="s">
        <v>5931</v>
      </c>
      <c r="C3063" s="744"/>
      <c r="D3063" s="308" t="s">
        <v>9590</v>
      </c>
      <c r="E3063" s="571" t="s">
        <v>9591</v>
      </c>
      <c r="F3063" s="574">
        <v>10</v>
      </c>
      <c r="G3063" s="265">
        <v>11</v>
      </c>
      <c r="H3063" s="265">
        <f t="shared" si="191"/>
        <v>110</v>
      </c>
      <c r="I3063" s="758" t="s">
        <v>3315</v>
      </c>
      <c r="J3063" s="401" t="s">
        <v>5934</v>
      </c>
      <c r="K3063" s="256">
        <v>42562</v>
      </c>
      <c r="L3063" s="256"/>
      <c r="M3063" s="256">
        <v>42555</v>
      </c>
      <c r="N3063" s="401" t="s">
        <v>9592</v>
      </c>
      <c r="O3063" s="250">
        <v>20160701009809</v>
      </c>
      <c r="P3063" s="574"/>
      <c r="Q3063" s="308">
        <v>2590</v>
      </c>
      <c r="R3063" s="1410"/>
      <c r="S3063" s="1410"/>
      <c r="U3063" s="328"/>
      <c r="V3063" s="308" t="s">
        <v>9593</v>
      </c>
      <c r="W3063" s="624"/>
      <c r="X3063" s="750">
        <v>42552</v>
      </c>
      <c r="Y3063" s="308" t="s">
        <v>9594</v>
      </c>
      <c r="Z3063" s="996">
        <v>2590</v>
      </c>
      <c r="AA3063" s="811">
        <v>42552</v>
      </c>
      <c r="AB3063" s="318" t="s">
        <v>9550</v>
      </c>
      <c r="AD3063" s="1091"/>
      <c r="AE3063" s="1091"/>
      <c r="AF3063" s="1091"/>
      <c r="AG3063" s="1092" t="s">
        <v>283</v>
      </c>
    </row>
    <row r="3064" spans="1:33" ht="15.75" customHeight="1">
      <c r="A3064" s="755">
        <v>42550</v>
      </c>
      <c r="B3064" s="338" t="s">
        <v>5931</v>
      </c>
      <c r="C3064" s="744"/>
      <c r="D3064" s="308" t="s">
        <v>9590</v>
      </c>
      <c r="E3064" s="571" t="s">
        <v>692</v>
      </c>
      <c r="F3064" s="574">
        <v>1</v>
      </c>
      <c r="G3064" s="464">
        <v>25</v>
      </c>
      <c r="H3064" s="265">
        <f t="shared" si="191"/>
        <v>25</v>
      </c>
      <c r="I3064" s="758" t="s">
        <v>3315</v>
      </c>
      <c r="J3064" s="331"/>
      <c r="K3064" s="256">
        <v>42562</v>
      </c>
      <c r="L3064" s="256"/>
      <c r="M3064" s="256"/>
      <c r="N3064" s="401"/>
      <c r="O3064" s="250"/>
      <c r="P3064" s="574"/>
      <c r="Q3064" s="328"/>
      <c r="R3064" s="1407"/>
      <c r="S3064" s="1407"/>
      <c r="U3064" s="328"/>
      <c r="V3064" s="308"/>
      <c r="W3064" s="624"/>
      <c r="X3064" s="308" t="s">
        <v>5529</v>
      </c>
      <c r="Y3064" s="308" t="s">
        <v>5529</v>
      </c>
      <c r="Z3064" s="318" t="s">
        <v>5529</v>
      </c>
      <c r="AA3064" s="811"/>
      <c r="AB3064" s="318" t="s">
        <v>9550</v>
      </c>
      <c r="AD3064" s="1091"/>
      <c r="AE3064" s="1091"/>
      <c r="AF3064" s="1091"/>
      <c r="AG3064" s="1092" t="s">
        <v>283</v>
      </c>
    </row>
    <row r="3065" spans="1:33" ht="15.75" customHeight="1">
      <c r="A3065" s="755">
        <v>42551</v>
      </c>
      <c r="B3065" s="592" t="s">
        <v>629</v>
      </c>
      <c r="C3065" s="744" t="s">
        <v>9595</v>
      </c>
      <c r="D3065" s="308" t="s">
        <v>9596</v>
      </c>
      <c r="E3065" s="571" t="s">
        <v>4107</v>
      </c>
      <c r="F3065" s="574">
        <v>20</v>
      </c>
      <c r="G3065" s="464">
        <v>164.85</v>
      </c>
      <c r="H3065" s="265">
        <f t="shared" si="191"/>
        <v>3297</v>
      </c>
      <c r="I3065" s="254" t="s">
        <v>170</v>
      </c>
      <c r="J3065" s="331" t="s">
        <v>8971</v>
      </c>
      <c r="K3065" s="256">
        <v>42565</v>
      </c>
      <c r="L3065" s="256"/>
      <c r="M3065" s="256">
        <v>42564</v>
      </c>
      <c r="N3065" s="401" t="s">
        <v>9597</v>
      </c>
      <c r="O3065" s="250" t="s">
        <v>9598</v>
      </c>
      <c r="P3065" s="574"/>
      <c r="Q3065" s="308">
        <v>101850</v>
      </c>
      <c r="R3065" s="1410"/>
      <c r="S3065" s="1410"/>
      <c r="U3065" s="328"/>
      <c r="V3065" s="308" t="s">
        <v>2214</v>
      </c>
      <c r="W3065" s="624"/>
      <c r="X3065" s="750">
        <v>42563</v>
      </c>
      <c r="Y3065" s="308" t="s">
        <v>9599</v>
      </c>
      <c r="Z3065" s="996">
        <v>101850</v>
      </c>
      <c r="AA3065" s="811">
        <v>42558</v>
      </c>
      <c r="AB3065" s="318" t="s">
        <v>9377</v>
      </c>
      <c r="AD3065" s="386" t="s">
        <v>9378</v>
      </c>
      <c r="AE3065" s="1088" t="s">
        <v>9600</v>
      </c>
      <c r="AF3065" s="386" t="s">
        <v>8968</v>
      </c>
      <c r="AG3065" s="1092"/>
    </row>
    <row r="3066" spans="1:33" ht="15.75" customHeight="1">
      <c r="A3066" s="755">
        <v>42551</v>
      </c>
      <c r="B3066" s="592" t="s">
        <v>629</v>
      </c>
      <c r="C3066" s="970" t="s">
        <v>9595</v>
      </c>
      <c r="D3066" s="308" t="s">
        <v>9601</v>
      </c>
      <c r="E3066" s="571" t="s">
        <v>4107</v>
      </c>
      <c r="F3066" s="574">
        <v>20</v>
      </c>
      <c r="G3066" s="265">
        <v>164.85</v>
      </c>
      <c r="H3066" s="265">
        <f t="shared" si="191"/>
        <v>3297</v>
      </c>
      <c r="I3066" s="264" t="s">
        <v>170</v>
      </c>
      <c r="J3066" s="401" t="s">
        <v>8971</v>
      </c>
      <c r="K3066" s="256">
        <v>42565</v>
      </c>
      <c r="L3066" s="256"/>
      <c r="M3066" s="256">
        <v>42563</v>
      </c>
      <c r="N3066" s="401" t="s">
        <v>9602</v>
      </c>
      <c r="O3066" s="250" t="s">
        <v>9603</v>
      </c>
      <c r="P3066" s="574"/>
      <c r="Q3066" s="308">
        <v>101850</v>
      </c>
      <c r="R3066" s="1410"/>
      <c r="S3066" s="1410"/>
      <c r="U3066" s="328"/>
      <c r="V3066" s="318" t="s">
        <v>6321</v>
      </c>
      <c r="W3066" s="624"/>
      <c r="X3066" s="750">
        <v>42564</v>
      </c>
      <c r="Y3066" s="250" t="s">
        <v>9604</v>
      </c>
      <c r="Z3066" s="996">
        <v>101850</v>
      </c>
      <c r="AA3066" s="811">
        <v>42558</v>
      </c>
      <c r="AB3066" s="318" t="s">
        <v>9377</v>
      </c>
      <c r="AD3066" s="386" t="s">
        <v>9378</v>
      </c>
      <c r="AE3066" s="1088" t="s">
        <v>9600</v>
      </c>
      <c r="AF3066" s="386" t="s">
        <v>8968</v>
      </c>
      <c r="AG3066" s="1092"/>
    </row>
    <row r="3067" spans="1:33" ht="15.75" customHeight="1">
      <c r="A3067" s="755">
        <v>42552</v>
      </c>
      <c r="B3067" s="592" t="s">
        <v>53</v>
      </c>
      <c r="C3067" s="970" t="s">
        <v>9605</v>
      </c>
      <c r="D3067" s="308" t="s">
        <v>9606</v>
      </c>
      <c r="E3067" s="571" t="s">
        <v>3632</v>
      </c>
      <c r="F3067" s="329">
        <v>4</v>
      </c>
      <c r="G3067" s="252">
        <v>150.15</v>
      </c>
      <c r="H3067" s="571">
        <f t="shared" si="191"/>
        <v>600.6</v>
      </c>
      <c r="I3067" s="254" t="s">
        <v>8429</v>
      </c>
      <c r="J3067" s="401" t="s">
        <v>232</v>
      </c>
      <c r="K3067" s="256">
        <v>42569</v>
      </c>
      <c r="L3067" s="256"/>
      <c r="M3067" s="256"/>
      <c r="N3067" s="331" t="s">
        <v>89</v>
      </c>
      <c r="O3067" s="250" t="s">
        <v>9607</v>
      </c>
      <c r="P3067" s="574">
        <v>537.6</v>
      </c>
      <c r="Q3067" s="328"/>
      <c r="R3067" s="1407"/>
      <c r="S3067" s="1407"/>
      <c r="U3067" s="328"/>
      <c r="V3067" s="318" t="s">
        <v>5896</v>
      </c>
      <c r="W3067" s="747">
        <v>42618</v>
      </c>
      <c r="X3067" s="750">
        <v>42566</v>
      </c>
      <c r="Y3067" s="250" t="s">
        <v>9608</v>
      </c>
      <c r="Z3067" s="996">
        <v>17319</v>
      </c>
      <c r="AA3067" s="811">
        <v>42608</v>
      </c>
      <c r="AB3067" s="318" t="s">
        <v>9609</v>
      </c>
      <c r="AD3067" s="386" t="s">
        <v>9610</v>
      </c>
      <c r="AE3067" s="1097">
        <v>19189</v>
      </c>
      <c r="AF3067" s="386" t="s">
        <v>9611</v>
      </c>
      <c r="AG3067" s="1092"/>
    </row>
    <row r="3068" spans="1:33" ht="15.75" customHeight="1">
      <c r="A3068" s="755">
        <v>42555</v>
      </c>
      <c r="B3068" s="338" t="s">
        <v>76</v>
      </c>
      <c r="C3068" s="970">
        <v>636</v>
      </c>
      <c r="D3068" s="308" t="s">
        <v>9612</v>
      </c>
      <c r="E3068" s="595" t="s">
        <v>361</v>
      </c>
      <c r="F3068" s="574">
        <v>100</v>
      </c>
      <c r="G3068" s="265">
        <v>20</v>
      </c>
      <c r="H3068" s="265">
        <f t="shared" si="191"/>
        <v>2000</v>
      </c>
      <c r="I3068" s="254" t="s">
        <v>170</v>
      </c>
      <c r="J3068" s="267" t="s">
        <v>315</v>
      </c>
      <c r="K3068" s="256">
        <v>42565</v>
      </c>
      <c r="L3068" s="256"/>
      <c r="M3068" s="256">
        <v>42563</v>
      </c>
      <c r="N3068" s="367" t="s">
        <v>6101</v>
      </c>
      <c r="O3068" s="250" t="s">
        <v>9613</v>
      </c>
      <c r="P3068" s="337"/>
      <c r="Q3068" s="308">
        <v>58847</v>
      </c>
      <c r="R3068" s="1410"/>
      <c r="S3068" s="1410"/>
      <c r="U3068" s="328"/>
      <c r="V3068" s="386" t="s">
        <v>2010</v>
      </c>
      <c r="W3068" s="747">
        <v>42577</v>
      </c>
      <c r="X3068" s="750">
        <v>42563</v>
      </c>
      <c r="Y3068" s="308" t="s">
        <v>9614</v>
      </c>
      <c r="Z3068" s="1086">
        <v>58847</v>
      </c>
      <c r="AA3068" s="811">
        <v>42577</v>
      </c>
      <c r="AB3068" s="318" t="s">
        <v>9615</v>
      </c>
      <c r="AD3068" s="1091"/>
      <c r="AE3068" s="1091"/>
      <c r="AF3068" s="1091"/>
      <c r="AG3068" s="318" t="s">
        <v>283</v>
      </c>
    </row>
    <row r="3069" spans="1:33" ht="15.75" customHeight="1">
      <c r="A3069" s="755">
        <v>42555</v>
      </c>
      <c r="B3069" s="571" t="s">
        <v>3347</v>
      </c>
      <c r="C3069" s="970"/>
      <c r="D3069" s="308" t="s">
        <v>9616</v>
      </c>
      <c r="E3069" s="328" t="s">
        <v>9617</v>
      </c>
      <c r="F3069" s="574">
        <v>1</v>
      </c>
      <c r="G3069" s="265">
        <v>0</v>
      </c>
      <c r="H3069" s="265">
        <f t="shared" si="191"/>
        <v>0</v>
      </c>
      <c r="I3069" s="254" t="s">
        <v>170</v>
      </c>
      <c r="J3069" s="592" t="s">
        <v>3350</v>
      </c>
      <c r="K3069" s="256">
        <v>42562</v>
      </c>
      <c r="L3069" s="256"/>
      <c r="M3069" s="256"/>
      <c r="N3069" s="401"/>
      <c r="O3069" s="250"/>
      <c r="P3069" s="574"/>
      <c r="Q3069" s="328"/>
      <c r="R3069" s="1407"/>
      <c r="S3069" s="1407"/>
      <c r="U3069" s="328"/>
      <c r="V3069" s="318"/>
      <c r="W3069" s="624"/>
      <c r="X3069" s="750">
        <v>42719</v>
      </c>
      <c r="Y3069" s="250" t="s">
        <v>9618</v>
      </c>
      <c r="Z3069" s="996">
        <v>795</v>
      </c>
      <c r="AA3069" s="1114"/>
      <c r="AB3069" s="1092"/>
      <c r="AD3069" s="1091"/>
      <c r="AE3069" s="1091"/>
      <c r="AF3069" s="1091"/>
      <c r="AG3069" s="318" t="s">
        <v>8882</v>
      </c>
    </row>
    <row r="3070" spans="1:33" ht="15.75" customHeight="1">
      <c r="A3070" s="755">
        <v>42555</v>
      </c>
      <c r="B3070" s="571" t="s">
        <v>3347</v>
      </c>
      <c r="C3070" s="970"/>
      <c r="D3070" s="308" t="s">
        <v>9619</v>
      </c>
      <c r="E3070" s="257" t="s">
        <v>9620</v>
      </c>
      <c r="F3070" s="574">
        <v>1</v>
      </c>
      <c r="G3070" s="265">
        <v>0</v>
      </c>
      <c r="H3070" s="265">
        <f t="shared" si="191"/>
        <v>0</v>
      </c>
      <c r="I3070" s="254" t="s">
        <v>170</v>
      </c>
      <c r="J3070" s="592" t="s">
        <v>3350</v>
      </c>
      <c r="K3070" s="865">
        <v>42719</v>
      </c>
      <c r="L3070" s="865"/>
      <c r="M3070" s="256">
        <v>42584</v>
      </c>
      <c r="N3070" s="331" t="s">
        <v>9621</v>
      </c>
      <c r="O3070" s="250"/>
      <c r="P3070" s="574"/>
      <c r="Q3070" s="770">
        <v>795</v>
      </c>
      <c r="R3070" s="1447"/>
      <c r="S3070" s="1447"/>
      <c r="U3070" s="328"/>
      <c r="V3070" s="318"/>
      <c r="W3070" s="624"/>
      <c r="X3070" s="308" t="s">
        <v>9622</v>
      </c>
      <c r="Y3070" s="308" t="s">
        <v>9622</v>
      </c>
      <c r="Z3070" s="318" t="s">
        <v>9622</v>
      </c>
      <c r="AA3070" s="1114"/>
      <c r="AB3070" s="1092"/>
      <c r="AD3070" s="1091"/>
      <c r="AE3070" s="1091"/>
      <c r="AF3070" s="1091"/>
      <c r="AG3070" s="318" t="s">
        <v>8882</v>
      </c>
    </row>
    <row r="3071" spans="1:33" ht="15.75" customHeight="1">
      <c r="A3071" s="755">
        <v>42556</v>
      </c>
      <c r="B3071" s="338" t="s">
        <v>100</v>
      </c>
      <c r="C3071" s="970" t="s">
        <v>9623</v>
      </c>
      <c r="D3071" s="308" t="s">
        <v>9624</v>
      </c>
      <c r="E3071" s="571" t="s">
        <v>9625</v>
      </c>
      <c r="F3071" s="574">
        <v>2</v>
      </c>
      <c r="G3071" s="265">
        <v>409</v>
      </c>
      <c r="H3071" s="265">
        <f t="shared" si="191"/>
        <v>818</v>
      </c>
      <c r="I3071" s="254" t="s">
        <v>3315</v>
      </c>
      <c r="J3071" s="401" t="s">
        <v>5810</v>
      </c>
      <c r="K3071" s="256">
        <v>42580</v>
      </c>
      <c r="L3071" s="256"/>
      <c r="M3071" s="256">
        <v>42572</v>
      </c>
      <c r="N3071" s="264" t="s">
        <v>1414</v>
      </c>
      <c r="O3071" s="250" t="s">
        <v>9626</v>
      </c>
      <c r="P3071" s="574"/>
      <c r="Q3071" s="308">
        <v>24480</v>
      </c>
      <c r="R3071" s="1410"/>
      <c r="S3071" s="1410"/>
      <c r="U3071" s="328"/>
      <c r="V3071" s="386" t="s">
        <v>1947</v>
      </c>
      <c r="W3071" s="747">
        <v>42587</v>
      </c>
      <c r="X3071" s="750">
        <v>42572</v>
      </c>
      <c r="Y3071" s="308" t="s">
        <v>9627</v>
      </c>
      <c r="Z3071" s="1086">
        <v>24820</v>
      </c>
      <c r="AA3071" s="811">
        <v>42590</v>
      </c>
      <c r="AB3071" s="250" t="s">
        <v>9628</v>
      </c>
      <c r="AD3071" s="1091"/>
      <c r="AE3071" s="1091"/>
      <c r="AF3071" s="1091"/>
      <c r="AG3071" s="386" t="s">
        <v>283</v>
      </c>
    </row>
    <row r="3072" spans="1:33" ht="15.75" customHeight="1">
      <c r="A3072" s="755">
        <v>42556</v>
      </c>
      <c r="B3072" s="338" t="s">
        <v>100</v>
      </c>
      <c r="C3072" s="970" t="s">
        <v>9623</v>
      </c>
      <c r="D3072" s="308" t="s">
        <v>9624</v>
      </c>
      <c r="E3072" s="571" t="s">
        <v>9629</v>
      </c>
      <c r="F3072" s="574">
        <v>2</v>
      </c>
      <c r="G3072" s="265">
        <v>36</v>
      </c>
      <c r="H3072" s="265">
        <f t="shared" si="191"/>
        <v>72</v>
      </c>
      <c r="I3072" s="254" t="s">
        <v>3315</v>
      </c>
      <c r="J3072" s="401" t="s">
        <v>5810</v>
      </c>
      <c r="K3072" s="256">
        <v>42580</v>
      </c>
      <c r="L3072" s="256"/>
      <c r="M3072" s="256">
        <v>42565</v>
      </c>
      <c r="N3072" s="401" t="s">
        <v>6735</v>
      </c>
      <c r="O3072" s="250" t="s">
        <v>9630</v>
      </c>
      <c r="P3072" s="574"/>
      <c r="Q3072" s="308">
        <v>1103</v>
      </c>
      <c r="R3072" s="1410"/>
      <c r="S3072" s="1410"/>
      <c r="U3072" s="328"/>
      <c r="V3072" s="318" t="s">
        <v>2126</v>
      </c>
      <c r="W3072" s="624">
        <v>42565</v>
      </c>
      <c r="X3072" s="750">
        <v>42565</v>
      </c>
      <c r="Y3072" s="308" t="s">
        <v>9631</v>
      </c>
      <c r="Z3072" s="1086">
        <v>3965</v>
      </c>
      <c r="AA3072" s="811">
        <v>42565</v>
      </c>
      <c r="AB3072" s="250" t="s">
        <v>9628</v>
      </c>
      <c r="AD3072" s="1091"/>
      <c r="AE3072" s="1091"/>
      <c r="AF3072" s="1091"/>
      <c r="AG3072" s="386" t="s">
        <v>283</v>
      </c>
    </row>
    <row r="3073" spans="1:33" ht="15.75" customHeight="1">
      <c r="A3073" s="755">
        <v>42556</v>
      </c>
      <c r="B3073" s="338" t="s">
        <v>100</v>
      </c>
      <c r="C3073" s="970" t="s">
        <v>9623</v>
      </c>
      <c r="D3073" s="308" t="s">
        <v>9624</v>
      </c>
      <c r="E3073" s="571" t="s">
        <v>9632</v>
      </c>
      <c r="F3073" s="574">
        <v>2</v>
      </c>
      <c r="G3073" s="265">
        <v>55</v>
      </c>
      <c r="H3073" s="265">
        <f t="shared" si="191"/>
        <v>110</v>
      </c>
      <c r="I3073" s="254" t="s">
        <v>3315</v>
      </c>
      <c r="J3073" s="401" t="s">
        <v>5810</v>
      </c>
      <c r="K3073" s="256">
        <v>42580</v>
      </c>
      <c r="L3073" s="256"/>
      <c r="M3073" s="256"/>
      <c r="N3073" s="401" t="s">
        <v>6735</v>
      </c>
      <c r="O3073" s="250" t="s">
        <v>9630</v>
      </c>
      <c r="P3073" s="574"/>
      <c r="Q3073" s="308">
        <v>2863</v>
      </c>
      <c r="R3073" s="1410"/>
      <c r="S3073" s="1410"/>
      <c r="U3073" s="328"/>
      <c r="V3073" s="318" t="s">
        <v>2126</v>
      </c>
      <c r="W3073" s="624">
        <v>42565</v>
      </c>
      <c r="X3073" s="750">
        <v>42565</v>
      </c>
      <c r="Y3073" s="308" t="s">
        <v>9631</v>
      </c>
      <c r="Z3073" s="1086" t="s">
        <v>9633</v>
      </c>
      <c r="AA3073" s="811">
        <v>42565</v>
      </c>
      <c r="AB3073" s="250" t="s">
        <v>9628</v>
      </c>
      <c r="AD3073" s="1091"/>
      <c r="AE3073" s="1091"/>
      <c r="AF3073" s="1091"/>
      <c r="AG3073" s="386" t="s">
        <v>283</v>
      </c>
    </row>
    <row r="3074" spans="1:33" ht="15.75" customHeight="1">
      <c r="A3074" s="755">
        <v>42556</v>
      </c>
      <c r="B3074" s="338" t="s">
        <v>100</v>
      </c>
      <c r="C3074" s="970" t="s">
        <v>9623</v>
      </c>
      <c r="D3074" s="308" t="s">
        <v>9624</v>
      </c>
      <c r="E3074" s="308" t="s">
        <v>9634</v>
      </c>
      <c r="F3074" s="574">
        <v>2</v>
      </c>
      <c r="G3074" s="265">
        <v>6</v>
      </c>
      <c r="H3074" s="265">
        <f t="shared" si="191"/>
        <v>12</v>
      </c>
      <c r="I3074" s="254" t="s">
        <v>3315</v>
      </c>
      <c r="J3074" s="401" t="s">
        <v>5810</v>
      </c>
      <c r="K3074" s="256">
        <v>42580</v>
      </c>
      <c r="L3074" s="256"/>
      <c r="M3074" s="256">
        <v>42572</v>
      </c>
      <c r="N3074" s="264" t="s">
        <v>1414</v>
      </c>
      <c r="O3074" s="250" t="s">
        <v>9626</v>
      </c>
      <c r="P3074" s="574"/>
      <c r="Q3074" s="308">
        <v>340</v>
      </c>
      <c r="R3074" s="1410"/>
      <c r="S3074" s="1410"/>
      <c r="U3074" s="328"/>
      <c r="V3074" s="386" t="s">
        <v>1947</v>
      </c>
      <c r="W3074" s="747">
        <v>42587</v>
      </c>
      <c r="X3074" s="750">
        <v>42572</v>
      </c>
      <c r="Y3074" s="308" t="s">
        <v>9627</v>
      </c>
      <c r="Z3074" s="1086" t="s">
        <v>9635</v>
      </c>
      <c r="AA3074" s="811">
        <v>42590</v>
      </c>
      <c r="AB3074" s="250" t="s">
        <v>9628</v>
      </c>
      <c r="AD3074" s="1091"/>
      <c r="AE3074" s="1091"/>
      <c r="AF3074" s="1091"/>
      <c r="AG3074" s="386" t="s">
        <v>283</v>
      </c>
    </row>
    <row r="3075" spans="1:33" ht="15.75" customHeight="1">
      <c r="A3075" s="755">
        <v>42556</v>
      </c>
      <c r="B3075" s="338" t="s">
        <v>100</v>
      </c>
      <c r="C3075" s="970" t="s">
        <v>9623</v>
      </c>
      <c r="D3075" s="308" t="s">
        <v>9624</v>
      </c>
      <c r="E3075" s="308" t="s">
        <v>346</v>
      </c>
      <c r="F3075" s="571">
        <v>1</v>
      </c>
      <c r="G3075" s="571">
        <v>70</v>
      </c>
      <c r="H3075" s="265">
        <f t="shared" si="191"/>
        <v>70</v>
      </c>
      <c r="I3075" s="254" t="s">
        <v>3315</v>
      </c>
      <c r="J3075" s="401" t="s">
        <v>5810</v>
      </c>
      <c r="K3075" s="256">
        <v>42580</v>
      </c>
      <c r="L3075" s="256"/>
      <c r="M3075" s="623"/>
      <c r="N3075" s="264" t="s">
        <v>1999</v>
      </c>
      <c r="O3075" s="250"/>
      <c r="P3075" s="574"/>
      <c r="Q3075" s="308">
        <v>4083</v>
      </c>
      <c r="R3075" s="1410"/>
      <c r="S3075" s="1410"/>
      <c r="U3075" s="328"/>
      <c r="V3075" s="386" t="s">
        <v>2000</v>
      </c>
      <c r="W3075" s="747">
        <v>42624</v>
      </c>
      <c r="X3075" s="750">
        <v>42594</v>
      </c>
      <c r="Y3075" s="250" t="s">
        <v>5838</v>
      </c>
      <c r="Z3075" s="264" t="s">
        <v>5839</v>
      </c>
      <c r="AA3075" s="811">
        <v>42619</v>
      </c>
      <c r="AB3075" s="250" t="s">
        <v>9628</v>
      </c>
      <c r="AD3075" s="1091"/>
      <c r="AE3075" s="1091"/>
      <c r="AF3075" s="1091"/>
      <c r="AG3075" s="386" t="s">
        <v>283</v>
      </c>
    </row>
    <row r="3076" spans="1:33" ht="15.75" customHeight="1">
      <c r="A3076" s="755">
        <v>42556</v>
      </c>
      <c r="B3076" s="338" t="s">
        <v>100</v>
      </c>
      <c r="C3076" s="744" t="s">
        <v>9636</v>
      </c>
      <c r="D3076" s="308" t="s">
        <v>9637</v>
      </c>
      <c r="E3076" s="308" t="s">
        <v>8714</v>
      </c>
      <c r="F3076" s="571">
        <v>1</v>
      </c>
      <c r="G3076" s="571">
        <v>575</v>
      </c>
      <c r="H3076" s="265">
        <f t="shared" si="191"/>
        <v>575</v>
      </c>
      <c r="I3076" s="254" t="s">
        <v>3315</v>
      </c>
      <c r="J3076" s="401" t="s">
        <v>5810</v>
      </c>
      <c r="K3076" s="256">
        <v>42580</v>
      </c>
      <c r="L3076" s="256"/>
      <c r="M3076" s="256">
        <v>42579</v>
      </c>
      <c r="N3076" s="264" t="s">
        <v>1414</v>
      </c>
      <c r="O3076" s="250" t="s">
        <v>9638</v>
      </c>
      <c r="P3076" s="574"/>
      <c r="Q3076" s="308">
        <v>17297</v>
      </c>
      <c r="R3076" s="1410"/>
      <c r="S3076" s="1410"/>
      <c r="U3076" s="328"/>
      <c r="V3076" s="386" t="s">
        <v>1947</v>
      </c>
      <c r="W3076" s="747">
        <v>42587</v>
      </c>
      <c r="X3076" s="750">
        <v>42577</v>
      </c>
      <c r="Y3076" s="250" t="s">
        <v>9639</v>
      </c>
      <c r="Z3076" s="996">
        <v>20350</v>
      </c>
      <c r="AA3076" s="811">
        <v>42590</v>
      </c>
      <c r="AB3076" s="250" t="s">
        <v>9628</v>
      </c>
      <c r="AD3076" s="1091"/>
      <c r="AE3076" s="1091"/>
      <c r="AF3076" s="1091"/>
      <c r="AG3076" s="386" t="s">
        <v>283</v>
      </c>
    </row>
    <row r="3077" spans="1:33" ht="15.75" customHeight="1">
      <c r="A3077" s="755">
        <v>42556</v>
      </c>
      <c r="B3077" s="338" t="s">
        <v>100</v>
      </c>
      <c r="C3077" s="744" t="s">
        <v>9636</v>
      </c>
      <c r="D3077" s="308" t="s">
        <v>9637</v>
      </c>
      <c r="E3077" s="571" t="s">
        <v>9519</v>
      </c>
      <c r="F3077" s="571">
        <v>1</v>
      </c>
      <c r="G3077" s="571">
        <v>380</v>
      </c>
      <c r="H3077" s="265">
        <f t="shared" si="191"/>
        <v>380</v>
      </c>
      <c r="I3077" s="254" t="s">
        <v>3315</v>
      </c>
      <c r="J3077" s="401" t="s">
        <v>5810</v>
      </c>
      <c r="K3077" s="256">
        <v>42580</v>
      </c>
      <c r="L3077" s="256"/>
      <c r="M3077" s="256">
        <v>42577</v>
      </c>
      <c r="N3077" s="331" t="s">
        <v>9520</v>
      </c>
      <c r="O3077" s="250" t="s">
        <v>9640</v>
      </c>
      <c r="P3077" s="574"/>
      <c r="Q3077" s="308">
        <v>12040</v>
      </c>
      <c r="R3077" s="1410"/>
      <c r="S3077" s="1410"/>
      <c r="U3077" s="328"/>
      <c r="V3077" s="308" t="s">
        <v>9522</v>
      </c>
      <c r="W3077" s="624">
        <v>42565</v>
      </c>
      <c r="X3077" s="750">
        <v>42576</v>
      </c>
      <c r="Y3077" s="250" t="s">
        <v>9641</v>
      </c>
      <c r="Z3077" s="996">
        <v>12040</v>
      </c>
      <c r="AA3077" s="811">
        <v>42573</v>
      </c>
      <c r="AB3077" s="250" t="s">
        <v>9628</v>
      </c>
      <c r="AD3077" s="1091"/>
      <c r="AE3077" s="1091"/>
      <c r="AF3077" s="1091"/>
      <c r="AG3077" s="386" t="s">
        <v>283</v>
      </c>
    </row>
    <row r="3078" spans="1:33" ht="15.75" customHeight="1">
      <c r="A3078" s="755">
        <v>42556</v>
      </c>
      <c r="B3078" s="338" t="s">
        <v>100</v>
      </c>
      <c r="C3078" s="744" t="s">
        <v>9636</v>
      </c>
      <c r="D3078" s="308" t="s">
        <v>9637</v>
      </c>
      <c r="E3078" s="571" t="s">
        <v>6119</v>
      </c>
      <c r="F3078" s="571">
        <v>1</v>
      </c>
      <c r="G3078" s="571">
        <v>62</v>
      </c>
      <c r="H3078" s="265">
        <f t="shared" si="191"/>
        <v>62</v>
      </c>
      <c r="I3078" s="254" t="s">
        <v>3315</v>
      </c>
      <c r="J3078" s="401" t="s">
        <v>5810</v>
      </c>
      <c r="K3078" s="256">
        <v>42580</v>
      </c>
      <c r="L3078" s="256"/>
      <c r="M3078" s="256">
        <v>42569</v>
      </c>
      <c r="N3078" s="401" t="s">
        <v>6735</v>
      </c>
      <c r="O3078" s="250" t="s">
        <v>9642</v>
      </c>
      <c r="P3078" s="574"/>
      <c r="Q3078" s="308">
        <v>1038</v>
      </c>
      <c r="R3078" s="1410"/>
      <c r="S3078" s="1410"/>
      <c r="U3078" s="328"/>
      <c r="V3078" s="318" t="s">
        <v>2126</v>
      </c>
      <c r="W3078" s="624">
        <v>42565</v>
      </c>
      <c r="X3078" s="750">
        <v>42566</v>
      </c>
      <c r="Y3078" s="308" t="s">
        <v>9643</v>
      </c>
      <c r="Z3078" s="1086">
        <v>3533</v>
      </c>
      <c r="AA3078" s="811">
        <v>42565</v>
      </c>
      <c r="AB3078" s="250" t="s">
        <v>9628</v>
      </c>
      <c r="AD3078" s="1091"/>
      <c r="AE3078" s="1091"/>
      <c r="AF3078" s="1091"/>
      <c r="AG3078" s="386" t="s">
        <v>283</v>
      </c>
    </row>
    <row r="3079" spans="1:33" ht="15.75" customHeight="1">
      <c r="A3079" s="755">
        <v>42556</v>
      </c>
      <c r="B3079" s="338" t="s">
        <v>100</v>
      </c>
      <c r="C3079" s="744" t="s">
        <v>9636</v>
      </c>
      <c r="D3079" s="308" t="s">
        <v>9637</v>
      </c>
      <c r="E3079" s="571" t="s">
        <v>9526</v>
      </c>
      <c r="F3079" s="571">
        <v>1</v>
      </c>
      <c r="G3079" s="571">
        <v>94</v>
      </c>
      <c r="H3079" s="265">
        <f t="shared" si="191"/>
        <v>94</v>
      </c>
      <c r="I3079" s="254" t="s">
        <v>3315</v>
      </c>
      <c r="J3079" s="401" t="s">
        <v>5810</v>
      </c>
      <c r="K3079" s="256">
        <v>42580</v>
      </c>
      <c r="L3079" s="256"/>
      <c r="M3079" s="256">
        <v>42569</v>
      </c>
      <c r="N3079" s="401" t="s">
        <v>6735</v>
      </c>
      <c r="O3079" s="250" t="s">
        <v>9642</v>
      </c>
      <c r="P3079" s="574"/>
      <c r="Q3079" s="308">
        <v>2496</v>
      </c>
      <c r="R3079" s="1410"/>
      <c r="S3079" s="1410"/>
      <c r="U3079" s="328"/>
      <c r="V3079" s="318" t="s">
        <v>2126</v>
      </c>
      <c r="W3079" s="624">
        <v>42565</v>
      </c>
      <c r="X3079" s="750">
        <v>42566</v>
      </c>
      <c r="Y3079" s="308" t="s">
        <v>9643</v>
      </c>
      <c r="Z3079" s="1086" t="s">
        <v>9644</v>
      </c>
      <c r="AA3079" s="811">
        <v>42565</v>
      </c>
      <c r="AB3079" s="250" t="s">
        <v>9628</v>
      </c>
      <c r="AD3079" s="1091"/>
      <c r="AE3079" s="1091"/>
      <c r="AF3079" s="1091"/>
      <c r="AG3079" s="386" t="s">
        <v>283</v>
      </c>
    </row>
    <row r="3080" spans="1:33" ht="15.75" customHeight="1">
      <c r="A3080" s="755">
        <v>42556</v>
      </c>
      <c r="B3080" s="338" t="s">
        <v>100</v>
      </c>
      <c r="C3080" s="744" t="s">
        <v>9636</v>
      </c>
      <c r="D3080" s="308" t="s">
        <v>9637</v>
      </c>
      <c r="E3080" s="571" t="s">
        <v>6109</v>
      </c>
      <c r="F3080" s="571">
        <v>1</v>
      </c>
      <c r="G3080" s="571">
        <v>38</v>
      </c>
      <c r="H3080" s="265">
        <f t="shared" si="191"/>
        <v>38</v>
      </c>
      <c r="I3080" s="254" t="s">
        <v>3315</v>
      </c>
      <c r="J3080" s="401" t="s">
        <v>5810</v>
      </c>
      <c r="K3080" s="256">
        <v>42580</v>
      </c>
      <c r="L3080" s="256"/>
      <c r="M3080" s="256">
        <v>42579</v>
      </c>
      <c r="N3080" s="264" t="s">
        <v>1414</v>
      </c>
      <c r="O3080" s="250" t="s">
        <v>9638</v>
      </c>
      <c r="P3080" s="574"/>
      <c r="Q3080" s="308">
        <v>1188</v>
      </c>
      <c r="R3080" s="1410"/>
      <c r="S3080" s="1410"/>
      <c r="U3080" s="328"/>
      <c r="V3080" s="386" t="s">
        <v>1947</v>
      </c>
      <c r="W3080" s="747">
        <v>42587</v>
      </c>
      <c r="X3080" s="750">
        <v>42577</v>
      </c>
      <c r="Y3080" s="250" t="s">
        <v>9639</v>
      </c>
      <c r="Z3080" s="1086" t="s">
        <v>9645</v>
      </c>
      <c r="AA3080" s="811">
        <v>42590</v>
      </c>
      <c r="AB3080" s="250" t="s">
        <v>9628</v>
      </c>
      <c r="AD3080" s="1091"/>
      <c r="AE3080" s="1091"/>
      <c r="AF3080" s="1091"/>
      <c r="AG3080" s="386" t="s">
        <v>283</v>
      </c>
    </row>
    <row r="3081" spans="1:33" ht="15.75" customHeight="1">
      <c r="A3081" s="755">
        <v>42556</v>
      </c>
      <c r="B3081" s="338" t="s">
        <v>100</v>
      </c>
      <c r="C3081" s="744" t="s">
        <v>9636</v>
      </c>
      <c r="D3081" s="308" t="s">
        <v>9637</v>
      </c>
      <c r="E3081" s="571" t="s">
        <v>6110</v>
      </c>
      <c r="F3081" s="571">
        <v>1</v>
      </c>
      <c r="G3081" s="571">
        <v>60</v>
      </c>
      <c r="H3081" s="265">
        <f t="shared" si="191"/>
        <v>60</v>
      </c>
      <c r="I3081" s="254" t="s">
        <v>3315</v>
      </c>
      <c r="J3081" s="401" t="s">
        <v>5810</v>
      </c>
      <c r="K3081" s="256">
        <v>42580</v>
      </c>
      <c r="L3081" s="256"/>
      <c r="M3081" s="256">
        <v>42579</v>
      </c>
      <c r="N3081" s="264" t="s">
        <v>1414</v>
      </c>
      <c r="O3081" s="250" t="s">
        <v>9638</v>
      </c>
      <c r="P3081" s="752"/>
      <c r="Q3081" s="1054">
        <v>1865</v>
      </c>
      <c r="R3081" s="1413"/>
      <c r="S3081" s="1413"/>
      <c r="U3081" s="386"/>
      <c r="V3081" s="386" t="s">
        <v>1947</v>
      </c>
      <c r="W3081" s="747">
        <v>42587</v>
      </c>
      <c r="X3081" s="750">
        <v>42577</v>
      </c>
      <c r="Y3081" s="250" t="s">
        <v>9639</v>
      </c>
      <c r="Z3081" s="1086" t="s">
        <v>9645</v>
      </c>
      <c r="AA3081" s="811">
        <v>42590</v>
      </c>
      <c r="AB3081" s="250" t="s">
        <v>9628</v>
      </c>
      <c r="AD3081" s="1091"/>
      <c r="AE3081" s="1091"/>
      <c r="AF3081" s="1091"/>
      <c r="AG3081" s="386" t="s">
        <v>283</v>
      </c>
    </row>
    <row r="3082" spans="1:33" ht="15.75" customHeight="1">
      <c r="A3082" s="755">
        <v>42556</v>
      </c>
      <c r="B3082" s="338" t="s">
        <v>100</v>
      </c>
      <c r="C3082" s="744" t="s">
        <v>9636</v>
      </c>
      <c r="D3082" s="308" t="s">
        <v>9637</v>
      </c>
      <c r="E3082" s="571" t="s">
        <v>6111</v>
      </c>
      <c r="F3082" s="571">
        <v>1</v>
      </c>
      <c r="G3082" s="571">
        <v>237</v>
      </c>
      <c r="H3082" s="265">
        <f t="shared" si="191"/>
        <v>237</v>
      </c>
      <c r="I3082" s="254" t="s">
        <v>3315</v>
      </c>
      <c r="J3082" s="756" t="s">
        <v>5810</v>
      </c>
      <c r="K3082" s="256">
        <v>42580</v>
      </c>
      <c r="L3082" s="256"/>
      <c r="M3082" s="256">
        <v>42580</v>
      </c>
      <c r="N3082" s="401" t="s">
        <v>6112</v>
      </c>
      <c r="O3082" s="250" t="s">
        <v>9646</v>
      </c>
      <c r="P3082" s="752"/>
      <c r="Q3082" s="318">
        <v>6105</v>
      </c>
      <c r="R3082" s="1410"/>
      <c r="S3082" s="1410"/>
      <c r="U3082" s="386"/>
      <c r="V3082" s="318" t="s">
        <v>2109</v>
      </c>
      <c r="W3082" s="1090">
        <v>42565</v>
      </c>
      <c r="X3082" s="1083">
        <v>42564</v>
      </c>
      <c r="Y3082" s="263" t="s">
        <v>9647</v>
      </c>
      <c r="Z3082" s="1086">
        <v>6015</v>
      </c>
      <c r="AA3082" s="811">
        <v>42565</v>
      </c>
      <c r="AB3082" s="250" t="s">
        <v>9628</v>
      </c>
      <c r="AD3082" s="1091"/>
      <c r="AE3082" s="1091"/>
      <c r="AF3082" s="1091"/>
      <c r="AG3082" s="386" t="s">
        <v>283</v>
      </c>
    </row>
    <row r="3083" spans="1:33" ht="15.75" customHeight="1">
      <c r="A3083" s="755">
        <v>42556</v>
      </c>
      <c r="B3083" s="338" t="s">
        <v>100</v>
      </c>
      <c r="C3083" s="744" t="s">
        <v>9636</v>
      </c>
      <c r="D3083" s="308" t="s">
        <v>9637</v>
      </c>
      <c r="E3083" s="338" t="s">
        <v>9648</v>
      </c>
      <c r="F3083" s="752">
        <v>1</v>
      </c>
      <c r="G3083" s="752">
        <v>90</v>
      </c>
      <c r="H3083" s="265">
        <f t="shared" si="191"/>
        <v>90</v>
      </c>
      <c r="I3083" s="254" t="s">
        <v>3315</v>
      </c>
      <c r="J3083" s="756" t="s">
        <v>5810</v>
      </c>
      <c r="K3083" s="256">
        <v>42580</v>
      </c>
      <c r="L3083" s="1477"/>
      <c r="M3083" s="386"/>
      <c r="N3083" s="331" t="s">
        <v>1999</v>
      </c>
      <c r="O3083" s="263"/>
      <c r="P3083" s="752"/>
      <c r="Q3083" s="752" t="s">
        <v>9649</v>
      </c>
      <c r="R3083" s="1405"/>
      <c r="S3083" s="1405"/>
      <c r="U3083" s="386"/>
      <c r="V3083" s="386" t="s">
        <v>2000</v>
      </c>
      <c r="W3083" s="747">
        <v>42624</v>
      </c>
      <c r="X3083" s="750">
        <v>42594</v>
      </c>
      <c r="Y3083" s="250" t="s">
        <v>5838</v>
      </c>
      <c r="Z3083" s="264" t="s">
        <v>5839</v>
      </c>
      <c r="AA3083" s="811">
        <v>42619</v>
      </c>
      <c r="AB3083" s="250" t="s">
        <v>9628</v>
      </c>
      <c r="AD3083" s="1092"/>
      <c r="AE3083" s="1103"/>
      <c r="AF3083" s="1092"/>
      <c r="AG3083" s="386" t="s">
        <v>283</v>
      </c>
    </row>
    <row r="3084" spans="1:33" ht="15.75" customHeight="1">
      <c r="A3084" s="755">
        <v>42557</v>
      </c>
      <c r="B3084" s="338" t="s">
        <v>9650</v>
      </c>
      <c r="C3084" s="263"/>
      <c r="D3084" s="318" t="s">
        <v>9651</v>
      </c>
      <c r="E3084" s="338" t="s">
        <v>9652</v>
      </c>
      <c r="F3084" s="752">
        <v>1</v>
      </c>
      <c r="G3084" s="752">
        <v>539</v>
      </c>
      <c r="H3084" s="265">
        <f>F3084*G3084</f>
        <v>539</v>
      </c>
      <c r="I3084" s="758" t="s">
        <v>3315</v>
      </c>
      <c r="J3084" s="756" t="s">
        <v>5810</v>
      </c>
      <c r="K3084" s="811">
        <v>42618</v>
      </c>
      <c r="L3084" s="1477"/>
      <c r="M3084" s="811">
        <v>42613</v>
      </c>
      <c r="N3084" s="254" t="s">
        <v>1414</v>
      </c>
      <c r="O3084" s="263" t="s">
        <v>9653</v>
      </c>
      <c r="P3084" s="752"/>
      <c r="Q3084" s="318">
        <v>16194</v>
      </c>
      <c r="R3084" s="1410"/>
      <c r="S3084" s="1410"/>
      <c r="U3084" s="386"/>
      <c r="V3084" s="386" t="s">
        <v>1947</v>
      </c>
      <c r="W3084" s="747">
        <v>42618</v>
      </c>
      <c r="X3084" s="750">
        <v>42613</v>
      </c>
      <c r="Y3084" s="250" t="s">
        <v>9654</v>
      </c>
      <c r="Z3084" s="1086">
        <v>16194</v>
      </c>
      <c r="AA3084" s="811">
        <v>42619</v>
      </c>
      <c r="AB3084" s="318" t="s">
        <v>6356</v>
      </c>
      <c r="AD3084" s="1092"/>
      <c r="AE3084" s="1103"/>
      <c r="AF3084" s="1092"/>
      <c r="AG3084" s="386" t="s">
        <v>283</v>
      </c>
    </row>
    <row r="3085" spans="1:33" ht="15.75" customHeight="1">
      <c r="A3085" s="755">
        <v>42557</v>
      </c>
      <c r="B3085" s="338" t="s">
        <v>9650</v>
      </c>
      <c r="C3085" s="263"/>
      <c r="D3085" s="318" t="s">
        <v>9651</v>
      </c>
      <c r="E3085" s="338" t="s">
        <v>9655</v>
      </c>
      <c r="F3085" s="752">
        <v>1</v>
      </c>
      <c r="G3085" s="752">
        <v>44</v>
      </c>
      <c r="H3085" s="265">
        <f t="shared" ref="H3085:H3087" si="192">G3085*F3085</f>
        <v>44</v>
      </c>
      <c r="I3085" s="758" t="s">
        <v>3315</v>
      </c>
      <c r="J3085" s="756" t="s">
        <v>5810</v>
      </c>
      <c r="K3085" s="811">
        <v>42618</v>
      </c>
      <c r="L3085" s="1477"/>
      <c r="M3085" s="811">
        <v>42606</v>
      </c>
      <c r="N3085" s="401" t="s">
        <v>9656</v>
      </c>
      <c r="O3085" s="263" t="s">
        <v>9657</v>
      </c>
      <c r="P3085" s="752"/>
      <c r="Q3085" s="318">
        <v>1454</v>
      </c>
      <c r="R3085" s="1410"/>
      <c r="S3085" s="1410"/>
      <c r="U3085" s="386"/>
      <c r="V3085" s="318" t="s">
        <v>9658</v>
      </c>
      <c r="W3085" s="1084">
        <v>42604</v>
      </c>
      <c r="X3085" s="1083">
        <v>42605</v>
      </c>
      <c r="Y3085" s="263" t="s">
        <v>9659</v>
      </c>
      <c r="Z3085" s="1086">
        <v>1454</v>
      </c>
      <c r="AA3085" s="811">
        <v>42604</v>
      </c>
      <c r="AB3085" s="318" t="s">
        <v>6356</v>
      </c>
      <c r="AD3085" s="1092"/>
      <c r="AE3085" s="1103"/>
      <c r="AF3085" s="1092"/>
      <c r="AG3085" s="386" t="s">
        <v>283</v>
      </c>
    </row>
    <row r="3086" spans="1:33" ht="15.75" customHeight="1">
      <c r="A3086" s="755">
        <v>42557</v>
      </c>
      <c r="B3086" s="338" t="s">
        <v>9650</v>
      </c>
      <c r="C3086" s="263"/>
      <c r="D3086" s="318" t="s">
        <v>9651</v>
      </c>
      <c r="E3086" s="338" t="s">
        <v>346</v>
      </c>
      <c r="F3086" s="752">
        <v>1</v>
      </c>
      <c r="G3086" s="752">
        <v>80</v>
      </c>
      <c r="H3086" s="265">
        <f t="shared" si="192"/>
        <v>80</v>
      </c>
      <c r="I3086" s="758" t="s">
        <v>3315</v>
      </c>
      <c r="J3086" s="756" t="s">
        <v>5810</v>
      </c>
      <c r="K3086" s="811">
        <v>42618</v>
      </c>
      <c r="L3086" s="1477"/>
      <c r="M3086" s="386"/>
      <c r="N3086" s="331" t="s">
        <v>1999</v>
      </c>
      <c r="O3086" s="263"/>
      <c r="P3086" s="752"/>
      <c r="Q3086" s="752">
        <v>2474</v>
      </c>
      <c r="R3086" s="1405"/>
      <c r="S3086" s="1405"/>
      <c r="U3086" s="386"/>
      <c r="V3086" s="318" t="s">
        <v>2000</v>
      </c>
      <c r="W3086" s="1096">
        <v>42652</v>
      </c>
      <c r="X3086" s="1083">
        <v>42622</v>
      </c>
      <c r="Y3086" s="318" t="s">
        <v>9660</v>
      </c>
      <c r="Z3086" s="254">
        <v>2474</v>
      </c>
      <c r="AA3086" s="811">
        <v>42648</v>
      </c>
      <c r="AB3086" s="318" t="s">
        <v>6356</v>
      </c>
      <c r="AD3086" s="1092"/>
      <c r="AE3086" s="1103"/>
      <c r="AF3086" s="1092"/>
      <c r="AG3086" s="386" t="s">
        <v>283</v>
      </c>
    </row>
    <row r="3087" spans="1:33" ht="15.75" customHeight="1">
      <c r="A3087" s="755">
        <v>42557</v>
      </c>
      <c r="B3087" s="338" t="s">
        <v>9650</v>
      </c>
      <c r="C3087" s="263"/>
      <c r="D3087" s="318" t="s">
        <v>9651</v>
      </c>
      <c r="E3087" s="338" t="s">
        <v>692</v>
      </c>
      <c r="F3087" s="752">
        <v>1</v>
      </c>
      <c r="G3087" s="752">
        <v>25</v>
      </c>
      <c r="H3087" s="265">
        <f t="shared" si="192"/>
        <v>25</v>
      </c>
      <c r="I3087" s="254" t="s">
        <v>3315</v>
      </c>
      <c r="J3087" s="756" t="s">
        <v>5810</v>
      </c>
      <c r="K3087" s="811">
        <v>42618</v>
      </c>
      <c r="L3087" s="1477"/>
      <c r="M3087" s="386"/>
      <c r="N3087" s="331"/>
      <c r="O3087" s="263"/>
      <c r="P3087" s="752"/>
      <c r="Q3087" s="657"/>
      <c r="R3087" s="1418"/>
      <c r="S3087" s="1418"/>
      <c r="U3087" s="386"/>
      <c r="V3087" s="318"/>
      <c r="W3087" s="1090"/>
      <c r="X3087" s="1083"/>
      <c r="Y3087" s="263"/>
      <c r="Z3087" s="1086"/>
      <c r="AA3087" s="811"/>
      <c r="AB3087" s="318" t="s">
        <v>6356</v>
      </c>
      <c r="AD3087" s="1092"/>
      <c r="AE3087" s="1103"/>
      <c r="AF3087" s="1092"/>
      <c r="AG3087" s="386" t="s">
        <v>283</v>
      </c>
    </row>
    <row r="3088" spans="1:33" ht="15.75" customHeight="1">
      <c r="A3088" s="755">
        <v>42557</v>
      </c>
      <c r="B3088" s="338" t="s">
        <v>9650</v>
      </c>
      <c r="C3088" s="263"/>
      <c r="D3088" s="318" t="s">
        <v>9651</v>
      </c>
      <c r="E3088" s="338" t="s">
        <v>9661</v>
      </c>
      <c r="F3088" s="752">
        <v>1</v>
      </c>
      <c r="G3088" s="752">
        <v>29</v>
      </c>
      <c r="H3088" s="464">
        <f>F3088*G3088</f>
        <v>29</v>
      </c>
      <c r="I3088" s="254" t="s">
        <v>3315</v>
      </c>
      <c r="J3088" s="756" t="s">
        <v>5810</v>
      </c>
      <c r="K3088" s="811">
        <v>42618</v>
      </c>
      <c r="L3088" s="1477"/>
      <c r="M3088" s="811"/>
      <c r="N3088" s="331"/>
      <c r="O3088" s="263"/>
      <c r="P3088" s="752"/>
      <c r="Q3088" s="318"/>
      <c r="R3088" s="1410"/>
      <c r="S3088" s="1410"/>
      <c r="U3088" s="386"/>
      <c r="V3088" s="318"/>
      <c r="W3088" s="1096"/>
      <c r="X3088" s="1083"/>
      <c r="Y3088" s="263"/>
      <c r="Z3088" s="1086"/>
      <c r="AA3088" s="811"/>
      <c r="AB3088" s="318" t="s">
        <v>6356</v>
      </c>
      <c r="AD3088" s="1092"/>
      <c r="AE3088" s="1103"/>
      <c r="AF3088" s="1092"/>
      <c r="AG3088" s="386" t="s">
        <v>283</v>
      </c>
    </row>
    <row r="3089" spans="1:33" ht="15.75" customHeight="1">
      <c r="A3089" s="755">
        <v>42557</v>
      </c>
      <c r="B3089" s="338" t="s">
        <v>1189</v>
      </c>
      <c r="C3089" s="263" t="s">
        <v>9662</v>
      </c>
      <c r="D3089" s="318" t="s">
        <v>9663</v>
      </c>
      <c r="E3089" s="338" t="s">
        <v>5950</v>
      </c>
      <c r="F3089" s="752">
        <v>50</v>
      </c>
      <c r="G3089" s="752">
        <v>8</v>
      </c>
      <c r="H3089" s="464">
        <f t="shared" ref="H3089:H3093" si="193">G3089*F3089</f>
        <v>400</v>
      </c>
      <c r="I3089" s="254" t="s">
        <v>42</v>
      </c>
      <c r="J3089" s="267" t="s">
        <v>8571</v>
      </c>
      <c r="K3089" s="256">
        <v>42607</v>
      </c>
      <c r="L3089" s="1477"/>
      <c r="M3089" s="811">
        <v>42564</v>
      </c>
      <c r="N3089" s="331" t="s">
        <v>2411</v>
      </c>
      <c r="O3089" s="263" t="s">
        <v>9664</v>
      </c>
      <c r="P3089" s="752"/>
      <c r="Q3089" s="318">
        <v>11970</v>
      </c>
      <c r="R3089" s="1410"/>
      <c r="S3089" s="1410"/>
      <c r="U3089" s="386"/>
      <c r="V3089" s="318" t="s">
        <v>4328</v>
      </c>
      <c r="W3089" s="747">
        <v>42587</v>
      </c>
      <c r="X3089" s="1083">
        <v>42563</v>
      </c>
      <c r="Y3089" s="263" t="s">
        <v>9665</v>
      </c>
      <c r="Z3089" s="1086">
        <v>11970</v>
      </c>
      <c r="AA3089" s="811">
        <v>42586</v>
      </c>
      <c r="AB3089" s="318" t="s">
        <v>9666</v>
      </c>
      <c r="AD3089" s="1092"/>
      <c r="AE3089" s="1103"/>
      <c r="AF3089" s="1092"/>
      <c r="AG3089" s="386" t="s">
        <v>283</v>
      </c>
    </row>
    <row r="3090" spans="1:33" ht="15.75" customHeight="1">
      <c r="A3090" s="755">
        <v>42558</v>
      </c>
      <c r="B3090" s="338" t="s">
        <v>5940</v>
      </c>
      <c r="C3090" s="970" t="s">
        <v>9667</v>
      </c>
      <c r="D3090" s="318" t="s">
        <v>9668</v>
      </c>
      <c r="E3090" s="338" t="s">
        <v>5943</v>
      </c>
      <c r="F3090" s="752">
        <v>5</v>
      </c>
      <c r="G3090" s="464">
        <v>148</v>
      </c>
      <c r="H3090" s="464">
        <f t="shared" si="193"/>
        <v>740</v>
      </c>
      <c r="I3090" s="758" t="s">
        <v>3315</v>
      </c>
      <c r="J3090" s="401" t="s">
        <v>3571</v>
      </c>
      <c r="K3090" s="811">
        <v>42586</v>
      </c>
      <c r="L3090" s="1477"/>
      <c r="M3090" s="811">
        <v>42572</v>
      </c>
      <c r="N3090" s="331" t="s">
        <v>2001</v>
      </c>
      <c r="O3090" s="263" t="s">
        <v>9669</v>
      </c>
      <c r="P3090" s="752"/>
      <c r="Q3090" s="318">
        <v>22575</v>
      </c>
      <c r="R3090" s="1410"/>
      <c r="S3090" s="1410"/>
      <c r="U3090" s="386"/>
      <c r="V3090" s="318" t="s">
        <v>2003</v>
      </c>
      <c r="W3090" s="1096">
        <v>42587</v>
      </c>
      <c r="X3090" s="1083">
        <v>42571</v>
      </c>
      <c r="Y3090" s="263" t="s">
        <v>9670</v>
      </c>
      <c r="Z3090" s="1086">
        <v>45150</v>
      </c>
      <c r="AA3090" s="811">
        <v>42586</v>
      </c>
      <c r="AB3090" s="318" t="s">
        <v>9671</v>
      </c>
      <c r="AD3090" s="1092"/>
      <c r="AE3090" s="1103"/>
      <c r="AF3090" s="1092"/>
      <c r="AG3090" s="386" t="s">
        <v>283</v>
      </c>
    </row>
    <row r="3091" spans="1:33" ht="27" customHeight="1">
      <c r="A3091" s="755">
        <v>42558</v>
      </c>
      <c r="B3091" s="338" t="s">
        <v>5940</v>
      </c>
      <c r="C3091" s="970" t="s">
        <v>9667</v>
      </c>
      <c r="D3091" s="318" t="s">
        <v>9668</v>
      </c>
      <c r="E3091" s="338" t="s">
        <v>5947</v>
      </c>
      <c r="F3091" s="752">
        <v>5</v>
      </c>
      <c r="G3091" s="464">
        <v>148</v>
      </c>
      <c r="H3091" s="464">
        <f t="shared" si="193"/>
        <v>740</v>
      </c>
      <c r="I3091" s="758" t="s">
        <v>3315</v>
      </c>
      <c r="J3091" s="401" t="s">
        <v>3571</v>
      </c>
      <c r="K3091" s="811">
        <v>42586</v>
      </c>
      <c r="L3091" s="1477"/>
      <c r="M3091" s="811">
        <v>42572</v>
      </c>
      <c r="N3091" s="331" t="s">
        <v>2001</v>
      </c>
      <c r="O3091" s="263" t="s">
        <v>9669</v>
      </c>
      <c r="P3091" s="752"/>
      <c r="Q3091" s="318">
        <v>22575</v>
      </c>
      <c r="R3091" s="1410"/>
      <c r="S3091" s="1410"/>
      <c r="U3091" s="386"/>
      <c r="V3091" s="318" t="s">
        <v>2003</v>
      </c>
      <c r="W3091" s="1096">
        <v>42587</v>
      </c>
      <c r="X3091" s="1083">
        <v>42571</v>
      </c>
      <c r="Y3091" s="263" t="s">
        <v>9670</v>
      </c>
      <c r="Z3091" s="1086" t="s">
        <v>7104</v>
      </c>
      <c r="AA3091" s="811">
        <v>42586</v>
      </c>
      <c r="AB3091" s="318" t="s">
        <v>9671</v>
      </c>
      <c r="AD3091" s="1092"/>
      <c r="AE3091" s="1103"/>
      <c r="AF3091" s="1092"/>
      <c r="AG3091" s="386" t="s">
        <v>283</v>
      </c>
    </row>
    <row r="3092" spans="1:33" ht="15.75" customHeight="1">
      <c r="A3092" s="755">
        <v>42558</v>
      </c>
      <c r="B3092" s="338" t="s">
        <v>5940</v>
      </c>
      <c r="C3092" s="744" t="s">
        <v>9667</v>
      </c>
      <c r="D3092" s="308" t="s">
        <v>9668</v>
      </c>
      <c r="E3092" s="571" t="s">
        <v>6661</v>
      </c>
      <c r="F3092" s="574">
        <v>5</v>
      </c>
      <c r="G3092" s="265">
        <v>1239</v>
      </c>
      <c r="H3092" s="265">
        <f t="shared" si="193"/>
        <v>6195</v>
      </c>
      <c r="I3092" s="975" t="s">
        <v>3315</v>
      </c>
      <c r="J3092" s="401" t="s">
        <v>3571</v>
      </c>
      <c r="K3092" s="811">
        <v>42586</v>
      </c>
      <c r="L3092" s="1477"/>
      <c r="M3092" s="256">
        <v>42580</v>
      </c>
      <c r="N3092" s="331" t="s">
        <v>2001</v>
      </c>
      <c r="O3092" s="250" t="s">
        <v>9669</v>
      </c>
      <c r="P3092" s="752"/>
      <c r="Q3092" s="318">
        <v>188948</v>
      </c>
      <c r="R3092" s="1410"/>
      <c r="S3092" s="1410"/>
      <c r="U3092" s="386"/>
      <c r="V3092" s="318" t="s">
        <v>2003</v>
      </c>
      <c r="W3092" s="1096">
        <v>42648</v>
      </c>
      <c r="X3092" s="1083">
        <v>42579</v>
      </c>
      <c r="Y3092" s="263" t="s">
        <v>9672</v>
      </c>
      <c r="Z3092" s="1086">
        <v>188948</v>
      </c>
      <c r="AA3092" s="811">
        <v>42649</v>
      </c>
      <c r="AB3092" s="318" t="s">
        <v>9671</v>
      </c>
      <c r="AD3092" s="1092"/>
      <c r="AE3092" s="1103"/>
      <c r="AF3092" s="1092"/>
      <c r="AG3092" s="386" t="s">
        <v>283</v>
      </c>
    </row>
    <row r="3093" spans="1:33" ht="15.75" customHeight="1">
      <c r="A3093" s="755">
        <v>42558</v>
      </c>
      <c r="B3093" s="338" t="s">
        <v>5940</v>
      </c>
      <c r="C3093" s="744" t="s">
        <v>9667</v>
      </c>
      <c r="D3093" s="308" t="s">
        <v>9668</v>
      </c>
      <c r="E3093" s="571" t="s">
        <v>9294</v>
      </c>
      <c r="F3093" s="574">
        <v>1</v>
      </c>
      <c r="G3093" s="265">
        <v>15</v>
      </c>
      <c r="H3093" s="265">
        <f t="shared" si="193"/>
        <v>15</v>
      </c>
      <c r="I3093" s="264" t="s">
        <v>3315</v>
      </c>
      <c r="J3093" s="401"/>
      <c r="K3093" s="811">
        <v>42586</v>
      </c>
      <c r="L3093" s="1477"/>
      <c r="M3093" s="256"/>
      <c r="N3093" s="331"/>
      <c r="O3093" s="250" t="s">
        <v>9669</v>
      </c>
      <c r="P3093" s="752"/>
      <c r="Q3093" s="386"/>
      <c r="R3093" s="1407"/>
      <c r="S3093" s="1407"/>
      <c r="U3093" s="386"/>
      <c r="V3093" s="318"/>
      <c r="W3093" s="1090"/>
      <c r="X3093" s="1101"/>
      <c r="Y3093" s="1087"/>
      <c r="Z3093" s="1102"/>
      <c r="AA3093" s="1114"/>
      <c r="AB3093" s="318" t="s">
        <v>9671</v>
      </c>
      <c r="AD3093" s="1092"/>
      <c r="AE3093" s="1103"/>
      <c r="AF3093" s="1092"/>
      <c r="AG3093" s="386" t="s">
        <v>283</v>
      </c>
    </row>
    <row r="3094" spans="1:33" ht="15.75" customHeight="1">
      <c r="A3094" s="755">
        <v>42558</v>
      </c>
      <c r="B3094" s="338" t="s">
        <v>100</v>
      </c>
      <c r="C3094" s="250"/>
      <c r="D3094" s="308" t="s">
        <v>9673</v>
      </c>
      <c r="E3094" s="571" t="s">
        <v>9339</v>
      </c>
      <c r="F3094" s="574">
        <v>1</v>
      </c>
      <c r="G3094" s="574">
        <v>0</v>
      </c>
      <c r="H3094" s="265">
        <v>0</v>
      </c>
      <c r="I3094" s="264" t="s">
        <v>3315</v>
      </c>
      <c r="J3094" s="401" t="s">
        <v>5810</v>
      </c>
      <c r="K3094" s="811">
        <v>42593</v>
      </c>
      <c r="L3094" s="1477"/>
      <c r="M3094" s="256">
        <v>42591</v>
      </c>
      <c r="N3094" s="331" t="s">
        <v>1999</v>
      </c>
      <c r="O3094" s="250"/>
      <c r="P3094" s="752"/>
      <c r="Q3094" s="752" t="s">
        <v>9674</v>
      </c>
      <c r="R3094" s="1405"/>
      <c r="S3094" s="1405"/>
      <c r="U3094" s="386"/>
      <c r="V3094" s="318" t="s">
        <v>5834</v>
      </c>
      <c r="W3094" s="752" t="s">
        <v>9675</v>
      </c>
      <c r="X3094" s="263" t="s">
        <v>9676</v>
      </c>
      <c r="Y3094" s="263" t="s">
        <v>9677</v>
      </c>
      <c r="Z3094" s="1086" t="s">
        <v>9678</v>
      </c>
      <c r="AA3094" s="254" t="s">
        <v>9679</v>
      </c>
      <c r="AB3094" s="318" t="s">
        <v>9680</v>
      </c>
      <c r="AD3094" s="1092"/>
      <c r="AE3094" s="1103"/>
      <c r="AF3094" s="1092"/>
      <c r="AG3094" s="386"/>
    </row>
    <row r="3095" spans="1:33" ht="15.75" customHeight="1">
      <c r="A3095" s="755">
        <v>42558</v>
      </c>
      <c r="B3095" s="338" t="s">
        <v>100</v>
      </c>
      <c r="C3095" s="250"/>
      <c r="D3095" s="308" t="s">
        <v>9673</v>
      </c>
      <c r="E3095" s="571" t="s">
        <v>9339</v>
      </c>
      <c r="F3095" s="574">
        <v>1</v>
      </c>
      <c r="G3095" s="574">
        <v>0</v>
      </c>
      <c r="H3095" s="265">
        <v>0</v>
      </c>
      <c r="I3095" s="264" t="s">
        <v>3315</v>
      </c>
      <c r="J3095" s="756" t="s">
        <v>5810</v>
      </c>
      <c r="K3095" s="811">
        <v>42593</v>
      </c>
      <c r="L3095" s="1477"/>
      <c r="M3095" s="256">
        <v>42591</v>
      </c>
      <c r="N3095" s="331" t="s">
        <v>1999</v>
      </c>
      <c r="O3095" s="250"/>
      <c r="P3095" s="752"/>
      <c r="Q3095" s="752" t="s">
        <v>9681</v>
      </c>
      <c r="R3095" s="1405"/>
      <c r="S3095" s="1405"/>
      <c r="U3095" s="386"/>
      <c r="V3095" s="318" t="s">
        <v>5834</v>
      </c>
      <c r="W3095" s="752" t="s">
        <v>9675</v>
      </c>
      <c r="X3095" s="263" t="s">
        <v>9676</v>
      </c>
      <c r="Y3095" s="263" t="s">
        <v>9677</v>
      </c>
      <c r="Z3095" s="1086" t="s">
        <v>9678</v>
      </c>
      <c r="AA3095" s="254" t="s">
        <v>9679</v>
      </c>
      <c r="AB3095" s="318" t="s">
        <v>9680</v>
      </c>
      <c r="AD3095" s="1092"/>
      <c r="AE3095" s="1103"/>
      <c r="AF3095" s="1092"/>
      <c r="AG3095" s="386"/>
    </row>
    <row r="3096" spans="1:33" ht="15.75" customHeight="1">
      <c r="A3096" s="755">
        <v>42562</v>
      </c>
      <c r="B3096" s="338" t="s">
        <v>76</v>
      </c>
      <c r="C3096" s="263">
        <v>660</v>
      </c>
      <c r="D3096" s="318" t="s">
        <v>9682</v>
      </c>
      <c r="E3096" s="571" t="s">
        <v>9683</v>
      </c>
      <c r="F3096" s="752">
        <v>30</v>
      </c>
      <c r="G3096" s="752">
        <v>6</v>
      </c>
      <c r="H3096" s="265">
        <f t="shared" ref="H3096:H3163" si="194">G3096*F3096</f>
        <v>180</v>
      </c>
      <c r="I3096" s="264" t="s">
        <v>170</v>
      </c>
      <c r="J3096" s="267" t="s">
        <v>315</v>
      </c>
      <c r="K3096" s="256">
        <v>42612</v>
      </c>
      <c r="L3096" s="1477"/>
      <c r="M3096" s="811">
        <v>42608</v>
      </c>
      <c r="N3096" s="331" t="s">
        <v>2006</v>
      </c>
      <c r="O3096" s="263" t="s">
        <v>9684</v>
      </c>
      <c r="P3096" s="752"/>
      <c r="Q3096" s="1054">
        <v>3465</v>
      </c>
      <c r="R3096" s="1413"/>
      <c r="S3096" s="1413"/>
      <c r="U3096" s="386"/>
      <c r="V3096" s="318" t="s">
        <v>2146</v>
      </c>
      <c r="W3096" s="1096">
        <v>42618</v>
      </c>
      <c r="X3096" s="1083">
        <v>42605</v>
      </c>
      <c r="Y3096" s="263" t="s">
        <v>9685</v>
      </c>
      <c r="Z3096" s="1086">
        <v>3465</v>
      </c>
      <c r="AA3096" s="811">
        <v>42619</v>
      </c>
      <c r="AB3096" s="263" t="s">
        <v>9501</v>
      </c>
      <c r="AD3096" s="1092"/>
      <c r="AE3096" s="1103"/>
      <c r="AF3096" s="1092"/>
      <c r="AG3096" s="386" t="s">
        <v>283</v>
      </c>
    </row>
    <row r="3097" spans="1:33" ht="15.75" customHeight="1">
      <c r="A3097" s="755">
        <v>42563</v>
      </c>
      <c r="B3097" s="338" t="s">
        <v>9068</v>
      </c>
      <c r="C3097" s="263">
        <v>110716</v>
      </c>
      <c r="D3097" s="318" t="s">
        <v>9686</v>
      </c>
      <c r="E3097" s="338" t="s">
        <v>9687</v>
      </c>
      <c r="F3097" s="752">
        <v>5</v>
      </c>
      <c r="G3097" s="752">
        <v>175</v>
      </c>
      <c r="H3097" s="265">
        <f t="shared" si="194"/>
        <v>875</v>
      </c>
      <c r="I3097" s="997" t="s">
        <v>3315</v>
      </c>
      <c r="J3097" s="331" t="s">
        <v>5842</v>
      </c>
      <c r="K3097" s="811">
        <v>42583</v>
      </c>
      <c r="L3097" s="1477"/>
      <c r="M3097" s="256">
        <v>42578</v>
      </c>
      <c r="N3097" s="331" t="s">
        <v>3432</v>
      </c>
      <c r="O3097" s="263" t="s">
        <v>9688</v>
      </c>
      <c r="P3097" s="752"/>
      <c r="Q3097" s="318">
        <v>27542</v>
      </c>
      <c r="R3097" s="1410"/>
      <c r="S3097" s="1410"/>
      <c r="U3097" s="386"/>
      <c r="V3097" s="318" t="s">
        <v>5937</v>
      </c>
      <c r="W3097" s="747">
        <v>42597</v>
      </c>
      <c r="X3097" s="1083">
        <v>42577</v>
      </c>
      <c r="Y3097" s="263" t="s">
        <v>9689</v>
      </c>
      <c r="Z3097" s="1086">
        <v>27542</v>
      </c>
      <c r="AA3097" s="263"/>
      <c r="AB3097" s="318" t="s">
        <v>9690</v>
      </c>
      <c r="AD3097" s="1092"/>
      <c r="AE3097" s="1103"/>
      <c r="AF3097" s="1092"/>
      <c r="AG3097" s="386" t="s">
        <v>283</v>
      </c>
    </row>
    <row r="3098" spans="1:33" ht="15.75" customHeight="1">
      <c r="A3098" s="755">
        <v>42563</v>
      </c>
      <c r="B3098" s="338" t="s">
        <v>9068</v>
      </c>
      <c r="C3098" s="263">
        <v>110716</v>
      </c>
      <c r="D3098" s="318" t="s">
        <v>9686</v>
      </c>
      <c r="E3098" s="338" t="s">
        <v>9691</v>
      </c>
      <c r="F3098" s="752">
        <v>1</v>
      </c>
      <c r="G3098" s="752">
        <v>110</v>
      </c>
      <c r="H3098" s="265">
        <f t="shared" si="194"/>
        <v>110</v>
      </c>
      <c r="I3098" s="997" t="s">
        <v>3315</v>
      </c>
      <c r="J3098" s="331"/>
      <c r="K3098" s="256">
        <v>42583</v>
      </c>
      <c r="L3098" s="256"/>
      <c r="M3098" s="328"/>
      <c r="N3098" s="331" t="s">
        <v>1999</v>
      </c>
      <c r="O3098" s="263"/>
      <c r="P3098" s="752"/>
      <c r="Q3098" s="318">
        <v>4445</v>
      </c>
      <c r="R3098" s="1410"/>
      <c r="S3098" s="1410"/>
      <c r="U3098" s="386"/>
      <c r="V3098" s="318" t="s">
        <v>2000</v>
      </c>
      <c r="W3098" s="1096">
        <v>42624</v>
      </c>
      <c r="X3098" s="1083">
        <v>42594</v>
      </c>
      <c r="Y3098" s="263" t="s">
        <v>5838</v>
      </c>
      <c r="Z3098" s="1086">
        <v>16188</v>
      </c>
      <c r="AA3098" s="811">
        <v>42619</v>
      </c>
      <c r="AB3098" s="318" t="s">
        <v>9690</v>
      </c>
      <c r="AD3098" s="1092"/>
      <c r="AE3098" s="1103"/>
      <c r="AF3098" s="1092"/>
      <c r="AG3098" s="386" t="s">
        <v>283</v>
      </c>
    </row>
    <row r="3099" spans="1:33" ht="15.75" customHeight="1">
      <c r="A3099" s="755">
        <v>42563</v>
      </c>
      <c r="B3099" s="338" t="s">
        <v>9068</v>
      </c>
      <c r="C3099" s="263">
        <v>110716</v>
      </c>
      <c r="D3099" s="318" t="s">
        <v>9686</v>
      </c>
      <c r="E3099" s="338" t="s">
        <v>692</v>
      </c>
      <c r="F3099" s="752">
        <v>1</v>
      </c>
      <c r="G3099" s="752">
        <v>25</v>
      </c>
      <c r="H3099" s="265">
        <f t="shared" si="194"/>
        <v>25</v>
      </c>
      <c r="I3099" s="254" t="s">
        <v>3315</v>
      </c>
      <c r="J3099" s="331"/>
      <c r="K3099" s="256">
        <v>42583</v>
      </c>
      <c r="L3099" s="256"/>
      <c r="M3099" s="328"/>
      <c r="N3099" s="331"/>
      <c r="O3099" s="263"/>
      <c r="P3099" s="752"/>
      <c r="Q3099" s="386"/>
      <c r="R3099" s="1407"/>
      <c r="S3099" s="1407"/>
      <c r="U3099" s="386"/>
      <c r="V3099" s="318"/>
      <c r="W3099" s="1090"/>
      <c r="X3099" s="263" t="s">
        <v>5529</v>
      </c>
      <c r="Y3099" s="263" t="s">
        <v>5529</v>
      </c>
      <c r="Z3099" s="263" t="s">
        <v>5529</v>
      </c>
      <c r="AA3099" s="811"/>
      <c r="AB3099" s="318" t="s">
        <v>9690</v>
      </c>
      <c r="AD3099" s="1092"/>
      <c r="AE3099" s="1103"/>
      <c r="AF3099" s="1092"/>
      <c r="AG3099" s="386" t="s">
        <v>283</v>
      </c>
    </row>
    <row r="3100" spans="1:33" ht="15.75" customHeight="1">
      <c r="A3100" s="755">
        <v>42564</v>
      </c>
      <c r="B3100" s="592" t="s">
        <v>629</v>
      </c>
      <c r="C3100" s="263" t="s">
        <v>9692</v>
      </c>
      <c r="D3100" s="318" t="s">
        <v>9693</v>
      </c>
      <c r="E3100" s="571" t="s">
        <v>4107</v>
      </c>
      <c r="F3100" s="574">
        <v>15</v>
      </c>
      <c r="G3100" s="464">
        <v>164.85</v>
      </c>
      <c r="H3100" s="265">
        <f t="shared" si="194"/>
        <v>2472.75</v>
      </c>
      <c r="I3100" s="264" t="s">
        <v>170</v>
      </c>
      <c r="J3100" s="331" t="s">
        <v>5882</v>
      </c>
      <c r="K3100" s="256">
        <v>42572</v>
      </c>
      <c r="L3100" s="256"/>
      <c r="M3100" s="256">
        <v>42571</v>
      </c>
      <c r="N3100" s="401" t="s">
        <v>2212</v>
      </c>
      <c r="O3100" s="263" t="s">
        <v>9694</v>
      </c>
      <c r="P3100" s="752"/>
      <c r="Q3100" s="1100">
        <v>76388</v>
      </c>
      <c r="R3100" s="1415"/>
      <c r="S3100" s="1415"/>
      <c r="U3100" s="386"/>
      <c r="V3100" s="308" t="s">
        <v>2214</v>
      </c>
      <c r="W3100" s="1096">
        <v>42569</v>
      </c>
      <c r="X3100" s="1083">
        <v>42571</v>
      </c>
      <c r="Y3100" s="263" t="s">
        <v>9695</v>
      </c>
      <c r="Z3100" s="1086">
        <v>76388</v>
      </c>
      <c r="AA3100" s="811">
        <v>42570</v>
      </c>
      <c r="AB3100" s="318" t="s">
        <v>9696</v>
      </c>
      <c r="AD3100" s="1085" t="s">
        <v>9697</v>
      </c>
      <c r="AE3100" s="1100">
        <v>162120</v>
      </c>
      <c r="AF3100" s="318" t="s">
        <v>9698</v>
      </c>
      <c r="AG3100" s="1091"/>
    </row>
    <row r="3101" spans="1:33" ht="15.75" customHeight="1">
      <c r="A3101" s="755">
        <v>42564</v>
      </c>
      <c r="B3101" s="592" t="s">
        <v>629</v>
      </c>
      <c r="C3101" s="263" t="s">
        <v>9692</v>
      </c>
      <c r="D3101" s="318" t="s">
        <v>9693</v>
      </c>
      <c r="E3101" s="571" t="s">
        <v>4107</v>
      </c>
      <c r="F3101" s="574">
        <v>10</v>
      </c>
      <c r="G3101" s="464">
        <v>164.85</v>
      </c>
      <c r="H3101" s="265">
        <f t="shared" si="194"/>
        <v>1648.5</v>
      </c>
      <c r="I3101" s="264" t="s">
        <v>170</v>
      </c>
      <c r="J3101" s="331" t="s">
        <v>5882</v>
      </c>
      <c r="K3101" s="256">
        <v>42572</v>
      </c>
      <c r="L3101" s="256"/>
      <c r="M3101" s="256">
        <v>42572</v>
      </c>
      <c r="N3101" s="401" t="s">
        <v>9699</v>
      </c>
      <c r="O3101" s="263" t="s">
        <v>9700</v>
      </c>
      <c r="P3101" s="752"/>
      <c r="Q3101" s="1110">
        <v>50925</v>
      </c>
      <c r="R3101" s="1434"/>
      <c r="S3101" s="1434"/>
      <c r="U3101" s="386"/>
      <c r="V3101" s="308" t="s">
        <v>6321</v>
      </c>
      <c r="W3101" s="1096">
        <v>42569</v>
      </c>
      <c r="X3101" s="1083">
        <v>42571</v>
      </c>
      <c r="Y3101" s="263" t="s">
        <v>9701</v>
      </c>
      <c r="Z3101" s="1086">
        <v>50925</v>
      </c>
      <c r="AA3101" s="811">
        <v>42570</v>
      </c>
      <c r="AB3101" s="318" t="s">
        <v>9696</v>
      </c>
      <c r="AD3101" s="1085" t="s">
        <v>9697</v>
      </c>
      <c r="AE3101" s="1088" t="s">
        <v>9702</v>
      </c>
      <c r="AF3101" s="318" t="s">
        <v>9698</v>
      </c>
      <c r="AG3101" s="1091"/>
    </row>
    <row r="3102" spans="1:33" ht="15.75" customHeight="1">
      <c r="A3102" s="755">
        <v>42564</v>
      </c>
      <c r="B3102" s="592" t="s">
        <v>629</v>
      </c>
      <c r="C3102" s="263" t="s">
        <v>9692</v>
      </c>
      <c r="D3102" s="318" t="s">
        <v>9693</v>
      </c>
      <c r="E3102" s="338" t="s">
        <v>9703</v>
      </c>
      <c r="F3102" s="752">
        <v>1</v>
      </c>
      <c r="G3102" s="752">
        <v>63</v>
      </c>
      <c r="H3102" s="265">
        <f t="shared" si="194"/>
        <v>63</v>
      </c>
      <c r="I3102" s="264" t="s">
        <v>170</v>
      </c>
      <c r="J3102" s="331" t="s">
        <v>5882</v>
      </c>
      <c r="K3102" s="256">
        <v>42572</v>
      </c>
      <c r="L3102" s="256"/>
      <c r="M3102" s="256">
        <v>42569</v>
      </c>
      <c r="N3102" s="331" t="s">
        <v>2001</v>
      </c>
      <c r="O3102" s="263" t="s">
        <v>9704</v>
      </c>
      <c r="P3102" s="752"/>
      <c r="Q3102" s="318">
        <v>2625</v>
      </c>
      <c r="R3102" s="1410"/>
      <c r="S3102" s="1410"/>
      <c r="U3102" s="386"/>
      <c r="V3102" s="318" t="s">
        <v>2003</v>
      </c>
      <c r="W3102" s="1096">
        <v>42587</v>
      </c>
      <c r="X3102" s="1083">
        <v>42569</v>
      </c>
      <c r="Y3102" s="263" t="s">
        <v>9705</v>
      </c>
      <c r="Z3102" s="1086">
        <v>2625</v>
      </c>
      <c r="AA3102" s="811">
        <v>42586</v>
      </c>
      <c r="AB3102" s="318" t="s">
        <v>9696</v>
      </c>
      <c r="AD3102" s="1085" t="s">
        <v>9697</v>
      </c>
      <c r="AE3102" s="1088" t="s">
        <v>9702</v>
      </c>
      <c r="AF3102" s="318" t="s">
        <v>9698</v>
      </c>
      <c r="AG3102" s="1091"/>
    </row>
    <row r="3103" spans="1:33" ht="15.75" customHeight="1">
      <c r="A3103" s="755">
        <v>42564</v>
      </c>
      <c r="B3103" s="592" t="s">
        <v>629</v>
      </c>
      <c r="C3103" s="263" t="s">
        <v>9692</v>
      </c>
      <c r="D3103" s="318" t="s">
        <v>9693</v>
      </c>
      <c r="E3103" s="338" t="s">
        <v>9703</v>
      </c>
      <c r="F3103" s="752">
        <v>14</v>
      </c>
      <c r="G3103" s="752">
        <v>63</v>
      </c>
      <c r="H3103" s="265">
        <f t="shared" si="194"/>
        <v>882</v>
      </c>
      <c r="I3103" s="264" t="s">
        <v>170</v>
      </c>
      <c r="J3103" s="331" t="s">
        <v>5882</v>
      </c>
      <c r="K3103" s="256">
        <v>42572</v>
      </c>
      <c r="L3103" s="256"/>
      <c r="M3103" s="264" t="s">
        <v>9706</v>
      </c>
      <c r="N3103" s="331" t="s">
        <v>2001</v>
      </c>
      <c r="O3103" s="263" t="s">
        <v>9707</v>
      </c>
      <c r="P3103" s="752"/>
      <c r="Q3103" s="318">
        <v>26460</v>
      </c>
      <c r="R3103" s="1410"/>
      <c r="S3103" s="1410"/>
      <c r="U3103" s="386"/>
      <c r="V3103" s="318" t="s">
        <v>2003</v>
      </c>
      <c r="W3103" s="1096">
        <v>42587</v>
      </c>
      <c r="X3103" s="1083">
        <v>42572</v>
      </c>
      <c r="Y3103" s="263" t="s">
        <v>9708</v>
      </c>
      <c r="Z3103" s="1086">
        <v>26460</v>
      </c>
      <c r="AA3103" s="811">
        <v>42586</v>
      </c>
      <c r="AB3103" s="318" t="s">
        <v>9696</v>
      </c>
      <c r="AD3103" s="1085" t="s">
        <v>9697</v>
      </c>
      <c r="AE3103" s="1088" t="s">
        <v>9702</v>
      </c>
      <c r="AF3103" s="318" t="s">
        <v>9698</v>
      </c>
      <c r="AG3103" s="1091"/>
    </row>
    <row r="3104" spans="1:33" ht="15.75" customHeight="1">
      <c r="A3104" s="755">
        <v>42468</v>
      </c>
      <c r="B3104" s="338" t="s">
        <v>100</v>
      </c>
      <c r="C3104" s="970" t="s">
        <v>9111</v>
      </c>
      <c r="D3104" s="318" t="s">
        <v>9112</v>
      </c>
      <c r="E3104" s="338" t="s">
        <v>9709</v>
      </c>
      <c r="F3104" s="752">
        <v>6</v>
      </c>
      <c r="G3104" s="464">
        <v>1080</v>
      </c>
      <c r="H3104" s="265">
        <f t="shared" si="194"/>
        <v>6480</v>
      </c>
      <c r="I3104" s="264" t="s">
        <v>170</v>
      </c>
      <c r="J3104" s="331" t="s">
        <v>8461</v>
      </c>
      <c r="K3104" s="256">
        <v>42485</v>
      </c>
      <c r="L3104" s="256"/>
      <c r="M3104" s="256">
        <v>42481</v>
      </c>
      <c r="N3104" s="254" t="s">
        <v>1414</v>
      </c>
      <c r="O3104" s="263" t="s">
        <v>9710</v>
      </c>
      <c r="P3104" s="752"/>
      <c r="Q3104" s="318">
        <v>193914</v>
      </c>
      <c r="R3104" s="1410"/>
      <c r="S3104" s="1410"/>
      <c r="U3104" s="386"/>
      <c r="V3104" s="386" t="s">
        <v>1947</v>
      </c>
      <c r="W3104" s="747">
        <v>42474</v>
      </c>
      <c r="X3104" s="1083">
        <v>42481</v>
      </c>
      <c r="Y3104" s="263" t="s">
        <v>9711</v>
      </c>
      <c r="Z3104" s="1086">
        <v>193914</v>
      </c>
      <c r="AA3104" s="811">
        <v>42474</v>
      </c>
      <c r="AB3104" s="318" t="s">
        <v>9022</v>
      </c>
      <c r="AD3104" s="1091"/>
      <c r="AE3104" s="1091"/>
      <c r="AF3104" s="1091"/>
      <c r="AG3104" s="1092"/>
    </row>
    <row r="3105" spans="1:33" ht="15.75" customHeight="1">
      <c r="A3105" s="755">
        <v>42565</v>
      </c>
      <c r="B3105" s="338" t="s">
        <v>100</v>
      </c>
      <c r="C3105" s="263" t="s">
        <v>9712</v>
      </c>
      <c r="D3105" s="318" t="s">
        <v>9713</v>
      </c>
      <c r="E3105" s="308" t="s">
        <v>6119</v>
      </c>
      <c r="F3105" s="752">
        <v>5</v>
      </c>
      <c r="G3105" s="752">
        <v>62</v>
      </c>
      <c r="H3105" s="265">
        <f t="shared" si="194"/>
        <v>310</v>
      </c>
      <c r="I3105" s="264" t="s">
        <v>3315</v>
      </c>
      <c r="J3105" s="331" t="s">
        <v>5842</v>
      </c>
      <c r="K3105" s="256">
        <v>42586</v>
      </c>
      <c r="L3105" s="256"/>
      <c r="M3105" s="256">
        <v>42578</v>
      </c>
      <c r="N3105" s="331" t="s">
        <v>6735</v>
      </c>
      <c r="O3105" s="263" t="s">
        <v>9714</v>
      </c>
      <c r="P3105" s="752"/>
      <c r="Q3105" s="1054">
        <v>5140</v>
      </c>
      <c r="R3105" s="1413"/>
      <c r="S3105" s="1413"/>
      <c r="U3105" s="386"/>
      <c r="V3105" s="318" t="s">
        <v>2126</v>
      </c>
      <c r="W3105" s="1096">
        <v>42577</v>
      </c>
      <c r="X3105" s="1083">
        <v>42578</v>
      </c>
      <c r="Y3105" s="263" t="s">
        <v>9715</v>
      </c>
      <c r="Z3105" s="1086">
        <v>5140</v>
      </c>
      <c r="AA3105" s="811">
        <v>42577</v>
      </c>
      <c r="AB3105" s="318" t="s">
        <v>9716</v>
      </c>
      <c r="AD3105" s="1092"/>
      <c r="AE3105" s="1103"/>
      <c r="AF3105" s="1092"/>
      <c r="AG3105" s="386" t="s">
        <v>283</v>
      </c>
    </row>
    <row r="3106" spans="1:33" ht="15.75" customHeight="1">
      <c r="A3106" s="755">
        <v>42565</v>
      </c>
      <c r="B3106" s="338" t="s">
        <v>100</v>
      </c>
      <c r="C3106" s="263" t="s">
        <v>9712</v>
      </c>
      <c r="D3106" s="318" t="s">
        <v>9713</v>
      </c>
      <c r="E3106" s="338" t="s">
        <v>9717</v>
      </c>
      <c r="F3106" s="752">
        <v>1</v>
      </c>
      <c r="G3106" s="752">
        <v>193</v>
      </c>
      <c r="H3106" s="265">
        <f t="shared" si="194"/>
        <v>193</v>
      </c>
      <c r="I3106" s="264" t="s">
        <v>3315</v>
      </c>
      <c r="J3106" s="331"/>
      <c r="K3106" s="256">
        <v>42586</v>
      </c>
      <c r="L3106" s="256"/>
      <c r="M3106" s="623"/>
      <c r="N3106" s="331" t="s">
        <v>1999</v>
      </c>
      <c r="O3106" s="263"/>
      <c r="P3106" s="752"/>
      <c r="Q3106" s="318">
        <v>6420</v>
      </c>
      <c r="R3106" s="1410"/>
      <c r="S3106" s="1410"/>
      <c r="U3106" s="386"/>
      <c r="V3106" s="318" t="s">
        <v>2000</v>
      </c>
      <c r="W3106" s="1096">
        <v>42624</v>
      </c>
      <c r="X3106" s="1083">
        <v>42594</v>
      </c>
      <c r="Y3106" s="263" t="s">
        <v>5838</v>
      </c>
      <c r="Z3106" s="254" t="s">
        <v>5839</v>
      </c>
      <c r="AA3106" s="811">
        <v>42619</v>
      </c>
      <c r="AB3106" s="318" t="s">
        <v>9716</v>
      </c>
      <c r="AD3106" s="1092"/>
      <c r="AE3106" s="1103"/>
      <c r="AF3106" s="1092"/>
      <c r="AG3106" s="386" t="s">
        <v>283</v>
      </c>
    </row>
    <row r="3107" spans="1:33" ht="15.75" customHeight="1">
      <c r="A3107" s="755">
        <v>42565</v>
      </c>
      <c r="B3107" s="338" t="s">
        <v>100</v>
      </c>
      <c r="C3107" s="263" t="s">
        <v>9718</v>
      </c>
      <c r="D3107" s="318" t="s">
        <v>9719</v>
      </c>
      <c r="E3107" s="338" t="s">
        <v>9720</v>
      </c>
      <c r="F3107" s="752">
        <v>12</v>
      </c>
      <c r="G3107" s="752">
        <v>52</v>
      </c>
      <c r="H3107" s="265">
        <f t="shared" si="194"/>
        <v>624</v>
      </c>
      <c r="I3107" s="264" t="s">
        <v>3315</v>
      </c>
      <c r="J3107" s="331" t="s">
        <v>5842</v>
      </c>
      <c r="K3107" s="256">
        <v>42586</v>
      </c>
      <c r="L3107" s="256"/>
      <c r="M3107" s="256">
        <v>42586</v>
      </c>
      <c r="N3107" s="331" t="s">
        <v>2124</v>
      </c>
      <c r="O3107" s="263" t="s">
        <v>9721</v>
      </c>
      <c r="P3107" s="752"/>
      <c r="Q3107" s="1054">
        <v>16972</v>
      </c>
      <c r="R3107" s="1413"/>
      <c r="S3107" s="1413"/>
      <c r="U3107" s="386"/>
      <c r="V3107" s="318" t="s">
        <v>2126</v>
      </c>
      <c r="W3107" s="1096">
        <v>42577</v>
      </c>
      <c r="X3107" s="1083">
        <v>42579</v>
      </c>
      <c r="Y3107" s="263" t="s">
        <v>9722</v>
      </c>
      <c r="Z3107" s="1086">
        <v>16972</v>
      </c>
      <c r="AA3107" s="811">
        <v>42577</v>
      </c>
      <c r="AB3107" s="318" t="s">
        <v>9716</v>
      </c>
      <c r="AD3107" s="1092"/>
      <c r="AE3107" s="1103"/>
      <c r="AF3107" s="1092"/>
      <c r="AG3107" s="386" t="s">
        <v>283</v>
      </c>
    </row>
    <row r="3108" spans="1:33" ht="15.75" customHeight="1">
      <c r="A3108" s="755">
        <v>42565</v>
      </c>
      <c r="B3108" s="338" t="s">
        <v>100</v>
      </c>
      <c r="C3108" s="263" t="s">
        <v>9718</v>
      </c>
      <c r="D3108" s="318" t="s">
        <v>9719</v>
      </c>
      <c r="E3108" s="338" t="s">
        <v>9723</v>
      </c>
      <c r="F3108" s="752">
        <v>1</v>
      </c>
      <c r="G3108" s="752">
        <v>45</v>
      </c>
      <c r="H3108" s="265">
        <f t="shared" si="194"/>
        <v>45</v>
      </c>
      <c r="I3108" s="264" t="s">
        <v>3315</v>
      </c>
      <c r="J3108" s="331"/>
      <c r="K3108" s="256">
        <v>42586</v>
      </c>
      <c r="L3108" s="256"/>
      <c r="M3108" s="328"/>
      <c r="N3108" s="331" t="s">
        <v>1999</v>
      </c>
      <c r="O3108" s="263"/>
      <c r="P3108" s="752"/>
      <c r="Q3108" s="752" t="s">
        <v>9724</v>
      </c>
      <c r="R3108" s="1405"/>
      <c r="S3108" s="1405"/>
      <c r="U3108" s="386"/>
      <c r="V3108" s="318" t="s">
        <v>2000</v>
      </c>
      <c r="W3108" s="1096">
        <v>42624</v>
      </c>
      <c r="X3108" s="1083">
        <v>42594</v>
      </c>
      <c r="Y3108" s="263" t="s">
        <v>5838</v>
      </c>
      <c r="Z3108" s="254" t="s">
        <v>5839</v>
      </c>
      <c r="AA3108" s="811">
        <v>42619</v>
      </c>
      <c r="AB3108" s="318" t="s">
        <v>9716</v>
      </c>
      <c r="AD3108" s="1092"/>
      <c r="AE3108" s="1103"/>
      <c r="AF3108" s="1092"/>
      <c r="AG3108" s="386" t="s">
        <v>283</v>
      </c>
    </row>
    <row r="3109" spans="1:33" ht="15.75" customHeight="1">
      <c r="A3109" s="755">
        <v>42565</v>
      </c>
      <c r="B3109" s="338" t="s">
        <v>76</v>
      </c>
      <c r="C3109" s="263">
        <v>684</v>
      </c>
      <c r="D3109" s="318" t="s">
        <v>9725</v>
      </c>
      <c r="E3109" s="597" t="s">
        <v>8527</v>
      </c>
      <c r="F3109" s="752">
        <v>50</v>
      </c>
      <c r="G3109" s="752">
        <v>1.9</v>
      </c>
      <c r="H3109" s="265">
        <f t="shared" si="194"/>
        <v>95</v>
      </c>
      <c r="I3109" s="264" t="s">
        <v>170</v>
      </c>
      <c r="J3109" s="267" t="s">
        <v>315</v>
      </c>
      <c r="K3109" s="256">
        <v>42612</v>
      </c>
      <c r="L3109" s="256"/>
      <c r="M3109" s="256">
        <v>42607</v>
      </c>
      <c r="N3109" s="331" t="s">
        <v>3608</v>
      </c>
      <c r="O3109" s="263" t="s">
        <v>9726</v>
      </c>
      <c r="P3109" s="752"/>
      <c r="Q3109" s="1054">
        <v>2783</v>
      </c>
      <c r="R3109" s="1413"/>
      <c r="S3109" s="1413"/>
      <c r="U3109" s="386"/>
      <c r="V3109" s="318" t="s">
        <v>2093</v>
      </c>
      <c r="W3109" s="1096">
        <v>42618</v>
      </c>
      <c r="X3109" s="1083">
        <v>42606</v>
      </c>
      <c r="Y3109" s="263" t="s">
        <v>9727</v>
      </c>
      <c r="Z3109" s="1086">
        <v>2783</v>
      </c>
      <c r="AA3109" s="811">
        <v>42618</v>
      </c>
      <c r="AB3109" s="263" t="s">
        <v>9501</v>
      </c>
      <c r="AD3109" s="1092"/>
      <c r="AE3109" s="1103"/>
      <c r="AF3109" s="1092"/>
      <c r="AG3109" s="386" t="s">
        <v>283</v>
      </c>
    </row>
    <row r="3110" spans="1:33" ht="15.75" customHeight="1">
      <c r="A3110" s="755">
        <v>42566</v>
      </c>
      <c r="B3110" s="1127" t="s">
        <v>3709</v>
      </c>
      <c r="C3110" s="263" t="s">
        <v>9728</v>
      </c>
      <c r="D3110" s="318" t="s">
        <v>9729</v>
      </c>
      <c r="E3110" s="338" t="s">
        <v>6863</v>
      </c>
      <c r="F3110" s="752">
        <v>6</v>
      </c>
      <c r="G3110" s="752">
        <v>161</v>
      </c>
      <c r="H3110" s="265">
        <f t="shared" si="194"/>
        <v>966</v>
      </c>
      <c r="I3110" s="264" t="s">
        <v>3712</v>
      </c>
      <c r="J3110" s="401" t="s">
        <v>6020</v>
      </c>
      <c r="K3110" s="256">
        <v>42590</v>
      </c>
      <c r="L3110" s="256"/>
      <c r="M3110" s="256">
        <v>42572</v>
      </c>
      <c r="N3110" s="331" t="s">
        <v>89</v>
      </c>
      <c r="O3110" s="263" t="s">
        <v>9730</v>
      </c>
      <c r="P3110" s="752">
        <v>806.4</v>
      </c>
      <c r="Q3110" s="1054">
        <v>47322</v>
      </c>
      <c r="R3110" s="1413"/>
      <c r="S3110" s="1413"/>
      <c r="U3110" s="386"/>
      <c r="V3110" s="318" t="s">
        <v>5896</v>
      </c>
      <c r="W3110" s="747">
        <v>42618</v>
      </c>
      <c r="X3110" s="1083">
        <v>42571</v>
      </c>
      <c r="Y3110" s="263" t="s">
        <v>9731</v>
      </c>
      <c r="Z3110" s="1086">
        <v>47322</v>
      </c>
      <c r="AA3110" s="811">
        <v>42608</v>
      </c>
      <c r="AB3110" s="318" t="s">
        <v>9732</v>
      </c>
      <c r="AD3110" s="1092"/>
      <c r="AE3110" s="1103"/>
      <c r="AF3110" s="1092"/>
      <c r="AG3110" s="1091" t="s">
        <v>283</v>
      </c>
    </row>
    <row r="3111" spans="1:33" ht="15.75" customHeight="1">
      <c r="A3111" s="755">
        <v>42566</v>
      </c>
      <c r="B3111" s="1127" t="s">
        <v>3709</v>
      </c>
      <c r="C3111" s="263" t="s">
        <v>9728</v>
      </c>
      <c r="D3111" s="318" t="s">
        <v>9729</v>
      </c>
      <c r="E3111" s="338" t="s">
        <v>9491</v>
      </c>
      <c r="F3111" s="752">
        <v>1</v>
      </c>
      <c r="G3111" s="752">
        <v>295</v>
      </c>
      <c r="H3111" s="265">
        <f t="shared" si="194"/>
        <v>295</v>
      </c>
      <c r="I3111" s="264" t="s">
        <v>3712</v>
      </c>
      <c r="J3111" s="401" t="s">
        <v>6020</v>
      </c>
      <c r="K3111" s="256">
        <v>42590</v>
      </c>
      <c r="L3111" s="256"/>
      <c r="M3111" s="256">
        <v>42572</v>
      </c>
      <c r="N3111" s="331" t="s">
        <v>89</v>
      </c>
      <c r="O3111" s="263" t="s">
        <v>9730</v>
      </c>
      <c r="P3111" s="752">
        <v>266.7</v>
      </c>
      <c r="Q3111" s="386"/>
      <c r="R3111" s="1407"/>
      <c r="S3111" s="1407"/>
      <c r="U3111" s="386"/>
      <c r="V3111" s="318" t="s">
        <v>5896</v>
      </c>
      <c r="W3111" s="747">
        <v>42618</v>
      </c>
      <c r="X3111" s="1083">
        <v>42571</v>
      </c>
      <c r="Y3111" s="263" t="s">
        <v>9731</v>
      </c>
      <c r="Z3111" s="1086" t="s">
        <v>9733</v>
      </c>
      <c r="AA3111" s="811">
        <v>42608</v>
      </c>
      <c r="AB3111" s="318" t="s">
        <v>9732</v>
      </c>
      <c r="AD3111" s="1092"/>
      <c r="AE3111" s="1103"/>
      <c r="AF3111" s="1092"/>
      <c r="AG3111" s="1091" t="s">
        <v>283</v>
      </c>
    </row>
    <row r="3112" spans="1:33" ht="15.75" customHeight="1">
      <c r="A3112" s="755">
        <v>42566</v>
      </c>
      <c r="B3112" s="1127" t="s">
        <v>3709</v>
      </c>
      <c r="C3112" s="263" t="s">
        <v>9728</v>
      </c>
      <c r="D3112" s="318" t="s">
        <v>9729</v>
      </c>
      <c r="E3112" s="338" t="s">
        <v>3711</v>
      </c>
      <c r="F3112" s="752">
        <v>1</v>
      </c>
      <c r="G3112" s="752">
        <v>460</v>
      </c>
      <c r="H3112" s="265">
        <f t="shared" si="194"/>
        <v>460</v>
      </c>
      <c r="I3112" s="264" t="s">
        <v>3712</v>
      </c>
      <c r="J3112" s="401" t="s">
        <v>6020</v>
      </c>
      <c r="K3112" s="256">
        <v>42590</v>
      </c>
      <c r="L3112" s="256"/>
      <c r="M3112" s="256">
        <v>42572</v>
      </c>
      <c r="N3112" s="331" t="s">
        <v>89</v>
      </c>
      <c r="O3112" s="263" t="s">
        <v>9730</v>
      </c>
      <c r="P3112" s="752">
        <v>395.85</v>
      </c>
      <c r="Q3112" s="386"/>
      <c r="R3112" s="1407"/>
      <c r="S3112" s="1407"/>
      <c r="U3112" s="386"/>
      <c r="V3112" s="318" t="s">
        <v>5896</v>
      </c>
      <c r="W3112" s="747">
        <v>42618</v>
      </c>
      <c r="X3112" s="1083">
        <v>42571</v>
      </c>
      <c r="Y3112" s="263" t="s">
        <v>9731</v>
      </c>
      <c r="Z3112" s="1086" t="s">
        <v>9733</v>
      </c>
      <c r="AA3112" s="811">
        <v>42608</v>
      </c>
      <c r="AB3112" s="318" t="s">
        <v>9732</v>
      </c>
      <c r="AD3112" s="1092"/>
      <c r="AE3112" s="1103"/>
      <c r="AF3112" s="1092"/>
      <c r="AG3112" s="1091" t="s">
        <v>283</v>
      </c>
    </row>
    <row r="3113" spans="1:33" ht="15.75" customHeight="1">
      <c r="A3113" s="755">
        <v>42569</v>
      </c>
      <c r="B3113" s="592" t="s">
        <v>53</v>
      </c>
      <c r="C3113" s="970" t="s">
        <v>9734</v>
      </c>
      <c r="D3113" s="308" t="s">
        <v>9735</v>
      </c>
      <c r="E3113" s="571" t="s">
        <v>3632</v>
      </c>
      <c r="F3113" s="329">
        <v>4</v>
      </c>
      <c r="G3113" s="252">
        <v>150.15</v>
      </c>
      <c r="H3113" s="571">
        <f t="shared" si="194"/>
        <v>600.6</v>
      </c>
      <c r="I3113" s="264" t="s">
        <v>8429</v>
      </c>
      <c r="J3113" s="401" t="s">
        <v>232</v>
      </c>
      <c r="K3113" s="256">
        <v>42605</v>
      </c>
      <c r="L3113" s="1477"/>
      <c r="M3113" s="386"/>
      <c r="N3113" s="331" t="s">
        <v>89</v>
      </c>
      <c r="O3113" s="263" t="s">
        <v>9736</v>
      </c>
      <c r="P3113" s="752">
        <v>537.6</v>
      </c>
      <c r="Q3113" s="386"/>
      <c r="R3113" s="1407"/>
      <c r="S3113" s="1407"/>
      <c r="U3113" s="386"/>
      <c r="V3113" s="318" t="s">
        <v>5896</v>
      </c>
      <c r="W3113" s="1096">
        <v>42618</v>
      </c>
      <c r="X3113" s="1083">
        <v>42601</v>
      </c>
      <c r="Y3113" s="263" t="s">
        <v>9737</v>
      </c>
      <c r="Z3113" s="1086">
        <v>16932</v>
      </c>
      <c r="AA3113" s="811">
        <v>42621</v>
      </c>
      <c r="AB3113" s="318" t="s">
        <v>9738</v>
      </c>
      <c r="AD3113" s="318" t="s">
        <v>9739</v>
      </c>
      <c r="AE3113" s="1100">
        <v>19096</v>
      </c>
      <c r="AF3113" s="386" t="s">
        <v>9740</v>
      </c>
      <c r="AG3113" s="1091"/>
    </row>
    <row r="3114" spans="1:33" ht="15.75" customHeight="1">
      <c r="A3114" s="755">
        <v>42572</v>
      </c>
      <c r="B3114" s="338" t="s">
        <v>76</v>
      </c>
      <c r="C3114" s="263"/>
      <c r="D3114" s="318" t="s">
        <v>9741</v>
      </c>
      <c r="E3114" s="338" t="s">
        <v>9742</v>
      </c>
      <c r="F3114" s="752">
        <v>3</v>
      </c>
      <c r="G3114" s="752">
        <v>6</v>
      </c>
      <c r="H3114" s="571">
        <f t="shared" si="194"/>
        <v>18</v>
      </c>
      <c r="I3114" s="264" t="s">
        <v>170</v>
      </c>
      <c r="J3114" s="401" t="s">
        <v>1083</v>
      </c>
      <c r="K3114" s="256">
        <v>42578</v>
      </c>
      <c r="L3114" s="256"/>
      <c r="M3114" s="256">
        <v>42577</v>
      </c>
      <c r="N3114" s="331" t="s">
        <v>2006</v>
      </c>
      <c r="O3114" s="263" t="s">
        <v>9743</v>
      </c>
      <c r="P3114" s="752"/>
      <c r="Q3114" s="318">
        <v>274</v>
      </c>
      <c r="R3114" s="1410"/>
      <c r="S3114" s="1410"/>
      <c r="U3114" s="386"/>
      <c r="V3114" s="318" t="s">
        <v>2146</v>
      </c>
      <c r="W3114" s="1096">
        <v>42618</v>
      </c>
      <c r="X3114" s="1083">
        <v>42577</v>
      </c>
      <c r="Y3114" s="263" t="s">
        <v>9744</v>
      </c>
      <c r="Z3114" s="254">
        <v>362</v>
      </c>
      <c r="AA3114" s="811">
        <v>42619</v>
      </c>
      <c r="AB3114" s="263" t="s">
        <v>9745</v>
      </c>
      <c r="AD3114" s="1092"/>
      <c r="AE3114" s="1103"/>
      <c r="AF3114" s="1092"/>
      <c r="AG3114" s="386" t="s">
        <v>283</v>
      </c>
    </row>
    <row r="3115" spans="1:33" ht="15.75" customHeight="1">
      <c r="A3115" s="755">
        <v>42572</v>
      </c>
      <c r="B3115" s="338" t="s">
        <v>76</v>
      </c>
      <c r="C3115" s="263"/>
      <c r="D3115" s="318" t="s">
        <v>9741</v>
      </c>
      <c r="E3115" s="338" t="s">
        <v>9746</v>
      </c>
      <c r="F3115" s="752">
        <v>3</v>
      </c>
      <c r="G3115" s="752">
        <v>2</v>
      </c>
      <c r="H3115" s="571">
        <f t="shared" si="194"/>
        <v>6</v>
      </c>
      <c r="I3115" s="264" t="s">
        <v>170</v>
      </c>
      <c r="J3115" s="331" t="s">
        <v>1083</v>
      </c>
      <c r="K3115" s="256">
        <v>42578</v>
      </c>
      <c r="L3115" s="256"/>
      <c r="M3115" s="256">
        <v>42577</v>
      </c>
      <c r="N3115" s="331" t="s">
        <v>2006</v>
      </c>
      <c r="O3115" s="263" t="s">
        <v>9743</v>
      </c>
      <c r="P3115" s="752"/>
      <c r="Q3115" s="318">
        <v>88</v>
      </c>
      <c r="R3115" s="1410"/>
      <c r="S3115" s="1410"/>
      <c r="U3115" s="386"/>
      <c r="V3115" s="318" t="s">
        <v>2146</v>
      </c>
      <c r="W3115" s="1096">
        <v>42618</v>
      </c>
      <c r="X3115" s="1083">
        <v>42577</v>
      </c>
      <c r="Y3115" s="263" t="s">
        <v>9744</v>
      </c>
      <c r="Z3115" s="254" t="s">
        <v>9747</v>
      </c>
      <c r="AA3115" s="811">
        <v>42619</v>
      </c>
      <c r="AB3115" s="263" t="s">
        <v>9745</v>
      </c>
      <c r="AD3115" s="1092"/>
      <c r="AE3115" s="1103"/>
      <c r="AF3115" s="1092"/>
      <c r="AG3115" s="386" t="s">
        <v>283</v>
      </c>
    </row>
    <row r="3116" spans="1:33" ht="15.75" customHeight="1">
      <c r="A3116" s="755">
        <v>42572</v>
      </c>
      <c r="B3116" s="338" t="s">
        <v>7204</v>
      </c>
      <c r="C3116" s="263" t="s">
        <v>9748</v>
      </c>
      <c r="D3116" s="318" t="s">
        <v>9749</v>
      </c>
      <c r="E3116" s="338" t="s">
        <v>7207</v>
      </c>
      <c r="F3116" s="752">
        <v>5</v>
      </c>
      <c r="G3116" s="752">
        <v>231</v>
      </c>
      <c r="H3116" s="265">
        <f t="shared" si="194"/>
        <v>1155</v>
      </c>
      <c r="I3116" s="264" t="s">
        <v>3315</v>
      </c>
      <c r="J3116" s="331" t="s">
        <v>9750</v>
      </c>
      <c r="K3116" s="256">
        <v>42642</v>
      </c>
      <c r="L3116" s="256"/>
      <c r="M3116" s="256">
        <v>42639</v>
      </c>
      <c r="N3116" s="331" t="s">
        <v>89</v>
      </c>
      <c r="O3116" s="263" t="s">
        <v>9751</v>
      </c>
      <c r="P3116" s="752">
        <v>892.5</v>
      </c>
      <c r="Q3116" s="386"/>
      <c r="R3116" s="1407"/>
      <c r="S3116" s="1407"/>
      <c r="U3116" s="386"/>
      <c r="V3116" s="318" t="s">
        <v>5896</v>
      </c>
      <c r="W3116" s="1096">
        <v>42709</v>
      </c>
      <c r="X3116" s="1083">
        <v>42639</v>
      </c>
      <c r="Y3116" s="263" t="s">
        <v>9752</v>
      </c>
      <c r="Z3116" s="1086">
        <v>28225</v>
      </c>
      <c r="AA3116" s="1099">
        <v>42690</v>
      </c>
      <c r="AB3116" s="318" t="s">
        <v>9753</v>
      </c>
      <c r="AD3116" s="1092"/>
      <c r="AE3116" s="1103"/>
      <c r="AF3116" s="1092"/>
      <c r="AG3116" s="1091" t="s">
        <v>283</v>
      </c>
    </row>
    <row r="3117" spans="1:33" ht="15.75" customHeight="1">
      <c r="A3117" s="755">
        <v>42572</v>
      </c>
      <c r="B3117" s="338" t="s">
        <v>7204</v>
      </c>
      <c r="C3117" s="263" t="s">
        <v>9748</v>
      </c>
      <c r="D3117" s="318" t="s">
        <v>9749</v>
      </c>
      <c r="E3117" s="338" t="s">
        <v>692</v>
      </c>
      <c r="F3117" s="752">
        <v>1</v>
      </c>
      <c r="G3117" s="752">
        <v>25</v>
      </c>
      <c r="H3117" s="265">
        <f t="shared" si="194"/>
        <v>25</v>
      </c>
      <c r="I3117" s="264" t="s">
        <v>3315</v>
      </c>
      <c r="J3117" s="331"/>
      <c r="K3117" s="256">
        <v>42642</v>
      </c>
      <c r="L3117" s="1477"/>
      <c r="M3117" s="386"/>
      <c r="N3117" s="331"/>
      <c r="O3117" s="263"/>
      <c r="P3117" s="752"/>
      <c r="Q3117" s="386"/>
      <c r="R3117" s="1407"/>
      <c r="S3117" s="1407"/>
      <c r="U3117" s="386"/>
      <c r="V3117" s="318"/>
      <c r="W3117" s="1090"/>
      <c r="X3117" s="1083"/>
      <c r="Y3117" s="263"/>
      <c r="Z3117" s="1086"/>
      <c r="AA3117" s="811"/>
      <c r="AB3117" s="318" t="s">
        <v>9753</v>
      </c>
      <c r="AD3117" s="1092"/>
      <c r="AE3117" s="1103"/>
      <c r="AF3117" s="1092"/>
      <c r="AG3117" s="1091" t="s">
        <v>283</v>
      </c>
    </row>
    <row r="3118" spans="1:33" ht="15.75" customHeight="1">
      <c r="A3118" s="755">
        <v>42573</v>
      </c>
      <c r="B3118" s="338" t="s">
        <v>4903</v>
      </c>
      <c r="C3118" s="263" t="s">
        <v>9754</v>
      </c>
      <c r="D3118" s="318" t="s">
        <v>9755</v>
      </c>
      <c r="E3118" s="338" t="s">
        <v>9756</v>
      </c>
      <c r="F3118" s="752">
        <v>14</v>
      </c>
      <c r="G3118" s="752">
        <v>582</v>
      </c>
      <c r="H3118" s="265">
        <f t="shared" si="194"/>
        <v>8148</v>
      </c>
      <c r="I3118" s="264" t="s">
        <v>3315</v>
      </c>
      <c r="J3118" s="331" t="s">
        <v>8438</v>
      </c>
      <c r="K3118" s="256">
        <v>42586</v>
      </c>
      <c r="L3118" s="1477"/>
      <c r="M3118" s="811">
        <v>42580</v>
      </c>
      <c r="N3118" s="331" t="s">
        <v>3432</v>
      </c>
      <c r="O3118" s="263" t="s">
        <v>9757</v>
      </c>
      <c r="P3118" s="752"/>
      <c r="Q3118" s="1054">
        <v>253943</v>
      </c>
      <c r="R3118" s="1413"/>
      <c r="S3118" s="1413"/>
      <c r="U3118" s="386"/>
      <c r="V3118" s="318" t="s">
        <v>5937</v>
      </c>
      <c r="W3118" s="747">
        <v>42597</v>
      </c>
      <c r="X3118" s="1083">
        <v>42577</v>
      </c>
      <c r="Y3118" s="263" t="s">
        <v>9758</v>
      </c>
      <c r="Z3118" s="1086">
        <v>253943</v>
      </c>
      <c r="AA3118" s="811"/>
      <c r="AB3118" s="318" t="s">
        <v>9759</v>
      </c>
      <c r="AD3118" s="1092"/>
      <c r="AE3118" s="1103"/>
      <c r="AF3118" s="1092"/>
      <c r="AG3118" s="386" t="s">
        <v>283</v>
      </c>
    </row>
    <row r="3119" spans="1:33" ht="15.75" customHeight="1">
      <c r="A3119" s="755">
        <v>42576</v>
      </c>
      <c r="B3119" s="338" t="s">
        <v>76</v>
      </c>
      <c r="C3119" s="263"/>
      <c r="D3119" s="318" t="s">
        <v>9760</v>
      </c>
      <c r="E3119" s="338" t="s">
        <v>9761</v>
      </c>
      <c r="F3119" s="752">
        <v>1</v>
      </c>
      <c r="G3119" s="752">
        <v>234</v>
      </c>
      <c r="H3119" s="571">
        <f t="shared" si="194"/>
        <v>234</v>
      </c>
      <c r="I3119" s="264" t="s">
        <v>170</v>
      </c>
      <c r="J3119" s="331" t="s">
        <v>1083</v>
      </c>
      <c r="K3119" s="256">
        <v>42578</v>
      </c>
      <c r="L3119" s="256"/>
      <c r="M3119" s="264" t="s">
        <v>9762</v>
      </c>
      <c r="N3119" s="331" t="s">
        <v>1967</v>
      </c>
      <c r="O3119" s="263" t="s">
        <v>9763</v>
      </c>
      <c r="P3119" s="752"/>
      <c r="Q3119" s="318">
        <v>8092</v>
      </c>
      <c r="R3119" s="1410"/>
      <c r="S3119" s="1410"/>
      <c r="U3119" s="386"/>
      <c r="V3119" s="318" t="s">
        <v>1969</v>
      </c>
      <c r="W3119" s="747">
        <v>42618</v>
      </c>
      <c r="X3119" s="1083">
        <v>42578</v>
      </c>
      <c r="Y3119" s="263" t="s">
        <v>9764</v>
      </c>
      <c r="Z3119" s="1086">
        <v>8564</v>
      </c>
      <c r="AA3119" s="811">
        <v>42619</v>
      </c>
      <c r="AB3119" s="263" t="s">
        <v>9745</v>
      </c>
      <c r="AD3119" s="1092"/>
      <c r="AE3119" s="1103"/>
      <c r="AF3119" s="1092"/>
      <c r="AG3119" s="386" t="s">
        <v>283</v>
      </c>
    </row>
    <row r="3120" spans="1:33" ht="15.75" customHeight="1">
      <c r="A3120" s="755">
        <v>42576</v>
      </c>
      <c r="B3120" s="338" t="s">
        <v>76</v>
      </c>
      <c r="C3120" s="263"/>
      <c r="D3120" s="318" t="s">
        <v>9760</v>
      </c>
      <c r="E3120" s="338" t="s">
        <v>8842</v>
      </c>
      <c r="F3120" s="752">
        <v>1</v>
      </c>
      <c r="G3120" s="752">
        <v>25</v>
      </c>
      <c r="H3120" s="571">
        <f t="shared" si="194"/>
        <v>25</v>
      </c>
      <c r="I3120" s="264" t="s">
        <v>170</v>
      </c>
      <c r="J3120" s="331" t="s">
        <v>1083</v>
      </c>
      <c r="K3120" s="256">
        <v>42578</v>
      </c>
      <c r="L3120" s="256"/>
      <c r="M3120" s="264" t="s">
        <v>9762</v>
      </c>
      <c r="N3120" s="331" t="s">
        <v>1967</v>
      </c>
      <c r="O3120" s="263" t="s">
        <v>9763</v>
      </c>
      <c r="P3120" s="752"/>
      <c r="Q3120" s="318">
        <v>843</v>
      </c>
      <c r="R3120" s="1410"/>
      <c r="S3120" s="1410"/>
      <c r="U3120" s="386"/>
      <c r="V3120" s="318" t="s">
        <v>1969</v>
      </c>
      <c r="W3120" s="747">
        <v>42618</v>
      </c>
      <c r="X3120" s="1083">
        <v>42578</v>
      </c>
      <c r="Y3120" s="263" t="s">
        <v>9765</v>
      </c>
      <c r="Z3120" s="1086">
        <v>843</v>
      </c>
      <c r="AA3120" s="811">
        <v>42619</v>
      </c>
      <c r="AB3120" s="263" t="s">
        <v>9745</v>
      </c>
      <c r="AD3120" s="1092"/>
      <c r="AE3120" s="1103"/>
      <c r="AF3120" s="1092"/>
      <c r="AG3120" s="386" t="s">
        <v>283</v>
      </c>
    </row>
    <row r="3121" spans="1:33" ht="15.75" customHeight="1">
      <c r="A3121" s="755">
        <v>42576</v>
      </c>
      <c r="B3121" s="338" t="s">
        <v>76</v>
      </c>
      <c r="C3121" s="263"/>
      <c r="D3121" s="318" t="s">
        <v>9760</v>
      </c>
      <c r="E3121" s="338" t="s">
        <v>8879</v>
      </c>
      <c r="F3121" s="752">
        <v>1</v>
      </c>
      <c r="G3121" s="752">
        <v>8</v>
      </c>
      <c r="H3121" s="571">
        <f t="shared" si="194"/>
        <v>8</v>
      </c>
      <c r="I3121" s="264" t="s">
        <v>170</v>
      </c>
      <c r="J3121" s="331" t="s">
        <v>1083</v>
      </c>
      <c r="K3121" s="256">
        <v>42578</v>
      </c>
      <c r="L3121" s="256"/>
      <c r="M3121" s="264" t="s">
        <v>9762</v>
      </c>
      <c r="N3121" s="331" t="s">
        <v>1967</v>
      </c>
      <c r="O3121" s="263" t="s">
        <v>9763</v>
      </c>
      <c r="P3121" s="752"/>
      <c r="Q3121" s="318">
        <v>472</v>
      </c>
      <c r="R3121" s="1410"/>
      <c r="S3121" s="1410"/>
      <c r="U3121" s="386"/>
      <c r="V3121" s="318" t="s">
        <v>1969</v>
      </c>
      <c r="W3121" s="747">
        <v>42618</v>
      </c>
      <c r="X3121" s="1083">
        <v>42578</v>
      </c>
      <c r="Y3121" s="263" t="s">
        <v>9764</v>
      </c>
      <c r="Z3121" s="1086" t="s">
        <v>7180</v>
      </c>
      <c r="AA3121" s="811">
        <v>42619</v>
      </c>
      <c r="AB3121" s="263" t="s">
        <v>9745</v>
      </c>
      <c r="AD3121" s="1092"/>
      <c r="AE3121" s="1103"/>
      <c r="AF3121" s="1092"/>
      <c r="AG3121" s="386" t="s">
        <v>283</v>
      </c>
    </row>
    <row r="3122" spans="1:33" ht="15.75" customHeight="1">
      <c r="A3122" s="755">
        <v>42576</v>
      </c>
      <c r="B3122" s="338" t="s">
        <v>76</v>
      </c>
      <c r="C3122" s="263"/>
      <c r="D3122" s="318" t="s">
        <v>9766</v>
      </c>
      <c r="E3122" s="571" t="s">
        <v>9327</v>
      </c>
      <c r="F3122" s="574">
        <v>3</v>
      </c>
      <c r="G3122" s="265">
        <v>184</v>
      </c>
      <c r="H3122" s="571">
        <f t="shared" si="194"/>
        <v>552</v>
      </c>
      <c r="I3122" s="264" t="s">
        <v>170</v>
      </c>
      <c r="J3122" s="267" t="s">
        <v>315</v>
      </c>
      <c r="K3122" s="256">
        <v>42612</v>
      </c>
      <c r="L3122" s="1477"/>
      <c r="M3122" s="811">
        <v>42607</v>
      </c>
      <c r="N3122" s="331" t="s">
        <v>1967</v>
      </c>
      <c r="O3122" s="263" t="s">
        <v>9767</v>
      </c>
      <c r="P3122" s="752">
        <v>519.75</v>
      </c>
      <c r="Q3122" s="318">
        <v>16518</v>
      </c>
      <c r="R3122" s="1410"/>
      <c r="S3122" s="1410"/>
      <c r="U3122" s="386"/>
      <c r="V3122" s="318" t="s">
        <v>1969</v>
      </c>
      <c r="W3122" s="1096">
        <v>42648</v>
      </c>
      <c r="X3122" s="1083">
        <v>42606</v>
      </c>
      <c r="Y3122" s="263" t="s">
        <v>9768</v>
      </c>
      <c r="Z3122" s="1086">
        <v>17820</v>
      </c>
      <c r="AA3122" s="811">
        <v>42648</v>
      </c>
      <c r="AB3122" s="263" t="s">
        <v>9501</v>
      </c>
      <c r="AD3122" s="1092"/>
      <c r="AE3122" s="1103"/>
      <c r="AF3122" s="1092"/>
      <c r="AG3122" s="386" t="s">
        <v>283</v>
      </c>
    </row>
    <row r="3123" spans="1:33" ht="15.75" customHeight="1">
      <c r="A3123" s="755">
        <v>42576</v>
      </c>
      <c r="B3123" s="338" t="s">
        <v>76</v>
      </c>
      <c r="C3123" s="263"/>
      <c r="D3123" s="318" t="s">
        <v>9766</v>
      </c>
      <c r="E3123" s="571" t="s">
        <v>9330</v>
      </c>
      <c r="F3123" s="574">
        <v>3</v>
      </c>
      <c r="G3123" s="265">
        <v>18</v>
      </c>
      <c r="H3123" s="571">
        <f t="shared" si="194"/>
        <v>54</v>
      </c>
      <c r="I3123" s="264" t="s">
        <v>170</v>
      </c>
      <c r="J3123" s="267" t="s">
        <v>315</v>
      </c>
      <c r="K3123" s="256">
        <v>42612</v>
      </c>
      <c r="L3123" s="1477"/>
      <c r="M3123" s="811">
        <v>42607</v>
      </c>
      <c r="N3123" s="331" t="s">
        <v>1967</v>
      </c>
      <c r="O3123" s="263" t="s">
        <v>9767</v>
      </c>
      <c r="P3123" s="752">
        <v>40.950000000000003</v>
      </c>
      <c r="Q3123" s="318">
        <v>1302</v>
      </c>
      <c r="R3123" s="1410"/>
      <c r="S3123" s="1410"/>
      <c r="U3123" s="386"/>
      <c r="V3123" s="318" t="s">
        <v>1969</v>
      </c>
      <c r="W3123" s="1096">
        <v>42648</v>
      </c>
      <c r="X3123" s="1083">
        <v>42606</v>
      </c>
      <c r="Y3123" s="263" t="s">
        <v>9768</v>
      </c>
      <c r="Z3123" s="1086" t="s">
        <v>9769</v>
      </c>
      <c r="AA3123" s="811">
        <v>42648</v>
      </c>
      <c r="AB3123" s="263" t="s">
        <v>9501</v>
      </c>
      <c r="AD3123" s="1092"/>
      <c r="AE3123" s="1103"/>
      <c r="AF3123" s="1092"/>
      <c r="AG3123" s="386" t="s">
        <v>283</v>
      </c>
    </row>
    <row r="3124" spans="1:33" ht="15.75" customHeight="1">
      <c r="A3124" s="755">
        <v>42576</v>
      </c>
      <c r="B3124" s="338" t="s">
        <v>76</v>
      </c>
      <c r="C3124" s="263"/>
      <c r="D3124" s="318" t="s">
        <v>9766</v>
      </c>
      <c r="E3124" s="338" t="s">
        <v>9770</v>
      </c>
      <c r="F3124" s="752">
        <v>3</v>
      </c>
      <c r="G3124" s="752">
        <v>7</v>
      </c>
      <c r="H3124" s="571">
        <f t="shared" si="194"/>
        <v>21</v>
      </c>
      <c r="I3124" s="264" t="s">
        <v>170</v>
      </c>
      <c r="J3124" s="267" t="s">
        <v>315</v>
      </c>
      <c r="K3124" s="256">
        <v>42612</v>
      </c>
      <c r="L3124" s="1477"/>
      <c r="M3124" s="811">
        <v>42607</v>
      </c>
      <c r="N3124" s="331" t="s">
        <v>2006</v>
      </c>
      <c r="O3124" s="263" t="s">
        <v>9771</v>
      </c>
      <c r="P3124" s="752"/>
      <c r="Q3124" s="318">
        <v>284</v>
      </c>
      <c r="R3124" s="1410"/>
      <c r="S3124" s="1410"/>
      <c r="U3124" s="386"/>
      <c r="V3124" s="318" t="s">
        <v>2146</v>
      </c>
      <c r="W3124" s="1096">
        <v>42618</v>
      </c>
      <c r="X3124" s="1083">
        <v>42605</v>
      </c>
      <c r="Y3124" s="263" t="s">
        <v>9772</v>
      </c>
      <c r="Z3124" s="1086">
        <v>284</v>
      </c>
      <c r="AA3124" s="811"/>
      <c r="AB3124" s="263" t="s">
        <v>9501</v>
      </c>
      <c r="AD3124" s="1092"/>
      <c r="AE3124" s="1103"/>
      <c r="AF3124" s="1092"/>
      <c r="AG3124" s="386" t="s">
        <v>283</v>
      </c>
    </row>
    <row r="3125" spans="1:33" ht="15.75" customHeight="1">
      <c r="A3125" s="755">
        <v>42578</v>
      </c>
      <c r="B3125" s="592" t="s">
        <v>6060</v>
      </c>
      <c r="C3125" s="744" t="s">
        <v>9773</v>
      </c>
      <c r="D3125" s="308" t="s">
        <v>9774</v>
      </c>
      <c r="E3125" s="338" t="s">
        <v>6063</v>
      </c>
      <c r="F3125" s="752">
        <v>5</v>
      </c>
      <c r="G3125" s="752">
        <v>58</v>
      </c>
      <c r="H3125" s="464">
        <f t="shared" si="194"/>
        <v>290</v>
      </c>
      <c r="I3125" s="254" t="s">
        <v>42</v>
      </c>
      <c r="J3125" s="331" t="s">
        <v>8812</v>
      </c>
      <c r="K3125" s="811">
        <v>42592</v>
      </c>
      <c r="L3125" s="1477"/>
      <c r="M3125" s="811">
        <v>42591</v>
      </c>
      <c r="N3125" s="331" t="s">
        <v>89</v>
      </c>
      <c r="O3125" s="263" t="s">
        <v>9775</v>
      </c>
      <c r="P3125" s="752">
        <v>273</v>
      </c>
      <c r="Q3125" s="386"/>
      <c r="R3125" s="1407"/>
      <c r="S3125" s="1407"/>
      <c r="U3125" s="386"/>
      <c r="V3125" s="318" t="s">
        <v>5896</v>
      </c>
      <c r="W3125" s="1096">
        <v>42618</v>
      </c>
      <c r="X3125" s="1083">
        <v>42590</v>
      </c>
      <c r="Y3125" s="263" t="s">
        <v>9776</v>
      </c>
      <c r="Z3125" s="1086">
        <v>65896</v>
      </c>
      <c r="AA3125" s="811">
        <v>42621</v>
      </c>
      <c r="AB3125" s="318" t="s">
        <v>9777</v>
      </c>
      <c r="AD3125" s="1092"/>
      <c r="AE3125" s="1103"/>
      <c r="AF3125" s="1092"/>
      <c r="AG3125" s="386" t="s">
        <v>283</v>
      </c>
    </row>
    <row r="3126" spans="1:33" ht="15.75" customHeight="1">
      <c r="A3126" s="755">
        <v>42578</v>
      </c>
      <c r="B3126" s="592" t="s">
        <v>6060</v>
      </c>
      <c r="C3126" s="744" t="s">
        <v>9773</v>
      </c>
      <c r="D3126" s="308" t="s">
        <v>9774</v>
      </c>
      <c r="E3126" s="338" t="s">
        <v>9778</v>
      </c>
      <c r="F3126" s="752">
        <v>20</v>
      </c>
      <c r="G3126" s="752">
        <v>64.5</v>
      </c>
      <c r="H3126" s="464">
        <f t="shared" si="194"/>
        <v>1290</v>
      </c>
      <c r="I3126" s="254" t="s">
        <v>42</v>
      </c>
      <c r="J3126" s="331" t="s">
        <v>8812</v>
      </c>
      <c r="K3126" s="811">
        <v>42592</v>
      </c>
      <c r="L3126" s="1477"/>
      <c r="M3126" s="811">
        <v>42591</v>
      </c>
      <c r="N3126" s="331" t="s">
        <v>89</v>
      </c>
      <c r="O3126" s="263" t="s">
        <v>9775</v>
      </c>
      <c r="P3126" s="752">
        <v>1260</v>
      </c>
      <c r="Q3126" s="386"/>
      <c r="R3126" s="1407"/>
      <c r="S3126" s="1407"/>
      <c r="U3126" s="386"/>
      <c r="V3126" s="318" t="s">
        <v>5896</v>
      </c>
      <c r="W3126" s="1096">
        <v>42618</v>
      </c>
      <c r="X3126" s="1083">
        <v>42590</v>
      </c>
      <c r="Y3126" s="263" t="s">
        <v>9776</v>
      </c>
      <c r="Z3126" s="1086" t="s">
        <v>9779</v>
      </c>
      <c r="AA3126" s="811">
        <v>42621</v>
      </c>
      <c r="AB3126" s="318" t="s">
        <v>9777</v>
      </c>
      <c r="AD3126" s="1092"/>
      <c r="AE3126" s="1103"/>
      <c r="AF3126" s="1092"/>
      <c r="AG3126" s="386" t="s">
        <v>283</v>
      </c>
    </row>
    <row r="3127" spans="1:33" ht="15.75" customHeight="1">
      <c r="A3127" s="755">
        <v>42578</v>
      </c>
      <c r="B3127" s="592" t="s">
        <v>6060</v>
      </c>
      <c r="C3127" s="744" t="s">
        <v>9773</v>
      </c>
      <c r="D3127" s="308" t="s">
        <v>9774</v>
      </c>
      <c r="E3127" s="338" t="s">
        <v>9780</v>
      </c>
      <c r="F3127" s="752">
        <v>3</v>
      </c>
      <c r="G3127" s="752">
        <v>85</v>
      </c>
      <c r="H3127" s="464">
        <f t="shared" si="194"/>
        <v>255</v>
      </c>
      <c r="I3127" s="254" t="s">
        <v>42</v>
      </c>
      <c r="J3127" s="331" t="s">
        <v>8812</v>
      </c>
      <c r="K3127" s="811">
        <v>42592</v>
      </c>
      <c r="L3127" s="1477"/>
      <c r="M3127" s="811">
        <v>42591</v>
      </c>
      <c r="N3127" s="331" t="s">
        <v>89</v>
      </c>
      <c r="O3127" s="263" t="s">
        <v>9775</v>
      </c>
      <c r="P3127" s="752">
        <v>245.7</v>
      </c>
      <c r="Q3127" s="386"/>
      <c r="R3127" s="1407"/>
      <c r="S3127" s="1407"/>
      <c r="U3127" s="386"/>
      <c r="V3127" s="318" t="s">
        <v>5896</v>
      </c>
      <c r="W3127" s="1096">
        <v>42618</v>
      </c>
      <c r="X3127" s="1083">
        <v>42590</v>
      </c>
      <c r="Y3127" s="263" t="s">
        <v>9776</v>
      </c>
      <c r="Z3127" s="1086" t="s">
        <v>9779</v>
      </c>
      <c r="AA3127" s="811">
        <v>42621</v>
      </c>
      <c r="AB3127" s="318" t="s">
        <v>9777</v>
      </c>
      <c r="AD3127" s="1092"/>
      <c r="AE3127" s="1103"/>
      <c r="AF3127" s="1092"/>
      <c r="AG3127" s="386" t="s">
        <v>283</v>
      </c>
    </row>
    <row r="3128" spans="1:33" ht="15.75" customHeight="1">
      <c r="A3128" s="755">
        <v>42578</v>
      </c>
      <c r="B3128" s="592" t="s">
        <v>6060</v>
      </c>
      <c r="C3128" s="744" t="s">
        <v>9773</v>
      </c>
      <c r="D3128" s="308" t="s">
        <v>9774</v>
      </c>
      <c r="E3128" s="338" t="s">
        <v>9781</v>
      </c>
      <c r="F3128" s="752">
        <v>2</v>
      </c>
      <c r="G3128" s="752">
        <v>90</v>
      </c>
      <c r="H3128" s="464">
        <f t="shared" si="194"/>
        <v>180</v>
      </c>
      <c r="I3128" s="254" t="s">
        <v>42</v>
      </c>
      <c r="J3128" s="331" t="s">
        <v>8812</v>
      </c>
      <c r="K3128" s="811">
        <v>42592</v>
      </c>
      <c r="L3128" s="1477"/>
      <c r="M3128" s="811">
        <v>42591</v>
      </c>
      <c r="N3128" s="331" t="s">
        <v>89</v>
      </c>
      <c r="O3128" s="263" t="s">
        <v>9775</v>
      </c>
      <c r="P3128" s="752">
        <v>178.5</v>
      </c>
      <c r="Q3128" s="386"/>
      <c r="R3128" s="1407"/>
      <c r="S3128" s="1407"/>
      <c r="U3128" s="386"/>
      <c r="V3128" s="318" t="s">
        <v>5896</v>
      </c>
      <c r="W3128" s="1096">
        <v>42618</v>
      </c>
      <c r="X3128" s="1083">
        <v>42590</v>
      </c>
      <c r="Y3128" s="263" t="s">
        <v>9776</v>
      </c>
      <c r="Z3128" s="1086" t="s">
        <v>9779</v>
      </c>
      <c r="AA3128" s="811">
        <v>42621</v>
      </c>
      <c r="AB3128" s="318" t="s">
        <v>9777</v>
      </c>
      <c r="AD3128" s="1092"/>
      <c r="AE3128" s="1103"/>
      <c r="AF3128" s="1092"/>
      <c r="AG3128" s="386" t="s">
        <v>283</v>
      </c>
    </row>
    <row r="3129" spans="1:33" ht="15.75" customHeight="1">
      <c r="A3129" s="755">
        <v>42578</v>
      </c>
      <c r="B3129" s="592" t="s">
        <v>6060</v>
      </c>
      <c r="C3129" s="744" t="s">
        <v>9773</v>
      </c>
      <c r="D3129" s="308" t="s">
        <v>9774</v>
      </c>
      <c r="E3129" s="338" t="s">
        <v>1226</v>
      </c>
      <c r="F3129" s="752">
        <v>2</v>
      </c>
      <c r="G3129" s="752">
        <v>50</v>
      </c>
      <c r="H3129" s="464">
        <f t="shared" si="194"/>
        <v>100</v>
      </c>
      <c r="I3129" s="254" t="s">
        <v>42</v>
      </c>
      <c r="J3129" s="331" t="s">
        <v>8812</v>
      </c>
      <c r="K3129" s="811">
        <v>42592</v>
      </c>
      <c r="L3129" s="1477"/>
      <c r="M3129" s="811">
        <v>42591</v>
      </c>
      <c r="N3129" s="331" t="s">
        <v>89</v>
      </c>
      <c r="O3129" s="263" t="s">
        <v>9775</v>
      </c>
      <c r="P3129" s="752">
        <v>96.6</v>
      </c>
      <c r="Q3129" s="386"/>
      <c r="R3129" s="1407"/>
      <c r="S3129" s="1407"/>
      <c r="U3129" s="386"/>
      <c r="V3129" s="318" t="s">
        <v>5896</v>
      </c>
      <c r="W3129" s="1096">
        <v>42618</v>
      </c>
      <c r="X3129" s="1083">
        <v>42590</v>
      </c>
      <c r="Y3129" s="263" t="s">
        <v>9776</v>
      </c>
      <c r="Z3129" s="1086" t="s">
        <v>9779</v>
      </c>
      <c r="AA3129" s="811">
        <v>42621</v>
      </c>
      <c r="AB3129" s="318" t="s">
        <v>9777</v>
      </c>
      <c r="AD3129" s="1092"/>
      <c r="AE3129" s="1103"/>
      <c r="AF3129" s="1092"/>
      <c r="AG3129" s="386" t="s">
        <v>283</v>
      </c>
    </row>
    <row r="3130" spans="1:33" ht="15.75" customHeight="1">
      <c r="A3130" s="755">
        <v>42578</v>
      </c>
      <c r="B3130" s="338" t="s">
        <v>4903</v>
      </c>
      <c r="C3130" s="263" t="s">
        <v>9782</v>
      </c>
      <c r="D3130" s="318" t="s">
        <v>9783</v>
      </c>
      <c r="E3130" s="338" t="s">
        <v>9784</v>
      </c>
      <c r="F3130" s="752">
        <v>3</v>
      </c>
      <c r="G3130" s="752">
        <v>53</v>
      </c>
      <c r="H3130" s="464">
        <f t="shared" si="194"/>
        <v>159</v>
      </c>
      <c r="I3130" s="264" t="s">
        <v>3315</v>
      </c>
      <c r="J3130" s="331" t="s">
        <v>8438</v>
      </c>
      <c r="K3130" s="811">
        <v>42586</v>
      </c>
      <c r="L3130" s="1477"/>
      <c r="M3130" s="811">
        <v>42584</v>
      </c>
      <c r="N3130" s="331" t="s">
        <v>3432</v>
      </c>
      <c r="O3130" s="318" t="s">
        <v>9785</v>
      </c>
      <c r="P3130" s="1107"/>
      <c r="Q3130" s="752">
        <v>4832</v>
      </c>
      <c r="R3130" s="1405"/>
      <c r="S3130" s="1405"/>
      <c r="U3130" s="318"/>
      <c r="V3130" s="318" t="s">
        <v>5937</v>
      </c>
      <c r="W3130" s="1096">
        <v>42648</v>
      </c>
      <c r="X3130" s="1083">
        <v>42587</v>
      </c>
      <c r="Y3130" s="263" t="s">
        <v>9786</v>
      </c>
      <c r="Z3130" s="1086">
        <v>4832</v>
      </c>
      <c r="AA3130" s="811">
        <v>42634</v>
      </c>
      <c r="AB3130" s="318" t="s">
        <v>9759</v>
      </c>
      <c r="AD3130" s="1092"/>
      <c r="AE3130" s="1103"/>
      <c r="AF3130" s="1092"/>
      <c r="AG3130" s="386" t="s">
        <v>283</v>
      </c>
    </row>
    <row r="3131" spans="1:33" ht="15.75" customHeight="1">
      <c r="A3131" s="755">
        <v>42579</v>
      </c>
      <c r="B3131" s="338" t="s">
        <v>100</v>
      </c>
      <c r="C3131" s="263" t="s">
        <v>9787</v>
      </c>
      <c r="D3131" s="318" t="s">
        <v>9788</v>
      </c>
      <c r="E3131" s="338" t="s">
        <v>9789</v>
      </c>
      <c r="F3131" s="752">
        <v>5</v>
      </c>
      <c r="G3131" s="752">
        <v>357</v>
      </c>
      <c r="H3131" s="464">
        <f t="shared" si="194"/>
        <v>1785</v>
      </c>
      <c r="I3131" s="264" t="s">
        <v>3315</v>
      </c>
      <c r="J3131" s="331" t="s">
        <v>5842</v>
      </c>
      <c r="K3131" s="811">
        <v>42618</v>
      </c>
      <c r="L3131" s="1477"/>
      <c r="M3131" s="811">
        <v>42619</v>
      </c>
      <c r="N3131" s="331" t="s">
        <v>2001</v>
      </c>
      <c r="O3131" s="318" t="s">
        <v>9790</v>
      </c>
      <c r="P3131" s="752"/>
      <c r="Q3131" s="318">
        <v>57750</v>
      </c>
      <c r="R3131" s="1410"/>
      <c r="S3131" s="1410"/>
      <c r="U3131" s="386"/>
      <c r="V3131" s="318" t="s">
        <v>2003</v>
      </c>
      <c r="W3131" s="1096">
        <v>42679</v>
      </c>
      <c r="X3131" s="1083">
        <v>42612</v>
      </c>
      <c r="Y3131" s="263" t="s">
        <v>9791</v>
      </c>
      <c r="Z3131" s="1086">
        <v>57750</v>
      </c>
      <c r="AA3131" s="811">
        <v>42678</v>
      </c>
      <c r="AB3131" s="318" t="s">
        <v>9792</v>
      </c>
      <c r="AD3131" s="1092"/>
      <c r="AE3131" s="1103"/>
      <c r="AF3131" s="1092"/>
      <c r="AG3131" s="386" t="s">
        <v>283</v>
      </c>
    </row>
    <row r="3132" spans="1:33" ht="15.75" customHeight="1">
      <c r="A3132" s="755">
        <v>42579</v>
      </c>
      <c r="B3132" s="338" t="s">
        <v>100</v>
      </c>
      <c r="C3132" s="263" t="s">
        <v>9787</v>
      </c>
      <c r="D3132" s="318" t="s">
        <v>9788</v>
      </c>
      <c r="E3132" s="338" t="s">
        <v>9793</v>
      </c>
      <c r="F3132" s="752">
        <v>1</v>
      </c>
      <c r="G3132" s="752">
        <v>140</v>
      </c>
      <c r="H3132" s="464">
        <f t="shared" si="194"/>
        <v>140</v>
      </c>
      <c r="I3132" s="264" t="s">
        <v>3315</v>
      </c>
      <c r="J3132" s="331" t="s">
        <v>5842</v>
      </c>
      <c r="K3132" s="811">
        <v>42618</v>
      </c>
      <c r="L3132" s="1477"/>
      <c r="M3132" s="1093"/>
      <c r="N3132" s="331" t="s">
        <v>1999</v>
      </c>
      <c r="O3132" s="263"/>
      <c r="P3132" s="752"/>
      <c r="Q3132" s="752">
        <v>3720</v>
      </c>
      <c r="R3132" s="1405"/>
      <c r="S3132" s="1405"/>
      <c r="U3132" s="386"/>
      <c r="V3132" s="318" t="s">
        <v>2000</v>
      </c>
      <c r="W3132" s="1096">
        <v>42652</v>
      </c>
      <c r="X3132" s="1083">
        <v>42622</v>
      </c>
      <c r="Y3132" s="318" t="s">
        <v>9660</v>
      </c>
      <c r="Z3132" s="1086">
        <v>3720</v>
      </c>
      <c r="AA3132" s="811">
        <v>42648</v>
      </c>
      <c r="AB3132" s="318" t="s">
        <v>9792</v>
      </c>
      <c r="AD3132" s="1092"/>
      <c r="AE3132" s="1103"/>
      <c r="AF3132" s="1092"/>
      <c r="AG3132" s="386" t="s">
        <v>283</v>
      </c>
    </row>
    <row r="3133" spans="1:33" ht="15.75" customHeight="1">
      <c r="A3133" s="755">
        <v>42579</v>
      </c>
      <c r="B3133" s="338" t="s">
        <v>76</v>
      </c>
      <c r="C3133" s="263">
        <v>718</v>
      </c>
      <c r="D3133" s="318" t="s">
        <v>9794</v>
      </c>
      <c r="E3133" s="571" t="s">
        <v>9077</v>
      </c>
      <c r="F3133" s="752">
        <v>10</v>
      </c>
      <c r="G3133" s="752">
        <v>285</v>
      </c>
      <c r="H3133" s="571">
        <f t="shared" si="194"/>
        <v>2850</v>
      </c>
      <c r="I3133" s="264" t="s">
        <v>170</v>
      </c>
      <c r="J3133" s="267" t="s">
        <v>315</v>
      </c>
      <c r="K3133" s="256">
        <v>42612</v>
      </c>
      <c r="L3133" s="1477"/>
      <c r="M3133" s="811">
        <v>42608</v>
      </c>
      <c r="N3133" s="331" t="s">
        <v>1967</v>
      </c>
      <c r="O3133" s="263" t="s">
        <v>9795</v>
      </c>
      <c r="P3133" s="752">
        <v>2625</v>
      </c>
      <c r="Q3133" s="318">
        <v>83160</v>
      </c>
      <c r="R3133" s="1410"/>
      <c r="S3133" s="1410"/>
      <c r="U3133" s="386"/>
      <c r="V3133" s="318" t="s">
        <v>1969</v>
      </c>
      <c r="W3133" s="1096">
        <v>42679</v>
      </c>
      <c r="X3133" s="1083">
        <v>42608</v>
      </c>
      <c r="Y3133" s="263" t="s">
        <v>9796</v>
      </c>
      <c r="Z3133" s="1086">
        <v>83160</v>
      </c>
      <c r="AA3133" s="811">
        <v>42678</v>
      </c>
      <c r="AB3133" s="263" t="s">
        <v>9501</v>
      </c>
      <c r="AD3133" s="1092"/>
      <c r="AE3133" s="1103"/>
      <c r="AF3133" s="1092"/>
      <c r="AG3133" s="386" t="s">
        <v>283</v>
      </c>
    </row>
    <row r="3134" spans="1:33" ht="15.75" customHeight="1">
      <c r="A3134" s="256">
        <v>42579</v>
      </c>
      <c r="B3134" s="597" t="s">
        <v>8751</v>
      </c>
      <c r="C3134" s="744">
        <v>7000123137</v>
      </c>
      <c r="D3134" s="308" t="s">
        <v>9797</v>
      </c>
      <c r="E3134" s="338" t="s">
        <v>9798</v>
      </c>
      <c r="F3134" s="752">
        <v>28</v>
      </c>
      <c r="G3134" s="752">
        <v>246</v>
      </c>
      <c r="H3134" s="464">
        <f t="shared" si="194"/>
        <v>6888</v>
      </c>
      <c r="I3134" s="254" t="s">
        <v>42</v>
      </c>
      <c r="J3134" s="401" t="s">
        <v>6092</v>
      </c>
      <c r="K3134" s="811">
        <v>42593</v>
      </c>
      <c r="L3134" s="1477"/>
      <c r="M3134" s="811">
        <v>42592</v>
      </c>
      <c r="N3134" s="331" t="s">
        <v>3432</v>
      </c>
      <c r="O3134" s="318" t="s">
        <v>9799</v>
      </c>
      <c r="P3134" s="752"/>
      <c r="Q3134" s="318">
        <v>214502</v>
      </c>
      <c r="R3134" s="1410"/>
      <c r="S3134" s="1410"/>
      <c r="U3134" s="386"/>
      <c r="V3134" s="318" t="s">
        <v>5937</v>
      </c>
      <c r="W3134" s="747">
        <v>42648</v>
      </c>
      <c r="X3134" s="1083">
        <v>42591</v>
      </c>
      <c r="Y3134" s="263" t="s">
        <v>9800</v>
      </c>
      <c r="Z3134" s="1086">
        <v>401453</v>
      </c>
      <c r="AA3134" s="811">
        <v>42634</v>
      </c>
      <c r="AB3134" s="318" t="s">
        <v>9801</v>
      </c>
      <c r="AD3134" s="1092"/>
      <c r="AE3134" s="1103"/>
      <c r="AF3134" s="1092"/>
      <c r="AG3134" s="318" t="s">
        <v>283</v>
      </c>
    </row>
    <row r="3135" spans="1:33" ht="15.75" customHeight="1">
      <c r="A3135" s="256">
        <v>42579</v>
      </c>
      <c r="B3135" s="597" t="s">
        <v>8751</v>
      </c>
      <c r="C3135" s="744">
        <v>7000123137</v>
      </c>
      <c r="D3135" s="308" t="s">
        <v>9797</v>
      </c>
      <c r="E3135" s="338" t="s">
        <v>9802</v>
      </c>
      <c r="F3135" s="752">
        <v>26</v>
      </c>
      <c r="G3135" s="752">
        <v>243</v>
      </c>
      <c r="H3135" s="464">
        <f t="shared" si="194"/>
        <v>6318</v>
      </c>
      <c r="I3135" s="254" t="s">
        <v>42</v>
      </c>
      <c r="J3135" s="401" t="s">
        <v>6092</v>
      </c>
      <c r="K3135" s="811">
        <v>42593</v>
      </c>
      <c r="L3135" s="1477"/>
      <c r="M3135" s="811">
        <v>42592</v>
      </c>
      <c r="N3135" s="331" t="s">
        <v>3432</v>
      </c>
      <c r="O3135" s="318" t="s">
        <v>9799</v>
      </c>
      <c r="P3135" s="752"/>
      <c r="Q3135" s="318">
        <v>186951</v>
      </c>
      <c r="R3135" s="1410"/>
      <c r="S3135" s="1410"/>
      <c r="U3135" s="386"/>
      <c r="V3135" s="318" t="s">
        <v>5937</v>
      </c>
      <c r="W3135" s="747">
        <v>42648</v>
      </c>
      <c r="X3135" s="1083">
        <v>42591</v>
      </c>
      <c r="Y3135" s="263" t="s">
        <v>9800</v>
      </c>
      <c r="Z3135" s="1086" t="s">
        <v>9803</v>
      </c>
      <c r="AA3135" s="811">
        <v>42634</v>
      </c>
      <c r="AB3135" s="318" t="s">
        <v>9801</v>
      </c>
      <c r="AD3135" s="1092"/>
      <c r="AE3135" s="1103"/>
      <c r="AF3135" s="1092"/>
      <c r="AG3135" s="318" t="s">
        <v>283</v>
      </c>
    </row>
    <row r="3136" spans="1:33" ht="15.75" customHeight="1">
      <c r="A3136" s="755">
        <v>42580</v>
      </c>
      <c r="B3136" s="338" t="s">
        <v>76</v>
      </c>
      <c r="C3136" s="263">
        <v>737</v>
      </c>
      <c r="D3136" s="318" t="s">
        <v>9804</v>
      </c>
      <c r="E3136" s="571" t="s">
        <v>9077</v>
      </c>
      <c r="F3136" s="752">
        <v>25</v>
      </c>
      <c r="G3136" s="752">
        <v>285</v>
      </c>
      <c r="H3136" s="464">
        <f t="shared" si="194"/>
        <v>7125</v>
      </c>
      <c r="I3136" s="264" t="s">
        <v>170</v>
      </c>
      <c r="J3136" s="267" t="s">
        <v>315</v>
      </c>
      <c r="K3136" s="811">
        <v>42647</v>
      </c>
      <c r="L3136" s="1477"/>
      <c r="M3136" s="811">
        <v>42646</v>
      </c>
      <c r="N3136" s="331" t="s">
        <v>1967</v>
      </c>
      <c r="O3136" s="263" t="s">
        <v>9805</v>
      </c>
      <c r="P3136" s="752">
        <v>6562.5</v>
      </c>
      <c r="Q3136" s="318">
        <v>207900</v>
      </c>
      <c r="R3136" s="1410"/>
      <c r="S3136" s="1410"/>
      <c r="U3136" s="386"/>
      <c r="V3136" s="318" t="s">
        <v>1969</v>
      </c>
      <c r="W3136" s="1096">
        <v>42679</v>
      </c>
      <c r="X3136" s="1083">
        <v>42608</v>
      </c>
      <c r="Y3136" s="263" t="s">
        <v>9796</v>
      </c>
      <c r="Z3136" s="1086">
        <v>207900</v>
      </c>
      <c r="AA3136" s="811">
        <v>42678</v>
      </c>
      <c r="AB3136" s="318" t="s">
        <v>9806</v>
      </c>
      <c r="AD3136" s="1092"/>
      <c r="AE3136" s="1103"/>
      <c r="AF3136" s="1092"/>
      <c r="AG3136" s="386" t="s">
        <v>283</v>
      </c>
    </row>
    <row r="3137" spans="1:33" ht="15.75" customHeight="1">
      <c r="A3137" s="755">
        <v>42580</v>
      </c>
      <c r="B3137" s="338" t="s">
        <v>629</v>
      </c>
      <c r="C3137" s="263" t="s">
        <v>9807</v>
      </c>
      <c r="D3137" s="318" t="s">
        <v>9808</v>
      </c>
      <c r="E3137" s="338" t="s">
        <v>9809</v>
      </c>
      <c r="F3137" s="752">
        <v>4</v>
      </c>
      <c r="G3137" s="752">
        <v>96.6</v>
      </c>
      <c r="H3137" s="464">
        <f t="shared" si="194"/>
        <v>386.4</v>
      </c>
      <c r="I3137" s="264" t="s">
        <v>170</v>
      </c>
      <c r="J3137" s="331" t="s">
        <v>89</v>
      </c>
      <c r="K3137" s="811">
        <v>42590</v>
      </c>
      <c r="L3137" s="1477"/>
      <c r="M3137" s="1093"/>
      <c r="N3137" s="331" t="s">
        <v>89</v>
      </c>
      <c r="O3137" s="263" t="s">
        <v>9810</v>
      </c>
      <c r="P3137" s="752">
        <v>360.36</v>
      </c>
      <c r="Q3137" s="386"/>
      <c r="R3137" s="1407"/>
      <c r="S3137" s="1407"/>
      <c r="U3137" s="386"/>
      <c r="V3137" s="318" t="s">
        <v>5896</v>
      </c>
      <c r="W3137" s="1096">
        <v>42618</v>
      </c>
      <c r="X3137" s="1083">
        <v>42587</v>
      </c>
      <c r="Y3137" s="263" t="s">
        <v>9811</v>
      </c>
      <c r="Z3137" s="1086">
        <v>11562</v>
      </c>
      <c r="AA3137" s="811">
        <v>42621</v>
      </c>
      <c r="AB3137" s="318" t="s">
        <v>9812</v>
      </c>
      <c r="AD3137" s="386" t="s">
        <v>9813</v>
      </c>
      <c r="AE3137" s="1100">
        <v>12189</v>
      </c>
      <c r="AF3137" s="318" t="s">
        <v>9814</v>
      </c>
      <c r="AG3137" s="1091"/>
    </row>
    <row r="3138" spans="1:33" ht="15.75" customHeight="1">
      <c r="A3138" s="755">
        <v>42583</v>
      </c>
      <c r="B3138" s="338" t="s">
        <v>228</v>
      </c>
      <c r="C3138" s="263"/>
      <c r="D3138" s="318" t="s">
        <v>9815</v>
      </c>
      <c r="E3138" s="571" t="s">
        <v>461</v>
      </c>
      <c r="F3138" s="752">
        <v>35</v>
      </c>
      <c r="G3138" s="574">
        <v>449.4</v>
      </c>
      <c r="H3138" s="265">
        <f t="shared" si="194"/>
        <v>15729</v>
      </c>
      <c r="I3138" s="264" t="s">
        <v>170</v>
      </c>
      <c r="J3138" s="331" t="s">
        <v>89</v>
      </c>
      <c r="K3138" s="811">
        <v>42593</v>
      </c>
      <c r="L3138" s="1477"/>
      <c r="M3138" s="386"/>
      <c r="N3138" s="331" t="s">
        <v>89</v>
      </c>
      <c r="O3138" s="263" t="s">
        <v>9816</v>
      </c>
      <c r="P3138" s="752">
        <v>14222.25</v>
      </c>
      <c r="Q3138" s="386"/>
      <c r="R3138" s="1407"/>
      <c r="S3138" s="1407"/>
      <c r="U3138" s="386"/>
      <c r="V3138" s="318" t="s">
        <v>5896</v>
      </c>
      <c r="W3138" s="1096">
        <v>42618</v>
      </c>
      <c r="X3138" s="1083">
        <v>42591</v>
      </c>
      <c r="Y3138" s="263" t="s">
        <v>9817</v>
      </c>
      <c r="Z3138" s="1086">
        <v>461509</v>
      </c>
      <c r="AA3138" s="811">
        <v>42621</v>
      </c>
      <c r="AB3138" s="318" t="s">
        <v>9818</v>
      </c>
      <c r="AD3138" s="1085" t="s">
        <v>9819</v>
      </c>
      <c r="AE3138" s="1100">
        <v>524538</v>
      </c>
      <c r="AF3138" s="318" t="s">
        <v>9820</v>
      </c>
      <c r="AG3138" s="1091"/>
    </row>
    <row r="3139" spans="1:33" ht="15.75" customHeight="1">
      <c r="A3139" s="755">
        <v>42583</v>
      </c>
      <c r="B3139" s="338" t="s">
        <v>228</v>
      </c>
      <c r="C3139" s="263"/>
      <c r="D3139" s="318" t="s">
        <v>9815</v>
      </c>
      <c r="E3139" s="592" t="s">
        <v>3604</v>
      </c>
      <c r="F3139" s="752">
        <v>3</v>
      </c>
      <c r="G3139" s="752">
        <v>336</v>
      </c>
      <c r="H3139" s="265">
        <f t="shared" si="194"/>
        <v>1008</v>
      </c>
      <c r="I3139" s="264" t="s">
        <v>170</v>
      </c>
      <c r="J3139" s="331" t="s">
        <v>89</v>
      </c>
      <c r="K3139" s="811">
        <v>42593</v>
      </c>
      <c r="L3139" s="1477"/>
      <c r="M3139" s="386"/>
      <c r="N3139" s="331" t="s">
        <v>89</v>
      </c>
      <c r="O3139" s="263" t="s">
        <v>9816</v>
      </c>
      <c r="P3139" s="752">
        <v>904.05</v>
      </c>
      <c r="Q3139" s="386"/>
      <c r="R3139" s="1407"/>
      <c r="S3139" s="1407"/>
      <c r="U3139" s="386"/>
      <c r="V3139" s="318" t="s">
        <v>5896</v>
      </c>
      <c r="W3139" s="1096">
        <v>42618</v>
      </c>
      <c r="X3139" s="1083">
        <v>42591</v>
      </c>
      <c r="Y3139" s="263" t="s">
        <v>9817</v>
      </c>
      <c r="Z3139" s="254" t="s">
        <v>9821</v>
      </c>
      <c r="AA3139" s="811">
        <v>42621</v>
      </c>
      <c r="AB3139" s="318" t="s">
        <v>9818</v>
      </c>
      <c r="AD3139" s="1085" t="s">
        <v>9819</v>
      </c>
      <c r="AE3139" s="1100" t="s">
        <v>9822</v>
      </c>
      <c r="AF3139" s="318" t="s">
        <v>9820</v>
      </c>
      <c r="AG3139" s="1091"/>
    </row>
    <row r="3140" spans="1:33" ht="15.75" customHeight="1">
      <c r="A3140" s="755">
        <v>42583</v>
      </c>
      <c r="B3140" s="338" t="s">
        <v>228</v>
      </c>
      <c r="C3140" s="263"/>
      <c r="D3140" s="318" t="s">
        <v>9823</v>
      </c>
      <c r="E3140" s="338" t="s">
        <v>9824</v>
      </c>
      <c r="F3140" s="752">
        <v>1</v>
      </c>
      <c r="G3140" s="752">
        <v>0</v>
      </c>
      <c r="H3140" s="265">
        <f t="shared" si="194"/>
        <v>0</v>
      </c>
      <c r="I3140" s="264" t="s">
        <v>170</v>
      </c>
      <c r="J3140" s="331" t="s">
        <v>89</v>
      </c>
      <c r="K3140" s="811">
        <v>42625</v>
      </c>
      <c r="L3140" s="1477"/>
      <c r="M3140" s="386"/>
      <c r="N3140" s="331"/>
      <c r="O3140" s="263"/>
      <c r="P3140" s="752"/>
      <c r="Q3140" s="386"/>
      <c r="R3140" s="1407"/>
      <c r="S3140" s="1407"/>
      <c r="U3140" s="386"/>
      <c r="V3140" s="318"/>
      <c r="W3140" s="1090"/>
      <c r="X3140" s="263" t="s">
        <v>8882</v>
      </c>
      <c r="Y3140" s="263" t="s">
        <v>8882</v>
      </c>
      <c r="Z3140" s="263" t="s">
        <v>8882</v>
      </c>
      <c r="AA3140" s="1114"/>
      <c r="AB3140" s="1092"/>
      <c r="AD3140" s="1092"/>
      <c r="AE3140" s="1103"/>
      <c r="AF3140" s="1092"/>
      <c r="AG3140" s="1091"/>
    </row>
    <row r="3141" spans="1:33" ht="15.75" customHeight="1">
      <c r="A3141" s="755">
        <v>42583</v>
      </c>
      <c r="B3141" s="338" t="s">
        <v>228</v>
      </c>
      <c r="C3141" s="263"/>
      <c r="D3141" s="318" t="s">
        <v>9823</v>
      </c>
      <c r="E3141" s="338" t="s">
        <v>9824</v>
      </c>
      <c r="F3141" s="752">
        <v>1</v>
      </c>
      <c r="G3141" s="752">
        <v>0</v>
      </c>
      <c r="H3141" s="265">
        <f t="shared" si="194"/>
        <v>0</v>
      </c>
      <c r="I3141" s="264" t="s">
        <v>170</v>
      </c>
      <c r="J3141" s="331" t="s">
        <v>89</v>
      </c>
      <c r="K3141" s="811">
        <v>42625</v>
      </c>
      <c r="L3141" s="1477"/>
      <c r="M3141" s="386"/>
      <c r="N3141" s="331"/>
      <c r="O3141" s="263"/>
      <c r="P3141" s="752"/>
      <c r="Q3141" s="386"/>
      <c r="R3141" s="1407"/>
      <c r="S3141" s="1407"/>
      <c r="U3141" s="386"/>
      <c r="V3141" s="318"/>
      <c r="W3141" s="1090"/>
      <c r="X3141" s="263" t="s">
        <v>8882</v>
      </c>
      <c r="Y3141" s="263" t="s">
        <v>8882</v>
      </c>
      <c r="Z3141" s="263" t="s">
        <v>8882</v>
      </c>
      <c r="AA3141" s="1114"/>
      <c r="AB3141" s="1092"/>
      <c r="AD3141" s="1092"/>
      <c r="AE3141" s="1103"/>
      <c r="AF3141" s="1092"/>
      <c r="AG3141" s="1091"/>
    </row>
    <row r="3142" spans="1:33" ht="15.75" customHeight="1">
      <c r="A3142" s="755">
        <v>42583</v>
      </c>
      <c r="B3142" s="338" t="s">
        <v>228</v>
      </c>
      <c r="C3142" s="263"/>
      <c r="D3142" s="318" t="s">
        <v>9823</v>
      </c>
      <c r="E3142" s="338" t="s">
        <v>9824</v>
      </c>
      <c r="F3142" s="752">
        <v>1</v>
      </c>
      <c r="G3142" s="752">
        <v>0</v>
      </c>
      <c r="H3142" s="265">
        <f t="shared" si="194"/>
        <v>0</v>
      </c>
      <c r="I3142" s="264" t="s">
        <v>170</v>
      </c>
      <c r="J3142" s="331" t="s">
        <v>89</v>
      </c>
      <c r="K3142" s="811">
        <v>42625</v>
      </c>
      <c r="L3142" s="1477"/>
      <c r="M3142" s="386"/>
      <c r="N3142" s="331"/>
      <c r="O3142" s="263"/>
      <c r="P3142" s="752"/>
      <c r="Q3142" s="386"/>
      <c r="R3142" s="1407"/>
      <c r="S3142" s="1407"/>
      <c r="U3142" s="386"/>
      <c r="V3142" s="318"/>
      <c r="W3142" s="1090"/>
      <c r="X3142" s="263" t="s">
        <v>8882</v>
      </c>
      <c r="Y3142" s="263" t="s">
        <v>8882</v>
      </c>
      <c r="Z3142" s="263" t="s">
        <v>8882</v>
      </c>
      <c r="AA3142" s="1114"/>
      <c r="AB3142" s="1092"/>
      <c r="AD3142" s="1092"/>
      <c r="AE3142" s="1103"/>
      <c r="AF3142" s="1092"/>
      <c r="AG3142" s="1091"/>
    </row>
    <row r="3143" spans="1:33" ht="15.75" customHeight="1">
      <c r="A3143" s="755">
        <v>42587</v>
      </c>
      <c r="B3143" s="338" t="s">
        <v>100</v>
      </c>
      <c r="C3143" s="263" t="s">
        <v>9825</v>
      </c>
      <c r="D3143" s="318" t="s">
        <v>9826</v>
      </c>
      <c r="E3143" s="308" t="s">
        <v>8714</v>
      </c>
      <c r="F3143" s="571">
        <v>2</v>
      </c>
      <c r="G3143" s="571">
        <v>575</v>
      </c>
      <c r="H3143" s="265">
        <f t="shared" si="194"/>
        <v>1150</v>
      </c>
      <c r="I3143" s="264" t="s">
        <v>3315</v>
      </c>
      <c r="J3143" s="331" t="s">
        <v>5842</v>
      </c>
      <c r="K3143" s="811">
        <v>42608</v>
      </c>
      <c r="L3143" s="1477"/>
      <c r="M3143" s="811">
        <v>42605</v>
      </c>
      <c r="N3143" s="331" t="s">
        <v>1414</v>
      </c>
      <c r="O3143" s="263" t="s">
        <v>9827</v>
      </c>
      <c r="P3143" s="752"/>
      <c r="Q3143" s="318">
        <v>33747</v>
      </c>
      <c r="R3143" s="1410"/>
      <c r="S3143" s="1410"/>
      <c r="U3143" s="386"/>
      <c r="V3143" s="318" t="s">
        <v>1947</v>
      </c>
      <c r="W3143" s="1096">
        <v>42618</v>
      </c>
      <c r="X3143" s="1083">
        <v>42605</v>
      </c>
      <c r="Y3143" s="263" t="s">
        <v>9828</v>
      </c>
      <c r="Z3143" s="1086">
        <v>260879</v>
      </c>
      <c r="AA3143" s="811">
        <v>42619</v>
      </c>
      <c r="AB3143" s="318" t="s">
        <v>9829</v>
      </c>
      <c r="AD3143" s="1092"/>
      <c r="AE3143" s="1103"/>
      <c r="AF3143" s="1092"/>
      <c r="AG3143" s="386" t="s">
        <v>283</v>
      </c>
    </row>
    <row r="3144" spans="1:33" ht="15.75" customHeight="1">
      <c r="A3144" s="755">
        <v>42587</v>
      </c>
      <c r="B3144" s="338" t="s">
        <v>100</v>
      </c>
      <c r="C3144" s="263" t="s">
        <v>9825</v>
      </c>
      <c r="D3144" s="318" t="s">
        <v>9826</v>
      </c>
      <c r="E3144" s="571" t="s">
        <v>9519</v>
      </c>
      <c r="F3144" s="571">
        <v>2</v>
      </c>
      <c r="G3144" s="571">
        <v>380</v>
      </c>
      <c r="H3144" s="265">
        <f t="shared" si="194"/>
        <v>760</v>
      </c>
      <c r="I3144" s="264" t="s">
        <v>3315</v>
      </c>
      <c r="J3144" s="331" t="s">
        <v>5842</v>
      </c>
      <c r="K3144" s="811">
        <v>42608</v>
      </c>
      <c r="L3144" s="1477"/>
      <c r="M3144" s="811">
        <v>42597</v>
      </c>
      <c r="N3144" s="331" t="s">
        <v>9520</v>
      </c>
      <c r="O3144" s="263" t="s">
        <v>9830</v>
      </c>
      <c r="P3144" s="752"/>
      <c r="Q3144" s="318">
        <v>23491</v>
      </c>
      <c r="R3144" s="1410"/>
      <c r="S3144" s="1410"/>
      <c r="U3144" s="386"/>
      <c r="V3144" s="308" t="s">
        <v>9522</v>
      </c>
      <c r="W3144" s="1096">
        <v>42642</v>
      </c>
      <c r="X3144" s="1083">
        <v>42592</v>
      </c>
      <c r="Y3144" s="263" t="s">
        <v>9831</v>
      </c>
      <c r="Z3144" s="1086">
        <v>23491</v>
      </c>
      <c r="AA3144" s="811">
        <v>42649</v>
      </c>
      <c r="AB3144" s="318" t="s">
        <v>9829</v>
      </c>
      <c r="AD3144" s="1092"/>
      <c r="AE3144" s="1103"/>
      <c r="AF3144" s="1092"/>
      <c r="AG3144" s="386" t="s">
        <v>283</v>
      </c>
    </row>
    <row r="3145" spans="1:33" ht="15.75" customHeight="1">
      <c r="A3145" s="755">
        <v>42587</v>
      </c>
      <c r="B3145" s="338" t="s">
        <v>100</v>
      </c>
      <c r="C3145" s="263" t="s">
        <v>9825</v>
      </c>
      <c r="D3145" s="318" t="s">
        <v>9826</v>
      </c>
      <c r="E3145" s="571" t="s">
        <v>6119</v>
      </c>
      <c r="F3145" s="571">
        <v>2</v>
      </c>
      <c r="G3145" s="571">
        <v>62</v>
      </c>
      <c r="H3145" s="265">
        <f t="shared" si="194"/>
        <v>124</v>
      </c>
      <c r="I3145" s="264" t="s">
        <v>3315</v>
      </c>
      <c r="J3145" s="331" t="s">
        <v>5842</v>
      </c>
      <c r="K3145" s="811">
        <v>42608</v>
      </c>
      <c r="L3145" s="1477"/>
      <c r="M3145" s="811">
        <v>42594</v>
      </c>
      <c r="N3145" s="331" t="s">
        <v>6735</v>
      </c>
      <c r="O3145" s="263" t="s">
        <v>9832</v>
      </c>
      <c r="P3145" s="752"/>
      <c r="Q3145" s="386">
        <v>2125</v>
      </c>
      <c r="R3145" s="1407"/>
      <c r="S3145" s="1407"/>
      <c r="U3145" s="386"/>
      <c r="V3145" s="318" t="s">
        <v>2126</v>
      </c>
      <c r="W3145" s="1088" t="s">
        <v>9833</v>
      </c>
      <c r="X3145" s="1083">
        <v>42592</v>
      </c>
      <c r="Y3145" s="263" t="s">
        <v>9834</v>
      </c>
      <c r="Z3145" s="1086">
        <v>7293</v>
      </c>
      <c r="AA3145" s="811">
        <v>42580</v>
      </c>
      <c r="AB3145" s="318" t="s">
        <v>9829</v>
      </c>
      <c r="AD3145" s="1092"/>
      <c r="AE3145" s="1103"/>
      <c r="AF3145" s="1092"/>
      <c r="AG3145" s="386" t="s">
        <v>283</v>
      </c>
    </row>
    <row r="3146" spans="1:33" ht="15.75" customHeight="1">
      <c r="A3146" s="755">
        <v>42587</v>
      </c>
      <c r="B3146" s="338" t="s">
        <v>100</v>
      </c>
      <c r="C3146" s="263" t="s">
        <v>9825</v>
      </c>
      <c r="D3146" s="318" t="s">
        <v>9826</v>
      </c>
      <c r="E3146" s="571" t="s">
        <v>9526</v>
      </c>
      <c r="F3146" s="571">
        <v>2</v>
      </c>
      <c r="G3146" s="571">
        <v>94</v>
      </c>
      <c r="H3146" s="265">
        <f t="shared" si="194"/>
        <v>188</v>
      </c>
      <c r="I3146" s="264" t="s">
        <v>3315</v>
      </c>
      <c r="J3146" s="331" t="s">
        <v>5842</v>
      </c>
      <c r="K3146" s="811">
        <v>42608</v>
      </c>
      <c r="L3146" s="1477"/>
      <c r="M3146" s="811">
        <v>42594</v>
      </c>
      <c r="N3146" s="331" t="s">
        <v>6735</v>
      </c>
      <c r="O3146" s="263" t="s">
        <v>9832</v>
      </c>
      <c r="P3146" s="752"/>
      <c r="Q3146" s="386">
        <v>5168</v>
      </c>
      <c r="R3146" s="1407"/>
      <c r="S3146" s="1407"/>
      <c r="U3146" s="386"/>
      <c r="V3146" s="318" t="s">
        <v>2126</v>
      </c>
      <c r="W3146" s="1088" t="s">
        <v>9833</v>
      </c>
      <c r="X3146" s="1083">
        <v>42592</v>
      </c>
      <c r="Y3146" s="263" t="s">
        <v>9834</v>
      </c>
      <c r="Z3146" s="1086" t="s">
        <v>9835</v>
      </c>
      <c r="AA3146" s="811">
        <v>42580</v>
      </c>
      <c r="AB3146" s="318" t="s">
        <v>9829</v>
      </c>
      <c r="AD3146" s="1092"/>
      <c r="AE3146" s="1103"/>
      <c r="AF3146" s="1092"/>
      <c r="AG3146" s="386" t="s">
        <v>283</v>
      </c>
    </row>
    <row r="3147" spans="1:33" ht="15.75" customHeight="1">
      <c r="A3147" s="755">
        <v>42587</v>
      </c>
      <c r="B3147" s="338" t="s">
        <v>100</v>
      </c>
      <c r="C3147" s="263" t="s">
        <v>9825</v>
      </c>
      <c r="D3147" s="318" t="s">
        <v>9826</v>
      </c>
      <c r="E3147" s="571" t="s">
        <v>6109</v>
      </c>
      <c r="F3147" s="571">
        <v>2</v>
      </c>
      <c r="G3147" s="571">
        <v>38</v>
      </c>
      <c r="H3147" s="265">
        <f t="shared" si="194"/>
        <v>76</v>
      </c>
      <c r="I3147" s="264" t="s">
        <v>3315</v>
      </c>
      <c r="J3147" s="331" t="s">
        <v>5842</v>
      </c>
      <c r="K3147" s="811">
        <v>42608</v>
      </c>
      <c r="L3147" s="1477"/>
      <c r="M3147" s="811">
        <v>42605</v>
      </c>
      <c r="N3147" s="331" t="s">
        <v>1414</v>
      </c>
      <c r="O3147" s="263" t="s">
        <v>9827</v>
      </c>
      <c r="P3147" s="752"/>
      <c r="Q3147" s="318">
        <v>2316</v>
      </c>
      <c r="R3147" s="1410"/>
      <c r="S3147" s="1410"/>
      <c r="U3147" s="386"/>
      <c r="V3147" s="318" t="s">
        <v>1947</v>
      </c>
      <c r="W3147" s="1096">
        <v>42618</v>
      </c>
      <c r="X3147" s="1083">
        <v>42605</v>
      </c>
      <c r="Y3147" s="263" t="s">
        <v>9828</v>
      </c>
      <c r="Z3147" s="1086" t="s">
        <v>9836</v>
      </c>
      <c r="AA3147" s="811">
        <v>42619</v>
      </c>
      <c r="AB3147" s="318" t="s">
        <v>9829</v>
      </c>
      <c r="AD3147" s="1092"/>
      <c r="AE3147" s="1103"/>
      <c r="AF3147" s="1092"/>
      <c r="AG3147" s="386" t="s">
        <v>283</v>
      </c>
    </row>
    <row r="3148" spans="1:33" ht="15.75" customHeight="1">
      <c r="A3148" s="755">
        <v>42587</v>
      </c>
      <c r="B3148" s="338" t="s">
        <v>100</v>
      </c>
      <c r="C3148" s="263" t="s">
        <v>9825</v>
      </c>
      <c r="D3148" s="318" t="s">
        <v>9826</v>
      </c>
      <c r="E3148" s="571" t="s">
        <v>6110</v>
      </c>
      <c r="F3148" s="571">
        <v>2</v>
      </c>
      <c r="G3148" s="571">
        <v>60</v>
      </c>
      <c r="H3148" s="265">
        <f t="shared" si="194"/>
        <v>120</v>
      </c>
      <c r="I3148" s="264" t="s">
        <v>3315</v>
      </c>
      <c r="J3148" s="331" t="s">
        <v>5842</v>
      </c>
      <c r="K3148" s="811">
        <v>42608</v>
      </c>
      <c r="L3148" s="1477"/>
      <c r="M3148" s="811">
        <v>42605</v>
      </c>
      <c r="N3148" s="331" t="s">
        <v>1414</v>
      </c>
      <c r="O3148" s="263" t="s">
        <v>9827</v>
      </c>
      <c r="P3148" s="752"/>
      <c r="Q3148" s="318">
        <v>3639</v>
      </c>
      <c r="R3148" s="1410"/>
      <c r="S3148" s="1410"/>
      <c r="U3148" s="386"/>
      <c r="V3148" s="318" t="s">
        <v>1947</v>
      </c>
      <c r="W3148" s="1096">
        <v>42618</v>
      </c>
      <c r="X3148" s="1083">
        <v>42605</v>
      </c>
      <c r="Y3148" s="263" t="s">
        <v>9828</v>
      </c>
      <c r="Z3148" s="1086" t="s">
        <v>9836</v>
      </c>
      <c r="AA3148" s="811">
        <v>42619</v>
      </c>
      <c r="AB3148" s="318" t="s">
        <v>9829</v>
      </c>
      <c r="AD3148" s="1092"/>
      <c r="AE3148" s="1103"/>
      <c r="AF3148" s="1092"/>
      <c r="AG3148" s="386" t="s">
        <v>283</v>
      </c>
    </row>
    <row r="3149" spans="1:33" ht="15.75" customHeight="1">
      <c r="A3149" s="755">
        <v>42587</v>
      </c>
      <c r="B3149" s="338" t="s">
        <v>100</v>
      </c>
      <c r="C3149" s="263" t="s">
        <v>9825</v>
      </c>
      <c r="D3149" s="318" t="s">
        <v>9826</v>
      </c>
      <c r="E3149" s="571" t="s">
        <v>6111</v>
      </c>
      <c r="F3149" s="571">
        <v>2</v>
      </c>
      <c r="G3149" s="571">
        <v>237</v>
      </c>
      <c r="H3149" s="265">
        <f t="shared" si="194"/>
        <v>474</v>
      </c>
      <c r="I3149" s="264" t="s">
        <v>3315</v>
      </c>
      <c r="J3149" s="331" t="s">
        <v>5842</v>
      </c>
      <c r="K3149" s="811">
        <v>42608</v>
      </c>
      <c r="L3149" s="1477"/>
      <c r="M3149" s="811">
        <v>42605</v>
      </c>
      <c r="N3149" s="401" t="s">
        <v>6112</v>
      </c>
      <c r="O3149" s="263" t="s">
        <v>9837</v>
      </c>
      <c r="P3149" s="752"/>
      <c r="Q3149" s="318">
        <v>11911</v>
      </c>
      <c r="R3149" s="1410"/>
      <c r="S3149" s="1410"/>
      <c r="U3149" s="386"/>
      <c r="V3149" s="318" t="s">
        <v>9838</v>
      </c>
      <c r="W3149" s="1096">
        <v>42601</v>
      </c>
      <c r="X3149" s="1083">
        <v>42604</v>
      </c>
      <c r="Y3149" s="263" t="s">
        <v>9839</v>
      </c>
      <c r="Z3149" s="1086">
        <v>11911</v>
      </c>
      <c r="AA3149" s="811">
        <v>42601</v>
      </c>
      <c r="AB3149" s="318" t="s">
        <v>9829</v>
      </c>
      <c r="AD3149" s="1092"/>
      <c r="AE3149" s="1103"/>
      <c r="AF3149" s="1092"/>
      <c r="AG3149" s="386" t="s">
        <v>283</v>
      </c>
    </row>
    <row r="3150" spans="1:33" ht="15.75" customHeight="1">
      <c r="A3150" s="755">
        <v>42587</v>
      </c>
      <c r="B3150" s="338" t="s">
        <v>100</v>
      </c>
      <c r="C3150" s="263" t="s">
        <v>9825</v>
      </c>
      <c r="D3150" s="318" t="s">
        <v>9826</v>
      </c>
      <c r="E3150" s="338" t="s">
        <v>9840</v>
      </c>
      <c r="F3150" s="752">
        <v>1</v>
      </c>
      <c r="G3150" s="752">
        <v>160</v>
      </c>
      <c r="H3150" s="265">
        <f t="shared" si="194"/>
        <v>160</v>
      </c>
      <c r="I3150" s="264" t="s">
        <v>3315</v>
      </c>
      <c r="J3150" s="331" t="s">
        <v>5842</v>
      </c>
      <c r="K3150" s="811">
        <v>42608</v>
      </c>
      <c r="L3150" s="1477"/>
      <c r="M3150" s="386"/>
      <c r="N3150" s="331" t="s">
        <v>1999</v>
      </c>
      <c r="O3150" s="263"/>
      <c r="P3150" s="752"/>
      <c r="Q3150" s="318">
        <v>12054</v>
      </c>
      <c r="R3150" s="1410"/>
      <c r="S3150" s="1410"/>
      <c r="U3150" s="386"/>
      <c r="V3150" s="318" t="s">
        <v>2000</v>
      </c>
      <c r="W3150" s="1096">
        <v>42643</v>
      </c>
      <c r="X3150" s="1083">
        <v>42613</v>
      </c>
      <c r="Y3150" s="263" t="s">
        <v>9841</v>
      </c>
      <c r="Z3150" s="1086">
        <v>12054</v>
      </c>
      <c r="AA3150" s="811">
        <v>42648</v>
      </c>
      <c r="AB3150" s="318" t="s">
        <v>9829</v>
      </c>
      <c r="AD3150" s="1092"/>
      <c r="AE3150" s="1103"/>
      <c r="AF3150" s="1092"/>
      <c r="AG3150" s="386" t="s">
        <v>283</v>
      </c>
    </row>
    <row r="3151" spans="1:33" ht="15.75" customHeight="1">
      <c r="A3151" s="755">
        <v>42507</v>
      </c>
      <c r="B3151" s="338" t="s">
        <v>100</v>
      </c>
      <c r="C3151" s="970" t="s">
        <v>9313</v>
      </c>
      <c r="D3151" s="318" t="s">
        <v>9314</v>
      </c>
      <c r="E3151" s="338" t="s">
        <v>9709</v>
      </c>
      <c r="F3151" s="752">
        <v>2</v>
      </c>
      <c r="G3151" s="464">
        <v>1080</v>
      </c>
      <c r="H3151" s="265">
        <f t="shared" si="194"/>
        <v>2160</v>
      </c>
      <c r="I3151" s="264" t="s">
        <v>170</v>
      </c>
      <c r="J3151" s="331" t="s">
        <v>5810</v>
      </c>
      <c r="K3151" s="811">
        <v>42521</v>
      </c>
      <c r="L3151" s="1477"/>
      <c r="M3151" s="811">
        <v>42517</v>
      </c>
      <c r="N3151" s="254" t="s">
        <v>1414</v>
      </c>
      <c r="O3151" s="263" t="s">
        <v>9842</v>
      </c>
      <c r="P3151" s="752"/>
      <c r="Q3151" s="318">
        <v>65047</v>
      </c>
      <c r="R3151" s="1410"/>
      <c r="S3151" s="1410"/>
      <c r="U3151" s="386"/>
      <c r="V3151" s="386" t="s">
        <v>1947</v>
      </c>
      <c r="W3151" s="1084">
        <v>42509</v>
      </c>
      <c r="X3151" s="1083">
        <v>42516</v>
      </c>
      <c r="Y3151" s="263" t="s">
        <v>9843</v>
      </c>
      <c r="Z3151" s="1086">
        <v>65047</v>
      </c>
      <c r="AA3151" s="811">
        <v>42509</v>
      </c>
      <c r="AB3151" s="263" t="s">
        <v>9318</v>
      </c>
      <c r="AD3151" s="1091"/>
      <c r="AE3151" s="1091"/>
      <c r="AF3151" s="1091"/>
      <c r="AG3151" s="1092" t="s">
        <v>8415</v>
      </c>
    </row>
    <row r="3152" spans="1:33" ht="15.75" customHeight="1">
      <c r="A3152" s="755">
        <v>42587</v>
      </c>
      <c r="B3152" s="338" t="s">
        <v>100</v>
      </c>
      <c r="C3152" s="263" t="s">
        <v>9844</v>
      </c>
      <c r="D3152" s="318" t="s">
        <v>9845</v>
      </c>
      <c r="E3152" s="308" t="s">
        <v>6119</v>
      </c>
      <c r="F3152" s="752">
        <v>7</v>
      </c>
      <c r="G3152" s="752">
        <v>62</v>
      </c>
      <c r="H3152" s="265">
        <f t="shared" si="194"/>
        <v>434</v>
      </c>
      <c r="I3152" s="264" t="s">
        <v>3315</v>
      </c>
      <c r="J3152" s="331" t="s">
        <v>5842</v>
      </c>
      <c r="K3152" s="811">
        <v>42608</v>
      </c>
      <c r="L3152" s="1477"/>
      <c r="M3152" s="811">
        <v>42594</v>
      </c>
      <c r="N3152" s="331" t="s">
        <v>6735</v>
      </c>
      <c r="O3152" s="263" t="s">
        <v>9846</v>
      </c>
      <c r="P3152" s="752"/>
      <c r="Q3152" s="386">
        <v>7438</v>
      </c>
      <c r="R3152" s="1407"/>
      <c r="S3152" s="1407"/>
      <c r="U3152" s="386"/>
      <c r="V3152" s="318" t="s">
        <v>2126</v>
      </c>
      <c r="W3152" s="1088" t="s">
        <v>9833</v>
      </c>
      <c r="X3152" s="1083">
        <v>42592</v>
      </c>
      <c r="Y3152" s="263" t="s">
        <v>9847</v>
      </c>
      <c r="Z3152" s="1086">
        <v>7438</v>
      </c>
      <c r="AA3152" s="811">
        <v>42580</v>
      </c>
      <c r="AB3152" s="318" t="s">
        <v>9829</v>
      </c>
      <c r="AD3152" s="1092"/>
      <c r="AE3152" s="1103"/>
      <c r="AF3152" s="1092"/>
      <c r="AG3152" s="386" t="s">
        <v>283</v>
      </c>
    </row>
    <row r="3153" spans="1:33" ht="15.75" customHeight="1">
      <c r="A3153" s="755">
        <v>42587</v>
      </c>
      <c r="B3153" s="338" t="s">
        <v>100</v>
      </c>
      <c r="C3153" s="263" t="s">
        <v>9844</v>
      </c>
      <c r="D3153" s="318" t="s">
        <v>9845</v>
      </c>
      <c r="E3153" s="338" t="s">
        <v>9848</v>
      </c>
      <c r="F3153" s="752">
        <v>1</v>
      </c>
      <c r="G3153" s="752">
        <v>228</v>
      </c>
      <c r="H3153" s="265">
        <f t="shared" si="194"/>
        <v>228</v>
      </c>
      <c r="I3153" s="264" t="s">
        <v>3315</v>
      </c>
      <c r="J3153" s="331" t="s">
        <v>5842</v>
      </c>
      <c r="K3153" s="811">
        <v>42608</v>
      </c>
      <c r="L3153" s="1477"/>
      <c r="M3153" s="1128"/>
      <c r="N3153" s="331" t="s">
        <v>1999</v>
      </c>
      <c r="O3153" s="263"/>
      <c r="P3153" s="752"/>
      <c r="Q3153" s="338" t="s">
        <v>9849</v>
      </c>
      <c r="R3153" s="1458"/>
      <c r="S3153" s="1458"/>
      <c r="U3153" s="386"/>
      <c r="V3153" s="318" t="s">
        <v>2000</v>
      </c>
      <c r="W3153" s="1096">
        <v>42643</v>
      </c>
      <c r="X3153" s="1083">
        <v>42613</v>
      </c>
      <c r="Y3153" s="263" t="s">
        <v>9841</v>
      </c>
      <c r="Z3153" s="1086">
        <v>12054</v>
      </c>
      <c r="AA3153" s="811">
        <v>42648</v>
      </c>
      <c r="AB3153" s="318" t="s">
        <v>9829</v>
      </c>
      <c r="AD3153" s="1092"/>
      <c r="AE3153" s="1103"/>
      <c r="AF3153" s="1092"/>
      <c r="AG3153" s="386" t="s">
        <v>283</v>
      </c>
    </row>
    <row r="3154" spans="1:33" ht="15.75" customHeight="1">
      <c r="A3154" s="755">
        <v>42590</v>
      </c>
      <c r="B3154" s="338" t="s">
        <v>8751</v>
      </c>
      <c r="C3154" s="263">
        <v>7000123231</v>
      </c>
      <c r="D3154" s="318" t="s">
        <v>9850</v>
      </c>
      <c r="E3154" s="338" t="s">
        <v>4034</v>
      </c>
      <c r="F3154" s="752">
        <v>4</v>
      </c>
      <c r="G3154" s="752">
        <v>74</v>
      </c>
      <c r="H3154" s="464">
        <f t="shared" si="194"/>
        <v>296</v>
      </c>
      <c r="I3154" s="254" t="s">
        <v>42</v>
      </c>
      <c r="J3154" s="401" t="s">
        <v>6092</v>
      </c>
      <c r="K3154" s="811">
        <v>42600</v>
      </c>
      <c r="L3154" s="1477"/>
      <c r="M3154" s="811">
        <v>42598</v>
      </c>
      <c r="N3154" s="331" t="s">
        <v>5935</v>
      </c>
      <c r="O3154" s="263" t="s">
        <v>9851</v>
      </c>
      <c r="P3154" s="752"/>
      <c r="Q3154" s="318">
        <v>8602</v>
      </c>
      <c r="R3154" s="1410"/>
      <c r="S3154" s="1410"/>
      <c r="U3154" s="386"/>
      <c r="V3154" s="318" t="s">
        <v>5937</v>
      </c>
      <c r="W3154" s="747">
        <v>42648</v>
      </c>
      <c r="X3154" s="1083">
        <v>42598</v>
      </c>
      <c r="Y3154" s="263" t="s">
        <v>9852</v>
      </c>
      <c r="Z3154" s="1086">
        <v>97363</v>
      </c>
      <c r="AA3154" s="811">
        <v>42634</v>
      </c>
      <c r="AB3154" s="318" t="s">
        <v>9853</v>
      </c>
      <c r="AD3154" s="1092"/>
      <c r="AE3154" s="1103"/>
      <c r="AF3154" s="1092"/>
      <c r="AG3154" s="386" t="s">
        <v>283</v>
      </c>
    </row>
    <row r="3155" spans="1:33" ht="15.75" customHeight="1">
      <c r="A3155" s="755">
        <v>42590</v>
      </c>
      <c r="B3155" s="338" t="s">
        <v>8751</v>
      </c>
      <c r="C3155" s="263">
        <v>7000123231</v>
      </c>
      <c r="D3155" s="318" t="s">
        <v>9850</v>
      </c>
      <c r="E3155" s="338" t="s">
        <v>9854</v>
      </c>
      <c r="F3155" s="752">
        <v>1</v>
      </c>
      <c r="G3155" s="752">
        <v>134</v>
      </c>
      <c r="H3155" s="464">
        <f t="shared" si="194"/>
        <v>134</v>
      </c>
      <c r="I3155" s="254" t="s">
        <v>42</v>
      </c>
      <c r="J3155" s="401" t="s">
        <v>6092</v>
      </c>
      <c r="K3155" s="811">
        <v>42600</v>
      </c>
      <c r="L3155" s="1477"/>
      <c r="M3155" s="811">
        <v>42598</v>
      </c>
      <c r="N3155" s="331" t="s">
        <v>5935</v>
      </c>
      <c r="O3155" s="263" t="s">
        <v>9851</v>
      </c>
      <c r="P3155" s="752"/>
      <c r="Q3155" s="318">
        <v>3918</v>
      </c>
      <c r="R3155" s="1410"/>
      <c r="S3155" s="1410"/>
      <c r="U3155" s="386"/>
      <c r="V3155" s="318" t="s">
        <v>5937</v>
      </c>
      <c r="W3155" s="747">
        <v>42648</v>
      </c>
      <c r="X3155" s="1083">
        <v>42598</v>
      </c>
      <c r="Y3155" s="263" t="s">
        <v>9852</v>
      </c>
      <c r="Z3155" s="1086" t="s">
        <v>9855</v>
      </c>
      <c r="AA3155" s="811">
        <v>42634</v>
      </c>
      <c r="AB3155" s="318" t="s">
        <v>9853</v>
      </c>
      <c r="AD3155" s="1092"/>
      <c r="AE3155" s="1103"/>
      <c r="AF3155" s="1092"/>
      <c r="AG3155" s="386" t="s">
        <v>283</v>
      </c>
    </row>
    <row r="3156" spans="1:33" ht="15.75" customHeight="1">
      <c r="A3156" s="755">
        <v>42590</v>
      </c>
      <c r="B3156" s="338" t="s">
        <v>8751</v>
      </c>
      <c r="C3156" s="263">
        <v>7000123231</v>
      </c>
      <c r="D3156" s="318" t="s">
        <v>9850</v>
      </c>
      <c r="E3156" s="338" t="s">
        <v>9856</v>
      </c>
      <c r="F3156" s="752">
        <v>28</v>
      </c>
      <c r="G3156" s="752">
        <v>136</v>
      </c>
      <c r="H3156" s="464">
        <f t="shared" si="194"/>
        <v>3808</v>
      </c>
      <c r="I3156" s="254" t="s">
        <v>42</v>
      </c>
      <c r="J3156" s="401" t="s">
        <v>6092</v>
      </c>
      <c r="K3156" s="811">
        <v>42600</v>
      </c>
      <c r="L3156" s="1477"/>
      <c r="M3156" s="811">
        <v>42598</v>
      </c>
      <c r="N3156" s="331" t="s">
        <v>3432</v>
      </c>
      <c r="O3156" s="263" t="s">
        <v>9857</v>
      </c>
      <c r="P3156" s="752"/>
      <c r="Q3156" s="318">
        <v>112984</v>
      </c>
      <c r="R3156" s="1410"/>
      <c r="S3156" s="1410"/>
      <c r="U3156" s="386"/>
      <c r="V3156" s="318" t="s">
        <v>5937</v>
      </c>
      <c r="W3156" s="747">
        <v>42648</v>
      </c>
      <c r="X3156" s="1083">
        <v>42598</v>
      </c>
      <c r="Y3156" s="263" t="s">
        <v>9858</v>
      </c>
      <c r="Z3156" s="1086" t="s">
        <v>9859</v>
      </c>
      <c r="AA3156" s="811"/>
      <c r="AB3156" s="318" t="s">
        <v>9853</v>
      </c>
      <c r="AD3156" s="1092"/>
      <c r="AE3156" s="1103"/>
      <c r="AF3156" s="1092"/>
      <c r="AG3156" s="386" t="s">
        <v>283</v>
      </c>
    </row>
    <row r="3157" spans="1:33" ht="15.75" customHeight="1">
      <c r="A3157" s="755">
        <v>42590</v>
      </c>
      <c r="B3157" s="338" t="s">
        <v>8751</v>
      </c>
      <c r="C3157" s="263">
        <v>7000123231</v>
      </c>
      <c r="D3157" s="318" t="s">
        <v>9850</v>
      </c>
      <c r="E3157" s="338" t="s">
        <v>3566</v>
      </c>
      <c r="F3157" s="752">
        <v>28</v>
      </c>
      <c r="G3157" s="752">
        <v>56</v>
      </c>
      <c r="H3157" s="464">
        <f t="shared" si="194"/>
        <v>1568</v>
      </c>
      <c r="I3157" s="254" t="s">
        <v>42</v>
      </c>
      <c r="J3157" s="401" t="s">
        <v>6092</v>
      </c>
      <c r="K3157" s="811">
        <v>42600</v>
      </c>
      <c r="L3157" s="1477"/>
      <c r="M3157" s="811">
        <v>42598</v>
      </c>
      <c r="N3157" s="331" t="s">
        <v>3432</v>
      </c>
      <c r="O3157" s="263" t="s">
        <v>9857</v>
      </c>
      <c r="P3157" s="752"/>
      <c r="Q3157" s="318">
        <v>45864</v>
      </c>
      <c r="R3157" s="1410"/>
      <c r="S3157" s="1410"/>
      <c r="U3157" s="386"/>
      <c r="V3157" s="318" t="s">
        <v>5937</v>
      </c>
      <c r="W3157" s="747">
        <v>42648</v>
      </c>
      <c r="X3157" s="1083">
        <v>42598</v>
      </c>
      <c r="Y3157" s="263" t="s">
        <v>9858</v>
      </c>
      <c r="Z3157" s="1086">
        <v>196894</v>
      </c>
      <c r="AA3157" s="811"/>
      <c r="AB3157" s="318" t="s">
        <v>9853</v>
      </c>
      <c r="AD3157" s="1092"/>
      <c r="AE3157" s="1103"/>
      <c r="AF3157" s="1092"/>
      <c r="AG3157" s="386" t="s">
        <v>283</v>
      </c>
    </row>
    <row r="3158" spans="1:33" ht="15.75" customHeight="1">
      <c r="A3158" s="755">
        <v>42590</v>
      </c>
      <c r="B3158" s="338" t="s">
        <v>8751</v>
      </c>
      <c r="C3158" s="263">
        <v>7000123231</v>
      </c>
      <c r="D3158" s="318" t="s">
        <v>9850</v>
      </c>
      <c r="E3158" s="338" t="s">
        <v>3826</v>
      </c>
      <c r="F3158" s="752">
        <v>5</v>
      </c>
      <c r="G3158" s="752">
        <v>152</v>
      </c>
      <c r="H3158" s="464">
        <f t="shared" si="194"/>
        <v>760</v>
      </c>
      <c r="I3158" s="254" t="s">
        <v>42</v>
      </c>
      <c r="J3158" s="331" t="s">
        <v>6092</v>
      </c>
      <c r="K3158" s="811">
        <v>42600</v>
      </c>
      <c r="L3158" s="1477"/>
      <c r="M3158" s="811">
        <v>42598</v>
      </c>
      <c r="N3158" s="331" t="s">
        <v>5935</v>
      </c>
      <c r="O3158" s="263" t="s">
        <v>9851</v>
      </c>
      <c r="P3158" s="752"/>
      <c r="Q3158" s="318">
        <v>22155</v>
      </c>
      <c r="R3158" s="1410"/>
      <c r="S3158" s="1410"/>
      <c r="U3158" s="386"/>
      <c r="V3158" s="318" t="s">
        <v>5937</v>
      </c>
      <c r="W3158" s="747">
        <v>42648</v>
      </c>
      <c r="X3158" s="1083">
        <v>42598</v>
      </c>
      <c r="Y3158" s="263" t="s">
        <v>9852</v>
      </c>
      <c r="Z3158" s="1086" t="s">
        <v>9855</v>
      </c>
      <c r="AA3158" s="811">
        <v>42634</v>
      </c>
      <c r="AB3158" s="318" t="s">
        <v>9853</v>
      </c>
      <c r="AD3158" s="1092"/>
      <c r="AE3158" s="1103"/>
      <c r="AF3158" s="1092"/>
      <c r="AG3158" s="386" t="s">
        <v>283</v>
      </c>
    </row>
    <row r="3159" spans="1:33" ht="15.75" customHeight="1">
      <c r="A3159" s="755">
        <v>42590</v>
      </c>
      <c r="B3159" s="338" t="s">
        <v>8751</v>
      </c>
      <c r="C3159" s="263">
        <v>7000123231</v>
      </c>
      <c r="D3159" s="318" t="s">
        <v>9850</v>
      </c>
      <c r="E3159" s="338" t="s">
        <v>6261</v>
      </c>
      <c r="F3159" s="752">
        <v>17</v>
      </c>
      <c r="G3159" s="752">
        <v>126</v>
      </c>
      <c r="H3159" s="464">
        <f t="shared" si="194"/>
        <v>2142</v>
      </c>
      <c r="I3159" s="254" t="s">
        <v>42</v>
      </c>
      <c r="J3159" s="401" t="s">
        <v>6092</v>
      </c>
      <c r="K3159" s="811">
        <v>42600</v>
      </c>
      <c r="L3159" s="1477"/>
      <c r="M3159" s="811">
        <v>42598</v>
      </c>
      <c r="N3159" s="331" t="s">
        <v>5935</v>
      </c>
      <c r="O3159" s="263" t="s">
        <v>9851</v>
      </c>
      <c r="P3159" s="752"/>
      <c r="Q3159" s="318">
        <v>62689</v>
      </c>
      <c r="R3159" s="1410"/>
      <c r="S3159" s="1410"/>
      <c r="U3159" s="386"/>
      <c r="V3159" s="318" t="s">
        <v>5937</v>
      </c>
      <c r="W3159" s="747">
        <v>42648</v>
      </c>
      <c r="X3159" s="1083">
        <v>42598</v>
      </c>
      <c r="Y3159" s="263" t="s">
        <v>9852</v>
      </c>
      <c r="Z3159" s="1086" t="s">
        <v>9855</v>
      </c>
      <c r="AA3159" s="811">
        <v>42634</v>
      </c>
      <c r="AB3159" s="318" t="s">
        <v>9853</v>
      </c>
      <c r="AD3159" s="1092"/>
      <c r="AE3159" s="1103"/>
      <c r="AF3159" s="1092"/>
      <c r="AG3159" s="386" t="s">
        <v>283</v>
      </c>
    </row>
    <row r="3160" spans="1:33" ht="15.75" customHeight="1">
      <c r="A3160" s="755">
        <v>42590</v>
      </c>
      <c r="B3160" s="338" t="s">
        <v>8751</v>
      </c>
      <c r="C3160" s="263">
        <v>7000123231</v>
      </c>
      <c r="D3160" s="318" t="s">
        <v>9860</v>
      </c>
      <c r="E3160" s="338" t="s">
        <v>9861</v>
      </c>
      <c r="F3160" s="752">
        <v>26</v>
      </c>
      <c r="G3160" s="752">
        <v>116</v>
      </c>
      <c r="H3160" s="464">
        <f t="shared" si="194"/>
        <v>3016</v>
      </c>
      <c r="I3160" s="254" t="s">
        <v>42</v>
      </c>
      <c r="J3160" s="401" t="s">
        <v>6092</v>
      </c>
      <c r="K3160" s="811">
        <v>42611</v>
      </c>
      <c r="L3160" s="1477"/>
      <c r="M3160" s="811">
        <v>42608</v>
      </c>
      <c r="N3160" s="331" t="s">
        <v>3432</v>
      </c>
      <c r="O3160" s="263" t="s">
        <v>9857</v>
      </c>
      <c r="P3160" s="752"/>
      <c r="Q3160" s="318">
        <v>89926</v>
      </c>
      <c r="R3160" s="1410"/>
      <c r="S3160" s="1410"/>
      <c r="U3160" s="386"/>
      <c r="V3160" s="318" t="s">
        <v>5937</v>
      </c>
      <c r="W3160" s="574" t="s">
        <v>9862</v>
      </c>
      <c r="X3160" s="263" t="s">
        <v>9863</v>
      </c>
      <c r="Y3160" s="263" t="s">
        <v>9864</v>
      </c>
      <c r="Z3160" s="1086" t="s">
        <v>9865</v>
      </c>
      <c r="AA3160" s="811">
        <v>42634</v>
      </c>
      <c r="AB3160" s="263" t="s">
        <v>9866</v>
      </c>
      <c r="AD3160" s="1092"/>
      <c r="AE3160" s="1103"/>
      <c r="AF3160" s="1092"/>
      <c r="AG3160" s="386" t="s">
        <v>283</v>
      </c>
    </row>
    <row r="3161" spans="1:33" ht="15.75" customHeight="1">
      <c r="A3161" s="755">
        <v>42593</v>
      </c>
      <c r="B3161" s="592" t="s">
        <v>6060</v>
      </c>
      <c r="C3161" s="263" t="s">
        <v>9867</v>
      </c>
      <c r="D3161" s="318" t="s">
        <v>9868</v>
      </c>
      <c r="E3161" s="338" t="s">
        <v>6097</v>
      </c>
      <c r="F3161" s="752">
        <v>3</v>
      </c>
      <c r="G3161" s="752">
        <v>50</v>
      </c>
      <c r="H3161" s="464">
        <f t="shared" si="194"/>
        <v>150</v>
      </c>
      <c r="I3161" s="254" t="s">
        <v>42</v>
      </c>
      <c r="J3161" s="331" t="s">
        <v>8812</v>
      </c>
      <c r="K3161" s="811">
        <v>42607</v>
      </c>
      <c r="L3161" s="1477"/>
      <c r="M3161" s="811">
        <v>42604</v>
      </c>
      <c r="N3161" s="331" t="s">
        <v>89</v>
      </c>
      <c r="O3161" s="263" t="s">
        <v>9869</v>
      </c>
      <c r="P3161" s="752">
        <v>144.9</v>
      </c>
      <c r="Q3161" s="386"/>
      <c r="R3161" s="1407"/>
      <c r="S3161" s="1407"/>
      <c r="U3161" s="386"/>
      <c r="V3161" s="318" t="s">
        <v>5896</v>
      </c>
      <c r="W3161" s="1096">
        <v>42618</v>
      </c>
      <c r="X3161" s="1083">
        <v>42600</v>
      </c>
      <c r="Y3161" s="263" t="s">
        <v>9870</v>
      </c>
      <c r="Z3161" s="1086">
        <v>14537</v>
      </c>
      <c r="AA3161" s="811">
        <v>42621</v>
      </c>
      <c r="AB3161" s="318" t="s">
        <v>9871</v>
      </c>
      <c r="AD3161" s="1092"/>
      <c r="AE3161" s="1103"/>
      <c r="AF3161" s="1092"/>
      <c r="AG3161" s="386" t="s">
        <v>283</v>
      </c>
    </row>
    <row r="3162" spans="1:33" ht="15.75" customHeight="1">
      <c r="A3162" s="755">
        <v>42593</v>
      </c>
      <c r="B3162" s="592" t="s">
        <v>6060</v>
      </c>
      <c r="C3162" s="263" t="s">
        <v>9867</v>
      </c>
      <c r="D3162" s="318" t="s">
        <v>9868</v>
      </c>
      <c r="E3162" s="338" t="s">
        <v>9872</v>
      </c>
      <c r="F3162" s="752">
        <v>2</v>
      </c>
      <c r="G3162" s="752">
        <v>162</v>
      </c>
      <c r="H3162" s="464">
        <f t="shared" si="194"/>
        <v>324</v>
      </c>
      <c r="I3162" s="254" t="s">
        <v>42</v>
      </c>
      <c r="J3162" s="331" t="s">
        <v>8812</v>
      </c>
      <c r="K3162" s="811">
        <v>42607</v>
      </c>
      <c r="L3162" s="1477"/>
      <c r="M3162" s="811">
        <v>42604</v>
      </c>
      <c r="N3162" s="331" t="s">
        <v>89</v>
      </c>
      <c r="O3162" s="263" t="s">
        <v>9869</v>
      </c>
      <c r="P3162" s="752">
        <v>316.68</v>
      </c>
      <c r="Q3162" s="386"/>
      <c r="R3162" s="1407"/>
      <c r="S3162" s="1407"/>
      <c r="U3162" s="386"/>
      <c r="V3162" s="318" t="s">
        <v>5896</v>
      </c>
      <c r="W3162" s="1096">
        <v>42618</v>
      </c>
      <c r="X3162" s="1083">
        <v>42600</v>
      </c>
      <c r="Y3162" s="263" t="s">
        <v>9870</v>
      </c>
      <c r="Z3162" s="1086" t="s">
        <v>9873</v>
      </c>
      <c r="AA3162" s="811">
        <v>42621</v>
      </c>
      <c r="AB3162" s="318" t="s">
        <v>9871</v>
      </c>
      <c r="AD3162" s="1092"/>
      <c r="AE3162" s="1103"/>
      <c r="AF3162" s="1092"/>
      <c r="AG3162" s="386" t="s">
        <v>283</v>
      </c>
    </row>
    <row r="3163" spans="1:33" ht="15.75" customHeight="1">
      <c r="A3163" s="755">
        <v>42516</v>
      </c>
      <c r="B3163" s="338" t="s">
        <v>100</v>
      </c>
      <c r="C3163" s="970" t="s">
        <v>9359</v>
      </c>
      <c r="D3163" s="318" t="s">
        <v>9360</v>
      </c>
      <c r="E3163" s="338" t="s">
        <v>9709</v>
      </c>
      <c r="F3163" s="752">
        <v>6</v>
      </c>
      <c r="G3163" s="464">
        <v>1080</v>
      </c>
      <c r="H3163" s="464">
        <f t="shared" si="194"/>
        <v>6480</v>
      </c>
      <c r="I3163" s="254" t="s">
        <v>170</v>
      </c>
      <c r="J3163" s="331" t="s">
        <v>5810</v>
      </c>
      <c r="K3163" s="811">
        <v>42537</v>
      </c>
      <c r="L3163" s="1477"/>
      <c r="M3163" s="811">
        <v>42535</v>
      </c>
      <c r="N3163" s="254" t="s">
        <v>1414</v>
      </c>
      <c r="O3163" s="263" t="s">
        <v>9874</v>
      </c>
      <c r="P3163" s="752"/>
      <c r="Q3163" s="318">
        <v>194931</v>
      </c>
      <c r="R3163" s="1410"/>
      <c r="S3163" s="1410"/>
      <c r="U3163" s="386"/>
      <c r="V3163" s="386" t="s">
        <v>1947</v>
      </c>
      <c r="W3163" s="1090"/>
      <c r="X3163" s="1083">
        <v>42535</v>
      </c>
      <c r="Y3163" s="318" t="s">
        <v>9875</v>
      </c>
      <c r="Z3163" s="1086">
        <v>194931</v>
      </c>
      <c r="AA3163" s="811">
        <v>42527</v>
      </c>
      <c r="AB3163" s="318" t="s">
        <v>9350</v>
      </c>
      <c r="AD3163" s="1091"/>
      <c r="AE3163" s="1091"/>
      <c r="AF3163" s="1091"/>
      <c r="AG3163" s="318" t="s">
        <v>283</v>
      </c>
    </row>
    <row r="3164" spans="1:33" ht="15.75" customHeight="1">
      <c r="A3164" s="755">
        <v>42594</v>
      </c>
      <c r="B3164" s="338" t="s">
        <v>100</v>
      </c>
      <c r="C3164" s="263" t="s">
        <v>9876</v>
      </c>
      <c r="D3164" s="318" t="s">
        <v>9877</v>
      </c>
      <c r="E3164" s="338" t="s">
        <v>9878</v>
      </c>
      <c r="F3164" s="752">
        <v>1</v>
      </c>
      <c r="G3164" s="752">
        <v>102</v>
      </c>
      <c r="H3164" s="464">
        <f t="shared" ref="H3164:H3165" si="195">F3164*G3164</f>
        <v>102</v>
      </c>
      <c r="I3164" s="254" t="s">
        <v>3315</v>
      </c>
      <c r="J3164" s="331" t="s">
        <v>5842</v>
      </c>
      <c r="K3164" s="811">
        <v>42608</v>
      </c>
      <c r="L3164" s="1477"/>
      <c r="M3164" s="386"/>
      <c r="N3164" s="331" t="s">
        <v>1999</v>
      </c>
      <c r="O3164" s="263"/>
      <c r="P3164" s="752"/>
      <c r="Q3164" s="338" t="s">
        <v>9879</v>
      </c>
      <c r="R3164" s="1458"/>
      <c r="S3164" s="1458"/>
      <c r="U3164" s="386"/>
      <c r="V3164" s="318" t="s">
        <v>2000</v>
      </c>
      <c r="W3164" s="1096">
        <v>42643</v>
      </c>
      <c r="X3164" s="1083">
        <v>42613</v>
      </c>
      <c r="Y3164" s="263" t="s">
        <v>9841</v>
      </c>
      <c r="Z3164" s="1086">
        <v>12054</v>
      </c>
      <c r="AA3164" s="811">
        <v>42648</v>
      </c>
      <c r="AB3164" s="318" t="s">
        <v>9829</v>
      </c>
      <c r="AD3164" s="1092"/>
      <c r="AE3164" s="1103"/>
      <c r="AF3164" s="1092"/>
      <c r="AG3164" s="386" t="s">
        <v>283</v>
      </c>
    </row>
    <row r="3165" spans="1:33" ht="15.75" customHeight="1">
      <c r="A3165" s="755">
        <v>42594</v>
      </c>
      <c r="B3165" s="1127" t="s">
        <v>3709</v>
      </c>
      <c r="C3165" s="263" t="s">
        <v>9880</v>
      </c>
      <c r="D3165" s="318" t="s">
        <v>9881</v>
      </c>
      <c r="E3165" s="338" t="s">
        <v>9882</v>
      </c>
      <c r="F3165" s="752">
        <v>14</v>
      </c>
      <c r="G3165" s="752">
        <v>560</v>
      </c>
      <c r="H3165" s="464">
        <f t="shared" si="195"/>
        <v>7840</v>
      </c>
      <c r="I3165" s="254" t="s">
        <v>3712</v>
      </c>
      <c r="J3165" s="401" t="s">
        <v>6020</v>
      </c>
      <c r="K3165" s="811">
        <v>42611</v>
      </c>
      <c r="L3165" s="1477"/>
      <c r="M3165" s="811">
        <v>42608</v>
      </c>
      <c r="N3165" s="331" t="s">
        <v>9883</v>
      </c>
      <c r="O3165" s="263" t="s">
        <v>9884</v>
      </c>
      <c r="P3165" s="752">
        <v>7085.4</v>
      </c>
      <c r="Q3165" s="1054">
        <v>221702</v>
      </c>
      <c r="R3165" s="1413"/>
      <c r="S3165" s="1413"/>
      <c r="U3165" s="386"/>
      <c r="V3165" s="318" t="s">
        <v>3285</v>
      </c>
      <c r="W3165" s="1096">
        <v>42605</v>
      </c>
      <c r="X3165" s="1083">
        <v>42608</v>
      </c>
      <c r="Y3165" s="263" t="s">
        <v>9885</v>
      </c>
      <c r="Z3165" s="1086">
        <v>221702</v>
      </c>
      <c r="AA3165" s="811">
        <v>42605</v>
      </c>
      <c r="AB3165" s="263" t="s">
        <v>9886</v>
      </c>
      <c r="AD3165" s="1092"/>
      <c r="AE3165" s="1103"/>
      <c r="AF3165" s="1092"/>
      <c r="AG3165" s="1091" t="s">
        <v>283</v>
      </c>
    </row>
    <row r="3166" spans="1:33" ht="15.75" customHeight="1">
      <c r="A3166" s="755">
        <v>42598</v>
      </c>
      <c r="B3166" s="338" t="s">
        <v>4903</v>
      </c>
      <c r="C3166" s="263" t="s">
        <v>9887</v>
      </c>
      <c r="D3166" s="318" t="s">
        <v>9888</v>
      </c>
      <c r="E3166" s="338" t="s">
        <v>9889</v>
      </c>
      <c r="F3166" s="752">
        <v>1</v>
      </c>
      <c r="G3166" s="752">
        <f>132</f>
        <v>132</v>
      </c>
      <c r="H3166" s="464">
        <f t="shared" ref="H3166:H3174" si="196">G3166*F3166</f>
        <v>132</v>
      </c>
      <c r="I3166" s="254" t="s">
        <v>3315</v>
      </c>
      <c r="J3166" s="331" t="s">
        <v>8438</v>
      </c>
      <c r="K3166" s="811">
        <v>42604</v>
      </c>
      <c r="L3166" s="1477"/>
      <c r="M3166" s="811">
        <v>42600</v>
      </c>
      <c r="N3166" s="331" t="s">
        <v>3330</v>
      </c>
      <c r="O3166" s="318" t="s">
        <v>9890</v>
      </c>
      <c r="P3166" s="752">
        <v>123.9</v>
      </c>
      <c r="Q3166" s="318">
        <v>3891</v>
      </c>
      <c r="R3166" s="1410"/>
      <c r="S3166" s="1410"/>
      <c r="U3166" s="386"/>
      <c r="V3166" s="318" t="s">
        <v>8822</v>
      </c>
      <c r="W3166" s="1096">
        <v>42629</v>
      </c>
      <c r="X3166" s="1083">
        <v>42600</v>
      </c>
      <c r="Y3166" s="263" t="s">
        <v>9891</v>
      </c>
      <c r="Z3166" s="1086">
        <v>3891</v>
      </c>
      <c r="AA3166" s="811">
        <v>42626</v>
      </c>
      <c r="AB3166" s="318" t="s">
        <v>9011</v>
      </c>
      <c r="AD3166" s="1092"/>
      <c r="AE3166" s="1103"/>
      <c r="AF3166" s="1092"/>
      <c r="AG3166" s="386" t="s">
        <v>283</v>
      </c>
    </row>
    <row r="3167" spans="1:33" ht="15.75" customHeight="1">
      <c r="A3167" s="755">
        <v>42601</v>
      </c>
      <c r="B3167" s="592" t="s">
        <v>53</v>
      </c>
      <c r="C3167" s="970" t="s">
        <v>9892</v>
      </c>
      <c r="D3167" s="308" t="s">
        <v>9893</v>
      </c>
      <c r="E3167" s="571" t="s">
        <v>3632</v>
      </c>
      <c r="F3167" s="329">
        <v>4</v>
      </c>
      <c r="G3167" s="252">
        <v>150.15</v>
      </c>
      <c r="H3167" s="571">
        <f t="shared" si="196"/>
        <v>600.6</v>
      </c>
      <c r="I3167" s="264" t="s">
        <v>8429</v>
      </c>
      <c r="J3167" s="401" t="s">
        <v>232</v>
      </c>
      <c r="K3167" s="256">
        <v>42640</v>
      </c>
      <c r="L3167" s="1477"/>
      <c r="M3167" s="386"/>
      <c r="N3167" s="331" t="s">
        <v>89</v>
      </c>
      <c r="O3167" s="263" t="s">
        <v>9894</v>
      </c>
      <c r="P3167" s="752">
        <v>537.6</v>
      </c>
      <c r="Q3167" s="386"/>
      <c r="R3167" s="1407"/>
      <c r="S3167" s="1407"/>
      <c r="U3167" s="386"/>
      <c r="V3167" s="318" t="s">
        <v>5896</v>
      </c>
      <c r="W3167" s="1096">
        <v>42648</v>
      </c>
      <c r="X3167" s="1083">
        <v>42608</v>
      </c>
      <c r="Y3167" s="263" t="s">
        <v>9895</v>
      </c>
      <c r="Z3167" s="1086">
        <v>16819</v>
      </c>
      <c r="AA3167" s="811">
        <v>42650</v>
      </c>
      <c r="AB3167" s="318" t="s">
        <v>9896</v>
      </c>
      <c r="AD3167" s="318" t="s">
        <v>9897</v>
      </c>
      <c r="AE3167" s="1100">
        <v>37754</v>
      </c>
      <c r="AF3167" s="338" t="s">
        <v>9898</v>
      </c>
      <c r="AG3167" s="1091"/>
    </row>
    <row r="3168" spans="1:33" ht="15.75" customHeight="1">
      <c r="A3168" s="755">
        <v>42536</v>
      </c>
      <c r="B3168" s="338" t="s">
        <v>100</v>
      </c>
      <c r="C3168" s="970" t="s">
        <v>9455</v>
      </c>
      <c r="D3168" s="318" t="s">
        <v>9456</v>
      </c>
      <c r="E3168" s="592" t="s">
        <v>9899</v>
      </c>
      <c r="F3168" s="1088">
        <v>1</v>
      </c>
      <c r="G3168" s="323">
        <v>1039</v>
      </c>
      <c r="H3168" s="464">
        <f t="shared" si="196"/>
        <v>1039</v>
      </c>
      <c r="I3168" s="254" t="s">
        <v>3315</v>
      </c>
      <c r="J3168" s="331" t="s">
        <v>9536</v>
      </c>
      <c r="K3168" s="256">
        <v>42569</v>
      </c>
      <c r="L3168" s="1477"/>
      <c r="M3168" s="811"/>
      <c r="N3168" s="331"/>
      <c r="O3168" s="263"/>
      <c r="P3168" s="752"/>
      <c r="Q3168" s="318">
        <v>29605</v>
      </c>
      <c r="R3168" s="1410"/>
      <c r="S3168" s="1410"/>
      <c r="U3168" s="386"/>
      <c r="V3168" s="338" t="s">
        <v>9900</v>
      </c>
      <c r="W3168" s="1096">
        <v>42618</v>
      </c>
      <c r="X3168" s="1083">
        <v>42582</v>
      </c>
      <c r="Y3168" s="263" t="s">
        <v>9901</v>
      </c>
      <c r="Z3168" s="1086">
        <v>29605</v>
      </c>
      <c r="AA3168" s="811">
        <v>42619</v>
      </c>
      <c r="AB3168" s="318" t="s">
        <v>9460</v>
      </c>
      <c r="AD3168" s="1091"/>
      <c r="AE3168" s="1091"/>
      <c r="AF3168" s="1091"/>
      <c r="AG3168" s="318" t="s">
        <v>283</v>
      </c>
    </row>
    <row r="3169" spans="1:33" ht="15.75" customHeight="1">
      <c r="A3169" s="755">
        <v>42604</v>
      </c>
      <c r="B3169" s="338" t="s">
        <v>5017</v>
      </c>
      <c r="C3169" s="263" t="s">
        <v>9902</v>
      </c>
      <c r="D3169" s="318" t="s">
        <v>9903</v>
      </c>
      <c r="E3169" s="338" t="s">
        <v>9904</v>
      </c>
      <c r="F3169" s="752">
        <v>30</v>
      </c>
      <c r="G3169" s="752">
        <f>9.4*1.05</f>
        <v>9.870000000000001</v>
      </c>
      <c r="H3169" s="464">
        <f t="shared" si="196"/>
        <v>296.10000000000002</v>
      </c>
      <c r="I3169" s="1029" t="s">
        <v>3315</v>
      </c>
      <c r="J3169" s="331" t="s">
        <v>5882</v>
      </c>
      <c r="K3169" s="811">
        <v>42621</v>
      </c>
      <c r="L3169" s="1477"/>
      <c r="M3169" s="811">
        <v>42621</v>
      </c>
      <c r="N3169" s="331" t="s">
        <v>2411</v>
      </c>
      <c r="O3169" s="263" t="s">
        <v>9905</v>
      </c>
      <c r="P3169" s="752"/>
      <c r="Q3169" s="318">
        <v>7560</v>
      </c>
      <c r="R3169" s="1410"/>
      <c r="S3169" s="1410"/>
      <c r="U3169" s="386"/>
      <c r="V3169" s="318" t="s">
        <v>4328</v>
      </c>
      <c r="W3169" s="1096">
        <v>42648</v>
      </c>
      <c r="X3169" s="1083">
        <v>42620</v>
      </c>
      <c r="Y3169" s="263" t="s">
        <v>9906</v>
      </c>
      <c r="Z3169" s="1086">
        <v>10920</v>
      </c>
      <c r="AA3169" s="811">
        <v>42648</v>
      </c>
      <c r="AB3169" s="318" t="s">
        <v>9907</v>
      </c>
      <c r="AD3169" s="318" t="s">
        <v>9908</v>
      </c>
      <c r="AE3169" s="1100">
        <v>12638</v>
      </c>
      <c r="AF3169" s="318" t="s">
        <v>8968</v>
      </c>
      <c r="AG3169" s="1091"/>
    </row>
    <row r="3170" spans="1:33" ht="15.75" customHeight="1">
      <c r="A3170" s="755">
        <v>42604</v>
      </c>
      <c r="B3170" s="338" t="s">
        <v>5017</v>
      </c>
      <c r="C3170" s="263" t="s">
        <v>9902</v>
      </c>
      <c r="D3170" s="318" t="s">
        <v>9903</v>
      </c>
      <c r="E3170" s="338" t="s">
        <v>9909</v>
      </c>
      <c r="F3170" s="752">
        <v>10</v>
      </c>
      <c r="G3170" s="752">
        <f>10.4*1.05</f>
        <v>10.920000000000002</v>
      </c>
      <c r="H3170" s="464">
        <f t="shared" si="196"/>
        <v>109.20000000000002</v>
      </c>
      <c r="I3170" s="1029" t="s">
        <v>3315</v>
      </c>
      <c r="J3170" s="331" t="s">
        <v>5882</v>
      </c>
      <c r="K3170" s="811">
        <v>42621</v>
      </c>
      <c r="L3170" s="1477"/>
      <c r="M3170" s="811">
        <v>42621</v>
      </c>
      <c r="N3170" s="331" t="s">
        <v>2411</v>
      </c>
      <c r="O3170" s="263" t="s">
        <v>9905</v>
      </c>
      <c r="P3170" s="752"/>
      <c r="Q3170" s="318">
        <v>3360</v>
      </c>
      <c r="R3170" s="1410"/>
      <c r="S3170" s="1410"/>
      <c r="U3170" s="386"/>
      <c r="V3170" s="318" t="s">
        <v>4328</v>
      </c>
      <c r="W3170" s="1096">
        <v>42648</v>
      </c>
      <c r="X3170" s="1083">
        <v>42620</v>
      </c>
      <c r="Y3170" s="263" t="s">
        <v>9906</v>
      </c>
      <c r="Z3170" s="1086" t="s">
        <v>9910</v>
      </c>
      <c r="AA3170" s="811">
        <v>42648</v>
      </c>
      <c r="AB3170" s="318" t="s">
        <v>9907</v>
      </c>
      <c r="AD3170" s="318" t="s">
        <v>9908</v>
      </c>
      <c r="AE3170" s="1100" t="s">
        <v>9911</v>
      </c>
      <c r="AF3170" s="318" t="s">
        <v>8968</v>
      </c>
      <c r="AG3170" s="1091"/>
    </row>
    <row r="3171" spans="1:33" ht="15.75" customHeight="1">
      <c r="A3171" s="755">
        <v>42606</v>
      </c>
      <c r="B3171" s="338" t="s">
        <v>3347</v>
      </c>
      <c r="C3171" s="970"/>
      <c r="D3171" s="308" t="s">
        <v>9912</v>
      </c>
      <c r="E3171" s="328" t="s">
        <v>9913</v>
      </c>
      <c r="F3171" s="574">
        <v>100</v>
      </c>
      <c r="G3171" s="265">
        <v>178</v>
      </c>
      <c r="H3171" s="265">
        <f t="shared" si="196"/>
        <v>17800</v>
      </c>
      <c r="I3171" s="254" t="s">
        <v>170</v>
      </c>
      <c r="J3171" s="592" t="s">
        <v>3350</v>
      </c>
      <c r="K3171" s="256">
        <v>42627</v>
      </c>
      <c r="L3171" s="256"/>
      <c r="M3171" s="256">
        <v>42619</v>
      </c>
      <c r="N3171" s="401" t="s">
        <v>89</v>
      </c>
      <c r="O3171" s="250" t="s">
        <v>9914</v>
      </c>
      <c r="P3171" s="574">
        <v>17482.5</v>
      </c>
      <c r="Q3171" s="328"/>
      <c r="R3171" s="1407"/>
      <c r="S3171" s="1407"/>
      <c r="U3171" s="328"/>
      <c r="V3171" s="318" t="s">
        <v>5896</v>
      </c>
      <c r="W3171" s="747">
        <v>42648</v>
      </c>
      <c r="X3171" s="250" t="s">
        <v>9915</v>
      </c>
      <c r="Y3171" s="308" t="s">
        <v>9916</v>
      </c>
      <c r="Z3171" s="996" t="s">
        <v>9917</v>
      </c>
      <c r="AA3171" s="811">
        <v>42650</v>
      </c>
      <c r="AB3171" s="318" t="s">
        <v>9918</v>
      </c>
      <c r="AD3171" s="1091"/>
      <c r="AE3171" s="1091"/>
      <c r="AF3171" s="1091"/>
      <c r="AG3171" s="318" t="s">
        <v>283</v>
      </c>
    </row>
    <row r="3172" spans="1:33" ht="15.75" customHeight="1">
      <c r="A3172" s="755">
        <v>42606</v>
      </c>
      <c r="B3172" s="338" t="s">
        <v>3347</v>
      </c>
      <c r="C3172" s="263"/>
      <c r="D3172" s="318" t="s">
        <v>9919</v>
      </c>
      <c r="E3172" s="571" t="s">
        <v>5894</v>
      </c>
      <c r="F3172" s="752">
        <v>10</v>
      </c>
      <c r="G3172" s="752">
        <v>355</v>
      </c>
      <c r="H3172" s="265">
        <f t="shared" si="196"/>
        <v>3550</v>
      </c>
      <c r="I3172" s="254" t="s">
        <v>170</v>
      </c>
      <c r="J3172" s="592" t="s">
        <v>3350</v>
      </c>
      <c r="K3172" s="256">
        <v>42627</v>
      </c>
      <c r="L3172" s="256"/>
      <c r="M3172" s="256">
        <v>42619</v>
      </c>
      <c r="N3172" s="401" t="s">
        <v>89</v>
      </c>
      <c r="O3172" s="263" t="s">
        <v>9920</v>
      </c>
      <c r="P3172" s="752">
        <v>3475.5</v>
      </c>
      <c r="Q3172" s="386"/>
      <c r="R3172" s="1407"/>
      <c r="S3172" s="1407"/>
      <c r="U3172" s="386"/>
      <c r="V3172" s="318" t="s">
        <v>5896</v>
      </c>
      <c r="W3172" s="747">
        <v>42648</v>
      </c>
      <c r="X3172" s="1083">
        <v>42618</v>
      </c>
      <c r="Y3172" s="263" t="s">
        <v>9921</v>
      </c>
      <c r="Z3172" s="1086">
        <v>101895</v>
      </c>
      <c r="AA3172" s="811">
        <v>42650</v>
      </c>
      <c r="AB3172" s="318" t="s">
        <v>9918</v>
      </c>
      <c r="AD3172" s="1092"/>
      <c r="AE3172" s="1103"/>
      <c r="AF3172" s="1092"/>
      <c r="AG3172" s="386" t="s">
        <v>283</v>
      </c>
    </row>
    <row r="3173" spans="1:33" ht="15.75" customHeight="1">
      <c r="A3173" s="755">
        <v>42611</v>
      </c>
      <c r="B3173" s="338" t="s">
        <v>228</v>
      </c>
      <c r="C3173" s="263"/>
      <c r="D3173" s="318" t="s">
        <v>9922</v>
      </c>
      <c r="E3173" s="571" t="s">
        <v>461</v>
      </c>
      <c r="F3173" s="752">
        <v>40</v>
      </c>
      <c r="G3173" s="574">
        <v>449.4</v>
      </c>
      <c r="H3173" s="265">
        <f t="shared" si="196"/>
        <v>17976</v>
      </c>
      <c r="I3173" s="264" t="s">
        <v>170</v>
      </c>
      <c r="J3173" s="331" t="s">
        <v>89</v>
      </c>
      <c r="K3173" s="256">
        <v>42625</v>
      </c>
      <c r="L3173" s="1477"/>
      <c r="M3173" s="386"/>
      <c r="N3173" s="331" t="s">
        <v>89</v>
      </c>
      <c r="O3173" s="263" t="s">
        <v>9923</v>
      </c>
      <c r="P3173" s="752">
        <v>16254</v>
      </c>
      <c r="Q3173" s="386"/>
      <c r="R3173" s="1407"/>
      <c r="S3173" s="1407"/>
      <c r="U3173" s="386"/>
      <c r="V3173" s="318" t="s">
        <v>5896</v>
      </c>
      <c r="W3173" s="998"/>
      <c r="X3173" s="1083">
        <v>42622</v>
      </c>
      <c r="Y3173" s="263" t="s">
        <v>9924</v>
      </c>
      <c r="Z3173" s="1086">
        <v>570113</v>
      </c>
      <c r="AA3173" s="811">
        <v>42678</v>
      </c>
      <c r="AB3173" s="318" t="s">
        <v>9925</v>
      </c>
      <c r="AD3173" s="318" t="s">
        <v>9926</v>
      </c>
      <c r="AE3173" s="1100">
        <v>662550</v>
      </c>
      <c r="AF3173" s="338" t="s">
        <v>9927</v>
      </c>
      <c r="AG3173" s="1091"/>
    </row>
    <row r="3174" spans="1:33" ht="15.75" customHeight="1">
      <c r="A3174" s="755">
        <v>42611</v>
      </c>
      <c r="B3174" s="338" t="s">
        <v>228</v>
      </c>
      <c r="C3174" s="263"/>
      <c r="D3174" s="318" t="s">
        <v>9922</v>
      </c>
      <c r="E3174" s="592" t="s">
        <v>3604</v>
      </c>
      <c r="F3174" s="752">
        <v>9</v>
      </c>
      <c r="G3174" s="752">
        <v>336</v>
      </c>
      <c r="H3174" s="265">
        <f t="shared" si="196"/>
        <v>3024</v>
      </c>
      <c r="I3174" s="264" t="s">
        <v>170</v>
      </c>
      <c r="J3174" s="331" t="s">
        <v>89</v>
      </c>
      <c r="K3174" s="256">
        <v>42625</v>
      </c>
      <c r="L3174" s="1477"/>
      <c r="M3174" s="386"/>
      <c r="N3174" s="331" t="s">
        <v>89</v>
      </c>
      <c r="O3174" s="263" t="s">
        <v>9923</v>
      </c>
      <c r="P3174" s="752">
        <v>2712.15</v>
      </c>
      <c r="Q3174" s="386"/>
      <c r="R3174" s="1407"/>
      <c r="S3174" s="1407"/>
      <c r="U3174" s="386"/>
      <c r="V3174" s="318" t="s">
        <v>5896</v>
      </c>
      <c r="W3174" s="998"/>
      <c r="X3174" s="1083">
        <v>42622</v>
      </c>
      <c r="Y3174" s="263" t="s">
        <v>9924</v>
      </c>
      <c r="Z3174" s="254" t="s">
        <v>9928</v>
      </c>
      <c r="AA3174" s="811">
        <v>42678</v>
      </c>
      <c r="AB3174" s="318" t="s">
        <v>9925</v>
      </c>
      <c r="AD3174" s="318" t="s">
        <v>9926</v>
      </c>
      <c r="AE3174" s="1100" t="s">
        <v>9929</v>
      </c>
      <c r="AF3174" s="338" t="s">
        <v>9927</v>
      </c>
      <c r="AG3174" s="1091"/>
    </row>
    <row r="3175" spans="1:33" ht="15.75" customHeight="1">
      <c r="A3175" s="755">
        <v>42612</v>
      </c>
      <c r="B3175" s="338" t="s">
        <v>5931</v>
      </c>
      <c r="C3175" s="263">
        <v>803740</v>
      </c>
      <c r="D3175" s="318" t="s">
        <v>9930</v>
      </c>
      <c r="E3175" s="338" t="s">
        <v>9931</v>
      </c>
      <c r="F3175" s="752">
        <v>1</v>
      </c>
      <c r="G3175" s="752">
        <v>81</v>
      </c>
      <c r="H3175" s="265">
        <f>F3175*G3175</f>
        <v>81</v>
      </c>
      <c r="I3175" s="1029" t="s">
        <v>3315</v>
      </c>
      <c r="J3175" s="331" t="s">
        <v>5934</v>
      </c>
      <c r="K3175" s="811">
        <v>42627</v>
      </c>
      <c r="L3175" s="1477"/>
      <c r="M3175" s="811">
        <v>42626</v>
      </c>
      <c r="N3175" s="331" t="s">
        <v>9932</v>
      </c>
      <c r="O3175" s="263" t="s">
        <v>9933</v>
      </c>
      <c r="P3175" s="752"/>
      <c r="Q3175" s="318">
        <v>2149</v>
      </c>
      <c r="R3175" s="1410"/>
      <c r="S3175" s="1410"/>
      <c r="U3175" s="386"/>
      <c r="V3175" s="318" t="s">
        <v>9934</v>
      </c>
      <c r="W3175" s="1090"/>
      <c r="X3175" s="1083">
        <v>42622</v>
      </c>
      <c r="Y3175" s="263" t="s">
        <v>9935</v>
      </c>
      <c r="Z3175" s="1086">
        <v>2149</v>
      </c>
      <c r="AA3175" s="811">
        <v>42622</v>
      </c>
      <c r="AB3175" s="318" t="s">
        <v>9936</v>
      </c>
      <c r="AD3175" s="1092"/>
      <c r="AE3175" s="1103"/>
      <c r="AF3175" s="1092"/>
      <c r="AG3175" s="1091" t="s">
        <v>283</v>
      </c>
    </row>
    <row r="3176" spans="1:33" ht="15.75" customHeight="1">
      <c r="A3176" s="755">
        <v>42612</v>
      </c>
      <c r="B3176" s="338" t="s">
        <v>5931</v>
      </c>
      <c r="C3176" s="263">
        <v>803740</v>
      </c>
      <c r="D3176" s="318" t="s">
        <v>9930</v>
      </c>
      <c r="E3176" s="338" t="s">
        <v>692</v>
      </c>
      <c r="F3176" s="752">
        <v>1</v>
      </c>
      <c r="G3176" s="752">
        <v>25</v>
      </c>
      <c r="H3176" s="265">
        <f>G3176*F3176</f>
        <v>25</v>
      </c>
      <c r="I3176" s="1029" t="s">
        <v>3315</v>
      </c>
      <c r="J3176" s="331" t="s">
        <v>5934</v>
      </c>
      <c r="K3176" s="811">
        <v>42627</v>
      </c>
      <c r="L3176" s="1477"/>
      <c r="M3176" s="386"/>
      <c r="N3176" s="331"/>
      <c r="O3176" s="263"/>
      <c r="P3176" s="752"/>
      <c r="Q3176" s="386"/>
      <c r="R3176" s="1407"/>
      <c r="S3176" s="1407"/>
      <c r="U3176" s="386"/>
      <c r="V3176" s="318"/>
      <c r="W3176" s="1090"/>
      <c r="X3176" s="263" t="s">
        <v>5529</v>
      </c>
      <c r="Y3176" s="263" t="s">
        <v>5529</v>
      </c>
      <c r="Z3176" s="263" t="s">
        <v>5529</v>
      </c>
      <c r="AA3176" s="811"/>
      <c r="AB3176" s="318" t="s">
        <v>9936</v>
      </c>
      <c r="AD3176" s="1092"/>
      <c r="AE3176" s="1103"/>
      <c r="AF3176" s="1092"/>
      <c r="AG3176" s="1091" t="s">
        <v>283</v>
      </c>
    </row>
    <row r="3177" spans="1:33" ht="15.75" customHeight="1">
      <c r="A3177" s="755">
        <v>42614</v>
      </c>
      <c r="B3177" s="338" t="s">
        <v>9068</v>
      </c>
      <c r="C3177" s="263">
        <v>310816</v>
      </c>
      <c r="D3177" s="318" t="s">
        <v>9937</v>
      </c>
      <c r="E3177" s="338" t="s">
        <v>9938</v>
      </c>
      <c r="F3177" s="752">
        <v>8</v>
      </c>
      <c r="G3177" s="752">
        <v>17</v>
      </c>
      <c r="H3177" s="265">
        <f t="shared" ref="H3177:H3179" si="197">F3177*G3177</f>
        <v>136</v>
      </c>
      <c r="I3177" s="1029" t="s">
        <v>3315</v>
      </c>
      <c r="J3177" s="331" t="s">
        <v>5810</v>
      </c>
      <c r="K3177" s="811">
        <v>42627</v>
      </c>
      <c r="L3177" s="1477"/>
      <c r="M3177" s="811">
        <v>42626</v>
      </c>
      <c r="N3177" s="331" t="s">
        <v>9392</v>
      </c>
      <c r="O3177" s="263" t="s">
        <v>9939</v>
      </c>
      <c r="P3177" s="752"/>
      <c r="Q3177" s="318">
        <v>3998</v>
      </c>
      <c r="R3177" s="1410"/>
      <c r="S3177" s="1410"/>
      <c r="U3177" s="386"/>
      <c r="V3177" s="318" t="s">
        <v>2089</v>
      </c>
      <c r="W3177" s="1096">
        <v>42621</v>
      </c>
      <c r="X3177" s="1083">
        <v>42625</v>
      </c>
      <c r="Y3177" s="263" t="s">
        <v>9940</v>
      </c>
      <c r="Z3177" s="1086">
        <v>3998</v>
      </c>
      <c r="AA3177" s="811">
        <v>42619</v>
      </c>
      <c r="AB3177" s="318" t="s">
        <v>9941</v>
      </c>
      <c r="AD3177" s="1092"/>
      <c r="AE3177" s="1103"/>
      <c r="AF3177" s="1092"/>
      <c r="AG3177" s="386" t="s">
        <v>283</v>
      </c>
    </row>
    <row r="3178" spans="1:33" ht="15.75" customHeight="1">
      <c r="A3178" s="755">
        <v>42614</v>
      </c>
      <c r="B3178" s="338" t="s">
        <v>9068</v>
      </c>
      <c r="C3178" s="263">
        <v>310816</v>
      </c>
      <c r="D3178" s="318" t="s">
        <v>9937</v>
      </c>
      <c r="E3178" s="338" t="s">
        <v>692</v>
      </c>
      <c r="F3178" s="752">
        <v>1</v>
      </c>
      <c r="G3178" s="752">
        <v>25</v>
      </c>
      <c r="H3178" s="265">
        <f t="shared" si="197"/>
        <v>25</v>
      </c>
      <c r="I3178" s="254" t="s">
        <v>3315</v>
      </c>
      <c r="J3178" s="331" t="s">
        <v>5810</v>
      </c>
      <c r="K3178" s="811">
        <v>42627</v>
      </c>
      <c r="L3178" s="1477"/>
      <c r="M3178" s="386"/>
      <c r="N3178" s="331"/>
      <c r="O3178" s="263" t="s">
        <v>9939</v>
      </c>
      <c r="P3178" s="752"/>
      <c r="Q3178" s="386"/>
      <c r="R3178" s="1407"/>
      <c r="S3178" s="1407"/>
      <c r="U3178" s="386"/>
      <c r="V3178" s="318"/>
      <c r="W3178" s="1090"/>
      <c r="X3178" s="263" t="s">
        <v>5529</v>
      </c>
      <c r="Y3178" s="263" t="s">
        <v>5529</v>
      </c>
      <c r="Z3178" s="263" t="s">
        <v>5529</v>
      </c>
      <c r="AA3178" s="811"/>
      <c r="AB3178" s="318" t="s">
        <v>9941</v>
      </c>
      <c r="AD3178" s="1092"/>
      <c r="AE3178" s="1103"/>
      <c r="AF3178" s="1092"/>
      <c r="AG3178" s="386" t="s">
        <v>283</v>
      </c>
    </row>
    <row r="3179" spans="1:33" ht="15.75" customHeight="1">
      <c r="A3179" s="755">
        <v>42614</v>
      </c>
      <c r="B3179" s="338" t="s">
        <v>9068</v>
      </c>
      <c r="C3179" s="263">
        <v>310816</v>
      </c>
      <c r="D3179" s="318" t="s">
        <v>9937</v>
      </c>
      <c r="E3179" s="338" t="s">
        <v>9942</v>
      </c>
      <c r="F3179" s="752">
        <v>1</v>
      </c>
      <c r="G3179" s="752">
        <v>50</v>
      </c>
      <c r="H3179" s="265">
        <f t="shared" si="197"/>
        <v>50</v>
      </c>
      <c r="I3179" s="254" t="s">
        <v>3315</v>
      </c>
      <c r="J3179" s="331" t="s">
        <v>5810</v>
      </c>
      <c r="K3179" s="811">
        <v>42627</v>
      </c>
      <c r="L3179" s="1477"/>
      <c r="M3179" s="386"/>
      <c r="N3179" s="331" t="s">
        <v>1999</v>
      </c>
      <c r="O3179" s="263" t="s">
        <v>9939</v>
      </c>
      <c r="P3179" s="752"/>
      <c r="Q3179" s="1100">
        <v>2171</v>
      </c>
      <c r="R3179" s="1415"/>
      <c r="S3179" s="1415"/>
      <c r="U3179" s="386"/>
      <c r="V3179" s="318" t="s">
        <v>2000</v>
      </c>
      <c r="W3179" s="1096">
        <v>42666</v>
      </c>
      <c r="X3179" s="1083">
        <v>42636</v>
      </c>
      <c r="Y3179" s="263" t="s">
        <v>9943</v>
      </c>
      <c r="Z3179" s="254" t="s">
        <v>9944</v>
      </c>
      <c r="AA3179" s="811">
        <v>42662</v>
      </c>
      <c r="AB3179" s="318" t="s">
        <v>9941</v>
      </c>
      <c r="AD3179" s="1092"/>
      <c r="AE3179" s="1103"/>
      <c r="AF3179" s="1092"/>
      <c r="AG3179" s="386" t="s">
        <v>283</v>
      </c>
    </row>
    <row r="3180" spans="1:33" ht="15.75" customHeight="1">
      <c r="A3180" s="755">
        <v>42615</v>
      </c>
      <c r="B3180" s="338" t="s">
        <v>100</v>
      </c>
      <c r="C3180" s="263" t="s">
        <v>9945</v>
      </c>
      <c r="D3180" s="318" t="s">
        <v>9946</v>
      </c>
      <c r="E3180" s="308" t="s">
        <v>8714</v>
      </c>
      <c r="F3180" s="571">
        <v>2</v>
      </c>
      <c r="G3180" s="571">
        <v>575</v>
      </c>
      <c r="H3180" s="265">
        <f t="shared" ref="H3180:H3186" si="198">G3180*F3180</f>
        <v>1150</v>
      </c>
      <c r="I3180" s="264" t="s">
        <v>3315</v>
      </c>
      <c r="J3180" s="331" t="s">
        <v>5842</v>
      </c>
      <c r="K3180" s="811">
        <v>42627</v>
      </c>
      <c r="L3180" s="1477"/>
      <c r="M3180" s="811">
        <v>42627</v>
      </c>
      <c r="N3180" s="331" t="s">
        <v>1414</v>
      </c>
      <c r="O3180" s="263" t="s">
        <v>9947</v>
      </c>
      <c r="P3180" s="752"/>
      <c r="Q3180" s="318">
        <v>33947</v>
      </c>
      <c r="R3180" s="1410"/>
      <c r="S3180" s="1410"/>
      <c r="U3180" s="386"/>
      <c r="V3180" s="318" t="s">
        <v>1947</v>
      </c>
      <c r="W3180" s="1096">
        <v>42648</v>
      </c>
      <c r="X3180" s="1083">
        <v>42625</v>
      </c>
      <c r="Y3180" s="263" t="s">
        <v>9948</v>
      </c>
      <c r="Z3180" s="1086">
        <v>39936</v>
      </c>
      <c r="AA3180" s="811">
        <v>42649</v>
      </c>
      <c r="AB3180" s="318" t="s">
        <v>9949</v>
      </c>
      <c r="AD3180" s="1092"/>
      <c r="AE3180" s="1103"/>
      <c r="AF3180" s="1092"/>
      <c r="AG3180" s="386" t="s">
        <v>283</v>
      </c>
    </row>
    <row r="3181" spans="1:33" ht="15.75" customHeight="1">
      <c r="A3181" s="755">
        <v>42615</v>
      </c>
      <c r="B3181" s="338" t="s">
        <v>100</v>
      </c>
      <c r="C3181" s="263" t="s">
        <v>9945</v>
      </c>
      <c r="D3181" s="318" t="s">
        <v>9946</v>
      </c>
      <c r="E3181" s="571" t="s">
        <v>9519</v>
      </c>
      <c r="F3181" s="571">
        <v>2</v>
      </c>
      <c r="G3181" s="571">
        <v>380</v>
      </c>
      <c r="H3181" s="265">
        <f t="shared" si="198"/>
        <v>760</v>
      </c>
      <c r="I3181" s="264" t="s">
        <v>3315</v>
      </c>
      <c r="J3181" s="331" t="s">
        <v>5842</v>
      </c>
      <c r="K3181" s="811">
        <v>42627</v>
      </c>
      <c r="L3181" s="1477"/>
      <c r="M3181" s="811">
        <v>42620</v>
      </c>
      <c r="N3181" s="331" t="s">
        <v>9520</v>
      </c>
      <c r="O3181" s="263" t="s">
        <v>9950</v>
      </c>
      <c r="P3181" s="752"/>
      <c r="Q3181" s="318">
        <v>23629</v>
      </c>
      <c r="R3181" s="1410"/>
      <c r="S3181" s="1410"/>
      <c r="U3181" s="386"/>
      <c r="V3181" s="308" t="s">
        <v>9522</v>
      </c>
      <c r="W3181" s="1096">
        <v>42674</v>
      </c>
      <c r="X3181" s="1083">
        <v>42618</v>
      </c>
      <c r="Y3181" s="263" t="s">
        <v>9951</v>
      </c>
      <c r="Z3181" s="1086">
        <v>23629</v>
      </c>
      <c r="AA3181" s="811">
        <v>42671</v>
      </c>
      <c r="AB3181" s="318" t="s">
        <v>9949</v>
      </c>
      <c r="AD3181" s="1092"/>
      <c r="AE3181" s="1103"/>
      <c r="AF3181" s="1092"/>
      <c r="AG3181" s="386" t="s">
        <v>283</v>
      </c>
    </row>
    <row r="3182" spans="1:33" ht="15.75" customHeight="1">
      <c r="A3182" s="755">
        <v>42615</v>
      </c>
      <c r="B3182" s="338" t="s">
        <v>100</v>
      </c>
      <c r="C3182" s="263" t="s">
        <v>9945</v>
      </c>
      <c r="D3182" s="318" t="s">
        <v>9946</v>
      </c>
      <c r="E3182" s="571" t="s">
        <v>6119</v>
      </c>
      <c r="F3182" s="571">
        <v>2</v>
      </c>
      <c r="G3182" s="571">
        <v>62</v>
      </c>
      <c r="H3182" s="265">
        <f t="shared" si="198"/>
        <v>124</v>
      </c>
      <c r="I3182" s="264" t="s">
        <v>3315</v>
      </c>
      <c r="J3182" s="331" t="s">
        <v>5842</v>
      </c>
      <c r="K3182" s="811">
        <v>42627</v>
      </c>
      <c r="L3182" s="1477"/>
      <c r="M3182" s="811">
        <v>42621</v>
      </c>
      <c r="N3182" s="331" t="s">
        <v>6735</v>
      </c>
      <c r="O3182" s="263" t="s">
        <v>9952</v>
      </c>
      <c r="P3182" s="752"/>
      <c r="Q3182" s="318">
        <v>2169</v>
      </c>
      <c r="R3182" s="1410"/>
      <c r="S3182" s="1410"/>
      <c r="U3182" s="386"/>
      <c r="V3182" s="318" t="s">
        <v>2126</v>
      </c>
      <c r="W3182" s="752" t="s">
        <v>9953</v>
      </c>
      <c r="X3182" s="1083">
        <v>42620</v>
      </c>
      <c r="Y3182" s="263" t="s">
        <v>9954</v>
      </c>
      <c r="Z3182" s="1086">
        <v>2169</v>
      </c>
      <c r="AA3182" s="811">
        <v>42619</v>
      </c>
      <c r="AB3182" s="318" t="s">
        <v>9949</v>
      </c>
      <c r="AD3182" s="1092"/>
      <c r="AE3182" s="1103"/>
      <c r="AF3182" s="1092"/>
      <c r="AG3182" s="386" t="s">
        <v>283</v>
      </c>
    </row>
    <row r="3183" spans="1:33" ht="15.75" customHeight="1">
      <c r="A3183" s="755">
        <v>42615</v>
      </c>
      <c r="B3183" s="338" t="s">
        <v>100</v>
      </c>
      <c r="C3183" s="263" t="s">
        <v>9945</v>
      </c>
      <c r="D3183" s="318" t="s">
        <v>9946</v>
      </c>
      <c r="E3183" s="571" t="s">
        <v>9526</v>
      </c>
      <c r="F3183" s="571">
        <v>2</v>
      </c>
      <c r="G3183" s="571">
        <v>94</v>
      </c>
      <c r="H3183" s="265">
        <f t="shared" si="198"/>
        <v>188</v>
      </c>
      <c r="I3183" s="264" t="s">
        <v>3315</v>
      </c>
      <c r="J3183" s="331" t="s">
        <v>5842</v>
      </c>
      <c r="K3183" s="811">
        <v>42627</v>
      </c>
      <c r="L3183" s="1477"/>
      <c r="M3183" s="811">
        <v>42621</v>
      </c>
      <c r="N3183" s="331" t="s">
        <v>6735</v>
      </c>
      <c r="O3183" s="263" t="s">
        <v>9952</v>
      </c>
      <c r="P3183" s="752"/>
      <c r="Q3183" s="318">
        <v>5198</v>
      </c>
      <c r="R3183" s="1410"/>
      <c r="S3183" s="1410"/>
      <c r="U3183" s="386"/>
      <c r="V3183" s="318" t="s">
        <v>2126</v>
      </c>
      <c r="W3183" s="752" t="s">
        <v>9953</v>
      </c>
      <c r="X3183" s="1083">
        <v>42620</v>
      </c>
      <c r="Y3183" s="263" t="s">
        <v>9954</v>
      </c>
      <c r="Z3183" s="1086">
        <v>5198</v>
      </c>
      <c r="AA3183" s="811">
        <v>42619</v>
      </c>
      <c r="AB3183" s="318" t="s">
        <v>9949</v>
      </c>
      <c r="AD3183" s="1092"/>
      <c r="AE3183" s="1103"/>
      <c r="AF3183" s="1092"/>
      <c r="AG3183" s="386" t="s">
        <v>283</v>
      </c>
    </row>
    <row r="3184" spans="1:33" ht="15.75" customHeight="1">
      <c r="A3184" s="755">
        <v>42615</v>
      </c>
      <c r="B3184" s="338" t="s">
        <v>100</v>
      </c>
      <c r="C3184" s="263" t="s">
        <v>9945</v>
      </c>
      <c r="D3184" s="318" t="s">
        <v>9946</v>
      </c>
      <c r="E3184" s="571" t="s">
        <v>6109</v>
      </c>
      <c r="F3184" s="571">
        <v>2</v>
      </c>
      <c r="G3184" s="571">
        <v>38</v>
      </c>
      <c r="H3184" s="265">
        <f t="shared" si="198"/>
        <v>76</v>
      </c>
      <c r="I3184" s="264" t="s">
        <v>3315</v>
      </c>
      <c r="J3184" s="331" t="s">
        <v>5842</v>
      </c>
      <c r="K3184" s="811">
        <v>42627</v>
      </c>
      <c r="L3184" s="1477"/>
      <c r="M3184" s="811">
        <v>42627</v>
      </c>
      <c r="N3184" s="331" t="s">
        <v>1414</v>
      </c>
      <c r="O3184" s="263" t="s">
        <v>9955</v>
      </c>
      <c r="P3184" s="752"/>
      <c r="Q3184" s="318">
        <v>2329</v>
      </c>
      <c r="R3184" s="1410"/>
      <c r="S3184" s="1410"/>
      <c r="U3184" s="386"/>
      <c r="V3184" s="318" t="s">
        <v>1947</v>
      </c>
      <c r="W3184" s="1096">
        <v>42648</v>
      </c>
      <c r="X3184" s="1083">
        <v>42625</v>
      </c>
      <c r="Y3184" s="263" t="s">
        <v>9948</v>
      </c>
      <c r="Z3184" s="1086" t="s">
        <v>9956</v>
      </c>
      <c r="AA3184" s="811">
        <v>42649</v>
      </c>
      <c r="AB3184" s="318" t="s">
        <v>9949</v>
      </c>
      <c r="AD3184" s="1092"/>
      <c r="AE3184" s="1103"/>
      <c r="AF3184" s="1092"/>
      <c r="AG3184" s="386" t="s">
        <v>283</v>
      </c>
    </row>
    <row r="3185" spans="1:33" ht="15.75" customHeight="1">
      <c r="A3185" s="755">
        <v>42615</v>
      </c>
      <c r="B3185" s="338" t="s">
        <v>100</v>
      </c>
      <c r="C3185" s="263" t="s">
        <v>9945</v>
      </c>
      <c r="D3185" s="318" t="s">
        <v>9946</v>
      </c>
      <c r="E3185" s="571" t="s">
        <v>6110</v>
      </c>
      <c r="F3185" s="571">
        <v>2</v>
      </c>
      <c r="G3185" s="571">
        <v>60</v>
      </c>
      <c r="H3185" s="265">
        <f t="shared" si="198"/>
        <v>120</v>
      </c>
      <c r="I3185" s="264" t="s">
        <v>3315</v>
      </c>
      <c r="J3185" s="331" t="s">
        <v>5842</v>
      </c>
      <c r="K3185" s="811">
        <v>42627</v>
      </c>
      <c r="L3185" s="1477"/>
      <c r="M3185" s="811">
        <v>42627</v>
      </c>
      <c r="N3185" s="331" t="s">
        <v>1414</v>
      </c>
      <c r="O3185" s="263" t="s">
        <v>9955</v>
      </c>
      <c r="P3185" s="752"/>
      <c r="Q3185" s="318">
        <v>3660</v>
      </c>
      <c r="R3185" s="1410"/>
      <c r="S3185" s="1410"/>
      <c r="U3185" s="386"/>
      <c r="V3185" s="318" t="s">
        <v>1947</v>
      </c>
      <c r="W3185" s="1096">
        <v>42648</v>
      </c>
      <c r="X3185" s="1083">
        <v>42625</v>
      </c>
      <c r="Y3185" s="263" t="s">
        <v>9948</v>
      </c>
      <c r="Z3185" s="1086" t="s">
        <v>9956</v>
      </c>
      <c r="AA3185" s="811">
        <v>42649</v>
      </c>
      <c r="AB3185" s="318" t="s">
        <v>9949</v>
      </c>
      <c r="AD3185" s="1092"/>
      <c r="AE3185" s="1103"/>
      <c r="AF3185" s="1092"/>
      <c r="AG3185" s="386" t="s">
        <v>283</v>
      </c>
    </row>
    <row r="3186" spans="1:33" ht="15.75" customHeight="1">
      <c r="A3186" s="755">
        <v>42615</v>
      </c>
      <c r="B3186" s="338" t="s">
        <v>100</v>
      </c>
      <c r="C3186" s="263" t="s">
        <v>9945</v>
      </c>
      <c r="D3186" s="318" t="s">
        <v>9946</v>
      </c>
      <c r="E3186" s="338" t="s">
        <v>9957</v>
      </c>
      <c r="F3186" s="752">
        <v>1</v>
      </c>
      <c r="G3186" s="752">
        <v>134</v>
      </c>
      <c r="H3186" s="265">
        <f t="shared" si="198"/>
        <v>134</v>
      </c>
      <c r="I3186" s="264" t="s">
        <v>3315</v>
      </c>
      <c r="J3186" s="331" t="s">
        <v>5842</v>
      </c>
      <c r="K3186" s="811">
        <v>42627</v>
      </c>
      <c r="L3186" s="1477"/>
      <c r="M3186" s="386"/>
      <c r="N3186" s="331" t="s">
        <v>1999</v>
      </c>
      <c r="O3186" s="263"/>
      <c r="P3186" s="752"/>
      <c r="Q3186" s="1100">
        <v>4446</v>
      </c>
      <c r="R3186" s="1415"/>
      <c r="S3186" s="1415"/>
      <c r="U3186" s="386"/>
      <c r="V3186" s="318" t="s">
        <v>2000</v>
      </c>
      <c r="W3186" s="1096">
        <v>42666</v>
      </c>
      <c r="X3186" s="1083">
        <v>42636</v>
      </c>
      <c r="Y3186" s="263" t="s">
        <v>9943</v>
      </c>
      <c r="Z3186" s="1086">
        <v>6617</v>
      </c>
      <c r="AA3186" s="811">
        <v>42662</v>
      </c>
      <c r="AB3186" s="318" t="s">
        <v>9949</v>
      </c>
      <c r="AD3186" s="1092"/>
      <c r="AE3186" s="1103"/>
      <c r="AF3186" s="1092"/>
      <c r="AG3186" s="386" t="s">
        <v>283</v>
      </c>
    </row>
    <row r="3187" spans="1:33" ht="15.75" customHeight="1">
      <c r="A3187" s="755">
        <v>42619</v>
      </c>
      <c r="B3187" s="338" t="s">
        <v>4903</v>
      </c>
      <c r="C3187" s="263" t="s">
        <v>9958</v>
      </c>
      <c r="D3187" s="318" t="s">
        <v>9959</v>
      </c>
      <c r="E3187" s="338" t="s">
        <v>9960</v>
      </c>
      <c r="F3187" s="752">
        <v>3</v>
      </c>
      <c r="G3187" s="752">
        <v>173</v>
      </c>
      <c r="H3187" s="265">
        <f t="shared" ref="H3187:H3188" si="199">F3187*G3187</f>
        <v>519</v>
      </c>
      <c r="I3187" s="254" t="s">
        <v>3315</v>
      </c>
      <c r="J3187" s="331" t="s">
        <v>3588</v>
      </c>
      <c r="K3187" s="256">
        <v>42635</v>
      </c>
      <c r="L3187" s="1477"/>
      <c r="M3187" s="811">
        <v>42632</v>
      </c>
      <c r="N3187" s="331" t="s">
        <v>89</v>
      </c>
      <c r="O3187" s="263" t="s">
        <v>9961</v>
      </c>
      <c r="P3187" s="752">
        <v>491.4</v>
      </c>
      <c r="Q3187" s="386"/>
      <c r="R3187" s="1407"/>
      <c r="S3187" s="1407"/>
      <c r="U3187" s="386"/>
      <c r="V3187" s="318" t="s">
        <v>5896</v>
      </c>
      <c r="W3187" s="1096">
        <v>42648</v>
      </c>
      <c r="X3187" s="1083">
        <v>42632</v>
      </c>
      <c r="Y3187" s="263" t="s">
        <v>9962</v>
      </c>
      <c r="Z3187" s="1086">
        <v>15450</v>
      </c>
      <c r="AA3187" s="811">
        <v>42678</v>
      </c>
      <c r="AB3187" s="318" t="s">
        <v>9963</v>
      </c>
      <c r="AD3187" s="1092"/>
      <c r="AE3187" s="1103"/>
      <c r="AF3187" s="1092"/>
      <c r="AG3187" s="386" t="s">
        <v>283</v>
      </c>
    </row>
    <row r="3188" spans="1:33" ht="15.75" customHeight="1">
      <c r="A3188" s="755">
        <v>42619</v>
      </c>
      <c r="B3188" s="338" t="s">
        <v>4903</v>
      </c>
      <c r="C3188" s="263" t="s">
        <v>9958</v>
      </c>
      <c r="D3188" s="318" t="s">
        <v>9959</v>
      </c>
      <c r="E3188" s="338" t="s">
        <v>9756</v>
      </c>
      <c r="F3188" s="752">
        <v>2</v>
      </c>
      <c r="G3188" s="752">
        <v>582</v>
      </c>
      <c r="H3188" s="265">
        <f t="shared" si="199"/>
        <v>1164</v>
      </c>
      <c r="I3188" s="254" t="s">
        <v>3315</v>
      </c>
      <c r="J3188" s="331" t="s">
        <v>3588</v>
      </c>
      <c r="K3188" s="256">
        <v>42635</v>
      </c>
      <c r="L3188" s="1477"/>
      <c r="M3188" s="811">
        <v>42622</v>
      </c>
      <c r="N3188" s="331" t="s">
        <v>5935</v>
      </c>
      <c r="O3188" s="263" t="s">
        <v>9964</v>
      </c>
      <c r="P3188" s="752"/>
      <c r="Q3188" s="318">
        <v>36278</v>
      </c>
      <c r="R3188" s="1410"/>
      <c r="S3188" s="1410"/>
      <c r="U3188" s="386"/>
      <c r="V3188" s="318" t="s">
        <v>5937</v>
      </c>
      <c r="W3188" s="1096">
        <v>42678</v>
      </c>
      <c r="X3188" s="1083">
        <v>42621</v>
      </c>
      <c r="Y3188" s="263" t="s">
        <v>9965</v>
      </c>
      <c r="Z3188" s="1086">
        <v>36278</v>
      </c>
      <c r="AA3188" s="811">
        <v>42678</v>
      </c>
      <c r="AB3188" s="318" t="s">
        <v>9963</v>
      </c>
      <c r="AD3188" s="1092"/>
      <c r="AE3188" s="1103"/>
      <c r="AF3188" s="1092"/>
      <c r="AG3188" s="386" t="s">
        <v>283</v>
      </c>
    </row>
    <row r="3189" spans="1:33" ht="15.75" customHeight="1">
      <c r="A3189" s="755">
        <v>42621</v>
      </c>
      <c r="B3189" s="592" t="s">
        <v>53</v>
      </c>
      <c r="C3189" s="970" t="s">
        <v>9966</v>
      </c>
      <c r="D3189" s="308" t="s">
        <v>9967</v>
      </c>
      <c r="E3189" s="571" t="s">
        <v>3632</v>
      </c>
      <c r="F3189" s="329">
        <v>4</v>
      </c>
      <c r="G3189" s="252">
        <v>150.15</v>
      </c>
      <c r="H3189" s="571">
        <f>G3189*F3189</f>
        <v>600.6</v>
      </c>
      <c r="I3189" s="264" t="s">
        <v>8429</v>
      </c>
      <c r="J3189" s="401" t="s">
        <v>232</v>
      </c>
      <c r="K3189" s="811">
        <v>42640</v>
      </c>
      <c r="L3189" s="1477"/>
      <c r="M3189" s="386"/>
      <c r="N3189" s="331" t="s">
        <v>89</v>
      </c>
      <c r="O3189" s="263" t="s">
        <v>9968</v>
      </c>
      <c r="P3189" s="752">
        <v>537.6</v>
      </c>
      <c r="Q3189" s="386"/>
      <c r="R3189" s="1407"/>
      <c r="S3189" s="1407"/>
      <c r="U3189" s="386"/>
      <c r="V3189" s="318" t="s">
        <v>5896</v>
      </c>
      <c r="W3189" s="1096">
        <v>42709</v>
      </c>
      <c r="X3189" s="1083">
        <v>42639</v>
      </c>
      <c r="Y3189" s="263" t="s">
        <v>9969</v>
      </c>
      <c r="Z3189" s="1086">
        <v>17002</v>
      </c>
      <c r="AA3189" s="811">
        <v>42690</v>
      </c>
      <c r="AB3189" s="318" t="s">
        <v>9896</v>
      </c>
      <c r="AD3189" s="318" t="s">
        <v>9897</v>
      </c>
      <c r="AE3189" s="1100" t="s">
        <v>9970</v>
      </c>
      <c r="AF3189" s="338" t="s">
        <v>9898</v>
      </c>
      <c r="AG3189" s="1091"/>
    </row>
    <row r="3190" spans="1:33" ht="15.75" customHeight="1">
      <c r="A3190" s="755">
        <v>42621</v>
      </c>
      <c r="B3190" s="338" t="s">
        <v>100</v>
      </c>
      <c r="C3190" s="263" t="s">
        <v>9971</v>
      </c>
      <c r="D3190" s="318" t="s">
        <v>9972</v>
      </c>
      <c r="E3190" s="338" t="s">
        <v>9973</v>
      </c>
      <c r="F3190" s="752">
        <v>1</v>
      </c>
      <c r="G3190" s="752">
        <v>622</v>
      </c>
      <c r="H3190" s="571">
        <f>F3190*G3190</f>
        <v>622</v>
      </c>
      <c r="I3190" s="254" t="s">
        <v>3315</v>
      </c>
      <c r="J3190" s="331" t="s">
        <v>5842</v>
      </c>
      <c r="K3190" s="811">
        <v>42646</v>
      </c>
      <c r="L3190" s="1477"/>
      <c r="M3190" s="811">
        <v>42640</v>
      </c>
      <c r="N3190" s="331" t="s">
        <v>1995</v>
      </c>
      <c r="O3190" s="263" t="s">
        <v>9974</v>
      </c>
      <c r="P3190" s="752"/>
      <c r="Q3190" s="318">
        <v>16398</v>
      </c>
      <c r="R3190" s="1410"/>
      <c r="S3190" s="1410"/>
      <c r="U3190" s="386"/>
      <c r="V3190" s="338" t="s">
        <v>1997</v>
      </c>
      <c r="W3190" s="1096">
        <v>42639</v>
      </c>
      <c r="X3190" s="1083">
        <v>42639</v>
      </c>
      <c r="Y3190" s="263" t="s">
        <v>9975</v>
      </c>
      <c r="Z3190" s="1086">
        <v>34949</v>
      </c>
      <c r="AA3190" s="811">
        <v>42639</v>
      </c>
      <c r="AB3190" s="263" t="s">
        <v>9976</v>
      </c>
      <c r="AD3190" s="1092"/>
      <c r="AE3190" s="1103"/>
      <c r="AF3190" s="1092"/>
      <c r="AG3190" s="386" t="s">
        <v>283</v>
      </c>
    </row>
    <row r="3191" spans="1:33" ht="15.75" customHeight="1">
      <c r="A3191" s="755">
        <v>42621</v>
      </c>
      <c r="B3191" s="338" t="s">
        <v>100</v>
      </c>
      <c r="C3191" s="263" t="s">
        <v>9971</v>
      </c>
      <c r="D3191" s="318" t="s">
        <v>9972</v>
      </c>
      <c r="E3191" s="338" t="s">
        <v>3804</v>
      </c>
      <c r="F3191" s="752">
        <v>1</v>
      </c>
      <c r="G3191" s="752">
        <v>550</v>
      </c>
      <c r="H3191" s="571">
        <f t="shared" ref="H3191:H3230" si="200">G3191*F3191</f>
        <v>550</v>
      </c>
      <c r="I3191" s="254" t="s">
        <v>3315</v>
      </c>
      <c r="J3191" s="331" t="s">
        <v>5842</v>
      </c>
      <c r="K3191" s="811">
        <v>42646</v>
      </c>
      <c r="L3191" s="1477"/>
      <c r="M3191" s="811">
        <v>42640</v>
      </c>
      <c r="N3191" s="331" t="s">
        <v>1995</v>
      </c>
      <c r="O3191" s="263" t="s">
        <v>9974</v>
      </c>
      <c r="P3191" s="752"/>
      <c r="Q3191" s="318">
        <v>18551</v>
      </c>
      <c r="R3191" s="1410"/>
      <c r="S3191" s="1410"/>
      <c r="U3191" s="386"/>
      <c r="V3191" s="338" t="s">
        <v>1997</v>
      </c>
      <c r="W3191" s="1096">
        <v>42639</v>
      </c>
      <c r="X3191" s="1083">
        <v>42639</v>
      </c>
      <c r="Y3191" s="263" t="s">
        <v>9975</v>
      </c>
      <c r="Z3191" s="1086" t="s">
        <v>9977</v>
      </c>
      <c r="AA3191" s="811">
        <v>42639</v>
      </c>
      <c r="AB3191" s="263" t="s">
        <v>9976</v>
      </c>
      <c r="AD3191" s="1092"/>
      <c r="AE3191" s="1103"/>
      <c r="AF3191" s="1092"/>
      <c r="AG3191" s="386" t="s">
        <v>283</v>
      </c>
    </row>
    <row r="3192" spans="1:33" ht="15.75" customHeight="1">
      <c r="A3192" s="755">
        <v>42621</v>
      </c>
      <c r="B3192" s="338" t="s">
        <v>100</v>
      </c>
      <c r="C3192" s="263" t="s">
        <v>9971</v>
      </c>
      <c r="D3192" s="318" t="s">
        <v>9978</v>
      </c>
      <c r="E3192" s="338" t="s">
        <v>9979</v>
      </c>
      <c r="F3192" s="752">
        <v>2</v>
      </c>
      <c r="G3192" s="752">
        <v>47</v>
      </c>
      <c r="H3192" s="571">
        <f t="shared" si="200"/>
        <v>94</v>
      </c>
      <c r="I3192" s="254" t="s">
        <v>3315</v>
      </c>
      <c r="J3192" s="331" t="s">
        <v>5842</v>
      </c>
      <c r="K3192" s="811">
        <v>42646</v>
      </c>
      <c r="L3192" s="1477"/>
      <c r="M3192" s="811">
        <v>42632</v>
      </c>
      <c r="N3192" s="401" t="s">
        <v>9980</v>
      </c>
      <c r="O3192" s="263" t="s">
        <v>9981</v>
      </c>
      <c r="P3192" s="752"/>
      <c r="Q3192" s="318">
        <v>2474</v>
      </c>
      <c r="R3192" s="1410"/>
      <c r="S3192" s="1410"/>
      <c r="U3192" s="386"/>
      <c r="V3192" s="318" t="s">
        <v>2126</v>
      </c>
      <c r="W3192" s="752" t="s">
        <v>9833</v>
      </c>
      <c r="X3192" s="1083">
        <v>42627</v>
      </c>
      <c r="Y3192" s="263" t="s">
        <v>9982</v>
      </c>
      <c r="Z3192" s="1086">
        <v>2474</v>
      </c>
      <c r="AA3192" s="811">
        <v>42626</v>
      </c>
      <c r="AB3192" s="263" t="s">
        <v>9976</v>
      </c>
      <c r="AD3192" s="1092"/>
      <c r="AE3192" s="1103"/>
      <c r="AF3192" s="1092"/>
      <c r="AG3192" s="386" t="s">
        <v>283</v>
      </c>
    </row>
    <row r="3193" spans="1:33" ht="15.75" customHeight="1">
      <c r="A3193" s="755">
        <v>42621</v>
      </c>
      <c r="B3193" s="338" t="s">
        <v>100</v>
      </c>
      <c r="C3193" s="263" t="s">
        <v>9971</v>
      </c>
      <c r="D3193" s="318" t="s">
        <v>9978</v>
      </c>
      <c r="E3193" s="338" t="s">
        <v>6482</v>
      </c>
      <c r="F3193" s="752">
        <v>2</v>
      </c>
      <c r="G3193" s="752">
        <v>352</v>
      </c>
      <c r="H3193" s="571">
        <f t="shared" si="200"/>
        <v>704</v>
      </c>
      <c r="I3193" s="254" t="s">
        <v>3315</v>
      </c>
      <c r="J3193" s="331" t="s">
        <v>5842</v>
      </c>
      <c r="K3193" s="811">
        <v>42646</v>
      </c>
      <c r="L3193" s="1477"/>
      <c r="M3193" s="811">
        <v>42632</v>
      </c>
      <c r="N3193" s="331" t="s">
        <v>9983</v>
      </c>
      <c r="O3193" s="263" t="s">
        <v>9984</v>
      </c>
      <c r="P3193" s="752"/>
      <c r="Q3193" s="318">
        <v>18883</v>
      </c>
      <c r="R3193" s="1410"/>
      <c r="S3193" s="1410"/>
      <c r="U3193" s="386"/>
      <c r="V3193" s="318" t="s">
        <v>3754</v>
      </c>
      <c r="W3193" s="1096">
        <v>42626</v>
      </c>
      <c r="X3193" s="1083">
        <v>42627</v>
      </c>
      <c r="Y3193" s="263" t="s">
        <v>9985</v>
      </c>
      <c r="Z3193" s="1086">
        <v>18883</v>
      </c>
      <c r="AA3193" s="811">
        <v>42626</v>
      </c>
      <c r="AB3193" s="263" t="s">
        <v>9976</v>
      </c>
      <c r="AD3193" s="1092"/>
      <c r="AE3193" s="1103"/>
      <c r="AF3193" s="1092"/>
      <c r="AG3193" s="386" t="s">
        <v>283</v>
      </c>
    </row>
    <row r="3194" spans="1:33" ht="15.75" customHeight="1">
      <c r="A3194" s="755">
        <v>42621</v>
      </c>
      <c r="B3194" s="338" t="s">
        <v>100</v>
      </c>
      <c r="C3194" s="263" t="s">
        <v>9971</v>
      </c>
      <c r="D3194" s="318" t="s">
        <v>9978</v>
      </c>
      <c r="E3194" s="338" t="s">
        <v>9986</v>
      </c>
      <c r="F3194" s="752">
        <v>2</v>
      </c>
      <c r="G3194" s="752">
        <v>40</v>
      </c>
      <c r="H3194" s="571">
        <f t="shared" si="200"/>
        <v>80</v>
      </c>
      <c r="I3194" s="254" t="s">
        <v>3315</v>
      </c>
      <c r="J3194" s="331" t="s">
        <v>5842</v>
      </c>
      <c r="K3194" s="811">
        <v>42646</v>
      </c>
      <c r="L3194" s="1477"/>
      <c r="M3194" s="811">
        <v>42635</v>
      </c>
      <c r="N3194" s="331" t="s">
        <v>7298</v>
      </c>
      <c r="O3194" s="386" t="s">
        <v>3556</v>
      </c>
      <c r="P3194" s="752"/>
      <c r="Q3194" s="386"/>
      <c r="R3194" s="1407"/>
      <c r="S3194" s="1407"/>
      <c r="U3194" s="386"/>
      <c r="V3194" s="318"/>
      <c r="W3194" s="1090"/>
      <c r="X3194" s="386" t="s">
        <v>9987</v>
      </c>
      <c r="Y3194" s="386" t="s">
        <v>9987</v>
      </c>
      <c r="Z3194" s="386" t="s">
        <v>9987</v>
      </c>
      <c r="AA3194" s="811"/>
      <c r="AB3194" s="263" t="s">
        <v>9976</v>
      </c>
      <c r="AD3194" s="1092"/>
      <c r="AE3194" s="1103"/>
      <c r="AF3194" s="1092"/>
      <c r="AG3194" s="386" t="s">
        <v>283</v>
      </c>
    </row>
    <row r="3195" spans="1:33" ht="15.75" customHeight="1">
      <c r="A3195" s="755">
        <v>42621</v>
      </c>
      <c r="B3195" s="338" t="s">
        <v>100</v>
      </c>
      <c r="C3195" s="263" t="s">
        <v>9988</v>
      </c>
      <c r="D3195" s="318" t="s">
        <v>9989</v>
      </c>
      <c r="E3195" s="338" t="s">
        <v>3407</v>
      </c>
      <c r="F3195" s="752">
        <v>6</v>
      </c>
      <c r="G3195" s="752">
        <v>80</v>
      </c>
      <c r="H3195" s="571">
        <f t="shared" si="200"/>
        <v>480</v>
      </c>
      <c r="I3195" s="254" t="s">
        <v>3315</v>
      </c>
      <c r="J3195" s="331" t="s">
        <v>9990</v>
      </c>
      <c r="K3195" s="811">
        <v>42660</v>
      </c>
      <c r="L3195" s="1477"/>
      <c r="M3195" s="811">
        <v>42655</v>
      </c>
      <c r="N3195" s="331" t="s">
        <v>2001</v>
      </c>
      <c r="O3195" s="263" t="s">
        <v>9991</v>
      </c>
      <c r="P3195" s="752"/>
      <c r="Q3195" s="318">
        <v>15120</v>
      </c>
      <c r="R3195" s="1410"/>
      <c r="S3195" s="1410"/>
      <c r="U3195" s="386"/>
      <c r="V3195" s="318" t="s">
        <v>2003</v>
      </c>
      <c r="W3195" s="1096">
        <v>42709</v>
      </c>
      <c r="X3195" s="1083">
        <v>42655</v>
      </c>
      <c r="Y3195" s="263" t="s">
        <v>9992</v>
      </c>
      <c r="Z3195" s="1086">
        <v>48983</v>
      </c>
      <c r="AA3195" s="811">
        <v>42709</v>
      </c>
      <c r="AB3195" s="318" t="s">
        <v>9993</v>
      </c>
      <c r="AD3195" s="1092"/>
      <c r="AE3195" s="1103"/>
      <c r="AF3195" s="1092"/>
      <c r="AG3195" s="386" t="s">
        <v>283</v>
      </c>
    </row>
    <row r="3196" spans="1:33" ht="15.75" customHeight="1">
      <c r="A3196" s="755">
        <v>42621</v>
      </c>
      <c r="B3196" s="338" t="s">
        <v>100</v>
      </c>
      <c r="C3196" s="263" t="s">
        <v>9988</v>
      </c>
      <c r="D3196" s="318" t="s">
        <v>9989</v>
      </c>
      <c r="E3196" s="338" t="s">
        <v>3413</v>
      </c>
      <c r="F3196" s="752">
        <v>6</v>
      </c>
      <c r="G3196" s="752">
        <v>60</v>
      </c>
      <c r="H3196" s="571">
        <f t="shared" si="200"/>
        <v>360</v>
      </c>
      <c r="I3196" s="254" t="s">
        <v>3315</v>
      </c>
      <c r="J3196" s="331" t="s">
        <v>9990</v>
      </c>
      <c r="K3196" s="811">
        <v>42660</v>
      </c>
      <c r="L3196" s="1477"/>
      <c r="M3196" s="811">
        <v>42655</v>
      </c>
      <c r="N3196" s="331" t="s">
        <v>2001</v>
      </c>
      <c r="O3196" s="263" t="s">
        <v>9991</v>
      </c>
      <c r="P3196" s="752"/>
      <c r="Q3196" s="318">
        <v>11340</v>
      </c>
      <c r="R3196" s="1410"/>
      <c r="S3196" s="1410"/>
      <c r="U3196" s="386"/>
      <c r="V3196" s="318" t="s">
        <v>2003</v>
      </c>
      <c r="W3196" s="1096">
        <v>42709</v>
      </c>
      <c r="X3196" s="1083">
        <v>42655</v>
      </c>
      <c r="Y3196" s="263" t="s">
        <v>9992</v>
      </c>
      <c r="Z3196" s="1086" t="s">
        <v>9994</v>
      </c>
      <c r="AA3196" s="811">
        <v>42709</v>
      </c>
      <c r="AB3196" s="318" t="s">
        <v>9993</v>
      </c>
      <c r="AD3196" s="1092"/>
      <c r="AE3196" s="1103"/>
      <c r="AF3196" s="1092"/>
      <c r="AG3196" s="386" t="s">
        <v>283</v>
      </c>
    </row>
    <row r="3197" spans="1:33" ht="15.75" customHeight="1">
      <c r="A3197" s="755">
        <v>42621</v>
      </c>
      <c r="B3197" s="338" t="s">
        <v>100</v>
      </c>
      <c r="C3197" s="263" t="s">
        <v>9988</v>
      </c>
      <c r="D3197" s="318" t="s">
        <v>9989</v>
      </c>
      <c r="E3197" s="338" t="s">
        <v>3415</v>
      </c>
      <c r="F3197" s="752">
        <v>6</v>
      </c>
      <c r="G3197" s="752">
        <v>116</v>
      </c>
      <c r="H3197" s="571">
        <f t="shared" si="200"/>
        <v>696</v>
      </c>
      <c r="I3197" s="254" t="s">
        <v>3315</v>
      </c>
      <c r="J3197" s="331" t="s">
        <v>9990</v>
      </c>
      <c r="K3197" s="811">
        <v>42660</v>
      </c>
      <c r="L3197" s="1477"/>
      <c r="M3197" s="811">
        <v>42655</v>
      </c>
      <c r="N3197" s="331" t="s">
        <v>2001</v>
      </c>
      <c r="O3197" s="263" t="s">
        <v>9991</v>
      </c>
      <c r="P3197" s="752"/>
      <c r="Q3197" s="318">
        <v>22050</v>
      </c>
      <c r="R3197" s="1410"/>
      <c r="S3197" s="1410"/>
      <c r="U3197" s="386"/>
      <c r="V3197" s="318" t="s">
        <v>2003</v>
      </c>
      <c r="W3197" s="1096">
        <v>42709</v>
      </c>
      <c r="X3197" s="1083">
        <v>42655</v>
      </c>
      <c r="Y3197" s="263" t="s">
        <v>9992</v>
      </c>
      <c r="Z3197" s="1086" t="s">
        <v>9994</v>
      </c>
      <c r="AA3197" s="811">
        <v>42709</v>
      </c>
      <c r="AB3197" s="318" t="s">
        <v>9993</v>
      </c>
      <c r="AD3197" s="1092"/>
      <c r="AE3197" s="1103"/>
      <c r="AF3197" s="1092"/>
      <c r="AG3197" s="386" t="s">
        <v>283</v>
      </c>
    </row>
    <row r="3198" spans="1:33" ht="15.75" customHeight="1">
      <c r="A3198" s="755">
        <v>42621</v>
      </c>
      <c r="B3198" s="338" t="s">
        <v>100</v>
      </c>
      <c r="C3198" s="263" t="s">
        <v>9988</v>
      </c>
      <c r="D3198" s="318" t="s">
        <v>9989</v>
      </c>
      <c r="E3198" s="338" t="s">
        <v>3416</v>
      </c>
      <c r="F3198" s="752">
        <v>6</v>
      </c>
      <c r="G3198" s="752">
        <v>2</v>
      </c>
      <c r="H3198" s="571">
        <f t="shared" si="200"/>
        <v>12</v>
      </c>
      <c r="I3198" s="254" t="s">
        <v>3315</v>
      </c>
      <c r="J3198" s="331" t="s">
        <v>9990</v>
      </c>
      <c r="K3198" s="811">
        <v>42660</v>
      </c>
      <c r="L3198" s="1477"/>
      <c r="M3198" s="386"/>
      <c r="N3198" s="331"/>
      <c r="O3198" s="263" t="s">
        <v>6529</v>
      </c>
      <c r="P3198" s="752"/>
      <c r="Q3198" s="386"/>
      <c r="R3198" s="1407"/>
      <c r="S3198" s="1407"/>
      <c r="U3198" s="263"/>
      <c r="V3198" s="318"/>
      <c r="W3198" s="1090"/>
      <c r="X3198" s="263" t="s">
        <v>6529</v>
      </c>
      <c r="Y3198" s="263" t="s">
        <v>6529</v>
      </c>
      <c r="Z3198" s="263" t="s">
        <v>6529</v>
      </c>
      <c r="AA3198" s="811"/>
      <c r="AB3198" s="318" t="s">
        <v>9993</v>
      </c>
      <c r="AD3198" s="1092"/>
      <c r="AE3198" s="1103"/>
      <c r="AF3198" s="1092"/>
      <c r="AG3198" s="386" t="s">
        <v>283</v>
      </c>
    </row>
    <row r="3199" spans="1:33" ht="15.75" customHeight="1">
      <c r="A3199" s="755">
        <v>42621</v>
      </c>
      <c r="B3199" s="338" t="s">
        <v>100</v>
      </c>
      <c r="C3199" s="263" t="s">
        <v>9988</v>
      </c>
      <c r="D3199" s="318" t="s">
        <v>9989</v>
      </c>
      <c r="E3199" s="338" t="s">
        <v>3418</v>
      </c>
      <c r="F3199" s="752">
        <v>6</v>
      </c>
      <c r="G3199" s="752">
        <v>2.5</v>
      </c>
      <c r="H3199" s="571">
        <f t="shared" si="200"/>
        <v>15</v>
      </c>
      <c r="I3199" s="254" t="s">
        <v>3315</v>
      </c>
      <c r="J3199" s="331" t="s">
        <v>9990</v>
      </c>
      <c r="K3199" s="811">
        <v>42660</v>
      </c>
      <c r="L3199" s="1477"/>
      <c r="M3199" s="386"/>
      <c r="N3199" s="331"/>
      <c r="O3199" s="263" t="s">
        <v>6531</v>
      </c>
      <c r="P3199" s="752"/>
      <c r="Q3199" s="386"/>
      <c r="R3199" s="1407"/>
      <c r="S3199" s="1407"/>
      <c r="U3199" s="386"/>
      <c r="V3199" s="318"/>
      <c r="W3199" s="1090"/>
      <c r="X3199" s="386" t="s">
        <v>6531</v>
      </c>
      <c r="Y3199" s="386" t="s">
        <v>6531</v>
      </c>
      <c r="Z3199" s="386" t="s">
        <v>6531</v>
      </c>
      <c r="AA3199" s="811"/>
      <c r="AB3199" s="318" t="s">
        <v>9993</v>
      </c>
      <c r="AD3199" s="1092"/>
      <c r="AE3199" s="1103"/>
      <c r="AF3199" s="1092"/>
      <c r="AG3199" s="386" t="s">
        <v>283</v>
      </c>
    </row>
    <row r="3200" spans="1:33" ht="15.75" customHeight="1">
      <c r="A3200" s="755">
        <v>42621</v>
      </c>
      <c r="B3200" s="338" t="s">
        <v>100</v>
      </c>
      <c r="C3200" s="263" t="s">
        <v>9988</v>
      </c>
      <c r="D3200" s="318" t="s">
        <v>9989</v>
      </c>
      <c r="E3200" s="338" t="s">
        <v>3420</v>
      </c>
      <c r="F3200" s="752">
        <v>6</v>
      </c>
      <c r="G3200" s="752">
        <v>4</v>
      </c>
      <c r="H3200" s="571">
        <f t="shared" si="200"/>
        <v>24</v>
      </c>
      <c r="I3200" s="254" t="s">
        <v>3315</v>
      </c>
      <c r="J3200" s="331" t="s">
        <v>9990</v>
      </c>
      <c r="K3200" s="811">
        <v>42660</v>
      </c>
      <c r="L3200" s="1477"/>
      <c r="M3200" s="811">
        <v>42655</v>
      </c>
      <c r="N3200" s="331" t="s">
        <v>2001</v>
      </c>
      <c r="O3200" s="263" t="s">
        <v>9991</v>
      </c>
      <c r="P3200" s="752"/>
      <c r="Q3200" s="318">
        <v>473</v>
      </c>
      <c r="R3200" s="1410"/>
      <c r="S3200" s="1410"/>
      <c r="U3200" s="386"/>
      <c r="V3200" s="318" t="s">
        <v>2003</v>
      </c>
      <c r="W3200" s="1096">
        <v>42709</v>
      </c>
      <c r="X3200" s="1083">
        <v>42655</v>
      </c>
      <c r="Y3200" s="263" t="s">
        <v>9992</v>
      </c>
      <c r="Z3200" s="1086" t="s">
        <v>9994</v>
      </c>
      <c r="AA3200" s="811">
        <v>42709</v>
      </c>
      <c r="AB3200" s="318" t="s">
        <v>9993</v>
      </c>
      <c r="AD3200" s="1092"/>
      <c r="AE3200" s="1103"/>
      <c r="AF3200" s="1092"/>
      <c r="AG3200" s="386" t="s">
        <v>283</v>
      </c>
    </row>
    <row r="3201" spans="1:33" ht="15.75" customHeight="1">
      <c r="A3201" s="755">
        <v>42621</v>
      </c>
      <c r="B3201" s="338" t="s">
        <v>100</v>
      </c>
      <c r="C3201" s="263" t="s">
        <v>9988</v>
      </c>
      <c r="D3201" s="318" t="s">
        <v>9989</v>
      </c>
      <c r="E3201" s="338" t="s">
        <v>3421</v>
      </c>
      <c r="F3201" s="752">
        <v>6</v>
      </c>
      <c r="G3201" s="752">
        <v>8</v>
      </c>
      <c r="H3201" s="571">
        <f t="shared" si="200"/>
        <v>48</v>
      </c>
      <c r="I3201" s="254" t="s">
        <v>3315</v>
      </c>
      <c r="J3201" s="331" t="s">
        <v>9990</v>
      </c>
      <c r="K3201" s="811">
        <v>42660</v>
      </c>
      <c r="L3201" s="1477"/>
      <c r="M3201" s="811">
        <v>42657</v>
      </c>
      <c r="N3201" s="331" t="s">
        <v>8934</v>
      </c>
      <c r="O3201" s="263"/>
      <c r="P3201" s="752"/>
      <c r="Q3201" s="1129"/>
      <c r="R3201" s="1459"/>
      <c r="S3201" s="1459"/>
      <c r="U3201" s="386"/>
      <c r="V3201" s="318" t="s">
        <v>9462</v>
      </c>
      <c r="W3201" s="1090"/>
      <c r="X3201" s="263" t="s">
        <v>5529</v>
      </c>
      <c r="Y3201" s="263" t="s">
        <v>5529</v>
      </c>
      <c r="Z3201" s="263" t="s">
        <v>5529</v>
      </c>
      <c r="AA3201" s="811"/>
      <c r="AB3201" s="318" t="s">
        <v>9993</v>
      </c>
      <c r="AD3201" s="1091"/>
      <c r="AE3201" s="1091"/>
      <c r="AF3201" s="1091"/>
      <c r="AG3201" s="386" t="s">
        <v>283</v>
      </c>
    </row>
    <row r="3202" spans="1:33" ht="15.75" customHeight="1">
      <c r="A3202" s="755">
        <v>42621</v>
      </c>
      <c r="B3202" s="338" t="s">
        <v>100</v>
      </c>
      <c r="C3202" s="263" t="s">
        <v>9988</v>
      </c>
      <c r="D3202" s="318" t="s">
        <v>9989</v>
      </c>
      <c r="E3202" s="338" t="s">
        <v>9995</v>
      </c>
      <c r="F3202" s="386">
        <v>1</v>
      </c>
      <c r="G3202" s="386">
        <v>786</v>
      </c>
      <c r="H3202" s="571">
        <f t="shared" si="200"/>
        <v>786</v>
      </c>
      <c r="I3202" s="254" t="s">
        <v>3315</v>
      </c>
      <c r="J3202" s="331" t="s">
        <v>9990</v>
      </c>
      <c r="K3202" s="811">
        <v>42660</v>
      </c>
      <c r="L3202" s="1477"/>
      <c r="M3202" s="1093"/>
      <c r="N3202" s="585" t="s">
        <v>9996</v>
      </c>
      <c r="O3202" s="386"/>
      <c r="P3202" s="386"/>
      <c r="Q3202" s="1054">
        <v>21001</v>
      </c>
      <c r="R3202" s="1413"/>
      <c r="S3202" s="1413"/>
      <c r="U3202" s="386"/>
      <c r="V3202" s="318" t="s">
        <v>9997</v>
      </c>
      <c r="W3202" s="1096">
        <v>42679</v>
      </c>
      <c r="X3202" s="1083">
        <v>42667</v>
      </c>
      <c r="Y3202" s="318" t="s">
        <v>9998</v>
      </c>
      <c r="Z3202" s="1086">
        <v>21001</v>
      </c>
      <c r="AA3202" s="1099">
        <v>42678</v>
      </c>
      <c r="AB3202" s="318" t="s">
        <v>9993</v>
      </c>
      <c r="AD3202" s="386"/>
      <c r="AE3202" s="386"/>
      <c r="AF3202" s="386"/>
      <c r="AG3202" s="386" t="s">
        <v>283</v>
      </c>
    </row>
    <row r="3203" spans="1:33" ht="15.75" customHeight="1">
      <c r="A3203" s="755">
        <v>42621</v>
      </c>
      <c r="B3203" s="338" t="s">
        <v>8751</v>
      </c>
      <c r="C3203" s="263">
        <v>7000123957</v>
      </c>
      <c r="D3203" s="318" t="s">
        <v>9999</v>
      </c>
      <c r="E3203" s="338" t="s">
        <v>10000</v>
      </c>
      <c r="F3203" s="752">
        <v>1</v>
      </c>
      <c r="G3203" s="752">
        <v>485</v>
      </c>
      <c r="H3203" s="571">
        <f t="shared" si="200"/>
        <v>485</v>
      </c>
      <c r="I3203" s="254" t="s">
        <v>42</v>
      </c>
      <c r="J3203" s="756" t="s">
        <v>3462</v>
      </c>
      <c r="K3203" s="811">
        <v>42646</v>
      </c>
      <c r="L3203" s="1477"/>
      <c r="M3203" s="811">
        <v>42642</v>
      </c>
      <c r="N3203" s="585" t="s">
        <v>3432</v>
      </c>
      <c r="O3203" s="386" t="s">
        <v>10001</v>
      </c>
      <c r="P3203" s="386"/>
      <c r="Q3203" s="318">
        <v>14163</v>
      </c>
      <c r="R3203" s="1410"/>
      <c r="S3203" s="1410"/>
      <c r="U3203" s="386"/>
      <c r="V3203" s="318" t="s">
        <v>5937</v>
      </c>
      <c r="W3203" s="1096">
        <v>42679</v>
      </c>
      <c r="X3203" s="1095">
        <v>42639</v>
      </c>
      <c r="Y3203" s="386" t="s">
        <v>10002</v>
      </c>
      <c r="Z3203" s="824">
        <v>14163</v>
      </c>
      <c r="AA3203" s="811">
        <v>42678</v>
      </c>
      <c r="AB3203" s="318" t="s">
        <v>10003</v>
      </c>
      <c r="AD3203" s="386"/>
      <c r="AE3203" s="386"/>
      <c r="AF3203" s="386"/>
      <c r="AG3203" s="386" t="s">
        <v>283</v>
      </c>
    </row>
    <row r="3204" spans="1:33" ht="15.75" customHeight="1">
      <c r="A3204" s="743">
        <v>42626</v>
      </c>
      <c r="B3204" s="338" t="s">
        <v>325</v>
      </c>
      <c r="C3204" s="970">
        <v>1604655</v>
      </c>
      <c r="D3204" s="386" t="s">
        <v>10004</v>
      </c>
      <c r="E3204" s="571" t="s">
        <v>8682</v>
      </c>
      <c r="F3204" s="752">
        <v>3</v>
      </c>
      <c r="G3204" s="386">
        <v>607</v>
      </c>
      <c r="H3204" s="571">
        <f t="shared" si="200"/>
        <v>1821</v>
      </c>
      <c r="I3204" s="254" t="s">
        <v>3315</v>
      </c>
      <c r="J3204" s="331" t="s">
        <v>3613</v>
      </c>
      <c r="K3204" s="811">
        <v>42639</v>
      </c>
      <c r="L3204" s="1477"/>
      <c r="M3204" s="811">
        <v>42642</v>
      </c>
      <c r="N3204" s="585" t="s">
        <v>9537</v>
      </c>
      <c r="O3204" s="386" t="s">
        <v>10005</v>
      </c>
      <c r="P3204" s="318">
        <v>1779.75</v>
      </c>
      <c r="Q3204" s="318">
        <v>55938</v>
      </c>
      <c r="R3204" s="1410"/>
      <c r="S3204" s="1410"/>
      <c r="U3204" s="386"/>
      <c r="V3204" s="386" t="s">
        <v>6186</v>
      </c>
      <c r="W3204" s="1096">
        <v>42672</v>
      </c>
      <c r="X3204" s="1095">
        <v>42635</v>
      </c>
      <c r="Y3204" s="386" t="s">
        <v>10006</v>
      </c>
      <c r="Z3204" s="824">
        <v>97355</v>
      </c>
      <c r="AA3204" s="1099">
        <v>42671</v>
      </c>
      <c r="AB3204" s="318" t="s">
        <v>10007</v>
      </c>
      <c r="AD3204" s="386"/>
      <c r="AE3204" s="386"/>
      <c r="AF3204" s="386"/>
      <c r="AG3204" s="386" t="s">
        <v>283</v>
      </c>
    </row>
    <row r="3205" spans="1:33" ht="15.75" customHeight="1">
      <c r="A3205" s="743">
        <v>42626</v>
      </c>
      <c r="B3205" s="338" t="s">
        <v>325</v>
      </c>
      <c r="C3205" s="970">
        <v>1604655</v>
      </c>
      <c r="D3205" s="386" t="s">
        <v>10004</v>
      </c>
      <c r="E3205" s="571" t="s">
        <v>4256</v>
      </c>
      <c r="F3205" s="752">
        <v>3</v>
      </c>
      <c r="G3205" s="386">
        <v>27</v>
      </c>
      <c r="H3205" s="571">
        <f t="shared" si="200"/>
        <v>81</v>
      </c>
      <c r="I3205" s="254" t="s">
        <v>3315</v>
      </c>
      <c r="J3205" s="331" t="s">
        <v>3613</v>
      </c>
      <c r="K3205" s="811">
        <v>42639</v>
      </c>
      <c r="L3205" s="1477"/>
      <c r="M3205" s="811">
        <v>42642</v>
      </c>
      <c r="N3205" s="585" t="s">
        <v>9537</v>
      </c>
      <c r="O3205" s="386" t="s">
        <v>10005</v>
      </c>
      <c r="P3205" s="318">
        <v>78.75</v>
      </c>
      <c r="Q3205" s="318">
        <v>2475</v>
      </c>
      <c r="R3205" s="1410"/>
      <c r="S3205" s="1410"/>
      <c r="U3205" s="386"/>
      <c r="V3205" s="386" t="s">
        <v>6186</v>
      </c>
      <c r="W3205" s="1096">
        <v>42672</v>
      </c>
      <c r="X3205" s="1095">
        <v>42635</v>
      </c>
      <c r="Y3205" s="386" t="s">
        <v>10006</v>
      </c>
      <c r="Z3205" s="585" t="s">
        <v>10008</v>
      </c>
      <c r="AA3205" s="1099">
        <v>42671</v>
      </c>
      <c r="AB3205" s="318" t="s">
        <v>10007</v>
      </c>
      <c r="AD3205" s="386"/>
      <c r="AE3205" s="386"/>
      <c r="AF3205" s="386"/>
      <c r="AG3205" s="386" t="s">
        <v>283</v>
      </c>
    </row>
    <row r="3206" spans="1:33" ht="15.75" customHeight="1">
      <c r="A3206" s="743">
        <v>42626</v>
      </c>
      <c r="B3206" s="338" t="s">
        <v>325</v>
      </c>
      <c r="C3206" s="970">
        <v>1605195</v>
      </c>
      <c r="D3206" s="386" t="s">
        <v>10009</v>
      </c>
      <c r="E3206" s="571" t="s">
        <v>8682</v>
      </c>
      <c r="F3206" s="386">
        <v>2</v>
      </c>
      <c r="G3206" s="386">
        <v>607</v>
      </c>
      <c r="H3206" s="571">
        <f t="shared" si="200"/>
        <v>1214</v>
      </c>
      <c r="I3206" s="254" t="s">
        <v>3315</v>
      </c>
      <c r="J3206" s="331" t="s">
        <v>3613</v>
      </c>
      <c r="K3206" s="811">
        <v>42639</v>
      </c>
      <c r="L3206" s="1477"/>
      <c r="M3206" s="811">
        <v>42642</v>
      </c>
      <c r="N3206" s="585" t="s">
        <v>9537</v>
      </c>
      <c r="O3206" s="386" t="s">
        <v>10005</v>
      </c>
      <c r="P3206" s="318">
        <v>1186.5</v>
      </c>
      <c r="Q3206" s="318">
        <v>37292</v>
      </c>
      <c r="R3206" s="1410"/>
      <c r="S3206" s="1410"/>
      <c r="U3206" s="386"/>
      <c r="V3206" s="386" t="s">
        <v>6186</v>
      </c>
      <c r="W3206" s="1096">
        <v>42672</v>
      </c>
      <c r="X3206" s="1095">
        <v>42635</v>
      </c>
      <c r="Y3206" s="386" t="s">
        <v>10006</v>
      </c>
      <c r="Z3206" s="585" t="s">
        <v>10008</v>
      </c>
      <c r="AA3206" s="1099">
        <v>42671</v>
      </c>
      <c r="AB3206" s="318" t="s">
        <v>10007</v>
      </c>
      <c r="AD3206" s="386"/>
      <c r="AE3206" s="386"/>
      <c r="AF3206" s="386"/>
      <c r="AG3206" s="386" t="s">
        <v>283</v>
      </c>
    </row>
    <row r="3207" spans="1:33" ht="15.75" customHeight="1">
      <c r="A3207" s="743">
        <v>42626</v>
      </c>
      <c r="B3207" s="338" t="s">
        <v>325</v>
      </c>
      <c r="C3207" s="970">
        <v>1605195</v>
      </c>
      <c r="D3207" s="386" t="s">
        <v>10009</v>
      </c>
      <c r="E3207" s="571" t="s">
        <v>4256</v>
      </c>
      <c r="F3207" s="386">
        <v>2</v>
      </c>
      <c r="G3207" s="386">
        <v>27</v>
      </c>
      <c r="H3207" s="571">
        <f t="shared" si="200"/>
        <v>54</v>
      </c>
      <c r="I3207" s="254" t="s">
        <v>3315</v>
      </c>
      <c r="J3207" s="331" t="s">
        <v>3613</v>
      </c>
      <c r="K3207" s="811">
        <v>42639</v>
      </c>
      <c r="L3207" s="1477"/>
      <c r="M3207" s="811">
        <v>42642</v>
      </c>
      <c r="N3207" s="585" t="s">
        <v>9537</v>
      </c>
      <c r="O3207" s="386" t="s">
        <v>10005</v>
      </c>
      <c r="P3207" s="318">
        <v>52.5</v>
      </c>
      <c r="Q3207" s="318">
        <v>1650</v>
      </c>
      <c r="R3207" s="1410"/>
      <c r="S3207" s="1410"/>
      <c r="U3207" s="386"/>
      <c r="V3207" s="386" t="s">
        <v>6186</v>
      </c>
      <c r="W3207" s="1096">
        <v>42672</v>
      </c>
      <c r="X3207" s="1095">
        <v>42635</v>
      </c>
      <c r="Y3207" s="386" t="s">
        <v>10006</v>
      </c>
      <c r="Z3207" s="585" t="s">
        <v>10008</v>
      </c>
      <c r="AA3207" s="1099">
        <v>42671</v>
      </c>
      <c r="AB3207" s="318" t="s">
        <v>10007</v>
      </c>
      <c r="AD3207" s="386"/>
      <c r="AE3207" s="386"/>
      <c r="AF3207" s="386"/>
      <c r="AG3207" s="386" t="s">
        <v>283</v>
      </c>
    </row>
    <row r="3208" spans="1:33" ht="15.75" customHeight="1">
      <c r="A3208" s="755">
        <v>42565</v>
      </c>
      <c r="B3208" s="338" t="s">
        <v>100</v>
      </c>
      <c r="C3208" s="263" t="s">
        <v>9712</v>
      </c>
      <c r="D3208" s="318" t="s">
        <v>9713</v>
      </c>
      <c r="E3208" s="338" t="s">
        <v>10010</v>
      </c>
      <c r="F3208" s="752">
        <v>5</v>
      </c>
      <c r="G3208" s="752">
        <v>1085</v>
      </c>
      <c r="H3208" s="265">
        <f t="shared" si="200"/>
        <v>5425</v>
      </c>
      <c r="I3208" s="254" t="s">
        <v>3315</v>
      </c>
      <c r="J3208" s="331" t="s">
        <v>5842</v>
      </c>
      <c r="K3208" s="811">
        <v>42586</v>
      </c>
      <c r="L3208" s="1477"/>
      <c r="M3208" s="811">
        <v>42585</v>
      </c>
      <c r="N3208" s="331" t="s">
        <v>1414</v>
      </c>
      <c r="O3208" s="263" t="s">
        <v>10011</v>
      </c>
      <c r="P3208" s="752"/>
      <c r="Q3208" s="1054">
        <v>160440</v>
      </c>
      <c r="R3208" s="1413"/>
      <c r="S3208" s="1413"/>
      <c r="U3208" s="386"/>
      <c r="V3208" s="386" t="s">
        <v>1947</v>
      </c>
      <c r="W3208" s="1096">
        <v>42618</v>
      </c>
      <c r="X3208" s="1083">
        <v>42584</v>
      </c>
      <c r="Y3208" s="263" t="s">
        <v>10012</v>
      </c>
      <c r="Z3208" s="1086">
        <v>160440</v>
      </c>
      <c r="AA3208" s="811">
        <v>42619</v>
      </c>
      <c r="AB3208" s="318" t="s">
        <v>9716</v>
      </c>
      <c r="AD3208" s="1092"/>
      <c r="AE3208" s="1103"/>
      <c r="AF3208" s="1092"/>
      <c r="AG3208" s="386" t="s">
        <v>283</v>
      </c>
    </row>
    <row r="3209" spans="1:33" ht="15.75" customHeight="1">
      <c r="A3209" s="743">
        <v>42627</v>
      </c>
      <c r="B3209" s="338" t="s">
        <v>8751</v>
      </c>
      <c r="C3209" s="970">
        <v>7000124043</v>
      </c>
      <c r="D3209" s="386" t="s">
        <v>10013</v>
      </c>
      <c r="E3209" s="386" t="s">
        <v>10014</v>
      </c>
      <c r="F3209" s="386">
        <v>1</v>
      </c>
      <c r="G3209" s="752">
        <v>84</v>
      </c>
      <c r="H3209" s="571">
        <f t="shared" si="200"/>
        <v>84</v>
      </c>
      <c r="I3209" s="254" t="s">
        <v>42</v>
      </c>
      <c r="J3209" s="756" t="s">
        <v>3462</v>
      </c>
      <c r="K3209" s="811">
        <v>42646</v>
      </c>
      <c r="L3209" s="1477"/>
      <c r="M3209" s="811">
        <v>42643</v>
      </c>
      <c r="N3209" s="331" t="s">
        <v>5935</v>
      </c>
      <c r="O3209" s="386" t="s">
        <v>10015</v>
      </c>
      <c r="P3209" s="386"/>
      <c r="Q3209" s="318">
        <v>2273</v>
      </c>
      <c r="R3209" s="1410"/>
      <c r="S3209" s="1410"/>
      <c r="U3209" s="386"/>
      <c r="V3209" s="318" t="s">
        <v>5937</v>
      </c>
      <c r="W3209" s="1096">
        <v>42679</v>
      </c>
      <c r="X3209" s="1095">
        <v>42642</v>
      </c>
      <c r="Y3209" s="386" t="s">
        <v>10016</v>
      </c>
      <c r="Z3209" s="824">
        <v>28716</v>
      </c>
      <c r="AA3209" s="811">
        <v>42678</v>
      </c>
      <c r="AB3209" s="318" t="s">
        <v>10003</v>
      </c>
      <c r="AD3209" s="386"/>
      <c r="AE3209" s="386"/>
      <c r="AF3209" s="386"/>
      <c r="AG3209" s="386" t="s">
        <v>283</v>
      </c>
    </row>
    <row r="3210" spans="1:33" ht="15.75" customHeight="1">
      <c r="A3210" s="743">
        <v>42627</v>
      </c>
      <c r="B3210" s="338" t="s">
        <v>8751</v>
      </c>
      <c r="C3210" s="970">
        <v>7000124043</v>
      </c>
      <c r="D3210" s="386" t="s">
        <v>10013</v>
      </c>
      <c r="E3210" s="386" t="s">
        <v>10017</v>
      </c>
      <c r="F3210" s="386">
        <v>1</v>
      </c>
      <c r="G3210" s="752">
        <v>119</v>
      </c>
      <c r="H3210" s="571">
        <f t="shared" si="200"/>
        <v>119</v>
      </c>
      <c r="I3210" s="254" t="s">
        <v>42</v>
      </c>
      <c r="J3210" s="756" t="s">
        <v>3462</v>
      </c>
      <c r="K3210" s="811">
        <v>42646</v>
      </c>
      <c r="L3210" s="1477"/>
      <c r="M3210" s="811">
        <v>42643</v>
      </c>
      <c r="N3210" s="331" t="s">
        <v>5935</v>
      </c>
      <c r="O3210" s="386" t="s">
        <v>10015</v>
      </c>
      <c r="P3210" s="386"/>
      <c r="Q3210" s="318">
        <v>3490</v>
      </c>
      <c r="R3210" s="1410"/>
      <c r="S3210" s="1410"/>
      <c r="U3210" s="386"/>
      <c r="V3210" s="318" t="s">
        <v>5937</v>
      </c>
      <c r="W3210" s="1096">
        <v>42679</v>
      </c>
      <c r="X3210" s="1095">
        <v>42642</v>
      </c>
      <c r="Y3210" s="386" t="s">
        <v>10016</v>
      </c>
      <c r="Z3210" s="585" t="s">
        <v>10018</v>
      </c>
      <c r="AA3210" s="811">
        <v>42678</v>
      </c>
      <c r="AB3210" s="318" t="s">
        <v>10003</v>
      </c>
      <c r="AD3210" s="386"/>
      <c r="AE3210" s="386"/>
      <c r="AF3210" s="386"/>
      <c r="AG3210" s="386" t="s">
        <v>283</v>
      </c>
    </row>
    <row r="3211" spans="1:33" ht="15.75" customHeight="1">
      <c r="A3211" s="743">
        <v>42627</v>
      </c>
      <c r="B3211" s="338" t="s">
        <v>8751</v>
      </c>
      <c r="C3211" s="970">
        <v>7000124043</v>
      </c>
      <c r="D3211" s="386" t="s">
        <v>10013</v>
      </c>
      <c r="E3211" s="970">
        <v>1702002605</v>
      </c>
      <c r="F3211" s="386">
        <v>1</v>
      </c>
      <c r="G3211" s="752">
        <v>3</v>
      </c>
      <c r="H3211" s="571">
        <f t="shared" si="200"/>
        <v>3</v>
      </c>
      <c r="I3211" s="254" t="s">
        <v>42</v>
      </c>
      <c r="J3211" s="756" t="s">
        <v>3462</v>
      </c>
      <c r="K3211" s="811">
        <v>42646</v>
      </c>
      <c r="L3211" s="1477"/>
      <c r="M3211" s="811">
        <v>42643</v>
      </c>
      <c r="N3211" s="331" t="s">
        <v>5935</v>
      </c>
      <c r="O3211" s="386" t="s">
        <v>10015</v>
      </c>
      <c r="P3211" s="386"/>
      <c r="Q3211" s="318">
        <v>63</v>
      </c>
      <c r="R3211" s="1410"/>
      <c r="S3211" s="1410"/>
      <c r="U3211" s="386"/>
      <c r="V3211" s="318" t="s">
        <v>5937</v>
      </c>
      <c r="W3211" s="1096">
        <v>42679</v>
      </c>
      <c r="X3211" s="1095">
        <v>42642</v>
      </c>
      <c r="Y3211" s="386" t="s">
        <v>10016</v>
      </c>
      <c r="Z3211" s="585" t="s">
        <v>10018</v>
      </c>
      <c r="AA3211" s="811">
        <v>42678</v>
      </c>
      <c r="AB3211" s="318" t="s">
        <v>10003</v>
      </c>
      <c r="AD3211" s="386"/>
      <c r="AE3211" s="386"/>
      <c r="AF3211" s="386"/>
      <c r="AG3211" s="386" t="s">
        <v>283</v>
      </c>
    </row>
    <row r="3212" spans="1:33" ht="15.75" customHeight="1">
      <c r="A3212" s="743">
        <v>42627</v>
      </c>
      <c r="B3212" s="338" t="s">
        <v>8751</v>
      </c>
      <c r="C3212" s="970">
        <v>7000124043</v>
      </c>
      <c r="D3212" s="386" t="s">
        <v>10013</v>
      </c>
      <c r="E3212" s="386" t="s">
        <v>3510</v>
      </c>
      <c r="F3212" s="386">
        <v>2</v>
      </c>
      <c r="G3212" s="752">
        <v>141</v>
      </c>
      <c r="H3212" s="571">
        <f t="shared" si="200"/>
        <v>282</v>
      </c>
      <c r="I3212" s="254" t="s">
        <v>42</v>
      </c>
      <c r="J3212" s="756" t="s">
        <v>3462</v>
      </c>
      <c r="K3212" s="811">
        <v>42646</v>
      </c>
      <c r="L3212" s="1477"/>
      <c r="M3212" s="811">
        <v>42643</v>
      </c>
      <c r="N3212" s="331" t="s">
        <v>5935</v>
      </c>
      <c r="O3212" s="386" t="s">
        <v>10015</v>
      </c>
      <c r="P3212" s="386"/>
      <c r="Q3212" s="318">
        <v>8234</v>
      </c>
      <c r="R3212" s="1410"/>
      <c r="S3212" s="1410"/>
      <c r="U3212" s="386"/>
      <c r="V3212" s="318" t="s">
        <v>5937</v>
      </c>
      <c r="W3212" s="1096">
        <v>42679</v>
      </c>
      <c r="X3212" s="1095">
        <v>42642</v>
      </c>
      <c r="Y3212" s="386" t="s">
        <v>10016</v>
      </c>
      <c r="Z3212" s="585" t="s">
        <v>10018</v>
      </c>
      <c r="AA3212" s="811">
        <v>42678</v>
      </c>
      <c r="AB3212" s="318" t="s">
        <v>10003</v>
      </c>
      <c r="AD3212" s="386"/>
      <c r="AE3212" s="386"/>
      <c r="AF3212" s="386"/>
      <c r="AG3212" s="386" t="s">
        <v>283</v>
      </c>
    </row>
    <row r="3213" spans="1:33" ht="15.75" customHeight="1">
      <c r="A3213" s="743">
        <v>42627</v>
      </c>
      <c r="B3213" s="338" t="s">
        <v>8751</v>
      </c>
      <c r="C3213" s="970">
        <v>7000124043</v>
      </c>
      <c r="D3213" s="386" t="s">
        <v>10013</v>
      </c>
      <c r="E3213" s="386" t="s">
        <v>6008</v>
      </c>
      <c r="F3213" s="386">
        <v>2</v>
      </c>
      <c r="G3213" s="752">
        <v>86</v>
      </c>
      <c r="H3213" s="571">
        <f t="shared" si="200"/>
        <v>172</v>
      </c>
      <c r="I3213" s="254" t="s">
        <v>42</v>
      </c>
      <c r="J3213" s="756" t="s">
        <v>3462</v>
      </c>
      <c r="K3213" s="811">
        <v>42646</v>
      </c>
      <c r="L3213" s="1477"/>
      <c r="M3213" s="811">
        <v>42643</v>
      </c>
      <c r="N3213" s="331" t="s">
        <v>5935</v>
      </c>
      <c r="O3213" s="386" t="s">
        <v>10015</v>
      </c>
      <c r="P3213" s="386"/>
      <c r="Q3213" s="318">
        <v>5011</v>
      </c>
      <c r="R3213" s="1410"/>
      <c r="S3213" s="1410"/>
      <c r="U3213" s="386"/>
      <c r="V3213" s="318" t="s">
        <v>5937</v>
      </c>
      <c r="W3213" s="1096">
        <v>42679</v>
      </c>
      <c r="X3213" s="1095">
        <v>42642</v>
      </c>
      <c r="Y3213" s="386" t="s">
        <v>10016</v>
      </c>
      <c r="Z3213" s="585" t="s">
        <v>10018</v>
      </c>
      <c r="AA3213" s="811">
        <v>42678</v>
      </c>
      <c r="AB3213" s="318" t="s">
        <v>10003</v>
      </c>
      <c r="AD3213" s="386"/>
      <c r="AE3213" s="386"/>
      <c r="AF3213" s="386"/>
      <c r="AG3213" s="386" t="s">
        <v>283</v>
      </c>
    </row>
    <row r="3214" spans="1:33" ht="15.75" customHeight="1">
      <c r="A3214" s="743">
        <v>42627</v>
      </c>
      <c r="B3214" s="338" t="s">
        <v>8751</v>
      </c>
      <c r="C3214" s="970">
        <v>7000124043</v>
      </c>
      <c r="D3214" s="386" t="s">
        <v>10013</v>
      </c>
      <c r="E3214" s="386" t="s">
        <v>4493</v>
      </c>
      <c r="F3214" s="386">
        <v>3</v>
      </c>
      <c r="G3214" s="752">
        <v>110</v>
      </c>
      <c r="H3214" s="571">
        <f t="shared" si="200"/>
        <v>330</v>
      </c>
      <c r="I3214" s="254" t="s">
        <v>42</v>
      </c>
      <c r="J3214" s="756" t="s">
        <v>3462</v>
      </c>
      <c r="K3214" s="811">
        <v>42646</v>
      </c>
      <c r="L3214" s="1477"/>
      <c r="M3214" s="811">
        <v>42643</v>
      </c>
      <c r="N3214" s="331" t="s">
        <v>5935</v>
      </c>
      <c r="O3214" s="386" t="s">
        <v>10015</v>
      </c>
      <c r="P3214" s="386"/>
      <c r="Q3214" s="318">
        <v>9645</v>
      </c>
      <c r="R3214" s="1410"/>
      <c r="S3214" s="1410"/>
      <c r="U3214" s="386"/>
      <c r="V3214" s="318" t="s">
        <v>5937</v>
      </c>
      <c r="W3214" s="1096">
        <v>42679</v>
      </c>
      <c r="X3214" s="1095">
        <v>42642</v>
      </c>
      <c r="Y3214" s="386" t="s">
        <v>10016</v>
      </c>
      <c r="Z3214" s="585" t="s">
        <v>10018</v>
      </c>
      <c r="AA3214" s="811">
        <v>42678</v>
      </c>
      <c r="AB3214" s="318" t="s">
        <v>10003</v>
      </c>
      <c r="AD3214" s="386"/>
      <c r="AE3214" s="386"/>
      <c r="AF3214" s="386"/>
      <c r="AG3214" s="386" t="s">
        <v>283</v>
      </c>
    </row>
    <row r="3215" spans="1:33" ht="15.75" customHeight="1">
      <c r="A3215" s="755">
        <v>42587</v>
      </c>
      <c r="B3215" s="338" t="s">
        <v>100</v>
      </c>
      <c r="C3215" s="263" t="s">
        <v>9844</v>
      </c>
      <c r="D3215" s="318" t="s">
        <v>9845</v>
      </c>
      <c r="E3215" s="338" t="s">
        <v>10010</v>
      </c>
      <c r="F3215" s="752">
        <v>7</v>
      </c>
      <c r="G3215" s="752">
        <v>1085</v>
      </c>
      <c r="H3215" s="265">
        <f t="shared" si="200"/>
        <v>7595</v>
      </c>
      <c r="I3215" s="254" t="s">
        <v>3315</v>
      </c>
      <c r="J3215" s="331" t="s">
        <v>5842</v>
      </c>
      <c r="K3215" s="811">
        <v>42608</v>
      </c>
      <c r="L3215" s="1477"/>
      <c r="M3215" s="811">
        <v>42605</v>
      </c>
      <c r="N3215" s="331" t="s">
        <v>1414</v>
      </c>
      <c r="O3215" s="263" t="s">
        <v>10019</v>
      </c>
      <c r="P3215" s="752"/>
      <c r="Q3215" s="318">
        <v>221177</v>
      </c>
      <c r="R3215" s="1410"/>
      <c r="S3215" s="1410"/>
      <c r="U3215" s="386"/>
      <c r="V3215" s="318" t="s">
        <v>1947</v>
      </c>
      <c r="W3215" s="1096">
        <v>42618</v>
      </c>
      <c r="X3215" s="1083">
        <v>42605</v>
      </c>
      <c r="Y3215" s="263" t="s">
        <v>9828</v>
      </c>
      <c r="Z3215" s="1086" t="s">
        <v>9836</v>
      </c>
      <c r="AA3215" s="811">
        <v>42619</v>
      </c>
      <c r="AB3215" s="318" t="s">
        <v>9829</v>
      </c>
      <c r="AD3215" s="1092"/>
      <c r="AE3215" s="1103"/>
      <c r="AF3215" s="1092"/>
      <c r="AG3215" s="386" t="s">
        <v>283</v>
      </c>
    </row>
    <row r="3216" spans="1:33" ht="15.75" customHeight="1">
      <c r="A3216" s="743">
        <v>42632</v>
      </c>
      <c r="B3216" s="338" t="s">
        <v>76</v>
      </c>
      <c r="C3216" s="970">
        <v>821</v>
      </c>
      <c r="D3216" s="386" t="s">
        <v>10020</v>
      </c>
      <c r="E3216" s="308" t="s">
        <v>6452</v>
      </c>
      <c r="F3216" s="386">
        <v>50</v>
      </c>
      <c r="G3216" s="386">
        <v>3</v>
      </c>
      <c r="H3216" s="464">
        <f t="shared" si="200"/>
        <v>150</v>
      </c>
      <c r="I3216" s="264" t="s">
        <v>170</v>
      </c>
      <c r="J3216" s="267" t="s">
        <v>315</v>
      </c>
      <c r="K3216" s="811">
        <v>42656</v>
      </c>
      <c r="L3216" s="1477"/>
      <c r="M3216" s="811">
        <v>42654</v>
      </c>
      <c r="N3216" s="585" t="s">
        <v>3608</v>
      </c>
      <c r="O3216" s="386" t="s">
        <v>3556</v>
      </c>
      <c r="P3216" s="386"/>
      <c r="Q3216" s="386"/>
      <c r="R3216" s="1407"/>
      <c r="S3216" s="1407"/>
      <c r="U3216" s="386"/>
      <c r="V3216" s="318" t="s">
        <v>185</v>
      </c>
      <c r="W3216" s="386"/>
      <c r="X3216" s="250" t="s">
        <v>10021</v>
      </c>
      <c r="Y3216" s="250" t="s">
        <v>10021</v>
      </c>
      <c r="Z3216" s="250" t="s">
        <v>10021</v>
      </c>
      <c r="AA3216" s="585"/>
      <c r="AB3216" s="263" t="s">
        <v>10022</v>
      </c>
      <c r="AD3216" s="386"/>
      <c r="AE3216" s="386"/>
      <c r="AF3216" s="386"/>
      <c r="AG3216" s="386" t="s">
        <v>283</v>
      </c>
    </row>
    <row r="3217" spans="1:33" ht="15.75" customHeight="1">
      <c r="A3217" s="743">
        <v>42632</v>
      </c>
      <c r="B3217" s="338" t="s">
        <v>76</v>
      </c>
      <c r="C3217" s="970">
        <v>821</v>
      </c>
      <c r="D3217" s="386" t="s">
        <v>10020</v>
      </c>
      <c r="E3217" s="597" t="s">
        <v>8530</v>
      </c>
      <c r="F3217" s="386">
        <v>50</v>
      </c>
      <c r="G3217" s="386">
        <v>2.25</v>
      </c>
      <c r="H3217" s="464">
        <f t="shared" si="200"/>
        <v>112.5</v>
      </c>
      <c r="I3217" s="264" t="s">
        <v>170</v>
      </c>
      <c r="J3217" s="267" t="s">
        <v>315</v>
      </c>
      <c r="K3217" s="811">
        <v>42656</v>
      </c>
      <c r="L3217" s="1477"/>
      <c r="M3217" s="811">
        <v>42654</v>
      </c>
      <c r="N3217" s="585" t="s">
        <v>3608</v>
      </c>
      <c r="O3217" s="386" t="s">
        <v>3556</v>
      </c>
      <c r="P3217" s="386"/>
      <c r="Q3217" s="386"/>
      <c r="R3217" s="1407"/>
      <c r="S3217" s="1407"/>
      <c r="U3217" s="386"/>
      <c r="V3217" s="318" t="s">
        <v>185</v>
      </c>
      <c r="W3217" s="386"/>
      <c r="X3217" s="250" t="s">
        <v>10021</v>
      </c>
      <c r="Y3217" s="250" t="s">
        <v>10021</v>
      </c>
      <c r="Z3217" s="250" t="s">
        <v>10021</v>
      </c>
      <c r="AA3217" s="585"/>
      <c r="AB3217" s="263" t="s">
        <v>10022</v>
      </c>
      <c r="AD3217" s="386"/>
      <c r="AE3217" s="386"/>
      <c r="AF3217" s="386"/>
      <c r="AG3217" s="386" t="s">
        <v>283</v>
      </c>
    </row>
    <row r="3218" spans="1:33" ht="15.75" customHeight="1">
      <c r="A3218" s="743">
        <v>42632</v>
      </c>
      <c r="B3218" s="338" t="s">
        <v>76</v>
      </c>
      <c r="C3218" s="970">
        <v>821</v>
      </c>
      <c r="D3218" s="386" t="s">
        <v>10020</v>
      </c>
      <c r="E3218" s="571" t="s">
        <v>8446</v>
      </c>
      <c r="F3218" s="386">
        <v>50</v>
      </c>
      <c r="G3218" s="386">
        <v>2.25</v>
      </c>
      <c r="H3218" s="464">
        <f t="shared" si="200"/>
        <v>112.5</v>
      </c>
      <c r="I3218" s="264" t="s">
        <v>170</v>
      </c>
      <c r="J3218" s="267" t="s">
        <v>315</v>
      </c>
      <c r="K3218" s="811">
        <v>42656</v>
      </c>
      <c r="L3218" s="1477"/>
      <c r="M3218" s="811">
        <v>42654</v>
      </c>
      <c r="N3218" s="585" t="s">
        <v>3608</v>
      </c>
      <c r="O3218" s="386" t="s">
        <v>3556</v>
      </c>
      <c r="P3218" s="386"/>
      <c r="Q3218" s="386"/>
      <c r="R3218" s="1407"/>
      <c r="S3218" s="1407"/>
      <c r="U3218" s="386"/>
      <c r="V3218" s="318" t="s">
        <v>185</v>
      </c>
      <c r="W3218" s="386"/>
      <c r="X3218" s="250" t="s">
        <v>10021</v>
      </c>
      <c r="Y3218" s="250" t="s">
        <v>10021</v>
      </c>
      <c r="Z3218" s="250" t="s">
        <v>10021</v>
      </c>
      <c r="AA3218" s="585"/>
      <c r="AB3218" s="263" t="s">
        <v>10022</v>
      </c>
      <c r="AD3218" s="386"/>
      <c r="AE3218" s="386"/>
      <c r="AF3218" s="386"/>
      <c r="AG3218" s="386" t="s">
        <v>283</v>
      </c>
    </row>
    <row r="3219" spans="1:33" ht="15.75" customHeight="1">
      <c r="A3219" s="755">
        <v>42632</v>
      </c>
      <c r="B3219" s="592" t="s">
        <v>53</v>
      </c>
      <c r="C3219" s="970" t="s">
        <v>10023</v>
      </c>
      <c r="D3219" s="308" t="s">
        <v>10024</v>
      </c>
      <c r="E3219" s="571" t="s">
        <v>3632</v>
      </c>
      <c r="F3219" s="329">
        <v>1</v>
      </c>
      <c r="G3219" s="252">
        <v>150.15</v>
      </c>
      <c r="H3219" s="571">
        <f t="shared" si="200"/>
        <v>150.15</v>
      </c>
      <c r="I3219" s="264" t="s">
        <v>8429</v>
      </c>
      <c r="J3219" s="401" t="s">
        <v>232</v>
      </c>
      <c r="K3219" s="811">
        <v>42661</v>
      </c>
      <c r="L3219" s="1477"/>
      <c r="M3219" s="386"/>
      <c r="N3219" s="331" t="s">
        <v>89</v>
      </c>
      <c r="O3219" s="263" t="s">
        <v>10025</v>
      </c>
      <c r="P3219" s="752">
        <v>134.4</v>
      </c>
      <c r="Q3219" s="386"/>
      <c r="R3219" s="1407"/>
      <c r="S3219" s="1407"/>
      <c r="U3219" s="386"/>
      <c r="V3219" s="318" t="s">
        <v>5896</v>
      </c>
      <c r="W3219" s="1084">
        <v>42709</v>
      </c>
      <c r="X3219" s="1083">
        <v>42660</v>
      </c>
      <c r="Y3219" s="318" t="s">
        <v>10026</v>
      </c>
      <c r="Z3219" s="1086">
        <v>4207</v>
      </c>
      <c r="AA3219" s="1099">
        <v>42712</v>
      </c>
      <c r="AB3219" s="318" t="s">
        <v>10027</v>
      </c>
      <c r="AD3219" s="318" t="s">
        <v>10028</v>
      </c>
      <c r="AE3219" s="386">
        <v>4770</v>
      </c>
      <c r="AF3219" s="386" t="s">
        <v>10029</v>
      </c>
      <c r="AG3219" s="386"/>
    </row>
    <row r="3220" spans="1:33" ht="15.75" customHeight="1">
      <c r="A3220" s="743">
        <v>42634</v>
      </c>
      <c r="B3220" s="386" t="s">
        <v>6565</v>
      </c>
      <c r="C3220" s="970">
        <v>36767</v>
      </c>
      <c r="D3220" s="386" t="s">
        <v>10030</v>
      </c>
      <c r="E3220" s="386" t="s">
        <v>4616</v>
      </c>
      <c r="F3220" s="386">
        <v>24</v>
      </c>
      <c r="G3220" s="386">
        <v>90</v>
      </c>
      <c r="H3220" s="571">
        <f t="shared" si="200"/>
        <v>2160</v>
      </c>
      <c r="I3220" s="264" t="s">
        <v>3315</v>
      </c>
      <c r="J3220" s="331" t="s">
        <v>6567</v>
      </c>
      <c r="K3220" s="811">
        <v>42642</v>
      </c>
      <c r="L3220" s="1477"/>
      <c r="M3220" s="256">
        <v>42639</v>
      </c>
      <c r="N3220" s="401" t="s">
        <v>89</v>
      </c>
      <c r="O3220" s="318" t="s">
        <v>10031</v>
      </c>
      <c r="P3220" s="318">
        <v>1990.8</v>
      </c>
      <c r="Q3220" s="386"/>
      <c r="R3220" s="1407"/>
      <c r="S3220" s="1407"/>
      <c r="U3220" s="386"/>
      <c r="V3220" s="308" t="s">
        <v>5896</v>
      </c>
      <c r="W3220" s="1096">
        <v>42709</v>
      </c>
      <c r="X3220" s="1083">
        <v>42639</v>
      </c>
      <c r="Y3220" s="318" t="s">
        <v>10032</v>
      </c>
      <c r="Z3220" s="1086">
        <v>62959</v>
      </c>
      <c r="AA3220" s="1099">
        <v>42690</v>
      </c>
      <c r="AB3220" s="318" t="s">
        <v>10033</v>
      </c>
      <c r="AD3220" s="386"/>
      <c r="AE3220" s="386"/>
      <c r="AF3220" s="386"/>
      <c r="AG3220" s="386" t="s">
        <v>283</v>
      </c>
    </row>
    <row r="3221" spans="1:33" ht="15.75" customHeight="1">
      <c r="A3221" s="743">
        <v>42634</v>
      </c>
      <c r="B3221" s="338" t="s">
        <v>325</v>
      </c>
      <c r="C3221" s="970">
        <v>1605442</v>
      </c>
      <c r="D3221" s="386" t="s">
        <v>10034</v>
      </c>
      <c r="E3221" s="571" t="s">
        <v>8682</v>
      </c>
      <c r="F3221" s="386">
        <v>10</v>
      </c>
      <c r="G3221" s="386">
        <v>607</v>
      </c>
      <c r="H3221" s="571">
        <f t="shared" si="200"/>
        <v>6070</v>
      </c>
      <c r="I3221" s="254" t="s">
        <v>3315</v>
      </c>
      <c r="J3221" s="331" t="s">
        <v>3613</v>
      </c>
      <c r="K3221" s="811">
        <v>42691</v>
      </c>
      <c r="L3221" s="1477"/>
      <c r="M3221" s="811">
        <v>42689</v>
      </c>
      <c r="N3221" s="585" t="s">
        <v>9537</v>
      </c>
      <c r="O3221" s="250" t="s">
        <v>10035</v>
      </c>
      <c r="P3221" s="318">
        <v>5932.5</v>
      </c>
      <c r="Q3221" s="386"/>
      <c r="R3221" s="1407"/>
      <c r="S3221" s="1407"/>
      <c r="U3221" s="386"/>
      <c r="V3221" s="386" t="s">
        <v>6186</v>
      </c>
      <c r="W3221" s="1084">
        <v>42734</v>
      </c>
      <c r="X3221" s="1095">
        <v>42688</v>
      </c>
      <c r="Y3221" s="386" t="s">
        <v>10036</v>
      </c>
      <c r="Z3221" s="824">
        <v>197007</v>
      </c>
      <c r="AA3221" s="1099">
        <v>42733</v>
      </c>
      <c r="AB3221" s="263" t="s">
        <v>10037</v>
      </c>
      <c r="AD3221" s="386"/>
      <c r="AE3221" s="386"/>
      <c r="AF3221" s="386"/>
      <c r="AG3221" s="386" t="s">
        <v>283</v>
      </c>
    </row>
    <row r="3222" spans="1:33" ht="15.75" customHeight="1">
      <c r="A3222" s="743">
        <v>42634</v>
      </c>
      <c r="B3222" s="338" t="s">
        <v>325</v>
      </c>
      <c r="C3222" s="970">
        <v>1605442</v>
      </c>
      <c r="D3222" s="386" t="s">
        <v>10034</v>
      </c>
      <c r="E3222" s="571" t="s">
        <v>4256</v>
      </c>
      <c r="F3222" s="386">
        <v>10</v>
      </c>
      <c r="G3222" s="386">
        <v>27</v>
      </c>
      <c r="H3222" s="571">
        <f t="shared" si="200"/>
        <v>270</v>
      </c>
      <c r="I3222" s="254" t="s">
        <v>3315</v>
      </c>
      <c r="J3222" s="331" t="s">
        <v>3613</v>
      </c>
      <c r="K3222" s="811">
        <v>42691</v>
      </c>
      <c r="L3222" s="1477"/>
      <c r="M3222" s="811">
        <v>42689</v>
      </c>
      <c r="N3222" s="585" t="s">
        <v>9537</v>
      </c>
      <c r="O3222" s="386" t="s">
        <v>10035</v>
      </c>
      <c r="P3222" s="318">
        <v>262.5</v>
      </c>
      <c r="Q3222" s="386"/>
      <c r="R3222" s="1407"/>
      <c r="S3222" s="1407"/>
      <c r="U3222" s="386"/>
      <c r="V3222" s="386" t="s">
        <v>6186</v>
      </c>
      <c r="W3222" s="1084">
        <v>42734</v>
      </c>
      <c r="X3222" s="1095">
        <v>42688</v>
      </c>
      <c r="Y3222" s="386" t="s">
        <v>10036</v>
      </c>
      <c r="Z3222" s="585" t="s">
        <v>10038</v>
      </c>
      <c r="AA3222" s="1099">
        <v>42733</v>
      </c>
      <c r="AB3222" s="263" t="s">
        <v>10037</v>
      </c>
      <c r="AD3222" s="386"/>
      <c r="AE3222" s="386"/>
      <c r="AF3222" s="386"/>
      <c r="AG3222" s="386" t="s">
        <v>283</v>
      </c>
    </row>
    <row r="3223" spans="1:33" ht="15.75" customHeight="1">
      <c r="A3223" s="755">
        <v>42594</v>
      </c>
      <c r="B3223" s="338" t="s">
        <v>100</v>
      </c>
      <c r="C3223" s="263" t="s">
        <v>9876</v>
      </c>
      <c r="D3223" s="318" t="s">
        <v>9877</v>
      </c>
      <c r="E3223" s="338" t="s">
        <v>10039</v>
      </c>
      <c r="F3223" s="752">
        <v>2</v>
      </c>
      <c r="G3223" s="752">
        <v>1166</v>
      </c>
      <c r="H3223" s="265">
        <f t="shared" si="200"/>
        <v>2332</v>
      </c>
      <c r="I3223" s="264" t="s">
        <v>3315</v>
      </c>
      <c r="J3223" s="331" t="s">
        <v>5842</v>
      </c>
      <c r="K3223" s="811">
        <v>42608</v>
      </c>
      <c r="L3223" s="1477"/>
      <c r="M3223" s="811">
        <v>42604</v>
      </c>
      <c r="N3223" s="331" t="s">
        <v>2001</v>
      </c>
      <c r="O3223" s="263" t="s">
        <v>10040</v>
      </c>
      <c r="P3223" s="752"/>
      <c r="Q3223" s="318">
        <v>75810</v>
      </c>
      <c r="R3223" s="1410"/>
      <c r="S3223" s="1410"/>
      <c r="U3223" s="386"/>
      <c r="V3223" s="318" t="s">
        <v>2003</v>
      </c>
      <c r="W3223" s="1096">
        <v>42648</v>
      </c>
      <c r="X3223" s="1083">
        <v>42601</v>
      </c>
      <c r="Y3223" s="263" t="s">
        <v>10041</v>
      </c>
      <c r="Z3223" s="1086">
        <v>75810</v>
      </c>
      <c r="AA3223" s="811">
        <v>42649</v>
      </c>
      <c r="AB3223" s="318" t="s">
        <v>9829</v>
      </c>
      <c r="AD3223" s="1092"/>
      <c r="AE3223" s="1103"/>
      <c r="AF3223" s="1092"/>
      <c r="AG3223" s="386" t="s">
        <v>283</v>
      </c>
    </row>
    <row r="3224" spans="1:33" ht="15.75" customHeight="1">
      <c r="A3224" s="743">
        <v>42634</v>
      </c>
      <c r="B3224" s="338" t="s">
        <v>100</v>
      </c>
      <c r="C3224" s="263" t="s">
        <v>10042</v>
      </c>
      <c r="D3224" s="318" t="s">
        <v>10043</v>
      </c>
      <c r="E3224" s="308" t="s">
        <v>6119</v>
      </c>
      <c r="F3224" s="752">
        <v>6</v>
      </c>
      <c r="G3224" s="752">
        <v>62</v>
      </c>
      <c r="H3224" s="265">
        <f t="shared" si="200"/>
        <v>372</v>
      </c>
      <c r="I3224" s="264" t="s">
        <v>3315</v>
      </c>
      <c r="J3224" s="331" t="s">
        <v>5842</v>
      </c>
      <c r="K3224" s="811">
        <v>42654</v>
      </c>
      <c r="L3224" s="1477"/>
      <c r="M3224" s="811">
        <v>42640</v>
      </c>
      <c r="N3224" s="331" t="s">
        <v>6735</v>
      </c>
      <c r="O3224" s="263" t="s">
        <v>10044</v>
      </c>
      <c r="P3224" s="752"/>
      <c r="Q3224" s="318">
        <v>6458</v>
      </c>
      <c r="R3224" s="1410"/>
      <c r="S3224" s="1410"/>
      <c r="U3224" s="386"/>
      <c r="V3224" s="318" t="s">
        <v>2126</v>
      </c>
      <c r="W3224" s="752" t="s">
        <v>9833</v>
      </c>
      <c r="X3224" s="1083">
        <v>42639</v>
      </c>
      <c r="Y3224" s="263" t="s">
        <v>10045</v>
      </c>
      <c r="Z3224" s="1086">
        <v>6458</v>
      </c>
      <c r="AA3224" s="811"/>
      <c r="AB3224" s="318" t="s">
        <v>10046</v>
      </c>
      <c r="AD3224" s="1092"/>
      <c r="AE3224" s="1103"/>
      <c r="AF3224" s="1092"/>
      <c r="AG3224" s="386" t="s">
        <v>283</v>
      </c>
    </row>
    <row r="3225" spans="1:33" ht="15.75" customHeight="1">
      <c r="A3225" s="755">
        <v>42635</v>
      </c>
      <c r="B3225" s="338" t="s">
        <v>8751</v>
      </c>
      <c r="C3225" s="263">
        <v>7000124248</v>
      </c>
      <c r="D3225" s="318" t="s">
        <v>10047</v>
      </c>
      <c r="E3225" s="970">
        <v>1702002605</v>
      </c>
      <c r="F3225" s="752">
        <v>1</v>
      </c>
      <c r="G3225" s="752">
        <v>3</v>
      </c>
      <c r="H3225" s="265">
        <f t="shared" si="200"/>
        <v>3</v>
      </c>
      <c r="I3225" s="264" t="s">
        <v>42</v>
      </c>
      <c r="J3225" s="756" t="s">
        <v>3462</v>
      </c>
      <c r="K3225" s="811">
        <v>42646</v>
      </c>
      <c r="L3225" s="1477"/>
      <c r="M3225" s="811">
        <v>42643</v>
      </c>
      <c r="N3225" s="331" t="s">
        <v>5935</v>
      </c>
      <c r="O3225" s="263" t="s">
        <v>10048</v>
      </c>
      <c r="P3225" s="752"/>
      <c r="Q3225" s="338">
        <v>63</v>
      </c>
      <c r="R3225" s="1458"/>
      <c r="S3225" s="1458"/>
      <c r="U3225" s="386"/>
      <c r="V3225" s="318" t="s">
        <v>5937</v>
      </c>
      <c r="W3225" s="1096">
        <v>42679</v>
      </c>
      <c r="X3225" s="1083">
        <v>42639</v>
      </c>
      <c r="Y3225" s="263" t="s">
        <v>10049</v>
      </c>
      <c r="Z3225" s="1086">
        <v>20546</v>
      </c>
      <c r="AA3225" s="811">
        <v>42678</v>
      </c>
      <c r="AB3225" s="318" t="s">
        <v>10003</v>
      </c>
      <c r="AD3225" s="1092"/>
      <c r="AE3225" s="1103"/>
      <c r="AF3225" s="1092"/>
      <c r="AG3225" s="386" t="s">
        <v>283</v>
      </c>
    </row>
    <row r="3226" spans="1:33" ht="15.75" customHeight="1">
      <c r="A3226" s="755">
        <v>42635</v>
      </c>
      <c r="B3226" s="338" t="s">
        <v>8751</v>
      </c>
      <c r="C3226" s="263">
        <v>7000124248</v>
      </c>
      <c r="D3226" s="318" t="s">
        <v>10047</v>
      </c>
      <c r="E3226" s="338" t="s">
        <v>7534</v>
      </c>
      <c r="F3226" s="752">
        <v>2</v>
      </c>
      <c r="G3226" s="752">
        <v>181</v>
      </c>
      <c r="H3226" s="265">
        <f t="shared" si="200"/>
        <v>362</v>
      </c>
      <c r="I3226" s="264" t="s">
        <v>42</v>
      </c>
      <c r="J3226" s="756" t="s">
        <v>3462</v>
      </c>
      <c r="K3226" s="811">
        <v>42646</v>
      </c>
      <c r="L3226" s="1477"/>
      <c r="M3226" s="811">
        <v>42643</v>
      </c>
      <c r="N3226" s="331" t="s">
        <v>5935</v>
      </c>
      <c r="O3226" s="263" t="s">
        <v>10048</v>
      </c>
      <c r="P3226" s="752"/>
      <c r="Q3226" s="338">
        <v>10564</v>
      </c>
      <c r="R3226" s="1458"/>
      <c r="S3226" s="1458"/>
      <c r="U3226" s="386"/>
      <c r="V3226" s="318" t="s">
        <v>5937</v>
      </c>
      <c r="W3226" s="1096">
        <v>42679</v>
      </c>
      <c r="X3226" s="1083">
        <v>42639</v>
      </c>
      <c r="Y3226" s="263" t="s">
        <v>10049</v>
      </c>
      <c r="Z3226" s="1086" t="s">
        <v>7516</v>
      </c>
      <c r="AA3226" s="811">
        <v>42678</v>
      </c>
      <c r="AB3226" s="318" t="s">
        <v>10003</v>
      </c>
      <c r="AD3226" s="1092"/>
      <c r="AE3226" s="1103"/>
      <c r="AF3226" s="1092"/>
      <c r="AG3226" s="386" t="s">
        <v>283</v>
      </c>
    </row>
    <row r="3227" spans="1:33" ht="15.75" customHeight="1">
      <c r="A3227" s="755">
        <v>42635</v>
      </c>
      <c r="B3227" s="338" t="s">
        <v>8751</v>
      </c>
      <c r="C3227" s="263">
        <v>7000124248</v>
      </c>
      <c r="D3227" s="318" t="s">
        <v>10047</v>
      </c>
      <c r="E3227" s="338" t="s">
        <v>4493</v>
      </c>
      <c r="F3227" s="752">
        <v>2</v>
      </c>
      <c r="G3227" s="752">
        <v>110</v>
      </c>
      <c r="H3227" s="265">
        <f t="shared" si="200"/>
        <v>220</v>
      </c>
      <c r="I3227" s="264" t="s">
        <v>42</v>
      </c>
      <c r="J3227" s="756" t="s">
        <v>3462</v>
      </c>
      <c r="K3227" s="811">
        <v>42646</v>
      </c>
      <c r="L3227" s="1477"/>
      <c r="M3227" s="811">
        <v>42643</v>
      </c>
      <c r="N3227" s="331" t="s">
        <v>5935</v>
      </c>
      <c r="O3227" s="263" t="s">
        <v>10048</v>
      </c>
      <c r="P3227" s="752"/>
      <c r="Q3227" s="338">
        <v>6430</v>
      </c>
      <c r="R3227" s="1458"/>
      <c r="S3227" s="1458"/>
      <c r="U3227" s="386"/>
      <c r="V3227" s="318" t="s">
        <v>5937</v>
      </c>
      <c r="W3227" s="1096">
        <v>42679</v>
      </c>
      <c r="X3227" s="1083">
        <v>42639</v>
      </c>
      <c r="Y3227" s="263" t="s">
        <v>10049</v>
      </c>
      <c r="Z3227" s="1086" t="s">
        <v>7516</v>
      </c>
      <c r="AA3227" s="811">
        <v>42678</v>
      </c>
      <c r="AB3227" s="318" t="s">
        <v>10003</v>
      </c>
      <c r="AD3227" s="1092"/>
      <c r="AE3227" s="1103"/>
      <c r="AF3227" s="1092"/>
      <c r="AG3227" s="386" t="s">
        <v>283</v>
      </c>
    </row>
    <row r="3228" spans="1:33" ht="15.75" customHeight="1">
      <c r="A3228" s="755">
        <v>42635</v>
      </c>
      <c r="B3228" s="338" t="s">
        <v>8751</v>
      </c>
      <c r="C3228" s="263">
        <v>7000124248</v>
      </c>
      <c r="D3228" s="318" t="s">
        <v>10047</v>
      </c>
      <c r="E3228" s="338" t="s">
        <v>10017</v>
      </c>
      <c r="F3228" s="752">
        <v>1</v>
      </c>
      <c r="G3228" s="752">
        <v>119</v>
      </c>
      <c r="H3228" s="265">
        <f t="shared" si="200"/>
        <v>119</v>
      </c>
      <c r="I3228" s="264" t="s">
        <v>42</v>
      </c>
      <c r="J3228" s="756" t="s">
        <v>3462</v>
      </c>
      <c r="K3228" s="811">
        <v>42646</v>
      </c>
      <c r="L3228" s="1477"/>
      <c r="M3228" s="811">
        <v>42643</v>
      </c>
      <c r="N3228" s="331" t="s">
        <v>5935</v>
      </c>
      <c r="O3228" s="263" t="s">
        <v>10048</v>
      </c>
      <c r="P3228" s="752"/>
      <c r="Q3228" s="338">
        <v>3490</v>
      </c>
      <c r="R3228" s="1458"/>
      <c r="S3228" s="1458"/>
      <c r="U3228" s="386"/>
      <c r="V3228" s="318" t="s">
        <v>5937</v>
      </c>
      <c r="W3228" s="1096">
        <v>42679</v>
      </c>
      <c r="X3228" s="1083">
        <v>42639</v>
      </c>
      <c r="Y3228" s="263" t="s">
        <v>10049</v>
      </c>
      <c r="Z3228" s="1086" t="s">
        <v>7516</v>
      </c>
      <c r="AA3228" s="811">
        <v>42678</v>
      </c>
      <c r="AB3228" s="318" t="s">
        <v>10003</v>
      </c>
      <c r="AD3228" s="1092"/>
      <c r="AE3228" s="1103"/>
      <c r="AF3228" s="1092"/>
      <c r="AG3228" s="386" t="s">
        <v>283</v>
      </c>
    </row>
    <row r="3229" spans="1:33" ht="15.75" customHeight="1">
      <c r="A3229" s="755">
        <v>42635</v>
      </c>
      <c r="B3229" s="338" t="s">
        <v>3347</v>
      </c>
      <c r="C3229" s="970" t="s">
        <v>10050</v>
      </c>
      <c r="D3229" s="308" t="s">
        <v>10051</v>
      </c>
      <c r="E3229" s="328" t="s">
        <v>9913</v>
      </c>
      <c r="F3229" s="574">
        <v>100</v>
      </c>
      <c r="G3229" s="752">
        <v>178</v>
      </c>
      <c r="H3229" s="265">
        <f t="shared" si="200"/>
        <v>17800</v>
      </c>
      <c r="I3229" s="264" t="s">
        <v>170</v>
      </c>
      <c r="J3229" s="592" t="s">
        <v>3350</v>
      </c>
      <c r="K3229" s="256">
        <v>42688</v>
      </c>
      <c r="L3229" s="1477"/>
      <c r="M3229" s="811">
        <v>42685</v>
      </c>
      <c r="N3229" s="331" t="s">
        <v>89</v>
      </c>
      <c r="O3229" s="263" t="s">
        <v>10052</v>
      </c>
      <c r="P3229" s="574">
        <v>16800</v>
      </c>
      <c r="Q3229" s="1130"/>
      <c r="R3229" s="1427"/>
      <c r="S3229" s="1427"/>
      <c r="U3229" s="386"/>
      <c r="V3229" s="318" t="s">
        <v>5896</v>
      </c>
      <c r="W3229" s="1096">
        <v>42740</v>
      </c>
      <c r="X3229" s="1083">
        <v>42684</v>
      </c>
      <c r="Y3229" s="263" t="s">
        <v>10053</v>
      </c>
      <c r="Z3229" s="1086">
        <v>520102</v>
      </c>
      <c r="AA3229" s="811">
        <v>42724</v>
      </c>
      <c r="AB3229" s="318" t="s">
        <v>10054</v>
      </c>
      <c r="AD3229" s="318"/>
      <c r="AE3229" s="1100"/>
      <c r="AF3229" s="318"/>
      <c r="AG3229" s="386" t="s">
        <v>283</v>
      </c>
    </row>
    <row r="3230" spans="1:33" ht="15.75" customHeight="1">
      <c r="A3230" s="755">
        <v>42636</v>
      </c>
      <c r="B3230" s="338" t="s">
        <v>10055</v>
      </c>
      <c r="C3230" s="263">
        <v>7808</v>
      </c>
      <c r="D3230" s="318" t="s">
        <v>10056</v>
      </c>
      <c r="E3230" s="338" t="s">
        <v>10057</v>
      </c>
      <c r="F3230" s="752">
        <v>12</v>
      </c>
      <c r="G3230" s="752">
        <v>675</v>
      </c>
      <c r="H3230" s="265">
        <f t="shared" si="200"/>
        <v>8100</v>
      </c>
      <c r="I3230" s="264" t="s">
        <v>3315</v>
      </c>
      <c r="J3230" s="331" t="s">
        <v>3316</v>
      </c>
      <c r="K3230" s="811">
        <v>42691</v>
      </c>
      <c r="L3230" s="1477"/>
      <c r="M3230" s="802" t="s">
        <v>10058</v>
      </c>
      <c r="N3230" s="331" t="s">
        <v>6642</v>
      </c>
      <c r="O3230" s="386" t="s">
        <v>10059</v>
      </c>
      <c r="P3230" s="574">
        <v>7560</v>
      </c>
      <c r="Q3230" s="630">
        <v>236779</v>
      </c>
      <c r="R3230" s="1415"/>
      <c r="S3230" s="1415"/>
      <c r="U3230" s="386"/>
      <c r="V3230" s="1131" t="s">
        <v>2274</v>
      </c>
      <c r="W3230" s="1096">
        <v>42715</v>
      </c>
      <c r="X3230" s="263" t="s">
        <v>10060</v>
      </c>
      <c r="Y3230" s="263" t="s">
        <v>10061</v>
      </c>
      <c r="Z3230" s="1086" t="s">
        <v>10062</v>
      </c>
      <c r="AA3230" s="811">
        <v>42740</v>
      </c>
      <c r="AB3230" s="318" t="s">
        <v>10063</v>
      </c>
      <c r="AD3230" s="318"/>
      <c r="AE3230" s="1100"/>
      <c r="AF3230" s="318"/>
      <c r="AG3230" s="386" t="s">
        <v>283</v>
      </c>
    </row>
    <row r="3231" spans="1:33" ht="15.75" customHeight="1">
      <c r="A3231" s="755">
        <v>42636</v>
      </c>
      <c r="B3231" s="338" t="s">
        <v>10055</v>
      </c>
      <c r="C3231" s="263">
        <v>7808</v>
      </c>
      <c r="D3231" s="318" t="s">
        <v>10056</v>
      </c>
      <c r="E3231" s="338" t="s">
        <v>10064</v>
      </c>
      <c r="F3231" s="752"/>
      <c r="G3231" s="752">
        <v>800</v>
      </c>
      <c r="H3231" s="265">
        <v>800</v>
      </c>
      <c r="I3231" s="264" t="s">
        <v>3315</v>
      </c>
      <c r="J3231" s="331" t="s">
        <v>3316</v>
      </c>
      <c r="K3231" s="811">
        <v>42691</v>
      </c>
      <c r="L3231" s="1477"/>
      <c r="M3231" s="811">
        <v>42684</v>
      </c>
      <c r="N3231" s="331" t="s">
        <v>6642</v>
      </c>
      <c r="O3231" s="386" t="s">
        <v>10065</v>
      </c>
      <c r="P3231" s="1132">
        <v>420</v>
      </c>
      <c r="Q3231" s="792">
        <v>13155</v>
      </c>
      <c r="R3231" s="1415"/>
      <c r="S3231" s="1415"/>
      <c r="U3231" s="386"/>
      <c r="V3231" s="1133" t="s">
        <v>2274</v>
      </c>
      <c r="W3231" s="1096">
        <v>42715</v>
      </c>
      <c r="X3231" s="1083">
        <v>42685</v>
      </c>
      <c r="Y3231" s="263" t="s">
        <v>10066</v>
      </c>
      <c r="Z3231" s="1086" t="s">
        <v>7521</v>
      </c>
      <c r="AA3231" s="811">
        <v>42740</v>
      </c>
      <c r="AB3231" s="318" t="s">
        <v>10063</v>
      </c>
      <c r="AD3231" s="318"/>
      <c r="AE3231" s="1100"/>
      <c r="AF3231" s="318"/>
      <c r="AG3231" s="386" t="s">
        <v>283</v>
      </c>
    </row>
    <row r="3232" spans="1:33" ht="15.75" customHeight="1">
      <c r="A3232" s="755">
        <v>42639</v>
      </c>
      <c r="B3232" s="338" t="s">
        <v>100</v>
      </c>
      <c r="C3232" s="263" t="s">
        <v>10067</v>
      </c>
      <c r="D3232" s="318" t="s">
        <v>10068</v>
      </c>
      <c r="E3232" s="338" t="s">
        <v>6088</v>
      </c>
      <c r="F3232" s="752">
        <v>2</v>
      </c>
      <c r="G3232" s="752">
        <v>195</v>
      </c>
      <c r="H3232" s="265">
        <f t="shared" ref="H3232:H3233" si="201">G3232*F3232</f>
        <v>390</v>
      </c>
      <c r="I3232" s="264" t="s">
        <v>3315</v>
      </c>
      <c r="J3232" s="331" t="s">
        <v>5842</v>
      </c>
      <c r="K3232" s="811">
        <v>42646</v>
      </c>
      <c r="L3232" s="1477"/>
      <c r="M3232" s="811">
        <v>42642</v>
      </c>
      <c r="N3232" s="331" t="s">
        <v>5935</v>
      </c>
      <c r="O3232" s="263" t="s">
        <v>10069</v>
      </c>
      <c r="P3232" s="752"/>
      <c r="Q3232" s="978">
        <v>11153</v>
      </c>
      <c r="R3232" s="1428"/>
      <c r="S3232" s="1428"/>
      <c r="U3232" s="386"/>
      <c r="V3232" s="318" t="s">
        <v>5937</v>
      </c>
      <c r="W3232" s="1096">
        <v>42679</v>
      </c>
      <c r="X3232" s="1083">
        <v>42639</v>
      </c>
      <c r="Y3232" s="263" t="s">
        <v>10070</v>
      </c>
      <c r="Z3232" s="1086">
        <v>11153</v>
      </c>
      <c r="AA3232" s="811">
        <v>42678</v>
      </c>
      <c r="AB3232" s="263" t="s">
        <v>9976</v>
      </c>
      <c r="AD3232" s="1092"/>
      <c r="AE3232" s="1103"/>
      <c r="AF3232" s="1092"/>
      <c r="AG3232" s="386" t="s">
        <v>283</v>
      </c>
    </row>
    <row r="3233" spans="1:33" ht="15.75" customHeight="1">
      <c r="A3233" s="755">
        <v>42639</v>
      </c>
      <c r="B3233" s="338" t="s">
        <v>100</v>
      </c>
      <c r="C3233" s="263" t="s">
        <v>10071</v>
      </c>
      <c r="D3233" s="318" t="s">
        <v>10072</v>
      </c>
      <c r="E3233" s="338" t="s">
        <v>6344</v>
      </c>
      <c r="F3233" s="752">
        <v>6</v>
      </c>
      <c r="G3233" s="752">
        <v>141</v>
      </c>
      <c r="H3233" s="265">
        <f t="shared" si="201"/>
        <v>846</v>
      </c>
      <c r="I3233" s="264" t="s">
        <v>3315</v>
      </c>
      <c r="J3233" s="331" t="s">
        <v>5842</v>
      </c>
      <c r="K3233" s="811">
        <v>42646</v>
      </c>
      <c r="L3233" s="1477"/>
      <c r="M3233" s="811">
        <v>42646</v>
      </c>
      <c r="N3233" s="264" t="s">
        <v>9537</v>
      </c>
      <c r="O3233" s="250" t="s">
        <v>10073</v>
      </c>
      <c r="P3233" s="752"/>
      <c r="Q3233" s="978" t="s">
        <v>10074</v>
      </c>
      <c r="R3233" s="1428"/>
      <c r="S3233" s="1428"/>
      <c r="U3233" s="386"/>
      <c r="V3233" s="318" t="s">
        <v>6186</v>
      </c>
      <c r="W3233" s="1134">
        <v>42704</v>
      </c>
      <c r="X3233" s="263" t="s">
        <v>10075</v>
      </c>
      <c r="Y3233" s="263" t="s">
        <v>10076</v>
      </c>
      <c r="Z3233" s="1086" t="s">
        <v>10077</v>
      </c>
      <c r="AA3233" s="811">
        <v>42702</v>
      </c>
      <c r="AB3233" s="263" t="s">
        <v>9976</v>
      </c>
      <c r="AD3233" s="1092"/>
      <c r="AE3233" s="1103"/>
      <c r="AF3233" s="1092"/>
      <c r="AG3233" s="386" t="s">
        <v>283</v>
      </c>
    </row>
    <row r="3234" spans="1:33" ht="15.75" customHeight="1">
      <c r="A3234" s="755">
        <v>42639</v>
      </c>
      <c r="B3234" s="338" t="s">
        <v>5931</v>
      </c>
      <c r="C3234" s="263">
        <v>803899</v>
      </c>
      <c r="D3234" s="318" t="s">
        <v>10078</v>
      </c>
      <c r="E3234" s="338" t="s">
        <v>9931</v>
      </c>
      <c r="F3234" s="752">
        <v>20</v>
      </c>
      <c r="G3234" s="752">
        <v>81</v>
      </c>
      <c r="H3234" s="265">
        <f>F3234*G3234</f>
        <v>1620</v>
      </c>
      <c r="I3234" s="1029" t="s">
        <v>3315</v>
      </c>
      <c r="J3234" s="331" t="s">
        <v>5934</v>
      </c>
      <c r="K3234" s="811">
        <v>42677</v>
      </c>
      <c r="L3234" s="1477"/>
      <c r="M3234" s="811">
        <v>42675</v>
      </c>
      <c r="N3234" s="331" t="s">
        <v>9932</v>
      </c>
      <c r="O3234" s="590" t="s">
        <v>10079</v>
      </c>
      <c r="P3234" s="752"/>
      <c r="Q3234" s="1135">
        <v>42756</v>
      </c>
      <c r="R3234" s="1460"/>
      <c r="S3234" s="1460"/>
      <c r="U3234" s="386"/>
      <c r="V3234" s="318" t="s">
        <v>10080</v>
      </c>
      <c r="W3234" s="1096">
        <v>42670</v>
      </c>
      <c r="X3234" s="1083">
        <v>42671</v>
      </c>
      <c r="Y3234" s="263" t="s">
        <v>10081</v>
      </c>
      <c r="Z3234" s="1086">
        <v>42756</v>
      </c>
      <c r="AA3234" s="811">
        <v>42670</v>
      </c>
      <c r="AB3234" s="318" t="s">
        <v>10082</v>
      </c>
      <c r="AD3234" s="318"/>
      <c r="AE3234" s="1100"/>
      <c r="AF3234" s="318"/>
      <c r="AG3234" s="386" t="s">
        <v>283</v>
      </c>
    </row>
    <row r="3235" spans="1:33" ht="15.75" customHeight="1">
      <c r="A3235" s="755">
        <v>42640</v>
      </c>
      <c r="B3235" s="338" t="s">
        <v>3347</v>
      </c>
      <c r="C3235" s="970" t="s">
        <v>10050</v>
      </c>
      <c r="D3235" s="308" t="s">
        <v>10083</v>
      </c>
      <c r="E3235" s="571" t="s">
        <v>5894</v>
      </c>
      <c r="F3235" s="752">
        <v>15</v>
      </c>
      <c r="G3235" s="752">
        <v>355</v>
      </c>
      <c r="H3235" s="265">
        <f t="shared" ref="H3235:H3241" si="202">G3235*F3235</f>
        <v>5325</v>
      </c>
      <c r="I3235" s="264" t="s">
        <v>170</v>
      </c>
      <c r="J3235" s="592" t="s">
        <v>3350</v>
      </c>
      <c r="K3235" s="256">
        <v>42688</v>
      </c>
      <c r="L3235" s="1477"/>
      <c r="M3235" s="811">
        <v>42685</v>
      </c>
      <c r="N3235" s="331" t="s">
        <v>89</v>
      </c>
      <c r="O3235" s="1136" t="s">
        <v>10084</v>
      </c>
      <c r="P3235" s="752">
        <v>6951</v>
      </c>
      <c r="Q3235" s="1130"/>
      <c r="R3235" s="1427"/>
      <c r="S3235" s="1427"/>
      <c r="U3235" s="386"/>
      <c r="V3235" s="318" t="s">
        <v>5896</v>
      </c>
      <c r="W3235" s="1096">
        <v>42740</v>
      </c>
      <c r="X3235" s="1083">
        <v>42684</v>
      </c>
      <c r="Y3235" s="263" t="s">
        <v>10085</v>
      </c>
      <c r="Z3235" s="1086">
        <v>152552</v>
      </c>
      <c r="AA3235" s="254" t="s">
        <v>10086</v>
      </c>
      <c r="AB3235" s="318" t="s">
        <v>10054</v>
      </c>
      <c r="AD3235" s="318"/>
      <c r="AE3235" s="1100"/>
      <c r="AF3235" s="318"/>
      <c r="AG3235" s="386" t="s">
        <v>283</v>
      </c>
    </row>
    <row r="3236" spans="1:33" ht="15.75" customHeight="1">
      <c r="A3236" s="755">
        <v>42640</v>
      </c>
      <c r="B3236" s="338" t="s">
        <v>3347</v>
      </c>
      <c r="C3236" s="970" t="s">
        <v>10050</v>
      </c>
      <c r="D3236" s="308" t="s">
        <v>10083</v>
      </c>
      <c r="E3236" s="571" t="s">
        <v>5894</v>
      </c>
      <c r="F3236" s="752">
        <v>5</v>
      </c>
      <c r="G3236" s="752">
        <v>355</v>
      </c>
      <c r="H3236" s="265">
        <f t="shared" si="202"/>
        <v>1775</v>
      </c>
      <c r="I3236" s="264" t="s">
        <v>170</v>
      </c>
      <c r="J3236" s="592" t="s">
        <v>3350</v>
      </c>
      <c r="K3236" s="256">
        <v>42688</v>
      </c>
      <c r="L3236" s="1477"/>
      <c r="M3236" s="811">
        <v>42675</v>
      </c>
      <c r="N3236" s="331" t="s">
        <v>89</v>
      </c>
      <c r="O3236" s="1136" t="s">
        <v>10084</v>
      </c>
      <c r="P3236" s="1107"/>
      <c r="Q3236" s="1130"/>
      <c r="R3236" s="1427"/>
      <c r="S3236" s="1427"/>
      <c r="U3236" s="386"/>
      <c r="V3236" s="318" t="s">
        <v>5896</v>
      </c>
      <c r="W3236" s="1137"/>
      <c r="X3236" s="1083">
        <v>42675</v>
      </c>
      <c r="Y3236" s="263" t="s">
        <v>10087</v>
      </c>
      <c r="Z3236" s="1086">
        <v>50851</v>
      </c>
      <c r="AA3236" s="811">
        <v>42724</v>
      </c>
      <c r="AB3236" s="318" t="s">
        <v>10054</v>
      </c>
      <c r="AD3236" s="318"/>
      <c r="AE3236" s="1100"/>
      <c r="AF3236" s="318"/>
      <c r="AG3236" s="386" t="s">
        <v>283</v>
      </c>
    </row>
    <row r="3237" spans="1:33" ht="15.75" customHeight="1">
      <c r="A3237" s="755">
        <v>42640</v>
      </c>
      <c r="B3237" s="338" t="s">
        <v>8751</v>
      </c>
      <c r="C3237" s="263">
        <v>7000124248</v>
      </c>
      <c r="D3237" s="318" t="s">
        <v>10088</v>
      </c>
      <c r="E3237" s="338" t="s">
        <v>10017</v>
      </c>
      <c r="F3237" s="752">
        <v>2</v>
      </c>
      <c r="G3237" s="752">
        <v>119</v>
      </c>
      <c r="H3237" s="265">
        <f t="shared" si="202"/>
        <v>238</v>
      </c>
      <c r="I3237" s="264" t="s">
        <v>42</v>
      </c>
      <c r="J3237" s="756" t="s">
        <v>3462</v>
      </c>
      <c r="K3237" s="811">
        <v>42646</v>
      </c>
      <c r="L3237" s="1477"/>
      <c r="M3237" s="811">
        <v>42643</v>
      </c>
      <c r="N3237" s="331" t="s">
        <v>5935</v>
      </c>
      <c r="O3237" s="263" t="s">
        <v>10089</v>
      </c>
      <c r="P3237" s="752"/>
      <c r="Q3237" s="978">
        <v>6980</v>
      </c>
      <c r="R3237" s="1428"/>
      <c r="S3237" s="1428"/>
      <c r="U3237" s="386"/>
      <c r="V3237" s="318" t="s">
        <v>5937</v>
      </c>
      <c r="W3237" s="1096">
        <v>42679</v>
      </c>
      <c r="X3237" s="1083">
        <v>42643</v>
      </c>
      <c r="Y3237" s="263" t="s">
        <v>10090</v>
      </c>
      <c r="Z3237" s="1086">
        <v>6980</v>
      </c>
      <c r="AA3237" s="811">
        <v>42678</v>
      </c>
      <c r="AB3237" s="318" t="s">
        <v>10003</v>
      </c>
      <c r="AD3237" s="1092"/>
      <c r="AE3237" s="1103"/>
      <c r="AF3237" s="1092"/>
      <c r="AG3237" s="386" t="s">
        <v>283</v>
      </c>
    </row>
    <row r="3238" spans="1:33" ht="15.75" customHeight="1">
      <c r="A3238" s="755">
        <v>42642</v>
      </c>
      <c r="B3238" s="338" t="s">
        <v>100</v>
      </c>
      <c r="C3238" s="263" t="s">
        <v>10091</v>
      </c>
      <c r="D3238" s="338" t="s">
        <v>10092</v>
      </c>
      <c r="E3238" s="338" t="s">
        <v>10093</v>
      </c>
      <c r="F3238" s="752">
        <v>2</v>
      </c>
      <c r="G3238" s="752">
        <v>339</v>
      </c>
      <c r="H3238" s="265">
        <f t="shared" si="202"/>
        <v>678</v>
      </c>
      <c r="I3238" s="264" t="s">
        <v>3315</v>
      </c>
      <c r="J3238" s="331" t="s">
        <v>5842</v>
      </c>
      <c r="K3238" s="811">
        <v>42656</v>
      </c>
      <c r="L3238" s="1477"/>
      <c r="M3238" s="811">
        <v>42655</v>
      </c>
      <c r="N3238" s="331" t="s">
        <v>1995</v>
      </c>
      <c r="O3238" s="263" t="s">
        <v>10094</v>
      </c>
      <c r="P3238" s="752"/>
      <c r="Q3238" s="978">
        <v>20082</v>
      </c>
      <c r="R3238" s="1428"/>
      <c r="S3238" s="1428"/>
      <c r="U3238" s="386"/>
      <c r="V3238" s="338" t="s">
        <v>1997</v>
      </c>
      <c r="W3238" s="1096">
        <v>42650</v>
      </c>
      <c r="X3238" s="1083">
        <v>42655</v>
      </c>
      <c r="Y3238" s="263" t="s">
        <v>10095</v>
      </c>
      <c r="Z3238" s="1086">
        <v>21991</v>
      </c>
      <c r="AA3238" s="811">
        <v>42649</v>
      </c>
      <c r="AB3238" s="263" t="s">
        <v>10096</v>
      </c>
      <c r="AD3238" s="1092"/>
      <c r="AE3238" s="1103"/>
      <c r="AF3238" s="1092"/>
      <c r="AG3238" s="386" t="s">
        <v>283</v>
      </c>
    </row>
    <row r="3239" spans="1:33" ht="15.75" customHeight="1">
      <c r="A3239" s="755">
        <v>42642</v>
      </c>
      <c r="B3239" s="338" t="s">
        <v>100</v>
      </c>
      <c r="C3239" s="263" t="s">
        <v>10091</v>
      </c>
      <c r="D3239" s="338" t="s">
        <v>10092</v>
      </c>
      <c r="E3239" s="338" t="s">
        <v>10097</v>
      </c>
      <c r="F3239" s="752">
        <v>2</v>
      </c>
      <c r="G3239" s="752">
        <v>36</v>
      </c>
      <c r="H3239" s="265">
        <f t="shared" si="202"/>
        <v>72</v>
      </c>
      <c r="I3239" s="264" t="s">
        <v>3315</v>
      </c>
      <c r="J3239" s="331" t="s">
        <v>5842</v>
      </c>
      <c r="K3239" s="811">
        <v>42656</v>
      </c>
      <c r="L3239" s="1477"/>
      <c r="M3239" s="811">
        <v>42655</v>
      </c>
      <c r="N3239" s="331" t="s">
        <v>1995</v>
      </c>
      <c r="O3239" s="263" t="s">
        <v>10094</v>
      </c>
      <c r="P3239" s="752"/>
      <c r="Q3239" s="978">
        <v>1909</v>
      </c>
      <c r="R3239" s="1428"/>
      <c r="S3239" s="1428"/>
      <c r="U3239" s="386"/>
      <c r="V3239" s="338" t="s">
        <v>1997</v>
      </c>
      <c r="W3239" s="1096">
        <v>42650</v>
      </c>
      <c r="X3239" s="1083">
        <v>42655</v>
      </c>
      <c r="Y3239" s="263" t="s">
        <v>10095</v>
      </c>
      <c r="Z3239" s="1086" t="s">
        <v>10098</v>
      </c>
      <c r="AA3239" s="811">
        <v>42649</v>
      </c>
      <c r="AB3239" s="263" t="s">
        <v>10096</v>
      </c>
      <c r="AD3239" s="1092"/>
      <c r="AE3239" s="1103"/>
      <c r="AF3239" s="1092"/>
      <c r="AG3239" s="386" t="s">
        <v>283</v>
      </c>
    </row>
    <row r="3240" spans="1:33" ht="15.75" customHeight="1">
      <c r="A3240" s="755">
        <v>42642</v>
      </c>
      <c r="B3240" s="338" t="s">
        <v>228</v>
      </c>
      <c r="C3240" s="263" t="s">
        <v>10099</v>
      </c>
      <c r="D3240" s="318" t="s">
        <v>10100</v>
      </c>
      <c r="E3240" s="571" t="s">
        <v>461</v>
      </c>
      <c r="F3240" s="752">
        <v>67</v>
      </c>
      <c r="G3240" s="574">
        <v>415.8</v>
      </c>
      <c r="H3240" s="265">
        <f t="shared" si="202"/>
        <v>27858.600000000002</v>
      </c>
      <c r="I3240" s="264" t="s">
        <v>170</v>
      </c>
      <c r="J3240" s="331" t="s">
        <v>232</v>
      </c>
      <c r="K3240" s="811">
        <v>42656</v>
      </c>
      <c r="L3240" s="1477"/>
      <c r="M3240" s="1128"/>
      <c r="N3240" s="331" t="s">
        <v>89</v>
      </c>
      <c r="O3240" s="263" t="s">
        <v>10101</v>
      </c>
      <c r="P3240" s="752">
        <v>24974.25</v>
      </c>
      <c r="Q3240" s="1130"/>
      <c r="R3240" s="1427"/>
      <c r="S3240" s="1427"/>
      <c r="U3240" s="386"/>
      <c r="V3240" s="318" t="s">
        <v>5896</v>
      </c>
      <c r="W3240" s="1096">
        <v>42709</v>
      </c>
      <c r="X3240" s="1083">
        <v>42656</v>
      </c>
      <c r="Y3240" s="263" t="s">
        <v>10102</v>
      </c>
      <c r="Z3240" s="1086">
        <v>828988</v>
      </c>
      <c r="AA3240" s="1099">
        <v>42690</v>
      </c>
      <c r="AB3240" s="318" t="s">
        <v>10103</v>
      </c>
      <c r="AD3240" s="590" t="s">
        <v>10104</v>
      </c>
      <c r="AE3240" s="1100">
        <v>934306</v>
      </c>
      <c r="AF3240" s="318" t="s">
        <v>10105</v>
      </c>
      <c r="AG3240" s="1091"/>
    </row>
    <row r="3241" spans="1:33" ht="15.75" customHeight="1">
      <c r="A3241" s="755">
        <v>42642</v>
      </c>
      <c r="B3241" s="338" t="s">
        <v>228</v>
      </c>
      <c r="C3241" s="263"/>
      <c r="D3241" s="318" t="s">
        <v>10100</v>
      </c>
      <c r="E3241" s="592" t="s">
        <v>3604</v>
      </c>
      <c r="F3241" s="752">
        <v>5</v>
      </c>
      <c r="G3241" s="752">
        <v>336</v>
      </c>
      <c r="H3241" s="265">
        <f t="shared" si="202"/>
        <v>1680</v>
      </c>
      <c r="I3241" s="264" t="s">
        <v>170</v>
      </c>
      <c r="J3241" s="331" t="s">
        <v>232</v>
      </c>
      <c r="K3241" s="811">
        <v>42656</v>
      </c>
      <c r="L3241" s="1477"/>
      <c r="M3241" s="1128"/>
      <c r="N3241" s="331" t="s">
        <v>89</v>
      </c>
      <c r="O3241" s="263" t="s">
        <v>10101</v>
      </c>
      <c r="P3241" s="752">
        <v>1506.75</v>
      </c>
      <c r="Q3241" s="1130"/>
      <c r="R3241" s="1427"/>
      <c r="S3241" s="1427"/>
      <c r="U3241" s="386"/>
      <c r="V3241" s="318" t="s">
        <v>5896</v>
      </c>
      <c r="W3241" s="1096">
        <v>42709</v>
      </c>
      <c r="X3241" s="1083">
        <v>42656</v>
      </c>
      <c r="Y3241" s="263" t="s">
        <v>10102</v>
      </c>
      <c r="Z3241" s="1086" t="s">
        <v>10106</v>
      </c>
      <c r="AA3241" s="1099">
        <v>42690</v>
      </c>
      <c r="AB3241" s="318" t="s">
        <v>10103</v>
      </c>
      <c r="AD3241" s="590" t="s">
        <v>10104</v>
      </c>
      <c r="AE3241" s="1100" t="s">
        <v>10107</v>
      </c>
      <c r="AF3241" s="318" t="s">
        <v>10105</v>
      </c>
      <c r="AG3241" s="1091"/>
    </row>
    <row r="3242" spans="1:33" ht="15.75" customHeight="1">
      <c r="A3242" s="775">
        <v>42642</v>
      </c>
      <c r="B3242" s="765" t="s">
        <v>629</v>
      </c>
      <c r="C3242" s="762" t="s">
        <v>10108</v>
      </c>
      <c r="D3242" s="779" t="s">
        <v>10109</v>
      </c>
      <c r="E3242" s="1115" t="s">
        <v>4107</v>
      </c>
      <c r="F3242" s="574">
        <v>15</v>
      </c>
      <c r="G3242" s="464"/>
      <c r="H3242" s="1138"/>
      <c r="I3242" s="586"/>
      <c r="J3242" s="331"/>
      <c r="K3242" s="1093"/>
      <c r="L3242" s="1483"/>
      <c r="M3242" s="814">
        <v>42648</v>
      </c>
      <c r="N3242" s="281" t="s">
        <v>2212</v>
      </c>
      <c r="O3242" s="762" t="s">
        <v>10110</v>
      </c>
      <c r="P3242" s="909"/>
      <c r="Q3242" s="1139"/>
      <c r="R3242" s="1439"/>
      <c r="S3242" s="1439"/>
      <c r="U3242" s="386"/>
      <c r="V3242" s="777" t="s">
        <v>2214</v>
      </c>
      <c r="W3242" s="1137"/>
      <c r="X3242" s="1083"/>
      <c r="Y3242" s="263"/>
      <c r="Z3242" s="1086"/>
      <c r="AA3242" s="1114"/>
      <c r="AB3242" s="318"/>
      <c r="AD3242" s="1092"/>
      <c r="AE3242" s="1103"/>
      <c r="AF3242" s="1092"/>
      <c r="AG3242" s="1091"/>
    </row>
    <row r="3243" spans="1:33" ht="15.75" customHeight="1">
      <c r="A3243" s="775">
        <v>42642</v>
      </c>
      <c r="B3243" s="765" t="s">
        <v>629</v>
      </c>
      <c r="C3243" s="762" t="s">
        <v>10108</v>
      </c>
      <c r="D3243" s="779" t="s">
        <v>10111</v>
      </c>
      <c r="E3243" s="1115" t="s">
        <v>4107</v>
      </c>
      <c r="F3243" s="574">
        <v>15</v>
      </c>
      <c r="G3243" s="464"/>
      <c r="H3243" s="1138"/>
      <c r="I3243" s="586"/>
      <c r="J3243" s="331"/>
      <c r="K3243" s="1093"/>
      <c r="L3243" s="1483"/>
      <c r="M3243" s="814">
        <v>42648</v>
      </c>
      <c r="N3243" s="281" t="s">
        <v>9699</v>
      </c>
      <c r="O3243" s="762" t="s">
        <v>10112</v>
      </c>
      <c r="P3243" s="909"/>
      <c r="Q3243" s="1139"/>
      <c r="R3243" s="1439"/>
      <c r="S3243" s="1439"/>
      <c r="U3243" s="386"/>
      <c r="V3243" s="777" t="s">
        <v>6321</v>
      </c>
      <c r="W3243" s="1137"/>
      <c r="X3243" s="1083"/>
      <c r="Y3243" s="263"/>
      <c r="Z3243" s="1086"/>
      <c r="AA3243" s="1114"/>
      <c r="AB3243" s="318"/>
      <c r="AD3243" s="1092"/>
      <c r="AE3243" s="1103"/>
      <c r="AF3243" s="1092"/>
      <c r="AG3243" s="1091"/>
    </row>
    <row r="3244" spans="1:33" ht="15.75" customHeight="1">
      <c r="A3244" s="755">
        <v>42643</v>
      </c>
      <c r="B3244" s="338" t="s">
        <v>100</v>
      </c>
      <c r="C3244" s="263"/>
      <c r="D3244" s="318" t="s">
        <v>10113</v>
      </c>
      <c r="E3244" s="338" t="s">
        <v>10114</v>
      </c>
      <c r="F3244" s="752">
        <v>1</v>
      </c>
      <c r="G3244" s="752">
        <v>140</v>
      </c>
      <c r="H3244" s="265">
        <f t="shared" ref="H3244:H3248" si="203">G3244*F3244</f>
        <v>140</v>
      </c>
      <c r="I3244" s="264" t="s">
        <v>3315</v>
      </c>
      <c r="J3244" s="331" t="s">
        <v>10115</v>
      </c>
      <c r="K3244" s="811">
        <v>42646</v>
      </c>
      <c r="L3244" s="1477"/>
      <c r="M3244" s="1128"/>
      <c r="N3244" s="331" t="s">
        <v>1999</v>
      </c>
      <c r="O3244" s="263"/>
      <c r="P3244" s="752"/>
      <c r="Q3244" s="1140">
        <v>3992</v>
      </c>
      <c r="R3244" s="1461"/>
      <c r="S3244" s="1461"/>
      <c r="U3244" s="386"/>
      <c r="V3244" s="318" t="s">
        <v>2000</v>
      </c>
      <c r="W3244" s="1096">
        <v>42680</v>
      </c>
      <c r="X3244" s="1083">
        <v>42650</v>
      </c>
      <c r="Y3244" s="263" t="s">
        <v>10116</v>
      </c>
      <c r="Z3244" s="1086">
        <v>3992</v>
      </c>
      <c r="AA3244" s="811">
        <v>42678</v>
      </c>
      <c r="AB3244" s="263" t="s">
        <v>9976</v>
      </c>
      <c r="AD3244" s="1092"/>
      <c r="AE3244" s="1103"/>
      <c r="AF3244" s="1092"/>
      <c r="AG3244" s="386" t="s">
        <v>283</v>
      </c>
    </row>
    <row r="3245" spans="1:33" ht="15.75" customHeight="1">
      <c r="A3245" s="755">
        <v>42643</v>
      </c>
      <c r="B3245" s="338" t="s">
        <v>5017</v>
      </c>
      <c r="C3245" s="318" t="s">
        <v>10117</v>
      </c>
      <c r="D3245" s="318" t="s">
        <v>10118</v>
      </c>
      <c r="E3245" s="338" t="s">
        <v>10119</v>
      </c>
      <c r="F3245" s="752">
        <v>10</v>
      </c>
      <c r="G3245" s="752">
        <f>9.4</f>
        <v>9.4</v>
      </c>
      <c r="H3245" s="265">
        <f t="shared" si="203"/>
        <v>94</v>
      </c>
      <c r="I3245" s="997" t="s">
        <v>3315</v>
      </c>
      <c r="J3245" s="331" t="s">
        <v>10120</v>
      </c>
      <c r="K3245" s="811">
        <v>42656</v>
      </c>
      <c r="L3245" s="1477"/>
      <c r="M3245" s="811">
        <v>42655</v>
      </c>
      <c r="N3245" s="331" t="s">
        <v>2411</v>
      </c>
      <c r="O3245" s="263" t="s">
        <v>10121</v>
      </c>
      <c r="P3245" s="752"/>
      <c r="Q3245" s="978">
        <v>2678</v>
      </c>
      <c r="R3245" s="1428"/>
      <c r="S3245" s="1428"/>
      <c r="U3245" s="386"/>
      <c r="V3245" s="318" t="s">
        <v>4328</v>
      </c>
      <c r="W3245" s="1096">
        <v>42678</v>
      </c>
      <c r="X3245" s="1083">
        <v>42647</v>
      </c>
      <c r="Y3245" s="263" t="s">
        <v>10122</v>
      </c>
      <c r="Z3245" s="1086">
        <v>6038</v>
      </c>
      <c r="AA3245" s="811">
        <v>42678</v>
      </c>
      <c r="AB3245" s="318" t="s">
        <v>10123</v>
      </c>
      <c r="AD3245" s="338" t="s">
        <v>10124</v>
      </c>
      <c r="AE3245" s="1100">
        <v>6560</v>
      </c>
      <c r="AF3245" s="318" t="s">
        <v>8968</v>
      </c>
      <c r="AG3245" s="1091"/>
    </row>
    <row r="3246" spans="1:33" ht="15.75" customHeight="1">
      <c r="A3246" s="755">
        <v>42643</v>
      </c>
      <c r="B3246" s="338" t="s">
        <v>5017</v>
      </c>
      <c r="C3246" s="318" t="s">
        <v>10117</v>
      </c>
      <c r="D3246" s="318" t="s">
        <v>10118</v>
      </c>
      <c r="E3246" s="338" t="s">
        <v>10125</v>
      </c>
      <c r="F3246" s="752">
        <v>10</v>
      </c>
      <c r="G3246" s="752">
        <v>10.4</v>
      </c>
      <c r="H3246" s="265">
        <f t="shared" si="203"/>
        <v>104</v>
      </c>
      <c r="I3246" s="997" t="s">
        <v>3315</v>
      </c>
      <c r="J3246" s="331" t="s">
        <v>10120</v>
      </c>
      <c r="K3246" s="811">
        <v>42656</v>
      </c>
      <c r="L3246" s="1477"/>
      <c r="M3246" s="811">
        <v>42655</v>
      </c>
      <c r="N3246" s="331" t="s">
        <v>2411</v>
      </c>
      <c r="O3246" s="263" t="s">
        <v>10121</v>
      </c>
      <c r="P3246" s="752"/>
      <c r="Q3246" s="978">
        <v>3360</v>
      </c>
      <c r="R3246" s="1428"/>
      <c r="S3246" s="1428"/>
      <c r="U3246" s="386"/>
      <c r="V3246" s="318" t="s">
        <v>4328</v>
      </c>
      <c r="W3246" s="1096">
        <v>42678</v>
      </c>
      <c r="X3246" s="1083">
        <v>42647</v>
      </c>
      <c r="Y3246" s="263" t="s">
        <v>10122</v>
      </c>
      <c r="Z3246" s="1086" t="s">
        <v>10126</v>
      </c>
      <c r="AA3246" s="811">
        <v>42678</v>
      </c>
      <c r="AB3246" s="318" t="s">
        <v>10123</v>
      </c>
      <c r="AD3246" s="338" t="s">
        <v>10124</v>
      </c>
      <c r="AE3246" s="1100" t="s">
        <v>10127</v>
      </c>
      <c r="AF3246" s="318" t="s">
        <v>8968</v>
      </c>
      <c r="AG3246" s="1091"/>
    </row>
    <row r="3247" spans="1:33" ht="15.75" customHeight="1">
      <c r="A3247" s="755">
        <v>42643</v>
      </c>
      <c r="B3247" s="338" t="s">
        <v>415</v>
      </c>
      <c r="C3247" s="263" t="s">
        <v>10128</v>
      </c>
      <c r="D3247" s="318" t="s">
        <v>10129</v>
      </c>
      <c r="E3247" s="338" t="s">
        <v>10130</v>
      </c>
      <c r="F3247" s="752">
        <v>6</v>
      </c>
      <c r="G3247" s="752">
        <v>453</v>
      </c>
      <c r="H3247" s="265">
        <f t="shared" si="203"/>
        <v>2718</v>
      </c>
      <c r="I3247" s="264" t="s">
        <v>170</v>
      </c>
      <c r="J3247" s="331" t="s">
        <v>9407</v>
      </c>
      <c r="K3247" s="811">
        <v>42663</v>
      </c>
      <c r="L3247" s="1477"/>
      <c r="M3247" s="811">
        <v>42649</v>
      </c>
      <c r="N3247" s="331" t="s">
        <v>89</v>
      </c>
      <c r="O3247" s="263" t="s">
        <v>10131</v>
      </c>
      <c r="P3247" s="752">
        <v>2457</v>
      </c>
      <c r="Q3247" s="1130"/>
      <c r="R3247" s="1427"/>
      <c r="S3247" s="1427"/>
      <c r="U3247" s="386"/>
      <c r="V3247" s="318" t="s">
        <v>5896</v>
      </c>
      <c r="W3247" s="1096">
        <v>42709</v>
      </c>
      <c r="X3247" s="1083">
        <v>42648</v>
      </c>
      <c r="Y3247" s="263" t="s">
        <v>10132</v>
      </c>
      <c r="Z3247" s="1086">
        <v>82740</v>
      </c>
      <c r="AA3247" s="1099">
        <v>42690</v>
      </c>
      <c r="AB3247" s="318" t="s">
        <v>10133</v>
      </c>
      <c r="AD3247" s="1092"/>
      <c r="AE3247" s="1103"/>
      <c r="AF3247" s="1092"/>
      <c r="AG3247" s="1091" t="s">
        <v>283</v>
      </c>
    </row>
    <row r="3248" spans="1:33" ht="15.75" customHeight="1">
      <c r="A3248" s="755">
        <v>42643</v>
      </c>
      <c r="B3248" s="338" t="s">
        <v>415</v>
      </c>
      <c r="C3248" s="263" t="s">
        <v>10128</v>
      </c>
      <c r="D3248" s="318" t="s">
        <v>10129</v>
      </c>
      <c r="E3248" s="338" t="s">
        <v>7098</v>
      </c>
      <c r="F3248" s="752">
        <v>6</v>
      </c>
      <c r="G3248" s="752">
        <v>41</v>
      </c>
      <c r="H3248" s="265">
        <f t="shared" si="203"/>
        <v>246</v>
      </c>
      <c r="I3248" s="264" t="s">
        <v>170</v>
      </c>
      <c r="J3248" s="331" t="s">
        <v>9407</v>
      </c>
      <c r="K3248" s="811">
        <v>42663</v>
      </c>
      <c r="L3248" s="1477"/>
      <c r="M3248" s="811">
        <v>42649</v>
      </c>
      <c r="N3248" s="331" t="s">
        <v>89</v>
      </c>
      <c r="O3248" s="263" t="s">
        <v>10131</v>
      </c>
      <c r="P3248" s="752">
        <v>189</v>
      </c>
      <c r="Q3248" s="1130"/>
      <c r="R3248" s="1427"/>
      <c r="S3248" s="1427"/>
      <c r="U3248" s="386"/>
      <c r="V3248" s="318" t="s">
        <v>5896</v>
      </c>
      <c r="W3248" s="1096">
        <v>42709</v>
      </c>
      <c r="X3248" s="1083">
        <v>42648</v>
      </c>
      <c r="Y3248" s="263" t="s">
        <v>10132</v>
      </c>
      <c r="Z3248" s="1086" t="s">
        <v>10134</v>
      </c>
      <c r="AA3248" s="1099">
        <v>42690</v>
      </c>
      <c r="AB3248" s="318" t="s">
        <v>10133</v>
      </c>
      <c r="AD3248" s="1092"/>
      <c r="AE3248" s="1103"/>
      <c r="AF3248" s="1092"/>
      <c r="AG3248" s="1091" t="s">
        <v>283</v>
      </c>
    </row>
    <row r="3249" spans="1:33" ht="15.75" customHeight="1">
      <c r="A3249" s="755">
        <v>42648</v>
      </c>
      <c r="B3249" s="338" t="s">
        <v>100</v>
      </c>
      <c r="C3249" s="263"/>
      <c r="D3249" s="318" t="s">
        <v>10135</v>
      </c>
      <c r="E3249" s="338" t="s">
        <v>10136</v>
      </c>
      <c r="F3249" s="752">
        <v>1</v>
      </c>
      <c r="G3249" s="752">
        <v>187</v>
      </c>
      <c r="H3249" s="265">
        <f>F3249*G3249</f>
        <v>187</v>
      </c>
      <c r="I3249" s="264" t="s">
        <v>3315</v>
      </c>
      <c r="J3249" s="331" t="s">
        <v>10115</v>
      </c>
      <c r="K3249" s="811">
        <v>42654</v>
      </c>
      <c r="L3249" s="1477"/>
      <c r="M3249" s="1128"/>
      <c r="N3249" s="331" t="s">
        <v>1999</v>
      </c>
      <c r="O3249" s="263"/>
      <c r="P3249" s="752"/>
      <c r="Q3249" s="1140">
        <v>5516</v>
      </c>
      <c r="R3249" s="1461"/>
      <c r="S3249" s="1461"/>
      <c r="U3249" s="386"/>
      <c r="V3249" s="318" t="s">
        <v>2000</v>
      </c>
      <c r="W3249" s="1096">
        <v>42694</v>
      </c>
      <c r="X3249" s="1083">
        <v>42664</v>
      </c>
      <c r="Y3249" s="263" t="s">
        <v>10137</v>
      </c>
      <c r="Z3249" s="1086">
        <v>7096</v>
      </c>
      <c r="AA3249" s="811">
        <v>42695</v>
      </c>
      <c r="AB3249" s="318" t="s">
        <v>10046</v>
      </c>
      <c r="AD3249" s="1092"/>
      <c r="AE3249" s="1103"/>
      <c r="AF3249" s="1092"/>
      <c r="AG3249" s="386" t="s">
        <v>283</v>
      </c>
    </row>
    <row r="3250" spans="1:33" ht="15.75" customHeight="1">
      <c r="A3250" s="755">
        <v>42648</v>
      </c>
      <c r="B3250" s="338" t="s">
        <v>4903</v>
      </c>
      <c r="C3250" s="263" t="s">
        <v>10138</v>
      </c>
      <c r="D3250" s="318" t="s">
        <v>10139</v>
      </c>
      <c r="E3250" s="338" t="s">
        <v>6398</v>
      </c>
      <c r="F3250" s="752">
        <v>1</v>
      </c>
      <c r="G3250" s="752">
        <v>293</v>
      </c>
      <c r="H3250" s="265">
        <f t="shared" ref="H3250:H3267" si="204">G3250*F3250</f>
        <v>293</v>
      </c>
      <c r="I3250" s="264" t="s">
        <v>3315</v>
      </c>
      <c r="J3250" s="331" t="s">
        <v>3588</v>
      </c>
      <c r="K3250" s="811">
        <v>42660</v>
      </c>
      <c r="L3250" s="1477"/>
      <c r="M3250" s="811">
        <v>42650</v>
      </c>
      <c r="N3250" s="331" t="s">
        <v>89</v>
      </c>
      <c r="O3250" s="263" t="s">
        <v>10140</v>
      </c>
      <c r="P3250" s="752">
        <v>238.602</v>
      </c>
      <c r="Q3250" s="1130"/>
      <c r="R3250" s="1427"/>
      <c r="S3250" s="1427"/>
      <c r="U3250" s="386"/>
      <c r="V3250" s="318" t="s">
        <v>5896</v>
      </c>
      <c r="W3250" s="1096">
        <v>42740</v>
      </c>
      <c r="X3250" s="1083">
        <v>42669</v>
      </c>
      <c r="Y3250" s="263" t="s">
        <v>10141</v>
      </c>
      <c r="Z3250" s="1086">
        <v>10131</v>
      </c>
      <c r="AA3250" s="811">
        <v>42712</v>
      </c>
      <c r="AB3250" s="318" t="s">
        <v>10142</v>
      </c>
      <c r="AD3250" s="1092"/>
      <c r="AE3250" s="1103"/>
      <c r="AF3250" s="1092"/>
      <c r="AG3250" s="386" t="s">
        <v>283</v>
      </c>
    </row>
    <row r="3251" spans="1:33" ht="15.75" customHeight="1">
      <c r="A3251" s="755">
        <v>42648</v>
      </c>
      <c r="B3251" s="338" t="s">
        <v>4903</v>
      </c>
      <c r="C3251" s="263" t="s">
        <v>10138</v>
      </c>
      <c r="D3251" s="318" t="s">
        <v>10139</v>
      </c>
      <c r="E3251" s="338" t="s">
        <v>10143</v>
      </c>
      <c r="F3251" s="752">
        <v>1</v>
      </c>
      <c r="G3251" s="752">
        <v>89</v>
      </c>
      <c r="H3251" s="265">
        <f t="shared" si="204"/>
        <v>89</v>
      </c>
      <c r="I3251" s="264" t="s">
        <v>3315</v>
      </c>
      <c r="J3251" s="331" t="s">
        <v>3588</v>
      </c>
      <c r="K3251" s="811">
        <v>42660</v>
      </c>
      <c r="L3251" s="1477"/>
      <c r="M3251" s="811">
        <v>42650</v>
      </c>
      <c r="N3251" s="331" t="s">
        <v>89</v>
      </c>
      <c r="O3251" s="263" t="s">
        <v>10140</v>
      </c>
      <c r="P3251" s="752">
        <v>81.900000000000006</v>
      </c>
      <c r="Q3251" s="1130"/>
      <c r="R3251" s="1427"/>
      <c r="S3251" s="1427"/>
      <c r="U3251" s="386"/>
      <c r="V3251" s="318" t="s">
        <v>5896</v>
      </c>
      <c r="W3251" s="1096">
        <v>42740</v>
      </c>
      <c r="X3251" s="1083">
        <v>42669</v>
      </c>
      <c r="Y3251" s="263" t="s">
        <v>10141</v>
      </c>
      <c r="Z3251" s="1086" t="s">
        <v>7565</v>
      </c>
      <c r="AA3251" s="811">
        <v>42712</v>
      </c>
      <c r="AB3251" s="318" t="s">
        <v>10142</v>
      </c>
      <c r="AD3251" s="1092"/>
      <c r="AE3251" s="1103"/>
      <c r="AF3251" s="1092"/>
      <c r="AG3251" s="386" t="s">
        <v>283</v>
      </c>
    </row>
    <row r="3252" spans="1:33" ht="15.75" customHeight="1">
      <c r="A3252" s="755">
        <v>42648</v>
      </c>
      <c r="B3252" s="338" t="s">
        <v>4903</v>
      </c>
      <c r="C3252" s="263" t="s">
        <v>10138</v>
      </c>
      <c r="D3252" s="318" t="s">
        <v>10139</v>
      </c>
      <c r="E3252" s="338" t="s">
        <v>7405</v>
      </c>
      <c r="F3252" s="752">
        <v>1</v>
      </c>
      <c r="G3252" s="752">
        <v>129</v>
      </c>
      <c r="H3252" s="265">
        <f t="shared" si="204"/>
        <v>129</v>
      </c>
      <c r="I3252" s="264" t="s">
        <v>3315</v>
      </c>
      <c r="J3252" s="331" t="s">
        <v>3588</v>
      </c>
      <c r="K3252" s="811">
        <v>42660</v>
      </c>
      <c r="L3252" s="1477"/>
      <c r="M3252" s="811">
        <v>42655</v>
      </c>
      <c r="N3252" s="331" t="s">
        <v>5935</v>
      </c>
      <c r="O3252" s="263" t="s">
        <v>10144</v>
      </c>
      <c r="P3252" s="752"/>
      <c r="Q3252" s="978">
        <v>3904</v>
      </c>
      <c r="R3252" s="1428"/>
      <c r="S3252" s="1428"/>
      <c r="U3252" s="386"/>
      <c r="V3252" s="318" t="s">
        <v>5937</v>
      </c>
      <c r="W3252" s="1096">
        <v>42709</v>
      </c>
      <c r="X3252" s="1083">
        <v>42652</v>
      </c>
      <c r="Y3252" s="263" t="s">
        <v>10145</v>
      </c>
      <c r="Z3252" s="1086">
        <v>3904</v>
      </c>
      <c r="AA3252" s="811">
        <v>42710</v>
      </c>
      <c r="AB3252" s="318" t="s">
        <v>10142</v>
      </c>
      <c r="AD3252" s="1092"/>
      <c r="AE3252" s="1103"/>
      <c r="AF3252" s="1092"/>
      <c r="AG3252" s="386" t="s">
        <v>283</v>
      </c>
    </row>
    <row r="3253" spans="1:33" ht="15.75" customHeight="1">
      <c r="A3253" s="755">
        <v>42648</v>
      </c>
      <c r="B3253" s="338" t="s">
        <v>100</v>
      </c>
      <c r="C3253" s="263" t="s">
        <v>10146</v>
      </c>
      <c r="D3253" s="318" t="s">
        <v>10147</v>
      </c>
      <c r="E3253" s="338" t="s">
        <v>3804</v>
      </c>
      <c r="F3253" s="752">
        <v>3</v>
      </c>
      <c r="G3253" s="752">
        <v>550</v>
      </c>
      <c r="H3253" s="265">
        <f t="shared" si="204"/>
        <v>1650</v>
      </c>
      <c r="I3253" s="264" t="s">
        <v>3315</v>
      </c>
      <c r="J3253" s="331" t="s">
        <v>10115</v>
      </c>
      <c r="K3253" s="811">
        <v>42667</v>
      </c>
      <c r="L3253" s="1477"/>
      <c r="M3253" s="811">
        <v>42664</v>
      </c>
      <c r="N3253" s="331" t="s">
        <v>1995</v>
      </c>
      <c r="O3253" s="590" t="s">
        <v>10148</v>
      </c>
      <c r="P3253" s="752"/>
      <c r="Q3253" s="978">
        <v>49304</v>
      </c>
      <c r="R3253" s="1428"/>
      <c r="S3253" s="1428"/>
      <c r="U3253" s="386"/>
      <c r="V3253" s="338" t="s">
        <v>1997</v>
      </c>
      <c r="W3253" s="1096">
        <v>42661</v>
      </c>
      <c r="X3253" s="1083">
        <v>42663</v>
      </c>
      <c r="Y3253" s="263" t="s">
        <v>10149</v>
      </c>
      <c r="Z3253" s="1086">
        <v>49304</v>
      </c>
      <c r="AA3253" s="811">
        <v>42663</v>
      </c>
      <c r="AB3253" s="263" t="s">
        <v>10150</v>
      </c>
      <c r="AD3253" s="1092"/>
      <c r="AE3253" s="1103"/>
      <c r="AF3253" s="1092"/>
      <c r="AG3253" s="386" t="s">
        <v>283</v>
      </c>
    </row>
    <row r="3254" spans="1:33" ht="15.75" customHeight="1">
      <c r="A3254" s="755">
        <v>42648</v>
      </c>
      <c r="B3254" s="338" t="s">
        <v>100</v>
      </c>
      <c r="C3254" s="263" t="s">
        <v>10146</v>
      </c>
      <c r="D3254" s="318" t="s">
        <v>10147</v>
      </c>
      <c r="E3254" s="338" t="s">
        <v>10151</v>
      </c>
      <c r="F3254" s="752">
        <v>3</v>
      </c>
      <c r="G3254" s="752">
        <v>25</v>
      </c>
      <c r="H3254" s="265">
        <f t="shared" si="204"/>
        <v>75</v>
      </c>
      <c r="I3254" s="264" t="s">
        <v>3315</v>
      </c>
      <c r="J3254" s="331" t="s">
        <v>10115</v>
      </c>
      <c r="K3254" s="811">
        <v>42667</v>
      </c>
      <c r="L3254" s="1477"/>
      <c r="M3254" s="811">
        <v>42655</v>
      </c>
      <c r="N3254" s="401" t="s">
        <v>9980</v>
      </c>
      <c r="O3254" s="590" t="s">
        <v>10152</v>
      </c>
      <c r="P3254" s="752"/>
      <c r="Q3254" s="978">
        <v>2202</v>
      </c>
      <c r="R3254" s="1428"/>
      <c r="S3254" s="1428"/>
      <c r="U3254" s="386"/>
      <c r="V3254" s="318" t="s">
        <v>2126</v>
      </c>
      <c r="W3254" s="752" t="s">
        <v>9833</v>
      </c>
      <c r="X3254" s="1083">
        <v>42650</v>
      </c>
      <c r="Y3254" s="263" t="s">
        <v>10153</v>
      </c>
      <c r="Z3254" s="1086">
        <v>2202</v>
      </c>
      <c r="AA3254" s="811"/>
      <c r="AB3254" s="263" t="s">
        <v>10150</v>
      </c>
      <c r="AD3254" s="1092"/>
      <c r="AE3254" s="1103"/>
      <c r="AF3254" s="1092"/>
      <c r="AG3254" s="386" t="s">
        <v>283</v>
      </c>
    </row>
    <row r="3255" spans="1:33" ht="15.75" customHeight="1">
      <c r="A3255" s="755">
        <v>42648</v>
      </c>
      <c r="B3255" s="338" t="s">
        <v>100</v>
      </c>
      <c r="C3255" s="263" t="s">
        <v>10146</v>
      </c>
      <c r="D3255" s="318" t="s">
        <v>10147</v>
      </c>
      <c r="E3255" s="338" t="s">
        <v>6482</v>
      </c>
      <c r="F3255" s="752">
        <v>3</v>
      </c>
      <c r="G3255" s="752">
        <v>352</v>
      </c>
      <c r="H3255" s="265">
        <f t="shared" si="204"/>
        <v>1056</v>
      </c>
      <c r="I3255" s="264" t="s">
        <v>3315</v>
      </c>
      <c r="J3255" s="331" t="s">
        <v>10115</v>
      </c>
      <c r="K3255" s="811">
        <v>42667</v>
      </c>
      <c r="L3255" s="1477"/>
      <c r="M3255" s="811">
        <v>42655</v>
      </c>
      <c r="N3255" s="331" t="s">
        <v>9983</v>
      </c>
      <c r="O3255" s="263" t="s">
        <v>10154</v>
      </c>
      <c r="P3255" s="752"/>
      <c r="Q3255" s="978">
        <v>28148</v>
      </c>
      <c r="R3255" s="1428"/>
      <c r="S3255" s="1428"/>
      <c r="U3255" s="386"/>
      <c r="V3255" s="318" t="s">
        <v>3754</v>
      </c>
      <c r="W3255" s="1084">
        <v>42654</v>
      </c>
      <c r="X3255" s="1083">
        <v>42650</v>
      </c>
      <c r="Y3255" s="263" t="s">
        <v>10155</v>
      </c>
      <c r="Z3255" s="1086">
        <v>28148</v>
      </c>
      <c r="AA3255" s="811">
        <v>42649</v>
      </c>
      <c r="AB3255" s="263" t="s">
        <v>10150</v>
      </c>
      <c r="AD3255" s="1092"/>
      <c r="AE3255" s="1103"/>
      <c r="AF3255" s="1092"/>
      <c r="AG3255" s="386" t="s">
        <v>283</v>
      </c>
    </row>
    <row r="3256" spans="1:33" ht="15.75" customHeight="1">
      <c r="A3256" s="755">
        <v>42649</v>
      </c>
      <c r="B3256" s="338" t="s">
        <v>76</v>
      </c>
      <c r="C3256" s="263">
        <v>879</v>
      </c>
      <c r="D3256" s="318" t="s">
        <v>10156</v>
      </c>
      <c r="E3256" s="592" t="s">
        <v>10157</v>
      </c>
      <c r="F3256" s="752">
        <v>20</v>
      </c>
      <c r="G3256" s="752">
        <v>14</v>
      </c>
      <c r="H3256" s="464">
        <f t="shared" si="204"/>
        <v>280</v>
      </c>
      <c r="I3256" s="264" t="s">
        <v>170</v>
      </c>
      <c r="J3256" s="267" t="s">
        <v>315</v>
      </c>
      <c r="K3256" s="811">
        <v>42656</v>
      </c>
      <c r="L3256" s="1477"/>
      <c r="M3256" s="811">
        <v>42654</v>
      </c>
      <c r="N3256" s="331" t="s">
        <v>6101</v>
      </c>
      <c r="O3256" s="263" t="s">
        <v>10158</v>
      </c>
      <c r="P3256" s="752">
        <v>252</v>
      </c>
      <c r="Q3256" s="338">
        <v>7933</v>
      </c>
      <c r="R3256" s="1458"/>
      <c r="S3256" s="1458"/>
      <c r="U3256" s="386"/>
      <c r="V3256" s="318" t="s">
        <v>2010</v>
      </c>
      <c r="W3256" s="1084">
        <v>42668</v>
      </c>
      <c r="X3256" s="1083">
        <v>42654</v>
      </c>
      <c r="Y3256" s="263" t="s">
        <v>10159</v>
      </c>
      <c r="Z3256" s="1086">
        <v>7933</v>
      </c>
      <c r="AA3256" s="811">
        <v>42671</v>
      </c>
      <c r="AB3256" s="263" t="s">
        <v>10022</v>
      </c>
      <c r="AD3256" s="1092"/>
      <c r="AE3256" s="1103"/>
      <c r="AF3256" s="1092"/>
      <c r="AG3256" s="386" t="s">
        <v>283</v>
      </c>
    </row>
    <row r="3257" spans="1:33" ht="15.75" customHeight="1">
      <c r="A3257" s="775">
        <v>42650</v>
      </c>
      <c r="B3257" s="765" t="s">
        <v>5981</v>
      </c>
      <c r="C3257" s="762">
        <v>7000124604</v>
      </c>
      <c r="D3257" s="779" t="s">
        <v>10160</v>
      </c>
      <c r="E3257" s="765" t="s">
        <v>10161</v>
      </c>
      <c r="F3257" s="909"/>
      <c r="G3257" s="909">
        <v>15</v>
      </c>
      <c r="H3257" s="813">
        <f t="shared" si="204"/>
        <v>0</v>
      </c>
      <c r="I3257" s="776" t="s">
        <v>42</v>
      </c>
      <c r="J3257" s="1141" t="s">
        <v>3462</v>
      </c>
      <c r="K3257" s="280" t="s">
        <v>70</v>
      </c>
      <c r="L3257" s="1485"/>
      <c r="M3257" s="280" t="s">
        <v>70</v>
      </c>
      <c r="N3257" s="281" t="s">
        <v>3432</v>
      </c>
      <c r="O3257" s="762" t="s">
        <v>10162</v>
      </c>
      <c r="P3257" s="909"/>
      <c r="Q3257" s="765">
        <v>687</v>
      </c>
      <c r="R3257" s="1462"/>
      <c r="S3257" s="1462"/>
      <c r="U3257" s="836"/>
      <c r="V3257" s="779" t="s">
        <v>5937</v>
      </c>
      <c r="W3257" s="1142"/>
      <c r="X3257" s="1143"/>
      <c r="Y3257" s="762"/>
      <c r="Z3257" s="1144"/>
      <c r="AA3257" s="1121"/>
      <c r="AB3257" s="779"/>
      <c r="AD3257" s="1122"/>
      <c r="AE3257" s="1145"/>
      <c r="AF3257" s="1122"/>
      <c r="AG3257" s="1124"/>
    </row>
    <row r="3258" spans="1:33" ht="15.75" customHeight="1">
      <c r="A3258" s="775">
        <v>42650</v>
      </c>
      <c r="B3258" s="765" t="s">
        <v>5981</v>
      </c>
      <c r="C3258" s="762">
        <v>7000124604</v>
      </c>
      <c r="D3258" s="779" t="s">
        <v>10160</v>
      </c>
      <c r="E3258" s="765" t="s">
        <v>10163</v>
      </c>
      <c r="F3258" s="909"/>
      <c r="G3258" s="909">
        <v>307</v>
      </c>
      <c r="H3258" s="813">
        <f t="shared" si="204"/>
        <v>0</v>
      </c>
      <c r="I3258" s="776" t="s">
        <v>42</v>
      </c>
      <c r="J3258" s="1141" t="s">
        <v>3462</v>
      </c>
      <c r="K3258" s="280" t="s">
        <v>70</v>
      </c>
      <c r="L3258" s="1485"/>
      <c r="M3258" s="814">
        <v>42664</v>
      </c>
      <c r="N3258" s="281" t="s">
        <v>3432</v>
      </c>
      <c r="O3258" s="762" t="s">
        <v>10162</v>
      </c>
      <c r="P3258" s="909"/>
      <c r="Q3258" s="765">
        <v>27862</v>
      </c>
      <c r="R3258" s="1462"/>
      <c r="S3258" s="1462"/>
      <c r="U3258" s="836"/>
      <c r="V3258" s="779" t="s">
        <v>5937</v>
      </c>
      <c r="W3258" s="1142"/>
      <c r="X3258" s="1143"/>
      <c r="Y3258" s="762"/>
      <c r="Z3258" s="1144"/>
      <c r="AA3258" s="1121"/>
      <c r="AB3258" s="779"/>
      <c r="AD3258" s="1122"/>
      <c r="AE3258" s="1145"/>
      <c r="AF3258" s="1122"/>
      <c r="AG3258" s="1124"/>
    </row>
    <row r="3259" spans="1:33" ht="15.75" customHeight="1">
      <c r="A3259" s="755">
        <v>42650</v>
      </c>
      <c r="B3259" s="338" t="s">
        <v>5981</v>
      </c>
      <c r="C3259" s="263">
        <v>7000124734</v>
      </c>
      <c r="D3259" s="318" t="s">
        <v>10160</v>
      </c>
      <c r="E3259" s="338" t="s">
        <v>10164</v>
      </c>
      <c r="F3259" s="752">
        <v>1</v>
      </c>
      <c r="G3259" s="752">
        <v>43</v>
      </c>
      <c r="H3259" s="464">
        <f t="shared" si="204"/>
        <v>43</v>
      </c>
      <c r="I3259" s="264" t="s">
        <v>42</v>
      </c>
      <c r="J3259" s="756" t="s">
        <v>3462</v>
      </c>
      <c r="K3259" s="811">
        <v>42667</v>
      </c>
      <c r="L3259" s="1477"/>
      <c r="M3259" s="811">
        <v>42664</v>
      </c>
      <c r="N3259" s="331" t="s">
        <v>3432</v>
      </c>
      <c r="O3259" s="590" t="s">
        <v>10165</v>
      </c>
      <c r="P3259" s="752"/>
      <c r="Q3259" s="338">
        <v>1168</v>
      </c>
      <c r="R3259" s="1458"/>
      <c r="S3259" s="1458"/>
      <c r="U3259" s="386"/>
      <c r="V3259" s="318" t="s">
        <v>5937</v>
      </c>
      <c r="W3259" s="1096">
        <v>42709</v>
      </c>
      <c r="X3259" s="1083">
        <v>42664</v>
      </c>
      <c r="Y3259" s="263" t="s">
        <v>10166</v>
      </c>
      <c r="Z3259" s="1086">
        <v>39673</v>
      </c>
      <c r="AA3259" s="256">
        <v>42710</v>
      </c>
      <c r="AB3259" s="318" t="s">
        <v>10167</v>
      </c>
      <c r="AD3259" s="1092"/>
      <c r="AE3259" s="1103"/>
      <c r="AF3259" s="1092"/>
      <c r="AG3259" s="1091" t="s">
        <v>10168</v>
      </c>
    </row>
    <row r="3260" spans="1:33" ht="15.75" customHeight="1">
      <c r="A3260" s="755">
        <v>42650</v>
      </c>
      <c r="B3260" s="338" t="s">
        <v>5981</v>
      </c>
      <c r="C3260" s="263">
        <v>7000124734</v>
      </c>
      <c r="D3260" s="318" t="s">
        <v>10160</v>
      </c>
      <c r="E3260" s="338" t="s">
        <v>10169</v>
      </c>
      <c r="F3260" s="752">
        <v>1</v>
      </c>
      <c r="G3260" s="752">
        <v>1317</v>
      </c>
      <c r="H3260" s="464">
        <f t="shared" si="204"/>
        <v>1317</v>
      </c>
      <c r="I3260" s="264" t="s">
        <v>42</v>
      </c>
      <c r="J3260" s="756" t="s">
        <v>3462</v>
      </c>
      <c r="K3260" s="811">
        <v>42667</v>
      </c>
      <c r="L3260" s="1477"/>
      <c r="M3260" s="811">
        <v>42664</v>
      </c>
      <c r="N3260" s="331" t="s">
        <v>3432</v>
      </c>
      <c r="O3260" s="590" t="s">
        <v>10165</v>
      </c>
      <c r="P3260" s="752"/>
      <c r="Q3260" s="338">
        <v>38505</v>
      </c>
      <c r="R3260" s="1458"/>
      <c r="S3260" s="1458"/>
      <c r="U3260" s="386"/>
      <c r="V3260" s="318" t="s">
        <v>5937</v>
      </c>
      <c r="W3260" s="1096">
        <v>42709</v>
      </c>
      <c r="X3260" s="1083">
        <v>42664</v>
      </c>
      <c r="Y3260" s="263" t="s">
        <v>10166</v>
      </c>
      <c r="Z3260" s="1086" t="s">
        <v>10170</v>
      </c>
      <c r="AA3260" s="256">
        <v>42710</v>
      </c>
      <c r="AB3260" s="318" t="s">
        <v>10167</v>
      </c>
      <c r="AD3260" s="1092"/>
      <c r="AE3260" s="1103"/>
      <c r="AF3260" s="1092"/>
      <c r="AG3260" s="1091" t="s">
        <v>10168</v>
      </c>
    </row>
    <row r="3261" spans="1:33" ht="15.75" customHeight="1">
      <c r="A3261" s="755">
        <v>42650</v>
      </c>
      <c r="B3261" s="338" t="s">
        <v>1189</v>
      </c>
      <c r="C3261" s="263" t="s">
        <v>10171</v>
      </c>
      <c r="D3261" s="318" t="s">
        <v>10172</v>
      </c>
      <c r="E3261" s="338" t="s">
        <v>10173</v>
      </c>
      <c r="F3261" s="1088">
        <v>2</v>
      </c>
      <c r="G3261" s="265">
        <v>177</v>
      </c>
      <c r="H3261" s="464">
        <f t="shared" si="204"/>
        <v>354</v>
      </c>
      <c r="I3261" s="264" t="s">
        <v>42</v>
      </c>
      <c r="J3261" s="267" t="s">
        <v>8571</v>
      </c>
      <c r="K3261" s="811">
        <v>42674</v>
      </c>
      <c r="L3261" s="1477"/>
      <c r="M3261" s="811">
        <v>42656</v>
      </c>
      <c r="N3261" s="331" t="s">
        <v>89</v>
      </c>
      <c r="O3261" s="263" t="s">
        <v>10174</v>
      </c>
      <c r="P3261" s="1098">
        <v>306.60000000000002</v>
      </c>
      <c r="Q3261" s="1130"/>
      <c r="R3261" s="1427"/>
      <c r="S3261" s="1427"/>
      <c r="U3261" s="386"/>
      <c r="V3261" s="318" t="s">
        <v>5896</v>
      </c>
      <c r="W3261" s="1096">
        <v>42709</v>
      </c>
      <c r="X3261" s="1083">
        <v>42656</v>
      </c>
      <c r="Y3261" s="263" t="s">
        <v>10175</v>
      </c>
      <c r="Z3261" s="1086">
        <v>9598</v>
      </c>
      <c r="AA3261" s="811">
        <v>42712</v>
      </c>
      <c r="AB3261" s="318" t="s">
        <v>10176</v>
      </c>
      <c r="AD3261" s="1092"/>
      <c r="AE3261" s="1103"/>
      <c r="AF3261" s="1092"/>
      <c r="AG3261" s="386" t="s">
        <v>283</v>
      </c>
    </row>
    <row r="3262" spans="1:33" ht="15.75" customHeight="1">
      <c r="A3262" s="755">
        <v>42650</v>
      </c>
      <c r="B3262" s="338" t="s">
        <v>1189</v>
      </c>
      <c r="C3262" s="263" t="s">
        <v>10171</v>
      </c>
      <c r="D3262" s="318" t="s">
        <v>10172</v>
      </c>
      <c r="E3262" s="338" t="s">
        <v>9179</v>
      </c>
      <c r="F3262" s="1088">
        <v>1</v>
      </c>
      <c r="G3262" s="265">
        <v>553</v>
      </c>
      <c r="H3262" s="464">
        <f t="shared" si="204"/>
        <v>553</v>
      </c>
      <c r="I3262" s="264" t="s">
        <v>42</v>
      </c>
      <c r="J3262" s="267" t="s">
        <v>8571</v>
      </c>
      <c r="K3262" s="811">
        <v>42674</v>
      </c>
      <c r="L3262" s="1477"/>
      <c r="M3262" s="811">
        <v>42664</v>
      </c>
      <c r="N3262" s="331" t="s">
        <v>3678</v>
      </c>
      <c r="O3262" s="263" t="s">
        <v>10177</v>
      </c>
      <c r="P3262" s="752"/>
      <c r="Q3262" s="338">
        <v>14700</v>
      </c>
      <c r="R3262" s="1458"/>
      <c r="S3262" s="1458"/>
      <c r="U3262" s="386"/>
      <c r="V3262" s="318" t="s">
        <v>3680</v>
      </c>
      <c r="W3262" s="1084">
        <v>42709</v>
      </c>
      <c r="X3262" s="1083">
        <v>42663</v>
      </c>
      <c r="Y3262" s="263" t="s">
        <v>10178</v>
      </c>
      <c r="Z3262" s="1086">
        <v>14700</v>
      </c>
      <c r="AA3262" s="811">
        <v>42709</v>
      </c>
      <c r="AB3262" s="318" t="s">
        <v>10176</v>
      </c>
      <c r="AD3262" s="1092"/>
      <c r="AE3262" s="1103"/>
      <c r="AF3262" s="1092"/>
      <c r="AG3262" s="386" t="s">
        <v>283</v>
      </c>
    </row>
    <row r="3263" spans="1:33" ht="15.75" customHeight="1">
      <c r="A3263" s="755">
        <v>42650</v>
      </c>
      <c r="B3263" s="338" t="s">
        <v>1189</v>
      </c>
      <c r="C3263" s="263" t="s">
        <v>10171</v>
      </c>
      <c r="D3263" s="318" t="s">
        <v>10172</v>
      </c>
      <c r="E3263" s="338" t="s">
        <v>9182</v>
      </c>
      <c r="F3263" s="1088">
        <v>1</v>
      </c>
      <c r="G3263" s="265">
        <v>35</v>
      </c>
      <c r="H3263" s="464">
        <f t="shared" si="204"/>
        <v>35</v>
      </c>
      <c r="I3263" s="264" t="s">
        <v>42</v>
      </c>
      <c r="J3263" s="267" t="s">
        <v>8571</v>
      </c>
      <c r="K3263" s="811">
        <v>42674</v>
      </c>
      <c r="L3263" s="1477"/>
      <c r="M3263" s="811">
        <v>42662</v>
      </c>
      <c r="N3263" s="331" t="s">
        <v>10179</v>
      </c>
      <c r="O3263" s="263" t="s">
        <v>10180</v>
      </c>
      <c r="P3263" s="752"/>
      <c r="Q3263" s="338">
        <v>968</v>
      </c>
      <c r="R3263" s="1458"/>
      <c r="S3263" s="1458"/>
      <c r="U3263" s="386"/>
      <c r="V3263" s="318" t="s">
        <v>2126</v>
      </c>
      <c r="W3263" s="752" t="s">
        <v>9833</v>
      </c>
      <c r="X3263" s="1083">
        <v>42660</v>
      </c>
      <c r="Y3263" s="263" t="s">
        <v>10181</v>
      </c>
      <c r="Z3263" s="1086">
        <v>1787</v>
      </c>
      <c r="AA3263" s="811"/>
      <c r="AB3263" s="318" t="s">
        <v>10176</v>
      </c>
      <c r="AD3263" s="1092"/>
      <c r="AE3263" s="1103"/>
      <c r="AF3263" s="1092"/>
      <c r="AG3263" s="386" t="s">
        <v>283</v>
      </c>
    </row>
    <row r="3264" spans="1:33" ht="15.75" customHeight="1">
      <c r="A3264" s="755">
        <v>42650</v>
      </c>
      <c r="B3264" s="338" t="s">
        <v>1189</v>
      </c>
      <c r="C3264" s="263" t="s">
        <v>10171</v>
      </c>
      <c r="D3264" s="318" t="s">
        <v>10172</v>
      </c>
      <c r="E3264" s="338" t="s">
        <v>9185</v>
      </c>
      <c r="F3264" s="1088">
        <v>1</v>
      </c>
      <c r="G3264" s="265">
        <v>45</v>
      </c>
      <c r="H3264" s="464">
        <f t="shared" si="204"/>
        <v>45</v>
      </c>
      <c r="I3264" s="264" t="s">
        <v>42</v>
      </c>
      <c r="J3264" s="267" t="s">
        <v>8571</v>
      </c>
      <c r="K3264" s="811">
        <v>42674</v>
      </c>
      <c r="L3264" s="1477"/>
      <c r="M3264" s="811">
        <v>42662</v>
      </c>
      <c r="N3264" s="331" t="s">
        <v>10179</v>
      </c>
      <c r="O3264" s="263" t="s">
        <v>10180</v>
      </c>
      <c r="P3264" s="752"/>
      <c r="Q3264" s="338">
        <v>819</v>
      </c>
      <c r="R3264" s="1458"/>
      <c r="S3264" s="1458"/>
      <c r="U3264" s="386"/>
      <c r="V3264" s="318" t="s">
        <v>2126</v>
      </c>
      <c r="W3264" s="752" t="s">
        <v>9833</v>
      </c>
      <c r="X3264" s="1083">
        <v>42660</v>
      </c>
      <c r="Y3264" s="263" t="s">
        <v>10181</v>
      </c>
      <c r="Z3264" s="1086" t="s">
        <v>10182</v>
      </c>
      <c r="AA3264" s="811"/>
      <c r="AB3264" s="318" t="s">
        <v>10176</v>
      </c>
      <c r="AD3264" s="1092"/>
      <c r="AE3264" s="1103"/>
      <c r="AF3264" s="1092"/>
      <c r="AG3264" s="386" t="s">
        <v>283</v>
      </c>
    </row>
    <row r="3265" spans="1:33" ht="15.75" customHeight="1">
      <c r="A3265" s="755">
        <v>42650</v>
      </c>
      <c r="B3265" s="338" t="s">
        <v>1189</v>
      </c>
      <c r="C3265" s="263" t="s">
        <v>10171</v>
      </c>
      <c r="D3265" s="318" t="s">
        <v>10172</v>
      </c>
      <c r="E3265" s="338" t="s">
        <v>10183</v>
      </c>
      <c r="F3265" s="1088">
        <v>1</v>
      </c>
      <c r="G3265" s="265">
        <v>30</v>
      </c>
      <c r="H3265" s="464">
        <f t="shared" si="204"/>
        <v>30</v>
      </c>
      <c r="I3265" s="264" t="s">
        <v>42</v>
      </c>
      <c r="J3265" s="267" t="s">
        <v>8571</v>
      </c>
      <c r="K3265" s="811">
        <v>42674</v>
      </c>
      <c r="L3265" s="1477"/>
      <c r="M3265" s="811">
        <v>42664</v>
      </c>
      <c r="N3265" s="331" t="s">
        <v>8934</v>
      </c>
      <c r="O3265" s="263"/>
      <c r="P3265" s="752"/>
      <c r="Q3265" s="338">
        <v>600</v>
      </c>
      <c r="R3265" s="1458"/>
      <c r="S3265" s="1458"/>
      <c r="U3265" s="386"/>
      <c r="V3265" s="318" t="s">
        <v>9462</v>
      </c>
      <c r="W3265" s="1137"/>
      <c r="X3265" s="263" t="s">
        <v>5529</v>
      </c>
      <c r="Y3265" s="263" t="s">
        <v>5529</v>
      </c>
      <c r="Z3265" s="263" t="s">
        <v>5529</v>
      </c>
      <c r="AA3265" s="811"/>
      <c r="AB3265" s="318" t="s">
        <v>10176</v>
      </c>
      <c r="AD3265" s="1092"/>
      <c r="AE3265" s="1103"/>
      <c r="AF3265" s="1092"/>
      <c r="AG3265" s="386" t="s">
        <v>283</v>
      </c>
    </row>
    <row r="3266" spans="1:33" ht="15.75" customHeight="1">
      <c r="A3266" s="755">
        <v>42651</v>
      </c>
      <c r="B3266" s="338" t="s">
        <v>1189</v>
      </c>
      <c r="C3266" s="263" t="s">
        <v>10184</v>
      </c>
      <c r="D3266" s="318" t="s">
        <v>10185</v>
      </c>
      <c r="E3266" s="338" t="s">
        <v>10186</v>
      </c>
      <c r="F3266" s="752">
        <v>1</v>
      </c>
      <c r="G3266" s="752">
        <v>150</v>
      </c>
      <c r="H3266" s="464">
        <f t="shared" si="204"/>
        <v>150</v>
      </c>
      <c r="I3266" s="264" t="s">
        <v>42</v>
      </c>
      <c r="J3266" s="264" t="s">
        <v>5842</v>
      </c>
      <c r="K3266" s="811">
        <v>42723</v>
      </c>
      <c r="L3266" s="1477"/>
      <c r="M3266" s="811">
        <v>42717</v>
      </c>
      <c r="N3266" s="331" t="s">
        <v>10187</v>
      </c>
      <c r="O3266" s="263" t="s">
        <v>10188</v>
      </c>
      <c r="P3266" s="752"/>
      <c r="Q3266" s="338">
        <v>3329</v>
      </c>
      <c r="R3266" s="1458"/>
      <c r="S3266" s="1458"/>
      <c r="U3266" s="386"/>
      <c r="V3266" s="597" t="s">
        <v>10189</v>
      </c>
      <c r="W3266" s="1096">
        <v>42717</v>
      </c>
      <c r="X3266" s="1083">
        <v>42716</v>
      </c>
      <c r="Y3266" s="263" t="s">
        <v>10190</v>
      </c>
      <c r="Z3266" s="1086">
        <v>3329</v>
      </c>
      <c r="AA3266" s="811">
        <v>42716</v>
      </c>
      <c r="AB3266" s="318" t="s">
        <v>10191</v>
      </c>
      <c r="AD3266" s="1092"/>
      <c r="AE3266" s="1103"/>
      <c r="AF3266" s="1092"/>
      <c r="AG3266" s="1091" t="s">
        <v>283</v>
      </c>
    </row>
    <row r="3267" spans="1:33" ht="15.75" customHeight="1">
      <c r="A3267" s="755">
        <v>42654</v>
      </c>
      <c r="B3267" s="338" t="s">
        <v>76</v>
      </c>
      <c r="C3267" s="263">
        <v>888</v>
      </c>
      <c r="D3267" s="318" t="s">
        <v>10192</v>
      </c>
      <c r="E3267" s="571" t="s">
        <v>9077</v>
      </c>
      <c r="F3267" s="752">
        <v>10</v>
      </c>
      <c r="G3267" s="752">
        <v>285</v>
      </c>
      <c r="H3267" s="464">
        <f t="shared" si="204"/>
        <v>2850</v>
      </c>
      <c r="I3267" s="264" t="s">
        <v>170</v>
      </c>
      <c r="J3267" s="267" t="s">
        <v>315</v>
      </c>
      <c r="K3267" s="811">
        <v>42670</v>
      </c>
      <c r="L3267" s="1477"/>
      <c r="M3267" s="811">
        <v>42670</v>
      </c>
      <c r="N3267" s="331" t="s">
        <v>1967</v>
      </c>
      <c r="O3267" s="590" t="s">
        <v>10193</v>
      </c>
      <c r="P3267" s="752">
        <v>2625</v>
      </c>
      <c r="Q3267" s="338">
        <v>82845</v>
      </c>
      <c r="R3267" s="1458"/>
      <c r="S3267" s="1458"/>
      <c r="U3267" s="386"/>
      <c r="V3267" s="318" t="s">
        <v>1969</v>
      </c>
      <c r="W3267" s="1096">
        <v>42709</v>
      </c>
      <c r="X3267" s="1083">
        <v>42670</v>
      </c>
      <c r="Y3267" s="318" t="s">
        <v>10194</v>
      </c>
      <c r="Z3267" s="1086">
        <v>82845</v>
      </c>
      <c r="AA3267" s="811">
        <v>42710</v>
      </c>
      <c r="AB3267" s="318" t="s">
        <v>10195</v>
      </c>
      <c r="AD3267" s="1092"/>
      <c r="AE3267" s="1103"/>
      <c r="AF3267" s="1092"/>
      <c r="AG3267" s="386" t="s">
        <v>283</v>
      </c>
    </row>
    <row r="3268" spans="1:33" ht="15.75" customHeight="1">
      <c r="A3268" s="755">
        <v>42654</v>
      </c>
      <c r="B3268" s="338" t="s">
        <v>100</v>
      </c>
      <c r="C3268" s="263"/>
      <c r="D3268" s="318" t="s">
        <v>10196</v>
      </c>
      <c r="E3268" s="338" t="s">
        <v>10197</v>
      </c>
      <c r="F3268" s="752">
        <v>1</v>
      </c>
      <c r="G3268" s="752">
        <v>0</v>
      </c>
      <c r="H3268" s="464">
        <v>0</v>
      </c>
      <c r="I3268" s="264" t="s">
        <v>3315</v>
      </c>
      <c r="J3268" s="331"/>
      <c r="K3268" s="811">
        <v>42648</v>
      </c>
      <c r="L3268" s="1477"/>
      <c r="M3268" s="811">
        <v>42724</v>
      </c>
      <c r="N3268" s="331" t="s">
        <v>1999</v>
      </c>
      <c r="O3268" s="263"/>
      <c r="P3268" s="752"/>
      <c r="Q3268" s="1146"/>
      <c r="R3268" s="1463"/>
      <c r="S3268" s="1463"/>
      <c r="U3268" s="386"/>
      <c r="V3268" s="318" t="s">
        <v>2000</v>
      </c>
      <c r="W3268" s="1137"/>
      <c r="X3268" s="1083"/>
      <c r="Y3268" s="263"/>
      <c r="Z3268" s="1086"/>
      <c r="AA3268" s="1114"/>
      <c r="AB3268" s="318"/>
      <c r="AD3268" s="1092"/>
      <c r="AE3268" s="1103"/>
      <c r="AF3268" s="1092"/>
      <c r="AG3268" s="386" t="s">
        <v>8099</v>
      </c>
    </row>
    <row r="3269" spans="1:33" ht="15.75" customHeight="1">
      <c r="A3269" s="755">
        <v>42656</v>
      </c>
      <c r="B3269" s="338" t="s">
        <v>100</v>
      </c>
      <c r="C3269" s="263"/>
      <c r="D3269" s="318" t="s">
        <v>10198</v>
      </c>
      <c r="E3269" s="338" t="s">
        <v>10199</v>
      </c>
      <c r="F3269" s="752">
        <v>1</v>
      </c>
      <c r="G3269" s="752">
        <v>56</v>
      </c>
      <c r="H3269" s="464">
        <f t="shared" ref="H3269:H3303" si="205">G3269*F3269</f>
        <v>56</v>
      </c>
      <c r="I3269" s="264" t="s">
        <v>3315</v>
      </c>
      <c r="J3269" s="331" t="s">
        <v>5842</v>
      </c>
      <c r="K3269" s="811">
        <v>42656</v>
      </c>
      <c r="L3269" s="1477"/>
      <c r="M3269" s="1128"/>
      <c r="N3269" s="331" t="s">
        <v>1999</v>
      </c>
      <c r="O3269" s="263"/>
      <c r="P3269" s="752"/>
      <c r="Q3269" s="1140">
        <v>1580</v>
      </c>
      <c r="R3269" s="1461"/>
      <c r="S3269" s="1461"/>
      <c r="U3269" s="386"/>
      <c r="V3269" s="318" t="s">
        <v>2000</v>
      </c>
      <c r="W3269" s="1096">
        <v>42694</v>
      </c>
      <c r="X3269" s="1083">
        <v>42664</v>
      </c>
      <c r="Y3269" s="263" t="s">
        <v>10137</v>
      </c>
      <c r="Z3269" s="254" t="s">
        <v>10200</v>
      </c>
      <c r="AA3269" s="811">
        <v>42695</v>
      </c>
      <c r="AB3269" s="263" t="s">
        <v>10096</v>
      </c>
      <c r="AD3269" s="1092"/>
      <c r="AE3269" s="1103"/>
      <c r="AF3269" s="1092"/>
      <c r="AG3269" s="386" t="s">
        <v>283</v>
      </c>
    </row>
    <row r="3270" spans="1:33" ht="15.75" customHeight="1">
      <c r="A3270" s="755">
        <v>42656</v>
      </c>
      <c r="B3270" s="338" t="s">
        <v>5981</v>
      </c>
      <c r="C3270" s="263">
        <v>7000124761</v>
      </c>
      <c r="D3270" s="318" t="s">
        <v>10201</v>
      </c>
      <c r="E3270" s="338" t="s">
        <v>4493</v>
      </c>
      <c r="F3270" s="752">
        <v>3</v>
      </c>
      <c r="G3270" s="752">
        <v>110</v>
      </c>
      <c r="H3270" s="464">
        <f t="shared" si="205"/>
        <v>330</v>
      </c>
      <c r="I3270" s="264" t="s">
        <v>42</v>
      </c>
      <c r="J3270" s="756" t="s">
        <v>3462</v>
      </c>
      <c r="K3270" s="811">
        <v>42667</v>
      </c>
      <c r="L3270" s="1477"/>
      <c r="M3270" s="811">
        <v>42662</v>
      </c>
      <c r="N3270" s="331" t="s">
        <v>5935</v>
      </c>
      <c r="O3270" s="318" t="s">
        <v>10202</v>
      </c>
      <c r="P3270" s="752"/>
      <c r="Q3270" s="338">
        <v>9645</v>
      </c>
      <c r="R3270" s="1458"/>
      <c r="S3270" s="1458"/>
      <c r="U3270" s="386"/>
      <c r="V3270" s="318" t="s">
        <v>5937</v>
      </c>
      <c r="W3270" s="1096">
        <v>42709</v>
      </c>
      <c r="X3270" s="1083">
        <v>42657</v>
      </c>
      <c r="Y3270" s="263" t="s">
        <v>10203</v>
      </c>
      <c r="Z3270" s="1086">
        <v>9645</v>
      </c>
      <c r="AA3270" s="256">
        <v>42710</v>
      </c>
      <c r="AB3270" s="318" t="s">
        <v>10167</v>
      </c>
      <c r="AD3270" s="1092"/>
      <c r="AE3270" s="1103"/>
      <c r="AF3270" s="1092"/>
      <c r="AG3270" s="1091"/>
    </row>
    <row r="3271" spans="1:33" ht="15.75" customHeight="1">
      <c r="A3271" s="755">
        <v>42657</v>
      </c>
      <c r="B3271" s="338" t="s">
        <v>629</v>
      </c>
      <c r="C3271" s="263" t="s">
        <v>10204</v>
      </c>
      <c r="D3271" s="318" t="s">
        <v>10205</v>
      </c>
      <c r="E3271" s="338" t="s">
        <v>4107</v>
      </c>
      <c r="F3271" s="752">
        <v>10</v>
      </c>
      <c r="G3271" s="752">
        <v>170.1</v>
      </c>
      <c r="H3271" s="464">
        <f t="shared" si="205"/>
        <v>1701</v>
      </c>
      <c r="I3271" s="264" t="s">
        <v>170</v>
      </c>
      <c r="J3271" s="331" t="s">
        <v>10206</v>
      </c>
      <c r="K3271" s="811">
        <v>42664</v>
      </c>
      <c r="L3271" s="1477"/>
      <c r="M3271" s="811">
        <v>42664</v>
      </c>
      <c r="N3271" s="401" t="s">
        <v>9602</v>
      </c>
      <c r="O3271" s="420" t="s">
        <v>10207</v>
      </c>
      <c r="P3271" s="752"/>
      <c r="Q3271" s="338">
        <v>50925</v>
      </c>
      <c r="R3271" s="1458"/>
      <c r="S3271" s="1458"/>
      <c r="U3271" s="386"/>
      <c r="V3271" s="318" t="s">
        <v>6321</v>
      </c>
      <c r="W3271" s="1096">
        <v>42662</v>
      </c>
      <c r="X3271" s="1083">
        <v>42663</v>
      </c>
      <c r="Y3271" s="263" t="s">
        <v>10208</v>
      </c>
      <c r="Z3271" s="1086">
        <v>50925</v>
      </c>
      <c r="AA3271" s="811">
        <v>42662</v>
      </c>
      <c r="AB3271" s="318" t="s">
        <v>10209</v>
      </c>
      <c r="AD3271" s="318" t="s">
        <v>10210</v>
      </c>
      <c r="AE3271" s="1100">
        <v>53777</v>
      </c>
      <c r="AF3271" s="318" t="s">
        <v>10211</v>
      </c>
      <c r="AG3271" s="1091"/>
    </row>
    <row r="3272" spans="1:33" ht="15.75" customHeight="1">
      <c r="A3272" s="755">
        <v>42657</v>
      </c>
      <c r="B3272" s="338" t="s">
        <v>629</v>
      </c>
      <c r="C3272" s="263" t="s">
        <v>10204</v>
      </c>
      <c r="D3272" s="318" t="s">
        <v>10212</v>
      </c>
      <c r="E3272" s="338" t="s">
        <v>4107</v>
      </c>
      <c r="F3272" s="752">
        <v>14</v>
      </c>
      <c r="G3272" s="752">
        <v>170.1</v>
      </c>
      <c r="H3272" s="464">
        <f t="shared" si="205"/>
        <v>2381.4</v>
      </c>
      <c r="I3272" s="264" t="s">
        <v>170</v>
      </c>
      <c r="J3272" s="331" t="s">
        <v>10213</v>
      </c>
      <c r="K3272" s="811">
        <v>42671</v>
      </c>
      <c r="L3272" s="1477"/>
      <c r="M3272" s="811">
        <v>42671</v>
      </c>
      <c r="N3272" s="401" t="s">
        <v>2212</v>
      </c>
      <c r="O3272" s="420" t="s">
        <v>10214</v>
      </c>
      <c r="P3272" s="752"/>
      <c r="Q3272" s="978">
        <v>71295</v>
      </c>
      <c r="R3272" s="1428"/>
      <c r="S3272" s="1428"/>
      <c r="U3272" s="386"/>
      <c r="V3272" s="318" t="s">
        <v>2214</v>
      </c>
      <c r="W3272" s="1096">
        <v>42669</v>
      </c>
      <c r="X3272" s="1083">
        <v>42670</v>
      </c>
      <c r="Y3272" s="263" t="s">
        <v>10215</v>
      </c>
      <c r="Z3272" s="1086">
        <v>71295</v>
      </c>
      <c r="AA3272" s="811">
        <v>42671</v>
      </c>
      <c r="AB3272" s="318" t="s">
        <v>10216</v>
      </c>
      <c r="AD3272" s="318" t="s">
        <v>10217</v>
      </c>
      <c r="AE3272" s="1100">
        <v>112967</v>
      </c>
      <c r="AF3272" s="318" t="s">
        <v>8968</v>
      </c>
      <c r="AG3272" s="1091"/>
    </row>
    <row r="3273" spans="1:33" ht="15.75" customHeight="1">
      <c r="A3273" s="755">
        <v>42657</v>
      </c>
      <c r="B3273" s="338" t="s">
        <v>629</v>
      </c>
      <c r="C3273" s="263" t="s">
        <v>10204</v>
      </c>
      <c r="D3273" s="318" t="s">
        <v>10218</v>
      </c>
      <c r="E3273" s="338" t="s">
        <v>4107</v>
      </c>
      <c r="F3273" s="752">
        <v>7</v>
      </c>
      <c r="G3273" s="752">
        <v>170.1</v>
      </c>
      <c r="H3273" s="464">
        <f t="shared" si="205"/>
        <v>1190.7</v>
      </c>
      <c r="I3273" s="264" t="s">
        <v>170</v>
      </c>
      <c r="J3273" s="331" t="s">
        <v>10219</v>
      </c>
      <c r="K3273" s="811">
        <v>42671</v>
      </c>
      <c r="L3273" s="1477"/>
      <c r="M3273" s="811">
        <v>42671</v>
      </c>
      <c r="N3273" s="401" t="s">
        <v>9883</v>
      </c>
      <c r="O3273" s="420" t="s">
        <v>10220</v>
      </c>
      <c r="P3273" s="752"/>
      <c r="Q3273" s="338">
        <v>38161</v>
      </c>
      <c r="R3273" s="1458"/>
      <c r="S3273" s="1458"/>
      <c r="U3273" s="386"/>
      <c r="V3273" s="318" t="s">
        <v>3285</v>
      </c>
      <c r="W3273" s="1096">
        <v>42662</v>
      </c>
      <c r="X3273" s="1083">
        <v>42671</v>
      </c>
      <c r="Y3273" s="263" t="s">
        <v>10221</v>
      </c>
      <c r="Z3273" s="1086">
        <v>38161</v>
      </c>
      <c r="AA3273" s="811">
        <v>42662</v>
      </c>
      <c r="AB3273" s="318" t="s">
        <v>10216</v>
      </c>
      <c r="AD3273" s="318" t="s">
        <v>10217</v>
      </c>
      <c r="AE3273" s="1100" t="s">
        <v>10222</v>
      </c>
      <c r="AF3273" s="318" t="s">
        <v>8968</v>
      </c>
      <c r="AG3273" s="1091"/>
    </row>
    <row r="3274" spans="1:33" ht="15.75" customHeight="1">
      <c r="A3274" s="755">
        <v>42657</v>
      </c>
      <c r="B3274" s="338" t="s">
        <v>629</v>
      </c>
      <c r="C3274" s="263" t="s">
        <v>10204</v>
      </c>
      <c r="D3274" s="318" t="s">
        <v>10223</v>
      </c>
      <c r="E3274" s="338" t="s">
        <v>4107</v>
      </c>
      <c r="F3274" s="752">
        <v>14</v>
      </c>
      <c r="G3274" s="752">
        <v>170.1</v>
      </c>
      <c r="H3274" s="464">
        <f t="shared" si="205"/>
        <v>2381.4</v>
      </c>
      <c r="I3274" s="264" t="s">
        <v>170</v>
      </c>
      <c r="J3274" s="331" t="s">
        <v>5956</v>
      </c>
      <c r="K3274" s="811">
        <v>42691</v>
      </c>
      <c r="L3274" s="1477"/>
      <c r="M3274" s="811">
        <v>42688</v>
      </c>
      <c r="N3274" s="401" t="s">
        <v>9883</v>
      </c>
      <c r="O3274" s="420" t="s">
        <v>10224</v>
      </c>
      <c r="P3274" s="752"/>
      <c r="Q3274" s="338">
        <v>76073</v>
      </c>
      <c r="R3274" s="1458"/>
      <c r="S3274" s="1458"/>
      <c r="U3274" s="386"/>
      <c r="V3274" s="318" t="s">
        <v>3285</v>
      </c>
      <c r="W3274" s="1096">
        <v>42678</v>
      </c>
      <c r="X3274" s="1083">
        <v>42685</v>
      </c>
      <c r="Y3274" s="263" t="s">
        <v>10225</v>
      </c>
      <c r="Z3274" s="1086">
        <v>76073</v>
      </c>
      <c r="AA3274" s="811">
        <v>42678</v>
      </c>
      <c r="AB3274" s="318" t="s">
        <v>10226</v>
      </c>
      <c r="AD3274" s="318" t="s">
        <v>10227</v>
      </c>
      <c r="AE3274" s="1100">
        <v>75824</v>
      </c>
      <c r="AF3274" s="318" t="s">
        <v>8968</v>
      </c>
      <c r="AG3274" s="386"/>
    </row>
    <row r="3275" spans="1:33" ht="15.75" customHeight="1">
      <c r="A3275" s="755">
        <v>42657</v>
      </c>
      <c r="B3275" s="338" t="s">
        <v>629</v>
      </c>
      <c r="C3275" s="263" t="s">
        <v>10204</v>
      </c>
      <c r="D3275" s="318" t="s">
        <v>10228</v>
      </c>
      <c r="E3275" s="338" t="s">
        <v>4107</v>
      </c>
      <c r="F3275" s="752">
        <v>10</v>
      </c>
      <c r="G3275" s="752">
        <v>170.1</v>
      </c>
      <c r="H3275" s="464">
        <f t="shared" si="205"/>
        <v>1701</v>
      </c>
      <c r="I3275" s="264" t="s">
        <v>170</v>
      </c>
      <c r="J3275" s="331" t="s">
        <v>10206</v>
      </c>
      <c r="K3275" s="811">
        <v>42685</v>
      </c>
      <c r="L3275" s="1477"/>
      <c r="M3275" s="811">
        <v>42683</v>
      </c>
      <c r="N3275" s="401" t="s">
        <v>2212</v>
      </c>
      <c r="O3275" s="590" t="s">
        <v>10229</v>
      </c>
      <c r="P3275" s="752"/>
      <c r="Q3275" s="338">
        <v>50925</v>
      </c>
      <c r="R3275" s="1458"/>
      <c r="S3275" s="1458"/>
      <c r="U3275" s="386"/>
      <c r="V3275" s="318" t="s">
        <v>2214</v>
      </c>
      <c r="W3275" s="1096">
        <v>42683</v>
      </c>
      <c r="X3275" s="1083">
        <v>42683</v>
      </c>
      <c r="Y3275" s="263" t="s">
        <v>10230</v>
      </c>
      <c r="Z3275" s="1086">
        <v>76388</v>
      </c>
      <c r="AA3275" s="811">
        <v>42685</v>
      </c>
      <c r="AB3275" s="318" t="s">
        <v>10231</v>
      </c>
      <c r="AD3275" s="318" t="s">
        <v>10232</v>
      </c>
      <c r="AE3275" s="1100">
        <v>80590</v>
      </c>
      <c r="AF3275" s="318" t="s">
        <v>8968</v>
      </c>
      <c r="AG3275" s="386"/>
    </row>
    <row r="3276" spans="1:33" ht="15.75" customHeight="1">
      <c r="A3276" s="755">
        <v>42657</v>
      </c>
      <c r="B3276" s="338" t="s">
        <v>629</v>
      </c>
      <c r="C3276" s="263" t="s">
        <v>10204</v>
      </c>
      <c r="D3276" s="318" t="s">
        <v>10233</v>
      </c>
      <c r="E3276" s="338" t="s">
        <v>4107</v>
      </c>
      <c r="F3276" s="752">
        <v>5</v>
      </c>
      <c r="G3276" s="752">
        <v>170.1</v>
      </c>
      <c r="H3276" s="464">
        <f t="shared" si="205"/>
        <v>850.5</v>
      </c>
      <c r="I3276" s="264" t="s">
        <v>170</v>
      </c>
      <c r="J3276" s="331" t="s">
        <v>10206</v>
      </c>
      <c r="K3276" s="811">
        <v>42685</v>
      </c>
      <c r="L3276" s="1477"/>
      <c r="M3276" s="811">
        <v>42683</v>
      </c>
      <c r="N3276" s="401" t="s">
        <v>2212</v>
      </c>
      <c r="O3276" s="590" t="s">
        <v>10229</v>
      </c>
      <c r="P3276" s="752"/>
      <c r="Q3276" s="338">
        <v>25462</v>
      </c>
      <c r="R3276" s="1458"/>
      <c r="S3276" s="1458"/>
      <c r="U3276" s="386"/>
      <c r="V3276" s="318" t="s">
        <v>2214</v>
      </c>
      <c r="W3276" s="1096">
        <v>42683</v>
      </c>
      <c r="X3276" s="1083">
        <v>42683</v>
      </c>
      <c r="Y3276" s="263" t="s">
        <v>10230</v>
      </c>
      <c r="Z3276" s="1086" t="s">
        <v>10234</v>
      </c>
      <c r="AA3276" s="811">
        <v>42685</v>
      </c>
      <c r="AB3276" s="318" t="s">
        <v>10231</v>
      </c>
      <c r="AD3276" s="318" t="s">
        <v>10232</v>
      </c>
      <c r="AE3276" s="1100" t="s">
        <v>10235</v>
      </c>
      <c r="AF3276" s="318" t="s">
        <v>8968</v>
      </c>
      <c r="AG3276" s="386"/>
    </row>
    <row r="3277" spans="1:33" ht="15.75" customHeight="1">
      <c r="A3277" s="755">
        <v>42660</v>
      </c>
      <c r="B3277" s="338" t="s">
        <v>10236</v>
      </c>
      <c r="C3277" s="263"/>
      <c r="D3277" s="318" t="s">
        <v>10237</v>
      </c>
      <c r="E3277" s="338" t="s">
        <v>10238</v>
      </c>
      <c r="F3277" s="752">
        <v>1</v>
      </c>
      <c r="G3277" s="1098">
        <f>12255/31.3</f>
        <v>391.5335463258786</v>
      </c>
      <c r="H3277" s="464">
        <f t="shared" si="205"/>
        <v>391.5335463258786</v>
      </c>
      <c r="I3277" s="264" t="s">
        <v>3315</v>
      </c>
      <c r="J3277" s="331" t="s">
        <v>10239</v>
      </c>
      <c r="K3277" s="811">
        <v>42691</v>
      </c>
      <c r="L3277" s="1477"/>
      <c r="M3277" s="811">
        <v>42683</v>
      </c>
      <c r="N3277" s="331" t="s">
        <v>3432</v>
      </c>
      <c r="O3277" s="263" t="s">
        <v>10240</v>
      </c>
      <c r="P3277" s="752"/>
      <c r="Q3277" s="978">
        <v>10294</v>
      </c>
      <c r="R3277" s="1428"/>
      <c r="S3277" s="1428"/>
      <c r="U3277" s="386"/>
      <c r="V3277" s="318" t="s">
        <v>5937</v>
      </c>
      <c r="W3277" s="1096">
        <v>42740</v>
      </c>
      <c r="X3277" s="1083">
        <v>42681</v>
      </c>
      <c r="Y3277" s="263" t="s">
        <v>10241</v>
      </c>
      <c r="Z3277" s="1086">
        <v>10294</v>
      </c>
      <c r="AA3277" s="811">
        <v>42734</v>
      </c>
      <c r="AB3277" s="318" t="s">
        <v>10242</v>
      </c>
      <c r="AD3277" s="318"/>
      <c r="AE3277" s="1100">
        <v>12868</v>
      </c>
      <c r="AF3277" s="386" t="s">
        <v>10243</v>
      </c>
      <c r="AG3277" s="386"/>
    </row>
    <row r="3278" spans="1:33" ht="15.75" customHeight="1">
      <c r="A3278" s="755">
        <v>42660</v>
      </c>
      <c r="B3278" s="338" t="s">
        <v>5981</v>
      </c>
      <c r="C3278" s="263">
        <v>7000124833</v>
      </c>
      <c r="D3278" s="318" t="s">
        <v>10244</v>
      </c>
      <c r="E3278" s="338" t="s">
        <v>10245</v>
      </c>
      <c r="F3278" s="752">
        <v>1</v>
      </c>
      <c r="G3278" s="752">
        <v>12</v>
      </c>
      <c r="H3278" s="464">
        <f t="shared" si="205"/>
        <v>12</v>
      </c>
      <c r="I3278" s="264" t="s">
        <v>42</v>
      </c>
      <c r="J3278" s="756" t="s">
        <v>3462</v>
      </c>
      <c r="K3278" s="811">
        <v>42675</v>
      </c>
      <c r="L3278" s="1477"/>
      <c r="M3278" s="811">
        <v>42675</v>
      </c>
      <c r="N3278" s="331" t="s">
        <v>3432</v>
      </c>
      <c r="O3278" s="263" t="s">
        <v>10246</v>
      </c>
      <c r="P3278" s="752"/>
      <c r="Q3278" s="338">
        <v>291</v>
      </c>
      <c r="R3278" s="1458"/>
      <c r="S3278" s="1458"/>
      <c r="U3278" s="386"/>
      <c r="V3278" s="318" t="s">
        <v>5937</v>
      </c>
      <c r="W3278" s="1096">
        <v>42709</v>
      </c>
      <c r="X3278" s="1083">
        <v>42670</v>
      </c>
      <c r="Y3278" s="263" t="s">
        <v>10247</v>
      </c>
      <c r="Z3278" s="1086">
        <v>13956</v>
      </c>
      <c r="AA3278" s="256">
        <v>42710</v>
      </c>
      <c r="AB3278" s="386" t="s">
        <v>10248</v>
      </c>
      <c r="AD3278" s="318"/>
      <c r="AE3278" s="1100"/>
      <c r="AF3278" s="318"/>
      <c r="AG3278" s="1091" t="s">
        <v>10168</v>
      </c>
    </row>
    <row r="3279" spans="1:33" ht="15.75" customHeight="1">
      <c r="A3279" s="755">
        <v>42660</v>
      </c>
      <c r="B3279" s="338" t="s">
        <v>5981</v>
      </c>
      <c r="C3279" s="263">
        <v>7000124833</v>
      </c>
      <c r="D3279" s="318" t="s">
        <v>10244</v>
      </c>
      <c r="E3279" s="338" t="s">
        <v>10249</v>
      </c>
      <c r="F3279" s="752">
        <v>1</v>
      </c>
      <c r="G3279" s="752">
        <v>339</v>
      </c>
      <c r="H3279" s="464">
        <f t="shared" si="205"/>
        <v>339</v>
      </c>
      <c r="I3279" s="264" t="s">
        <v>42</v>
      </c>
      <c r="J3279" s="756" t="s">
        <v>3462</v>
      </c>
      <c r="K3279" s="811">
        <v>42675</v>
      </c>
      <c r="L3279" s="1477"/>
      <c r="M3279" s="811">
        <v>42675</v>
      </c>
      <c r="N3279" s="331" t="s">
        <v>3432</v>
      </c>
      <c r="O3279" s="263" t="s">
        <v>10246</v>
      </c>
      <c r="P3279" s="752"/>
      <c r="Q3279" s="338">
        <v>10248</v>
      </c>
      <c r="R3279" s="1458"/>
      <c r="S3279" s="1458"/>
      <c r="U3279" s="386"/>
      <c r="V3279" s="318" t="s">
        <v>5937</v>
      </c>
      <c r="W3279" s="1096">
        <v>42709</v>
      </c>
      <c r="X3279" s="1083">
        <v>42670</v>
      </c>
      <c r="Y3279" s="263" t="s">
        <v>10247</v>
      </c>
      <c r="Z3279" s="1086" t="s">
        <v>7647</v>
      </c>
      <c r="AA3279" s="256">
        <v>42710</v>
      </c>
      <c r="AB3279" s="386" t="s">
        <v>10248</v>
      </c>
      <c r="AD3279" s="318"/>
      <c r="AE3279" s="1100"/>
      <c r="AF3279" s="318"/>
      <c r="AG3279" s="1091" t="s">
        <v>10168</v>
      </c>
    </row>
    <row r="3280" spans="1:33" ht="15.75" customHeight="1">
      <c r="A3280" s="755">
        <v>42660</v>
      </c>
      <c r="B3280" s="338" t="s">
        <v>5981</v>
      </c>
      <c r="C3280" s="263">
        <v>7000124833</v>
      </c>
      <c r="D3280" s="318" t="s">
        <v>10244</v>
      </c>
      <c r="E3280" s="338" t="s">
        <v>10250</v>
      </c>
      <c r="F3280" s="752">
        <v>1</v>
      </c>
      <c r="G3280" s="752">
        <v>113</v>
      </c>
      <c r="H3280" s="464">
        <f t="shared" si="205"/>
        <v>113</v>
      </c>
      <c r="I3280" s="264" t="s">
        <v>42</v>
      </c>
      <c r="J3280" s="756" t="s">
        <v>3462</v>
      </c>
      <c r="K3280" s="811">
        <v>42675</v>
      </c>
      <c r="L3280" s="1477"/>
      <c r="M3280" s="811">
        <v>42675</v>
      </c>
      <c r="N3280" s="331" t="s">
        <v>3432</v>
      </c>
      <c r="O3280" s="263" t="s">
        <v>10246</v>
      </c>
      <c r="P3280" s="752"/>
      <c r="Q3280" s="338">
        <v>3417</v>
      </c>
      <c r="R3280" s="1458"/>
      <c r="S3280" s="1458"/>
      <c r="U3280" s="386"/>
      <c r="V3280" s="318" t="s">
        <v>5937</v>
      </c>
      <c r="W3280" s="1096">
        <v>42709</v>
      </c>
      <c r="X3280" s="1083">
        <v>42670</v>
      </c>
      <c r="Y3280" s="263" t="s">
        <v>10247</v>
      </c>
      <c r="Z3280" s="1086" t="s">
        <v>7647</v>
      </c>
      <c r="AA3280" s="256">
        <v>42710</v>
      </c>
      <c r="AB3280" s="386" t="s">
        <v>10248</v>
      </c>
      <c r="AD3280" s="318"/>
      <c r="AE3280" s="1100"/>
      <c r="AF3280" s="318"/>
      <c r="AG3280" s="1091" t="s">
        <v>10168</v>
      </c>
    </row>
    <row r="3281" spans="1:33" ht="15.75" customHeight="1">
      <c r="A3281" s="755">
        <v>42660</v>
      </c>
      <c r="B3281" s="338" t="s">
        <v>76</v>
      </c>
      <c r="C3281" s="263"/>
      <c r="D3281" s="318" t="s">
        <v>10251</v>
      </c>
      <c r="E3281" s="338" t="s">
        <v>6146</v>
      </c>
      <c r="F3281" s="752">
        <v>2</v>
      </c>
      <c r="G3281" s="752">
        <v>26</v>
      </c>
      <c r="H3281" s="464">
        <f t="shared" si="205"/>
        <v>52</v>
      </c>
      <c r="I3281" s="264" t="s">
        <v>170</v>
      </c>
      <c r="J3281" s="267" t="s">
        <v>315</v>
      </c>
      <c r="K3281" s="811">
        <v>42670</v>
      </c>
      <c r="L3281" s="1477"/>
      <c r="M3281" s="811">
        <v>42667</v>
      </c>
      <c r="N3281" s="331" t="s">
        <v>2411</v>
      </c>
      <c r="O3281" s="263" t="s">
        <v>10252</v>
      </c>
      <c r="P3281" s="752"/>
      <c r="Q3281" s="338">
        <v>1428</v>
      </c>
      <c r="R3281" s="1458"/>
      <c r="S3281" s="1458"/>
      <c r="U3281" s="386"/>
      <c r="V3281" s="318" t="s">
        <v>4328</v>
      </c>
      <c r="W3281" s="1096">
        <v>42678</v>
      </c>
      <c r="X3281" s="1083">
        <v>42662</v>
      </c>
      <c r="Y3281" s="263" t="s">
        <v>10253</v>
      </c>
      <c r="Z3281" s="1086">
        <v>1428</v>
      </c>
      <c r="AA3281" s="811">
        <v>42678</v>
      </c>
      <c r="AB3281" s="318" t="s">
        <v>10195</v>
      </c>
      <c r="AD3281" s="1092"/>
      <c r="AE3281" s="1103"/>
      <c r="AF3281" s="1092"/>
      <c r="AG3281" s="386" t="s">
        <v>283</v>
      </c>
    </row>
    <row r="3282" spans="1:33" ht="15.75" customHeight="1">
      <c r="A3282" s="755">
        <v>42662</v>
      </c>
      <c r="B3282" s="338" t="s">
        <v>5017</v>
      </c>
      <c r="C3282" s="263" t="s">
        <v>10254</v>
      </c>
      <c r="D3282" s="318" t="s">
        <v>10255</v>
      </c>
      <c r="E3282" s="338" t="s">
        <v>7258</v>
      </c>
      <c r="F3282" s="752">
        <v>20</v>
      </c>
      <c r="G3282" s="752">
        <v>11</v>
      </c>
      <c r="H3282" s="464">
        <f t="shared" si="205"/>
        <v>220</v>
      </c>
      <c r="I3282" s="997" t="s">
        <v>3315</v>
      </c>
      <c r="J3282" s="331" t="s">
        <v>5882</v>
      </c>
      <c r="K3282" s="811">
        <v>42670</v>
      </c>
      <c r="L3282" s="1477"/>
      <c r="M3282" s="811">
        <v>42667</v>
      </c>
      <c r="N3282" s="331" t="s">
        <v>2411</v>
      </c>
      <c r="O3282" s="263" t="s">
        <v>10256</v>
      </c>
      <c r="P3282" s="752"/>
      <c r="Q3282" s="338">
        <v>7119</v>
      </c>
      <c r="R3282" s="1458"/>
      <c r="S3282" s="1458"/>
      <c r="U3282" s="386"/>
      <c r="V3282" s="318" t="s">
        <v>4328</v>
      </c>
      <c r="W3282" s="1096">
        <v>42678</v>
      </c>
      <c r="X3282" s="1083">
        <v>42663</v>
      </c>
      <c r="Y3282" s="263" t="s">
        <v>10257</v>
      </c>
      <c r="Z3282" s="1086">
        <v>7119</v>
      </c>
      <c r="AA3282" s="811">
        <v>42678</v>
      </c>
      <c r="AB3282" s="318" t="s">
        <v>10258</v>
      </c>
      <c r="AD3282" s="338" t="s">
        <v>10259</v>
      </c>
      <c r="AE3282" s="1100">
        <v>7288</v>
      </c>
      <c r="AF3282" s="318" t="s">
        <v>8968</v>
      </c>
      <c r="AG3282" s="1091"/>
    </row>
    <row r="3283" spans="1:33" ht="15.75" customHeight="1">
      <c r="A3283" s="755">
        <v>42662</v>
      </c>
      <c r="B3283" s="338" t="s">
        <v>10260</v>
      </c>
      <c r="C3283" s="1147" t="s">
        <v>10261</v>
      </c>
      <c r="D3283" s="318" t="s">
        <v>10262</v>
      </c>
      <c r="E3283" s="338" t="s">
        <v>10263</v>
      </c>
      <c r="F3283" s="752">
        <v>1</v>
      </c>
      <c r="G3283" s="752">
        <v>613</v>
      </c>
      <c r="H3283" s="464">
        <f t="shared" si="205"/>
        <v>613</v>
      </c>
      <c r="I3283" s="997" t="s">
        <v>3315</v>
      </c>
      <c r="J3283" s="331" t="s">
        <v>10264</v>
      </c>
      <c r="K3283" s="811">
        <v>42677</v>
      </c>
      <c r="L3283" s="1477"/>
      <c r="M3283" s="811">
        <v>42671</v>
      </c>
      <c r="N3283" s="331" t="s">
        <v>5935</v>
      </c>
      <c r="O3283" s="263" t="s">
        <v>10265</v>
      </c>
      <c r="P3283" s="752"/>
      <c r="Q3283" s="338">
        <v>17967</v>
      </c>
      <c r="R3283" s="1458"/>
      <c r="S3283" s="1458"/>
      <c r="U3283" s="386"/>
      <c r="V3283" s="318" t="s">
        <v>5937</v>
      </c>
      <c r="W3283" s="1096">
        <v>42709</v>
      </c>
      <c r="X3283" s="1083">
        <v>42669</v>
      </c>
      <c r="Y3283" s="263" t="s">
        <v>10266</v>
      </c>
      <c r="Z3283" s="1086">
        <v>17967</v>
      </c>
      <c r="AA3283" s="811">
        <v>42710</v>
      </c>
      <c r="AB3283" s="318" t="s">
        <v>10267</v>
      </c>
      <c r="AD3283" s="318"/>
      <c r="AE3283" s="1100"/>
      <c r="AF3283" s="318"/>
      <c r="AG3283" s="386" t="s">
        <v>283</v>
      </c>
    </row>
    <row r="3284" spans="1:33" ht="15.75" customHeight="1">
      <c r="A3284" s="755">
        <v>42662</v>
      </c>
      <c r="B3284" s="338" t="s">
        <v>10260</v>
      </c>
      <c r="C3284" s="1147" t="s">
        <v>10261</v>
      </c>
      <c r="D3284" s="318" t="s">
        <v>10262</v>
      </c>
      <c r="E3284" s="338" t="s">
        <v>692</v>
      </c>
      <c r="F3284" s="752">
        <v>1</v>
      </c>
      <c r="G3284" s="752">
        <f>25</f>
        <v>25</v>
      </c>
      <c r="H3284" s="464">
        <f t="shared" si="205"/>
        <v>25</v>
      </c>
      <c r="I3284" s="997" t="s">
        <v>3315</v>
      </c>
      <c r="J3284" s="331"/>
      <c r="K3284" s="811">
        <v>42677</v>
      </c>
      <c r="L3284" s="1477"/>
      <c r="M3284" s="1128"/>
      <c r="N3284" s="331"/>
      <c r="O3284" s="263"/>
      <c r="P3284" s="752"/>
      <c r="Q3284" s="1130"/>
      <c r="R3284" s="1427"/>
      <c r="S3284" s="1427"/>
      <c r="U3284" s="386"/>
      <c r="V3284" s="318"/>
      <c r="W3284" s="1137"/>
      <c r="X3284" s="263" t="s">
        <v>5529</v>
      </c>
      <c r="Y3284" s="263" t="s">
        <v>5529</v>
      </c>
      <c r="Z3284" s="263" t="s">
        <v>5529</v>
      </c>
      <c r="AA3284" s="811"/>
      <c r="AB3284" s="318" t="s">
        <v>10267</v>
      </c>
      <c r="AD3284" s="318"/>
      <c r="AE3284" s="1100"/>
      <c r="AF3284" s="318"/>
      <c r="AG3284" s="386" t="s">
        <v>283</v>
      </c>
    </row>
    <row r="3285" spans="1:33" ht="15.75" customHeight="1">
      <c r="A3285" s="755">
        <v>42662</v>
      </c>
      <c r="B3285" s="592" t="s">
        <v>53</v>
      </c>
      <c r="C3285" s="970" t="s">
        <v>10268</v>
      </c>
      <c r="D3285" s="308" t="s">
        <v>10269</v>
      </c>
      <c r="E3285" s="571" t="s">
        <v>3632</v>
      </c>
      <c r="F3285" s="329">
        <v>2</v>
      </c>
      <c r="G3285" s="252">
        <v>150.15</v>
      </c>
      <c r="H3285" s="571">
        <f t="shared" si="205"/>
        <v>300.3</v>
      </c>
      <c r="I3285" s="264" t="s">
        <v>8429</v>
      </c>
      <c r="J3285" s="331" t="s">
        <v>89</v>
      </c>
      <c r="K3285" s="811">
        <v>42677</v>
      </c>
      <c r="L3285" s="1477"/>
      <c r="M3285" s="1128"/>
      <c r="N3285" s="331" t="s">
        <v>89</v>
      </c>
      <c r="O3285" s="263" t="s">
        <v>10270</v>
      </c>
      <c r="P3285" s="752">
        <v>268.8</v>
      </c>
      <c r="Q3285" s="1130"/>
      <c r="R3285" s="1427"/>
      <c r="S3285" s="1427"/>
      <c r="U3285" s="386"/>
      <c r="V3285" s="318" t="s">
        <v>5896</v>
      </c>
      <c r="W3285" s="1096">
        <v>42740</v>
      </c>
      <c r="X3285" s="1083">
        <v>42675</v>
      </c>
      <c r="Y3285" s="318" t="s">
        <v>10271</v>
      </c>
      <c r="Z3285" s="1086">
        <v>8481</v>
      </c>
      <c r="AA3285" s="811">
        <v>42712</v>
      </c>
      <c r="AB3285" s="318" t="s">
        <v>10272</v>
      </c>
      <c r="AD3285" s="318" t="s">
        <v>10273</v>
      </c>
      <c r="AE3285" s="1100">
        <v>23696</v>
      </c>
      <c r="AF3285" s="386" t="s">
        <v>10274</v>
      </c>
      <c r="AG3285" s="386"/>
    </row>
    <row r="3286" spans="1:33" ht="15.75" customHeight="1">
      <c r="A3286" s="755">
        <v>42663</v>
      </c>
      <c r="B3286" s="338" t="s">
        <v>76</v>
      </c>
      <c r="C3286" s="263">
        <v>930</v>
      </c>
      <c r="D3286" s="308" t="s">
        <v>10275</v>
      </c>
      <c r="E3286" s="571" t="s">
        <v>10276</v>
      </c>
      <c r="F3286" s="574">
        <v>1</v>
      </c>
      <c r="G3286" s="574">
        <v>179</v>
      </c>
      <c r="H3286" s="571">
        <f t="shared" si="205"/>
        <v>179</v>
      </c>
      <c r="I3286" s="264" t="s">
        <v>170</v>
      </c>
      <c r="J3286" s="267" t="s">
        <v>315</v>
      </c>
      <c r="K3286" s="811">
        <v>42670</v>
      </c>
      <c r="L3286" s="1477"/>
      <c r="M3286" s="811">
        <v>42669</v>
      </c>
      <c r="N3286" s="331" t="s">
        <v>10277</v>
      </c>
      <c r="O3286" s="263" t="s">
        <v>10278</v>
      </c>
      <c r="P3286" s="752"/>
      <c r="Q3286" s="978">
        <v>5118</v>
      </c>
      <c r="R3286" s="1428"/>
      <c r="S3286" s="1428"/>
      <c r="U3286" s="386"/>
      <c r="V3286" s="318" t="s">
        <v>2520</v>
      </c>
      <c r="W3286" s="1134">
        <v>42664</v>
      </c>
      <c r="X3286" s="1101">
        <v>42667</v>
      </c>
      <c r="Y3286" s="1087" t="s">
        <v>10279</v>
      </c>
      <c r="Z3286" s="1102">
        <v>8909</v>
      </c>
      <c r="AA3286" s="1114">
        <v>42664</v>
      </c>
      <c r="AB3286" s="318" t="s">
        <v>10195</v>
      </c>
      <c r="AD3286" s="1092"/>
      <c r="AE3286" s="1103"/>
      <c r="AF3286" s="1092"/>
      <c r="AG3286" s="386" t="s">
        <v>283</v>
      </c>
    </row>
    <row r="3287" spans="1:33" ht="15.75" customHeight="1">
      <c r="A3287" s="755">
        <v>42663</v>
      </c>
      <c r="B3287" s="338" t="s">
        <v>76</v>
      </c>
      <c r="C3287" s="263">
        <v>930</v>
      </c>
      <c r="D3287" s="308" t="s">
        <v>10275</v>
      </c>
      <c r="E3287" s="328" t="s">
        <v>10280</v>
      </c>
      <c r="F3287" s="574">
        <v>1</v>
      </c>
      <c r="G3287" s="574">
        <v>52</v>
      </c>
      <c r="H3287" s="571">
        <f t="shared" si="205"/>
        <v>52</v>
      </c>
      <c r="I3287" s="264" t="s">
        <v>170</v>
      </c>
      <c r="J3287" s="267" t="s">
        <v>315</v>
      </c>
      <c r="K3287" s="811">
        <v>42670</v>
      </c>
      <c r="L3287" s="1477"/>
      <c r="M3287" s="811">
        <v>42669</v>
      </c>
      <c r="N3287" s="331" t="s">
        <v>10277</v>
      </c>
      <c r="O3287" s="263" t="s">
        <v>10278</v>
      </c>
      <c r="P3287" s="752"/>
      <c r="Q3287" s="978">
        <v>1428</v>
      </c>
      <c r="R3287" s="1428"/>
      <c r="S3287" s="1428"/>
      <c r="U3287" s="386"/>
      <c r="V3287" s="318" t="s">
        <v>2520</v>
      </c>
      <c r="W3287" s="1134">
        <v>42664</v>
      </c>
      <c r="X3287" s="1101">
        <v>42667</v>
      </c>
      <c r="Y3287" s="1087" t="s">
        <v>10279</v>
      </c>
      <c r="Z3287" s="1102" t="s">
        <v>10281</v>
      </c>
      <c r="AA3287" s="1114">
        <v>42664</v>
      </c>
      <c r="AB3287" s="318" t="s">
        <v>10195</v>
      </c>
      <c r="AD3287" s="1092"/>
      <c r="AE3287" s="1103"/>
      <c r="AF3287" s="1092"/>
      <c r="AG3287" s="386" t="s">
        <v>283</v>
      </c>
    </row>
    <row r="3288" spans="1:33" ht="15.75" customHeight="1">
      <c r="A3288" s="755">
        <v>42663</v>
      </c>
      <c r="B3288" s="338" t="s">
        <v>76</v>
      </c>
      <c r="C3288" s="263">
        <v>930</v>
      </c>
      <c r="D3288" s="308" t="s">
        <v>10275</v>
      </c>
      <c r="E3288" s="328" t="s">
        <v>10282</v>
      </c>
      <c r="F3288" s="574">
        <v>1</v>
      </c>
      <c r="G3288" s="574">
        <v>35</v>
      </c>
      <c r="H3288" s="571">
        <f t="shared" si="205"/>
        <v>35</v>
      </c>
      <c r="I3288" s="264" t="s">
        <v>170</v>
      </c>
      <c r="J3288" s="267" t="s">
        <v>315</v>
      </c>
      <c r="K3288" s="811">
        <v>42670</v>
      </c>
      <c r="L3288" s="1477"/>
      <c r="M3288" s="811">
        <v>42669</v>
      </c>
      <c r="N3288" s="331" t="s">
        <v>10277</v>
      </c>
      <c r="O3288" s="263" t="s">
        <v>10278</v>
      </c>
      <c r="P3288" s="752"/>
      <c r="Q3288" s="978">
        <v>945</v>
      </c>
      <c r="R3288" s="1428"/>
      <c r="S3288" s="1428"/>
      <c r="U3288" s="386"/>
      <c r="V3288" s="318" t="s">
        <v>2520</v>
      </c>
      <c r="W3288" s="1134">
        <v>42664</v>
      </c>
      <c r="X3288" s="1101">
        <v>42667</v>
      </c>
      <c r="Y3288" s="1087" t="s">
        <v>10279</v>
      </c>
      <c r="Z3288" s="1102" t="s">
        <v>10281</v>
      </c>
      <c r="AA3288" s="1114">
        <v>42664</v>
      </c>
      <c r="AB3288" s="318" t="s">
        <v>10195</v>
      </c>
      <c r="AD3288" s="1092"/>
      <c r="AE3288" s="1103"/>
      <c r="AF3288" s="1092"/>
      <c r="AG3288" s="386" t="s">
        <v>283</v>
      </c>
    </row>
    <row r="3289" spans="1:33" ht="15.75" customHeight="1">
      <c r="A3289" s="755">
        <v>42663</v>
      </c>
      <c r="B3289" s="338" t="s">
        <v>76</v>
      </c>
      <c r="C3289" s="263">
        <v>930</v>
      </c>
      <c r="D3289" s="308" t="s">
        <v>10275</v>
      </c>
      <c r="E3289" s="571" t="s">
        <v>10283</v>
      </c>
      <c r="F3289" s="574">
        <v>1</v>
      </c>
      <c r="G3289" s="574">
        <v>49</v>
      </c>
      <c r="H3289" s="571">
        <f t="shared" si="205"/>
        <v>49</v>
      </c>
      <c r="I3289" s="264" t="s">
        <v>170</v>
      </c>
      <c r="J3289" s="267" t="s">
        <v>315</v>
      </c>
      <c r="K3289" s="811">
        <v>42670</v>
      </c>
      <c r="L3289" s="1477"/>
      <c r="M3289" s="811">
        <v>42669</v>
      </c>
      <c r="N3289" s="331" t="s">
        <v>10277</v>
      </c>
      <c r="O3289" s="263" t="s">
        <v>10278</v>
      </c>
      <c r="P3289" s="752"/>
      <c r="Q3289" s="978">
        <v>1418</v>
      </c>
      <c r="R3289" s="1428"/>
      <c r="S3289" s="1428"/>
      <c r="U3289" s="386"/>
      <c r="V3289" s="318" t="s">
        <v>2520</v>
      </c>
      <c r="W3289" s="1134">
        <v>42664</v>
      </c>
      <c r="X3289" s="1101">
        <v>42667</v>
      </c>
      <c r="Y3289" s="1087" t="s">
        <v>10279</v>
      </c>
      <c r="Z3289" s="1102" t="s">
        <v>10281</v>
      </c>
      <c r="AA3289" s="1114">
        <v>42664</v>
      </c>
      <c r="AB3289" s="318" t="s">
        <v>10195</v>
      </c>
      <c r="AD3289" s="1092"/>
      <c r="AE3289" s="1103"/>
      <c r="AF3289" s="1092"/>
      <c r="AG3289" s="386" t="s">
        <v>283</v>
      </c>
    </row>
    <row r="3290" spans="1:33" ht="15.75" customHeight="1">
      <c r="A3290" s="755">
        <v>42663</v>
      </c>
      <c r="B3290" s="592" t="s">
        <v>6060</v>
      </c>
      <c r="C3290" s="744" t="s">
        <v>10284</v>
      </c>
      <c r="D3290" s="308" t="s">
        <v>10285</v>
      </c>
      <c r="E3290" s="338" t="s">
        <v>6063</v>
      </c>
      <c r="F3290" s="752">
        <v>10</v>
      </c>
      <c r="G3290" s="752">
        <v>58</v>
      </c>
      <c r="H3290" s="464">
        <f t="shared" si="205"/>
        <v>580</v>
      </c>
      <c r="I3290" s="264" t="s">
        <v>42</v>
      </c>
      <c r="J3290" s="331" t="s">
        <v>8812</v>
      </c>
      <c r="K3290" s="811">
        <v>42677</v>
      </c>
      <c r="L3290" s="1477"/>
      <c r="M3290" s="811">
        <v>42669</v>
      </c>
      <c r="N3290" s="331" t="s">
        <v>89</v>
      </c>
      <c r="O3290" s="263" t="s">
        <v>10286</v>
      </c>
      <c r="P3290" s="752">
        <v>546</v>
      </c>
      <c r="Q3290" s="1130"/>
      <c r="R3290" s="1427"/>
      <c r="S3290" s="1427"/>
      <c r="U3290" s="386"/>
      <c r="V3290" s="318" t="s">
        <v>5896</v>
      </c>
      <c r="W3290" s="1096">
        <v>42709</v>
      </c>
      <c r="X3290" s="1083">
        <v>42667</v>
      </c>
      <c r="Y3290" s="263" t="s">
        <v>10287</v>
      </c>
      <c r="Z3290" s="1086">
        <v>17259</v>
      </c>
      <c r="AA3290" s="811">
        <v>42712</v>
      </c>
      <c r="AB3290" s="318" t="s">
        <v>10288</v>
      </c>
      <c r="AD3290" s="318"/>
      <c r="AE3290" s="1100"/>
      <c r="AF3290" s="318"/>
      <c r="AG3290" s="386" t="s">
        <v>283</v>
      </c>
    </row>
    <row r="3291" spans="1:33" ht="15.75" customHeight="1">
      <c r="A3291" s="755">
        <v>42667</v>
      </c>
      <c r="B3291" s="592" t="s">
        <v>4590</v>
      </c>
      <c r="C3291" s="263"/>
      <c r="D3291" s="308" t="s">
        <v>10289</v>
      </c>
      <c r="E3291" s="338" t="s">
        <v>6195</v>
      </c>
      <c r="F3291" s="752">
        <v>2</v>
      </c>
      <c r="G3291" s="752">
        <v>66</v>
      </c>
      <c r="H3291" s="464">
        <f t="shared" si="205"/>
        <v>132</v>
      </c>
      <c r="I3291" s="997" t="s">
        <v>3315</v>
      </c>
      <c r="J3291" s="331" t="s">
        <v>5842</v>
      </c>
      <c r="K3291" s="811">
        <v>42674</v>
      </c>
      <c r="L3291" s="1477"/>
      <c r="M3291" s="811">
        <v>42671</v>
      </c>
      <c r="N3291" s="331" t="s">
        <v>6196</v>
      </c>
      <c r="O3291" s="263" t="s">
        <v>10290</v>
      </c>
      <c r="P3291" s="752"/>
      <c r="Q3291" s="338">
        <v>3821</v>
      </c>
      <c r="R3291" s="1458"/>
      <c r="S3291" s="1458"/>
      <c r="U3291" s="386"/>
      <c r="V3291" s="597" t="s">
        <v>10291</v>
      </c>
      <c r="W3291" s="1096">
        <v>42669</v>
      </c>
      <c r="X3291" s="1083">
        <v>42670</v>
      </c>
      <c r="Y3291" s="263" t="s">
        <v>10292</v>
      </c>
      <c r="Z3291" s="1086">
        <v>3821</v>
      </c>
      <c r="AA3291" s="811">
        <v>42669</v>
      </c>
      <c r="AB3291" s="318" t="s">
        <v>10293</v>
      </c>
      <c r="AD3291" s="1092"/>
      <c r="AE3291" s="1103"/>
      <c r="AF3291" s="1092"/>
      <c r="AG3291" s="386" t="s">
        <v>283</v>
      </c>
    </row>
    <row r="3292" spans="1:33" ht="15.75" customHeight="1">
      <c r="A3292" s="755">
        <v>42667</v>
      </c>
      <c r="B3292" s="592" t="s">
        <v>4590</v>
      </c>
      <c r="C3292" s="263"/>
      <c r="D3292" s="308" t="s">
        <v>10289</v>
      </c>
      <c r="E3292" s="338" t="s">
        <v>10294</v>
      </c>
      <c r="F3292" s="752">
        <v>1</v>
      </c>
      <c r="G3292" s="752">
        <v>50</v>
      </c>
      <c r="H3292" s="464">
        <f t="shared" si="205"/>
        <v>50</v>
      </c>
      <c r="I3292" s="997" t="s">
        <v>3315</v>
      </c>
      <c r="J3292" s="331" t="s">
        <v>5842</v>
      </c>
      <c r="K3292" s="811">
        <v>42674</v>
      </c>
      <c r="L3292" s="1477"/>
      <c r="M3292" s="1093"/>
      <c r="N3292" s="331" t="s">
        <v>1999</v>
      </c>
      <c r="O3292" s="263"/>
      <c r="P3292" s="752"/>
      <c r="Q3292" s="1140">
        <v>1241</v>
      </c>
      <c r="R3292" s="1461"/>
      <c r="S3292" s="1461"/>
      <c r="U3292" s="386"/>
      <c r="V3292" s="318" t="s">
        <v>2000</v>
      </c>
      <c r="W3292" s="1096">
        <v>42708</v>
      </c>
      <c r="X3292" s="1083">
        <v>42678</v>
      </c>
      <c r="Y3292" s="318" t="s">
        <v>10295</v>
      </c>
      <c r="Z3292" s="1086">
        <v>1241</v>
      </c>
      <c r="AA3292" s="811">
        <v>42709</v>
      </c>
      <c r="AB3292" s="318" t="s">
        <v>10293</v>
      </c>
      <c r="AD3292" s="1092"/>
      <c r="AE3292" s="1103"/>
      <c r="AF3292" s="1092"/>
      <c r="AG3292" s="386" t="s">
        <v>283</v>
      </c>
    </row>
    <row r="3293" spans="1:33" ht="15.75" customHeight="1">
      <c r="A3293" s="755">
        <v>42667</v>
      </c>
      <c r="B3293" s="592" t="s">
        <v>4590</v>
      </c>
      <c r="C3293" s="263"/>
      <c r="D3293" s="308" t="s">
        <v>10289</v>
      </c>
      <c r="E3293" s="338" t="s">
        <v>692</v>
      </c>
      <c r="F3293" s="752">
        <v>1</v>
      </c>
      <c r="G3293" s="752">
        <f>25</f>
        <v>25</v>
      </c>
      <c r="H3293" s="464">
        <f t="shared" si="205"/>
        <v>25</v>
      </c>
      <c r="I3293" s="997" t="s">
        <v>3315</v>
      </c>
      <c r="J3293" s="331"/>
      <c r="K3293" s="811">
        <v>42674</v>
      </c>
      <c r="L3293" s="1477"/>
      <c r="M3293" s="1093"/>
      <c r="N3293" s="331"/>
      <c r="O3293" s="263"/>
      <c r="P3293" s="752"/>
      <c r="Q3293" s="1130"/>
      <c r="R3293" s="1427"/>
      <c r="S3293" s="1427"/>
      <c r="U3293" s="386"/>
      <c r="V3293" s="318"/>
      <c r="W3293" s="1137"/>
      <c r="X3293" s="1083"/>
      <c r="Y3293" s="263"/>
      <c r="Z3293" s="1086"/>
      <c r="AA3293" s="1114"/>
      <c r="AB3293" s="318"/>
      <c r="AD3293" s="1092"/>
      <c r="AE3293" s="1103"/>
      <c r="AF3293" s="1092"/>
      <c r="AG3293" s="1091"/>
    </row>
    <row r="3294" spans="1:33" ht="15.75" customHeight="1">
      <c r="A3294" s="755">
        <v>42667</v>
      </c>
      <c r="B3294" s="338" t="s">
        <v>100</v>
      </c>
      <c r="C3294" s="263"/>
      <c r="D3294" s="308" t="s">
        <v>10296</v>
      </c>
      <c r="E3294" s="338" t="s">
        <v>10297</v>
      </c>
      <c r="F3294" s="752">
        <v>1</v>
      </c>
      <c r="G3294" s="752">
        <v>163</v>
      </c>
      <c r="H3294" s="464">
        <f t="shared" si="205"/>
        <v>163</v>
      </c>
      <c r="I3294" s="264" t="s">
        <v>3315</v>
      </c>
      <c r="J3294" s="331" t="s">
        <v>5842</v>
      </c>
      <c r="K3294" s="811">
        <v>42667</v>
      </c>
      <c r="L3294" s="1477"/>
      <c r="M3294" s="1128"/>
      <c r="N3294" s="331" t="s">
        <v>1999</v>
      </c>
      <c r="O3294" s="263"/>
      <c r="P3294" s="752"/>
      <c r="Q3294" s="1140">
        <v>4809</v>
      </c>
      <c r="R3294" s="1461"/>
      <c r="S3294" s="1461"/>
      <c r="U3294" s="386"/>
      <c r="V3294" s="318" t="s">
        <v>2000</v>
      </c>
      <c r="W3294" s="1096">
        <v>42704</v>
      </c>
      <c r="X3294" s="1083">
        <v>42674</v>
      </c>
      <c r="Y3294" s="318" t="s">
        <v>10298</v>
      </c>
      <c r="Z3294" s="1086">
        <v>4809</v>
      </c>
      <c r="AA3294" s="811">
        <v>42709</v>
      </c>
      <c r="AB3294" s="263" t="s">
        <v>10150</v>
      </c>
      <c r="AD3294" s="1092"/>
      <c r="AE3294" s="1103"/>
      <c r="AF3294" s="1092"/>
      <c r="AG3294" s="386" t="s">
        <v>283</v>
      </c>
    </row>
    <row r="3295" spans="1:33" ht="15.75" customHeight="1">
      <c r="A3295" s="755">
        <v>42667</v>
      </c>
      <c r="B3295" s="338" t="s">
        <v>5981</v>
      </c>
      <c r="C3295" s="263">
        <v>7000124973</v>
      </c>
      <c r="D3295" s="308" t="s">
        <v>10299</v>
      </c>
      <c r="E3295" s="338" t="s">
        <v>6768</v>
      </c>
      <c r="F3295" s="752">
        <v>4</v>
      </c>
      <c r="G3295" s="752">
        <v>110</v>
      </c>
      <c r="H3295" s="464">
        <f t="shared" si="205"/>
        <v>440</v>
      </c>
      <c r="I3295" s="264" t="s">
        <v>42</v>
      </c>
      <c r="J3295" s="756" t="s">
        <v>3462</v>
      </c>
      <c r="K3295" s="811">
        <v>42677</v>
      </c>
      <c r="L3295" s="1477"/>
      <c r="M3295" s="811">
        <v>42675</v>
      </c>
      <c r="N3295" s="331" t="s">
        <v>5935</v>
      </c>
      <c r="O3295" s="263" t="s">
        <v>10300</v>
      </c>
      <c r="P3295" s="752"/>
      <c r="Q3295" s="338">
        <v>12860</v>
      </c>
      <c r="R3295" s="1458"/>
      <c r="S3295" s="1458"/>
      <c r="U3295" s="386"/>
      <c r="V3295" s="318" t="s">
        <v>5937</v>
      </c>
      <c r="W3295" s="1096">
        <v>42740</v>
      </c>
      <c r="X3295" s="1083">
        <v>42675</v>
      </c>
      <c r="Y3295" s="263" t="s">
        <v>10301</v>
      </c>
      <c r="Z3295" s="1086">
        <v>15158</v>
      </c>
      <c r="AA3295" s="811">
        <v>42734</v>
      </c>
      <c r="AB3295" s="318" t="s">
        <v>10302</v>
      </c>
      <c r="AD3295" s="318"/>
      <c r="AE3295" s="1100"/>
      <c r="AF3295" s="318"/>
      <c r="AG3295" s="1091" t="s">
        <v>10168</v>
      </c>
    </row>
    <row r="3296" spans="1:33" ht="15.75" customHeight="1">
      <c r="A3296" s="755">
        <v>42667</v>
      </c>
      <c r="B3296" s="338" t="s">
        <v>5981</v>
      </c>
      <c r="C3296" s="263">
        <v>7000124973</v>
      </c>
      <c r="D3296" s="308" t="s">
        <v>10299</v>
      </c>
      <c r="E3296" s="571" t="s">
        <v>6773</v>
      </c>
      <c r="F3296" s="574">
        <v>1</v>
      </c>
      <c r="G3296" s="574">
        <v>79</v>
      </c>
      <c r="H3296" s="464">
        <f t="shared" si="205"/>
        <v>79</v>
      </c>
      <c r="I3296" s="264" t="s">
        <v>42</v>
      </c>
      <c r="J3296" s="756" t="s">
        <v>3462</v>
      </c>
      <c r="K3296" s="811">
        <v>42677</v>
      </c>
      <c r="L3296" s="1477"/>
      <c r="M3296" s="811">
        <v>42675</v>
      </c>
      <c r="N3296" s="331" t="s">
        <v>5935</v>
      </c>
      <c r="O3296" s="263" t="s">
        <v>10300</v>
      </c>
      <c r="P3296" s="752"/>
      <c r="Q3296" s="338">
        <v>2298</v>
      </c>
      <c r="R3296" s="1458"/>
      <c r="S3296" s="1458"/>
      <c r="U3296" s="386"/>
      <c r="V3296" s="318" t="s">
        <v>5937</v>
      </c>
      <c r="W3296" s="1096">
        <v>42740</v>
      </c>
      <c r="X3296" s="1083">
        <v>42675</v>
      </c>
      <c r="Y3296" s="263" t="s">
        <v>10301</v>
      </c>
      <c r="Z3296" s="1086" t="s">
        <v>10303</v>
      </c>
      <c r="AA3296" s="811">
        <v>42734</v>
      </c>
      <c r="AB3296" s="318" t="s">
        <v>10302</v>
      </c>
      <c r="AD3296" s="318"/>
      <c r="AE3296" s="1100"/>
      <c r="AF3296" s="318"/>
      <c r="AG3296" s="1091" t="s">
        <v>10168</v>
      </c>
    </row>
    <row r="3297" spans="1:33" ht="15.75" customHeight="1">
      <c r="A3297" s="755">
        <v>42667</v>
      </c>
      <c r="B3297" s="338" t="s">
        <v>76</v>
      </c>
      <c r="C3297" s="263"/>
      <c r="D3297" s="308" t="s">
        <v>10304</v>
      </c>
      <c r="E3297" s="338" t="s">
        <v>10305</v>
      </c>
      <c r="F3297" s="752">
        <v>15</v>
      </c>
      <c r="G3297" s="752">
        <v>234</v>
      </c>
      <c r="H3297" s="571">
        <f t="shared" si="205"/>
        <v>3510</v>
      </c>
      <c r="I3297" s="264" t="s">
        <v>170</v>
      </c>
      <c r="J3297" s="267" t="s">
        <v>315</v>
      </c>
      <c r="K3297" s="811">
        <v>42684</v>
      </c>
      <c r="L3297" s="1477"/>
      <c r="M3297" s="811">
        <v>42681</v>
      </c>
      <c r="N3297" s="264" t="s">
        <v>1967</v>
      </c>
      <c r="O3297" s="590" t="s">
        <v>10306</v>
      </c>
      <c r="P3297" s="338">
        <v>3780</v>
      </c>
      <c r="Q3297" s="1130"/>
      <c r="R3297" s="1427"/>
      <c r="S3297" s="1427"/>
      <c r="U3297" s="386"/>
      <c r="V3297" s="1082" t="s">
        <v>10307</v>
      </c>
      <c r="W3297" s="1096">
        <v>42740</v>
      </c>
      <c r="X3297" s="1083">
        <v>42677</v>
      </c>
      <c r="Y3297" s="263" t="s">
        <v>10308</v>
      </c>
      <c r="Z3297" s="1086">
        <v>138419</v>
      </c>
      <c r="AA3297" s="811">
        <v>42744</v>
      </c>
      <c r="AB3297" s="263" t="s">
        <v>10309</v>
      </c>
      <c r="AD3297" s="318"/>
      <c r="AE3297" s="1100"/>
      <c r="AF3297" s="318"/>
      <c r="AG3297" s="386" t="s">
        <v>283</v>
      </c>
    </row>
    <row r="3298" spans="1:33" ht="15.75" customHeight="1">
      <c r="A3298" s="755">
        <v>42667</v>
      </c>
      <c r="B3298" s="338" t="s">
        <v>76</v>
      </c>
      <c r="C3298" s="263"/>
      <c r="D3298" s="308" t="s">
        <v>10304</v>
      </c>
      <c r="E3298" s="338" t="s">
        <v>8842</v>
      </c>
      <c r="F3298" s="752">
        <v>15</v>
      </c>
      <c r="G3298" s="752">
        <v>25</v>
      </c>
      <c r="H3298" s="571">
        <f t="shared" si="205"/>
        <v>375</v>
      </c>
      <c r="I3298" s="264" t="s">
        <v>170</v>
      </c>
      <c r="J3298" s="267" t="s">
        <v>315</v>
      </c>
      <c r="K3298" s="811">
        <v>42684</v>
      </c>
      <c r="L3298" s="1477"/>
      <c r="M3298" s="811">
        <v>42681</v>
      </c>
      <c r="N3298" s="264" t="s">
        <v>1967</v>
      </c>
      <c r="O3298" s="590" t="s">
        <v>10306</v>
      </c>
      <c r="P3298" s="338">
        <v>393.75</v>
      </c>
      <c r="Q3298" s="1130"/>
      <c r="R3298" s="1427"/>
      <c r="S3298" s="1427"/>
      <c r="U3298" s="386"/>
      <c r="V3298" s="1082" t="s">
        <v>10307</v>
      </c>
      <c r="W3298" s="1096">
        <v>42740</v>
      </c>
      <c r="X3298" s="1083">
        <v>42677</v>
      </c>
      <c r="Y3298" s="263" t="s">
        <v>10308</v>
      </c>
      <c r="Z3298" s="1086" t="s">
        <v>10310</v>
      </c>
      <c r="AA3298" s="811">
        <v>42744</v>
      </c>
      <c r="AB3298" s="263" t="s">
        <v>10309</v>
      </c>
      <c r="AD3298" s="318"/>
      <c r="AE3298" s="1100"/>
      <c r="AF3298" s="318"/>
      <c r="AG3298" s="386" t="s">
        <v>283</v>
      </c>
    </row>
    <row r="3299" spans="1:33" ht="15.75" customHeight="1">
      <c r="A3299" s="755">
        <v>42667</v>
      </c>
      <c r="B3299" s="338" t="s">
        <v>76</v>
      </c>
      <c r="C3299" s="263"/>
      <c r="D3299" s="308" t="s">
        <v>10304</v>
      </c>
      <c r="E3299" s="338" t="s">
        <v>8879</v>
      </c>
      <c r="F3299" s="752">
        <v>15</v>
      </c>
      <c r="G3299" s="752">
        <v>18</v>
      </c>
      <c r="H3299" s="571">
        <f t="shared" si="205"/>
        <v>270</v>
      </c>
      <c r="I3299" s="264" t="s">
        <v>170</v>
      </c>
      <c r="J3299" s="267" t="s">
        <v>315</v>
      </c>
      <c r="K3299" s="811">
        <v>42684</v>
      </c>
      <c r="L3299" s="1477"/>
      <c r="M3299" s="811">
        <v>42681</v>
      </c>
      <c r="N3299" s="264" t="s">
        <v>1967</v>
      </c>
      <c r="O3299" s="590" t="s">
        <v>10306</v>
      </c>
      <c r="P3299" s="338">
        <v>220.5</v>
      </c>
      <c r="Q3299" s="1130"/>
      <c r="R3299" s="1427"/>
      <c r="S3299" s="1427"/>
      <c r="U3299" s="386"/>
      <c r="V3299" s="1082" t="s">
        <v>10307</v>
      </c>
      <c r="W3299" s="1096">
        <v>42740</v>
      </c>
      <c r="X3299" s="1083">
        <v>42677</v>
      </c>
      <c r="Y3299" s="263" t="s">
        <v>10308</v>
      </c>
      <c r="Z3299" s="1086" t="s">
        <v>10310</v>
      </c>
      <c r="AA3299" s="811">
        <v>42744</v>
      </c>
      <c r="AB3299" s="263" t="s">
        <v>10309</v>
      </c>
      <c r="AD3299" s="318"/>
      <c r="AE3299" s="1100"/>
      <c r="AF3299" s="318"/>
      <c r="AG3299" s="386" t="s">
        <v>283</v>
      </c>
    </row>
    <row r="3300" spans="1:33" ht="15.75" customHeight="1">
      <c r="A3300" s="755">
        <v>42667</v>
      </c>
      <c r="B3300" s="338" t="s">
        <v>76</v>
      </c>
      <c r="C3300" s="263"/>
      <c r="D3300" s="308" t="s">
        <v>10304</v>
      </c>
      <c r="E3300" s="571" t="s">
        <v>8883</v>
      </c>
      <c r="F3300" s="574">
        <v>15</v>
      </c>
      <c r="G3300" s="574">
        <v>6</v>
      </c>
      <c r="H3300" s="571">
        <f t="shared" si="205"/>
        <v>90</v>
      </c>
      <c r="I3300" s="264" t="s">
        <v>170</v>
      </c>
      <c r="J3300" s="267" t="s">
        <v>315</v>
      </c>
      <c r="K3300" s="811">
        <v>42684</v>
      </c>
      <c r="L3300" s="1477"/>
      <c r="M3300" s="811">
        <v>42684</v>
      </c>
      <c r="N3300" s="331" t="s">
        <v>2006</v>
      </c>
      <c r="O3300" s="263" t="s">
        <v>10311</v>
      </c>
      <c r="P3300" s="752"/>
      <c r="Q3300" s="338">
        <v>1496</v>
      </c>
      <c r="R3300" s="1458"/>
      <c r="S3300" s="1458"/>
      <c r="U3300" s="386"/>
      <c r="V3300" s="318" t="s">
        <v>2146</v>
      </c>
      <c r="W3300" s="1084">
        <v>42691</v>
      </c>
      <c r="X3300" s="1083">
        <v>42681</v>
      </c>
      <c r="Y3300" s="263" t="s">
        <v>10312</v>
      </c>
      <c r="Z3300" s="1086">
        <v>1859</v>
      </c>
      <c r="AA3300" s="811">
        <v>42695</v>
      </c>
      <c r="AB3300" s="263" t="s">
        <v>10309</v>
      </c>
      <c r="AD3300" s="318"/>
      <c r="AE3300" s="1100"/>
      <c r="AF3300" s="318"/>
      <c r="AG3300" s="386" t="s">
        <v>283</v>
      </c>
    </row>
    <row r="3301" spans="1:33" ht="15.75" customHeight="1">
      <c r="A3301" s="755">
        <v>42667</v>
      </c>
      <c r="B3301" s="338" t="s">
        <v>76</v>
      </c>
      <c r="C3301" s="263"/>
      <c r="D3301" s="308" t="s">
        <v>10304</v>
      </c>
      <c r="E3301" s="571" t="s">
        <v>8885</v>
      </c>
      <c r="F3301" s="574">
        <v>15</v>
      </c>
      <c r="G3301" s="574">
        <v>2</v>
      </c>
      <c r="H3301" s="571">
        <f t="shared" si="205"/>
        <v>30</v>
      </c>
      <c r="I3301" s="264" t="s">
        <v>170</v>
      </c>
      <c r="J3301" s="267" t="s">
        <v>315</v>
      </c>
      <c r="K3301" s="811">
        <v>42684</v>
      </c>
      <c r="L3301" s="1477"/>
      <c r="M3301" s="811">
        <v>42684</v>
      </c>
      <c r="N3301" s="331" t="s">
        <v>2006</v>
      </c>
      <c r="O3301" s="263" t="s">
        <v>10311</v>
      </c>
      <c r="P3301" s="752"/>
      <c r="Q3301" s="338">
        <v>363</v>
      </c>
      <c r="R3301" s="1458"/>
      <c r="S3301" s="1458"/>
      <c r="U3301" s="386"/>
      <c r="V3301" s="318" t="s">
        <v>2146</v>
      </c>
      <c r="W3301" s="1084">
        <v>42691</v>
      </c>
      <c r="X3301" s="1083">
        <v>42681</v>
      </c>
      <c r="Y3301" s="263" t="s">
        <v>10312</v>
      </c>
      <c r="Z3301" s="1086" t="s">
        <v>10313</v>
      </c>
      <c r="AA3301" s="811">
        <v>42695</v>
      </c>
      <c r="AB3301" s="263" t="s">
        <v>10309</v>
      </c>
      <c r="AD3301" s="318"/>
      <c r="AE3301" s="1100"/>
      <c r="AF3301" s="318"/>
      <c r="AG3301" s="386" t="s">
        <v>283</v>
      </c>
    </row>
    <row r="3302" spans="1:33" ht="15.75" customHeight="1">
      <c r="A3302" s="755">
        <v>42667</v>
      </c>
      <c r="B3302" s="592" t="s">
        <v>53</v>
      </c>
      <c r="C3302" s="970" t="s">
        <v>10314</v>
      </c>
      <c r="D3302" s="308" t="s">
        <v>10315</v>
      </c>
      <c r="E3302" s="571" t="s">
        <v>3632</v>
      </c>
      <c r="F3302" s="329">
        <v>3</v>
      </c>
      <c r="G3302" s="252">
        <v>150.15</v>
      </c>
      <c r="H3302" s="464">
        <f t="shared" si="205"/>
        <v>450.45000000000005</v>
      </c>
      <c r="I3302" s="264" t="s">
        <v>8429</v>
      </c>
      <c r="J3302" s="331" t="s">
        <v>89</v>
      </c>
      <c r="K3302" s="811">
        <v>42677</v>
      </c>
      <c r="L3302" s="1477"/>
      <c r="M3302" s="1128"/>
      <c r="N3302" s="331" t="s">
        <v>89</v>
      </c>
      <c r="O3302" s="263" t="s">
        <v>10316</v>
      </c>
      <c r="P3302" s="752">
        <v>403.2</v>
      </c>
      <c r="Q3302" s="1130"/>
      <c r="R3302" s="1427"/>
      <c r="S3302" s="1427"/>
      <c r="U3302" s="386"/>
      <c r="V3302" s="318" t="s">
        <v>5896</v>
      </c>
      <c r="W3302" s="1096">
        <v>42740</v>
      </c>
      <c r="X3302" s="1083">
        <v>42676</v>
      </c>
      <c r="Y3302" s="263" t="s">
        <v>10317</v>
      </c>
      <c r="Z3302" s="1086">
        <v>12721</v>
      </c>
      <c r="AA3302" s="811">
        <v>42724</v>
      </c>
      <c r="AB3302" s="318" t="s">
        <v>10272</v>
      </c>
      <c r="AD3302" s="318" t="s">
        <v>10273</v>
      </c>
      <c r="AE3302" s="1100" t="s">
        <v>10318</v>
      </c>
      <c r="AF3302" s="386" t="s">
        <v>10274</v>
      </c>
      <c r="AG3302" s="1091"/>
    </row>
    <row r="3303" spans="1:33" ht="15.75" customHeight="1">
      <c r="A3303" s="755">
        <v>42668</v>
      </c>
      <c r="B3303" s="338" t="s">
        <v>100</v>
      </c>
      <c r="C3303" s="263" t="s">
        <v>10319</v>
      </c>
      <c r="D3303" s="308" t="s">
        <v>10320</v>
      </c>
      <c r="E3303" s="571" t="s">
        <v>10321</v>
      </c>
      <c r="F3303" s="574">
        <v>3</v>
      </c>
      <c r="G3303" s="574">
        <v>322</v>
      </c>
      <c r="H3303" s="464">
        <f t="shared" si="205"/>
        <v>966</v>
      </c>
      <c r="I3303" s="264" t="s">
        <v>3315</v>
      </c>
      <c r="J3303" s="331" t="s">
        <v>5842</v>
      </c>
      <c r="K3303" s="811">
        <v>42677</v>
      </c>
      <c r="L3303" s="1477"/>
      <c r="M3303" s="811">
        <v>42676</v>
      </c>
      <c r="N3303" s="331" t="s">
        <v>1995</v>
      </c>
      <c r="O3303" s="263" t="s">
        <v>10322</v>
      </c>
      <c r="P3303" s="752"/>
      <c r="Q3303" s="338">
        <v>28867</v>
      </c>
      <c r="R3303" s="1458"/>
      <c r="S3303" s="1458"/>
      <c r="U3303" s="386"/>
      <c r="V3303" s="338" t="s">
        <v>1997</v>
      </c>
      <c r="W3303" s="1096">
        <v>42671</v>
      </c>
      <c r="X3303" s="1083">
        <v>42675</v>
      </c>
      <c r="Y3303" s="263" t="s">
        <v>10323</v>
      </c>
      <c r="Z3303" s="1086">
        <v>28867</v>
      </c>
      <c r="AA3303" s="811">
        <v>42671</v>
      </c>
      <c r="AB3303" s="318" t="s">
        <v>10324</v>
      </c>
      <c r="AD3303" s="318"/>
      <c r="AE3303" s="1100"/>
      <c r="AF3303" s="318"/>
      <c r="AG3303" s="386" t="s">
        <v>283</v>
      </c>
    </row>
    <row r="3304" spans="1:33" ht="15.75" customHeight="1">
      <c r="A3304" s="755">
        <v>42668</v>
      </c>
      <c r="B3304" s="338" t="s">
        <v>100</v>
      </c>
      <c r="C3304" s="263" t="s">
        <v>10319</v>
      </c>
      <c r="D3304" s="308" t="s">
        <v>10320</v>
      </c>
      <c r="E3304" s="571" t="s">
        <v>10325</v>
      </c>
      <c r="F3304" s="574">
        <v>3</v>
      </c>
      <c r="G3304" s="574">
        <v>71</v>
      </c>
      <c r="H3304" s="265">
        <v>213</v>
      </c>
      <c r="I3304" s="264" t="s">
        <v>3315</v>
      </c>
      <c r="J3304" s="331" t="s">
        <v>5842</v>
      </c>
      <c r="K3304" s="811">
        <v>42677</v>
      </c>
      <c r="L3304" s="1477"/>
      <c r="M3304" s="811">
        <v>42674</v>
      </c>
      <c r="N3304" s="331" t="s">
        <v>2124</v>
      </c>
      <c r="O3304" s="263" t="s">
        <v>10326</v>
      </c>
      <c r="P3304" s="752"/>
      <c r="Q3304" s="338">
        <v>5623</v>
      </c>
      <c r="R3304" s="1458"/>
      <c r="S3304" s="1458"/>
      <c r="U3304" s="386"/>
      <c r="V3304" s="318" t="s">
        <v>2126</v>
      </c>
      <c r="W3304" s="752" t="s">
        <v>9833</v>
      </c>
      <c r="X3304" s="1083">
        <v>42671</v>
      </c>
      <c r="Y3304" s="318" t="s">
        <v>10327</v>
      </c>
      <c r="Z3304" s="1086">
        <v>9236</v>
      </c>
      <c r="AA3304" s="811"/>
      <c r="AB3304" s="318" t="s">
        <v>10324</v>
      </c>
      <c r="AD3304" s="318"/>
      <c r="AE3304" s="1100"/>
      <c r="AF3304" s="318"/>
      <c r="AG3304" s="386" t="s">
        <v>283</v>
      </c>
    </row>
    <row r="3305" spans="1:33" ht="15.75" customHeight="1">
      <c r="A3305" s="755">
        <v>42668</v>
      </c>
      <c r="B3305" s="338" t="s">
        <v>100</v>
      </c>
      <c r="C3305" s="263" t="s">
        <v>10319</v>
      </c>
      <c r="D3305" s="308" t="s">
        <v>10320</v>
      </c>
      <c r="E3305" s="338" t="s">
        <v>10328</v>
      </c>
      <c r="F3305" s="752">
        <v>3</v>
      </c>
      <c r="G3305" s="752">
        <v>58</v>
      </c>
      <c r="H3305" s="265">
        <f t="shared" ref="H3305:H3354" si="206">G3305*F3305</f>
        <v>174</v>
      </c>
      <c r="I3305" s="264" t="s">
        <v>3315</v>
      </c>
      <c r="J3305" s="331" t="s">
        <v>5842</v>
      </c>
      <c r="K3305" s="811">
        <v>42677</v>
      </c>
      <c r="L3305" s="1477"/>
      <c r="M3305" s="811">
        <v>42674</v>
      </c>
      <c r="N3305" s="331" t="s">
        <v>2124</v>
      </c>
      <c r="O3305" s="263" t="s">
        <v>10326</v>
      </c>
      <c r="P3305" s="752"/>
      <c r="Q3305" s="338">
        <v>3613</v>
      </c>
      <c r="R3305" s="1458"/>
      <c r="S3305" s="1458"/>
      <c r="U3305" s="386"/>
      <c r="V3305" s="318" t="s">
        <v>2126</v>
      </c>
      <c r="W3305" s="831" t="s">
        <v>10329</v>
      </c>
      <c r="X3305" s="1083">
        <v>42671</v>
      </c>
      <c r="Y3305" s="318" t="s">
        <v>10327</v>
      </c>
      <c r="Z3305" s="1086" t="s">
        <v>10330</v>
      </c>
      <c r="AA3305" s="811">
        <v>42670</v>
      </c>
      <c r="AB3305" s="318" t="s">
        <v>10324</v>
      </c>
      <c r="AD3305" s="318"/>
      <c r="AE3305" s="1100"/>
      <c r="AF3305" s="318"/>
      <c r="AG3305" s="386" t="s">
        <v>283</v>
      </c>
    </row>
    <row r="3306" spans="1:33" ht="15.75" customHeight="1">
      <c r="A3306" s="755">
        <v>42670</v>
      </c>
      <c r="B3306" s="338" t="s">
        <v>5981</v>
      </c>
      <c r="C3306" s="263">
        <v>7000125082</v>
      </c>
      <c r="D3306" s="318" t="s">
        <v>10331</v>
      </c>
      <c r="E3306" s="338" t="s">
        <v>3515</v>
      </c>
      <c r="F3306" s="752">
        <v>2</v>
      </c>
      <c r="G3306" s="752">
        <v>46</v>
      </c>
      <c r="H3306" s="265">
        <f t="shared" si="206"/>
        <v>92</v>
      </c>
      <c r="I3306" s="264" t="s">
        <v>42</v>
      </c>
      <c r="J3306" s="756" t="s">
        <v>3462</v>
      </c>
      <c r="K3306" s="811">
        <v>42677</v>
      </c>
      <c r="L3306" s="1477"/>
      <c r="M3306" s="811">
        <v>42676</v>
      </c>
      <c r="N3306" s="331" t="s">
        <v>5935</v>
      </c>
      <c r="O3306" s="263" t="s">
        <v>10332</v>
      </c>
      <c r="P3306" s="752"/>
      <c r="Q3306" s="338">
        <v>2684</v>
      </c>
      <c r="R3306" s="1458"/>
      <c r="S3306" s="1458"/>
      <c r="U3306" s="386"/>
      <c r="V3306" s="318" t="s">
        <v>5937</v>
      </c>
      <c r="W3306" s="1096">
        <v>42740</v>
      </c>
      <c r="X3306" s="1083">
        <v>42675</v>
      </c>
      <c r="Y3306" s="263" t="s">
        <v>10333</v>
      </c>
      <c r="Z3306" s="1086">
        <v>2684</v>
      </c>
      <c r="AA3306" s="811">
        <v>42734</v>
      </c>
      <c r="AB3306" s="318" t="s">
        <v>10302</v>
      </c>
      <c r="AD3306" s="318"/>
      <c r="AE3306" s="1100"/>
      <c r="AF3306" s="318"/>
      <c r="AG3306" s="1091" t="s">
        <v>10168</v>
      </c>
    </row>
    <row r="3307" spans="1:33" ht="15.75" customHeight="1">
      <c r="A3307" s="743">
        <v>42634</v>
      </c>
      <c r="B3307" s="338" t="s">
        <v>100</v>
      </c>
      <c r="C3307" s="263" t="s">
        <v>10042</v>
      </c>
      <c r="D3307" s="318" t="s">
        <v>10043</v>
      </c>
      <c r="E3307" s="338" t="s">
        <v>10010</v>
      </c>
      <c r="F3307" s="752">
        <v>6</v>
      </c>
      <c r="G3307" s="752">
        <v>1085</v>
      </c>
      <c r="H3307" s="265">
        <f t="shared" si="206"/>
        <v>6510</v>
      </c>
      <c r="I3307" s="264" t="s">
        <v>3315</v>
      </c>
      <c r="J3307" s="331" t="s">
        <v>5842</v>
      </c>
      <c r="K3307" s="811">
        <v>42654</v>
      </c>
      <c r="L3307" s="1477"/>
      <c r="M3307" s="811">
        <v>42650</v>
      </c>
      <c r="N3307" s="331" t="s">
        <v>1414</v>
      </c>
      <c r="O3307" s="263" t="s">
        <v>10334</v>
      </c>
      <c r="P3307" s="752"/>
      <c r="Q3307" s="318">
        <v>189068</v>
      </c>
      <c r="R3307" s="1410"/>
      <c r="S3307" s="1410"/>
      <c r="U3307" s="386"/>
      <c r="V3307" s="318" t="s">
        <v>1947</v>
      </c>
      <c r="W3307" s="1096">
        <v>42679</v>
      </c>
      <c r="X3307" s="1083">
        <v>42649</v>
      </c>
      <c r="Y3307" s="263" t="s">
        <v>10335</v>
      </c>
      <c r="Z3307" s="1086">
        <v>189068</v>
      </c>
      <c r="AA3307" s="811">
        <v>42678</v>
      </c>
      <c r="AB3307" s="318" t="s">
        <v>10046</v>
      </c>
      <c r="AD3307" s="1092"/>
      <c r="AE3307" s="1103"/>
      <c r="AF3307" s="1092"/>
      <c r="AG3307" s="386" t="s">
        <v>283</v>
      </c>
    </row>
    <row r="3308" spans="1:33" ht="15.75" customHeight="1">
      <c r="A3308" s="755">
        <v>42670</v>
      </c>
      <c r="B3308" s="338" t="s">
        <v>100</v>
      </c>
      <c r="C3308" s="263"/>
      <c r="D3308" s="318" t="s">
        <v>10336</v>
      </c>
      <c r="E3308" s="338" t="s">
        <v>10337</v>
      </c>
      <c r="F3308" s="752">
        <v>2</v>
      </c>
      <c r="G3308" s="752">
        <v>62</v>
      </c>
      <c r="H3308" s="265">
        <f t="shared" si="206"/>
        <v>124</v>
      </c>
      <c r="I3308" s="264" t="s">
        <v>3315</v>
      </c>
      <c r="J3308" s="331" t="s">
        <v>5842</v>
      </c>
      <c r="K3308" s="811">
        <v>42676</v>
      </c>
      <c r="L3308" s="1477"/>
      <c r="M3308" s="811">
        <v>42676</v>
      </c>
      <c r="N3308" s="331" t="s">
        <v>1414</v>
      </c>
      <c r="O3308" s="263" t="s">
        <v>10338</v>
      </c>
      <c r="P3308" s="752">
        <v>147</v>
      </c>
      <c r="Q3308" s="338"/>
      <c r="R3308" s="1458"/>
      <c r="S3308" s="1458"/>
      <c r="U3308" s="386"/>
      <c r="V3308" s="318" t="s">
        <v>1947</v>
      </c>
      <c r="W3308" s="1096">
        <v>42709</v>
      </c>
      <c r="X3308" s="1083">
        <v>42675</v>
      </c>
      <c r="Y3308" s="263" t="s">
        <v>10339</v>
      </c>
      <c r="Z3308" s="1086" t="s">
        <v>10340</v>
      </c>
      <c r="AA3308" s="811">
        <v>42710</v>
      </c>
      <c r="AB3308" s="318" t="s">
        <v>10341</v>
      </c>
      <c r="AD3308" s="318"/>
      <c r="AE3308" s="1100"/>
      <c r="AF3308" s="318"/>
      <c r="AG3308" s="386" t="s">
        <v>283</v>
      </c>
    </row>
    <row r="3309" spans="1:33" ht="15.75" customHeight="1">
      <c r="A3309" s="755">
        <v>42670</v>
      </c>
      <c r="B3309" s="338" t="s">
        <v>100</v>
      </c>
      <c r="C3309" s="263"/>
      <c r="D3309" s="318" t="s">
        <v>10336</v>
      </c>
      <c r="E3309" s="338" t="s">
        <v>10342</v>
      </c>
      <c r="F3309" s="752">
        <v>1</v>
      </c>
      <c r="G3309" s="752">
        <v>102</v>
      </c>
      <c r="H3309" s="265">
        <f t="shared" si="206"/>
        <v>102</v>
      </c>
      <c r="I3309" s="264" t="s">
        <v>3315</v>
      </c>
      <c r="J3309" s="331" t="s">
        <v>5842</v>
      </c>
      <c r="K3309" s="811">
        <v>42676</v>
      </c>
      <c r="L3309" s="1477"/>
      <c r="M3309" s="811">
        <v>42676</v>
      </c>
      <c r="N3309" s="331" t="s">
        <v>1999</v>
      </c>
      <c r="O3309" s="263"/>
      <c r="P3309" s="752"/>
      <c r="Q3309" s="1140">
        <v>2880</v>
      </c>
      <c r="R3309" s="1461"/>
      <c r="S3309" s="1461"/>
      <c r="U3309" s="386"/>
      <c r="V3309" s="318" t="s">
        <v>2000</v>
      </c>
      <c r="W3309" s="1096">
        <v>42715</v>
      </c>
      <c r="X3309" s="1083">
        <v>42685</v>
      </c>
      <c r="Y3309" s="318" t="s">
        <v>10343</v>
      </c>
      <c r="Z3309" s="1086">
        <v>4891</v>
      </c>
      <c r="AA3309" s="811">
        <v>42709</v>
      </c>
      <c r="AB3309" s="318" t="s">
        <v>10341</v>
      </c>
      <c r="AD3309" s="318"/>
      <c r="AE3309" s="1100"/>
      <c r="AF3309" s="318"/>
      <c r="AG3309" s="386" t="s">
        <v>283</v>
      </c>
    </row>
    <row r="3310" spans="1:33" ht="15.75" customHeight="1">
      <c r="A3310" s="755">
        <v>42674</v>
      </c>
      <c r="B3310" s="338" t="s">
        <v>5981</v>
      </c>
      <c r="C3310" s="263">
        <v>7000125132</v>
      </c>
      <c r="D3310" s="318" t="s">
        <v>10344</v>
      </c>
      <c r="E3310" s="338" t="s">
        <v>3566</v>
      </c>
      <c r="F3310" s="752">
        <v>1</v>
      </c>
      <c r="G3310" s="752">
        <v>56</v>
      </c>
      <c r="H3310" s="265">
        <f t="shared" si="206"/>
        <v>56</v>
      </c>
      <c r="I3310" s="264" t="s">
        <v>42</v>
      </c>
      <c r="J3310" s="756" t="s">
        <v>3462</v>
      </c>
      <c r="K3310" s="811">
        <v>42677</v>
      </c>
      <c r="L3310" s="1477"/>
      <c r="M3310" s="811">
        <v>42676</v>
      </c>
      <c r="N3310" s="331" t="s">
        <v>3432</v>
      </c>
      <c r="O3310" s="263" t="s">
        <v>10345</v>
      </c>
      <c r="P3310" s="752"/>
      <c r="Q3310" s="338">
        <v>1638</v>
      </c>
      <c r="R3310" s="1458"/>
      <c r="S3310" s="1458"/>
      <c r="U3310" s="386"/>
      <c r="V3310" s="318" t="s">
        <v>5937</v>
      </c>
      <c r="W3310" s="1096">
        <v>42740</v>
      </c>
      <c r="X3310" s="1083">
        <v>42676</v>
      </c>
      <c r="Y3310" s="263" t="s">
        <v>10346</v>
      </c>
      <c r="Z3310" s="1086">
        <v>1638</v>
      </c>
      <c r="AA3310" s="811">
        <v>42734</v>
      </c>
      <c r="AB3310" s="318" t="s">
        <v>10302</v>
      </c>
      <c r="AD3310" s="318"/>
      <c r="AE3310" s="1100"/>
      <c r="AF3310" s="318"/>
      <c r="AG3310" s="1091" t="s">
        <v>10168</v>
      </c>
    </row>
    <row r="3311" spans="1:33" ht="15.75" customHeight="1">
      <c r="A3311" s="755">
        <v>42674</v>
      </c>
      <c r="B3311" s="338" t="s">
        <v>76</v>
      </c>
      <c r="C3311" s="263">
        <v>964</v>
      </c>
      <c r="D3311" s="318" t="s">
        <v>10347</v>
      </c>
      <c r="E3311" s="571" t="s">
        <v>9077</v>
      </c>
      <c r="F3311" s="752">
        <v>10</v>
      </c>
      <c r="G3311" s="752">
        <v>285</v>
      </c>
      <c r="H3311" s="571">
        <f t="shared" si="206"/>
        <v>2850</v>
      </c>
      <c r="I3311" s="264" t="s">
        <v>170</v>
      </c>
      <c r="J3311" s="267" t="s">
        <v>315</v>
      </c>
      <c r="K3311" s="811">
        <v>42684</v>
      </c>
      <c r="L3311" s="1477"/>
      <c r="M3311" s="811">
        <v>42682</v>
      </c>
      <c r="N3311" s="264" t="s">
        <v>1967</v>
      </c>
      <c r="O3311" s="263" t="s">
        <v>10348</v>
      </c>
      <c r="P3311" s="752">
        <v>2625</v>
      </c>
      <c r="Q3311" s="1130"/>
      <c r="R3311" s="1427"/>
      <c r="S3311" s="1427"/>
      <c r="U3311" s="386"/>
      <c r="V3311" s="1082" t="s">
        <v>10307</v>
      </c>
      <c r="W3311" s="1096">
        <v>42740</v>
      </c>
      <c r="X3311" s="1083">
        <v>42682</v>
      </c>
      <c r="Y3311" s="263" t="s">
        <v>10349</v>
      </c>
      <c r="Z3311" s="1086">
        <v>82688</v>
      </c>
      <c r="AA3311" s="811">
        <v>42744</v>
      </c>
      <c r="AB3311" s="263" t="s">
        <v>10309</v>
      </c>
      <c r="AD3311" s="318"/>
      <c r="AE3311" s="1100"/>
      <c r="AF3311" s="318"/>
      <c r="AG3311" s="386" t="s">
        <v>283</v>
      </c>
    </row>
    <row r="3312" spans="1:33" ht="15.75" customHeight="1">
      <c r="A3312" s="755">
        <v>42675</v>
      </c>
      <c r="B3312" s="338" t="s">
        <v>228</v>
      </c>
      <c r="C3312" s="263" t="s">
        <v>10350</v>
      </c>
      <c r="D3312" s="318" t="s">
        <v>10351</v>
      </c>
      <c r="E3312" s="571" t="s">
        <v>461</v>
      </c>
      <c r="F3312" s="752">
        <v>78</v>
      </c>
      <c r="G3312" s="574">
        <v>415.8</v>
      </c>
      <c r="H3312" s="571">
        <f t="shared" si="206"/>
        <v>32432.400000000001</v>
      </c>
      <c r="I3312" s="264" t="s">
        <v>170</v>
      </c>
      <c r="J3312" s="331" t="s">
        <v>89</v>
      </c>
      <c r="K3312" s="811">
        <v>42691</v>
      </c>
      <c r="L3312" s="1477"/>
      <c r="M3312" s="1128"/>
      <c r="N3312" s="331" t="s">
        <v>89</v>
      </c>
      <c r="O3312" s="263" t="s">
        <v>10352</v>
      </c>
      <c r="P3312" s="752">
        <v>29074.5</v>
      </c>
      <c r="Q3312" s="1130"/>
      <c r="R3312" s="1427"/>
      <c r="S3312" s="1427"/>
      <c r="U3312" s="386"/>
      <c r="V3312" s="318" t="s">
        <v>5896</v>
      </c>
      <c r="W3312" s="1096">
        <v>42740</v>
      </c>
      <c r="X3312" s="1083">
        <v>42690</v>
      </c>
      <c r="Y3312" s="263" t="s">
        <v>10353</v>
      </c>
      <c r="Z3312" s="1086">
        <v>922695</v>
      </c>
      <c r="AA3312" s="811">
        <v>42712</v>
      </c>
      <c r="AB3312" s="318" t="s">
        <v>10354</v>
      </c>
      <c r="AD3312" s="318" t="s">
        <v>10355</v>
      </c>
      <c r="AE3312" s="1100">
        <v>1057398</v>
      </c>
      <c r="AF3312" s="318" t="s">
        <v>10356</v>
      </c>
      <c r="AG3312" s="386"/>
    </row>
    <row r="3313" spans="1:33" ht="15.75" customHeight="1">
      <c r="A3313" s="755">
        <v>42675</v>
      </c>
      <c r="B3313" s="338" t="s">
        <v>228</v>
      </c>
      <c r="C3313" s="263"/>
      <c r="D3313" s="318" t="s">
        <v>10351</v>
      </c>
      <c r="E3313" s="592" t="s">
        <v>3604</v>
      </c>
      <c r="F3313" s="752">
        <v>1</v>
      </c>
      <c r="G3313" s="752">
        <v>336</v>
      </c>
      <c r="H3313" s="571">
        <f t="shared" si="206"/>
        <v>336</v>
      </c>
      <c r="I3313" s="264" t="s">
        <v>170</v>
      </c>
      <c r="J3313" s="331" t="s">
        <v>89</v>
      </c>
      <c r="K3313" s="811">
        <v>42691</v>
      </c>
      <c r="L3313" s="1477"/>
      <c r="M3313" s="1128"/>
      <c r="N3313" s="331" t="s">
        <v>89</v>
      </c>
      <c r="O3313" s="263" t="s">
        <v>10352</v>
      </c>
      <c r="P3313" s="752">
        <v>301.35000000000002</v>
      </c>
      <c r="Q3313" s="1130"/>
      <c r="R3313" s="1427"/>
      <c r="S3313" s="1427"/>
      <c r="U3313" s="386"/>
      <c r="V3313" s="318" t="s">
        <v>5896</v>
      </c>
      <c r="W3313" s="1096">
        <v>42740</v>
      </c>
      <c r="X3313" s="1083">
        <v>42690</v>
      </c>
      <c r="Y3313" s="263" t="s">
        <v>10353</v>
      </c>
      <c r="Z3313" s="1086" t="s">
        <v>10357</v>
      </c>
      <c r="AA3313" s="811">
        <v>42712</v>
      </c>
      <c r="AB3313" s="318" t="s">
        <v>10354</v>
      </c>
      <c r="AD3313" s="318" t="s">
        <v>10355</v>
      </c>
      <c r="AE3313" s="1100" t="s">
        <v>10358</v>
      </c>
      <c r="AF3313" s="318" t="s">
        <v>10356</v>
      </c>
      <c r="AG3313" s="386"/>
    </row>
    <row r="3314" spans="1:33" ht="15.75" customHeight="1">
      <c r="A3314" s="755">
        <v>42676</v>
      </c>
      <c r="B3314" s="338" t="s">
        <v>5981</v>
      </c>
      <c r="C3314" s="263"/>
      <c r="D3314" s="318" t="s">
        <v>10359</v>
      </c>
      <c r="E3314" s="338" t="s">
        <v>10360</v>
      </c>
      <c r="F3314" s="752">
        <v>1</v>
      </c>
      <c r="G3314" s="752">
        <v>0</v>
      </c>
      <c r="H3314" s="265">
        <f t="shared" si="206"/>
        <v>0</v>
      </c>
      <c r="I3314" s="264" t="s">
        <v>42</v>
      </c>
      <c r="J3314" s="756" t="s">
        <v>3462</v>
      </c>
      <c r="K3314" s="811">
        <v>42677</v>
      </c>
      <c r="L3314" s="1477"/>
      <c r="M3314" s="811">
        <v>42677</v>
      </c>
      <c r="N3314" s="331" t="s">
        <v>3432</v>
      </c>
      <c r="O3314" s="263"/>
      <c r="P3314" s="752"/>
      <c r="Q3314" s="338">
        <v>0</v>
      </c>
      <c r="R3314" s="1458"/>
      <c r="S3314" s="1458"/>
      <c r="U3314" s="386"/>
      <c r="V3314" s="318" t="s">
        <v>5937</v>
      </c>
      <c r="W3314" s="1137"/>
      <c r="X3314" s="263" t="s">
        <v>10361</v>
      </c>
      <c r="Y3314" s="263" t="s">
        <v>10362</v>
      </c>
      <c r="Z3314" s="263" t="s">
        <v>10362</v>
      </c>
      <c r="AA3314" s="811"/>
      <c r="AB3314" s="318" t="s">
        <v>10302</v>
      </c>
      <c r="AD3314" s="318"/>
      <c r="AE3314" s="1100"/>
      <c r="AF3314" s="318"/>
      <c r="AG3314" s="386"/>
    </row>
    <row r="3315" spans="1:33" ht="15.75" customHeight="1">
      <c r="A3315" s="755">
        <v>42676</v>
      </c>
      <c r="B3315" s="338" t="s">
        <v>100</v>
      </c>
      <c r="C3315" s="263"/>
      <c r="D3315" s="318" t="s">
        <v>10363</v>
      </c>
      <c r="E3315" s="338" t="s">
        <v>10364</v>
      </c>
      <c r="F3315" s="752">
        <v>1</v>
      </c>
      <c r="G3315" s="752">
        <v>76</v>
      </c>
      <c r="H3315" s="265">
        <f t="shared" si="206"/>
        <v>76</v>
      </c>
      <c r="I3315" s="264" t="s">
        <v>3315</v>
      </c>
      <c r="J3315" s="331" t="s">
        <v>5842</v>
      </c>
      <c r="K3315" s="811">
        <v>42677</v>
      </c>
      <c r="L3315" s="1477"/>
      <c r="M3315" s="811">
        <v>42677</v>
      </c>
      <c r="N3315" s="331" t="s">
        <v>1999</v>
      </c>
      <c r="O3315" s="263"/>
      <c r="P3315" s="752"/>
      <c r="Q3315" s="1140">
        <v>2011</v>
      </c>
      <c r="R3315" s="1461"/>
      <c r="S3315" s="1461"/>
      <c r="U3315" s="386"/>
      <c r="V3315" s="318" t="s">
        <v>2000</v>
      </c>
      <c r="W3315" s="1096">
        <v>42715</v>
      </c>
      <c r="X3315" s="1083">
        <v>42685</v>
      </c>
      <c r="Y3315" s="318" t="s">
        <v>10343</v>
      </c>
      <c r="Z3315" s="254" t="s">
        <v>10365</v>
      </c>
      <c r="AA3315" s="811">
        <v>42709</v>
      </c>
      <c r="AB3315" s="318" t="s">
        <v>10324</v>
      </c>
      <c r="AD3315" s="318"/>
      <c r="AE3315" s="1100"/>
      <c r="AF3315" s="318"/>
      <c r="AG3315" s="386" t="s">
        <v>283</v>
      </c>
    </row>
    <row r="3316" spans="1:33" ht="1.5" customHeight="1">
      <c r="A3316" s="755">
        <v>42677</v>
      </c>
      <c r="B3316" s="338" t="s">
        <v>4903</v>
      </c>
      <c r="C3316" s="263" t="s">
        <v>10366</v>
      </c>
      <c r="D3316" s="318" t="s">
        <v>10367</v>
      </c>
      <c r="E3316" s="338" t="s">
        <v>10368</v>
      </c>
      <c r="F3316" s="752">
        <v>2</v>
      </c>
      <c r="G3316" s="752">
        <v>1343</v>
      </c>
      <c r="H3316" s="265">
        <f t="shared" si="206"/>
        <v>2686</v>
      </c>
      <c r="I3316" s="264" t="s">
        <v>3315</v>
      </c>
      <c r="J3316" s="331" t="s">
        <v>3588</v>
      </c>
      <c r="K3316" s="811">
        <v>42684</v>
      </c>
      <c r="L3316" s="1477"/>
      <c r="M3316" s="811">
        <v>42684</v>
      </c>
      <c r="N3316" s="331" t="s">
        <v>3432</v>
      </c>
      <c r="O3316" s="263" t="s">
        <v>10369</v>
      </c>
      <c r="P3316" s="752"/>
      <c r="Q3316" s="978">
        <v>82736</v>
      </c>
      <c r="R3316" s="1428"/>
      <c r="S3316" s="1428"/>
      <c r="U3316" s="386"/>
      <c r="V3316" s="318" t="s">
        <v>5937</v>
      </c>
      <c r="W3316" s="1096">
        <v>42740</v>
      </c>
      <c r="X3316" s="1083">
        <v>42681</v>
      </c>
      <c r="Y3316" s="263" t="s">
        <v>10370</v>
      </c>
      <c r="Z3316" s="1086">
        <v>82736</v>
      </c>
      <c r="AA3316" s="811">
        <v>42734</v>
      </c>
      <c r="AB3316" s="263" t="s">
        <v>10371</v>
      </c>
      <c r="AD3316" s="318"/>
      <c r="AE3316" s="1100"/>
      <c r="AF3316" s="318"/>
      <c r="AG3316" s="386" t="s">
        <v>283</v>
      </c>
    </row>
    <row r="3317" spans="1:33" ht="15.75" customHeight="1">
      <c r="A3317" s="755">
        <v>42678</v>
      </c>
      <c r="B3317" s="338" t="s">
        <v>5981</v>
      </c>
      <c r="C3317" s="263">
        <v>7000125281</v>
      </c>
      <c r="D3317" s="318" t="s">
        <v>10372</v>
      </c>
      <c r="E3317" s="338" t="s">
        <v>4493</v>
      </c>
      <c r="F3317" s="752">
        <v>2</v>
      </c>
      <c r="G3317" s="752">
        <v>110</v>
      </c>
      <c r="H3317" s="47">
        <f t="shared" si="206"/>
        <v>220</v>
      </c>
      <c r="I3317" s="264" t="s">
        <v>42</v>
      </c>
      <c r="J3317" s="756" t="s">
        <v>3462</v>
      </c>
      <c r="K3317" s="256">
        <v>42698</v>
      </c>
      <c r="L3317" s="1477"/>
      <c r="M3317" s="811">
        <v>42698</v>
      </c>
      <c r="N3317" s="331" t="s">
        <v>5935</v>
      </c>
      <c r="O3317" s="263" t="s">
        <v>10373</v>
      </c>
      <c r="P3317" s="752"/>
      <c r="Q3317" s="978">
        <v>6430</v>
      </c>
      <c r="R3317" s="1428"/>
      <c r="S3317" s="1428"/>
      <c r="U3317" s="386"/>
      <c r="V3317" s="318" t="s">
        <v>5937</v>
      </c>
      <c r="W3317" s="747">
        <v>42740</v>
      </c>
      <c r="X3317" s="1083">
        <v>42696</v>
      </c>
      <c r="Y3317" s="263" t="s">
        <v>10374</v>
      </c>
      <c r="Z3317" s="1086">
        <v>10119</v>
      </c>
      <c r="AA3317" s="811">
        <v>42734</v>
      </c>
      <c r="AB3317" s="308" t="s">
        <v>10375</v>
      </c>
      <c r="AD3317" s="318"/>
      <c r="AE3317" s="1100"/>
      <c r="AF3317" s="318"/>
      <c r="AG3317" s="585" t="s">
        <v>283</v>
      </c>
    </row>
    <row r="3318" spans="1:33" ht="15.75" customHeight="1">
      <c r="A3318" s="755">
        <v>42678</v>
      </c>
      <c r="B3318" s="338" t="s">
        <v>5981</v>
      </c>
      <c r="C3318" s="263">
        <v>7000125281</v>
      </c>
      <c r="D3318" s="318" t="s">
        <v>10372</v>
      </c>
      <c r="E3318" s="338" t="s">
        <v>6992</v>
      </c>
      <c r="F3318" s="752">
        <v>1</v>
      </c>
      <c r="G3318" s="752">
        <v>126</v>
      </c>
      <c r="H3318" s="47">
        <f t="shared" si="206"/>
        <v>126</v>
      </c>
      <c r="I3318" s="264" t="s">
        <v>42</v>
      </c>
      <c r="J3318" s="756" t="s">
        <v>3462</v>
      </c>
      <c r="K3318" s="256">
        <v>42698</v>
      </c>
      <c r="L3318" s="1477"/>
      <c r="M3318" s="811">
        <v>42698</v>
      </c>
      <c r="N3318" s="331" t="s">
        <v>5935</v>
      </c>
      <c r="O3318" s="263" t="s">
        <v>10373</v>
      </c>
      <c r="P3318" s="752"/>
      <c r="Q3318" s="978">
        <v>3689</v>
      </c>
      <c r="R3318" s="1428"/>
      <c r="S3318" s="1428"/>
      <c r="U3318" s="386"/>
      <c r="V3318" s="318" t="s">
        <v>5937</v>
      </c>
      <c r="W3318" s="747">
        <v>42740</v>
      </c>
      <c r="X3318" s="1083">
        <v>42696</v>
      </c>
      <c r="Y3318" s="263" t="s">
        <v>10374</v>
      </c>
      <c r="Z3318" s="996" t="s">
        <v>10376</v>
      </c>
      <c r="AA3318" s="811">
        <v>42734</v>
      </c>
      <c r="AB3318" s="308" t="s">
        <v>10375</v>
      </c>
      <c r="AD3318" s="318"/>
      <c r="AE3318" s="1100"/>
      <c r="AF3318" s="318"/>
      <c r="AG3318" s="585" t="s">
        <v>283</v>
      </c>
    </row>
    <row r="3319" spans="1:33" ht="15.75" customHeight="1">
      <c r="A3319" s="755">
        <v>42678</v>
      </c>
      <c r="B3319" s="338" t="s">
        <v>629</v>
      </c>
      <c r="C3319" s="263" t="s">
        <v>10377</v>
      </c>
      <c r="D3319" s="318" t="s">
        <v>10378</v>
      </c>
      <c r="E3319" s="338" t="s">
        <v>10379</v>
      </c>
      <c r="F3319" s="752">
        <v>8</v>
      </c>
      <c r="G3319" s="752">
        <v>145.94999999999999</v>
      </c>
      <c r="H3319" s="265">
        <f t="shared" si="206"/>
        <v>1167.5999999999999</v>
      </c>
      <c r="I3319" s="264" t="s">
        <v>170</v>
      </c>
      <c r="J3319" s="331" t="s">
        <v>89</v>
      </c>
      <c r="K3319" s="811">
        <v>42691</v>
      </c>
      <c r="L3319" s="1477"/>
      <c r="M3319" s="1128"/>
      <c r="N3319" s="331" t="s">
        <v>89</v>
      </c>
      <c r="O3319" s="263" t="s">
        <v>10380</v>
      </c>
      <c r="P3319" s="752">
        <v>1083.5999999999999</v>
      </c>
      <c r="Q3319" s="1130"/>
      <c r="R3319" s="1427"/>
      <c r="S3319" s="1427"/>
      <c r="U3319" s="386"/>
      <c r="V3319" s="318" t="s">
        <v>5896</v>
      </c>
      <c r="W3319" s="1096">
        <v>42740</v>
      </c>
      <c r="X3319" s="1083">
        <v>42689</v>
      </c>
      <c r="Y3319" s="263" t="s">
        <v>10381</v>
      </c>
      <c r="Z3319" s="1086">
        <v>34036</v>
      </c>
      <c r="AA3319" s="811">
        <v>42724</v>
      </c>
      <c r="AB3319" s="318" t="s">
        <v>10382</v>
      </c>
      <c r="AD3319" s="318" t="s">
        <v>10227</v>
      </c>
      <c r="AE3319" s="1100">
        <v>37176</v>
      </c>
      <c r="AF3319" s="338" t="s">
        <v>10383</v>
      </c>
      <c r="AG3319" s="386"/>
    </row>
    <row r="3320" spans="1:33" ht="15.75" customHeight="1">
      <c r="A3320" s="755">
        <v>42681</v>
      </c>
      <c r="B3320" s="338" t="s">
        <v>228</v>
      </c>
      <c r="C3320" s="263"/>
      <c r="D3320" s="318" t="s">
        <v>10384</v>
      </c>
      <c r="E3320" s="338" t="s">
        <v>10385</v>
      </c>
      <c r="F3320" s="752">
        <v>1</v>
      </c>
      <c r="G3320" s="752">
        <v>525</v>
      </c>
      <c r="H3320" s="265">
        <f t="shared" si="206"/>
        <v>525</v>
      </c>
      <c r="I3320" s="264" t="s">
        <v>170</v>
      </c>
      <c r="J3320" s="331" t="s">
        <v>89</v>
      </c>
      <c r="K3320" s="811">
        <v>42691</v>
      </c>
      <c r="L3320" s="1477"/>
      <c r="M3320" s="1128"/>
      <c r="N3320" s="331" t="s">
        <v>89</v>
      </c>
      <c r="O3320" s="263" t="s">
        <v>10386</v>
      </c>
      <c r="P3320" s="752">
        <v>472.5</v>
      </c>
      <c r="Q3320" s="1130"/>
      <c r="R3320" s="1427"/>
      <c r="S3320" s="1427"/>
      <c r="U3320" s="386"/>
      <c r="V3320" s="318" t="s">
        <v>5896</v>
      </c>
      <c r="W3320" s="1096">
        <v>42740</v>
      </c>
      <c r="X3320" s="1083">
        <v>42690</v>
      </c>
      <c r="Y3320" s="263" t="s">
        <v>10387</v>
      </c>
      <c r="Z3320" s="1086">
        <v>14841</v>
      </c>
      <c r="AA3320" s="811">
        <v>42724</v>
      </c>
      <c r="AB3320" s="318" t="s">
        <v>10354</v>
      </c>
      <c r="AD3320" s="318" t="s">
        <v>10355</v>
      </c>
      <c r="AE3320" s="1100" t="s">
        <v>10358</v>
      </c>
      <c r="AF3320" s="318" t="s">
        <v>10356</v>
      </c>
      <c r="AG3320" s="386"/>
    </row>
    <row r="3321" spans="1:33" ht="15.75" customHeight="1">
      <c r="A3321" s="755">
        <v>42682</v>
      </c>
      <c r="B3321" s="338" t="s">
        <v>5940</v>
      </c>
      <c r="C3321" s="970" t="s">
        <v>10388</v>
      </c>
      <c r="D3321" s="318" t="s">
        <v>10389</v>
      </c>
      <c r="E3321" s="338" t="s">
        <v>5943</v>
      </c>
      <c r="F3321" s="752">
        <v>5</v>
      </c>
      <c r="G3321" s="464">
        <v>148</v>
      </c>
      <c r="H3321" s="265">
        <f t="shared" si="206"/>
        <v>740</v>
      </c>
      <c r="I3321" s="264" t="s">
        <v>3315</v>
      </c>
      <c r="J3321" s="401" t="s">
        <v>3571</v>
      </c>
      <c r="K3321" s="811">
        <v>42691</v>
      </c>
      <c r="L3321" s="1477"/>
      <c r="M3321" s="811">
        <v>42688</v>
      </c>
      <c r="N3321" s="331" t="s">
        <v>2001</v>
      </c>
      <c r="O3321" s="263" t="s">
        <v>10390</v>
      </c>
      <c r="P3321" s="752"/>
      <c r="Q3321" s="978">
        <v>22575</v>
      </c>
      <c r="R3321" s="1428"/>
      <c r="S3321" s="1428"/>
      <c r="U3321" s="386"/>
      <c r="V3321" s="318" t="s">
        <v>5901</v>
      </c>
      <c r="W3321" s="1096">
        <v>42740</v>
      </c>
      <c r="X3321" s="1083">
        <v>42685</v>
      </c>
      <c r="Y3321" s="263" t="s">
        <v>10391</v>
      </c>
      <c r="Z3321" s="1086">
        <v>45150</v>
      </c>
      <c r="AA3321" s="811">
        <v>42740</v>
      </c>
      <c r="AB3321" s="318" t="s">
        <v>10392</v>
      </c>
      <c r="AD3321" s="318"/>
      <c r="AE3321" s="1100"/>
      <c r="AF3321" s="318"/>
      <c r="AG3321" s="386" t="s">
        <v>283</v>
      </c>
    </row>
    <row r="3322" spans="1:33" ht="15.75" customHeight="1">
      <c r="A3322" s="755">
        <v>42682</v>
      </c>
      <c r="B3322" s="338" t="s">
        <v>5940</v>
      </c>
      <c r="C3322" s="970" t="s">
        <v>10388</v>
      </c>
      <c r="D3322" s="318" t="s">
        <v>10389</v>
      </c>
      <c r="E3322" s="338" t="s">
        <v>5947</v>
      </c>
      <c r="F3322" s="752">
        <v>5</v>
      </c>
      <c r="G3322" s="464">
        <v>148</v>
      </c>
      <c r="H3322" s="265">
        <f t="shared" si="206"/>
        <v>740</v>
      </c>
      <c r="I3322" s="264" t="s">
        <v>3315</v>
      </c>
      <c r="J3322" s="401" t="s">
        <v>3571</v>
      </c>
      <c r="K3322" s="811">
        <v>42691</v>
      </c>
      <c r="L3322" s="1477"/>
      <c r="M3322" s="811">
        <v>42688</v>
      </c>
      <c r="N3322" s="331" t="s">
        <v>2001</v>
      </c>
      <c r="O3322" s="263" t="s">
        <v>10390</v>
      </c>
      <c r="P3322" s="752"/>
      <c r="Q3322" s="978">
        <v>22575</v>
      </c>
      <c r="R3322" s="1428"/>
      <c r="S3322" s="1428"/>
      <c r="U3322" s="386"/>
      <c r="V3322" s="318" t="s">
        <v>5901</v>
      </c>
      <c r="W3322" s="1096">
        <v>42740</v>
      </c>
      <c r="X3322" s="1083">
        <v>42685</v>
      </c>
      <c r="Y3322" s="263" t="s">
        <v>10391</v>
      </c>
      <c r="Z3322" s="1086" t="s">
        <v>10393</v>
      </c>
      <c r="AA3322" s="811">
        <v>42740</v>
      </c>
      <c r="AB3322" s="318" t="s">
        <v>10392</v>
      </c>
      <c r="AD3322" s="318"/>
      <c r="AE3322" s="1100"/>
      <c r="AF3322" s="318"/>
      <c r="AG3322" s="386" t="s">
        <v>283</v>
      </c>
    </row>
    <row r="3323" spans="1:33" ht="15.75" customHeight="1">
      <c r="A3323" s="755">
        <v>42682</v>
      </c>
      <c r="B3323" s="338" t="s">
        <v>5940</v>
      </c>
      <c r="C3323" s="970" t="s">
        <v>10388</v>
      </c>
      <c r="D3323" s="318" t="s">
        <v>10389</v>
      </c>
      <c r="E3323" s="338" t="s">
        <v>692</v>
      </c>
      <c r="F3323" s="752">
        <v>1</v>
      </c>
      <c r="G3323" s="752">
        <f>25</f>
        <v>25</v>
      </c>
      <c r="H3323" s="265">
        <f t="shared" si="206"/>
        <v>25</v>
      </c>
      <c r="I3323" s="997" t="s">
        <v>3315</v>
      </c>
      <c r="J3323" s="331"/>
      <c r="K3323" s="811">
        <v>42691</v>
      </c>
      <c r="L3323" s="1477"/>
      <c r="M3323" s="1128"/>
      <c r="N3323" s="331"/>
      <c r="O3323" s="263"/>
      <c r="P3323" s="752"/>
      <c r="Q3323" s="1130"/>
      <c r="R3323" s="1427"/>
      <c r="S3323" s="1427"/>
      <c r="U3323" s="386"/>
      <c r="V3323" s="318"/>
      <c r="W3323" s="1137"/>
      <c r="X3323" s="1083"/>
      <c r="Y3323" s="263"/>
      <c r="Z3323" s="1086"/>
      <c r="AA3323" s="811"/>
      <c r="AB3323" s="318" t="s">
        <v>10392</v>
      </c>
      <c r="AD3323" s="318"/>
      <c r="AE3323" s="1100"/>
      <c r="AF3323" s="318"/>
      <c r="AG3323" s="386" t="s">
        <v>283</v>
      </c>
    </row>
    <row r="3324" spans="1:33" ht="15.75" customHeight="1">
      <c r="A3324" s="755">
        <v>42682</v>
      </c>
      <c r="B3324" s="338" t="s">
        <v>100</v>
      </c>
      <c r="C3324" s="263" t="s">
        <v>10394</v>
      </c>
      <c r="D3324" s="318" t="s">
        <v>10395</v>
      </c>
      <c r="E3324" s="338" t="s">
        <v>10396</v>
      </c>
      <c r="F3324" s="752">
        <v>1</v>
      </c>
      <c r="G3324" s="752">
        <v>550</v>
      </c>
      <c r="H3324" s="1148">
        <f t="shared" si="206"/>
        <v>550</v>
      </c>
      <c r="I3324" s="264" t="s">
        <v>3315</v>
      </c>
      <c r="J3324" s="331" t="s">
        <v>5842</v>
      </c>
      <c r="K3324" s="811">
        <v>42691</v>
      </c>
      <c r="L3324" s="1477"/>
      <c r="M3324" s="811">
        <v>42692</v>
      </c>
      <c r="N3324" s="331" t="s">
        <v>1995</v>
      </c>
      <c r="O3324" s="263" t="s">
        <v>10397</v>
      </c>
      <c r="P3324" s="752"/>
      <c r="Q3324" s="978">
        <v>16370</v>
      </c>
      <c r="R3324" s="1428"/>
      <c r="S3324" s="1428"/>
      <c r="U3324" s="386"/>
      <c r="V3324" s="338" t="s">
        <v>1997</v>
      </c>
      <c r="W3324" s="1096">
        <v>42689</v>
      </c>
      <c r="X3324" s="1083">
        <v>42688</v>
      </c>
      <c r="Y3324" s="263" t="s">
        <v>10398</v>
      </c>
      <c r="Z3324" s="1086">
        <v>16370</v>
      </c>
      <c r="AA3324" s="811">
        <v>42685</v>
      </c>
      <c r="AB3324" s="263" t="s">
        <v>10399</v>
      </c>
      <c r="AD3324" s="318"/>
      <c r="AE3324" s="1100"/>
      <c r="AF3324" s="318"/>
      <c r="AG3324" s="386" t="s">
        <v>283</v>
      </c>
    </row>
    <row r="3325" spans="1:33" ht="15.75" customHeight="1">
      <c r="A3325" s="755">
        <v>42682</v>
      </c>
      <c r="B3325" s="338" t="s">
        <v>100</v>
      </c>
      <c r="C3325" s="263" t="s">
        <v>10394</v>
      </c>
      <c r="D3325" s="318" t="s">
        <v>10395</v>
      </c>
      <c r="E3325" s="338" t="s">
        <v>10151</v>
      </c>
      <c r="F3325" s="752">
        <v>1</v>
      </c>
      <c r="G3325" s="752">
        <v>28</v>
      </c>
      <c r="H3325" s="1148">
        <f t="shared" si="206"/>
        <v>28</v>
      </c>
      <c r="I3325" s="264" t="s">
        <v>3315</v>
      </c>
      <c r="J3325" s="331" t="s">
        <v>5842</v>
      </c>
      <c r="K3325" s="811">
        <v>42691</v>
      </c>
      <c r="L3325" s="1477"/>
      <c r="M3325" s="811">
        <v>42688</v>
      </c>
      <c r="N3325" s="401" t="s">
        <v>9980</v>
      </c>
      <c r="O3325" s="263" t="s">
        <v>10400</v>
      </c>
      <c r="P3325" s="752"/>
      <c r="Q3325" s="338">
        <v>889</v>
      </c>
      <c r="R3325" s="1458"/>
      <c r="S3325" s="1458"/>
      <c r="U3325" s="386"/>
      <c r="V3325" s="318" t="s">
        <v>2126</v>
      </c>
      <c r="W3325" s="752" t="s">
        <v>9833</v>
      </c>
      <c r="X3325" s="1083">
        <v>42685</v>
      </c>
      <c r="Y3325" s="318" t="s">
        <v>10401</v>
      </c>
      <c r="Z3325" s="254">
        <v>889</v>
      </c>
      <c r="AA3325" s="811">
        <v>42670</v>
      </c>
      <c r="AB3325" s="263" t="s">
        <v>10399</v>
      </c>
      <c r="AD3325" s="318"/>
      <c r="AE3325" s="1100"/>
      <c r="AF3325" s="318"/>
      <c r="AG3325" s="386" t="s">
        <v>283</v>
      </c>
    </row>
    <row r="3326" spans="1:33" ht="15.75" customHeight="1">
      <c r="A3326" s="755">
        <v>42682</v>
      </c>
      <c r="B3326" s="338" t="s">
        <v>100</v>
      </c>
      <c r="C3326" s="263" t="s">
        <v>10394</v>
      </c>
      <c r="D3326" s="318" t="s">
        <v>10395</v>
      </c>
      <c r="E3326" s="338" t="s">
        <v>6482</v>
      </c>
      <c r="F3326" s="752">
        <v>1</v>
      </c>
      <c r="G3326" s="752">
        <v>352</v>
      </c>
      <c r="H3326" s="47">
        <f t="shared" si="206"/>
        <v>352</v>
      </c>
      <c r="I3326" s="264" t="s">
        <v>3315</v>
      </c>
      <c r="J3326" s="331" t="s">
        <v>5842</v>
      </c>
      <c r="K3326" s="811">
        <v>42691</v>
      </c>
      <c r="L3326" s="1477"/>
      <c r="M3326" s="811">
        <v>42688</v>
      </c>
      <c r="N3326" s="331" t="s">
        <v>9983</v>
      </c>
      <c r="O3326" s="263" t="s">
        <v>10402</v>
      </c>
      <c r="P3326" s="752"/>
      <c r="Q3326" s="978">
        <v>9425</v>
      </c>
      <c r="R3326" s="1428"/>
      <c r="S3326" s="1428"/>
      <c r="U3326" s="386"/>
      <c r="V3326" s="318" t="s">
        <v>3754</v>
      </c>
      <c r="W3326" s="1096">
        <v>42685</v>
      </c>
      <c r="X3326" s="1083">
        <v>42685</v>
      </c>
      <c r="Y3326" s="263" t="s">
        <v>10403</v>
      </c>
      <c r="Z3326" s="1086">
        <v>9425</v>
      </c>
      <c r="AA3326" s="811">
        <v>42685</v>
      </c>
      <c r="AB3326" s="263" t="s">
        <v>10399</v>
      </c>
      <c r="AD3326" s="318"/>
      <c r="AE3326" s="1100"/>
      <c r="AF3326" s="318"/>
      <c r="AG3326" s="386" t="s">
        <v>283</v>
      </c>
    </row>
    <row r="3327" spans="1:33" ht="15.75" customHeight="1">
      <c r="A3327" s="256">
        <v>42670</v>
      </c>
      <c r="B3327" s="571" t="s">
        <v>100</v>
      </c>
      <c r="C3327" s="250"/>
      <c r="D3327" s="308" t="s">
        <v>10336</v>
      </c>
      <c r="E3327" s="571" t="s">
        <v>10404</v>
      </c>
      <c r="F3327" s="574">
        <v>2</v>
      </c>
      <c r="G3327" s="574">
        <v>1085</v>
      </c>
      <c r="H3327" s="265">
        <f t="shared" si="206"/>
        <v>2170</v>
      </c>
      <c r="I3327" s="264" t="s">
        <v>3315</v>
      </c>
      <c r="J3327" s="331" t="s">
        <v>5842</v>
      </c>
      <c r="K3327" s="256">
        <v>42676</v>
      </c>
      <c r="L3327" s="256"/>
      <c r="M3327" s="256">
        <v>42676</v>
      </c>
      <c r="N3327" s="331" t="s">
        <v>1414</v>
      </c>
      <c r="O3327" s="250" t="s">
        <v>10338</v>
      </c>
      <c r="P3327" s="574">
        <v>2005.5</v>
      </c>
      <c r="Q3327" s="976"/>
      <c r="R3327" s="1428"/>
      <c r="S3327" s="1428"/>
      <c r="U3327" s="328"/>
      <c r="V3327" s="318" t="s">
        <v>1947</v>
      </c>
      <c r="W3327" s="747">
        <v>42709</v>
      </c>
      <c r="X3327" s="750">
        <v>42675</v>
      </c>
      <c r="Y3327" s="250" t="s">
        <v>10339</v>
      </c>
      <c r="Z3327" s="996">
        <v>67933</v>
      </c>
      <c r="AA3327" s="256">
        <v>42710</v>
      </c>
      <c r="AB3327" s="308" t="s">
        <v>10341</v>
      </c>
      <c r="AD3327" s="308"/>
      <c r="AE3327" s="630"/>
      <c r="AF3327" s="308"/>
      <c r="AG3327" s="328" t="s">
        <v>283</v>
      </c>
    </row>
    <row r="3328" spans="1:33" ht="15.75" customHeight="1">
      <c r="A3328" s="755">
        <v>42684</v>
      </c>
      <c r="B3328" s="338" t="s">
        <v>1189</v>
      </c>
      <c r="C3328" s="263" t="s">
        <v>10405</v>
      </c>
      <c r="D3328" s="308" t="s">
        <v>10406</v>
      </c>
      <c r="E3328" s="571" t="s">
        <v>10407</v>
      </c>
      <c r="F3328" s="574">
        <v>1</v>
      </c>
      <c r="G3328" s="574">
        <v>320</v>
      </c>
      <c r="H3328" s="47">
        <f t="shared" si="206"/>
        <v>320</v>
      </c>
      <c r="I3328" s="264" t="s">
        <v>42</v>
      </c>
      <c r="J3328" s="267" t="s">
        <v>8571</v>
      </c>
      <c r="K3328" s="256">
        <v>42716</v>
      </c>
      <c r="L3328" s="256"/>
      <c r="M3328" s="256">
        <v>42710</v>
      </c>
      <c r="N3328" s="401" t="s">
        <v>10408</v>
      </c>
      <c r="O3328" s="250" t="s">
        <v>10409</v>
      </c>
      <c r="P3328" s="574"/>
      <c r="Q3328" s="976">
        <v>9055</v>
      </c>
      <c r="R3328" s="1428"/>
      <c r="S3328" s="1428"/>
      <c r="U3328" s="328"/>
      <c r="V3328" s="308" t="s">
        <v>2109</v>
      </c>
      <c r="W3328" s="747">
        <v>42710</v>
      </c>
      <c r="X3328" s="750">
        <v>42709</v>
      </c>
      <c r="Y3328" s="250" t="s">
        <v>10410</v>
      </c>
      <c r="Z3328" s="996">
        <v>9055</v>
      </c>
      <c r="AA3328" s="256">
        <v>42717</v>
      </c>
      <c r="AB3328" s="308" t="s">
        <v>10411</v>
      </c>
      <c r="AD3328" s="973"/>
      <c r="AE3328" s="974"/>
      <c r="AF3328" s="973"/>
      <c r="AG3328" s="881" t="s">
        <v>283</v>
      </c>
    </row>
    <row r="3329" spans="1:33" ht="15.75" customHeight="1">
      <c r="A3329" s="256">
        <v>42685</v>
      </c>
      <c r="B3329" s="571" t="s">
        <v>10412</v>
      </c>
      <c r="C3329" s="250"/>
      <c r="D3329" s="308" t="s">
        <v>10413</v>
      </c>
      <c r="E3329" s="1149" t="s">
        <v>10414</v>
      </c>
      <c r="F3329" s="574">
        <v>1</v>
      </c>
      <c r="G3329" s="574">
        <v>1676</v>
      </c>
      <c r="H3329" s="265">
        <f t="shared" si="206"/>
        <v>1676</v>
      </c>
      <c r="I3329" s="264" t="s">
        <v>170</v>
      </c>
      <c r="J3329" s="401" t="s">
        <v>10415</v>
      </c>
      <c r="K3329" s="256">
        <v>42730</v>
      </c>
      <c r="L3329" s="256"/>
      <c r="M3329" s="256">
        <v>42726</v>
      </c>
      <c r="N3329" s="401" t="s">
        <v>89</v>
      </c>
      <c r="O3329" s="250">
        <v>20161100194053</v>
      </c>
      <c r="P3329" s="574">
        <v>1555.47</v>
      </c>
      <c r="Q3329" s="972"/>
      <c r="R3329" s="1427"/>
      <c r="S3329" s="1427"/>
      <c r="U3329" s="328"/>
      <c r="V3329" s="318" t="s">
        <v>5896</v>
      </c>
      <c r="W3329" s="1096">
        <v>42771</v>
      </c>
      <c r="X3329" s="750">
        <v>42726</v>
      </c>
      <c r="Y3329" s="250" t="s">
        <v>10416</v>
      </c>
      <c r="Z3329" s="996">
        <v>50297</v>
      </c>
      <c r="AA3329" s="811">
        <v>42769</v>
      </c>
      <c r="AB3329" s="308" t="s">
        <v>10417</v>
      </c>
      <c r="AD3329" s="973"/>
      <c r="AE3329" s="974"/>
      <c r="AF3329" s="973"/>
      <c r="AG3329" s="328" t="s">
        <v>283</v>
      </c>
    </row>
    <row r="3330" spans="1:33" ht="15.75" customHeight="1">
      <c r="A3330" s="256">
        <v>42685</v>
      </c>
      <c r="B3330" s="571" t="s">
        <v>10412</v>
      </c>
      <c r="C3330" s="250"/>
      <c r="D3330" s="308" t="s">
        <v>10413</v>
      </c>
      <c r="E3330" s="1150" t="s">
        <v>10418</v>
      </c>
      <c r="F3330" s="574">
        <v>1</v>
      </c>
      <c r="G3330" s="328">
        <v>90</v>
      </c>
      <c r="H3330" s="265">
        <f t="shared" si="206"/>
        <v>90</v>
      </c>
      <c r="I3330" s="264" t="s">
        <v>170</v>
      </c>
      <c r="J3330" s="401" t="s">
        <v>10415</v>
      </c>
      <c r="K3330" s="256">
        <v>42730</v>
      </c>
      <c r="L3330" s="256"/>
      <c r="M3330" s="876"/>
      <c r="N3330" s="401" t="s">
        <v>89</v>
      </c>
      <c r="O3330" s="876"/>
      <c r="P3330" s="308" t="s">
        <v>10419</v>
      </c>
      <c r="Q3330" s="876"/>
      <c r="R3330" s="1464"/>
      <c r="S3330" s="1464"/>
      <c r="U3330" s="876"/>
      <c r="V3330" s="876"/>
      <c r="W3330" s="1096">
        <v>42771</v>
      </c>
      <c r="X3330" s="750">
        <v>42726</v>
      </c>
      <c r="Y3330" s="250" t="s">
        <v>10416</v>
      </c>
      <c r="Z3330" s="996" t="s">
        <v>7778</v>
      </c>
      <c r="AA3330" s="811">
        <v>42769</v>
      </c>
      <c r="AB3330" s="308" t="s">
        <v>10417</v>
      </c>
      <c r="AD3330" s="876"/>
      <c r="AE3330" s="876"/>
      <c r="AF3330" s="876"/>
      <c r="AG3330" s="328" t="s">
        <v>283</v>
      </c>
    </row>
    <row r="3331" spans="1:33" ht="15.75" customHeight="1">
      <c r="A3331" s="256">
        <v>42685</v>
      </c>
      <c r="B3331" s="571" t="s">
        <v>10412</v>
      </c>
      <c r="C3331" s="250"/>
      <c r="D3331" s="308" t="s">
        <v>10413</v>
      </c>
      <c r="E3331" s="1150" t="s">
        <v>10420</v>
      </c>
      <c r="F3331" s="574">
        <v>1</v>
      </c>
      <c r="G3331" s="574">
        <v>15</v>
      </c>
      <c r="H3331" s="265">
        <f t="shared" si="206"/>
        <v>15</v>
      </c>
      <c r="I3331" s="264" t="s">
        <v>170</v>
      </c>
      <c r="J3331" s="401" t="s">
        <v>10415</v>
      </c>
      <c r="K3331" s="256">
        <v>42730</v>
      </c>
      <c r="L3331" s="256"/>
      <c r="M3331" s="256">
        <v>42726</v>
      </c>
      <c r="N3331" s="401" t="s">
        <v>89</v>
      </c>
      <c r="O3331" s="250">
        <v>20161100194053</v>
      </c>
      <c r="P3331" s="574">
        <v>11.602499999999999</v>
      </c>
      <c r="Q3331" s="972"/>
      <c r="R3331" s="1427"/>
      <c r="S3331" s="1427"/>
      <c r="U3331" s="328"/>
      <c r="V3331" s="318" t="s">
        <v>5896</v>
      </c>
      <c r="W3331" s="1096">
        <v>42771</v>
      </c>
      <c r="X3331" s="750">
        <v>42726</v>
      </c>
      <c r="Y3331" s="250" t="s">
        <v>10416</v>
      </c>
      <c r="Z3331" s="996" t="s">
        <v>7778</v>
      </c>
      <c r="AA3331" s="811">
        <v>42769</v>
      </c>
      <c r="AB3331" s="308" t="s">
        <v>10417</v>
      </c>
      <c r="AD3331" s="973"/>
      <c r="AE3331" s="974"/>
      <c r="AF3331" s="973"/>
      <c r="AG3331" s="328" t="s">
        <v>283</v>
      </c>
    </row>
    <row r="3332" spans="1:33" ht="15.75" customHeight="1">
      <c r="A3332" s="256">
        <v>42685</v>
      </c>
      <c r="B3332" s="571" t="s">
        <v>10412</v>
      </c>
      <c r="C3332" s="250"/>
      <c r="D3332" s="308" t="s">
        <v>10413</v>
      </c>
      <c r="E3332" s="1150" t="s">
        <v>10421</v>
      </c>
      <c r="F3332" s="574">
        <v>1</v>
      </c>
      <c r="G3332" s="574">
        <v>15</v>
      </c>
      <c r="H3332" s="265">
        <f t="shared" si="206"/>
        <v>15</v>
      </c>
      <c r="I3332" s="264" t="s">
        <v>170</v>
      </c>
      <c r="J3332" s="401" t="s">
        <v>10415</v>
      </c>
      <c r="K3332" s="256">
        <v>42730</v>
      </c>
      <c r="L3332" s="256"/>
      <c r="M3332" s="256">
        <v>42726</v>
      </c>
      <c r="N3332" s="401" t="s">
        <v>89</v>
      </c>
      <c r="O3332" s="250">
        <v>20161100194053</v>
      </c>
      <c r="P3332" s="574">
        <v>11.602499999999999</v>
      </c>
      <c r="Q3332" s="972"/>
      <c r="R3332" s="1427"/>
      <c r="S3332" s="1427"/>
      <c r="U3332" s="328"/>
      <c r="V3332" s="318" t="s">
        <v>5896</v>
      </c>
      <c r="W3332" s="1096">
        <v>42771</v>
      </c>
      <c r="X3332" s="750">
        <v>42726</v>
      </c>
      <c r="Y3332" s="250" t="s">
        <v>10416</v>
      </c>
      <c r="Z3332" s="996" t="s">
        <v>7778</v>
      </c>
      <c r="AA3332" s="811">
        <v>42769</v>
      </c>
      <c r="AB3332" s="308" t="s">
        <v>10417</v>
      </c>
      <c r="AD3332" s="973"/>
      <c r="AE3332" s="974"/>
      <c r="AF3332" s="973"/>
      <c r="AG3332" s="328" t="s">
        <v>283</v>
      </c>
    </row>
    <row r="3333" spans="1:33" ht="15.75" customHeight="1">
      <c r="A3333" s="256">
        <v>42688</v>
      </c>
      <c r="B3333" s="571" t="s">
        <v>3347</v>
      </c>
      <c r="C3333" s="250"/>
      <c r="D3333" s="308" t="s">
        <v>10422</v>
      </c>
      <c r="E3333" s="571" t="s">
        <v>10423</v>
      </c>
      <c r="F3333" s="574">
        <v>1</v>
      </c>
      <c r="G3333" s="574">
        <v>0</v>
      </c>
      <c r="H3333" s="265">
        <f t="shared" si="206"/>
        <v>0</v>
      </c>
      <c r="I3333" s="264" t="s">
        <v>170</v>
      </c>
      <c r="J3333" s="401" t="s">
        <v>10424</v>
      </c>
      <c r="K3333" s="865">
        <v>42719</v>
      </c>
      <c r="L3333" s="865"/>
      <c r="M3333" s="256">
        <v>42706</v>
      </c>
      <c r="N3333" s="401" t="s">
        <v>9621</v>
      </c>
      <c r="O3333" s="250"/>
      <c r="P3333" s="574"/>
      <c r="Q3333" s="1151" t="s">
        <v>10425</v>
      </c>
      <c r="R3333" s="1465"/>
      <c r="S3333" s="1465"/>
      <c r="U3333" s="328"/>
      <c r="V3333" s="308"/>
      <c r="W3333" s="998"/>
      <c r="X3333" s="750">
        <v>42719</v>
      </c>
      <c r="Y3333" s="250" t="s">
        <v>9618</v>
      </c>
      <c r="Z3333" s="1151" t="s">
        <v>10425</v>
      </c>
      <c r="AA3333" s="985"/>
      <c r="AB3333" s="308"/>
      <c r="AD3333" s="973"/>
      <c r="AE3333" s="974"/>
      <c r="AF3333" s="973"/>
      <c r="AG3333" s="881"/>
    </row>
    <row r="3334" spans="1:33" ht="15.75" customHeight="1">
      <c r="A3334" s="256">
        <v>42688</v>
      </c>
      <c r="B3334" s="571" t="s">
        <v>100</v>
      </c>
      <c r="C3334" s="250"/>
      <c r="D3334" s="308" t="s">
        <v>10426</v>
      </c>
      <c r="E3334" s="571" t="s">
        <v>10427</v>
      </c>
      <c r="F3334" s="574">
        <v>1</v>
      </c>
      <c r="G3334" s="574">
        <v>70</v>
      </c>
      <c r="H3334" s="265">
        <f t="shared" si="206"/>
        <v>70</v>
      </c>
      <c r="I3334" s="264" t="s">
        <v>3315</v>
      </c>
      <c r="J3334" s="331" t="s">
        <v>5842</v>
      </c>
      <c r="K3334" s="811">
        <v>42691</v>
      </c>
      <c r="L3334" s="1477"/>
      <c r="M3334" s="771"/>
      <c r="N3334" s="331" t="s">
        <v>1999</v>
      </c>
      <c r="O3334" s="250"/>
      <c r="P3334" s="574"/>
      <c r="Q3334" s="1140">
        <v>2153</v>
      </c>
      <c r="R3334" s="1461"/>
      <c r="S3334" s="1461"/>
      <c r="U3334" s="328"/>
      <c r="V3334" s="318" t="s">
        <v>2000</v>
      </c>
      <c r="W3334" s="747">
        <v>42729</v>
      </c>
      <c r="X3334" s="750">
        <v>42699</v>
      </c>
      <c r="Y3334" s="308" t="s">
        <v>10428</v>
      </c>
      <c r="Z3334" s="996">
        <v>2153</v>
      </c>
      <c r="AA3334" s="811">
        <v>42725</v>
      </c>
      <c r="AB3334" s="263" t="s">
        <v>10399</v>
      </c>
      <c r="AD3334" s="308"/>
      <c r="AE3334" s="630"/>
      <c r="AF3334" s="308"/>
      <c r="AG3334" s="386" t="s">
        <v>283</v>
      </c>
    </row>
    <row r="3335" spans="1:33" ht="15.75" customHeight="1">
      <c r="A3335" s="256">
        <v>42688</v>
      </c>
      <c r="B3335" s="571" t="s">
        <v>10429</v>
      </c>
      <c r="C3335" s="250" t="s">
        <v>10430</v>
      </c>
      <c r="D3335" s="308" t="s">
        <v>10431</v>
      </c>
      <c r="E3335" s="571" t="s">
        <v>10432</v>
      </c>
      <c r="F3335" s="574">
        <v>2</v>
      </c>
      <c r="G3335" s="574">
        <v>184</v>
      </c>
      <c r="H3335" s="265">
        <f t="shared" si="206"/>
        <v>368</v>
      </c>
      <c r="I3335" s="264" t="s">
        <v>3315</v>
      </c>
      <c r="J3335" s="401" t="s">
        <v>10433</v>
      </c>
      <c r="K3335" s="256">
        <v>42698</v>
      </c>
      <c r="L3335" s="256"/>
      <c r="M3335" s="256">
        <v>42696</v>
      </c>
      <c r="N3335" s="331" t="s">
        <v>5935</v>
      </c>
      <c r="O3335" s="250" t="s">
        <v>10434</v>
      </c>
      <c r="P3335" s="574"/>
      <c r="Q3335" s="976">
        <v>10718</v>
      </c>
      <c r="R3335" s="1428"/>
      <c r="S3335" s="1428"/>
      <c r="U3335" s="328"/>
      <c r="V3335" s="318" t="s">
        <v>5937</v>
      </c>
      <c r="W3335" s="1096">
        <v>42740</v>
      </c>
      <c r="X3335" s="750">
        <v>42695</v>
      </c>
      <c r="Y3335" s="250" t="s">
        <v>10435</v>
      </c>
      <c r="Z3335" s="996">
        <v>10718</v>
      </c>
      <c r="AA3335" s="256">
        <v>42734</v>
      </c>
      <c r="AB3335" s="308" t="s">
        <v>10436</v>
      </c>
      <c r="AD3335" s="308"/>
      <c r="AE3335" s="630"/>
      <c r="AF3335" s="308"/>
      <c r="AG3335" s="328" t="s">
        <v>283</v>
      </c>
    </row>
    <row r="3336" spans="1:33" ht="15.75" customHeight="1">
      <c r="A3336" s="256">
        <v>42688</v>
      </c>
      <c r="B3336" s="571" t="s">
        <v>10429</v>
      </c>
      <c r="C3336" s="250" t="s">
        <v>10430</v>
      </c>
      <c r="D3336" s="308" t="s">
        <v>10431</v>
      </c>
      <c r="E3336" s="338" t="s">
        <v>692</v>
      </c>
      <c r="F3336" s="752">
        <v>1</v>
      </c>
      <c r="G3336" s="752">
        <f>25</f>
        <v>25</v>
      </c>
      <c r="H3336" s="265">
        <f t="shared" si="206"/>
        <v>25</v>
      </c>
      <c r="I3336" s="264" t="s">
        <v>3315</v>
      </c>
      <c r="J3336" s="401"/>
      <c r="K3336" s="623"/>
      <c r="L3336" s="623"/>
      <c r="M3336" s="771"/>
      <c r="N3336" s="401"/>
      <c r="O3336" s="250"/>
      <c r="P3336" s="574"/>
      <c r="Q3336" s="972"/>
      <c r="R3336" s="1427"/>
      <c r="S3336" s="1427"/>
      <c r="U3336" s="328"/>
      <c r="V3336" s="308"/>
      <c r="W3336" s="998"/>
      <c r="X3336" s="750"/>
      <c r="Y3336" s="250"/>
      <c r="Z3336" s="996"/>
      <c r="AA3336" s="985"/>
      <c r="AB3336" s="308"/>
      <c r="AD3336" s="973"/>
      <c r="AE3336" s="974"/>
      <c r="AF3336" s="973"/>
      <c r="AG3336" s="328" t="s">
        <v>283</v>
      </c>
    </row>
    <row r="3337" spans="1:33" ht="15.75" customHeight="1">
      <c r="A3337" s="256">
        <v>42688</v>
      </c>
      <c r="B3337" s="571" t="s">
        <v>4590</v>
      </c>
      <c r="C3337" s="250"/>
      <c r="D3337" s="308" t="s">
        <v>10437</v>
      </c>
      <c r="E3337" s="571" t="s">
        <v>6195</v>
      </c>
      <c r="F3337" s="574">
        <v>50</v>
      </c>
      <c r="G3337" s="574">
        <f>58</f>
        <v>58</v>
      </c>
      <c r="H3337" s="265">
        <f t="shared" si="206"/>
        <v>2900</v>
      </c>
      <c r="I3337" s="997" t="s">
        <v>3315</v>
      </c>
      <c r="J3337" s="331" t="s">
        <v>5842</v>
      </c>
      <c r="K3337" s="256">
        <v>42702</v>
      </c>
      <c r="L3337" s="256"/>
      <c r="M3337" s="256">
        <v>42699</v>
      </c>
      <c r="N3337" s="331" t="s">
        <v>6196</v>
      </c>
      <c r="O3337" s="250" t="s">
        <v>10438</v>
      </c>
      <c r="P3337" s="574"/>
      <c r="Q3337" s="976">
        <v>84416</v>
      </c>
      <c r="R3337" s="1428"/>
      <c r="S3337" s="1428"/>
      <c r="U3337" s="328"/>
      <c r="V3337" s="597" t="s">
        <v>10291</v>
      </c>
      <c r="W3337" s="747">
        <v>42691</v>
      </c>
      <c r="X3337" s="750">
        <v>42697</v>
      </c>
      <c r="Y3337" s="250" t="s">
        <v>10439</v>
      </c>
      <c r="Z3337" s="996">
        <v>84416</v>
      </c>
      <c r="AA3337" s="256">
        <v>42691</v>
      </c>
      <c r="AB3337" s="250" t="s">
        <v>10440</v>
      </c>
      <c r="AD3337" s="308"/>
      <c r="AE3337" s="630"/>
      <c r="AF3337" s="308"/>
      <c r="AG3337" s="328" t="s">
        <v>283</v>
      </c>
    </row>
    <row r="3338" spans="1:33" ht="15.75" customHeight="1">
      <c r="A3338" s="256">
        <v>42688</v>
      </c>
      <c r="B3338" s="571" t="s">
        <v>4590</v>
      </c>
      <c r="C3338" s="250"/>
      <c r="D3338" s="308" t="s">
        <v>10437</v>
      </c>
      <c r="E3338" s="571" t="s">
        <v>10441</v>
      </c>
      <c r="F3338" s="574">
        <v>1</v>
      </c>
      <c r="G3338" s="574">
        <v>175</v>
      </c>
      <c r="H3338" s="265">
        <f t="shared" si="206"/>
        <v>175</v>
      </c>
      <c r="I3338" s="997" t="s">
        <v>3315</v>
      </c>
      <c r="J3338" s="331" t="s">
        <v>5842</v>
      </c>
      <c r="K3338" s="256">
        <v>42702</v>
      </c>
      <c r="L3338" s="256"/>
      <c r="M3338" s="771"/>
      <c r="N3338" s="331" t="s">
        <v>1999</v>
      </c>
      <c r="O3338" s="250"/>
      <c r="P3338" s="574"/>
      <c r="Q3338" s="1152">
        <v>4597</v>
      </c>
      <c r="R3338" s="1461"/>
      <c r="S3338" s="1461"/>
      <c r="U3338" s="328"/>
      <c r="V3338" s="318" t="s">
        <v>2000</v>
      </c>
      <c r="W3338" s="747">
        <v>42743</v>
      </c>
      <c r="X3338" s="750">
        <v>42713</v>
      </c>
      <c r="Y3338" s="308" t="s">
        <v>10442</v>
      </c>
      <c r="Z3338" s="264" t="s">
        <v>5261</v>
      </c>
      <c r="AA3338" s="256">
        <v>42740</v>
      </c>
      <c r="AB3338" s="250" t="s">
        <v>10440</v>
      </c>
      <c r="AD3338" s="973"/>
      <c r="AE3338" s="974"/>
      <c r="AF3338" s="973"/>
      <c r="AG3338" s="328" t="s">
        <v>283</v>
      </c>
    </row>
    <row r="3339" spans="1:33" ht="15.75" customHeight="1">
      <c r="A3339" s="256">
        <v>42688</v>
      </c>
      <c r="B3339" s="571" t="s">
        <v>4590</v>
      </c>
      <c r="C3339" s="250"/>
      <c r="D3339" s="308" t="s">
        <v>10443</v>
      </c>
      <c r="E3339" s="571" t="s">
        <v>6195</v>
      </c>
      <c r="F3339" s="574">
        <v>50</v>
      </c>
      <c r="G3339" s="574">
        <f>58</f>
        <v>58</v>
      </c>
      <c r="H3339" s="265">
        <f t="shared" si="206"/>
        <v>2900</v>
      </c>
      <c r="I3339" s="997" t="s">
        <v>3315</v>
      </c>
      <c r="J3339" s="331" t="s">
        <v>5842</v>
      </c>
      <c r="K3339" s="256">
        <v>42719</v>
      </c>
      <c r="L3339" s="256"/>
      <c r="M3339" s="256">
        <v>42719</v>
      </c>
      <c r="N3339" s="331" t="s">
        <v>6196</v>
      </c>
      <c r="O3339" s="250" t="s">
        <v>10438</v>
      </c>
      <c r="P3339" s="574"/>
      <c r="Q3339" s="976">
        <v>84416</v>
      </c>
      <c r="R3339" s="1428"/>
      <c r="S3339" s="1428"/>
      <c r="U3339" s="328"/>
      <c r="V3339" s="597" t="s">
        <v>10291</v>
      </c>
      <c r="W3339" s="747">
        <v>42691</v>
      </c>
      <c r="X3339" s="750">
        <v>42718</v>
      </c>
      <c r="Y3339" s="250" t="s">
        <v>10444</v>
      </c>
      <c r="Z3339" s="996">
        <v>84416</v>
      </c>
      <c r="AA3339" s="256">
        <v>42691</v>
      </c>
      <c r="AB3339" s="308" t="s">
        <v>10445</v>
      </c>
      <c r="AD3339" s="973"/>
      <c r="AE3339" s="974"/>
      <c r="AF3339" s="973"/>
      <c r="AG3339" s="328" t="s">
        <v>283</v>
      </c>
    </row>
    <row r="3340" spans="1:33" ht="15.75" customHeight="1">
      <c r="A3340" s="256">
        <v>42688</v>
      </c>
      <c r="B3340" s="571" t="s">
        <v>4590</v>
      </c>
      <c r="C3340" s="250"/>
      <c r="D3340" s="308" t="s">
        <v>10443</v>
      </c>
      <c r="E3340" s="571" t="s">
        <v>10446</v>
      </c>
      <c r="F3340" s="574">
        <v>1</v>
      </c>
      <c r="G3340" s="574">
        <v>175</v>
      </c>
      <c r="H3340" s="265">
        <f t="shared" si="206"/>
        <v>175</v>
      </c>
      <c r="I3340" s="997" t="s">
        <v>3315</v>
      </c>
      <c r="J3340" s="331" t="s">
        <v>5842</v>
      </c>
      <c r="K3340" s="256">
        <v>42719</v>
      </c>
      <c r="L3340" s="256"/>
      <c r="M3340" s="771"/>
      <c r="N3340" s="331" t="s">
        <v>1999</v>
      </c>
      <c r="O3340" s="250"/>
      <c r="P3340" s="574"/>
      <c r="Q3340" s="1152">
        <v>4648</v>
      </c>
      <c r="R3340" s="1461"/>
      <c r="S3340" s="1461"/>
      <c r="U3340" s="328"/>
      <c r="V3340" s="318" t="s">
        <v>2000</v>
      </c>
      <c r="W3340" s="747">
        <v>42757</v>
      </c>
      <c r="X3340" s="750">
        <v>42727</v>
      </c>
      <c r="Y3340" s="308" t="s">
        <v>10447</v>
      </c>
      <c r="Z3340" s="264" t="s">
        <v>10448</v>
      </c>
      <c r="AA3340" s="256">
        <v>42754</v>
      </c>
      <c r="AB3340" s="308" t="s">
        <v>10445</v>
      </c>
      <c r="AD3340" s="973"/>
      <c r="AE3340" s="974"/>
      <c r="AF3340" s="973"/>
      <c r="AG3340" s="328" t="s">
        <v>283</v>
      </c>
    </row>
    <row r="3341" spans="1:33" ht="15.75" customHeight="1">
      <c r="A3341" s="256">
        <v>42689</v>
      </c>
      <c r="B3341" s="571" t="s">
        <v>100</v>
      </c>
      <c r="C3341" s="250" t="s">
        <v>10449</v>
      </c>
      <c r="D3341" s="308" t="s">
        <v>10450</v>
      </c>
      <c r="E3341" s="571" t="s">
        <v>10451</v>
      </c>
      <c r="F3341" s="574">
        <v>6</v>
      </c>
      <c r="G3341" s="574">
        <v>1085</v>
      </c>
      <c r="H3341" s="47">
        <f t="shared" si="206"/>
        <v>6510</v>
      </c>
      <c r="I3341" s="264" t="s">
        <v>3315</v>
      </c>
      <c r="J3341" s="331" t="s">
        <v>5842</v>
      </c>
      <c r="K3341" s="256">
        <v>42705</v>
      </c>
      <c r="L3341" s="256"/>
      <c r="M3341" s="256">
        <v>42699</v>
      </c>
      <c r="N3341" s="331" t="s">
        <v>1414</v>
      </c>
      <c r="O3341" s="250" t="s">
        <v>10452</v>
      </c>
      <c r="P3341" s="574"/>
      <c r="Q3341" s="976">
        <v>191565</v>
      </c>
      <c r="R3341" s="1428"/>
      <c r="S3341" s="1428"/>
      <c r="U3341" s="328"/>
      <c r="V3341" s="318" t="s">
        <v>1947</v>
      </c>
      <c r="W3341" s="1096">
        <v>42709</v>
      </c>
      <c r="X3341" s="750">
        <v>42696</v>
      </c>
      <c r="Y3341" s="250" t="s">
        <v>10453</v>
      </c>
      <c r="Z3341" s="996">
        <v>191565</v>
      </c>
      <c r="AA3341" s="811">
        <v>42710</v>
      </c>
      <c r="AB3341" s="308" t="s">
        <v>10454</v>
      </c>
      <c r="AD3341" s="973"/>
      <c r="AE3341" s="974"/>
      <c r="AF3341" s="973"/>
      <c r="AG3341" s="386" t="s">
        <v>283</v>
      </c>
    </row>
    <row r="3342" spans="1:33" ht="15.75" customHeight="1">
      <c r="A3342" s="256">
        <v>42689</v>
      </c>
      <c r="B3342" s="571" t="s">
        <v>100</v>
      </c>
      <c r="C3342" s="250" t="s">
        <v>10449</v>
      </c>
      <c r="D3342" s="308" t="s">
        <v>10450</v>
      </c>
      <c r="E3342" s="571" t="s">
        <v>6119</v>
      </c>
      <c r="F3342" s="574">
        <v>6</v>
      </c>
      <c r="G3342" s="574">
        <v>70</v>
      </c>
      <c r="H3342" s="47">
        <f t="shared" si="206"/>
        <v>420</v>
      </c>
      <c r="I3342" s="264" t="s">
        <v>3315</v>
      </c>
      <c r="J3342" s="331" t="s">
        <v>5842</v>
      </c>
      <c r="K3342" s="256">
        <v>42705</v>
      </c>
      <c r="L3342" s="256"/>
      <c r="M3342" s="256">
        <v>42695</v>
      </c>
      <c r="N3342" s="401" t="s">
        <v>10455</v>
      </c>
      <c r="O3342" s="250" t="s">
        <v>10456</v>
      </c>
      <c r="P3342" s="574"/>
      <c r="Q3342" s="976">
        <v>9872</v>
      </c>
      <c r="R3342" s="1428"/>
      <c r="S3342" s="1428"/>
      <c r="U3342" s="328"/>
      <c r="V3342" s="318" t="s">
        <v>2126</v>
      </c>
      <c r="W3342" s="752" t="s">
        <v>9833</v>
      </c>
      <c r="X3342" s="750">
        <v>42692</v>
      </c>
      <c r="Y3342" s="250" t="s">
        <v>10457</v>
      </c>
      <c r="Z3342" s="996">
        <v>9872</v>
      </c>
      <c r="AA3342" s="811">
        <v>42670</v>
      </c>
      <c r="AB3342" s="308" t="s">
        <v>10454</v>
      </c>
      <c r="AD3342" s="973"/>
      <c r="AE3342" s="974"/>
      <c r="AF3342" s="973"/>
      <c r="AG3342" s="386" t="s">
        <v>283</v>
      </c>
    </row>
    <row r="3343" spans="1:33" ht="15.75" customHeight="1">
      <c r="A3343" s="256">
        <v>42689</v>
      </c>
      <c r="B3343" s="571" t="s">
        <v>100</v>
      </c>
      <c r="C3343" s="250" t="s">
        <v>10449</v>
      </c>
      <c r="D3343" s="308" t="s">
        <v>10450</v>
      </c>
      <c r="E3343" s="571" t="s">
        <v>10458</v>
      </c>
      <c r="F3343" s="574">
        <v>1</v>
      </c>
      <c r="G3343" s="574">
        <v>187</v>
      </c>
      <c r="H3343" s="47">
        <f t="shared" si="206"/>
        <v>187</v>
      </c>
      <c r="I3343" s="264" t="s">
        <v>3315</v>
      </c>
      <c r="J3343" s="331" t="s">
        <v>5842</v>
      </c>
      <c r="K3343" s="256">
        <v>42705</v>
      </c>
      <c r="L3343" s="256"/>
      <c r="M3343" s="771"/>
      <c r="N3343" s="331" t="s">
        <v>1999</v>
      </c>
      <c r="O3343" s="250"/>
      <c r="P3343" s="574"/>
      <c r="Q3343" s="1140">
        <v>5677</v>
      </c>
      <c r="R3343" s="1461"/>
      <c r="S3343" s="1461"/>
      <c r="U3343" s="328"/>
      <c r="V3343" s="318" t="s">
        <v>2000</v>
      </c>
      <c r="W3343" s="747">
        <v>42743</v>
      </c>
      <c r="X3343" s="750">
        <v>42713</v>
      </c>
      <c r="Y3343" s="250" t="s">
        <v>10442</v>
      </c>
      <c r="Z3343" s="264" t="s">
        <v>5261</v>
      </c>
      <c r="AA3343" s="256">
        <v>42740</v>
      </c>
      <c r="AB3343" s="308" t="s">
        <v>10454</v>
      </c>
      <c r="AD3343" s="973"/>
      <c r="AE3343" s="974"/>
      <c r="AF3343" s="973"/>
      <c r="AG3343" s="386" t="s">
        <v>283</v>
      </c>
    </row>
    <row r="3344" spans="1:33" ht="15.75" customHeight="1">
      <c r="A3344" s="256">
        <v>42689</v>
      </c>
      <c r="B3344" s="571" t="s">
        <v>9068</v>
      </c>
      <c r="C3344" s="250">
        <v>141116</v>
      </c>
      <c r="D3344" s="308" t="s">
        <v>10459</v>
      </c>
      <c r="E3344" s="571" t="s">
        <v>10460</v>
      </c>
      <c r="F3344" s="574">
        <v>11</v>
      </c>
      <c r="G3344" s="574">
        <v>281</v>
      </c>
      <c r="H3344" s="1153">
        <f t="shared" si="206"/>
        <v>3091</v>
      </c>
      <c r="I3344" s="264" t="s">
        <v>3315</v>
      </c>
      <c r="J3344" s="331" t="s">
        <v>5842</v>
      </c>
      <c r="K3344" s="256">
        <v>42698</v>
      </c>
      <c r="L3344" s="256"/>
      <c r="M3344" s="256">
        <v>42695</v>
      </c>
      <c r="N3344" s="264" t="s">
        <v>3432</v>
      </c>
      <c r="O3344" s="250" t="s">
        <v>10461</v>
      </c>
      <c r="P3344" s="574"/>
      <c r="Q3344" s="976">
        <v>91592</v>
      </c>
      <c r="R3344" s="1428"/>
      <c r="S3344" s="1428"/>
      <c r="U3344" s="328"/>
      <c r="V3344" s="308" t="s">
        <v>5937</v>
      </c>
      <c r="W3344" s="747">
        <v>42740</v>
      </c>
      <c r="X3344" s="750">
        <v>42692</v>
      </c>
      <c r="Y3344" s="250" t="s">
        <v>10462</v>
      </c>
      <c r="Z3344" s="996">
        <v>91592</v>
      </c>
      <c r="AA3344" s="256">
        <v>42734</v>
      </c>
      <c r="AB3344" s="308" t="s">
        <v>10463</v>
      </c>
      <c r="AD3344" s="973"/>
      <c r="AE3344" s="974"/>
      <c r="AF3344" s="973"/>
      <c r="AG3344" s="328" t="s">
        <v>283</v>
      </c>
    </row>
    <row r="3345" spans="1:33" ht="15.75" customHeight="1">
      <c r="A3345" s="30">
        <v>42689</v>
      </c>
      <c r="B3345" s="35" t="s">
        <v>9068</v>
      </c>
      <c r="C3345" s="21">
        <v>141116</v>
      </c>
      <c r="D3345" s="22" t="s">
        <v>10459</v>
      </c>
      <c r="E3345" s="35" t="s">
        <v>10464</v>
      </c>
      <c r="F3345" s="350">
        <v>1</v>
      </c>
      <c r="G3345" s="350">
        <f>171</f>
        <v>171</v>
      </c>
      <c r="H3345" s="1154">
        <f t="shared" si="206"/>
        <v>171</v>
      </c>
      <c r="I3345" s="49" t="s">
        <v>3315</v>
      </c>
      <c r="J3345" s="31" t="s">
        <v>5842</v>
      </c>
      <c r="K3345" s="30">
        <v>42698</v>
      </c>
      <c r="L3345" s="30"/>
      <c r="M3345" s="353"/>
      <c r="N3345" s="82" t="s">
        <v>1999</v>
      </c>
      <c r="O3345" s="21"/>
      <c r="P3345" s="350"/>
      <c r="Q3345" s="1155">
        <v>8508</v>
      </c>
      <c r="R3345" s="1466"/>
      <c r="S3345" s="1466"/>
      <c r="U3345" s="150"/>
      <c r="V3345" s="22" t="s">
        <v>2000</v>
      </c>
      <c r="W3345" s="348">
        <v>42743</v>
      </c>
      <c r="X3345" s="950">
        <v>42713</v>
      </c>
      <c r="Y3345" s="22" t="s">
        <v>10442</v>
      </c>
      <c r="Z3345" s="430">
        <v>21633</v>
      </c>
      <c r="AA3345" s="30">
        <v>42740</v>
      </c>
      <c r="AB3345" s="22" t="s">
        <v>10463</v>
      </c>
      <c r="AD3345" s="407"/>
      <c r="AE3345" s="1156"/>
      <c r="AF3345" s="407"/>
      <c r="AG3345" s="150" t="s">
        <v>283</v>
      </c>
    </row>
    <row r="3346" spans="1:33" ht="15.75" customHeight="1">
      <c r="A3346" s="256">
        <v>42690</v>
      </c>
      <c r="B3346" s="571" t="s">
        <v>100</v>
      </c>
      <c r="C3346" s="250" t="s">
        <v>10465</v>
      </c>
      <c r="D3346" s="308" t="s">
        <v>10466</v>
      </c>
      <c r="E3346" s="571" t="s">
        <v>10467</v>
      </c>
      <c r="F3346" s="574">
        <v>3</v>
      </c>
      <c r="G3346" s="574">
        <f>723</f>
        <v>723</v>
      </c>
      <c r="H3346" s="47">
        <f t="shared" si="206"/>
        <v>2169</v>
      </c>
      <c r="I3346" s="264" t="s">
        <v>3315</v>
      </c>
      <c r="J3346" s="331" t="s">
        <v>10468</v>
      </c>
      <c r="K3346" s="256">
        <v>42716</v>
      </c>
      <c r="L3346" s="256"/>
      <c r="M3346" s="256">
        <v>42713</v>
      </c>
      <c r="N3346" s="401" t="s">
        <v>10408</v>
      </c>
      <c r="O3346" s="263" t="s">
        <v>10469</v>
      </c>
      <c r="P3346" s="574"/>
      <c r="Q3346" s="976">
        <v>54161</v>
      </c>
      <c r="R3346" s="1428"/>
      <c r="S3346" s="1428"/>
      <c r="U3346" s="328"/>
      <c r="V3346" s="308" t="s">
        <v>10470</v>
      </c>
      <c r="W3346" s="747">
        <v>42716</v>
      </c>
      <c r="X3346" s="750">
        <v>42710</v>
      </c>
      <c r="Y3346" s="250" t="s">
        <v>10471</v>
      </c>
      <c r="Z3346" s="996">
        <v>54161</v>
      </c>
      <c r="AA3346" s="256">
        <v>42717</v>
      </c>
      <c r="AB3346" s="308" t="s">
        <v>10472</v>
      </c>
      <c r="AD3346" s="973"/>
      <c r="AE3346" s="974"/>
      <c r="AF3346" s="973"/>
      <c r="AG3346" s="386" t="s">
        <v>283</v>
      </c>
    </row>
    <row r="3347" spans="1:33" ht="15.75" customHeight="1">
      <c r="A3347" s="256">
        <v>42690</v>
      </c>
      <c r="B3347" s="571" t="s">
        <v>100</v>
      </c>
      <c r="C3347" s="250" t="s">
        <v>10465</v>
      </c>
      <c r="D3347" s="308" t="s">
        <v>10466</v>
      </c>
      <c r="E3347" s="338" t="s">
        <v>10093</v>
      </c>
      <c r="F3347" s="752">
        <v>3</v>
      </c>
      <c r="G3347" s="752">
        <v>339</v>
      </c>
      <c r="H3347" s="47">
        <f t="shared" si="206"/>
        <v>1017</v>
      </c>
      <c r="I3347" s="264" t="s">
        <v>3315</v>
      </c>
      <c r="J3347" s="331" t="s">
        <v>10468</v>
      </c>
      <c r="K3347" s="256">
        <v>42716</v>
      </c>
      <c r="L3347" s="256"/>
      <c r="M3347" s="256">
        <v>42710</v>
      </c>
      <c r="N3347" s="331" t="s">
        <v>1995</v>
      </c>
      <c r="O3347" s="250" t="s">
        <v>10473</v>
      </c>
      <c r="P3347" s="574"/>
      <c r="Q3347" s="976">
        <v>30590</v>
      </c>
      <c r="R3347" s="1428"/>
      <c r="S3347" s="1428"/>
      <c r="U3347" s="328"/>
      <c r="V3347" s="338" t="s">
        <v>1997</v>
      </c>
      <c r="W3347" s="747">
        <v>42703</v>
      </c>
      <c r="X3347" s="750">
        <v>42709</v>
      </c>
      <c r="Y3347" s="250" t="s">
        <v>10474</v>
      </c>
      <c r="Z3347" s="996">
        <v>30590</v>
      </c>
      <c r="AA3347" s="256">
        <v>42702</v>
      </c>
      <c r="AB3347" s="308" t="s">
        <v>10472</v>
      </c>
      <c r="AD3347" s="973"/>
      <c r="AE3347" s="974"/>
      <c r="AF3347" s="973"/>
      <c r="AG3347" s="386" t="s">
        <v>283</v>
      </c>
    </row>
    <row r="3348" spans="1:33" ht="15.75" customHeight="1">
      <c r="A3348" s="256">
        <v>42690</v>
      </c>
      <c r="B3348" s="571" t="s">
        <v>100</v>
      </c>
      <c r="C3348" s="250" t="s">
        <v>10465</v>
      </c>
      <c r="D3348" s="308" t="s">
        <v>10466</v>
      </c>
      <c r="E3348" s="338" t="s">
        <v>10475</v>
      </c>
      <c r="F3348" s="752">
        <v>3</v>
      </c>
      <c r="G3348" s="752">
        <v>36</v>
      </c>
      <c r="H3348" s="47">
        <f t="shared" si="206"/>
        <v>108</v>
      </c>
      <c r="I3348" s="264" t="s">
        <v>3315</v>
      </c>
      <c r="J3348" s="331" t="s">
        <v>10468</v>
      </c>
      <c r="K3348" s="256">
        <v>42716</v>
      </c>
      <c r="L3348" s="256"/>
      <c r="M3348" s="256">
        <v>42698</v>
      </c>
      <c r="N3348" s="401" t="s">
        <v>9980</v>
      </c>
      <c r="O3348" s="250" t="s">
        <v>10476</v>
      </c>
      <c r="P3348" s="574"/>
      <c r="Q3348" s="976">
        <v>2558</v>
      </c>
      <c r="R3348" s="1428"/>
      <c r="S3348" s="1428"/>
      <c r="U3348" s="328"/>
      <c r="V3348" s="318" t="s">
        <v>2126</v>
      </c>
      <c r="W3348" s="752" t="s">
        <v>9833</v>
      </c>
      <c r="X3348" s="750">
        <v>42696</v>
      </c>
      <c r="Y3348" s="250" t="s">
        <v>10477</v>
      </c>
      <c r="Z3348" s="996">
        <v>2558</v>
      </c>
      <c r="AA3348" s="256">
        <v>42692</v>
      </c>
      <c r="AB3348" s="308" t="s">
        <v>10472</v>
      </c>
      <c r="AD3348" s="973"/>
      <c r="AE3348" s="974"/>
      <c r="AF3348" s="973"/>
      <c r="AG3348" s="386" t="s">
        <v>283</v>
      </c>
    </row>
    <row r="3349" spans="1:33" ht="15.75" customHeight="1">
      <c r="A3349" s="256">
        <v>42690</v>
      </c>
      <c r="B3349" s="571" t="s">
        <v>100</v>
      </c>
      <c r="C3349" s="250" t="s">
        <v>10465</v>
      </c>
      <c r="D3349" s="308" t="s">
        <v>10466</v>
      </c>
      <c r="E3349" s="338" t="s">
        <v>8747</v>
      </c>
      <c r="F3349" s="574">
        <v>1</v>
      </c>
      <c r="G3349" s="574">
        <v>357</v>
      </c>
      <c r="H3349" s="47">
        <f t="shared" si="206"/>
        <v>357</v>
      </c>
      <c r="I3349" s="264" t="s">
        <v>3315</v>
      </c>
      <c r="J3349" s="331" t="s">
        <v>10468</v>
      </c>
      <c r="K3349" s="256">
        <v>42716</v>
      </c>
      <c r="L3349" s="256"/>
      <c r="M3349" s="256">
        <v>42710</v>
      </c>
      <c r="N3349" s="331" t="s">
        <v>2001</v>
      </c>
      <c r="O3349" s="250" t="s">
        <v>10478</v>
      </c>
      <c r="P3349" s="574"/>
      <c r="Q3349" s="976">
        <v>11550</v>
      </c>
      <c r="R3349" s="1428"/>
      <c r="S3349" s="1428"/>
      <c r="U3349" s="328"/>
      <c r="V3349" s="318" t="s">
        <v>5901</v>
      </c>
      <c r="W3349" s="747">
        <v>42771</v>
      </c>
      <c r="X3349" s="750">
        <v>42709</v>
      </c>
      <c r="Y3349" s="250" t="s">
        <v>10479</v>
      </c>
      <c r="Z3349" s="996">
        <v>11550</v>
      </c>
      <c r="AA3349" s="256">
        <v>42769</v>
      </c>
      <c r="AB3349" s="308" t="s">
        <v>10472</v>
      </c>
      <c r="AD3349" s="973"/>
      <c r="AE3349" s="974"/>
      <c r="AF3349" s="973"/>
      <c r="AG3349" s="386" t="s">
        <v>283</v>
      </c>
    </row>
    <row r="3350" spans="1:33" ht="15.75" customHeight="1">
      <c r="A3350" s="256">
        <v>42700</v>
      </c>
      <c r="B3350" s="338" t="s">
        <v>5981</v>
      </c>
      <c r="C3350" s="250">
        <v>7000125548</v>
      </c>
      <c r="D3350" s="308" t="s">
        <v>10480</v>
      </c>
      <c r="E3350" s="571" t="s">
        <v>3566</v>
      </c>
      <c r="F3350" s="574">
        <v>7</v>
      </c>
      <c r="G3350" s="574">
        <v>55</v>
      </c>
      <c r="H3350" s="47">
        <f t="shared" si="206"/>
        <v>385</v>
      </c>
      <c r="I3350" s="264" t="s">
        <v>42</v>
      </c>
      <c r="J3350" s="756" t="s">
        <v>3462</v>
      </c>
      <c r="K3350" s="256">
        <v>42698</v>
      </c>
      <c r="L3350" s="256"/>
      <c r="M3350" s="977">
        <v>42695</v>
      </c>
      <c r="N3350" s="264" t="s">
        <v>3432</v>
      </c>
      <c r="O3350" s="250" t="s">
        <v>10481</v>
      </c>
      <c r="P3350" s="574"/>
      <c r="Q3350" s="976">
        <v>11466</v>
      </c>
      <c r="R3350" s="1428"/>
      <c r="S3350" s="1428"/>
      <c r="U3350" s="328"/>
      <c r="V3350" s="308" t="s">
        <v>5937</v>
      </c>
      <c r="W3350" s="747">
        <v>42740</v>
      </c>
      <c r="X3350" s="750">
        <v>42691</v>
      </c>
      <c r="Y3350" s="250" t="s">
        <v>10482</v>
      </c>
      <c r="Z3350" s="996">
        <v>19125</v>
      </c>
      <c r="AA3350" s="256">
        <v>42734</v>
      </c>
      <c r="AB3350" s="308" t="s">
        <v>10375</v>
      </c>
      <c r="AD3350" s="973"/>
      <c r="AE3350" s="974"/>
      <c r="AF3350" s="973"/>
      <c r="AG3350" s="585" t="s">
        <v>283</v>
      </c>
    </row>
    <row r="3351" spans="1:33" ht="15.75" customHeight="1">
      <c r="A3351" s="256">
        <v>42700</v>
      </c>
      <c r="B3351" s="338" t="s">
        <v>5981</v>
      </c>
      <c r="C3351" s="250">
        <v>7000125548</v>
      </c>
      <c r="D3351" s="308" t="s">
        <v>10480</v>
      </c>
      <c r="E3351" s="571" t="s">
        <v>3567</v>
      </c>
      <c r="F3351" s="574">
        <v>7</v>
      </c>
      <c r="G3351" s="574">
        <v>37</v>
      </c>
      <c r="H3351" s="47">
        <f t="shared" si="206"/>
        <v>259</v>
      </c>
      <c r="I3351" s="264" t="s">
        <v>42</v>
      </c>
      <c r="J3351" s="756" t="s">
        <v>3462</v>
      </c>
      <c r="K3351" s="256">
        <v>42698</v>
      </c>
      <c r="L3351" s="256"/>
      <c r="M3351" s="977">
        <v>42695</v>
      </c>
      <c r="N3351" s="264" t="s">
        <v>3432</v>
      </c>
      <c r="O3351" s="250" t="s">
        <v>10481</v>
      </c>
      <c r="P3351" s="574"/>
      <c r="Q3351" s="976">
        <v>7659</v>
      </c>
      <c r="R3351" s="1428"/>
      <c r="S3351" s="1428"/>
      <c r="U3351" s="328"/>
      <c r="V3351" s="308" t="s">
        <v>5937</v>
      </c>
      <c r="W3351" s="747">
        <v>42740</v>
      </c>
      <c r="X3351" s="750">
        <v>42691</v>
      </c>
      <c r="Y3351" s="250" t="s">
        <v>10482</v>
      </c>
      <c r="Z3351" s="996" t="s">
        <v>10483</v>
      </c>
      <c r="AA3351" s="256">
        <v>42734</v>
      </c>
      <c r="AB3351" s="308" t="s">
        <v>10375</v>
      </c>
      <c r="AD3351" s="973"/>
      <c r="AE3351" s="974"/>
      <c r="AF3351" s="973"/>
      <c r="AG3351" s="585" t="s">
        <v>283</v>
      </c>
    </row>
    <row r="3352" spans="1:33" ht="15.75" customHeight="1">
      <c r="A3352" s="256">
        <v>42700</v>
      </c>
      <c r="B3352" s="338" t="s">
        <v>5981</v>
      </c>
      <c r="C3352" s="250">
        <v>7000125548</v>
      </c>
      <c r="D3352" s="308" t="s">
        <v>10480</v>
      </c>
      <c r="E3352" s="571" t="s">
        <v>3559</v>
      </c>
      <c r="F3352" s="574">
        <v>2</v>
      </c>
      <c r="G3352" s="574">
        <v>4.5</v>
      </c>
      <c r="H3352" s="47">
        <f t="shared" si="206"/>
        <v>9</v>
      </c>
      <c r="I3352" s="264" t="s">
        <v>42</v>
      </c>
      <c r="J3352" s="756" t="s">
        <v>3462</v>
      </c>
      <c r="K3352" s="256">
        <v>42716</v>
      </c>
      <c r="L3352" s="256"/>
      <c r="M3352" s="256">
        <v>42703</v>
      </c>
      <c r="N3352" s="264" t="s">
        <v>3432</v>
      </c>
      <c r="O3352" s="250" t="s">
        <v>10481</v>
      </c>
      <c r="P3352" s="574"/>
      <c r="Q3352" s="571">
        <v>231</v>
      </c>
      <c r="R3352" s="1458"/>
      <c r="S3352" s="1458"/>
      <c r="U3352" s="328"/>
      <c r="V3352" s="308" t="s">
        <v>5937</v>
      </c>
      <c r="W3352" s="747">
        <v>42771</v>
      </c>
      <c r="X3352" s="750">
        <v>42702</v>
      </c>
      <c r="Y3352" s="250" t="s">
        <v>10484</v>
      </c>
      <c r="Z3352" s="996">
        <v>231</v>
      </c>
      <c r="AA3352" s="256">
        <v>42739</v>
      </c>
      <c r="AB3352" s="308" t="s">
        <v>10485</v>
      </c>
      <c r="AD3352" s="973"/>
      <c r="AE3352" s="974"/>
      <c r="AF3352" s="973"/>
      <c r="AG3352" s="251" t="s">
        <v>283</v>
      </c>
    </row>
    <row r="3353" spans="1:33" ht="15.75" customHeight="1">
      <c r="A3353" s="256">
        <v>42700</v>
      </c>
      <c r="B3353" s="338" t="s">
        <v>5981</v>
      </c>
      <c r="C3353" s="250">
        <v>7000125548</v>
      </c>
      <c r="D3353" s="308" t="s">
        <v>10480</v>
      </c>
      <c r="E3353" s="571" t="s">
        <v>3563</v>
      </c>
      <c r="F3353" s="574">
        <v>7</v>
      </c>
      <c r="G3353" s="574">
        <v>8.5</v>
      </c>
      <c r="H3353" s="47">
        <f t="shared" si="206"/>
        <v>59.5</v>
      </c>
      <c r="I3353" s="264" t="s">
        <v>42</v>
      </c>
      <c r="J3353" s="756" t="s">
        <v>3462</v>
      </c>
      <c r="K3353" s="256">
        <v>42698</v>
      </c>
      <c r="L3353" s="256"/>
      <c r="M3353" s="256">
        <v>42695</v>
      </c>
      <c r="N3353" s="264" t="s">
        <v>3432</v>
      </c>
      <c r="O3353" s="250" t="s">
        <v>10481</v>
      </c>
      <c r="P3353" s="574"/>
      <c r="Q3353" s="571">
        <v>1588</v>
      </c>
      <c r="R3353" s="1458"/>
      <c r="S3353" s="1458"/>
      <c r="U3353" s="328"/>
      <c r="V3353" s="308" t="s">
        <v>5937</v>
      </c>
      <c r="W3353" s="747">
        <v>42740</v>
      </c>
      <c r="X3353" s="750">
        <v>42692</v>
      </c>
      <c r="Y3353" s="250" t="s">
        <v>10486</v>
      </c>
      <c r="Z3353" s="996">
        <v>1588</v>
      </c>
      <c r="AA3353" s="256">
        <v>42734</v>
      </c>
      <c r="AB3353" s="308" t="s">
        <v>10375</v>
      </c>
      <c r="AD3353" s="973"/>
      <c r="AE3353" s="974" t="s">
        <v>10487</v>
      </c>
      <c r="AF3353" s="973"/>
      <c r="AG3353" s="585" t="s">
        <v>283</v>
      </c>
    </row>
    <row r="3354" spans="1:33" ht="15.75" customHeight="1">
      <c r="A3354" s="256">
        <v>42700</v>
      </c>
      <c r="B3354" s="338" t="s">
        <v>5981</v>
      </c>
      <c r="C3354" s="250">
        <v>7000125548</v>
      </c>
      <c r="D3354" s="308" t="s">
        <v>10480</v>
      </c>
      <c r="E3354" s="571" t="s">
        <v>3565</v>
      </c>
      <c r="F3354" s="574">
        <v>7</v>
      </c>
      <c r="G3354" s="574">
        <v>236</v>
      </c>
      <c r="H3354" s="47">
        <f t="shared" si="206"/>
        <v>1652</v>
      </c>
      <c r="I3354" s="264" t="s">
        <v>42</v>
      </c>
      <c r="J3354" s="756" t="s">
        <v>3462</v>
      </c>
      <c r="K3354" s="256">
        <v>42698</v>
      </c>
      <c r="L3354" s="256"/>
      <c r="M3354" s="256">
        <v>42695</v>
      </c>
      <c r="N3354" s="264" t="s">
        <v>3432</v>
      </c>
      <c r="O3354" s="250" t="s">
        <v>10488</v>
      </c>
      <c r="P3354" s="574"/>
      <c r="Q3354" s="976">
        <v>49862</v>
      </c>
      <c r="R3354" s="1428"/>
      <c r="S3354" s="1428"/>
      <c r="U3354" s="328"/>
      <c r="V3354" s="308" t="s">
        <v>5937</v>
      </c>
      <c r="W3354" s="747">
        <v>42740</v>
      </c>
      <c r="X3354" s="750">
        <v>42691</v>
      </c>
      <c r="Y3354" s="250" t="s">
        <v>10489</v>
      </c>
      <c r="Z3354" s="996">
        <v>49862</v>
      </c>
      <c r="AA3354" s="256">
        <v>42734</v>
      </c>
      <c r="AB3354" s="308" t="s">
        <v>10375</v>
      </c>
      <c r="AD3354" s="973"/>
      <c r="AE3354" s="974"/>
      <c r="AF3354" s="973"/>
      <c r="AG3354" s="585" t="s">
        <v>283</v>
      </c>
    </row>
    <row r="3355" spans="1:33" ht="15.75" customHeight="1">
      <c r="A3355" s="256">
        <v>42695</v>
      </c>
      <c r="B3355" s="338" t="s">
        <v>4903</v>
      </c>
      <c r="C3355" s="250"/>
      <c r="D3355" s="328" t="s">
        <v>10490</v>
      </c>
      <c r="E3355" s="328" t="s">
        <v>9469</v>
      </c>
      <c r="F3355" s="574">
        <v>1</v>
      </c>
      <c r="G3355" s="574">
        <v>0</v>
      </c>
      <c r="H3355" s="265">
        <v>0</v>
      </c>
      <c r="I3355" s="264" t="s">
        <v>3315</v>
      </c>
      <c r="J3355" s="331" t="s">
        <v>10491</v>
      </c>
      <c r="K3355" s="256">
        <v>42705</v>
      </c>
      <c r="L3355" s="256"/>
      <c r="M3355" s="256"/>
      <c r="N3355" s="331" t="s">
        <v>1999</v>
      </c>
      <c r="O3355" s="250"/>
      <c r="P3355" s="574"/>
      <c r="Q3355" s="1157"/>
      <c r="R3355" s="1467"/>
      <c r="S3355" s="1467"/>
      <c r="U3355" s="328"/>
      <c r="V3355" s="318"/>
      <c r="W3355" s="998"/>
      <c r="X3355" s="750"/>
      <c r="Y3355" s="250"/>
      <c r="Z3355" s="996"/>
      <c r="AA3355" s="985"/>
      <c r="AB3355" s="308" t="s">
        <v>10490</v>
      </c>
      <c r="AD3355" s="973"/>
      <c r="AE3355" s="974"/>
      <c r="AF3355" s="973"/>
      <c r="AG3355" s="881"/>
    </row>
    <row r="3356" spans="1:33" ht="15.75" customHeight="1">
      <c r="A3356" s="256">
        <v>42695</v>
      </c>
      <c r="B3356" s="338" t="s">
        <v>325</v>
      </c>
      <c r="C3356" s="250">
        <v>1607100</v>
      </c>
      <c r="D3356" s="308" t="s">
        <v>10492</v>
      </c>
      <c r="E3356" s="571" t="s">
        <v>8682</v>
      </c>
      <c r="F3356" s="386">
        <v>10</v>
      </c>
      <c r="G3356" s="386">
        <v>607</v>
      </c>
      <c r="H3356" s="265">
        <f t="shared" ref="H3356:H3396" si="207">G3356*F3356</f>
        <v>6070</v>
      </c>
      <c r="I3356" s="264" t="s">
        <v>3315</v>
      </c>
      <c r="J3356" s="331" t="s">
        <v>3613</v>
      </c>
      <c r="K3356" s="256">
        <v>42719</v>
      </c>
      <c r="L3356" s="256"/>
      <c r="M3356" s="256">
        <v>42716</v>
      </c>
      <c r="N3356" s="585" t="s">
        <v>9537</v>
      </c>
      <c r="O3356" s="250" t="s">
        <v>10493</v>
      </c>
      <c r="P3356" s="318">
        <v>5932.5</v>
      </c>
      <c r="Q3356" s="905"/>
      <c r="R3356" s="1468"/>
      <c r="S3356" s="1468"/>
      <c r="U3356" s="328"/>
      <c r="V3356" s="386" t="s">
        <v>6186</v>
      </c>
      <c r="W3356" s="747">
        <v>42766</v>
      </c>
      <c r="X3356" s="750">
        <v>42712</v>
      </c>
      <c r="Y3356" s="250" t="s">
        <v>10494</v>
      </c>
      <c r="Z3356" s="996">
        <v>197633</v>
      </c>
      <c r="AA3356" s="256">
        <v>42769</v>
      </c>
      <c r="AB3356" s="308" t="s">
        <v>10495</v>
      </c>
      <c r="AD3356" s="973"/>
      <c r="AE3356" s="974"/>
      <c r="AF3356" s="973"/>
      <c r="AG3356" s="328" t="s">
        <v>283</v>
      </c>
    </row>
    <row r="3357" spans="1:33" ht="15.75" customHeight="1">
      <c r="A3357" s="256">
        <v>42695</v>
      </c>
      <c r="B3357" s="338" t="s">
        <v>325</v>
      </c>
      <c r="C3357" s="250">
        <v>1607100</v>
      </c>
      <c r="D3357" s="308" t="s">
        <v>10492</v>
      </c>
      <c r="E3357" s="571" t="s">
        <v>4256</v>
      </c>
      <c r="F3357" s="386">
        <v>10</v>
      </c>
      <c r="G3357" s="386">
        <v>27</v>
      </c>
      <c r="H3357" s="265">
        <f t="shared" si="207"/>
        <v>270</v>
      </c>
      <c r="I3357" s="264" t="s">
        <v>3315</v>
      </c>
      <c r="J3357" s="331" t="s">
        <v>3613</v>
      </c>
      <c r="K3357" s="256">
        <v>42719</v>
      </c>
      <c r="L3357" s="256"/>
      <c r="M3357" s="256">
        <v>42716</v>
      </c>
      <c r="N3357" s="585" t="s">
        <v>9537</v>
      </c>
      <c r="O3357" s="250" t="s">
        <v>10493</v>
      </c>
      <c r="P3357" s="318">
        <v>262.5</v>
      </c>
      <c r="Q3357" s="905"/>
      <c r="R3357" s="1468"/>
      <c r="S3357" s="1468"/>
      <c r="U3357" s="328"/>
      <c r="V3357" s="386" t="s">
        <v>6186</v>
      </c>
      <c r="W3357" s="747">
        <v>42766</v>
      </c>
      <c r="X3357" s="750">
        <v>42712</v>
      </c>
      <c r="Y3357" s="250" t="s">
        <v>10494</v>
      </c>
      <c r="Z3357" s="996" t="s">
        <v>10496</v>
      </c>
      <c r="AA3357" s="256">
        <v>42769</v>
      </c>
      <c r="AB3357" s="308" t="s">
        <v>10495</v>
      </c>
      <c r="AD3357" s="973"/>
      <c r="AE3357" s="974"/>
      <c r="AF3357" s="973"/>
      <c r="AG3357" s="328" t="s">
        <v>283</v>
      </c>
    </row>
    <row r="3358" spans="1:33" ht="15.75" customHeight="1">
      <c r="A3358" s="256">
        <v>42696</v>
      </c>
      <c r="B3358" s="338" t="s">
        <v>100</v>
      </c>
      <c r="C3358" s="250" t="s">
        <v>10497</v>
      </c>
      <c r="D3358" s="308" t="s">
        <v>10498</v>
      </c>
      <c r="E3358" s="571" t="s">
        <v>10499</v>
      </c>
      <c r="F3358" s="574">
        <v>6</v>
      </c>
      <c r="G3358" s="574">
        <v>1085</v>
      </c>
      <c r="H3358" s="47">
        <f t="shared" si="207"/>
        <v>6510</v>
      </c>
      <c r="I3358" s="264" t="s">
        <v>3315</v>
      </c>
      <c r="J3358" s="331" t="s">
        <v>10468</v>
      </c>
      <c r="K3358" s="256">
        <v>42716</v>
      </c>
      <c r="L3358" s="256"/>
      <c r="M3358" s="256">
        <v>42712</v>
      </c>
      <c r="N3358" s="331" t="s">
        <v>1414</v>
      </c>
      <c r="O3358" s="250" t="s">
        <v>10500</v>
      </c>
      <c r="P3358" s="574"/>
      <c r="Q3358" s="976">
        <v>191986</v>
      </c>
      <c r="R3358" s="1428"/>
      <c r="S3358" s="1428"/>
      <c r="U3358" s="328"/>
      <c r="V3358" s="318" t="s">
        <v>1947</v>
      </c>
      <c r="W3358" s="747">
        <v>42740</v>
      </c>
      <c r="X3358" s="750">
        <v>42711</v>
      </c>
      <c r="Y3358" s="250" t="s">
        <v>10501</v>
      </c>
      <c r="Z3358" s="260">
        <v>191986</v>
      </c>
      <c r="AA3358" s="256">
        <v>42744</v>
      </c>
      <c r="AB3358" s="308" t="s">
        <v>10472</v>
      </c>
      <c r="AD3358" s="973"/>
      <c r="AE3358" s="974"/>
      <c r="AF3358" s="973"/>
      <c r="AG3358" s="386" t="s">
        <v>283</v>
      </c>
    </row>
    <row r="3359" spans="1:33" ht="15.75" customHeight="1">
      <c r="A3359" s="256">
        <v>42696</v>
      </c>
      <c r="B3359" s="338" t="s">
        <v>100</v>
      </c>
      <c r="C3359" s="250" t="s">
        <v>10497</v>
      </c>
      <c r="D3359" s="308" t="s">
        <v>10498</v>
      </c>
      <c r="E3359" s="571" t="s">
        <v>6119</v>
      </c>
      <c r="F3359" s="574">
        <v>6</v>
      </c>
      <c r="G3359" s="574">
        <v>70</v>
      </c>
      <c r="H3359" s="47">
        <f t="shared" si="207"/>
        <v>420</v>
      </c>
      <c r="I3359" s="264" t="s">
        <v>3315</v>
      </c>
      <c r="J3359" s="331" t="s">
        <v>10468</v>
      </c>
      <c r="K3359" s="256">
        <v>42716</v>
      </c>
      <c r="L3359" s="256"/>
      <c r="M3359" s="256">
        <v>42702</v>
      </c>
      <c r="N3359" s="401" t="s">
        <v>10455</v>
      </c>
      <c r="O3359" s="250" t="s">
        <v>10502</v>
      </c>
      <c r="P3359" s="574"/>
      <c r="Q3359" s="976">
        <v>9891</v>
      </c>
      <c r="R3359" s="1428"/>
      <c r="S3359" s="1428"/>
      <c r="U3359" s="328"/>
      <c r="V3359" s="318" t="s">
        <v>2126</v>
      </c>
      <c r="W3359" s="752" t="s">
        <v>9833</v>
      </c>
      <c r="X3359" s="750">
        <v>42699</v>
      </c>
      <c r="Y3359" s="250" t="s">
        <v>10503</v>
      </c>
      <c r="Z3359" s="996">
        <v>9891</v>
      </c>
      <c r="AA3359" s="256">
        <v>42692</v>
      </c>
      <c r="AB3359" s="308" t="s">
        <v>10472</v>
      </c>
      <c r="AD3359" s="973"/>
      <c r="AE3359" s="974"/>
      <c r="AF3359" s="973"/>
      <c r="AG3359" s="386" t="s">
        <v>283</v>
      </c>
    </row>
    <row r="3360" spans="1:33" ht="15.75" customHeight="1">
      <c r="A3360" s="256">
        <v>42696</v>
      </c>
      <c r="B3360" s="338" t="s">
        <v>100</v>
      </c>
      <c r="C3360" s="250" t="s">
        <v>10497</v>
      </c>
      <c r="D3360" s="308" t="s">
        <v>10498</v>
      </c>
      <c r="E3360" s="571" t="s">
        <v>10504</v>
      </c>
      <c r="F3360" s="574">
        <v>1</v>
      </c>
      <c r="G3360" s="574">
        <v>187</v>
      </c>
      <c r="H3360" s="47">
        <f t="shared" si="207"/>
        <v>187</v>
      </c>
      <c r="I3360" s="264" t="s">
        <v>3315</v>
      </c>
      <c r="J3360" s="331" t="s">
        <v>10468</v>
      </c>
      <c r="K3360" s="256">
        <v>42716</v>
      </c>
      <c r="L3360" s="256"/>
      <c r="M3360" s="623"/>
      <c r="N3360" s="331" t="s">
        <v>920</v>
      </c>
      <c r="O3360" s="250"/>
      <c r="P3360" s="574"/>
      <c r="Q3360" s="1140">
        <v>8076</v>
      </c>
      <c r="R3360" s="1461"/>
      <c r="S3360" s="1461"/>
      <c r="U3360" s="328"/>
      <c r="V3360" s="318"/>
      <c r="W3360" s="1137"/>
      <c r="X3360" s="750">
        <v>42727</v>
      </c>
      <c r="Y3360" s="308" t="s">
        <v>10505</v>
      </c>
      <c r="Z3360" s="996">
        <v>9459</v>
      </c>
      <c r="AA3360" s="256">
        <v>42740</v>
      </c>
      <c r="AB3360" s="308" t="s">
        <v>10472</v>
      </c>
      <c r="AD3360" s="973"/>
      <c r="AE3360" s="974"/>
      <c r="AF3360" s="973"/>
      <c r="AG3360" s="386" t="s">
        <v>283</v>
      </c>
    </row>
    <row r="3361" spans="1:33" ht="15.75" customHeight="1">
      <c r="A3361" s="256">
        <v>42696</v>
      </c>
      <c r="B3361" s="338" t="s">
        <v>4903</v>
      </c>
      <c r="C3361" s="250" t="s">
        <v>10506</v>
      </c>
      <c r="D3361" s="308" t="s">
        <v>10507</v>
      </c>
      <c r="E3361" s="571" t="s">
        <v>6163</v>
      </c>
      <c r="F3361" s="574">
        <v>7</v>
      </c>
      <c r="G3361" s="574">
        <v>582</v>
      </c>
      <c r="H3361" s="265">
        <f t="shared" si="207"/>
        <v>4074</v>
      </c>
      <c r="I3361" s="264" t="s">
        <v>3315</v>
      </c>
      <c r="J3361" s="331" t="s">
        <v>3588</v>
      </c>
      <c r="K3361" s="256">
        <v>42705</v>
      </c>
      <c r="L3361" s="256"/>
      <c r="M3361" s="256">
        <v>42703</v>
      </c>
      <c r="N3361" s="331" t="s">
        <v>5935</v>
      </c>
      <c r="O3361" s="250" t="s">
        <v>10508</v>
      </c>
      <c r="P3361" s="574"/>
      <c r="Q3361" s="976">
        <v>126949</v>
      </c>
      <c r="R3361" s="1428"/>
      <c r="S3361" s="1428"/>
      <c r="U3361" s="328"/>
      <c r="V3361" s="318" t="s">
        <v>5937</v>
      </c>
      <c r="W3361" s="747">
        <v>42771</v>
      </c>
      <c r="X3361" s="750">
        <v>42702</v>
      </c>
      <c r="Y3361" s="250" t="s">
        <v>10509</v>
      </c>
      <c r="Z3361" s="996">
        <v>126949</v>
      </c>
      <c r="AA3361" s="256">
        <v>42739</v>
      </c>
      <c r="AB3361" s="308" t="s">
        <v>10510</v>
      </c>
      <c r="AD3361" s="973"/>
      <c r="AE3361" s="974"/>
      <c r="AF3361" s="973"/>
      <c r="AG3361" s="328" t="s">
        <v>283</v>
      </c>
    </row>
    <row r="3362" spans="1:33" ht="15.75" customHeight="1">
      <c r="A3362" s="256">
        <v>42697</v>
      </c>
      <c r="B3362" s="338" t="s">
        <v>100</v>
      </c>
      <c r="C3362" s="250" t="s">
        <v>10511</v>
      </c>
      <c r="D3362" s="308" t="s">
        <v>10512</v>
      </c>
      <c r="E3362" s="571" t="s">
        <v>10513</v>
      </c>
      <c r="F3362" s="574">
        <v>2</v>
      </c>
      <c r="G3362" s="574">
        <v>99</v>
      </c>
      <c r="H3362" s="47">
        <f t="shared" si="207"/>
        <v>198</v>
      </c>
      <c r="I3362" s="264" t="s">
        <v>3315</v>
      </c>
      <c r="J3362" s="331" t="s">
        <v>10514</v>
      </c>
      <c r="K3362" s="256">
        <v>42705</v>
      </c>
      <c r="L3362" s="256"/>
      <c r="M3362" s="256">
        <v>42699</v>
      </c>
      <c r="N3362" s="401" t="s">
        <v>3330</v>
      </c>
      <c r="O3362" s="250" t="s">
        <v>10515</v>
      </c>
      <c r="P3362" s="1027">
        <v>168</v>
      </c>
      <c r="Q3362" s="976">
        <v>5363</v>
      </c>
      <c r="R3362" s="1428"/>
      <c r="S3362" s="1428"/>
      <c r="U3362" s="328"/>
      <c r="V3362" s="308" t="s">
        <v>8822</v>
      </c>
      <c r="W3362" s="789">
        <v>42728</v>
      </c>
      <c r="X3362" s="750">
        <v>42699</v>
      </c>
      <c r="Y3362" s="250" t="s">
        <v>10516</v>
      </c>
      <c r="Z3362" s="996">
        <v>5362</v>
      </c>
      <c r="AA3362" s="256">
        <v>42725</v>
      </c>
      <c r="AB3362" s="308" t="s">
        <v>10454</v>
      </c>
      <c r="AD3362" s="973"/>
      <c r="AE3362" s="974"/>
      <c r="AF3362" s="973"/>
      <c r="AG3362" s="386" t="s">
        <v>283</v>
      </c>
    </row>
    <row r="3363" spans="1:33" ht="15.75" customHeight="1">
      <c r="A3363" s="256">
        <v>42697</v>
      </c>
      <c r="B3363" s="338" t="s">
        <v>100</v>
      </c>
      <c r="C3363" s="250" t="s">
        <v>10511</v>
      </c>
      <c r="D3363" s="308" t="s">
        <v>10512</v>
      </c>
      <c r="E3363" s="571" t="s">
        <v>10517</v>
      </c>
      <c r="F3363" s="574">
        <v>4</v>
      </c>
      <c r="G3363" s="574">
        <v>2</v>
      </c>
      <c r="H3363" s="47">
        <f t="shared" si="207"/>
        <v>8</v>
      </c>
      <c r="I3363" s="264" t="s">
        <v>3315</v>
      </c>
      <c r="J3363" s="331" t="s">
        <v>10514</v>
      </c>
      <c r="K3363" s="256">
        <v>42705</v>
      </c>
      <c r="L3363" s="256"/>
      <c r="M3363" s="256">
        <v>42697</v>
      </c>
      <c r="N3363" s="401" t="s">
        <v>3608</v>
      </c>
      <c r="O3363" s="263" t="s">
        <v>10518</v>
      </c>
      <c r="P3363" s="574"/>
      <c r="Q3363" s="972"/>
      <c r="R3363" s="1427"/>
      <c r="S3363" s="1427"/>
      <c r="U3363" s="328"/>
      <c r="V3363" s="308"/>
      <c r="W3363" s="998"/>
      <c r="X3363" s="328" t="s">
        <v>9321</v>
      </c>
      <c r="Y3363" s="328" t="s">
        <v>9321</v>
      </c>
      <c r="Z3363" s="328" t="s">
        <v>9321</v>
      </c>
      <c r="AA3363" s="985"/>
      <c r="AB3363" s="308" t="s">
        <v>10454</v>
      </c>
      <c r="AD3363" s="973"/>
      <c r="AE3363" s="974"/>
      <c r="AF3363" s="973"/>
      <c r="AG3363" s="386" t="s">
        <v>283</v>
      </c>
    </row>
    <row r="3364" spans="1:33" ht="15.75" customHeight="1">
      <c r="A3364" s="256">
        <v>42697</v>
      </c>
      <c r="B3364" s="338" t="s">
        <v>100</v>
      </c>
      <c r="C3364" s="250" t="s">
        <v>10511</v>
      </c>
      <c r="D3364" s="308" t="s">
        <v>10512</v>
      </c>
      <c r="E3364" s="571" t="s">
        <v>10519</v>
      </c>
      <c r="F3364" s="574">
        <v>2</v>
      </c>
      <c r="G3364" s="574">
        <v>3</v>
      </c>
      <c r="H3364" s="47">
        <f t="shared" si="207"/>
        <v>6</v>
      </c>
      <c r="I3364" s="264" t="s">
        <v>3315</v>
      </c>
      <c r="J3364" s="331" t="s">
        <v>10514</v>
      </c>
      <c r="K3364" s="256">
        <v>42705</v>
      </c>
      <c r="L3364" s="256"/>
      <c r="M3364" s="256">
        <v>42697</v>
      </c>
      <c r="N3364" s="401" t="s">
        <v>3608</v>
      </c>
      <c r="O3364" s="263" t="s">
        <v>10518</v>
      </c>
      <c r="P3364" s="574"/>
      <c r="Q3364" s="972"/>
      <c r="R3364" s="1427"/>
      <c r="S3364" s="1427"/>
      <c r="U3364" s="328"/>
      <c r="V3364" s="308"/>
      <c r="W3364" s="998"/>
      <c r="X3364" s="328" t="s">
        <v>9321</v>
      </c>
      <c r="Y3364" s="328" t="s">
        <v>9321</v>
      </c>
      <c r="Z3364" s="328" t="s">
        <v>9321</v>
      </c>
      <c r="AA3364" s="985"/>
      <c r="AB3364" s="308" t="s">
        <v>10454</v>
      </c>
      <c r="AD3364" s="973"/>
      <c r="AE3364" s="974"/>
      <c r="AF3364" s="973"/>
      <c r="AG3364" s="386" t="s">
        <v>283</v>
      </c>
    </row>
    <row r="3365" spans="1:33" ht="15.75" customHeight="1">
      <c r="A3365" s="256">
        <v>42697</v>
      </c>
      <c r="B3365" s="338" t="s">
        <v>100</v>
      </c>
      <c r="C3365" s="250" t="s">
        <v>10511</v>
      </c>
      <c r="D3365" s="308" t="s">
        <v>10512</v>
      </c>
      <c r="E3365" s="571" t="s">
        <v>10520</v>
      </c>
      <c r="F3365" s="574">
        <v>2</v>
      </c>
      <c r="G3365" s="574">
        <v>7</v>
      </c>
      <c r="H3365" s="47">
        <f t="shared" si="207"/>
        <v>14</v>
      </c>
      <c r="I3365" s="264" t="s">
        <v>3315</v>
      </c>
      <c r="J3365" s="331" t="s">
        <v>10514</v>
      </c>
      <c r="K3365" s="256">
        <v>42705</v>
      </c>
      <c r="L3365" s="256"/>
      <c r="M3365" s="256">
        <v>42703</v>
      </c>
      <c r="N3365" s="401" t="s">
        <v>3608</v>
      </c>
      <c r="O3365" s="263" t="s">
        <v>10521</v>
      </c>
      <c r="P3365" s="574"/>
      <c r="Q3365" s="972"/>
      <c r="R3365" s="1427"/>
      <c r="S3365" s="1427"/>
      <c r="U3365" s="328"/>
      <c r="V3365" s="1158"/>
      <c r="W3365" s="1015"/>
      <c r="X3365" s="328" t="s">
        <v>10522</v>
      </c>
      <c r="Y3365" s="328" t="s">
        <v>10522</v>
      </c>
      <c r="Z3365" s="328" t="s">
        <v>10522</v>
      </c>
      <c r="AA3365" s="985"/>
      <c r="AB3365" s="308" t="s">
        <v>10454</v>
      </c>
      <c r="AD3365" s="973"/>
      <c r="AE3365" s="974"/>
      <c r="AF3365" s="973"/>
      <c r="AG3365" s="386" t="s">
        <v>283</v>
      </c>
    </row>
    <row r="3366" spans="1:33" ht="15.75" customHeight="1">
      <c r="A3366" s="256">
        <v>42699</v>
      </c>
      <c r="B3366" s="338" t="s">
        <v>76</v>
      </c>
      <c r="C3366" s="250">
        <v>1043</v>
      </c>
      <c r="D3366" s="308" t="s">
        <v>10523</v>
      </c>
      <c r="E3366" s="571" t="s">
        <v>9077</v>
      </c>
      <c r="F3366" s="752">
        <v>10</v>
      </c>
      <c r="G3366" s="752">
        <v>285</v>
      </c>
      <c r="H3366" s="571">
        <f t="shared" si="207"/>
        <v>2850</v>
      </c>
      <c r="I3366" s="264" t="s">
        <v>170</v>
      </c>
      <c r="J3366" s="267" t="s">
        <v>10524</v>
      </c>
      <c r="K3366" s="256">
        <v>42712</v>
      </c>
      <c r="L3366" s="256"/>
      <c r="M3366" s="256">
        <v>42710</v>
      </c>
      <c r="N3366" s="264" t="s">
        <v>1967</v>
      </c>
      <c r="O3366" s="250" t="s">
        <v>10525</v>
      </c>
      <c r="P3366" s="574">
        <v>2625</v>
      </c>
      <c r="Q3366" s="972"/>
      <c r="R3366" s="1427"/>
      <c r="S3366" s="1427"/>
      <c r="U3366" s="328"/>
      <c r="V3366" s="1082" t="s">
        <v>10307</v>
      </c>
      <c r="W3366" s="747">
        <v>42771</v>
      </c>
      <c r="X3366" s="750">
        <v>42709</v>
      </c>
      <c r="Y3366" s="250" t="s">
        <v>10526</v>
      </c>
      <c r="Z3366" s="996">
        <v>224546</v>
      </c>
      <c r="AA3366" s="256">
        <v>42807</v>
      </c>
      <c r="AB3366" s="308" t="s">
        <v>10527</v>
      </c>
      <c r="AD3366" s="973"/>
      <c r="AE3366" s="974"/>
      <c r="AF3366" s="973"/>
      <c r="AG3366" s="328" t="s">
        <v>283</v>
      </c>
    </row>
    <row r="3367" spans="1:33" ht="15.75" customHeight="1">
      <c r="A3367" s="256">
        <v>42699</v>
      </c>
      <c r="B3367" s="338" t="s">
        <v>76</v>
      </c>
      <c r="C3367" s="250">
        <v>1043</v>
      </c>
      <c r="D3367" s="308" t="s">
        <v>10523</v>
      </c>
      <c r="E3367" s="338" t="s">
        <v>10305</v>
      </c>
      <c r="F3367" s="752">
        <v>15</v>
      </c>
      <c r="G3367" s="752">
        <v>234</v>
      </c>
      <c r="H3367" s="571">
        <f t="shared" si="207"/>
        <v>3510</v>
      </c>
      <c r="I3367" s="264" t="s">
        <v>170</v>
      </c>
      <c r="J3367" s="267" t="s">
        <v>10524</v>
      </c>
      <c r="K3367" s="256">
        <v>42712</v>
      </c>
      <c r="L3367" s="256"/>
      <c r="M3367" s="256">
        <v>42710</v>
      </c>
      <c r="N3367" s="264" t="s">
        <v>1967</v>
      </c>
      <c r="O3367" s="250" t="s">
        <v>10525</v>
      </c>
      <c r="P3367" s="574">
        <v>3780</v>
      </c>
      <c r="Q3367" s="972"/>
      <c r="R3367" s="1427"/>
      <c r="S3367" s="1427"/>
      <c r="U3367" s="328"/>
      <c r="V3367" s="1082" t="s">
        <v>10307</v>
      </c>
      <c r="W3367" s="747">
        <v>42771</v>
      </c>
      <c r="X3367" s="750">
        <v>42709</v>
      </c>
      <c r="Y3367" s="250" t="s">
        <v>10526</v>
      </c>
      <c r="Z3367" s="996" t="s">
        <v>5328</v>
      </c>
      <c r="AA3367" s="256">
        <v>42807</v>
      </c>
      <c r="AB3367" s="308" t="s">
        <v>10527</v>
      </c>
      <c r="AD3367" s="973"/>
      <c r="AE3367" s="974"/>
      <c r="AF3367" s="973"/>
      <c r="AG3367" s="328" t="s">
        <v>283</v>
      </c>
    </row>
    <row r="3368" spans="1:33" ht="15.75" customHeight="1">
      <c r="A3368" s="256">
        <v>42699</v>
      </c>
      <c r="B3368" s="338" t="s">
        <v>76</v>
      </c>
      <c r="C3368" s="250">
        <v>1043</v>
      </c>
      <c r="D3368" s="308" t="s">
        <v>10523</v>
      </c>
      <c r="E3368" s="338" t="s">
        <v>8842</v>
      </c>
      <c r="F3368" s="752">
        <v>15</v>
      </c>
      <c r="G3368" s="752">
        <v>25</v>
      </c>
      <c r="H3368" s="571">
        <f t="shared" si="207"/>
        <v>375</v>
      </c>
      <c r="I3368" s="264" t="s">
        <v>170</v>
      </c>
      <c r="J3368" s="267" t="s">
        <v>10524</v>
      </c>
      <c r="K3368" s="256">
        <v>42712</v>
      </c>
      <c r="L3368" s="256"/>
      <c r="M3368" s="256">
        <v>42710</v>
      </c>
      <c r="N3368" s="264" t="s">
        <v>1967</v>
      </c>
      <c r="O3368" s="250" t="s">
        <v>10525</v>
      </c>
      <c r="P3368" s="574">
        <v>393.75</v>
      </c>
      <c r="Q3368" s="972"/>
      <c r="R3368" s="1427"/>
      <c r="S3368" s="1427"/>
      <c r="U3368" s="328"/>
      <c r="V3368" s="1082" t="s">
        <v>10307</v>
      </c>
      <c r="W3368" s="747">
        <v>42771</v>
      </c>
      <c r="X3368" s="750">
        <v>42709</v>
      </c>
      <c r="Y3368" s="250" t="s">
        <v>10526</v>
      </c>
      <c r="Z3368" s="996" t="s">
        <v>5328</v>
      </c>
      <c r="AA3368" s="256">
        <v>42807</v>
      </c>
      <c r="AB3368" s="308" t="s">
        <v>10527</v>
      </c>
      <c r="AD3368" s="973"/>
      <c r="AE3368" s="974"/>
      <c r="AF3368" s="973"/>
      <c r="AG3368" s="328" t="s">
        <v>283</v>
      </c>
    </row>
    <row r="3369" spans="1:33" ht="15.75" customHeight="1">
      <c r="A3369" s="256">
        <v>42699</v>
      </c>
      <c r="B3369" s="338" t="s">
        <v>76</v>
      </c>
      <c r="C3369" s="250">
        <v>1043</v>
      </c>
      <c r="D3369" s="308" t="s">
        <v>10523</v>
      </c>
      <c r="E3369" s="338" t="s">
        <v>8879</v>
      </c>
      <c r="F3369" s="752">
        <v>15</v>
      </c>
      <c r="G3369" s="752">
        <v>18</v>
      </c>
      <c r="H3369" s="571">
        <f t="shared" si="207"/>
        <v>270</v>
      </c>
      <c r="I3369" s="264" t="s">
        <v>170</v>
      </c>
      <c r="J3369" s="267" t="s">
        <v>10524</v>
      </c>
      <c r="K3369" s="256">
        <v>42712</v>
      </c>
      <c r="L3369" s="256"/>
      <c r="M3369" s="256">
        <v>42710</v>
      </c>
      <c r="N3369" s="264" t="s">
        <v>1967</v>
      </c>
      <c r="O3369" s="250" t="s">
        <v>10525</v>
      </c>
      <c r="P3369" s="574">
        <v>220.5</v>
      </c>
      <c r="Q3369" s="972"/>
      <c r="R3369" s="1427"/>
      <c r="S3369" s="1427"/>
      <c r="U3369" s="328"/>
      <c r="V3369" s="1082" t="s">
        <v>10307</v>
      </c>
      <c r="W3369" s="747">
        <v>42771</v>
      </c>
      <c r="X3369" s="750">
        <v>42709</v>
      </c>
      <c r="Y3369" s="250" t="s">
        <v>10526</v>
      </c>
      <c r="Z3369" s="996" t="s">
        <v>5328</v>
      </c>
      <c r="AA3369" s="256">
        <v>42807</v>
      </c>
      <c r="AB3369" s="308" t="s">
        <v>10527</v>
      </c>
      <c r="AD3369" s="973"/>
      <c r="AE3369" s="974"/>
      <c r="AF3369" s="973"/>
      <c r="AG3369" s="328" t="s">
        <v>283</v>
      </c>
    </row>
    <row r="3370" spans="1:33" ht="15.75" customHeight="1">
      <c r="A3370" s="256">
        <v>42699</v>
      </c>
      <c r="B3370" s="338" t="s">
        <v>76</v>
      </c>
      <c r="C3370" s="250">
        <v>1043</v>
      </c>
      <c r="D3370" s="308" t="s">
        <v>10523</v>
      </c>
      <c r="E3370" s="571" t="s">
        <v>8883</v>
      </c>
      <c r="F3370" s="574">
        <v>15</v>
      </c>
      <c r="G3370" s="574">
        <v>6</v>
      </c>
      <c r="H3370" s="571">
        <f t="shared" si="207"/>
        <v>90</v>
      </c>
      <c r="I3370" s="264" t="s">
        <v>170</v>
      </c>
      <c r="J3370" s="267" t="s">
        <v>10524</v>
      </c>
      <c r="K3370" s="256">
        <v>42712</v>
      </c>
      <c r="L3370" s="256"/>
      <c r="M3370" s="256">
        <v>42712</v>
      </c>
      <c r="N3370" s="331" t="s">
        <v>2006</v>
      </c>
      <c r="O3370" s="250" t="s">
        <v>10528</v>
      </c>
      <c r="P3370" s="338"/>
      <c r="Q3370" s="338">
        <v>1496</v>
      </c>
      <c r="R3370" s="1458"/>
      <c r="S3370" s="1458"/>
      <c r="U3370" s="328"/>
      <c r="V3370" s="318" t="s">
        <v>2146</v>
      </c>
      <c r="W3370" s="747">
        <v>42723</v>
      </c>
      <c r="X3370" s="750">
        <v>42711</v>
      </c>
      <c r="Y3370" s="250" t="s">
        <v>10529</v>
      </c>
      <c r="Z3370" s="996">
        <v>1859</v>
      </c>
      <c r="AA3370" s="256">
        <v>42724</v>
      </c>
      <c r="AB3370" s="308" t="s">
        <v>10527</v>
      </c>
      <c r="AD3370" s="973"/>
      <c r="AE3370" s="974"/>
      <c r="AF3370" s="973"/>
      <c r="AG3370" s="328" t="s">
        <v>283</v>
      </c>
    </row>
    <row r="3371" spans="1:33" ht="15.75" customHeight="1">
      <c r="A3371" s="256">
        <v>42699</v>
      </c>
      <c r="B3371" s="338" t="s">
        <v>76</v>
      </c>
      <c r="C3371" s="250">
        <v>1043</v>
      </c>
      <c r="D3371" s="308" t="s">
        <v>10523</v>
      </c>
      <c r="E3371" s="571" t="s">
        <v>8885</v>
      </c>
      <c r="F3371" s="574">
        <v>15</v>
      </c>
      <c r="G3371" s="574">
        <v>2</v>
      </c>
      <c r="H3371" s="571">
        <f t="shared" si="207"/>
        <v>30</v>
      </c>
      <c r="I3371" s="264" t="s">
        <v>170</v>
      </c>
      <c r="J3371" s="267" t="s">
        <v>10524</v>
      </c>
      <c r="K3371" s="256">
        <v>42712</v>
      </c>
      <c r="L3371" s="256"/>
      <c r="M3371" s="256">
        <v>42712</v>
      </c>
      <c r="N3371" s="331" t="s">
        <v>2006</v>
      </c>
      <c r="O3371" s="250" t="s">
        <v>10528</v>
      </c>
      <c r="P3371" s="338"/>
      <c r="Q3371" s="338">
        <v>363</v>
      </c>
      <c r="R3371" s="1458"/>
      <c r="S3371" s="1458"/>
      <c r="U3371" s="328"/>
      <c r="V3371" s="318" t="s">
        <v>2146</v>
      </c>
      <c r="W3371" s="747">
        <v>42723</v>
      </c>
      <c r="X3371" s="750">
        <v>42711</v>
      </c>
      <c r="Y3371" s="250" t="s">
        <v>10529</v>
      </c>
      <c r="Z3371" s="996" t="s">
        <v>10483</v>
      </c>
      <c r="AA3371" s="256">
        <v>42724</v>
      </c>
      <c r="AB3371" s="308" t="s">
        <v>10527</v>
      </c>
      <c r="AD3371" s="973"/>
      <c r="AE3371" s="974"/>
      <c r="AF3371" s="973"/>
      <c r="AG3371" s="328" t="s">
        <v>283</v>
      </c>
    </row>
    <row r="3372" spans="1:33" ht="15.75" customHeight="1">
      <c r="A3372" s="256">
        <v>42702</v>
      </c>
      <c r="B3372" s="338" t="s">
        <v>5981</v>
      </c>
      <c r="C3372" s="250">
        <v>7000125819</v>
      </c>
      <c r="D3372" s="308" t="s">
        <v>10530</v>
      </c>
      <c r="E3372" s="571" t="s">
        <v>3703</v>
      </c>
      <c r="F3372" s="574">
        <v>11</v>
      </c>
      <c r="G3372" s="574">
        <v>127</v>
      </c>
      <c r="H3372" s="47">
        <f t="shared" si="207"/>
        <v>1397</v>
      </c>
      <c r="I3372" s="264" t="s">
        <v>42</v>
      </c>
      <c r="J3372" s="756" t="s">
        <v>3462</v>
      </c>
      <c r="K3372" s="256">
        <v>42716</v>
      </c>
      <c r="L3372" s="256"/>
      <c r="M3372" s="256">
        <v>42709</v>
      </c>
      <c r="N3372" s="264" t="s">
        <v>3432</v>
      </c>
      <c r="O3372" s="250" t="s">
        <v>10531</v>
      </c>
      <c r="P3372" s="574"/>
      <c r="Q3372" s="976">
        <v>41580</v>
      </c>
      <c r="R3372" s="1428"/>
      <c r="S3372" s="1428"/>
      <c r="U3372" s="328"/>
      <c r="V3372" s="308" t="s">
        <v>5937</v>
      </c>
      <c r="W3372" s="747">
        <v>42771</v>
      </c>
      <c r="X3372" s="750">
        <v>42706</v>
      </c>
      <c r="Y3372" s="250" t="s">
        <v>10532</v>
      </c>
      <c r="Z3372" s="996">
        <v>41580</v>
      </c>
      <c r="AA3372" s="256">
        <v>42739</v>
      </c>
      <c r="AB3372" s="308" t="s">
        <v>10485</v>
      </c>
      <c r="AD3372" s="973"/>
      <c r="AE3372" s="974"/>
      <c r="AF3372" s="973"/>
      <c r="AG3372" s="251" t="s">
        <v>283</v>
      </c>
    </row>
    <row r="3373" spans="1:33" ht="15.75" customHeight="1">
      <c r="A3373" s="256">
        <v>42702</v>
      </c>
      <c r="B3373" s="338" t="s">
        <v>5981</v>
      </c>
      <c r="C3373" s="250">
        <v>7000125819</v>
      </c>
      <c r="D3373" s="308" t="s">
        <v>10530</v>
      </c>
      <c r="E3373" s="420">
        <v>1700002204</v>
      </c>
      <c r="F3373" s="574">
        <v>1</v>
      </c>
      <c r="G3373" s="574">
        <v>4</v>
      </c>
      <c r="H3373" s="47">
        <f t="shared" si="207"/>
        <v>4</v>
      </c>
      <c r="I3373" s="264" t="s">
        <v>42</v>
      </c>
      <c r="J3373" s="756" t="s">
        <v>3462</v>
      </c>
      <c r="K3373" s="256">
        <v>42716</v>
      </c>
      <c r="L3373" s="256"/>
      <c r="M3373" s="256">
        <v>42710</v>
      </c>
      <c r="N3373" s="264" t="s">
        <v>3432</v>
      </c>
      <c r="O3373" s="250" t="s">
        <v>10533</v>
      </c>
      <c r="P3373" s="574"/>
      <c r="Q3373" s="571">
        <v>100</v>
      </c>
      <c r="R3373" s="1458"/>
      <c r="S3373" s="1458"/>
      <c r="U3373" s="328"/>
      <c r="V3373" s="308" t="s">
        <v>5937</v>
      </c>
      <c r="W3373" s="747">
        <v>42771</v>
      </c>
      <c r="X3373" s="750">
        <v>42709</v>
      </c>
      <c r="Y3373" s="250" t="s">
        <v>10534</v>
      </c>
      <c r="Z3373" s="996">
        <v>8658</v>
      </c>
      <c r="AA3373" s="256">
        <v>42739</v>
      </c>
      <c r="AB3373" s="308" t="s">
        <v>10485</v>
      </c>
      <c r="AD3373" s="973"/>
      <c r="AE3373" s="974"/>
      <c r="AF3373" s="973"/>
      <c r="AG3373" s="251" t="s">
        <v>283</v>
      </c>
    </row>
    <row r="3374" spans="1:33" ht="15.75" customHeight="1">
      <c r="A3374" s="256">
        <v>42702</v>
      </c>
      <c r="B3374" s="338" t="s">
        <v>5981</v>
      </c>
      <c r="C3374" s="250">
        <v>7000125819</v>
      </c>
      <c r="D3374" s="308" t="s">
        <v>10530</v>
      </c>
      <c r="E3374" s="571" t="s">
        <v>7592</v>
      </c>
      <c r="F3374" s="574">
        <v>1</v>
      </c>
      <c r="G3374" s="574">
        <v>5</v>
      </c>
      <c r="H3374" s="47">
        <f t="shared" si="207"/>
        <v>5</v>
      </c>
      <c r="I3374" s="264" t="s">
        <v>42</v>
      </c>
      <c r="J3374" s="756" t="s">
        <v>3462</v>
      </c>
      <c r="K3374" s="256">
        <v>42716</v>
      </c>
      <c r="L3374" s="256"/>
      <c r="M3374" s="256">
        <v>42710</v>
      </c>
      <c r="N3374" s="264" t="s">
        <v>3432</v>
      </c>
      <c r="O3374" s="250" t="s">
        <v>10533</v>
      </c>
      <c r="P3374" s="574"/>
      <c r="Q3374" s="571">
        <v>128</v>
      </c>
      <c r="R3374" s="1458"/>
      <c r="S3374" s="1458"/>
      <c r="U3374" s="328"/>
      <c r="V3374" s="308" t="s">
        <v>5937</v>
      </c>
      <c r="W3374" s="747">
        <v>42771</v>
      </c>
      <c r="X3374" s="750">
        <v>42709</v>
      </c>
      <c r="Y3374" s="250" t="s">
        <v>10534</v>
      </c>
      <c r="Z3374" s="996" t="s">
        <v>7869</v>
      </c>
      <c r="AA3374" s="256">
        <v>42739</v>
      </c>
      <c r="AB3374" s="308" t="s">
        <v>10485</v>
      </c>
      <c r="AD3374" s="973"/>
      <c r="AE3374" s="974"/>
      <c r="AF3374" s="973"/>
      <c r="AG3374" s="251" t="s">
        <v>283</v>
      </c>
    </row>
    <row r="3375" spans="1:33" ht="15.75" customHeight="1">
      <c r="A3375" s="256">
        <v>42702</v>
      </c>
      <c r="B3375" s="338" t="s">
        <v>5981</v>
      </c>
      <c r="C3375" s="250">
        <v>7000125819</v>
      </c>
      <c r="D3375" s="308" t="s">
        <v>10530</v>
      </c>
      <c r="E3375" s="420">
        <v>1702002605</v>
      </c>
      <c r="F3375" s="574">
        <v>1</v>
      </c>
      <c r="G3375" s="574">
        <v>3.6</v>
      </c>
      <c r="H3375" s="47">
        <f t="shared" si="207"/>
        <v>3.6</v>
      </c>
      <c r="I3375" s="264" t="s">
        <v>42</v>
      </c>
      <c r="J3375" s="756" t="s">
        <v>3462</v>
      </c>
      <c r="K3375" s="256">
        <v>42716</v>
      </c>
      <c r="L3375" s="256"/>
      <c r="M3375" s="256">
        <v>42710</v>
      </c>
      <c r="N3375" s="264" t="s">
        <v>3432</v>
      </c>
      <c r="O3375" s="250" t="s">
        <v>10533</v>
      </c>
      <c r="P3375" s="574"/>
      <c r="Q3375" s="571">
        <v>92</v>
      </c>
      <c r="R3375" s="1458"/>
      <c r="S3375" s="1458"/>
      <c r="U3375" s="328"/>
      <c r="V3375" s="308" t="s">
        <v>5937</v>
      </c>
      <c r="W3375" s="747">
        <v>42771</v>
      </c>
      <c r="X3375" s="750">
        <v>42709</v>
      </c>
      <c r="Y3375" s="250" t="s">
        <v>10534</v>
      </c>
      <c r="Z3375" s="996" t="s">
        <v>7869</v>
      </c>
      <c r="AA3375" s="256">
        <v>42739</v>
      </c>
      <c r="AB3375" s="308" t="s">
        <v>10485</v>
      </c>
      <c r="AD3375" s="973"/>
      <c r="AE3375" s="974"/>
      <c r="AF3375" s="973"/>
      <c r="AG3375" s="251" t="s">
        <v>283</v>
      </c>
    </row>
    <row r="3376" spans="1:33" ht="15.75" customHeight="1">
      <c r="A3376" s="256">
        <v>42702</v>
      </c>
      <c r="B3376" s="338" t="s">
        <v>5981</v>
      </c>
      <c r="C3376" s="250">
        <v>7000125819</v>
      </c>
      <c r="D3376" s="308" t="s">
        <v>10530</v>
      </c>
      <c r="E3376" s="571" t="s">
        <v>7591</v>
      </c>
      <c r="F3376" s="574">
        <v>1</v>
      </c>
      <c r="G3376" s="574">
        <v>81</v>
      </c>
      <c r="H3376" s="47">
        <f t="shared" si="207"/>
        <v>81</v>
      </c>
      <c r="I3376" s="264" t="s">
        <v>42</v>
      </c>
      <c r="J3376" s="756" t="s">
        <v>3462</v>
      </c>
      <c r="K3376" s="256">
        <v>42716</v>
      </c>
      <c r="L3376" s="256"/>
      <c r="M3376" s="256">
        <v>42710</v>
      </c>
      <c r="N3376" s="264" t="s">
        <v>3432</v>
      </c>
      <c r="O3376" s="250" t="s">
        <v>10533</v>
      </c>
      <c r="P3376" s="574"/>
      <c r="Q3376" s="976">
        <v>2406</v>
      </c>
      <c r="R3376" s="1428"/>
      <c r="S3376" s="1428"/>
      <c r="U3376" s="328"/>
      <c r="V3376" s="308" t="s">
        <v>5937</v>
      </c>
      <c r="W3376" s="747">
        <v>42771</v>
      </c>
      <c r="X3376" s="750">
        <v>42709</v>
      </c>
      <c r="Y3376" s="250" t="s">
        <v>10534</v>
      </c>
      <c r="Z3376" s="996" t="s">
        <v>7869</v>
      </c>
      <c r="AA3376" s="256">
        <v>42739</v>
      </c>
      <c r="AB3376" s="308" t="s">
        <v>10485</v>
      </c>
      <c r="AD3376" s="973"/>
      <c r="AE3376" s="974"/>
      <c r="AF3376" s="973"/>
      <c r="AG3376" s="251" t="s">
        <v>283</v>
      </c>
    </row>
    <row r="3377" spans="1:33" ht="15.75" customHeight="1">
      <c r="A3377" s="256">
        <v>42702</v>
      </c>
      <c r="B3377" s="338" t="s">
        <v>5981</v>
      </c>
      <c r="C3377" s="250">
        <v>7000125819</v>
      </c>
      <c r="D3377" s="308" t="s">
        <v>10530</v>
      </c>
      <c r="E3377" s="571" t="s">
        <v>7593</v>
      </c>
      <c r="F3377" s="574">
        <v>1</v>
      </c>
      <c r="G3377" s="574">
        <v>163</v>
      </c>
      <c r="H3377" s="47">
        <f t="shared" si="207"/>
        <v>163</v>
      </c>
      <c r="I3377" s="264" t="s">
        <v>42</v>
      </c>
      <c r="J3377" s="756" t="s">
        <v>3462</v>
      </c>
      <c r="K3377" s="256">
        <v>42716</v>
      </c>
      <c r="L3377" s="256"/>
      <c r="M3377" s="256">
        <v>42710</v>
      </c>
      <c r="N3377" s="264" t="s">
        <v>3432</v>
      </c>
      <c r="O3377" s="250" t="s">
        <v>10533</v>
      </c>
      <c r="P3377" s="574"/>
      <c r="Q3377" s="976">
        <v>4838</v>
      </c>
      <c r="R3377" s="1428"/>
      <c r="S3377" s="1428"/>
      <c r="U3377" s="328"/>
      <c r="V3377" s="308" t="s">
        <v>5937</v>
      </c>
      <c r="W3377" s="747">
        <v>42771</v>
      </c>
      <c r="X3377" s="750">
        <v>42709</v>
      </c>
      <c r="Y3377" s="250" t="s">
        <v>10534</v>
      </c>
      <c r="Z3377" s="996" t="s">
        <v>7869</v>
      </c>
      <c r="AA3377" s="256">
        <v>42739</v>
      </c>
      <c r="AB3377" s="308" t="s">
        <v>10485</v>
      </c>
      <c r="AD3377" s="973"/>
      <c r="AE3377" s="974"/>
      <c r="AF3377" s="973"/>
      <c r="AG3377" s="251" t="s">
        <v>283</v>
      </c>
    </row>
    <row r="3378" spans="1:33" ht="15.75" customHeight="1">
      <c r="A3378" s="256">
        <v>42702</v>
      </c>
      <c r="B3378" s="338" t="s">
        <v>5981</v>
      </c>
      <c r="C3378" s="250">
        <v>7000125819</v>
      </c>
      <c r="D3378" s="308" t="s">
        <v>10530</v>
      </c>
      <c r="E3378" s="571" t="s">
        <v>3567</v>
      </c>
      <c r="F3378" s="574">
        <v>1</v>
      </c>
      <c r="G3378" s="574">
        <v>37</v>
      </c>
      <c r="H3378" s="47">
        <f t="shared" si="207"/>
        <v>37</v>
      </c>
      <c r="I3378" s="264" t="s">
        <v>42</v>
      </c>
      <c r="J3378" s="756" t="s">
        <v>3462</v>
      </c>
      <c r="K3378" s="256">
        <v>42716</v>
      </c>
      <c r="L3378" s="256"/>
      <c r="M3378" s="256">
        <v>42710</v>
      </c>
      <c r="N3378" s="264" t="s">
        <v>3432</v>
      </c>
      <c r="O3378" s="250" t="s">
        <v>10533</v>
      </c>
      <c r="P3378" s="574"/>
      <c r="Q3378" s="976">
        <v>1094</v>
      </c>
      <c r="R3378" s="1428"/>
      <c r="S3378" s="1428"/>
      <c r="U3378" s="328"/>
      <c r="V3378" s="308" t="s">
        <v>5937</v>
      </c>
      <c r="W3378" s="747">
        <v>42771</v>
      </c>
      <c r="X3378" s="750">
        <v>42709</v>
      </c>
      <c r="Y3378" s="250" t="s">
        <v>10534</v>
      </c>
      <c r="Z3378" s="996" t="s">
        <v>7869</v>
      </c>
      <c r="AA3378" s="256">
        <v>42739</v>
      </c>
      <c r="AB3378" s="308" t="s">
        <v>10485</v>
      </c>
      <c r="AD3378" s="973"/>
      <c r="AE3378" s="974"/>
      <c r="AF3378" s="973"/>
      <c r="AG3378" s="251" t="s">
        <v>283</v>
      </c>
    </row>
    <row r="3379" spans="1:33" ht="15.75" customHeight="1">
      <c r="A3379" s="256">
        <v>42702</v>
      </c>
      <c r="B3379" s="338" t="s">
        <v>5981</v>
      </c>
      <c r="C3379" s="250">
        <v>7000125819</v>
      </c>
      <c r="D3379" s="308" t="s">
        <v>10530</v>
      </c>
      <c r="E3379" s="571" t="s">
        <v>7594</v>
      </c>
      <c r="F3379" s="574">
        <v>1</v>
      </c>
      <c r="G3379" s="574">
        <v>236</v>
      </c>
      <c r="H3379" s="47">
        <f t="shared" si="207"/>
        <v>236</v>
      </c>
      <c r="I3379" s="264" t="s">
        <v>42</v>
      </c>
      <c r="J3379" s="756" t="s">
        <v>3462</v>
      </c>
      <c r="K3379" s="256">
        <v>42716</v>
      </c>
      <c r="L3379" s="256"/>
      <c r="M3379" s="256">
        <v>42716</v>
      </c>
      <c r="N3379" s="264" t="s">
        <v>3432</v>
      </c>
      <c r="O3379" s="250" t="s">
        <v>10535</v>
      </c>
      <c r="P3379" s="574"/>
      <c r="Q3379" s="976">
        <v>7123</v>
      </c>
      <c r="R3379" s="1428"/>
      <c r="S3379" s="1428"/>
      <c r="U3379" s="328"/>
      <c r="V3379" s="308" t="s">
        <v>5937</v>
      </c>
      <c r="W3379" s="747">
        <v>42771</v>
      </c>
      <c r="X3379" s="750">
        <v>42713</v>
      </c>
      <c r="Y3379" s="250" t="s">
        <v>10536</v>
      </c>
      <c r="Z3379" s="996">
        <v>7123</v>
      </c>
      <c r="AA3379" s="256">
        <v>42755</v>
      </c>
      <c r="AB3379" s="308" t="s">
        <v>10485</v>
      </c>
      <c r="AD3379" s="973"/>
      <c r="AE3379" s="974"/>
      <c r="AF3379" s="973"/>
      <c r="AG3379" s="251" t="s">
        <v>283</v>
      </c>
    </row>
    <row r="3380" spans="1:33" ht="15.75" customHeight="1">
      <c r="A3380" s="256">
        <v>42702</v>
      </c>
      <c r="B3380" s="338" t="s">
        <v>5981</v>
      </c>
      <c r="C3380" s="250">
        <v>7000125819</v>
      </c>
      <c r="D3380" s="308" t="s">
        <v>10530</v>
      </c>
      <c r="E3380" s="571" t="s">
        <v>7595</v>
      </c>
      <c r="F3380" s="574">
        <v>1</v>
      </c>
      <c r="G3380" s="574">
        <v>17</v>
      </c>
      <c r="H3380" s="47">
        <f t="shared" si="207"/>
        <v>17</v>
      </c>
      <c r="I3380" s="264" t="s">
        <v>42</v>
      </c>
      <c r="J3380" s="756" t="s">
        <v>3462</v>
      </c>
      <c r="K3380" s="256">
        <v>42716</v>
      </c>
      <c r="L3380" s="256"/>
      <c r="M3380" s="256">
        <v>42716</v>
      </c>
      <c r="N3380" s="264" t="s">
        <v>3432</v>
      </c>
      <c r="O3380" s="250" t="s">
        <v>10537</v>
      </c>
      <c r="P3380" s="574"/>
      <c r="Q3380" s="571">
        <v>521</v>
      </c>
      <c r="R3380" s="1458"/>
      <c r="S3380" s="1458"/>
      <c r="U3380" s="328"/>
      <c r="V3380" s="308" t="s">
        <v>5937</v>
      </c>
      <c r="W3380" s="747">
        <v>42771</v>
      </c>
      <c r="X3380" s="750">
        <v>42711</v>
      </c>
      <c r="Y3380" s="250" t="s">
        <v>10538</v>
      </c>
      <c r="Z3380" s="996">
        <v>521</v>
      </c>
      <c r="AA3380" s="256">
        <v>42755</v>
      </c>
      <c r="AB3380" s="308" t="s">
        <v>10485</v>
      </c>
      <c r="AD3380" s="973"/>
      <c r="AE3380" s="974"/>
      <c r="AF3380" s="973"/>
      <c r="AG3380" s="251" t="s">
        <v>283</v>
      </c>
    </row>
    <row r="3381" spans="1:33" ht="15.75" customHeight="1">
      <c r="A3381" s="256">
        <v>42703</v>
      </c>
      <c r="B3381" s="338" t="s">
        <v>228</v>
      </c>
      <c r="C3381" s="263" t="s">
        <v>10539</v>
      </c>
      <c r="D3381" s="308" t="s">
        <v>10540</v>
      </c>
      <c r="E3381" s="571" t="s">
        <v>461</v>
      </c>
      <c r="F3381" s="752">
        <v>77</v>
      </c>
      <c r="G3381" s="574">
        <v>415.8</v>
      </c>
      <c r="H3381" s="47">
        <f t="shared" si="207"/>
        <v>32016.600000000002</v>
      </c>
      <c r="I3381" s="264" t="s">
        <v>170</v>
      </c>
      <c r="J3381" s="331" t="s">
        <v>89</v>
      </c>
      <c r="K3381" s="256">
        <v>42716</v>
      </c>
      <c r="L3381" s="256"/>
      <c r="M3381" s="771"/>
      <c r="N3381" s="331" t="s">
        <v>89</v>
      </c>
      <c r="O3381" s="250" t="s">
        <v>10541</v>
      </c>
      <c r="P3381" s="752">
        <v>28701.75</v>
      </c>
      <c r="Q3381" s="972"/>
      <c r="R3381" s="1427"/>
      <c r="S3381" s="1427"/>
      <c r="U3381" s="328"/>
      <c r="V3381" s="318" t="s">
        <v>5896</v>
      </c>
      <c r="W3381" s="747">
        <v>42771</v>
      </c>
      <c r="X3381" s="750">
        <v>42713</v>
      </c>
      <c r="Y3381" s="308" t="s">
        <v>10542</v>
      </c>
      <c r="Z3381" s="996">
        <v>943981</v>
      </c>
      <c r="AA3381" s="256">
        <v>42748</v>
      </c>
      <c r="AB3381" s="308" t="s">
        <v>10543</v>
      </c>
      <c r="AD3381" s="308" t="s">
        <v>10544</v>
      </c>
      <c r="AE3381" s="630">
        <v>1048201</v>
      </c>
      <c r="AF3381" s="308" t="s">
        <v>10545</v>
      </c>
      <c r="AG3381" s="881"/>
    </row>
    <row r="3382" spans="1:33" ht="15.75" customHeight="1">
      <c r="A3382" s="256">
        <v>42703</v>
      </c>
      <c r="B3382" s="338" t="s">
        <v>228</v>
      </c>
      <c r="C3382" s="263" t="s">
        <v>10539</v>
      </c>
      <c r="D3382" s="308" t="s">
        <v>10540</v>
      </c>
      <c r="E3382" s="592" t="s">
        <v>3604</v>
      </c>
      <c r="F3382" s="752">
        <v>3</v>
      </c>
      <c r="G3382" s="752">
        <v>336</v>
      </c>
      <c r="H3382" s="265">
        <f t="shared" si="207"/>
        <v>1008</v>
      </c>
      <c r="I3382" s="264" t="s">
        <v>170</v>
      </c>
      <c r="J3382" s="331" t="s">
        <v>89</v>
      </c>
      <c r="K3382" s="256">
        <v>42716</v>
      </c>
      <c r="L3382" s="256"/>
      <c r="M3382" s="771"/>
      <c r="N3382" s="331" t="s">
        <v>89</v>
      </c>
      <c r="O3382" s="250" t="s">
        <v>10541</v>
      </c>
      <c r="P3382" s="574">
        <v>904.05</v>
      </c>
      <c r="Q3382" s="972"/>
      <c r="R3382" s="1427"/>
      <c r="S3382" s="1427"/>
      <c r="U3382" s="328"/>
      <c r="V3382" s="318" t="s">
        <v>5896</v>
      </c>
      <c r="W3382" s="747">
        <v>42771</v>
      </c>
      <c r="X3382" s="750">
        <v>42713</v>
      </c>
      <c r="Y3382" s="308" t="s">
        <v>10542</v>
      </c>
      <c r="Z3382" s="996" t="s">
        <v>10546</v>
      </c>
      <c r="AA3382" s="256">
        <v>42748</v>
      </c>
      <c r="AB3382" s="308" t="s">
        <v>10543</v>
      </c>
      <c r="AD3382" s="308" t="s">
        <v>10544</v>
      </c>
      <c r="AE3382" s="630" t="s">
        <v>10547</v>
      </c>
      <c r="AF3382" s="308" t="s">
        <v>10545</v>
      </c>
      <c r="AG3382" s="881"/>
    </row>
    <row r="3383" spans="1:33" ht="15.75" customHeight="1">
      <c r="A3383" s="256">
        <v>42703</v>
      </c>
      <c r="B3383" s="338" t="s">
        <v>4903</v>
      </c>
      <c r="C3383" s="250" t="s">
        <v>5861</v>
      </c>
      <c r="D3383" s="308" t="s">
        <v>10548</v>
      </c>
      <c r="E3383" s="571" t="s">
        <v>10549</v>
      </c>
      <c r="F3383" s="574">
        <v>41</v>
      </c>
      <c r="G3383" s="574">
        <v>95</v>
      </c>
      <c r="H3383" s="265">
        <f t="shared" si="207"/>
        <v>3895</v>
      </c>
      <c r="I3383" s="264" t="s">
        <v>3315</v>
      </c>
      <c r="J3383" s="331" t="s">
        <v>3588</v>
      </c>
      <c r="K3383" s="256">
        <v>42723</v>
      </c>
      <c r="L3383" s="256"/>
      <c r="M3383" s="256">
        <v>42720</v>
      </c>
      <c r="N3383" s="401" t="s">
        <v>89</v>
      </c>
      <c r="O3383" s="308" t="s">
        <v>10550</v>
      </c>
      <c r="P3383" s="574">
        <v>3837.75</v>
      </c>
      <c r="Q3383" s="972"/>
      <c r="R3383" s="1427"/>
      <c r="S3383" s="1427"/>
      <c r="U3383" s="328"/>
      <c r="V3383" s="318" t="s">
        <v>5896</v>
      </c>
      <c r="W3383" s="747">
        <v>42771</v>
      </c>
      <c r="X3383" s="750">
        <v>42720</v>
      </c>
      <c r="Y3383" s="250" t="s">
        <v>10551</v>
      </c>
      <c r="Z3383" s="996">
        <v>173198</v>
      </c>
      <c r="AA3383" s="256">
        <v>42769</v>
      </c>
      <c r="AB3383" s="308" t="s">
        <v>10552</v>
      </c>
      <c r="AD3383" s="973"/>
      <c r="AE3383" s="974"/>
      <c r="AF3383" s="973"/>
      <c r="AG3383" s="881" t="s">
        <v>10168</v>
      </c>
    </row>
    <row r="3384" spans="1:33" ht="15.75" customHeight="1">
      <c r="A3384" s="256">
        <v>42703</v>
      </c>
      <c r="B3384" s="338" t="s">
        <v>4903</v>
      </c>
      <c r="C3384" s="250" t="s">
        <v>5861</v>
      </c>
      <c r="D3384" s="308" t="s">
        <v>10548</v>
      </c>
      <c r="E3384" s="571" t="s">
        <v>5868</v>
      </c>
      <c r="F3384" s="574">
        <v>41</v>
      </c>
      <c r="G3384" s="574">
        <v>49</v>
      </c>
      <c r="H3384" s="265">
        <f t="shared" si="207"/>
        <v>2009</v>
      </c>
      <c r="I3384" s="264" t="s">
        <v>3315</v>
      </c>
      <c r="J3384" s="331" t="s">
        <v>3588</v>
      </c>
      <c r="K3384" s="256">
        <v>42723</v>
      </c>
      <c r="L3384" s="256"/>
      <c r="M3384" s="256">
        <v>42720</v>
      </c>
      <c r="N3384" s="401" t="s">
        <v>89</v>
      </c>
      <c r="O3384" s="308" t="s">
        <v>10550</v>
      </c>
      <c r="P3384" s="574">
        <v>1851.15</v>
      </c>
      <c r="Q3384" s="972"/>
      <c r="R3384" s="1427"/>
      <c r="S3384" s="1427"/>
      <c r="U3384" s="328"/>
      <c r="V3384" s="318" t="s">
        <v>5896</v>
      </c>
      <c r="W3384" s="747">
        <v>42771</v>
      </c>
      <c r="X3384" s="750">
        <v>42720</v>
      </c>
      <c r="Y3384" s="250" t="s">
        <v>10551</v>
      </c>
      <c r="Z3384" s="996" t="s">
        <v>10553</v>
      </c>
      <c r="AA3384" s="256">
        <v>42769</v>
      </c>
      <c r="AB3384" s="308" t="s">
        <v>10552</v>
      </c>
      <c r="AD3384" s="973"/>
      <c r="AE3384" s="974"/>
      <c r="AF3384" s="973"/>
      <c r="AG3384" s="881" t="s">
        <v>10168</v>
      </c>
    </row>
    <row r="3385" spans="1:33" ht="15.75" customHeight="1">
      <c r="A3385" s="256">
        <v>42703</v>
      </c>
      <c r="B3385" s="338" t="s">
        <v>4903</v>
      </c>
      <c r="C3385" s="250" t="s">
        <v>5861</v>
      </c>
      <c r="D3385" s="308" t="s">
        <v>10554</v>
      </c>
      <c r="E3385" s="571" t="s">
        <v>10549</v>
      </c>
      <c r="F3385" s="574">
        <v>2</v>
      </c>
      <c r="G3385" s="574">
        <v>95</v>
      </c>
      <c r="H3385" s="265">
        <f t="shared" si="207"/>
        <v>190</v>
      </c>
      <c r="I3385" s="264" t="s">
        <v>3315</v>
      </c>
      <c r="J3385" s="331" t="s">
        <v>3588</v>
      </c>
      <c r="K3385" s="256">
        <v>42716</v>
      </c>
      <c r="L3385" s="256"/>
      <c r="M3385" s="256">
        <v>42716</v>
      </c>
      <c r="N3385" s="401" t="s">
        <v>89</v>
      </c>
      <c r="O3385" s="308"/>
      <c r="P3385" s="574" t="s">
        <v>10555</v>
      </c>
      <c r="Q3385" s="972"/>
      <c r="R3385" s="1427"/>
      <c r="S3385" s="1427"/>
      <c r="U3385" s="328"/>
      <c r="V3385" s="318" t="s">
        <v>5896</v>
      </c>
      <c r="W3385" s="747">
        <v>42771</v>
      </c>
      <c r="X3385" s="750">
        <v>42716</v>
      </c>
      <c r="Y3385" s="250" t="s">
        <v>10556</v>
      </c>
      <c r="Z3385" s="996">
        <v>8449</v>
      </c>
      <c r="AA3385" s="256">
        <v>42769</v>
      </c>
      <c r="AB3385" s="308" t="s">
        <v>10557</v>
      </c>
      <c r="AD3385" s="973"/>
      <c r="AE3385" s="974"/>
      <c r="AF3385" s="973"/>
      <c r="AG3385" s="328" t="s">
        <v>283</v>
      </c>
    </row>
    <row r="3386" spans="1:33" ht="15.75" customHeight="1">
      <c r="A3386" s="256">
        <v>42703</v>
      </c>
      <c r="B3386" s="338" t="s">
        <v>4903</v>
      </c>
      <c r="C3386" s="250" t="s">
        <v>5861</v>
      </c>
      <c r="D3386" s="308" t="s">
        <v>10554</v>
      </c>
      <c r="E3386" s="571" t="s">
        <v>5868</v>
      </c>
      <c r="F3386" s="574">
        <v>2</v>
      </c>
      <c r="G3386" s="574">
        <v>49</v>
      </c>
      <c r="H3386" s="265">
        <f t="shared" si="207"/>
        <v>98</v>
      </c>
      <c r="I3386" s="264" t="s">
        <v>3315</v>
      </c>
      <c r="J3386" s="331" t="s">
        <v>3588</v>
      </c>
      <c r="K3386" s="256">
        <v>42716</v>
      </c>
      <c r="L3386" s="256"/>
      <c r="M3386" s="256">
        <v>42716</v>
      </c>
      <c r="N3386" s="401" t="s">
        <v>89</v>
      </c>
      <c r="O3386" s="308"/>
      <c r="P3386" s="574" t="s">
        <v>10555</v>
      </c>
      <c r="Q3386" s="972"/>
      <c r="R3386" s="1427"/>
      <c r="S3386" s="1427"/>
      <c r="U3386" s="328"/>
      <c r="V3386" s="318" t="s">
        <v>5896</v>
      </c>
      <c r="W3386" s="747">
        <v>42771</v>
      </c>
      <c r="X3386" s="750">
        <v>42716</v>
      </c>
      <c r="Y3386" s="250" t="s">
        <v>10556</v>
      </c>
      <c r="Z3386" s="996" t="s">
        <v>10558</v>
      </c>
      <c r="AA3386" s="256">
        <v>42769</v>
      </c>
      <c r="AB3386" s="308" t="s">
        <v>10557</v>
      </c>
      <c r="AD3386" s="973"/>
      <c r="AE3386" s="974"/>
      <c r="AF3386" s="973"/>
      <c r="AG3386" s="328" t="s">
        <v>283</v>
      </c>
    </row>
    <row r="3387" spans="1:33" ht="15.75" customHeight="1">
      <c r="A3387" s="256">
        <v>42704</v>
      </c>
      <c r="B3387" s="250" t="s">
        <v>228</v>
      </c>
      <c r="C3387" s="250"/>
      <c r="D3387" s="328" t="s">
        <v>10559</v>
      </c>
      <c r="E3387" s="328" t="s">
        <v>10560</v>
      </c>
      <c r="F3387" s="574">
        <v>1</v>
      </c>
      <c r="G3387" s="574">
        <v>0</v>
      </c>
      <c r="H3387" s="265">
        <f t="shared" si="207"/>
        <v>0</v>
      </c>
      <c r="I3387" s="264" t="s">
        <v>170</v>
      </c>
      <c r="J3387" s="331"/>
      <c r="K3387" s="623"/>
      <c r="L3387" s="623"/>
      <c r="M3387" s="771"/>
      <c r="N3387" s="401"/>
      <c r="O3387" s="250"/>
      <c r="P3387" s="574"/>
      <c r="Q3387" s="972"/>
      <c r="R3387" s="1427"/>
      <c r="S3387" s="1427"/>
      <c r="U3387" s="328"/>
      <c r="V3387" s="318"/>
      <c r="W3387" s="998"/>
      <c r="X3387" s="750"/>
      <c r="Y3387" s="250"/>
      <c r="Z3387" s="996"/>
      <c r="AA3387" s="985"/>
      <c r="AB3387" s="308"/>
      <c r="AD3387" s="973"/>
      <c r="AE3387" s="974"/>
      <c r="AF3387" s="973"/>
      <c r="AG3387" s="881"/>
    </row>
    <row r="3388" spans="1:33" ht="15.75" customHeight="1">
      <c r="A3388" s="256">
        <v>42704</v>
      </c>
      <c r="B3388" s="250" t="s">
        <v>228</v>
      </c>
      <c r="C3388" s="250"/>
      <c r="D3388" s="328" t="s">
        <v>10559</v>
      </c>
      <c r="E3388" s="328" t="s">
        <v>10561</v>
      </c>
      <c r="F3388" s="574">
        <v>1</v>
      </c>
      <c r="G3388" s="574">
        <v>0</v>
      </c>
      <c r="H3388" s="265">
        <f t="shared" si="207"/>
        <v>0</v>
      </c>
      <c r="I3388" s="264" t="s">
        <v>170</v>
      </c>
      <c r="J3388" s="331"/>
      <c r="K3388" s="623"/>
      <c r="L3388" s="623"/>
      <c r="M3388" s="771"/>
      <c r="N3388" s="401"/>
      <c r="O3388" s="250"/>
      <c r="P3388" s="574"/>
      <c r="Q3388" s="972"/>
      <c r="R3388" s="1427"/>
      <c r="S3388" s="1427"/>
      <c r="U3388" s="328"/>
      <c r="V3388" s="318"/>
      <c r="W3388" s="998"/>
      <c r="X3388" s="750"/>
      <c r="Y3388" s="250"/>
      <c r="Z3388" s="996"/>
      <c r="AA3388" s="985"/>
      <c r="AB3388" s="308"/>
      <c r="AD3388" s="973"/>
      <c r="AE3388" s="974"/>
      <c r="AF3388" s="973"/>
      <c r="AG3388" s="881"/>
    </row>
    <row r="3389" spans="1:33" ht="15.75" customHeight="1">
      <c r="A3389" s="256">
        <v>42704</v>
      </c>
      <c r="B3389" s="338" t="s">
        <v>9650</v>
      </c>
      <c r="C3389" s="250"/>
      <c r="D3389" s="308" t="s">
        <v>10562</v>
      </c>
      <c r="E3389" s="571" t="s">
        <v>10563</v>
      </c>
      <c r="F3389" s="574">
        <v>1</v>
      </c>
      <c r="G3389" s="574">
        <v>140</v>
      </c>
      <c r="H3389" s="265">
        <f t="shared" si="207"/>
        <v>140</v>
      </c>
      <c r="I3389" s="997" t="s">
        <v>3315</v>
      </c>
      <c r="J3389" s="331" t="s">
        <v>5842</v>
      </c>
      <c r="K3389" s="256">
        <v>42719</v>
      </c>
      <c r="L3389" s="256"/>
      <c r="M3389" s="256">
        <v>42718</v>
      </c>
      <c r="N3389" s="331" t="s">
        <v>1414</v>
      </c>
      <c r="O3389" s="250" t="s">
        <v>10564</v>
      </c>
      <c r="P3389" s="574"/>
      <c r="Q3389" s="976">
        <v>4352</v>
      </c>
      <c r="R3389" s="1428"/>
      <c r="S3389" s="1428"/>
      <c r="U3389" s="328"/>
      <c r="V3389" s="318" t="s">
        <v>1947</v>
      </c>
      <c r="W3389" s="747">
        <v>42740</v>
      </c>
      <c r="X3389" s="750">
        <v>42718</v>
      </c>
      <c r="Y3389" s="308" t="s">
        <v>10565</v>
      </c>
      <c r="Z3389" s="996">
        <v>4352</v>
      </c>
      <c r="AA3389" s="256">
        <v>42744</v>
      </c>
      <c r="AB3389" s="308" t="s">
        <v>6356</v>
      </c>
      <c r="AD3389" s="973"/>
      <c r="AE3389" s="974"/>
      <c r="AF3389" s="973"/>
      <c r="AG3389" s="328" t="s">
        <v>283</v>
      </c>
    </row>
    <row r="3390" spans="1:33" ht="15.75" customHeight="1">
      <c r="A3390" s="256">
        <v>42704</v>
      </c>
      <c r="B3390" s="338" t="s">
        <v>9650</v>
      </c>
      <c r="C3390" s="250"/>
      <c r="D3390" s="308" t="s">
        <v>10562</v>
      </c>
      <c r="E3390" s="571" t="s">
        <v>10566</v>
      </c>
      <c r="F3390" s="574">
        <v>1</v>
      </c>
      <c r="G3390" s="574">
        <v>48</v>
      </c>
      <c r="H3390" s="265">
        <f t="shared" si="207"/>
        <v>48</v>
      </c>
      <c r="I3390" s="997" t="s">
        <v>3315</v>
      </c>
      <c r="J3390" s="331" t="s">
        <v>5842</v>
      </c>
      <c r="K3390" s="256">
        <v>42719</v>
      </c>
      <c r="L3390" s="256"/>
      <c r="M3390" s="256">
        <v>42718</v>
      </c>
      <c r="N3390" s="331" t="s">
        <v>1999</v>
      </c>
      <c r="O3390" s="250"/>
      <c r="P3390" s="574"/>
      <c r="Q3390" s="1140">
        <v>1700</v>
      </c>
      <c r="R3390" s="1461"/>
      <c r="S3390" s="1461"/>
      <c r="U3390" s="328"/>
      <c r="V3390" s="318" t="s">
        <v>2000</v>
      </c>
      <c r="W3390" s="747">
        <v>42757</v>
      </c>
      <c r="X3390" s="750">
        <v>42727</v>
      </c>
      <c r="Y3390" s="308" t="s">
        <v>10447</v>
      </c>
      <c r="Z3390" s="264" t="s">
        <v>10448</v>
      </c>
      <c r="AA3390" s="256">
        <v>42754</v>
      </c>
      <c r="AB3390" s="308" t="s">
        <v>6356</v>
      </c>
      <c r="AD3390" s="973"/>
      <c r="AE3390" s="974"/>
      <c r="AF3390" s="973"/>
      <c r="AG3390" s="328" t="s">
        <v>283</v>
      </c>
    </row>
    <row r="3391" spans="1:33" ht="15.75" customHeight="1">
      <c r="A3391" s="256">
        <v>42704</v>
      </c>
      <c r="B3391" s="338" t="s">
        <v>9650</v>
      </c>
      <c r="C3391" s="250"/>
      <c r="D3391" s="308" t="s">
        <v>10562</v>
      </c>
      <c r="E3391" s="571" t="s">
        <v>692</v>
      </c>
      <c r="F3391" s="574">
        <v>1</v>
      </c>
      <c r="G3391" s="574">
        <v>25</v>
      </c>
      <c r="H3391" s="265">
        <f t="shared" si="207"/>
        <v>25</v>
      </c>
      <c r="I3391" s="264" t="s">
        <v>3315</v>
      </c>
      <c r="J3391" s="331" t="s">
        <v>5842</v>
      </c>
      <c r="K3391" s="256">
        <v>42719</v>
      </c>
      <c r="L3391" s="256"/>
      <c r="M3391" s="256">
        <v>42718</v>
      </c>
      <c r="N3391" s="401"/>
      <c r="O3391" s="250"/>
      <c r="P3391" s="574"/>
      <c r="Q3391" s="972"/>
      <c r="R3391" s="1427"/>
      <c r="S3391" s="1427"/>
      <c r="U3391" s="328"/>
      <c r="V3391" s="318"/>
      <c r="W3391" s="998"/>
      <c r="X3391" s="750"/>
      <c r="Y3391" s="250"/>
      <c r="Z3391" s="996"/>
      <c r="AA3391" s="985"/>
      <c r="AB3391" s="308" t="s">
        <v>6356</v>
      </c>
      <c r="AD3391" s="973"/>
      <c r="AE3391" s="974"/>
      <c r="AF3391" s="973"/>
      <c r="AG3391" s="328" t="s">
        <v>283</v>
      </c>
    </row>
    <row r="3392" spans="1:33" ht="15.75" customHeight="1">
      <c r="A3392" s="256">
        <v>42704</v>
      </c>
      <c r="B3392" s="338" t="s">
        <v>9650</v>
      </c>
      <c r="C3392" s="250"/>
      <c r="D3392" s="308" t="s">
        <v>10562</v>
      </c>
      <c r="E3392" s="571" t="s">
        <v>9661</v>
      </c>
      <c r="F3392" s="574">
        <v>1</v>
      </c>
      <c r="G3392" s="574">
        <v>8</v>
      </c>
      <c r="H3392" s="265">
        <f t="shared" si="207"/>
        <v>8</v>
      </c>
      <c r="I3392" s="264" t="s">
        <v>3315</v>
      </c>
      <c r="J3392" s="331" t="s">
        <v>5842</v>
      </c>
      <c r="K3392" s="256">
        <v>42719</v>
      </c>
      <c r="L3392" s="256"/>
      <c r="M3392" s="256">
        <v>42718</v>
      </c>
      <c r="N3392" s="401"/>
      <c r="O3392" s="250"/>
      <c r="P3392" s="574"/>
      <c r="Q3392" s="972"/>
      <c r="R3392" s="1427"/>
      <c r="S3392" s="1427"/>
      <c r="U3392" s="328"/>
      <c r="V3392" s="318"/>
      <c r="W3392" s="998"/>
      <c r="X3392" s="750"/>
      <c r="Y3392" s="250"/>
      <c r="Z3392" s="996"/>
      <c r="AA3392" s="985"/>
      <c r="AB3392" s="308" t="s">
        <v>6356</v>
      </c>
      <c r="AD3392" s="973"/>
      <c r="AE3392" s="974"/>
      <c r="AF3392" s="973"/>
      <c r="AG3392" s="328" t="s">
        <v>283</v>
      </c>
    </row>
    <row r="3393" spans="1:33" ht="15.75" customHeight="1">
      <c r="A3393" s="755">
        <v>42705</v>
      </c>
      <c r="B3393" s="338" t="s">
        <v>100</v>
      </c>
      <c r="C3393" s="263" t="s">
        <v>10567</v>
      </c>
      <c r="D3393" s="308" t="s">
        <v>10568</v>
      </c>
      <c r="E3393" s="571" t="s">
        <v>6650</v>
      </c>
      <c r="F3393" s="574">
        <v>5</v>
      </c>
      <c r="G3393" s="574">
        <v>399</v>
      </c>
      <c r="H3393" s="47">
        <f t="shared" si="207"/>
        <v>1995</v>
      </c>
      <c r="I3393" s="264" t="s">
        <v>3315</v>
      </c>
      <c r="J3393" s="331" t="s">
        <v>5842</v>
      </c>
      <c r="K3393" s="256">
        <v>42719</v>
      </c>
      <c r="L3393" s="256"/>
      <c r="M3393" s="256">
        <v>42716</v>
      </c>
      <c r="N3393" s="401" t="s">
        <v>6651</v>
      </c>
      <c r="O3393" s="250" t="s">
        <v>10569</v>
      </c>
      <c r="P3393" s="574"/>
      <c r="Q3393" s="976">
        <v>56700</v>
      </c>
      <c r="R3393" s="1428"/>
      <c r="S3393" s="1428"/>
      <c r="U3393" s="328"/>
      <c r="V3393" s="308" t="s">
        <v>6653</v>
      </c>
      <c r="W3393" s="747">
        <v>42712</v>
      </c>
      <c r="X3393" s="750">
        <v>42713</v>
      </c>
      <c r="Y3393" s="250" t="s">
        <v>10570</v>
      </c>
      <c r="Z3393" s="996">
        <v>56700</v>
      </c>
      <c r="AA3393" s="256">
        <v>42712</v>
      </c>
      <c r="AB3393" s="308" t="s">
        <v>10571</v>
      </c>
      <c r="AD3393" s="973"/>
      <c r="AE3393" s="974"/>
      <c r="AF3393" s="973"/>
      <c r="AG3393" s="881" t="s">
        <v>283</v>
      </c>
    </row>
    <row r="3394" spans="1:33" ht="15.75" customHeight="1">
      <c r="A3394" s="755">
        <v>42705</v>
      </c>
      <c r="B3394" s="338" t="s">
        <v>3709</v>
      </c>
      <c r="C3394" s="263" t="s">
        <v>10572</v>
      </c>
      <c r="D3394" s="308" t="s">
        <v>10573</v>
      </c>
      <c r="E3394" s="571" t="s">
        <v>8512</v>
      </c>
      <c r="F3394" s="574">
        <v>2</v>
      </c>
      <c r="G3394" s="574">
        <v>97</v>
      </c>
      <c r="H3394" s="1153">
        <f t="shared" si="207"/>
        <v>194</v>
      </c>
      <c r="I3394" s="264" t="s">
        <v>3712</v>
      </c>
      <c r="J3394" s="401" t="s">
        <v>6020</v>
      </c>
      <c r="K3394" s="256">
        <v>42716</v>
      </c>
      <c r="L3394" s="256"/>
      <c r="M3394" s="264" t="s">
        <v>10574</v>
      </c>
      <c r="N3394" s="401" t="s">
        <v>89</v>
      </c>
      <c r="O3394" s="250" t="s">
        <v>10575</v>
      </c>
      <c r="P3394" s="574">
        <v>172.2</v>
      </c>
      <c r="Q3394" s="972"/>
      <c r="R3394" s="1427"/>
      <c r="S3394" s="1427"/>
      <c r="U3394" s="328"/>
      <c r="V3394" s="318" t="s">
        <v>5896</v>
      </c>
      <c r="W3394" s="747">
        <v>42771</v>
      </c>
      <c r="X3394" s="250" t="s">
        <v>10576</v>
      </c>
      <c r="Y3394" s="250" t="s">
        <v>10577</v>
      </c>
      <c r="Z3394" s="996" t="s">
        <v>10578</v>
      </c>
      <c r="AA3394" s="256">
        <v>42724</v>
      </c>
      <c r="AB3394" s="308" t="s">
        <v>10579</v>
      </c>
      <c r="AD3394" s="973"/>
      <c r="AE3394" s="974"/>
      <c r="AF3394" s="973"/>
      <c r="AG3394" s="328" t="s">
        <v>283</v>
      </c>
    </row>
    <row r="3395" spans="1:33" ht="28.5" customHeight="1">
      <c r="A3395" s="256">
        <v>42710</v>
      </c>
      <c r="B3395" s="338" t="s">
        <v>5981</v>
      </c>
      <c r="C3395" s="250">
        <v>7000125991</v>
      </c>
      <c r="D3395" s="308" t="s">
        <v>10580</v>
      </c>
      <c r="E3395" s="571" t="s">
        <v>10581</v>
      </c>
      <c r="F3395" s="752">
        <v>2</v>
      </c>
      <c r="G3395" s="574">
        <v>467</v>
      </c>
      <c r="H3395" s="47">
        <f t="shared" si="207"/>
        <v>934</v>
      </c>
      <c r="I3395" s="264" t="s">
        <v>42</v>
      </c>
      <c r="J3395" s="756" t="s">
        <v>3462</v>
      </c>
      <c r="K3395" s="256">
        <v>42726</v>
      </c>
      <c r="L3395" s="256"/>
      <c r="M3395" s="256">
        <v>42727</v>
      </c>
      <c r="N3395" s="264" t="s">
        <v>3432</v>
      </c>
      <c r="O3395" s="250" t="s">
        <v>10582</v>
      </c>
      <c r="P3395" s="574"/>
      <c r="Q3395" s="976">
        <v>28224</v>
      </c>
      <c r="R3395" s="1428"/>
      <c r="S3395" s="1428"/>
      <c r="U3395" s="328"/>
      <c r="V3395" s="308" t="s">
        <v>5937</v>
      </c>
      <c r="W3395" s="747">
        <v>42771</v>
      </c>
      <c r="X3395" s="750">
        <v>42725</v>
      </c>
      <c r="Y3395" s="250" t="s">
        <v>10583</v>
      </c>
      <c r="Z3395" s="996">
        <v>28224</v>
      </c>
      <c r="AA3395" s="256">
        <v>42755</v>
      </c>
      <c r="AB3395" s="308" t="s">
        <v>10584</v>
      </c>
      <c r="AD3395" s="973"/>
      <c r="AE3395" s="974"/>
      <c r="AF3395" s="973"/>
      <c r="AG3395" s="251" t="s">
        <v>283</v>
      </c>
    </row>
    <row r="3396" spans="1:33" ht="15.75" customHeight="1" collapsed="1">
      <c r="A3396" s="256">
        <v>42710</v>
      </c>
      <c r="B3396" s="338" t="s">
        <v>5981</v>
      </c>
      <c r="C3396" s="250">
        <v>7000125991</v>
      </c>
      <c r="D3396" s="308" t="s">
        <v>10580</v>
      </c>
      <c r="E3396" s="571" t="s">
        <v>6404</v>
      </c>
      <c r="F3396" s="752">
        <v>5</v>
      </c>
      <c r="G3396" s="574">
        <v>116</v>
      </c>
      <c r="H3396" s="47">
        <f t="shared" si="207"/>
        <v>580</v>
      </c>
      <c r="I3396" s="264" t="s">
        <v>42</v>
      </c>
      <c r="J3396" s="756" t="s">
        <v>3462</v>
      </c>
      <c r="K3396" s="256">
        <v>42716</v>
      </c>
      <c r="L3396" s="256"/>
      <c r="M3396" s="256">
        <v>42713</v>
      </c>
      <c r="N3396" s="401" t="s">
        <v>5935</v>
      </c>
      <c r="O3396" s="250" t="s">
        <v>10585</v>
      </c>
      <c r="P3396" s="574"/>
      <c r="Q3396" s="976">
        <v>17005</v>
      </c>
      <c r="R3396" s="1428"/>
      <c r="S3396" s="1428"/>
      <c r="U3396" s="328"/>
      <c r="V3396" s="308" t="s">
        <v>5937</v>
      </c>
      <c r="W3396" s="747">
        <v>42771</v>
      </c>
      <c r="X3396" s="750">
        <v>42712</v>
      </c>
      <c r="Y3396" s="250" t="s">
        <v>10586</v>
      </c>
      <c r="Z3396" s="996">
        <v>17005</v>
      </c>
      <c r="AA3396" s="256">
        <v>42755</v>
      </c>
      <c r="AB3396" s="308" t="s">
        <v>10485</v>
      </c>
      <c r="AD3396" s="973"/>
      <c r="AE3396" s="974"/>
      <c r="AF3396" s="973"/>
      <c r="AG3396" s="251" t="s">
        <v>283</v>
      </c>
    </row>
    <row r="3397" spans="1:33" ht="15.75" hidden="1" customHeight="1" outlineLevel="1">
      <c r="A3397" s="289">
        <v>42710</v>
      </c>
      <c r="B3397" s="765" t="s">
        <v>5981</v>
      </c>
      <c r="C3397" s="274">
        <v>7000125991</v>
      </c>
      <c r="D3397" s="777" t="s">
        <v>10580</v>
      </c>
      <c r="E3397" s="1115" t="s">
        <v>10587</v>
      </c>
      <c r="F3397" s="909">
        <v>1</v>
      </c>
      <c r="G3397" s="837"/>
      <c r="H3397" s="1159"/>
      <c r="I3397" s="776" t="s">
        <v>42</v>
      </c>
      <c r="J3397" s="281" t="s">
        <v>70</v>
      </c>
      <c r="K3397" s="776" t="s">
        <v>70</v>
      </c>
      <c r="L3397" s="776"/>
      <c r="M3397" s="816"/>
      <c r="N3397" s="776" t="s">
        <v>3432</v>
      </c>
      <c r="O3397" s="274"/>
      <c r="P3397" s="837"/>
      <c r="Q3397" s="988"/>
      <c r="R3397" s="1430"/>
      <c r="S3397" s="1430"/>
      <c r="U3397" s="575"/>
      <c r="V3397" s="777" t="s">
        <v>5937</v>
      </c>
      <c r="W3397" s="995"/>
      <c r="X3397" s="1160"/>
      <c r="Y3397" s="274"/>
      <c r="Z3397" s="1161"/>
      <c r="AA3397" s="991"/>
      <c r="AB3397" s="777"/>
      <c r="AD3397" s="986"/>
      <c r="AE3397" s="987"/>
      <c r="AF3397" s="986"/>
      <c r="AG3397" s="1162"/>
    </row>
    <row r="3398" spans="1:33" ht="15.75" customHeight="1">
      <c r="A3398" s="755">
        <v>42710</v>
      </c>
      <c r="B3398" s="338" t="s">
        <v>53</v>
      </c>
      <c r="C3398" s="263" t="s">
        <v>10588</v>
      </c>
      <c r="D3398" s="308" t="s">
        <v>10589</v>
      </c>
      <c r="E3398" s="571" t="s">
        <v>3632</v>
      </c>
      <c r="F3398" s="752">
        <v>5</v>
      </c>
      <c r="G3398" s="252">
        <v>150.15</v>
      </c>
      <c r="H3398" s="47">
        <f t="shared" ref="H3398:H3421" si="208">G3398*F3398</f>
        <v>750.75</v>
      </c>
      <c r="I3398" s="264" t="s">
        <v>8429</v>
      </c>
      <c r="J3398" s="331" t="s">
        <v>89</v>
      </c>
      <c r="K3398" s="256">
        <v>42716</v>
      </c>
      <c r="L3398" s="256"/>
      <c r="M3398" s="771"/>
      <c r="N3398" s="401" t="s">
        <v>89</v>
      </c>
      <c r="O3398" s="250" t="s">
        <v>10590</v>
      </c>
      <c r="P3398" s="574">
        <v>672</v>
      </c>
      <c r="Q3398" s="972"/>
      <c r="R3398" s="1427"/>
      <c r="S3398" s="1427"/>
      <c r="U3398" s="328"/>
      <c r="V3398" s="318" t="s">
        <v>5896</v>
      </c>
      <c r="W3398" s="747">
        <v>42771</v>
      </c>
      <c r="X3398" s="750">
        <v>42718</v>
      </c>
      <c r="Y3398" s="308" t="s">
        <v>10591</v>
      </c>
      <c r="Z3398" s="996">
        <v>21457</v>
      </c>
      <c r="AA3398" s="256">
        <v>42724</v>
      </c>
      <c r="AB3398" s="308" t="s">
        <v>10592</v>
      </c>
      <c r="AD3398" s="308" t="s">
        <v>10593</v>
      </c>
      <c r="AE3398" s="630">
        <v>23919</v>
      </c>
      <c r="AF3398" s="308" t="s">
        <v>10545</v>
      </c>
      <c r="AG3398" s="881"/>
    </row>
    <row r="3399" spans="1:33" ht="15.75" customHeight="1">
      <c r="A3399" s="755">
        <v>42710</v>
      </c>
      <c r="B3399" s="338" t="s">
        <v>629</v>
      </c>
      <c r="C3399" s="263" t="s">
        <v>10594</v>
      </c>
      <c r="D3399" s="308" t="s">
        <v>10595</v>
      </c>
      <c r="E3399" s="338" t="s">
        <v>4107</v>
      </c>
      <c r="F3399" s="574">
        <v>10</v>
      </c>
      <c r="G3399" s="464">
        <v>164.85</v>
      </c>
      <c r="H3399" s="47">
        <f t="shared" si="208"/>
        <v>1648.5</v>
      </c>
      <c r="I3399" s="264" t="s">
        <v>170</v>
      </c>
      <c r="J3399" s="331" t="s">
        <v>5956</v>
      </c>
      <c r="K3399" s="256">
        <v>42726</v>
      </c>
      <c r="L3399" s="256"/>
      <c r="M3399" s="256">
        <v>42725</v>
      </c>
      <c r="N3399" s="401" t="s">
        <v>2212</v>
      </c>
      <c r="O3399" s="250" t="s">
        <v>10596</v>
      </c>
      <c r="P3399" s="574"/>
      <c r="Q3399" s="976">
        <v>50925</v>
      </c>
      <c r="R3399" s="1428"/>
      <c r="S3399" s="1428"/>
      <c r="U3399" s="328"/>
      <c r="V3399" s="318" t="s">
        <v>2214</v>
      </c>
      <c r="W3399" s="789">
        <v>42718</v>
      </c>
      <c r="X3399" s="750">
        <v>42725</v>
      </c>
      <c r="Y3399" s="308" t="s">
        <v>10597</v>
      </c>
      <c r="Z3399" s="996">
        <v>50925</v>
      </c>
      <c r="AA3399" s="256">
        <v>42718</v>
      </c>
      <c r="AB3399" s="308" t="s">
        <v>10598</v>
      </c>
      <c r="AD3399" s="308" t="s">
        <v>10599</v>
      </c>
      <c r="AE3399" s="630">
        <v>52760</v>
      </c>
      <c r="AF3399" s="308" t="s">
        <v>10600</v>
      </c>
      <c r="AG3399" s="881"/>
    </row>
    <row r="3400" spans="1:33" ht="15.75" customHeight="1">
      <c r="A3400" s="256">
        <v>42711</v>
      </c>
      <c r="B3400" s="338" t="s">
        <v>3347</v>
      </c>
      <c r="C3400" s="263"/>
      <c r="D3400" s="308" t="s">
        <v>10601</v>
      </c>
      <c r="E3400" s="257" t="s">
        <v>10602</v>
      </c>
      <c r="F3400" s="574">
        <v>1</v>
      </c>
      <c r="G3400" s="574">
        <v>0</v>
      </c>
      <c r="H3400" s="47">
        <f t="shared" si="208"/>
        <v>0</v>
      </c>
      <c r="I3400" s="264" t="s">
        <v>170</v>
      </c>
      <c r="J3400" s="401" t="s">
        <v>10424</v>
      </c>
      <c r="K3400" s="865">
        <v>42719</v>
      </c>
      <c r="L3400" s="865"/>
      <c r="M3400" s="771"/>
      <c r="N3400" s="401" t="s">
        <v>9621</v>
      </c>
      <c r="O3400" s="250"/>
      <c r="P3400" s="574"/>
      <c r="Q3400" s="1151" t="s">
        <v>10425</v>
      </c>
      <c r="R3400" s="1465"/>
      <c r="S3400" s="1465"/>
      <c r="U3400" s="328"/>
      <c r="V3400" s="308"/>
      <c r="W3400" s="998"/>
      <c r="X3400" s="750">
        <v>42719</v>
      </c>
      <c r="Y3400" s="250" t="s">
        <v>9618</v>
      </c>
      <c r="Z3400" s="1151" t="s">
        <v>10425</v>
      </c>
      <c r="AA3400" s="985"/>
      <c r="AB3400" s="308"/>
      <c r="AD3400" s="973"/>
      <c r="AE3400" s="974"/>
      <c r="AF3400" s="973"/>
      <c r="AG3400" s="881"/>
    </row>
    <row r="3401" spans="1:33" ht="15.75" customHeight="1">
      <c r="A3401" s="755">
        <v>42711</v>
      </c>
      <c r="B3401" s="338" t="s">
        <v>100</v>
      </c>
      <c r="C3401" s="263"/>
      <c r="D3401" s="308" t="s">
        <v>10603</v>
      </c>
      <c r="E3401" s="571" t="s">
        <v>10604</v>
      </c>
      <c r="F3401" s="574">
        <v>1</v>
      </c>
      <c r="G3401" s="574">
        <v>100</v>
      </c>
      <c r="H3401" s="47">
        <f t="shared" si="208"/>
        <v>100</v>
      </c>
      <c r="I3401" s="264" t="s">
        <v>3315</v>
      </c>
      <c r="J3401" s="331" t="s">
        <v>10468</v>
      </c>
      <c r="K3401" s="256">
        <v>42716</v>
      </c>
      <c r="L3401" s="256"/>
      <c r="M3401" s="771"/>
      <c r="N3401" s="331" t="s">
        <v>920</v>
      </c>
      <c r="O3401" s="250"/>
      <c r="P3401" s="574"/>
      <c r="Q3401" s="831" t="s">
        <v>10605</v>
      </c>
      <c r="R3401" s="1465"/>
      <c r="S3401" s="1465"/>
      <c r="U3401" s="328"/>
      <c r="V3401" s="308"/>
      <c r="W3401" s="998"/>
      <c r="X3401" s="750">
        <v>42727</v>
      </c>
      <c r="Y3401" s="308" t="s">
        <v>10505</v>
      </c>
      <c r="Z3401" s="264" t="s">
        <v>10606</v>
      </c>
      <c r="AA3401" s="256">
        <v>42740</v>
      </c>
      <c r="AB3401" s="308" t="s">
        <v>10472</v>
      </c>
      <c r="AD3401" s="973"/>
      <c r="AE3401" s="974"/>
      <c r="AF3401" s="973"/>
      <c r="AG3401" s="386" t="s">
        <v>283</v>
      </c>
    </row>
    <row r="3402" spans="1:33" ht="15.75" customHeight="1">
      <c r="A3402" s="755">
        <v>42711</v>
      </c>
      <c r="B3402" s="338" t="s">
        <v>325</v>
      </c>
      <c r="C3402" s="263">
        <v>1607559</v>
      </c>
      <c r="D3402" s="308" t="s">
        <v>10607</v>
      </c>
      <c r="E3402" s="571" t="s">
        <v>10608</v>
      </c>
      <c r="F3402" s="574">
        <v>1</v>
      </c>
      <c r="G3402" s="574">
        <f>235</f>
        <v>235</v>
      </c>
      <c r="H3402" s="47">
        <f t="shared" si="208"/>
        <v>235</v>
      </c>
      <c r="I3402" s="264" t="s">
        <v>3315</v>
      </c>
      <c r="J3402" s="331" t="s">
        <v>3613</v>
      </c>
      <c r="K3402" s="256">
        <v>42719</v>
      </c>
      <c r="L3402" s="256"/>
      <c r="M3402" s="256">
        <v>42717</v>
      </c>
      <c r="N3402" s="401" t="s">
        <v>5935</v>
      </c>
      <c r="O3402" s="250" t="s">
        <v>10609</v>
      </c>
      <c r="P3402" s="574"/>
      <c r="Q3402" s="976">
        <v>7056</v>
      </c>
      <c r="R3402" s="1428"/>
      <c r="S3402" s="1428"/>
      <c r="U3402" s="328"/>
      <c r="V3402" s="308" t="s">
        <v>5937</v>
      </c>
      <c r="W3402" s="747">
        <v>42771</v>
      </c>
      <c r="X3402" s="750">
        <v>42716</v>
      </c>
      <c r="Y3402" s="250" t="s">
        <v>10610</v>
      </c>
      <c r="Z3402" s="996">
        <v>7056</v>
      </c>
      <c r="AA3402" s="256">
        <v>42755</v>
      </c>
      <c r="AB3402" s="308" t="s">
        <v>10495</v>
      </c>
      <c r="AD3402" s="973"/>
      <c r="AE3402" s="974"/>
      <c r="AF3402" s="973"/>
      <c r="AG3402" s="881" t="s">
        <v>283</v>
      </c>
    </row>
    <row r="3403" spans="1:33" ht="15.75" customHeight="1">
      <c r="A3403" s="256">
        <v>42716</v>
      </c>
      <c r="B3403" s="338" t="s">
        <v>5981</v>
      </c>
      <c r="C3403" s="250">
        <v>7000126161</v>
      </c>
      <c r="D3403" s="308" t="s">
        <v>10611</v>
      </c>
      <c r="E3403" s="571" t="s">
        <v>6667</v>
      </c>
      <c r="F3403" s="574">
        <v>1</v>
      </c>
      <c r="G3403" s="574">
        <v>262</v>
      </c>
      <c r="H3403" s="47">
        <f t="shared" si="208"/>
        <v>262</v>
      </c>
      <c r="I3403" s="264" t="s">
        <v>42</v>
      </c>
      <c r="J3403" s="756" t="s">
        <v>3462</v>
      </c>
      <c r="K3403" s="256">
        <v>42724</v>
      </c>
      <c r="L3403" s="256"/>
      <c r="M3403" s="256">
        <v>42724</v>
      </c>
      <c r="N3403" s="264" t="s">
        <v>3432</v>
      </c>
      <c r="O3403" s="250" t="s">
        <v>10612</v>
      </c>
      <c r="P3403" s="574"/>
      <c r="Q3403" s="976">
        <v>7930</v>
      </c>
      <c r="R3403" s="1428"/>
      <c r="S3403" s="1428"/>
      <c r="U3403" s="328"/>
      <c r="V3403" s="308" t="s">
        <v>5937</v>
      </c>
      <c r="W3403" s="747">
        <v>42771</v>
      </c>
      <c r="X3403" s="750">
        <v>42719</v>
      </c>
      <c r="Y3403" s="250" t="s">
        <v>10613</v>
      </c>
      <c r="Z3403" s="996">
        <v>7930</v>
      </c>
      <c r="AA3403" s="256">
        <v>42755</v>
      </c>
      <c r="AB3403" s="308" t="s">
        <v>10614</v>
      </c>
      <c r="AD3403" s="973"/>
      <c r="AE3403" s="974"/>
      <c r="AF3403" s="973"/>
      <c r="AG3403" s="251" t="s">
        <v>283</v>
      </c>
    </row>
    <row r="3404" spans="1:33" ht="15.75" customHeight="1">
      <c r="A3404" s="755">
        <v>42717</v>
      </c>
      <c r="B3404" s="338" t="s">
        <v>76</v>
      </c>
      <c r="C3404" s="250">
        <v>1087</v>
      </c>
      <c r="D3404" s="308" t="s">
        <v>10615</v>
      </c>
      <c r="E3404" s="571" t="s">
        <v>9077</v>
      </c>
      <c r="F3404" s="752">
        <v>15</v>
      </c>
      <c r="G3404" s="752">
        <v>285</v>
      </c>
      <c r="H3404" s="35">
        <f t="shared" si="208"/>
        <v>4275</v>
      </c>
      <c r="I3404" s="264" t="s">
        <v>170</v>
      </c>
      <c r="J3404" s="267" t="s">
        <v>315</v>
      </c>
      <c r="K3404" s="256">
        <v>42726</v>
      </c>
      <c r="L3404" s="256"/>
      <c r="M3404" s="256">
        <v>42724</v>
      </c>
      <c r="N3404" s="264" t="s">
        <v>1967</v>
      </c>
      <c r="O3404" s="250" t="s">
        <v>10616</v>
      </c>
      <c r="P3404" s="752">
        <v>3937.5</v>
      </c>
      <c r="Q3404" s="972"/>
      <c r="R3404" s="1427"/>
      <c r="S3404" s="1427"/>
      <c r="U3404" s="328"/>
      <c r="V3404" s="1082" t="s">
        <v>10307</v>
      </c>
      <c r="W3404" s="747">
        <v>42771</v>
      </c>
      <c r="X3404" s="750">
        <v>42723</v>
      </c>
      <c r="Y3404" s="250" t="s">
        <v>10617</v>
      </c>
      <c r="Z3404" s="996">
        <v>125843</v>
      </c>
      <c r="AA3404" s="256">
        <v>42807</v>
      </c>
      <c r="AB3404" s="308" t="s">
        <v>10618</v>
      </c>
      <c r="AD3404" s="973"/>
      <c r="AE3404" s="974"/>
      <c r="AF3404" s="973"/>
      <c r="AG3404" s="328" t="s">
        <v>283</v>
      </c>
    </row>
    <row r="3405" spans="1:33" ht="15.75" customHeight="1">
      <c r="A3405" s="755">
        <v>42717</v>
      </c>
      <c r="B3405" s="338" t="s">
        <v>100</v>
      </c>
      <c r="C3405" s="250"/>
      <c r="D3405" s="308" t="s">
        <v>10619</v>
      </c>
      <c r="E3405" s="571" t="s">
        <v>10620</v>
      </c>
      <c r="F3405" s="574">
        <v>1</v>
      </c>
      <c r="G3405" s="574">
        <v>268</v>
      </c>
      <c r="H3405" s="47">
        <f t="shared" si="208"/>
        <v>268</v>
      </c>
      <c r="I3405" s="264" t="s">
        <v>3315</v>
      </c>
      <c r="J3405" s="331" t="s">
        <v>5842</v>
      </c>
      <c r="K3405" s="256">
        <v>42719</v>
      </c>
      <c r="L3405" s="256"/>
      <c r="M3405" s="771"/>
      <c r="N3405" s="331" t="s">
        <v>1999</v>
      </c>
      <c r="O3405" s="250"/>
      <c r="P3405" s="574"/>
      <c r="Q3405" s="1140">
        <v>7701</v>
      </c>
      <c r="R3405" s="1461"/>
      <c r="S3405" s="1461"/>
      <c r="U3405" s="328"/>
      <c r="V3405" s="318" t="s">
        <v>2000</v>
      </c>
      <c r="W3405" s="747">
        <v>42757</v>
      </c>
      <c r="X3405" s="750">
        <v>42727</v>
      </c>
      <c r="Y3405" s="308" t="s">
        <v>10447</v>
      </c>
      <c r="Z3405" s="996">
        <v>16839</v>
      </c>
      <c r="AA3405" s="256">
        <v>42754</v>
      </c>
      <c r="AB3405" s="308" t="s">
        <v>10571</v>
      </c>
      <c r="AD3405" s="973"/>
      <c r="AE3405" s="974"/>
      <c r="AF3405" s="973"/>
      <c r="AG3405" s="881" t="s">
        <v>283</v>
      </c>
    </row>
    <row r="3406" spans="1:33" ht="15.75" customHeight="1">
      <c r="A3406" s="755">
        <v>42718</v>
      </c>
      <c r="B3406" s="338" t="s">
        <v>6626</v>
      </c>
      <c r="C3406" s="250"/>
      <c r="D3406" s="308" t="s">
        <v>10621</v>
      </c>
      <c r="E3406" s="571" t="s">
        <v>7360</v>
      </c>
      <c r="F3406" s="574">
        <v>20</v>
      </c>
      <c r="G3406" s="574">
        <v>107</v>
      </c>
      <c r="H3406" s="265">
        <f t="shared" si="208"/>
        <v>2140</v>
      </c>
      <c r="I3406" s="264" t="s">
        <v>3315</v>
      </c>
      <c r="J3406" s="331" t="s">
        <v>5189</v>
      </c>
      <c r="K3406" s="256">
        <v>42731</v>
      </c>
      <c r="L3406" s="256"/>
      <c r="M3406" s="256">
        <v>42731</v>
      </c>
      <c r="N3406" s="401" t="s">
        <v>89</v>
      </c>
      <c r="O3406" s="250" t="s">
        <v>10621</v>
      </c>
      <c r="P3406" s="574">
        <v>2016</v>
      </c>
      <c r="Q3406" s="972"/>
      <c r="R3406" s="1427"/>
      <c r="S3406" s="1427"/>
      <c r="U3406" s="328"/>
      <c r="V3406" s="318" t="s">
        <v>5896</v>
      </c>
      <c r="W3406" s="747">
        <v>42799</v>
      </c>
      <c r="X3406" s="750">
        <v>42730</v>
      </c>
      <c r="Y3406" s="250" t="s">
        <v>10622</v>
      </c>
      <c r="Z3406" s="996">
        <v>64230</v>
      </c>
      <c r="AA3406" s="256">
        <v>42801</v>
      </c>
      <c r="AB3406" s="308" t="s">
        <v>10623</v>
      </c>
      <c r="AD3406" s="973"/>
      <c r="AE3406" s="974"/>
      <c r="AF3406" s="973"/>
      <c r="AG3406" s="328" t="s">
        <v>283</v>
      </c>
    </row>
    <row r="3407" spans="1:33" ht="15.75" customHeight="1">
      <c r="A3407" s="755">
        <v>42723</v>
      </c>
      <c r="B3407" s="338" t="s">
        <v>5981</v>
      </c>
      <c r="C3407" s="250">
        <v>7000126291</v>
      </c>
      <c r="D3407" s="308" t="s">
        <v>10624</v>
      </c>
      <c r="E3407" s="571" t="s">
        <v>3515</v>
      </c>
      <c r="F3407" s="574">
        <v>1</v>
      </c>
      <c r="G3407" s="574">
        <v>46</v>
      </c>
      <c r="H3407" s="47">
        <f t="shared" si="208"/>
        <v>46</v>
      </c>
      <c r="I3407" s="264" t="s">
        <v>42</v>
      </c>
      <c r="J3407" s="756" t="s">
        <v>3462</v>
      </c>
      <c r="K3407" s="256">
        <v>42726</v>
      </c>
      <c r="L3407" s="256"/>
      <c r="M3407" s="256">
        <v>42726</v>
      </c>
      <c r="N3407" s="264" t="s">
        <v>3432</v>
      </c>
      <c r="O3407" s="250" t="s">
        <v>10625</v>
      </c>
      <c r="P3407" s="574"/>
      <c r="Q3407" s="976">
        <v>1342</v>
      </c>
      <c r="R3407" s="1428"/>
      <c r="S3407" s="1428"/>
      <c r="U3407" s="328"/>
      <c r="V3407" s="308" t="s">
        <v>5937</v>
      </c>
      <c r="W3407" s="747">
        <v>42771</v>
      </c>
      <c r="X3407" s="750">
        <v>42724</v>
      </c>
      <c r="Y3407" s="250" t="s">
        <v>10626</v>
      </c>
      <c r="Z3407" s="996">
        <v>21670</v>
      </c>
      <c r="AA3407" s="256">
        <v>42755</v>
      </c>
      <c r="AB3407" s="308" t="s">
        <v>10584</v>
      </c>
      <c r="AD3407" s="973"/>
      <c r="AE3407" s="974"/>
      <c r="AF3407" s="973"/>
      <c r="AG3407" s="251" t="s">
        <v>283</v>
      </c>
    </row>
    <row r="3408" spans="1:33" ht="15.75" customHeight="1">
      <c r="A3408" s="755">
        <v>42723</v>
      </c>
      <c r="B3408" s="338" t="s">
        <v>5981</v>
      </c>
      <c r="C3408" s="250">
        <v>7000126291</v>
      </c>
      <c r="D3408" s="308" t="s">
        <v>10624</v>
      </c>
      <c r="E3408" s="571" t="s">
        <v>3559</v>
      </c>
      <c r="F3408" s="574">
        <v>2</v>
      </c>
      <c r="G3408" s="574">
        <v>4.5</v>
      </c>
      <c r="H3408" s="265">
        <f t="shared" si="208"/>
        <v>9</v>
      </c>
      <c r="I3408" s="264" t="s">
        <v>42</v>
      </c>
      <c r="J3408" s="756" t="s">
        <v>3462</v>
      </c>
      <c r="K3408" s="256">
        <v>42726</v>
      </c>
      <c r="L3408" s="256"/>
      <c r="M3408" s="256">
        <v>42726</v>
      </c>
      <c r="N3408" s="264" t="s">
        <v>3432</v>
      </c>
      <c r="O3408" s="250" t="s">
        <v>10625</v>
      </c>
      <c r="P3408" s="574"/>
      <c r="Q3408" s="571">
        <v>210</v>
      </c>
      <c r="R3408" s="1458"/>
      <c r="S3408" s="1458"/>
      <c r="U3408" s="328"/>
      <c r="V3408" s="308" t="s">
        <v>5937</v>
      </c>
      <c r="W3408" s="747">
        <v>42771</v>
      </c>
      <c r="X3408" s="750">
        <v>42724</v>
      </c>
      <c r="Y3408" s="250" t="s">
        <v>10626</v>
      </c>
      <c r="Z3408" s="996" t="s">
        <v>10627</v>
      </c>
      <c r="AA3408" s="256">
        <v>42755</v>
      </c>
      <c r="AB3408" s="308" t="s">
        <v>10584</v>
      </c>
      <c r="AD3408" s="973"/>
      <c r="AE3408" s="974"/>
      <c r="AF3408" s="973"/>
      <c r="AG3408" s="251" t="s">
        <v>283</v>
      </c>
    </row>
    <row r="3409" spans="1:33" ht="15.75" customHeight="1">
      <c r="A3409" s="755">
        <v>42723</v>
      </c>
      <c r="B3409" s="338" t="s">
        <v>5981</v>
      </c>
      <c r="C3409" s="250">
        <v>7000126291</v>
      </c>
      <c r="D3409" s="308" t="s">
        <v>10624</v>
      </c>
      <c r="E3409" s="571" t="s">
        <v>3567</v>
      </c>
      <c r="F3409" s="574">
        <v>2</v>
      </c>
      <c r="G3409" s="574">
        <v>37</v>
      </c>
      <c r="H3409" s="265">
        <f t="shared" si="208"/>
        <v>74</v>
      </c>
      <c r="I3409" s="264" t="s">
        <v>42</v>
      </c>
      <c r="J3409" s="756" t="s">
        <v>3462</v>
      </c>
      <c r="K3409" s="256">
        <v>42726</v>
      </c>
      <c r="L3409" s="256"/>
      <c r="M3409" s="256">
        <v>42726</v>
      </c>
      <c r="N3409" s="264" t="s">
        <v>3432</v>
      </c>
      <c r="O3409" s="250" t="s">
        <v>10625</v>
      </c>
      <c r="P3409" s="574"/>
      <c r="Q3409" s="976">
        <v>2188</v>
      </c>
      <c r="R3409" s="1428"/>
      <c r="S3409" s="1428"/>
      <c r="U3409" s="328"/>
      <c r="V3409" s="308" t="s">
        <v>5937</v>
      </c>
      <c r="W3409" s="747">
        <v>42771</v>
      </c>
      <c r="X3409" s="750">
        <v>42724</v>
      </c>
      <c r="Y3409" s="250" t="s">
        <v>10626</v>
      </c>
      <c r="Z3409" s="996" t="s">
        <v>10627</v>
      </c>
      <c r="AA3409" s="256">
        <v>42755</v>
      </c>
      <c r="AB3409" s="308" t="s">
        <v>10584</v>
      </c>
      <c r="AD3409" s="973"/>
      <c r="AE3409" s="974"/>
      <c r="AF3409" s="973"/>
      <c r="AG3409" s="251" t="s">
        <v>283</v>
      </c>
    </row>
    <row r="3410" spans="1:33" ht="15.75" customHeight="1">
      <c r="A3410" s="755">
        <v>42723</v>
      </c>
      <c r="B3410" s="338" t="s">
        <v>5981</v>
      </c>
      <c r="C3410" s="250">
        <v>7000126291</v>
      </c>
      <c r="D3410" s="308" t="s">
        <v>10624</v>
      </c>
      <c r="E3410" s="571" t="s">
        <v>3563</v>
      </c>
      <c r="F3410" s="574">
        <v>2</v>
      </c>
      <c r="G3410" s="574">
        <v>8.5</v>
      </c>
      <c r="H3410" s="265">
        <f t="shared" si="208"/>
        <v>17</v>
      </c>
      <c r="I3410" s="264" t="s">
        <v>42</v>
      </c>
      <c r="J3410" s="756" t="s">
        <v>3462</v>
      </c>
      <c r="K3410" s="256">
        <v>42726</v>
      </c>
      <c r="L3410" s="256"/>
      <c r="M3410" s="256">
        <v>42726</v>
      </c>
      <c r="N3410" s="264" t="s">
        <v>3432</v>
      </c>
      <c r="O3410" s="250" t="s">
        <v>10625</v>
      </c>
      <c r="P3410" s="574"/>
      <c r="Q3410" s="571">
        <v>408</v>
      </c>
      <c r="R3410" s="1458"/>
      <c r="S3410" s="1458"/>
      <c r="U3410" s="328"/>
      <c r="V3410" s="308" t="s">
        <v>5937</v>
      </c>
      <c r="W3410" s="747">
        <v>42771</v>
      </c>
      <c r="X3410" s="750">
        <v>42724</v>
      </c>
      <c r="Y3410" s="250" t="s">
        <v>10626</v>
      </c>
      <c r="Z3410" s="996" t="s">
        <v>10627</v>
      </c>
      <c r="AA3410" s="256">
        <v>42755</v>
      </c>
      <c r="AB3410" s="308" t="s">
        <v>10584</v>
      </c>
      <c r="AD3410" s="973"/>
      <c r="AE3410" s="974"/>
      <c r="AF3410" s="973"/>
      <c r="AG3410" s="251" t="s">
        <v>283</v>
      </c>
    </row>
    <row r="3411" spans="1:33" ht="15.75" customHeight="1">
      <c r="A3411" s="755">
        <v>42723</v>
      </c>
      <c r="B3411" s="338" t="s">
        <v>5981</v>
      </c>
      <c r="C3411" s="250">
        <v>7000126291</v>
      </c>
      <c r="D3411" s="308" t="s">
        <v>10624</v>
      </c>
      <c r="E3411" s="571" t="s">
        <v>3565</v>
      </c>
      <c r="F3411" s="574">
        <v>2</v>
      </c>
      <c r="G3411" s="574">
        <v>236</v>
      </c>
      <c r="H3411" s="265">
        <f t="shared" si="208"/>
        <v>472</v>
      </c>
      <c r="I3411" s="264" t="s">
        <v>42</v>
      </c>
      <c r="J3411" s="756" t="s">
        <v>3462</v>
      </c>
      <c r="K3411" s="256">
        <v>42726</v>
      </c>
      <c r="L3411" s="256"/>
      <c r="M3411" s="256">
        <v>42726</v>
      </c>
      <c r="N3411" s="264" t="s">
        <v>3432</v>
      </c>
      <c r="O3411" s="250" t="s">
        <v>10625</v>
      </c>
      <c r="P3411" s="574"/>
      <c r="Q3411" s="976">
        <v>14246</v>
      </c>
      <c r="R3411" s="1428"/>
      <c r="S3411" s="1428"/>
      <c r="U3411" s="328"/>
      <c r="V3411" s="308" t="s">
        <v>5937</v>
      </c>
      <c r="W3411" s="747">
        <v>42771</v>
      </c>
      <c r="X3411" s="750">
        <v>42724</v>
      </c>
      <c r="Y3411" s="250" t="s">
        <v>10626</v>
      </c>
      <c r="Z3411" s="996" t="s">
        <v>10627</v>
      </c>
      <c r="AA3411" s="256">
        <v>42755</v>
      </c>
      <c r="AB3411" s="308" t="s">
        <v>10584</v>
      </c>
      <c r="AD3411" s="973"/>
      <c r="AE3411" s="974"/>
      <c r="AF3411" s="973"/>
      <c r="AG3411" s="251" t="s">
        <v>283</v>
      </c>
    </row>
    <row r="3412" spans="1:33" ht="15.75" customHeight="1">
      <c r="A3412" s="755">
        <v>42723</v>
      </c>
      <c r="B3412" s="338" t="s">
        <v>5981</v>
      </c>
      <c r="C3412" s="250">
        <v>7000126291</v>
      </c>
      <c r="D3412" s="308" t="s">
        <v>10624</v>
      </c>
      <c r="E3412" s="571" t="s">
        <v>3566</v>
      </c>
      <c r="F3412" s="574">
        <v>2</v>
      </c>
      <c r="G3412" s="574">
        <v>55</v>
      </c>
      <c r="H3412" s="265">
        <f t="shared" si="208"/>
        <v>110</v>
      </c>
      <c r="I3412" s="264" t="s">
        <v>42</v>
      </c>
      <c r="J3412" s="756" t="s">
        <v>3462</v>
      </c>
      <c r="K3412" s="256">
        <v>42726</v>
      </c>
      <c r="L3412" s="256"/>
      <c r="M3412" s="256">
        <v>42726</v>
      </c>
      <c r="N3412" s="264" t="s">
        <v>3432</v>
      </c>
      <c r="O3412" s="250" t="s">
        <v>10625</v>
      </c>
      <c r="P3412" s="574"/>
      <c r="Q3412" s="976">
        <v>3276</v>
      </c>
      <c r="R3412" s="1428"/>
      <c r="S3412" s="1428"/>
      <c r="U3412" s="328"/>
      <c r="V3412" s="308" t="s">
        <v>5937</v>
      </c>
      <c r="W3412" s="747">
        <v>42771</v>
      </c>
      <c r="X3412" s="750">
        <v>42724</v>
      </c>
      <c r="Y3412" s="250" t="s">
        <v>10626</v>
      </c>
      <c r="Z3412" s="996" t="s">
        <v>10627</v>
      </c>
      <c r="AA3412" s="256">
        <v>42755</v>
      </c>
      <c r="AB3412" s="308" t="s">
        <v>10584</v>
      </c>
      <c r="AD3412" s="973"/>
      <c r="AE3412" s="974"/>
      <c r="AF3412" s="973"/>
      <c r="AG3412" s="251" t="s">
        <v>283</v>
      </c>
    </row>
    <row r="3413" spans="1:33" ht="15.75" customHeight="1">
      <c r="A3413" s="755">
        <v>42724</v>
      </c>
      <c r="B3413" s="250" t="s">
        <v>100</v>
      </c>
      <c r="C3413" s="250"/>
      <c r="D3413" s="308" t="s">
        <v>10628</v>
      </c>
      <c r="E3413" s="571" t="s">
        <v>10629</v>
      </c>
      <c r="F3413" s="574">
        <v>1</v>
      </c>
      <c r="G3413" s="574">
        <v>40</v>
      </c>
      <c r="H3413" s="265">
        <f t="shared" si="208"/>
        <v>40</v>
      </c>
      <c r="I3413" s="264" t="s">
        <v>3315</v>
      </c>
      <c r="J3413" s="331" t="s">
        <v>5842</v>
      </c>
      <c r="K3413" s="256">
        <v>42724</v>
      </c>
      <c r="L3413" s="1477"/>
      <c r="M3413" s="811">
        <v>42724</v>
      </c>
      <c r="N3413" s="331" t="s">
        <v>1999</v>
      </c>
      <c r="O3413" s="250"/>
      <c r="P3413" s="574"/>
      <c r="Q3413" s="1140">
        <v>2790</v>
      </c>
      <c r="R3413" s="1461"/>
      <c r="S3413" s="1461"/>
      <c r="U3413" s="328"/>
      <c r="V3413" s="318" t="s">
        <v>2000</v>
      </c>
      <c r="W3413" s="747">
        <v>42757</v>
      </c>
      <c r="X3413" s="750">
        <v>42727</v>
      </c>
      <c r="Y3413" s="308" t="s">
        <v>10447</v>
      </c>
      <c r="Z3413" s="264" t="s">
        <v>10448</v>
      </c>
      <c r="AA3413" s="256">
        <v>42754</v>
      </c>
      <c r="AB3413" s="308" t="s">
        <v>10191</v>
      </c>
      <c r="AD3413" s="973"/>
      <c r="AE3413" s="974"/>
      <c r="AF3413" s="973"/>
      <c r="AG3413" s="881" t="s">
        <v>283</v>
      </c>
    </row>
    <row r="3414" spans="1:33" ht="15.75" customHeight="1">
      <c r="A3414" s="755">
        <v>42724</v>
      </c>
      <c r="B3414" s="338" t="s">
        <v>100</v>
      </c>
      <c r="C3414" s="250" t="s">
        <v>10630</v>
      </c>
      <c r="D3414" s="308" t="s">
        <v>10631</v>
      </c>
      <c r="E3414" s="571" t="s">
        <v>10632</v>
      </c>
      <c r="F3414" s="574">
        <v>8</v>
      </c>
      <c r="G3414" s="574">
        <v>1131</v>
      </c>
      <c r="H3414" s="265">
        <f t="shared" si="208"/>
        <v>9048</v>
      </c>
      <c r="I3414" s="264" t="s">
        <v>3315</v>
      </c>
      <c r="J3414" s="331" t="s">
        <v>5842</v>
      </c>
      <c r="K3414" s="256">
        <v>42733</v>
      </c>
      <c r="L3414" s="256"/>
      <c r="M3414" s="256">
        <v>42733</v>
      </c>
      <c r="N3414" s="331" t="s">
        <v>1414</v>
      </c>
      <c r="O3414" s="250" t="s">
        <v>10633</v>
      </c>
      <c r="P3414" s="574"/>
      <c r="Q3414" s="976">
        <v>267456</v>
      </c>
      <c r="R3414" s="1428"/>
      <c r="S3414" s="1428"/>
      <c r="U3414" s="328"/>
      <c r="V3414" s="318" t="s">
        <v>1947</v>
      </c>
      <c r="W3414" s="747">
        <v>42740</v>
      </c>
      <c r="X3414" s="750">
        <v>42732</v>
      </c>
      <c r="Y3414" s="250" t="s">
        <v>10634</v>
      </c>
      <c r="Z3414" s="996">
        <v>267456</v>
      </c>
      <c r="AA3414" s="256">
        <v>42744</v>
      </c>
      <c r="AB3414" s="308" t="s">
        <v>10635</v>
      </c>
      <c r="AD3414" s="973"/>
      <c r="AE3414" s="974"/>
      <c r="AF3414" s="973"/>
      <c r="AG3414" s="881" t="s">
        <v>283</v>
      </c>
    </row>
    <row r="3415" spans="1:33" ht="15.75" customHeight="1">
      <c r="A3415" s="755">
        <v>42724</v>
      </c>
      <c r="B3415" s="338" t="s">
        <v>100</v>
      </c>
      <c r="C3415" s="250" t="s">
        <v>10630</v>
      </c>
      <c r="D3415" s="308" t="s">
        <v>10631</v>
      </c>
      <c r="E3415" s="571" t="s">
        <v>10636</v>
      </c>
      <c r="F3415" s="574">
        <v>8</v>
      </c>
      <c r="G3415" s="574">
        <v>70</v>
      </c>
      <c r="H3415" s="265">
        <f t="shared" si="208"/>
        <v>560</v>
      </c>
      <c r="I3415" s="264" t="s">
        <v>3315</v>
      </c>
      <c r="J3415" s="331" t="s">
        <v>5842</v>
      </c>
      <c r="K3415" s="256">
        <v>42733</v>
      </c>
      <c r="L3415" s="256"/>
      <c r="M3415" s="256">
        <v>42727</v>
      </c>
      <c r="N3415" s="401" t="s">
        <v>10637</v>
      </c>
      <c r="O3415" s="250" t="s">
        <v>10638</v>
      </c>
      <c r="P3415" s="574"/>
      <c r="Q3415" s="976">
        <v>13037</v>
      </c>
      <c r="R3415" s="1428"/>
      <c r="S3415" s="1428"/>
      <c r="U3415" s="328"/>
      <c r="V3415" s="308" t="s">
        <v>6042</v>
      </c>
      <c r="W3415" s="747">
        <v>42726</v>
      </c>
      <c r="X3415" s="750">
        <v>42727</v>
      </c>
      <c r="Y3415" s="308" t="s">
        <v>10639</v>
      </c>
      <c r="Z3415" s="996">
        <v>13037</v>
      </c>
      <c r="AA3415" s="256">
        <v>42726</v>
      </c>
      <c r="AB3415" s="308" t="s">
        <v>10635</v>
      </c>
      <c r="AD3415" s="973"/>
      <c r="AE3415" s="974"/>
      <c r="AF3415" s="973"/>
      <c r="AG3415" s="881" t="s">
        <v>283</v>
      </c>
    </row>
    <row r="3416" spans="1:33" ht="15.75" customHeight="1">
      <c r="A3416" s="755">
        <v>42719</v>
      </c>
      <c r="B3416" s="338" t="s">
        <v>100</v>
      </c>
      <c r="C3416" s="250" t="s">
        <v>10640</v>
      </c>
      <c r="D3416" s="250" t="s">
        <v>10641</v>
      </c>
      <c r="E3416" s="597" t="s">
        <v>10642</v>
      </c>
      <c r="F3416" s="252">
        <v>1</v>
      </c>
      <c r="G3416" s="252">
        <v>761</v>
      </c>
      <c r="H3416" s="265">
        <f t="shared" si="208"/>
        <v>761</v>
      </c>
      <c r="I3416" s="264" t="s">
        <v>3315</v>
      </c>
      <c r="J3416" s="331" t="s">
        <v>5842</v>
      </c>
      <c r="K3416" s="256">
        <v>42733</v>
      </c>
      <c r="L3416" s="256"/>
      <c r="M3416" s="256">
        <v>42733</v>
      </c>
      <c r="N3416" s="331" t="s">
        <v>1995</v>
      </c>
      <c r="O3416" s="250" t="s">
        <v>10643</v>
      </c>
      <c r="P3416" s="574"/>
      <c r="Q3416" s="976">
        <v>22980</v>
      </c>
      <c r="R3416" s="1428"/>
      <c r="S3416" s="1428"/>
      <c r="U3416" s="328"/>
      <c r="V3416" s="338" t="s">
        <v>1997</v>
      </c>
      <c r="W3416" s="747">
        <v>42730</v>
      </c>
      <c r="X3416" s="750">
        <v>42732</v>
      </c>
      <c r="Y3416" s="250" t="s">
        <v>10644</v>
      </c>
      <c r="Z3416" s="996">
        <v>27577</v>
      </c>
      <c r="AA3416" s="256">
        <v>42730</v>
      </c>
      <c r="AB3416" s="308" t="s">
        <v>10635</v>
      </c>
      <c r="AD3416" s="973"/>
      <c r="AE3416" s="974"/>
      <c r="AF3416" s="973"/>
      <c r="AG3416" s="881" t="s">
        <v>283</v>
      </c>
    </row>
    <row r="3417" spans="1:33" ht="15.75" customHeight="1">
      <c r="A3417" s="755">
        <v>42719</v>
      </c>
      <c r="B3417" s="338" t="s">
        <v>100</v>
      </c>
      <c r="C3417" s="250" t="s">
        <v>10640</v>
      </c>
      <c r="D3417" s="250" t="s">
        <v>10641</v>
      </c>
      <c r="E3417" s="338" t="s">
        <v>6482</v>
      </c>
      <c r="F3417" s="252">
        <v>1</v>
      </c>
      <c r="G3417" s="252">
        <v>352</v>
      </c>
      <c r="H3417" s="265">
        <f t="shared" si="208"/>
        <v>352</v>
      </c>
      <c r="I3417" s="264" t="s">
        <v>3315</v>
      </c>
      <c r="J3417" s="331" t="s">
        <v>5842</v>
      </c>
      <c r="K3417" s="256">
        <v>42733</v>
      </c>
      <c r="L3417" s="256"/>
      <c r="M3417" s="256">
        <v>42727</v>
      </c>
      <c r="N3417" s="331" t="s">
        <v>9983</v>
      </c>
      <c r="O3417" s="250" t="s">
        <v>10645</v>
      </c>
      <c r="P3417" s="574"/>
      <c r="Q3417" s="976">
        <v>9561</v>
      </c>
      <c r="R3417" s="1428"/>
      <c r="S3417" s="1428"/>
      <c r="U3417" s="328"/>
      <c r="V3417" s="318" t="s">
        <v>3754</v>
      </c>
      <c r="W3417" s="789">
        <v>42726</v>
      </c>
      <c r="X3417" s="750">
        <v>42726</v>
      </c>
      <c r="Y3417" s="250" t="s">
        <v>10646</v>
      </c>
      <c r="Z3417" s="996">
        <v>9561</v>
      </c>
      <c r="AA3417" s="256">
        <v>42726</v>
      </c>
      <c r="AB3417" s="308" t="s">
        <v>10635</v>
      </c>
      <c r="AD3417" s="973"/>
      <c r="AE3417" s="974"/>
      <c r="AF3417" s="973"/>
      <c r="AG3417" s="881" t="s">
        <v>283</v>
      </c>
    </row>
    <row r="3418" spans="1:33" ht="15.75" customHeight="1">
      <c r="A3418" s="755">
        <v>42719</v>
      </c>
      <c r="B3418" s="338" t="s">
        <v>100</v>
      </c>
      <c r="C3418" s="250" t="s">
        <v>10640</v>
      </c>
      <c r="D3418" s="250" t="s">
        <v>10641</v>
      </c>
      <c r="E3418" s="597" t="s">
        <v>7290</v>
      </c>
      <c r="F3418" s="252">
        <v>1</v>
      </c>
      <c r="G3418" s="252">
        <v>138</v>
      </c>
      <c r="H3418" s="265">
        <f t="shared" si="208"/>
        <v>138</v>
      </c>
      <c r="I3418" s="264" t="s">
        <v>3315</v>
      </c>
      <c r="J3418" s="331" t="s">
        <v>5842</v>
      </c>
      <c r="K3418" s="256">
        <v>42733</v>
      </c>
      <c r="L3418" s="256"/>
      <c r="M3418" s="256">
        <v>42727</v>
      </c>
      <c r="N3418" s="401" t="s">
        <v>9980</v>
      </c>
      <c r="O3418" s="250" t="s">
        <v>10647</v>
      </c>
      <c r="P3418" s="574"/>
      <c r="Q3418" s="976">
        <v>3711</v>
      </c>
      <c r="R3418" s="1428"/>
      <c r="S3418" s="1428"/>
      <c r="U3418" s="328"/>
      <c r="V3418" s="318" t="s">
        <v>2126</v>
      </c>
      <c r="W3418" s="747">
        <v>42725</v>
      </c>
      <c r="X3418" s="750">
        <v>42726</v>
      </c>
      <c r="Y3418" s="250" t="s">
        <v>10648</v>
      </c>
      <c r="Z3418" s="996">
        <v>3711</v>
      </c>
      <c r="AA3418" s="256">
        <v>42725</v>
      </c>
      <c r="AB3418" s="308" t="s">
        <v>10635</v>
      </c>
      <c r="AD3418" s="973"/>
      <c r="AE3418" s="974"/>
      <c r="AF3418" s="973"/>
      <c r="AG3418" s="881" t="s">
        <v>283</v>
      </c>
    </row>
    <row r="3419" spans="1:33" ht="15.75" customHeight="1">
      <c r="A3419" s="755">
        <v>42719</v>
      </c>
      <c r="B3419" s="338" t="s">
        <v>100</v>
      </c>
      <c r="C3419" s="250" t="s">
        <v>10640</v>
      </c>
      <c r="D3419" s="250" t="s">
        <v>10641</v>
      </c>
      <c r="E3419" s="597" t="s">
        <v>10649</v>
      </c>
      <c r="F3419" s="252">
        <v>1</v>
      </c>
      <c r="G3419" s="252">
        <v>78</v>
      </c>
      <c r="H3419" s="265">
        <f t="shared" si="208"/>
        <v>78</v>
      </c>
      <c r="I3419" s="264" t="s">
        <v>3315</v>
      </c>
      <c r="J3419" s="331" t="s">
        <v>5842</v>
      </c>
      <c r="K3419" s="256">
        <v>42733</v>
      </c>
      <c r="L3419" s="256"/>
      <c r="M3419" s="256">
        <v>42733</v>
      </c>
      <c r="N3419" s="331" t="s">
        <v>1995</v>
      </c>
      <c r="O3419" s="250" t="s">
        <v>10643</v>
      </c>
      <c r="P3419" s="574"/>
      <c r="Q3419" s="976">
        <v>2349</v>
      </c>
      <c r="R3419" s="1428"/>
      <c r="S3419" s="1428"/>
      <c r="U3419" s="328"/>
      <c r="V3419" s="338" t="s">
        <v>1997</v>
      </c>
      <c r="W3419" s="747">
        <v>42730</v>
      </c>
      <c r="X3419" s="750">
        <v>42732</v>
      </c>
      <c r="Y3419" s="250" t="s">
        <v>10644</v>
      </c>
      <c r="Z3419" s="996" t="s">
        <v>5478</v>
      </c>
      <c r="AA3419" s="256">
        <v>42730</v>
      </c>
      <c r="AB3419" s="308" t="s">
        <v>10635</v>
      </c>
      <c r="AD3419" s="973"/>
      <c r="AE3419" s="974"/>
      <c r="AF3419" s="973"/>
      <c r="AG3419" s="881" t="s">
        <v>283</v>
      </c>
    </row>
    <row r="3420" spans="1:33" ht="15.75" customHeight="1">
      <c r="A3420" s="755">
        <v>42719</v>
      </c>
      <c r="B3420" s="338" t="s">
        <v>100</v>
      </c>
      <c r="C3420" s="250" t="s">
        <v>10640</v>
      </c>
      <c r="D3420" s="250" t="s">
        <v>10641</v>
      </c>
      <c r="E3420" s="597" t="s">
        <v>7283</v>
      </c>
      <c r="F3420" s="252">
        <v>1</v>
      </c>
      <c r="G3420" s="252">
        <v>74</v>
      </c>
      <c r="H3420" s="265">
        <f t="shared" si="208"/>
        <v>74</v>
      </c>
      <c r="I3420" s="264" t="s">
        <v>3315</v>
      </c>
      <c r="J3420" s="331" t="s">
        <v>5842</v>
      </c>
      <c r="K3420" s="256">
        <v>42733</v>
      </c>
      <c r="L3420" s="256"/>
      <c r="M3420" s="256">
        <v>42733</v>
      </c>
      <c r="N3420" s="331" t="s">
        <v>1995</v>
      </c>
      <c r="O3420" s="250" t="s">
        <v>10643</v>
      </c>
      <c r="P3420" s="574"/>
      <c r="Q3420" s="976">
        <v>2248</v>
      </c>
      <c r="R3420" s="1428"/>
      <c r="S3420" s="1428"/>
      <c r="U3420" s="328"/>
      <c r="V3420" s="338" t="s">
        <v>1997</v>
      </c>
      <c r="W3420" s="747">
        <v>42730</v>
      </c>
      <c r="X3420" s="750">
        <v>42732</v>
      </c>
      <c r="Y3420" s="250" t="s">
        <v>10644</v>
      </c>
      <c r="Z3420" s="996" t="s">
        <v>5478</v>
      </c>
      <c r="AA3420" s="256">
        <v>42730</v>
      </c>
      <c r="AB3420" s="308" t="s">
        <v>10635</v>
      </c>
      <c r="AD3420" s="973"/>
      <c r="AE3420" s="974"/>
      <c r="AF3420" s="973"/>
      <c r="AG3420" s="881" t="s">
        <v>283</v>
      </c>
    </row>
    <row r="3421" spans="1:33" ht="14.25" customHeight="1">
      <c r="A3421" s="594">
        <v>42733</v>
      </c>
      <c r="B3421" s="338" t="s">
        <v>100</v>
      </c>
      <c r="C3421" s="744"/>
      <c r="D3421" s="328" t="s">
        <v>10650</v>
      </c>
      <c r="E3421" s="597" t="s">
        <v>10651</v>
      </c>
      <c r="F3421" s="328">
        <v>1</v>
      </c>
      <c r="G3421" s="328">
        <v>285</v>
      </c>
      <c r="H3421" s="265">
        <f t="shared" si="208"/>
        <v>285</v>
      </c>
      <c r="I3421" s="264" t="s">
        <v>3315</v>
      </c>
      <c r="J3421" s="331" t="s">
        <v>5842</v>
      </c>
      <c r="K3421" s="256">
        <v>42733</v>
      </c>
      <c r="L3421" s="256"/>
      <c r="M3421" s="328"/>
      <c r="N3421" s="331" t="s">
        <v>1999</v>
      </c>
      <c r="O3421" s="328"/>
      <c r="P3421" s="328"/>
      <c r="Q3421" s="630">
        <v>8168</v>
      </c>
      <c r="R3421" s="1415"/>
      <c r="S3421" s="1415"/>
      <c r="U3421" s="328"/>
      <c r="V3421" s="318" t="s">
        <v>2000</v>
      </c>
      <c r="W3421" s="747">
        <v>42774</v>
      </c>
      <c r="X3421" s="750">
        <v>42744</v>
      </c>
      <c r="Y3421" s="308" t="s">
        <v>10652</v>
      </c>
      <c r="Z3421" s="996">
        <v>8168</v>
      </c>
      <c r="AA3421" s="594">
        <v>42769</v>
      </c>
      <c r="AB3421" s="308" t="s">
        <v>10635</v>
      </c>
      <c r="AD3421" s="328"/>
      <c r="AE3421" s="328"/>
      <c r="AF3421" s="328"/>
      <c r="AG3421" s="881" t="s">
        <v>283</v>
      </c>
    </row>
    <row r="3422" spans="1:33" ht="15.75" customHeight="1">
      <c r="A3422" s="743">
        <v>42004</v>
      </c>
      <c r="B3422" s="823" t="s">
        <v>10691</v>
      </c>
      <c r="C3422" s="386"/>
      <c r="D3422" s="386" t="s">
        <v>10692</v>
      </c>
      <c r="E3422" s="592" t="s">
        <v>10693</v>
      </c>
      <c r="F3422" s="1088">
        <v>1</v>
      </c>
      <c r="G3422" s="464">
        <v>31500</v>
      </c>
      <c r="H3422" s="1100">
        <f>F3422*G3422</f>
        <v>31500</v>
      </c>
      <c r="I3422" s="263" t="s">
        <v>10694</v>
      </c>
      <c r="J3422" s="267" t="s">
        <v>10695</v>
      </c>
      <c r="K3422" s="811">
        <v>42046</v>
      </c>
      <c r="L3422" s="1477"/>
      <c r="M3422" s="386"/>
      <c r="N3422" s="267" t="s">
        <v>10696</v>
      </c>
      <c r="O3422" s="970" t="s">
        <v>10697</v>
      </c>
      <c r="Q3422" s="386"/>
      <c r="R3422" s="323">
        <v>1050</v>
      </c>
      <c r="S3422" s="464">
        <f>F3422*R3422</f>
        <v>1050</v>
      </c>
      <c r="U3422" s="752">
        <v>27720</v>
      </c>
      <c r="V3422" s="386" t="s">
        <v>10698</v>
      </c>
      <c r="W3422" s="1090"/>
      <c r="X3422" s="1083">
        <v>42045</v>
      </c>
      <c r="Y3422" s="263" t="s">
        <v>10699</v>
      </c>
      <c r="Z3422" s="1086">
        <v>27720</v>
      </c>
      <c r="AA3422" s="1095">
        <v>42096</v>
      </c>
      <c r="AB3422" s="318" t="s">
        <v>10700</v>
      </c>
      <c r="AD3422" s="386"/>
      <c r="AE3422" s="1110">
        <v>31500</v>
      </c>
      <c r="AF3422" s="386" t="s">
        <v>10701</v>
      </c>
      <c r="AG3422" s="386"/>
    </row>
    <row r="3423" spans="1:33" ht="15.75" customHeight="1">
      <c r="A3423" s="743">
        <v>42023</v>
      </c>
      <c r="B3423" s="823" t="s">
        <v>10691</v>
      </c>
      <c r="C3423" s="386"/>
      <c r="D3423" s="386" t="s">
        <v>10702</v>
      </c>
      <c r="E3423" s="592" t="s">
        <v>10693</v>
      </c>
      <c r="F3423" s="1088">
        <v>1</v>
      </c>
      <c r="G3423" s="464">
        <v>31500</v>
      </c>
      <c r="H3423" s="1100">
        <f>F3423*G3423</f>
        <v>31500</v>
      </c>
      <c r="I3423" s="263" t="s">
        <v>10694</v>
      </c>
      <c r="J3423" s="267" t="s">
        <v>10695</v>
      </c>
      <c r="K3423" s="811">
        <v>42048</v>
      </c>
      <c r="L3423" s="1477"/>
      <c r="M3423" s="386"/>
      <c r="N3423" s="267" t="s">
        <v>10696</v>
      </c>
      <c r="O3423" s="970" t="s">
        <v>10703</v>
      </c>
      <c r="Q3423" s="386"/>
      <c r="R3423" s="323">
        <v>1050</v>
      </c>
      <c r="S3423" s="464">
        <f>F3423*R3423</f>
        <v>1050</v>
      </c>
      <c r="U3423" s="752">
        <v>27720</v>
      </c>
      <c r="V3423" s="386" t="s">
        <v>10698</v>
      </c>
      <c r="W3423" s="1090"/>
      <c r="X3423" s="1083">
        <v>42048</v>
      </c>
      <c r="Y3423" s="263" t="s">
        <v>10704</v>
      </c>
      <c r="Z3423" s="1086">
        <v>27720</v>
      </c>
      <c r="AA3423" s="1095">
        <v>42096</v>
      </c>
      <c r="AB3423" s="386" t="s">
        <v>10705</v>
      </c>
      <c r="AD3423" s="386"/>
      <c r="AE3423" s="1110">
        <v>31500</v>
      </c>
      <c r="AF3423" s="386" t="s">
        <v>10706</v>
      </c>
      <c r="AG3423" s="386"/>
    </row>
    <row r="3424" spans="1:33" ht="15.75" customHeight="1">
      <c r="A3424" s="743">
        <v>42051</v>
      </c>
      <c r="B3424" s="1177" t="s">
        <v>10691</v>
      </c>
      <c r="C3424" s="970" t="s">
        <v>8882</v>
      </c>
      <c r="D3424" s="386" t="s">
        <v>10707</v>
      </c>
      <c r="E3424" s="592" t="s">
        <v>10708</v>
      </c>
      <c r="F3424" s="1088">
        <v>1</v>
      </c>
      <c r="G3424" s="1100">
        <v>787.5</v>
      </c>
      <c r="H3424" s="1100">
        <f>F3424*G3424</f>
        <v>787.5</v>
      </c>
      <c r="I3424" s="263" t="s">
        <v>10694</v>
      </c>
      <c r="J3424" s="267" t="s">
        <v>10695</v>
      </c>
      <c r="K3424" s="1099">
        <v>42065</v>
      </c>
      <c r="L3424" s="1484"/>
      <c r="M3424" s="386"/>
      <c r="N3424" s="267" t="s">
        <v>10709</v>
      </c>
      <c r="O3424" s="386"/>
      <c r="Q3424" s="386"/>
      <c r="R3424" s="1088">
        <v>26.25</v>
      </c>
      <c r="S3424" s="752">
        <f>F3424*R3424</f>
        <v>26.25</v>
      </c>
      <c r="U3424" s="752">
        <v>630</v>
      </c>
      <c r="V3424" s="386" t="s">
        <v>10698</v>
      </c>
      <c r="W3424" s="1090"/>
      <c r="X3424" s="1095">
        <v>42416</v>
      </c>
      <c r="Y3424" s="386" t="s">
        <v>10710</v>
      </c>
      <c r="Z3424" s="585">
        <v>630</v>
      </c>
      <c r="AA3424" s="1095">
        <v>42096</v>
      </c>
      <c r="AB3424" s="386" t="s">
        <v>10711</v>
      </c>
      <c r="AD3424" s="386"/>
      <c r="AE3424" s="1088">
        <v>788</v>
      </c>
      <c r="AF3424" s="386" t="s">
        <v>10712</v>
      </c>
      <c r="AG3424" s="386"/>
    </row>
    <row r="3425" spans="1:33" ht="15.75" customHeight="1">
      <c r="A3425" s="743">
        <v>42080</v>
      </c>
      <c r="B3425" s="823" t="s">
        <v>10691</v>
      </c>
      <c r="C3425" s="386"/>
      <c r="D3425" s="386" t="s">
        <v>10713</v>
      </c>
      <c r="E3425" s="592" t="s">
        <v>10693</v>
      </c>
      <c r="F3425" s="1088">
        <v>2</v>
      </c>
      <c r="G3425" s="464">
        <v>31500</v>
      </c>
      <c r="H3425" s="1100">
        <f>F3425*G3425</f>
        <v>63000</v>
      </c>
      <c r="I3425" s="263" t="s">
        <v>10694</v>
      </c>
      <c r="J3425" s="267" t="s">
        <v>10695</v>
      </c>
      <c r="K3425" s="811">
        <v>42149</v>
      </c>
      <c r="L3425" s="1477"/>
      <c r="M3425" s="811">
        <v>42146</v>
      </c>
      <c r="N3425" s="267" t="s">
        <v>10696</v>
      </c>
      <c r="O3425" s="970" t="s">
        <v>10714</v>
      </c>
      <c r="Q3425" s="386"/>
      <c r="R3425" s="323">
        <v>1050</v>
      </c>
      <c r="S3425" s="464">
        <f>F3425*R3425</f>
        <v>2100</v>
      </c>
      <c r="U3425" s="752">
        <v>55440</v>
      </c>
      <c r="V3425" s="386" t="s">
        <v>10715</v>
      </c>
      <c r="W3425" s="386"/>
      <c r="X3425" s="1095">
        <v>42146</v>
      </c>
      <c r="Y3425" s="386" t="s">
        <v>10716</v>
      </c>
      <c r="Z3425" s="824">
        <v>55440</v>
      </c>
      <c r="AA3425" s="1095">
        <v>42160</v>
      </c>
      <c r="AB3425" s="386" t="s">
        <v>10717</v>
      </c>
      <c r="AD3425" s="386"/>
      <c r="AE3425" s="1110">
        <v>63000</v>
      </c>
      <c r="AF3425" s="386" t="s">
        <v>10718</v>
      </c>
      <c r="AG3425" s="386"/>
    </row>
    <row r="3426" spans="1:33" ht="15.75" customHeight="1">
      <c r="A3426" s="755">
        <v>42087</v>
      </c>
      <c r="B3426" s="823" t="s">
        <v>10691</v>
      </c>
      <c r="C3426" s="386"/>
      <c r="D3426" s="318" t="s">
        <v>10719</v>
      </c>
      <c r="E3426" s="338" t="s">
        <v>10720</v>
      </c>
      <c r="F3426" s="752">
        <v>3</v>
      </c>
      <c r="G3426" s="1100">
        <v>1348</v>
      </c>
      <c r="H3426" s="1100">
        <v>4157</v>
      </c>
      <c r="I3426" s="263" t="s">
        <v>10694</v>
      </c>
      <c r="J3426" s="331" t="s">
        <v>10721</v>
      </c>
      <c r="K3426" s="811">
        <v>42131</v>
      </c>
      <c r="L3426" s="1477"/>
      <c r="M3426" s="811">
        <v>42129</v>
      </c>
      <c r="N3426" s="331" t="s">
        <v>10722</v>
      </c>
      <c r="O3426" s="263" t="s">
        <v>10723</v>
      </c>
      <c r="Q3426" s="386"/>
      <c r="R3426" s="752">
        <v>45</v>
      </c>
      <c r="S3426" s="464">
        <f>R3426*F3426</f>
        <v>135</v>
      </c>
      <c r="U3426" s="752">
        <v>2925.88</v>
      </c>
      <c r="V3426" s="318" t="s">
        <v>10724</v>
      </c>
      <c r="W3426" s="386"/>
      <c r="X3426" s="1083">
        <v>42128</v>
      </c>
      <c r="Y3426" s="318" t="s">
        <v>10725</v>
      </c>
      <c r="Z3426" s="1086">
        <v>32803</v>
      </c>
      <c r="AA3426" s="1083">
        <v>42160</v>
      </c>
      <c r="AB3426" s="318" t="s">
        <v>10726</v>
      </c>
      <c r="AD3426" s="318" t="s">
        <v>10727</v>
      </c>
      <c r="AE3426" s="1100">
        <v>4157</v>
      </c>
      <c r="AF3426" s="318" t="s">
        <v>10728</v>
      </c>
      <c r="AG3426" s="386"/>
    </row>
    <row r="3427" spans="1:33" ht="15.75" customHeight="1">
      <c r="A3427" s="743">
        <v>42095</v>
      </c>
      <c r="B3427" s="823" t="s">
        <v>10691</v>
      </c>
      <c r="C3427" s="970" t="s">
        <v>8882</v>
      </c>
      <c r="D3427" s="386" t="s">
        <v>10729</v>
      </c>
      <c r="E3427" s="592" t="s">
        <v>10708</v>
      </c>
      <c r="F3427" s="1088">
        <v>1</v>
      </c>
      <c r="G3427" s="1100">
        <v>3213</v>
      </c>
      <c r="H3427" s="1100">
        <f>F3427*G3427</f>
        <v>3213</v>
      </c>
      <c r="I3427" s="263" t="s">
        <v>10694</v>
      </c>
      <c r="J3427" s="267" t="s">
        <v>10695</v>
      </c>
      <c r="K3427" s="811">
        <v>42114</v>
      </c>
      <c r="L3427" s="1477"/>
      <c r="M3427" s="386"/>
      <c r="N3427" s="267" t="s">
        <v>10695</v>
      </c>
      <c r="O3427" s="970" t="s">
        <v>10730</v>
      </c>
      <c r="Q3427" s="386"/>
      <c r="R3427" s="323">
        <f>G3427/31.2</f>
        <v>102.98076923076923</v>
      </c>
      <c r="S3427" s="464">
        <f>R3427*F3427</f>
        <v>102.98076923076923</v>
      </c>
      <c r="U3427" s="752">
        <v>1607</v>
      </c>
      <c r="V3427" s="386" t="s">
        <v>10715</v>
      </c>
      <c r="W3427" s="1090"/>
      <c r="X3427" s="1095">
        <v>42108</v>
      </c>
      <c r="Y3427" s="386" t="s">
        <v>10731</v>
      </c>
      <c r="Z3427" s="824">
        <v>1607</v>
      </c>
      <c r="AA3427" s="1095">
        <v>42129</v>
      </c>
      <c r="AB3427" s="386" t="s">
        <v>10732</v>
      </c>
      <c r="AD3427" s="386"/>
      <c r="AE3427" s="1088">
        <v>3213</v>
      </c>
      <c r="AF3427" s="386" t="s">
        <v>10733</v>
      </c>
      <c r="AG3427" s="1088">
        <v>3183</v>
      </c>
    </row>
    <row r="3428" spans="1:33" ht="15.75" customHeight="1">
      <c r="A3428" s="272">
        <v>42114</v>
      </c>
      <c r="B3428" s="823" t="s">
        <v>10734</v>
      </c>
      <c r="C3428" s="1024" t="s">
        <v>10735</v>
      </c>
      <c r="D3428" s="836" t="s">
        <v>10736</v>
      </c>
      <c r="E3428" s="1178" t="s">
        <v>10737</v>
      </c>
      <c r="F3428" s="1179">
        <v>0</v>
      </c>
      <c r="G3428" s="386"/>
      <c r="H3428" s="1179">
        <v>0</v>
      </c>
      <c r="I3428" s="1024" t="s">
        <v>170</v>
      </c>
      <c r="J3428" s="592"/>
      <c r="K3428" s="814">
        <v>42121</v>
      </c>
      <c r="L3428" s="1478"/>
      <c r="M3428" s="386"/>
      <c r="N3428" s="267"/>
      <c r="O3428" s="386"/>
      <c r="Q3428" s="386"/>
      <c r="R3428" s="386"/>
      <c r="S3428" s="386"/>
      <c r="U3428" s="386"/>
      <c r="V3428" s="386"/>
      <c r="W3428" s="386"/>
      <c r="X3428" s="386"/>
      <c r="Y3428" s="386"/>
      <c r="Z3428" s="386"/>
      <c r="AA3428" s="386"/>
      <c r="AB3428" s="386"/>
      <c r="AD3428" s="386"/>
      <c r="AE3428" s="386"/>
      <c r="AF3428" s="386"/>
      <c r="AG3428" s="386"/>
    </row>
    <row r="3429" spans="1:33" ht="15.75" customHeight="1">
      <c r="A3429" s="743">
        <v>42195</v>
      </c>
      <c r="B3429" s="823" t="s">
        <v>10738</v>
      </c>
      <c r="C3429" s="386"/>
      <c r="D3429" s="386" t="s">
        <v>10739</v>
      </c>
      <c r="E3429" s="592" t="s">
        <v>5079</v>
      </c>
      <c r="F3429" s="1088">
        <v>2</v>
      </c>
      <c r="G3429" s="386"/>
      <c r="H3429" s="386"/>
      <c r="I3429" s="263" t="s">
        <v>3712</v>
      </c>
      <c r="J3429" s="267" t="s">
        <v>10740</v>
      </c>
      <c r="K3429" s="811">
        <v>42205</v>
      </c>
      <c r="L3429" s="1477"/>
      <c r="M3429" s="811">
        <v>42202</v>
      </c>
      <c r="N3429" s="267" t="s">
        <v>10741</v>
      </c>
      <c r="O3429" s="970" t="s">
        <v>10742</v>
      </c>
      <c r="Q3429" s="386"/>
      <c r="R3429" s="1088">
        <v>90</v>
      </c>
      <c r="S3429" s="1098">
        <f>F3429*R3429</f>
        <v>180</v>
      </c>
      <c r="U3429" s="752">
        <v>4830</v>
      </c>
      <c r="V3429" s="386" t="s">
        <v>10743</v>
      </c>
      <c r="W3429" s="1083">
        <v>42246</v>
      </c>
      <c r="X3429" s="1094">
        <v>42201</v>
      </c>
      <c r="Y3429" s="386" t="s">
        <v>10744</v>
      </c>
      <c r="Z3429" s="824">
        <v>18900</v>
      </c>
      <c r="AA3429" s="1095">
        <v>42219</v>
      </c>
      <c r="AB3429" s="386" t="s">
        <v>10745</v>
      </c>
      <c r="AD3429" s="386"/>
      <c r="AE3429" s="386"/>
      <c r="AF3429" s="386"/>
      <c r="AG3429" s="1180">
        <v>722.54</v>
      </c>
    </row>
    <row r="3430" spans="1:33" ht="15.75" customHeight="1">
      <c r="A3430" s="743">
        <v>42195</v>
      </c>
      <c r="B3430" s="823" t="s">
        <v>10738</v>
      </c>
      <c r="C3430" s="386"/>
      <c r="D3430" s="386" t="s">
        <v>10739</v>
      </c>
      <c r="E3430" s="592" t="s">
        <v>10746</v>
      </c>
      <c r="F3430" s="1088">
        <v>2</v>
      </c>
      <c r="G3430" s="386"/>
      <c r="H3430" s="386"/>
      <c r="I3430" s="263" t="s">
        <v>3712</v>
      </c>
      <c r="J3430" s="267" t="s">
        <v>10747</v>
      </c>
      <c r="K3430" s="811">
        <v>42205</v>
      </c>
      <c r="L3430" s="1477"/>
      <c r="M3430" s="811">
        <v>42202</v>
      </c>
      <c r="N3430" s="267" t="s">
        <v>10741</v>
      </c>
      <c r="O3430" s="970" t="s">
        <v>10742</v>
      </c>
      <c r="Q3430" s="386"/>
      <c r="R3430" s="1088">
        <v>260</v>
      </c>
      <c r="S3430" s="1098">
        <f>F3430*R3430</f>
        <v>520</v>
      </c>
      <c r="U3430" s="752">
        <v>14070</v>
      </c>
      <c r="V3430" s="386" t="s">
        <v>10743</v>
      </c>
      <c r="W3430" s="1083">
        <v>42246</v>
      </c>
      <c r="X3430" s="1094">
        <v>42201</v>
      </c>
      <c r="Y3430" s="386" t="s">
        <v>10744</v>
      </c>
      <c r="Z3430" s="585" t="s">
        <v>8588</v>
      </c>
      <c r="AA3430" s="1095">
        <v>42219</v>
      </c>
      <c r="AB3430" s="386" t="s">
        <v>10745</v>
      </c>
      <c r="AD3430" s="386"/>
      <c r="AE3430" s="386"/>
      <c r="AF3430" s="386"/>
      <c r="AG3430" s="1180">
        <v>722.54</v>
      </c>
    </row>
    <row r="3431" spans="1:33" ht="15.75" customHeight="1">
      <c r="A3431" s="743">
        <v>42061</v>
      </c>
      <c r="B3431" s="823" t="s">
        <v>6060</v>
      </c>
      <c r="C3431" s="386"/>
      <c r="D3431" s="386" t="s">
        <v>10748</v>
      </c>
      <c r="E3431" s="592" t="s">
        <v>1226</v>
      </c>
      <c r="F3431" s="1088">
        <v>5</v>
      </c>
      <c r="G3431" s="386"/>
      <c r="H3431" s="386"/>
      <c r="I3431" s="263" t="s">
        <v>86</v>
      </c>
      <c r="J3431" s="267" t="s">
        <v>10749</v>
      </c>
      <c r="K3431" s="811">
        <v>42075</v>
      </c>
      <c r="L3431" s="1477"/>
      <c r="M3431" s="811">
        <v>42069</v>
      </c>
      <c r="N3431" s="267" t="s">
        <v>89</v>
      </c>
      <c r="O3431" s="263" t="s">
        <v>10750</v>
      </c>
      <c r="Q3431" s="752">
        <v>241.5</v>
      </c>
      <c r="R3431" s="1088">
        <v>53</v>
      </c>
      <c r="S3431" s="464">
        <f>R3431*F3431</f>
        <v>265</v>
      </c>
      <c r="U3431" s="386"/>
      <c r="V3431" s="386" t="s">
        <v>10751</v>
      </c>
      <c r="W3431" s="1090"/>
      <c r="X3431" s="1083">
        <v>42069</v>
      </c>
      <c r="Y3431" s="263" t="s">
        <v>10752</v>
      </c>
      <c r="Z3431" s="1086">
        <v>36579</v>
      </c>
      <c r="AA3431" s="1095">
        <v>42074</v>
      </c>
      <c r="AB3431" s="318" t="s">
        <v>10753</v>
      </c>
      <c r="AD3431" s="386"/>
      <c r="AE3431" s="386"/>
      <c r="AF3431" s="386"/>
      <c r="AG3431" s="386" t="s">
        <v>8415</v>
      </c>
    </row>
    <row r="3432" spans="1:33" ht="15.75" customHeight="1">
      <c r="A3432" s="743">
        <v>42061</v>
      </c>
      <c r="B3432" s="823" t="s">
        <v>6060</v>
      </c>
      <c r="C3432" s="386"/>
      <c r="D3432" s="386" t="s">
        <v>10748</v>
      </c>
      <c r="E3432" s="592" t="s">
        <v>6063</v>
      </c>
      <c r="F3432" s="1088">
        <v>10</v>
      </c>
      <c r="G3432" s="386"/>
      <c r="H3432" s="386"/>
      <c r="I3432" s="263" t="s">
        <v>86</v>
      </c>
      <c r="J3432" s="267" t="s">
        <v>10749</v>
      </c>
      <c r="K3432" s="811">
        <v>42075</v>
      </c>
      <c r="L3432" s="1477"/>
      <c r="M3432" s="811">
        <v>42069</v>
      </c>
      <c r="N3432" s="267" t="s">
        <v>89</v>
      </c>
      <c r="O3432" s="263" t="s">
        <v>10750</v>
      </c>
      <c r="Q3432" s="752">
        <v>546</v>
      </c>
      <c r="R3432" s="1088">
        <v>60</v>
      </c>
      <c r="S3432" s="464">
        <f>R3432*F3432</f>
        <v>600</v>
      </c>
      <c r="U3432" s="386"/>
      <c r="V3432" s="386" t="s">
        <v>10751</v>
      </c>
      <c r="W3432" s="1090"/>
      <c r="X3432" s="1083">
        <v>42069</v>
      </c>
      <c r="Y3432" s="263" t="s">
        <v>10752</v>
      </c>
      <c r="Z3432" s="254" t="s">
        <v>8588</v>
      </c>
      <c r="AA3432" s="1095">
        <v>42074</v>
      </c>
      <c r="AB3432" s="318" t="s">
        <v>10753</v>
      </c>
      <c r="AD3432" s="386"/>
      <c r="AE3432" s="386"/>
      <c r="AF3432" s="386"/>
      <c r="AG3432" s="386" t="s">
        <v>8415</v>
      </c>
    </row>
    <row r="3433" spans="1:33" ht="15.75" customHeight="1">
      <c r="A3433" s="743">
        <v>42061</v>
      </c>
      <c r="B3433" s="823" t="s">
        <v>6060</v>
      </c>
      <c r="C3433" s="386"/>
      <c r="D3433" s="386" t="s">
        <v>10748</v>
      </c>
      <c r="E3433" s="592" t="s">
        <v>10754</v>
      </c>
      <c r="F3433" s="1088">
        <v>6</v>
      </c>
      <c r="G3433" s="386"/>
      <c r="H3433" s="386"/>
      <c r="I3433" s="263" t="s">
        <v>86</v>
      </c>
      <c r="J3433" s="267" t="s">
        <v>10749</v>
      </c>
      <c r="K3433" s="811">
        <v>42075</v>
      </c>
      <c r="L3433" s="1477"/>
      <c r="M3433" s="811">
        <v>42069</v>
      </c>
      <c r="N3433" s="267" t="s">
        <v>89</v>
      </c>
      <c r="O3433" s="263" t="s">
        <v>10750</v>
      </c>
      <c r="Q3433" s="752">
        <v>378</v>
      </c>
      <c r="R3433" s="1088">
        <v>81</v>
      </c>
      <c r="S3433" s="464">
        <f>R3433*F3433</f>
        <v>486</v>
      </c>
      <c r="U3433" s="386"/>
      <c r="V3433" s="386" t="s">
        <v>10751</v>
      </c>
      <c r="W3433" s="1090"/>
      <c r="X3433" s="1083">
        <v>42069</v>
      </c>
      <c r="Y3433" s="263" t="s">
        <v>10752</v>
      </c>
      <c r="Z3433" s="254" t="s">
        <v>8588</v>
      </c>
      <c r="AA3433" s="1095">
        <v>42074</v>
      </c>
      <c r="AB3433" s="318" t="s">
        <v>10753</v>
      </c>
      <c r="AD3433" s="386"/>
      <c r="AE3433" s="386"/>
      <c r="AF3433" s="386"/>
      <c r="AG3433" s="386" t="s">
        <v>8415</v>
      </c>
    </row>
    <row r="3434" spans="1:33" ht="15.75" customHeight="1">
      <c r="A3434" s="743">
        <v>42082</v>
      </c>
      <c r="B3434" s="823" t="s">
        <v>6060</v>
      </c>
      <c r="C3434" s="386"/>
      <c r="D3434" s="386" t="s">
        <v>10755</v>
      </c>
      <c r="E3434" s="592" t="s">
        <v>1226</v>
      </c>
      <c r="F3434" s="1088">
        <v>1</v>
      </c>
      <c r="G3434" s="386"/>
      <c r="H3434" s="386"/>
      <c r="I3434" s="1136" t="s">
        <v>86</v>
      </c>
      <c r="J3434" s="267" t="s">
        <v>10749</v>
      </c>
      <c r="K3434" s="811">
        <v>42096</v>
      </c>
      <c r="L3434" s="1477"/>
      <c r="M3434" s="811">
        <v>42095</v>
      </c>
      <c r="N3434" s="267" t="s">
        <v>89</v>
      </c>
      <c r="O3434" s="263" t="s">
        <v>10756</v>
      </c>
      <c r="Q3434" s="752">
        <v>48.3</v>
      </c>
      <c r="R3434" s="1088">
        <v>53</v>
      </c>
      <c r="S3434" s="752">
        <f>R3434*F3434</f>
        <v>53</v>
      </c>
      <c r="U3434" s="386"/>
      <c r="V3434" s="386" t="s">
        <v>10751</v>
      </c>
      <c r="W3434" s="386"/>
      <c r="X3434" s="1083">
        <v>42095</v>
      </c>
      <c r="Y3434" s="263" t="s">
        <v>10757</v>
      </c>
      <c r="Z3434" s="1086">
        <v>4922</v>
      </c>
      <c r="AA3434" s="386"/>
      <c r="AB3434" s="263" t="s">
        <v>10758</v>
      </c>
      <c r="AD3434" s="386"/>
      <c r="AE3434" s="386"/>
      <c r="AF3434" s="386"/>
      <c r="AG3434" s="386"/>
    </row>
    <row r="3435" spans="1:33" ht="15.75" customHeight="1">
      <c r="A3435" s="743">
        <v>42082</v>
      </c>
      <c r="B3435" s="823" t="s">
        <v>6060</v>
      </c>
      <c r="C3435" s="386"/>
      <c r="D3435" s="386" t="s">
        <v>10755</v>
      </c>
      <c r="E3435" s="592" t="s">
        <v>6063</v>
      </c>
      <c r="F3435" s="1088">
        <v>2</v>
      </c>
      <c r="G3435" s="386"/>
      <c r="H3435" s="386"/>
      <c r="I3435" s="1136" t="s">
        <v>86</v>
      </c>
      <c r="J3435" s="267" t="s">
        <v>10749</v>
      </c>
      <c r="K3435" s="811">
        <v>42096</v>
      </c>
      <c r="L3435" s="1477"/>
      <c r="M3435" s="811">
        <v>42095</v>
      </c>
      <c r="N3435" s="267" t="s">
        <v>89</v>
      </c>
      <c r="O3435" s="263" t="s">
        <v>10756</v>
      </c>
      <c r="Q3435" s="752">
        <v>109.2</v>
      </c>
      <c r="R3435" s="1088">
        <v>60</v>
      </c>
      <c r="S3435" s="752">
        <f>R3435*F3435</f>
        <v>120</v>
      </c>
      <c r="U3435" s="386"/>
      <c r="V3435" s="386" t="s">
        <v>10751</v>
      </c>
      <c r="W3435" s="386"/>
      <c r="X3435" s="1083">
        <v>42095</v>
      </c>
      <c r="Y3435" s="263" t="s">
        <v>10757</v>
      </c>
      <c r="Z3435" s="254" t="s">
        <v>8588</v>
      </c>
      <c r="AA3435" s="386"/>
      <c r="AB3435" s="263" t="s">
        <v>10758</v>
      </c>
      <c r="AD3435" s="386"/>
      <c r="AE3435" s="386"/>
      <c r="AF3435" s="386"/>
      <c r="AG3435" s="386"/>
    </row>
    <row r="3436" spans="1:33" ht="15.75" customHeight="1">
      <c r="A3436" s="743">
        <v>42290</v>
      </c>
      <c r="B3436" s="823" t="s">
        <v>6060</v>
      </c>
      <c r="C3436" s="386"/>
      <c r="D3436" s="386" t="s">
        <v>10759</v>
      </c>
      <c r="E3436" s="592" t="s">
        <v>10676</v>
      </c>
      <c r="F3436" s="1088">
        <v>15</v>
      </c>
      <c r="G3436" s="386"/>
      <c r="H3436" s="386"/>
      <c r="I3436" s="263" t="s">
        <v>170</v>
      </c>
      <c r="J3436" s="331" t="s">
        <v>10749</v>
      </c>
      <c r="K3436" s="811">
        <v>42304</v>
      </c>
      <c r="L3436" s="1477"/>
      <c r="M3436" s="811">
        <v>42300</v>
      </c>
      <c r="N3436" s="267" t="s">
        <v>89</v>
      </c>
      <c r="O3436" s="263" t="s">
        <v>10675</v>
      </c>
      <c r="Q3436" s="752">
        <v>3685.5</v>
      </c>
      <c r="R3436" s="1088">
        <v>250</v>
      </c>
      <c r="S3436" s="1098">
        <f t="shared" ref="S3436:S3443" si="209">F3436*R3436</f>
        <v>3750</v>
      </c>
      <c r="U3436" s="386"/>
      <c r="V3436" s="386" t="s">
        <v>10751</v>
      </c>
      <c r="W3436" s="386"/>
      <c r="X3436" s="1094">
        <v>42300</v>
      </c>
      <c r="Y3436" s="386" t="s">
        <v>10760</v>
      </c>
      <c r="Z3436" s="824">
        <v>100369</v>
      </c>
      <c r="AA3436" s="1095">
        <v>42321</v>
      </c>
      <c r="AB3436" s="386" t="s">
        <v>10761</v>
      </c>
      <c r="AD3436" s="386"/>
      <c r="AE3436" s="386"/>
      <c r="AF3436" s="386"/>
      <c r="AG3436" s="386" t="s">
        <v>283</v>
      </c>
    </row>
    <row r="3437" spans="1:33" ht="15.75" customHeight="1">
      <c r="A3437" s="743">
        <v>42317</v>
      </c>
      <c r="B3437" s="823" t="s">
        <v>6060</v>
      </c>
      <c r="C3437" s="386"/>
      <c r="D3437" s="386" t="s">
        <v>10762</v>
      </c>
      <c r="E3437" s="386" t="s">
        <v>9781</v>
      </c>
      <c r="F3437" s="386">
        <v>20</v>
      </c>
      <c r="G3437" s="386"/>
      <c r="H3437" s="386"/>
      <c r="I3437" s="263" t="s">
        <v>170</v>
      </c>
      <c r="J3437" s="331" t="s">
        <v>10749</v>
      </c>
      <c r="K3437" s="811">
        <v>42331</v>
      </c>
      <c r="L3437" s="1477"/>
      <c r="M3437" s="1096">
        <v>42327</v>
      </c>
      <c r="N3437" s="267" t="s">
        <v>89</v>
      </c>
      <c r="O3437" s="318" t="s">
        <v>10680</v>
      </c>
      <c r="Q3437" s="318">
        <v>1785</v>
      </c>
      <c r="R3437" s="386">
        <v>90</v>
      </c>
      <c r="S3437" s="1098">
        <f t="shared" si="209"/>
        <v>1800</v>
      </c>
      <c r="U3437" s="386"/>
      <c r="V3437" s="386" t="s">
        <v>10751</v>
      </c>
      <c r="W3437" s="386"/>
      <c r="X3437" s="1090">
        <v>42327</v>
      </c>
      <c r="Y3437" s="386" t="s">
        <v>10763</v>
      </c>
      <c r="Z3437" s="1097">
        <v>71014</v>
      </c>
      <c r="AA3437" s="1090">
        <v>42341</v>
      </c>
      <c r="AB3437" s="386" t="s">
        <v>10764</v>
      </c>
      <c r="AD3437" s="386"/>
      <c r="AE3437" s="386"/>
      <c r="AF3437" s="386"/>
      <c r="AG3437" s="386" t="s">
        <v>283</v>
      </c>
    </row>
    <row r="3438" spans="1:33" ht="15.75" customHeight="1">
      <c r="A3438" s="743">
        <v>42317</v>
      </c>
      <c r="B3438" s="823" t="s">
        <v>6060</v>
      </c>
      <c r="C3438" s="386"/>
      <c r="D3438" s="386" t="s">
        <v>10762</v>
      </c>
      <c r="E3438" s="386" t="s">
        <v>10681</v>
      </c>
      <c r="F3438" s="386">
        <v>15</v>
      </c>
      <c r="G3438" s="386"/>
      <c r="H3438" s="386"/>
      <c r="I3438" s="263" t="s">
        <v>170</v>
      </c>
      <c r="J3438" s="331" t="s">
        <v>10749</v>
      </c>
      <c r="K3438" s="811">
        <v>42331</v>
      </c>
      <c r="L3438" s="1477"/>
      <c r="M3438" s="1096">
        <v>42327</v>
      </c>
      <c r="N3438" s="267" t="s">
        <v>89</v>
      </c>
      <c r="O3438" s="318" t="s">
        <v>10680</v>
      </c>
      <c r="Q3438" s="318">
        <v>819</v>
      </c>
      <c r="R3438" s="386">
        <v>54</v>
      </c>
      <c r="S3438" s="1098">
        <f t="shared" si="209"/>
        <v>810</v>
      </c>
      <c r="U3438" s="386"/>
      <c r="V3438" s="386" t="s">
        <v>10751</v>
      </c>
      <c r="W3438" s="386"/>
      <c r="X3438" s="1090">
        <v>42327</v>
      </c>
      <c r="Y3438" s="386" t="s">
        <v>10763</v>
      </c>
      <c r="Z3438" s="1088" t="s">
        <v>8588</v>
      </c>
      <c r="AA3438" s="1090">
        <v>42341</v>
      </c>
      <c r="AB3438" s="386" t="s">
        <v>10764</v>
      </c>
      <c r="AD3438" s="386"/>
      <c r="AE3438" s="386"/>
      <c r="AF3438" s="386"/>
      <c r="AG3438" s="386" t="s">
        <v>283</v>
      </c>
    </row>
    <row r="3439" spans="1:33" ht="15.75" customHeight="1">
      <c r="A3439" s="743">
        <v>42347</v>
      </c>
      <c r="B3439" s="823" t="s">
        <v>6060</v>
      </c>
      <c r="C3439" s="386"/>
      <c r="D3439" s="386" t="s">
        <v>10765</v>
      </c>
      <c r="E3439" s="386" t="s">
        <v>10766</v>
      </c>
      <c r="F3439" s="1088">
        <v>2</v>
      </c>
      <c r="G3439" s="386"/>
      <c r="H3439" s="386"/>
      <c r="I3439" s="263" t="s">
        <v>170</v>
      </c>
      <c r="J3439" s="331" t="s">
        <v>10749</v>
      </c>
      <c r="K3439" s="811">
        <v>42367</v>
      </c>
      <c r="L3439" s="1477"/>
      <c r="M3439" s="811">
        <v>42354</v>
      </c>
      <c r="N3439" s="267" t="s">
        <v>89</v>
      </c>
      <c r="O3439" s="318" t="s">
        <v>10767</v>
      </c>
      <c r="Q3439" s="318">
        <v>184.8</v>
      </c>
      <c r="R3439" s="386">
        <v>95.6</v>
      </c>
      <c r="S3439" s="1098">
        <f t="shared" si="209"/>
        <v>191.2</v>
      </c>
      <c r="U3439" s="386"/>
      <c r="V3439" s="318" t="s">
        <v>10751</v>
      </c>
      <c r="W3439" s="1088"/>
      <c r="X3439" s="1090">
        <v>42354</v>
      </c>
      <c r="Y3439" s="386" t="s">
        <v>10768</v>
      </c>
      <c r="Z3439" s="824">
        <v>23846</v>
      </c>
      <c r="AA3439" s="1090">
        <v>42398</v>
      </c>
      <c r="AB3439" s="386" t="s">
        <v>10769</v>
      </c>
      <c r="AD3439" s="386"/>
      <c r="AE3439" s="386"/>
      <c r="AF3439" s="386"/>
      <c r="AG3439" s="386" t="s">
        <v>283</v>
      </c>
    </row>
    <row r="3440" spans="1:33" ht="15.75" customHeight="1">
      <c r="A3440" s="743">
        <v>42347</v>
      </c>
      <c r="B3440" s="823" t="s">
        <v>6060</v>
      </c>
      <c r="C3440" s="386"/>
      <c r="D3440" s="386" t="s">
        <v>10765</v>
      </c>
      <c r="E3440" s="386" t="s">
        <v>10681</v>
      </c>
      <c r="F3440" s="1088">
        <v>7</v>
      </c>
      <c r="G3440" s="386"/>
      <c r="H3440" s="386"/>
      <c r="I3440" s="263" t="s">
        <v>170</v>
      </c>
      <c r="J3440" s="331" t="s">
        <v>10749</v>
      </c>
      <c r="K3440" s="811">
        <v>42367</v>
      </c>
      <c r="L3440" s="1477"/>
      <c r="M3440" s="811">
        <v>42354</v>
      </c>
      <c r="N3440" s="267" t="s">
        <v>89</v>
      </c>
      <c r="O3440" s="318" t="s">
        <v>10767</v>
      </c>
      <c r="Q3440" s="318">
        <v>382.2</v>
      </c>
      <c r="R3440" s="386">
        <v>55.6</v>
      </c>
      <c r="S3440" s="1098">
        <f t="shared" si="209"/>
        <v>389.2</v>
      </c>
      <c r="U3440" s="386"/>
      <c r="V3440" s="318" t="s">
        <v>10751</v>
      </c>
      <c r="W3440" s="1088"/>
      <c r="X3440" s="1090">
        <v>42354</v>
      </c>
      <c r="Y3440" s="386" t="s">
        <v>10768</v>
      </c>
      <c r="Z3440" s="585" t="s">
        <v>10770</v>
      </c>
      <c r="AA3440" s="1090">
        <v>42398</v>
      </c>
      <c r="AB3440" s="386" t="s">
        <v>10769</v>
      </c>
      <c r="AD3440" s="386"/>
      <c r="AE3440" s="386"/>
      <c r="AF3440" s="386"/>
      <c r="AG3440" s="386" t="s">
        <v>283</v>
      </c>
    </row>
    <row r="3441" spans="1:33" ht="15.75" customHeight="1">
      <c r="A3441" s="743">
        <v>42347</v>
      </c>
      <c r="B3441" s="823" t="s">
        <v>6060</v>
      </c>
      <c r="C3441" s="386"/>
      <c r="D3441" s="386" t="s">
        <v>10765</v>
      </c>
      <c r="E3441" s="386" t="s">
        <v>10771</v>
      </c>
      <c r="F3441" s="1088">
        <v>1</v>
      </c>
      <c r="G3441" s="386"/>
      <c r="H3441" s="386"/>
      <c r="I3441" s="263" t="s">
        <v>170</v>
      </c>
      <c r="J3441" s="331" t="s">
        <v>10749</v>
      </c>
      <c r="K3441" s="811">
        <v>42367</v>
      </c>
      <c r="L3441" s="1477"/>
      <c r="M3441" s="811">
        <v>42354</v>
      </c>
      <c r="N3441" s="267" t="s">
        <v>89</v>
      </c>
      <c r="O3441" s="318" t="s">
        <v>10767</v>
      </c>
      <c r="Q3441" s="318">
        <v>163.80000000000001</v>
      </c>
      <c r="R3441" s="386">
        <v>170</v>
      </c>
      <c r="S3441" s="1098">
        <f t="shared" si="209"/>
        <v>170</v>
      </c>
      <c r="U3441" s="386"/>
      <c r="V3441" s="318" t="s">
        <v>10751</v>
      </c>
      <c r="W3441" s="1088"/>
      <c r="X3441" s="1090">
        <v>42354</v>
      </c>
      <c r="Y3441" s="386" t="s">
        <v>10768</v>
      </c>
      <c r="Z3441" s="585" t="s">
        <v>10770</v>
      </c>
      <c r="AA3441" s="1090">
        <v>42398</v>
      </c>
      <c r="AB3441" s="386" t="s">
        <v>10769</v>
      </c>
      <c r="AD3441" s="386"/>
      <c r="AE3441" s="386"/>
      <c r="AF3441" s="386"/>
      <c r="AG3441" s="386" t="s">
        <v>283</v>
      </c>
    </row>
    <row r="3442" spans="1:33" ht="15.75" customHeight="1">
      <c r="A3442" s="743">
        <v>42352</v>
      </c>
      <c r="B3442" s="823" t="s">
        <v>6060</v>
      </c>
      <c r="C3442" s="386"/>
      <c r="D3442" s="386" t="s">
        <v>10686</v>
      </c>
      <c r="E3442" s="592" t="s">
        <v>10676</v>
      </c>
      <c r="F3442" s="1088">
        <v>15</v>
      </c>
      <c r="G3442" s="386"/>
      <c r="H3442" s="386"/>
      <c r="I3442" s="263" t="s">
        <v>170</v>
      </c>
      <c r="J3442" s="331" t="s">
        <v>10749</v>
      </c>
      <c r="K3442" s="811">
        <v>42367</v>
      </c>
      <c r="L3442" s="1477"/>
      <c r="M3442" s="811">
        <v>42366</v>
      </c>
      <c r="N3442" s="267" t="s">
        <v>89</v>
      </c>
      <c r="O3442" s="318" t="s">
        <v>10772</v>
      </c>
      <c r="Q3442" s="752">
        <v>3685.5</v>
      </c>
      <c r="R3442" s="1088">
        <v>250</v>
      </c>
      <c r="S3442" s="1098">
        <f t="shared" si="209"/>
        <v>3750</v>
      </c>
      <c r="U3442" s="386"/>
      <c r="V3442" s="386" t="s">
        <v>10751</v>
      </c>
      <c r="W3442" s="1088"/>
      <c r="X3442" s="1090">
        <v>42366</v>
      </c>
      <c r="Y3442" s="386" t="s">
        <v>10773</v>
      </c>
      <c r="Z3442" s="824">
        <v>102084</v>
      </c>
      <c r="AA3442" s="1090">
        <v>42398</v>
      </c>
      <c r="AB3442" s="386" t="s">
        <v>10769</v>
      </c>
      <c r="AD3442" s="386"/>
      <c r="AE3442" s="386"/>
      <c r="AF3442" s="386"/>
      <c r="AG3442" s="386" t="s">
        <v>283</v>
      </c>
    </row>
    <row r="3443" spans="1:33" ht="15.75" customHeight="1">
      <c r="A3443" s="755">
        <v>41995</v>
      </c>
      <c r="B3443" s="823" t="s">
        <v>10774</v>
      </c>
      <c r="C3443" s="386"/>
      <c r="D3443" s="318" t="s">
        <v>10775</v>
      </c>
      <c r="E3443" s="338" t="s">
        <v>10776</v>
      </c>
      <c r="F3443" s="752">
        <v>6</v>
      </c>
      <c r="G3443" s="464">
        <v>6510</v>
      </c>
      <c r="H3443" s="1100">
        <f>F3443*G3443</f>
        <v>39060</v>
      </c>
      <c r="I3443" s="263" t="s">
        <v>10694</v>
      </c>
      <c r="J3443" s="331" t="s">
        <v>10777</v>
      </c>
      <c r="K3443" s="811">
        <v>42012</v>
      </c>
      <c r="L3443" s="1477"/>
      <c r="M3443" s="811">
        <v>41645</v>
      </c>
      <c r="N3443" s="331" t="s">
        <v>10778</v>
      </c>
      <c r="O3443" s="263" t="s">
        <v>10779</v>
      </c>
      <c r="Q3443" s="386"/>
      <c r="R3443" s="464">
        <v>217</v>
      </c>
      <c r="S3443" s="464">
        <f t="shared" si="209"/>
        <v>1302</v>
      </c>
      <c r="U3443" s="1100">
        <v>37624</v>
      </c>
      <c r="V3443" s="318" t="s">
        <v>8443</v>
      </c>
      <c r="W3443" s="1090"/>
      <c r="X3443" s="1083">
        <v>42009</v>
      </c>
      <c r="Y3443" s="263" t="s">
        <v>10780</v>
      </c>
      <c r="Z3443" s="1086">
        <v>37624</v>
      </c>
      <c r="AA3443" s="1083">
        <v>42040</v>
      </c>
      <c r="AB3443" s="318" t="s">
        <v>10781</v>
      </c>
      <c r="AD3443" s="386"/>
      <c r="AE3443" s="1100">
        <v>39060</v>
      </c>
      <c r="AF3443" s="318" t="s">
        <v>10782</v>
      </c>
      <c r="AG3443" s="386"/>
    </row>
    <row r="3444" spans="1:33" ht="15.75" customHeight="1">
      <c r="A3444" s="743">
        <v>41963</v>
      </c>
      <c r="B3444" s="823" t="s">
        <v>10783</v>
      </c>
      <c r="C3444" s="386"/>
      <c r="D3444" s="386" t="s">
        <v>10784</v>
      </c>
      <c r="E3444" s="338" t="s">
        <v>10785</v>
      </c>
      <c r="F3444" s="1088">
        <v>1</v>
      </c>
      <c r="G3444" s="772"/>
      <c r="H3444" s="386"/>
      <c r="I3444" s="263" t="s">
        <v>3712</v>
      </c>
      <c r="J3444" s="267" t="s">
        <v>10786</v>
      </c>
      <c r="K3444" s="811">
        <v>42019</v>
      </c>
      <c r="L3444" s="1477"/>
      <c r="M3444" s="811">
        <v>41969</v>
      </c>
      <c r="N3444" s="267" t="s">
        <v>89</v>
      </c>
      <c r="O3444" s="970" t="s">
        <v>10787</v>
      </c>
      <c r="Q3444" s="464">
        <v>472.5</v>
      </c>
      <c r="R3444" s="323">
        <v>515</v>
      </c>
      <c r="S3444" s="464">
        <f>R3444*F3444</f>
        <v>515</v>
      </c>
      <c r="U3444" s="772"/>
      <c r="V3444" s="386" t="s">
        <v>5896</v>
      </c>
      <c r="W3444" s="1090"/>
      <c r="X3444" s="1083">
        <v>41969</v>
      </c>
      <c r="Y3444" s="1085" t="s">
        <v>10788</v>
      </c>
      <c r="Z3444" s="1086">
        <v>14459</v>
      </c>
      <c r="AA3444" s="1095">
        <v>41983</v>
      </c>
      <c r="AB3444" s="318" t="s">
        <v>10789</v>
      </c>
      <c r="AD3444" s="386"/>
      <c r="AE3444" s="386"/>
      <c r="AF3444" s="386"/>
      <c r="AG3444" s="386" t="s">
        <v>283</v>
      </c>
    </row>
    <row r="3445" spans="1:33" ht="15.75" customHeight="1">
      <c r="A3445" s="743">
        <v>42019</v>
      </c>
      <c r="B3445" s="823" t="s">
        <v>10783</v>
      </c>
      <c r="C3445" s="386"/>
      <c r="D3445" s="386" t="s">
        <v>10790</v>
      </c>
      <c r="E3445" s="338" t="s">
        <v>10791</v>
      </c>
      <c r="F3445" s="1088">
        <v>11</v>
      </c>
      <c r="G3445" s="386"/>
      <c r="H3445" s="386"/>
      <c r="I3445" s="263" t="s">
        <v>3712</v>
      </c>
      <c r="J3445" s="1181" t="s">
        <v>10792</v>
      </c>
      <c r="K3445" s="811">
        <v>42026</v>
      </c>
      <c r="L3445" s="1477"/>
      <c r="M3445" s="811">
        <v>42025</v>
      </c>
      <c r="N3445" s="267" t="s">
        <v>89</v>
      </c>
      <c r="O3445" s="263" t="s">
        <v>10793</v>
      </c>
      <c r="Q3445" s="752">
        <v>1351.35</v>
      </c>
      <c r="R3445" s="1088">
        <v>137</v>
      </c>
      <c r="S3445" s="464">
        <f t="shared" ref="S3445:S3450" si="210">F3445*R3445</f>
        <v>1507</v>
      </c>
      <c r="U3445" s="386"/>
      <c r="V3445" s="386" t="s">
        <v>5896</v>
      </c>
      <c r="W3445" s="1090"/>
      <c r="X3445" s="1083">
        <v>42025</v>
      </c>
      <c r="Y3445" s="263" t="s">
        <v>10794</v>
      </c>
      <c r="Z3445" s="1086">
        <v>42784</v>
      </c>
      <c r="AA3445" s="1095">
        <v>42044</v>
      </c>
      <c r="AB3445" s="318" t="s">
        <v>10795</v>
      </c>
      <c r="AD3445" s="386"/>
      <c r="AE3445" s="386"/>
      <c r="AF3445" s="386"/>
      <c r="AG3445" s="386" t="s">
        <v>283</v>
      </c>
    </row>
    <row r="3446" spans="1:33" ht="15.75" customHeight="1">
      <c r="A3446" s="743">
        <v>42019</v>
      </c>
      <c r="B3446" s="823" t="s">
        <v>10783</v>
      </c>
      <c r="C3446" s="386"/>
      <c r="D3446" s="386" t="s">
        <v>10790</v>
      </c>
      <c r="E3446" s="338" t="s">
        <v>10791</v>
      </c>
      <c r="F3446" s="1088">
        <v>7</v>
      </c>
      <c r="G3446" s="386"/>
      <c r="H3446" s="386"/>
      <c r="I3446" s="263" t="s">
        <v>3712</v>
      </c>
      <c r="J3446" s="1181" t="s">
        <v>10786</v>
      </c>
      <c r="K3446" s="811">
        <v>42033</v>
      </c>
      <c r="L3446" s="1477"/>
      <c r="M3446" s="811">
        <v>42032</v>
      </c>
      <c r="N3446" s="267" t="s">
        <v>89</v>
      </c>
      <c r="O3446" s="263" t="s">
        <v>10793</v>
      </c>
      <c r="Q3446" s="752">
        <v>859.95</v>
      </c>
      <c r="R3446" s="1088">
        <v>137</v>
      </c>
      <c r="S3446" s="464">
        <f t="shared" si="210"/>
        <v>959</v>
      </c>
      <c r="U3446" s="386"/>
      <c r="V3446" s="386" t="s">
        <v>5896</v>
      </c>
      <c r="W3446" s="1090"/>
      <c r="X3446" s="1083">
        <v>42032</v>
      </c>
      <c r="Y3446" s="263" t="s">
        <v>10796</v>
      </c>
      <c r="Z3446" s="1086">
        <v>27226</v>
      </c>
      <c r="AA3446" s="1095">
        <v>42044</v>
      </c>
      <c r="AB3446" s="318" t="s">
        <v>10797</v>
      </c>
      <c r="AD3446" s="386"/>
      <c r="AE3446" s="386"/>
      <c r="AF3446" s="386"/>
      <c r="AG3446" s="386" t="s">
        <v>283</v>
      </c>
    </row>
    <row r="3447" spans="1:33" ht="15.75" customHeight="1">
      <c r="A3447" s="743">
        <v>42019</v>
      </c>
      <c r="B3447" s="823" t="s">
        <v>10783</v>
      </c>
      <c r="C3447" s="386"/>
      <c r="D3447" s="386" t="s">
        <v>10798</v>
      </c>
      <c r="E3447" s="592" t="s">
        <v>10799</v>
      </c>
      <c r="F3447" s="1088">
        <v>25</v>
      </c>
      <c r="G3447" s="386"/>
      <c r="H3447" s="386"/>
      <c r="I3447" s="263" t="s">
        <v>3712</v>
      </c>
      <c r="J3447" s="1181" t="s">
        <v>10792</v>
      </c>
      <c r="K3447" s="811">
        <v>42026</v>
      </c>
      <c r="L3447" s="1477"/>
      <c r="M3447" s="811">
        <v>42025</v>
      </c>
      <c r="N3447" s="267" t="s">
        <v>10800</v>
      </c>
      <c r="O3447" s="970" t="s">
        <v>10801</v>
      </c>
      <c r="Q3447" s="386"/>
      <c r="R3447" s="1088">
        <v>65</v>
      </c>
      <c r="S3447" s="464">
        <f t="shared" si="210"/>
        <v>1625</v>
      </c>
      <c r="U3447" s="752">
        <v>45938</v>
      </c>
      <c r="V3447" s="318" t="s">
        <v>10802</v>
      </c>
      <c r="W3447" s="1090"/>
      <c r="X3447" s="1095">
        <v>42024</v>
      </c>
      <c r="Y3447" s="970" t="s">
        <v>10803</v>
      </c>
      <c r="Z3447" s="824">
        <v>66938</v>
      </c>
      <c r="AA3447" s="1095">
        <v>42025</v>
      </c>
      <c r="AB3447" s="318" t="s">
        <v>10795</v>
      </c>
      <c r="AD3447" s="386"/>
      <c r="AE3447" s="386"/>
      <c r="AF3447" s="386"/>
      <c r="AG3447" s="386" t="s">
        <v>283</v>
      </c>
    </row>
    <row r="3448" spans="1:33" ht="15.75" customHeight="1">
      <c r="A3448" s="743">
        <v>42019</v>
      </c>
      <c r="B3448" s="823" t="s">
        <v>10783</v>
      </c>
      <c r="C3448" s="386"/>
      <c r="D3448" s="386" t="s">
        <v>10798</v>
      </c>
      <c r="E3448" s="592" t="s">
        <v>10804</v>
      </c>
      <c r="F3448" s="1088">
        <v>25</v>
      </c>
      <c r="G3448" s="386"/>
      <c r="H3448" s="386"/>
      <c r="I3448" s="263" t="s">
        <v>3712</v>
      </c>
      <c r="J3448" s="1181" t="s">
        <v>10792</v>
      </c>
      <c r="K3448" s="811">
        <v>42026</v>
      </c>
      <c r="L3448" s="1477"/>
      <c r="M3448" s="811">
        <v>42025</v>
      </c>
      <c r="N3448" s="267" t="s">
        <v>10800</v>
      </c>
      <c r="O3448" s="970" t="s">
        <v>10801</v>
      </c>
      <c r="Q3448" s="386"/>
      <c r="R3448" s="1088">
        <v>30</v>
      </c>
      <c r="S3448" s="464">
        <f t="shared" si="210"/>
        <v>750</v>
      </c>
      <c r="U3448" s="752">
        <v>21000</v>
      </c>
      <c r="V3448" s="318" t="s">
        <v>10802</v>
      </c>
      <c r="W3448" s="1090"/>
      <c r="X3448" s="1095">
        <v>42024</v>
      </c>
      <c r="Y3448" s="970" t="s">
        <v>10803</v>
      </c>
      <c r="Z3448" s="824" t="s">
        <v>10805</v>
      </c>
      <c r="AA3448" s="1095">
        <v>42025</v>
      </c>
      <c r="AB3448" s="318" t="s">
        <v>10795</v>
      </c>
      <c r="AD3448" s="386"/>
      <c r="AE3448" s="386"/>
      <c r="AF3448" s="386"/>
      <c r="AG3448" s="386" t="s">
        <v>283</v>
      </c>
    </row>
    <row r="3449" spans="1:33" ht="15.75" customHeight="1">
      <c r="A3449" s="743">
        <v>42030</v>
      </c>
      <c r="B3449" s="823" t="s">
        <v>10783</v>
      </c>
      <c r="C3449" s="386"/>
      <c r="D3449" s="386" t="s">
        <v>10806</v>
      </c>
      <c r="E3449" s="338" t="s">
        <v>10807</v>
      </c>
      <c r="F3449" s="1088">
        <v>15</v>
      </c>
      <c r="G3449" s="386"/>
      <c r="H3449" s="386"/>
      <c r="I3449" s="263" t="s">
        <v>3712</v>
      </c>
      <c r="J3449" s="1181" t="s">
        <v>10786</v>
      </c>
      <c r="K3449" s="811">
        <v>42037</v>
      </c>
      <c r="L3449" s="1477"/>
      <c r="M3449" s="811">
        <v>42034</v>
      </c>
      <c r="N3449" s="267" t="s">
        <v>89</v>
      </c>
      <c r="O3449" s="263" t="s">
        <v>10808</v>
      </c>
      <c r="Q3449" s="752">
        <v>1795.5</v>
      </c>
      <c r="R3449" s="1088">
        <v>137</v>
      </c>
      <c r="S3449" s="464">
        <f t="shared" si="210"/>
        <v>2055</v>
      </c>
      <c r="U3449" s="386"/>
      <c r="V3449" s="386" t="s">
        <v>10751</v>
      </c>
      <c r="W3449" s="1090"/>
      <c r="X3449" s="1083">
        <v>42034</v>
      </c>
      <c r="Y3449" s="263" t="s">
        <v>10809</v>
      </c>
      <c r="Z3449" s="1086">
        <v>56846</v>
      </c>
      <c r="AA3449" s="1095">
        <v>42044</v>
      </c>
      <c r="AB3449" s="318" t="s">
        <v>10810</v>
      </c>
      <c r="AD3449" s="386"/>
      <c r="AE3449" s="386"/>
      <c r="AF3449" s="386"/>
      <c r="AG3449" s="386" t="s">
        <v>283</v>
      </c>
    </row>
    <row r="3450" spans="1:33" ht="15.75" customHeight="1">
      <c r="A3450" s="743">
        <v>42044</v>
      </c>
      <c r="B3450" s="823" t="s">
        <v>10783</v>
      </c>
      <c r="C3450" s="386"/>
      <c r="D3450" s="386" t="s">
        <v>10811</v>
      </c>
      <c r="E3450" s="592" t="s">
        <v>9491</v>
      </c>
      <c r="F3450" s="1088">
        <v>5</v>
      </c>
      <c r="G3450" s="386"/>
      <c r="H3450" s="386"/>
      <c r="I3450" s="263" t="s">
        <v>3712</v>
      </c>
      <c r="J3450" s="1181" t="s">
        <v>10786</v>
      </c>
      <c r="K3450" s="811">
        <v>42051</v>
      </c>
      <c r="L3450" s="1477"/>
      <c r="M3450" s="811">
        <v>42048</v>
      </c>
      <c r="N3450" s="267" t="s">
        <v>89</v>
      </c>
      <c r="O3450" s="263" t="s">
        <v>10812</v>
      </c>
      <c r="Q3450" s="752">
        <v>1333.5</v>
      </c>
      <c r="R3450" s="1088">
        <v>285</v>
      </c>
      <c r="S3450" s="464">
        <f t="shared" si="210"/>
        <v>1425</v>
      </c>
      <c r="U3450" s="386"/>
      <c r="V3450" s="386" t="s">
        <v>10751</v>
      </c>
      <c r="W3450" s="1090"/>
      <c r="X3450" s="1083">
        <v>42048</v>
      </c>
      <c r="Y3450" s="263" t="s">
        <v>10813</v>
      </c>
      <c r="Z3450" s="1086">
        <v>41905</v>
      </c>
      <c r="AA3450" s="1095">
        <v>42074</v>
      </c>
      <c r="AB3450" s="318" t="s">
        <v>10814</v>
      </c>
      <c r="AD3450" s="386"/>
      <c r="AE3450" s="386"/>
      <c r="AF3450" s="386"/>
      <c r="AG3450" s="386" t="s">
        <v>8415</v>
      </c>
    </row>
    <row r="3451" spans="1:33" ht="15.75" customHeight="1">
      <c r="A3451" s="743">
        <v>42059</v>
      </c>
      <c r="B3451" s="823" t="s">
        <v>10783</v>
      </c>
      <c r="C3451" s="386"/>
      <c r="D3451" s="386" t="s">
        <v>10815</v>
      </c>
      <c r="E3451" s="592" t="s">
        <v>10816</v>
      </c>
      <c r="F3451" s="1088">
        <v>10</v>
      </c>
      <c r="G3451" s="386"/>
      <c r="H3451" s="386"/>
      <c r="I3451" s="263" t="s">
        <v>3712</v>
      </c>
      <c r="J3451" s="1181" t="s">
        <v>10786</v>
      </c>
      <c r="K3451" s="811">
        <v>42072</v>
      </c>
      <c r="L3451" s="1477"/>
      <c r="M3451" s="811">
        <v>42069</v>
      </c>
      <c r="N3451" s="267" t="s">
        <v>89</v>
      </c>
      <c r="O3451" s="263" t="s">
        <v>10817</v>
      </c>
      <c r="Q3451" s="752">
        <v>441</v>
      </c>
      <c r="R3451" s="323">
        <v>50</v>
      </c>
      <c r="S3451" s="464">
        <f>R3451*F3451</f>
        <v>500</v>
      </c>
      <c r="U3451" s="386"/>
      <c r="V3451" s="386" t="s">
        <v>10751</v>
      </c>
      <c r="W3451" s="1090"/>
      <c r="X3451" s="1083">
        <v>42069</v>
      </c>
      <c r="Y3451" s="263" t="s">
        <v>10818</v>
      </c>
      <c r="Z3451" s="1086">
        <v>15950</v>
      </c>
      <c r="AA3451" s="1095">
        <v>42074</v>
      </c>
      <c r="AB3451" s="318" t="s">
        <v>10819</v>
      </c>
      <c r="AD3451" s="386"/>
      <c r="AE3451" s="386"/>
      <c r="AF3451" s="386"/>
      <c r="AG3451" s="386" t="s">
        <v>8415</v>
      </c>
    </row>
    <row r="3452" spans="1:33" ht="15.75" customHeight="1">
      <c r="A3452" s="743">
        <v>42059</v>
      </c>
      <c r="B3452" s="823" t="s">
        <v>10783</v>
      </c>
      <c r="C3452" s="386"/>
      <c r="D3452" s="386" t="s">
        <v>10815</v>
      </c>
      <c r="E3452" s="592" t="s">
        <v>10820</v>
      </c>
      <c r="F3452" s="1088">
        <v>1</v>
      </c>
      <c r="G3452" s="386"/>
      <c r="H3452" s="386"/>
      <c r="I3452" s="263" t="s">
        <v>3712</v>
      </c>
      <c r="J3452" s="1181" t="s">
        <v>10786</v>
      </c>
      <c r="K3452" s="811">
        <v>42072</v>
      </c>
      <c r="L3452" s="1477"/>
      <c r="M3452" s="811">
        <v>42069</v>
      </c>
      <c r="N3452" s="267" t="s">
        <v>89</v>
      </c>
      <c r="O3452" s="263" t="s">
        <v>10817</v>
      </c>
      <c r="Q3452" s="752">
        <v>67.2</v>
      </c>
      <c r="R3452" s="323">
        <v>75</v>
      </c>
      <c r="S3452" s="464">
        <f>R3452*F3452</f>
        <v>75</v>
      </c>
      <c r="U3452" s="386"/>
      <c r="V3452" s="386" t="s">
        <v>10751</v>
      </c>
      <c r="W3452" s="1090"/>
      <c r="X3452" s="1083">
        <v>42069</v>
      </c>
      <c r="Y3452" s="263" t="s">
        <v>10818</v>
      </c>
      <c r="Z3452" s="254" t="s">
        <v>8588</v>
      </c>
      <c r="AA3452" s="1095">
        <v>42074</v>
      </c>
      <c r="AB3452" s="318" t="s">
        <v>10819</v>
      </c>
      <c r="AD3452" s="386"/>
      <c r="AE3452" s="386"/>
      <c r="AF3452" s="386"/>
      <c r="AG3452" s="386" t="s">
        <v>8415</v>
      </c>
    </row>
    <row r="3453" spans="1:33" ht="15.75" customHeight="1">
      <c r="A3453" s="743">
        <v>42059</v>
      </c>
      <c r="B3453" s="823" t="s">
        <v>10783</v>
      </c>
      <c r="C3453" s="386"/>
      <c r="D3453" s="386" t="s">
        <v>10815</v>
      </c>
      <c r="E3453" s="592" t="s">
        <v>10799</v>
      </c>
      <c r="F3453" s="1088">
        <v>10</v>
      </c>
      <c r="G3453" s="386"/>
      <c r="H3453" s="386"/>
      <c r="I3453" s="263" t="s">
        <v>3712</v>
      </c>
      <c r="J3453" s="1181" t="s">
        <v>10786</v>
      </c>
      <c r="K3453" s="811">
        <v>42072</v>
      </c>
      <c r="L3453" s="1477"/>
      <c r="M3453" s="811">
        <v>42067</v>
      </c>
      <c r="N3453" s="267" t="s">
        <v>10800</v>
      </c>
      <c r="O3453" s="970" t="s">
        <v>10821</v>
      </c>
      <c r="Q3453" s="386"/>
      <c r="R3453" s="323">
        <v>65</v>
      </c>
      <c r="S3453" s="464">
        <f>R3453*F3453</f>
        <v>650</v>
      </c>
      <c r="U3453" s="752">
        <v>18375</v>
      </c>
      <c r="V3453" s="318" t="s">
        <v>10802</v>
      </c>
      <c r="W3453" s="1090"/>
      <c r="X3453" s="1083">
        <v>42066</v>
      </c>
      <c r="Y3453" s="263" t="s">
        <v>10822</v>
      </c>
      <c r="Z3453" s="1086">
        <v>18375</v>
      </c>
      <c r="AA3453" s="1095">
        <v>42090</v>
      </c>
      <c r="AB3453" s="318" t="s">
        <v>10819</v>
      </c>
      <c r="AD3453" s="386"/>
      <c r="AE3453" s="386"/>
      <c r="AF3453" s="386"/>
      <c r="AG3453" s="386" t="s">
        <v>8415</v>
      </c>
    </row>
    <row r="3454" spans="1:33" ht="15.75" customHeight="1">
      <c r="A3454" s="743">
        <v>42081</v>
      </c>
      <c r="B3454" s="823" t="s">
        <v>10783</v>
      </c>
      <c r="C3454" s="386"/>
      <c r="D3454" s="386" t="s">
        <v>10823</v>
      </c>
      <c r="E3454" s="592" t="s">
        <v>10824</v>
      </c>
      <c r="F3454" s="1088">
        <v>2</v>
      </c>
      <c r="G3454" s="386"/>
      <c r="H3454" s="386"/>
      <c r="I3454" s="263" t="s">
        <v>3712</v>
      </c>
      <c r="J3454" s="1181" t="s">
        <v>10786</v>
      </c>
      <c r="K3454" s="811">
        <v>42103</v>
      </c>
      <c r="L3454" s="1477"/>
      <c r="M3454" s="811">
        <v>42102</v>
      </c>
      <c r="N3454" s="267" t="s">
        <v>89</v>
      </c>
      <c r="O3454" s="263" t="s">
        <v>10825</v>
      </c>
      <c r="Q3454" s="752">
        <v>357</v>
      </c>
      <c r="R3454" s="1088">
        <v>217</v>
      </c>
      <c r="S3454" s="464">
        <f>F3454*R3454</f>
        <v>434</v>
      </c>
      <c r="U3454" s="386"/>
      <c r="V3454" s="386" t="s">
        <v>10751</v>
      </c>
      <c r="W3454" s="386"/>
      <c r="X3454" s="1083">
        <v>42102</v>
      </c>
      <c r="Y3454" s="318" t="s">
        <v>10826</v>
      </c>
      <c r="Z3454" s="1086">
        <v>11156</v>
      </c>
      <c r="AA3454" s="386"/>
      <c r="AB3454" s="318" t="s">
        <v>10827</v>
      </c>
      <c r="AD3454" s="386"/>
      <c r="AE3454" s="386"/>
      <c r="AF3454" s="386"/>
      <c r="AG3454" s="386" t="s">
        <v>283</v>
      </c>
    </row>
    <row r="3455" spans="1:33" ht="15.75" customHeight="1">
      <c r="A3455" s="755">
        <v>42012</v>
      </c>
      <c r="B3455" s="823" t="s">
        <v>8502</v>
      </c>
      <c r="C3455" s="263" t="s">
        <v>10828</v>
      </c>
      <c r="D3455" s="318" t="s">
        <v>10829</v>
      </c>
      <c r="E3455" s="338" t="s">
        <v>10830</v>
      </c>
      <c r="F3455" s="752">
        <v>0</v>
      </c>
      <c r="G3455" s="386"/>
      <c r="H3455" s="386"/>
      <c r="I3455" s="263" t="s">
        <v>10831</v>
      </c>
      <c r="J3455" s="331" t="s">
        <v>10832</v>
      </c>
      <c r="K3455" s="811">
        <v>42012</v>
      </c>
      <c r="L3455" s="1477"/>
      <c r="M3455" s="386"/>
      <c r="N3455" s="331" t="s">
        <v>89</v>
      </c>
      <c r="O3455" s="386"/>
      <c r="Q3455" s="386"/>
      <c r="R3455" s="464">
        <v>224.7</v>
      </c>
      <c r="S3455" s="464">
        <f>F3455*R3455</f>
        <v>0</v>
      </c>
      <c r="U3455" s="386"/>
      <c r="V3455" s="386"/>
      <c r="W3455" s="386"/>
      <c r="X3455" s="386"/>
      <c r="Y3455" s="386"/>
      <c r="Z3455" s="386"/>
      <c r="AA3455" s="386"/>
      <c r="AB3455" s="386"/>
      <c r="AD3455" s="386"/>
      <c r="AE3455" s="386"/>
      <c r="AF3455" s="386"/>
      <c r="AG3455" s="386"/>
    </row>
    <row r="3456" spans="1:33" ht="15.75" customHeight="1">
      <c r="A3456" s="743">
        <v>42018</v>
      </c>
      <c r="B3456" s="823" t="s">
        <v>8502</v>
      </c>
      <c r="C3456" s="970" t="s">
        <v>10833</v>
      </c>
      <c r="D3456" s="386" t="s">
        <v>10834</v>
      </c>
      <c r="E3456" s="592" t="s">
        <v>10835</v>
      </c>
      <c r="F3456" s="1088">
        <v>1</v>
      </c>
      <c r="G3456" s="386"/>
      <c r="H3456" s="386"/>
      <c r="I3456" s="263" t="s">
        <v>10831</v>
      </c>
      <c r="J3456" s="267" t="s">
        <v>89</v>
      </c>
      <c r="K3456" s="811">
        <v>42033</v>
      </c>
      <c r="L3456" s="1477"/>
      <c r="M3456" s="386"/>
      <c r="N3456" s="267" t="s">
        <v>89</v>
      </c>
      <c r="O3456" s="263" t="s">
        <v>10836</v>
      </c>
      <c r="Q3456" s="752">
        <v>64.05</v>
      </c>
      <c r="R3456" s="752">
        <v>72.45</v>
      </c>
      <c r="S3456" s="464">
        <f>F3456*R3456</f>
        <v>72.45</v>
      </c>
      <c r="U3456" s="386"/>
      <c r="V3456" s="386" t="s">
        <v>5896</v>
      </c>
      <c r="W3456" s="1090"/>
      <c r="X3456" s="1083">
        <v>42033</v>
      </c>
      <c r="Y3456" s="263" t="s">
        <v>10837</v>
      </c>
      <c r="Z3456" s="1086">
        <v>2028</v>
      </c>
      <c r="AA3456" s="1095">
        <v>42044</v>
      </c>
      <c r="AB3456" s="318" t="s">
        <v>10838</v>
      </c>
      <c r="AD3456" s="386" t="s">
        <v>10839</v>
      </c>
      <c r="AE3456" s="1110">
        <v>2262</v>
      </c>
      <c r="AF3456" s="386" t="s">
        <v>10840</v>
      </c>
      <c r="AG3456" s="386"/>
    </row>
    <row r="3457" spans="1:33" ht="15.75" customHeight="1">
      <c r="A3457" s="743">
        <v>42038</v>
      </c>
      <c r="B3457" s="823" t="s">
        <v>8502</v>
      </c>
      <c r="C3457" s="970" t="s">
        <v>10841</v>
      </c>
      <c r="D3457" s="386" t="s">
        <v>10842</v>
      </c>
      <c r="E3457" s="592" t="s">
        <v>10843</v>
      </c>
      <c r="F3457" s="1088">
        <v>6</v>
      </c>
      <c r="G3457" s="386"/>
      <c r="H3457" s="386"/>
      <c r="I3457" s="263" t="s">
        <v>10831</v>
      </c>
      <c r="J3457" s="267" t="s">
        <v>89</v>
      </c>
      <c r="K3457" s="811">
        <v>42065</v>
      </c>
      <c r="L3457" s="1477"/>
      <c r="M3457" s="386"/>
      <c r="N3457" s="267" t="s">
        <v>89</v>
      </c>
      <c r="O3457" s="263" t="s">
        <v>10844</v>
      </c>
      <c r="Q3457" s="752">
        <v>762.3</v>
      </c>
      <c r="R3457" s="1088">
        <v>155.715</v>
      </c>
      <c r="S3457" s="464">
        <f>R3457*F3457</f>
        <v>934.29</v>
      </c>
      <c r="U3457" s="386"/>
      <c r="V3457" s="386" t="s">
        <v>10751</v>
      </c>
      <c r="W3457" s="1090"/>
      <c r="X3457" s="1083">
        <v>42065</v>
      </c>
      <c r="Y3457" s="263" t="s">
        <v>10845</v>
      </c>
      <c r="Z3457" s="1086">
        <v>29355</v>
      </c>
      <c r="AA3457" s="1095">
        <v>42074</v>
      </c>
      <c r="AB3457" s="386" t="s">
        <v>10846</v>
      </c>
      <c r="AD3457" s="386" t="s">
        <v>10847</v>
      </c>
      <c r="AE3457" s="1110">
        <v>29355</v>
      </c>
      <c r="AF3457" s="386" t="s">
        <v>10848</v>
      </c>
      <c r="AG3457" s="386"/>
    </row>
    <row r="3458" spans="1:33" ht="15.75" customHeight="1">
      <c r="A3458" s="743">
        <v>42081</v>
      </c>
      <c r="B3458" s="823" t="s">
        <v>8502</v>
      </c>
      <c r="C3458" s="970" t="s">
        <v>10849</v>
      </c>
      <c r="D3458" s="386" t="s">
        <v>10850</v>
      </c>
      <c r="E3458" s="592" t="s">
        <v>10851</v>
      </c>
      <c r="F3458" s="1088">
        <v>1</v>
      </c>
      <c r="G3458" s="386"/>
      <c r="H3458" s="386"/>
      <c r="I3458" s="263" t="s">
        <v>10831</v>
      </c>
      <c r="J3458" s="267" t="s">
        <v>89</v>
      </c>
      <c r="K3458" s="811">
        <v>42096</v>
      </c>
      <c r="L3458" s="1477"/>
      <c r="M3458" s="386"/>
      <c r="N3458" s="267" t="s">
        <v>89</v>
      </c>
      <c r="O3458" s="263" t="s">
        <v>10852</v>
      </c>
      <c r="Q3458" s="752">
        <v>63</v>
      </c>
      <c r="R3458" s="1088">
        <v>73.5</v>
      </c>
      <c r="S3458" s="464">
        <f>F3458*R3458</f>
        <v>73.5</v>
      </c>
      <c r="U3458" s="386"/>
      <c r="V3458" s="386" t="s">
        <v>10751</v>
      </c>
      <c r="W3458" s="386"/>
      <c r="X3458" s="1083">
        <v>42096</v>
      </c>
      <c r="Y3458" s="318" t="s">
        <v>10853</v>
      </c>
      <c r="Z3458" s="1086">
        <v>1969</v>
      </c>
      <c r="AA3458" s="386"/>
      <c r="AB3458" s="386" t="s">
        <v>10854</v>
      </c>
      <c r="AD3458" s="386" t="s">
        <v>10855</v>
      </c>
      <c r="AE3458" s="1110">
        <v>2294</v>
      </c>
      <c r="AF3458" s="386" t="s">
        <v>10856</v>
      </c>
      <c r="AG3458" s="386"/>
    </row>
    <row r="3459" spans="1:33" ht="15.75" customHeight="1">
      <c r="A3459" s="743">
        <v>42103</v>
      </c>
      <c r="B3459" s="823" t="s">
        <v>8502</v>
      </c>
      <c r="C3459" s="970" t="s">
        <v>10857</v>
      </c>
      <c r="D3459" s="386" t="s">
        <v>10858</v>
      </c>
      <c r="E3459" s="592" t="s">
        <v>10859</v>
      </c>
      <c r="F3459" s="1088">
        <v>7</v>
      </c>
      <c r="G3459" s="386"/>
      <c r="H3459" s="386"/>
      <c r="I3459" s="263" t="s">
        <v>10831</v>
      </c>
      <c r="J3459" s="267" t="s">
        <v>89</v>
      </c>
      <c r="K3459" s="811">
        <v>42110</v>
      </c>
      <c r="L3459" s="1477"/>
      <c r="M3459" s="386"/>
      <c r="N3459" s="267" t="s">
        <v>89</v>
      </c>
      <c r="O3459" s="263" t="s">
        <v>10860</v>
      </c>
      <c r="Q3459" s="752">
        <v>14.7</v>
      </c>
      <c r="R3459" s="1088">
        <v>2.625</v>
      </c>
      <c r="S3459" s="464">
        <f t="shared" ref="S3459:S3466" si="211">R3459*F3459</f>
        <v>18.375</v>
      </c>
      <c r="U3459" s="386"/>
      <c r="V3459" s="386" t="s">
        <v>10751</v>
      </c>
      <c r="W3459" s="386"/>
      <c r="X3459" s="1083">
        <v>42109</v>
      </c>
      <c r="Y3459" s="318" t="s">
        <v>10861</v>
      </c>
      <c r="Z3459" s="1086">
        <v>64792</v>
      </c>
      <c r="AA3459" s="386"/>
      <c r="AB3459" s="386" t="s">
        <v>10862</v>
      </c>
      <c r="AD3459" s="386" t="s">
        <v>10863</v>
      </c>
      <c r="AE3459" s="1110">
        <v>53352</v>
      </c>
      <c r="AF3459" s="386" t="s">
        <v>10733</v>
      </c>
      <c r="AG3459" s="386"/>
    </row>
    <row r="3460" spans="1:33" ht="15.75" customHeight="1">
      <c r="A3460" s="743">
        <v>42103</v>
      </c>
      <c r="B3460" s="823" t="s">
        <v>8502</v>
      </c>
      <c r="C3460" s="970" t="s">
        <v>10857</v>
      </c>
      <c r="D3460" s="386" t="s">
        <v>10858</v>
      </c>
      <c r="E3460" s="592" t="s">
        <v>10864</v>
      </c>
      <c r="F3460" s="1088">
        <v>7</v>
      </c>
      <c r="G3460" s="386"/>
      <c r="H3460" s="386"/>
      <c r="I3460" s="263" t="s">
        <v>10831</v>
      </c>
      <c r="J3460" s="267" t="s">
        <v>89</v>
      </c>
      <c r="K3460" s="811">
        <v>42110</v>
      </c>
      <c r="L3460" s="1477"/>
      <c r="M3460" s="386"/>
      <c r="N3460" s="267" t="s">
        <v>89</v>
      </c>
      <c r="O3460" s="263" t="s">
        <v>10860</v>
      </c>
      <c r="Q3460" s="752">
        <v>1389.15</v>
      </c>
      <c r="R3460" s="1088">
        <v>233.1</v>
      </c>
      <c r="S3460" s="464">
        <f t="shared" si="211"/>
        <v>1631.7</v>
      </c>
      <c r="U3460" s="386"/>
      <c r="V3460" s="386" t="s">
        <v>10751</v>
      </c>
      <c r="W3460" s="386"/>
      <c r="X3460" s="1083">
        <v>42109</v>
      </c>
      <c r="Y3460" s="318" t="s">
        <v>10861</v>
      </c>
      <c r="Z3460" s="254" t="s">
        <v>8588</v>
      </c>
      <c r="AA3460" s="386"/>
      <c r="AB3460" s="386" t="s">
        <v>10862</v>
      </c>
      <c r="AD3460" s="386" t="s">
        <v>10863</v>
      </c>
      <c r="AE3460" s="1088" t="s">
        <v>8588</v>
      </c>
      <c r="AF3460" s="386" t="s">
        <v>10733</v>
      </c>
      <c r="AG3460" s="386"/>
    </row>
    <row r="3461" spans="1:33" ht="15.75" customHeight="1">
      <c r="A3461" s="743">
        <v>42103</v>
      </c>
      <c r="B3461" s="823" t="s">
        <v>8502</v>
      </c>
      <c r="C3461" s="970" t="s">
        <v>10857</v>
      </c>
      <c r="D3461" s="386" t="s">
        <v>10858</v>
      </c>
      <c r="E3461" s="592" t="s">
        <v>10865</v>
      </c>
      <c r="F3461" s="1088">
        <v>7</v>
      </c>
      <c r="G3461" s="386"/>
      <c r="H3461" s="386"/>
      <c r="I3461" s="263" t="s">
        <v>10831</v>
      </c>
      <c r="J3461" s="267" t="s">
        <v>89</v>
      </c>
      <c r="K3461" s="811">
        <v>42110</v>
      </c>
      <c r="L3461" s="1477"/>
      <c r="M3461" s="386"/>
      <c r="N3461" s="267" t="s">
        <v>89</v>
      </c>
      <c r="O3461" s="263" t="s">
        <v>10860</v>
      </c>
      <c r="Q3461" s="752">
        <v>51.45</v>
      </c>
      <c r="R3461" s="1088">
        <v>8.7149999999999999</v>
      </c>
      <c r="S3461" s="464">
        <f t="shared" si="211"/>
        <v>61.004999999999995</v>
      </c>
      <c r="U3461" s="386"/>
      <c r="V3461" s="386" t="s">
        <v>10751</v>
      </c>
      <c r="W3461" s="386"/>
      <c r="X3461" s="1083">
        <v>42109</v>
      </c>
      <c r="Y3461" s="318" t="s">
        <v>10861</v>
      </c>
      <c r="Z3461" s="254" t="s">
        <v>8588</v>
      </c>
      <c r="AA3461" s="386"/>
      <c r="AB3461" s="386" t="s">
        <v>10862</v>
      </c>
      <c r="AD3461" s="386" t="s">
        <v>10863</v>
      </c>
      <c r="AE3461" s="1088" t="s">
        <v>8588</v>
      </c>
      <c r="AF3461" s="386" t="s">
        <v>10733</v>
      </c>
      <c r="AG3461" s="386"/>
    </row>
    <row r="3462" spans="1:33" ht="15.75" customHeight="1">
      <c r="A3462" s="743">
        <v>42103</v>
      </c>
      <c r="B3462" s="823" t="s">
        <v>8502</v>
      </c>
      <c r="C3462" s="970" t="s">
        <v>10857</v>
      </c>
      <c r="D3462" s="386" t="s">
        <v>10858</v>
      </c>
      <c r="E3462" s="592" t="s">
        <v>10859</v>
      </c>
      <c r="F3462" s="1088">
        <v>3</v>
      </c>
      <c r="G3462" s="386"/>
      <c r="H3462" s="386"/>
      <c r="I3462" s="263" t="s">
        <v>10831</v>
      </c>
      <c r="J3462" s="267" t="s">
        <v>89</v>
      </c>
      <c r="K3462" s="811">
        <v>42110</v>
      </c>
      <c r="L3462" s="1477"/>
      <c r="M3462" s="386"/>
      <c r="N3462" s="267" t="s">
        <v>89</v>
      </c>
      <c r="O3462" s="263" t="s">
        <v>10860</v>
      </c>
      <c r="Q3462" s="752">
        <v>6.3</v>
      </c>
      <c r="R3462" s="1088">
        <v>2.625</v>
      </c>
      <c r="S3462" s="464">
        <f t="shared" si="211"/>
        <v>7.875</v>
      </c>
      <c r="U3462" s="386"/>
      <c r="V3462" s="386" t="s">
        <v>10751</v>
      </c>
      <c r="W3462" s="386"/>
      <c r="X3462" s="1083">
        <v>42109</v>
      </c>
      <c r="Y3462" s="318" t="s">
        <v>10861</v>
      </c>
      <c r="Z3462" s="254" t="s">
        <v>8588</v>
      </c>
      <c r="AA3462" s="386"/>
      <c r="AB3462" s="386" t="s">
        <v>10866</v>
      </c>
      <c r="AD3462" s="386" t="s">
        <v>10863</v>
      </c>
      <c r="AE3462" s="1110">
        <v>22865</v>
      </c>
      <c r="AF3462" s="386" t="s">
        <v>10733</v>
      </c>
      <c r="AG3462" s="386"/>
    </row>
    <row r="3463" spans="1:33" ht="15.75" customHeight="1">
      <c r="A3463" s="743">
        <v>42103</v>
      </c>
      <c r="B3463" s="823" t="s">
        <v>8502</v>
      </c>
      <c r="C3463" s="970" t="s">
        <v>10857</v>
      </c>
      <c r="D3463" s="386" t="s">
        <v>10858</v>
      </c>
      <c r="E3463" s="592" t="s">
        <v>10864</v>
      </c>
      <c r="F3463" s="1088">
        <v>3</v>
      </c>
      <c r="G3463" s="386"/>
      <c r="H3463" s="386"/>
      <c r="I3463" s="263" t="s">
        <v>10831</v>
      </c>
      <c r="J3463" s="267" t="s">
        <v>89</v>
      </c>
      <c r="K3463" s="811">
        <v>42110</v>
      </c>
      <c r="L3463" s="1477"/>
      <c r="M3463" s="386"/>
      <c r="N3463" s="267" t="s">
        <v>89</v>
      </c>
      <c r="O3463" s="263" t="s">
        <v>10860</v>
      </c>
      <c r="Q3463" s="752">
        <v>595.35</v>
      </c>
      <c r="R3463" s="1088">
        <v>233.1</v>
      </c>
      <c r="S3463" s="464">
        <f t="shared" si="211"/>
        <v>699.3</v>
      </c>
      <c r="U3463" s="386"/>
      <c r="V3463" s="386" t="s">
        <v>10751</v>
      </c>
      <c r="W3463" s="386"/>
      <c r="X3463" s="1083">
        <v>42109</v>
      </c>
      <c r="Y3463" s="318" t="s">
        <v>10861</v>
      </c>
      <c r="Z3463" s="254" t="s">
        <v>8588</v>
      </c>
      <c r="AA3463" s="386"/>
      <c r="AB3463" s="386" t="s">
        <v>10866</v>
      </c>
      <c r="AD3463" s="386" t="s">
        <v>10863</v>
      </c>
      <c r="AE3463" s="1088" t="s">
        <v>8588</v>
      </c>
      <c r="AF3463" s="386" t="s">
        <v>10733</v>
      </c>
      <c r="AG3463" s="386"/>
    </row>
    <row r="3464" spans="1:33" ht="15.75" customHeight="1">
      <c r="A3464" s="743">
        <v>42103</v>
      </c>
      <c r="B3464" s="823" t="s">
        <v>8502</v>
      </c>
      <c r="C3464" s="970" t="s">
        <v>10857</v>
      </c>
      <c r="D3464" s="386" t="s">
        <v>10858</v>
      </c>
      <c r="E3464" s="592" t="s">
        <v>10865</v>
      </c>
      <c r="F3464" s="1088">
        <v>3</v>
      </c>
      <c r="G3464" s="386"/>
      <c r="H3464" s="386"/>
      <c r="I3464" s="263" t="s">
        <v>10831</v>
      </c>
      <c r="J3464" s="267" t="s">
        <v>89</v>
      </c>
      <c r="K3464" s="811">
        <v>42110</v>
      </c>
      <c r="L3464" s="1477"/>
      <c r="M3464" s="386"/>
      <c r="N3464" s="267" t="s">
        <v>89</v>
      </c>
      <c r="O3464" s="263" t="s">
        <v>10860</v>
      </c>
      <c r="Q3464" s="752">
        <v>22.05</v>
      </c>
      <c r="R3464" s="1088">
        <v>8.7149999999999999</v>
      </c>
      <c r="S3464" s="464">
        <f t="shared" si="211"/>
        <v>26.145</v>
      </c>
      <c r="U3464" s="386"/>
      <c r="V3464" s="386" t="s">
        <v>10751</v>
      </c>
      <c r="W3464" s="386"/>
      <c r="X3464" s="1083">
        <v>42109</v>
      </c>
      <c r="Y3464" s="318" t="s">
        <v>10861</v>
      </c>
      <c r="Z3464" s="254" t="s">
        <v>8588</v>
      </c>
      <c r="AA3464" s="386"/>
      <c r="AB3464" s="386" t="s">
        <v>10866</v>
      </c>
      <c r="AD3464" s="386" t="s">
        <v>10863</v>
      </c>
      <c r="AE3464" s="1088" t="s">
        <v>8588</v>
      </c>
      <c r="AF3464" s="386" t="s">
        <v>10733</v>
      </c>
      <c r="AG3464" s="386"/>
    </row>
    <row r="3465" spans="1:33" ht="15.75" customHeight="1">
      <c r="A3465" s="743">
        <v>42117</v>
      </c>
      <c r="B3465" s="823" t="s">
        <v>8502</v>
      </c>
      <c r="C3465" s="970" t="s">
        <v>10867</v>
      </c>
      <c r="D3465" s="386" t="s">
        <v>10868</v>
      </c>
      <c r="E3465" s="592" t="s">
        <v>10869</v>
      </c>
      <c r="F3465" s="1088">
        <v>6</v>
      </c>
      <c r="G3465" s="386"/>
      <c r="H3465" s="386"/>
      <c r="I3465" s="263" t="s">
        <v>10831</v>
      </c>
      <c r="J3465" s="267" t="s">
        <v>89</v>
      </c>
      <c r="K3465" s="811">
        <v>42158</v>
      </c>
      <c r="L3465" s="1477"/>
      <c r="M3465" s="386"/>
      <c r="N3465" s="267" t="s">
        <v>89</v>
      </c>
      <c r="O3465" s="263" t="s">
        <v>10870</v>
      </c>
      <c r="Q3465" s="752">
        <v>762.3</v>
      </c>
      <c r="R3465" s="1088">
        <v>155.715</v>
      </c>
      <c r="S3465" s="464">
        <f t="shared" si="211"/>
        <v>934.29</v>
      </c>
      <c r="U3465" s="386"/>
      <c r="V3465" s="386" t="s">
        <v>10751</v>
      </c>
      <c r="W3465" s="386"/>
      <c r="X3465" s="1083">
        <v>42158</v>
      </c>
      <c r="Y3465" s="318" t="s">
        <v>10871</v>
      </c>
      <c r="Z3465" s="1086">
        <v>23208</v>
      </c>
      <c r="AA3465" s="1095">
        <v>42177</v>
      </c>
      <c r="AB3465" s="386" t="s">
        <v>10872</v>
      </c>
      <c r="AD3465" s="386" t="s">
        <v>10873</v>
      </c>
      <c r="AE3465" s="1182">
        <v>28860</v>
      </c>
      <c r="AF3465" s="386" t="s">
        <v>10874</v>
      </c>
      <c r="AG3465" s="386"/>
    </row>
    <row r="3466" spans="1:33" ht="15.75" customHeight="1">
      <c r="A3466" s="743">
        <v>42128</v>
      </c>
      <c r="B3466" s="823" t="s">
        <v>8502</v>
      </c>
      <c r="C3466" s="970" t="s">
        <v>10875</v>
      </c>
      <c r="D3466" s="386" t="s">
        <v>10876</v>
      </c>
      <c r="E3466" s="592" t="s">
        <v>10869</v>
      </c>
      <c r="F3466" s="1088">
        <v>3</v>
      </c>
      <c r="G3466" s="386"/>
      <c r="H3466" s="386"/>
      <c r="I3466" s="263" t="s">
        <v>10831</v>
      </c>
      <c r="J3466" s="267" t="s">
        <v>89</v>
      </c>
      <c r="K3466" s="811">
        <v>42158</v>
      </c>
      <c r="L3466" s="1477"/>
      <c r="M3466" s="386"/>
      <c r="N3466" s="267" t="s">
        <v>89</v>
      </c>
      <c r="O3466" s="263" t="s">
        <v>10877</v>
      </c>
      <c r="Q3466" s="752">
        <v>381.15</v>
      </c>
      <c r="R3466" s="1088">
        <v>155.715</v>
      </c>
      <c r="S3466" s="464">
        <f t="shared" si="211"/>
        <v>467.14499999999998</v>
      </c>
      <c r="U3466" s="386"/>
      <c r="V3466" s="386" t="s">
        <v>10751</v>
      </c>
      <c r="W3466" s="1090"/>
      <c r="X3466" s="1083">
        <v>42158</v>
      </c>
      <c r="Y3466" s="318" t="s">
        <v>10878</v>
      </c>
      <c r="Z3466" s="1086">
        <v>11604</v>
      </c>
      <c r="AA3466" s="386"/>
      <c r="AB3466" s="386" t="s">
        <v>10879</v>
      </c>
      <c r="AD3466" s="386" t="s">
        <v>10880</v>
      </c>
      <c r="AE3466" s="1182">
        <v>14246</v>
      </c>
      <c r="AF3466" s="386" t="s">
        <v>10874</v>
      </c>
      <c r="AG3466" s="386"/>
    </row>
    <row r="3467" spans="1:33" ht="15.75" customHeight="1">
      <c r="A3467" s="743">
        <v>42151</v>
      </c>
      <c r="B3467" s="823" t="s">
        <v>8502</v>
      </c>
      <c r="C3467" s="970" t="s">
        <v>10881</v>
      </c>
      <c r="D3467" s="386" t="s">
        <v>10882</v>
      </c>
      <c r="E3467" s="592" t="s">
        <v>10883</v>
      </c>
      <c r="F3467" s="1088">
        <v>2</v>
      </c>
      <c r="G3467" s="386"/>
      <c r="H3467" s="386"/>
      <c r="I3467" s="263" t="s">
        <v>10884</v>
      </c>
      <c r="J3467" s="267" t="s">
        <v>89</v>
      </c>
      <c r="K3467" s="811">
        <v>42163</v>
      </c>
      <c r="L3467" s="1477"/>
      <c r="M3467" s="386"/>
      <c r="N3467" s="267" t="s">
        <v>89</v>
      </c>
      <c r="O3467" s="263" t="s">
        <v>10885</v>
      </c>
      <c r="Q3467" s="752">
        <v>281.39999999999998</v>
      </c>
      <c r="R3467" s="1088">
        <v>159.6</v>
      </c>
      <c r="S3467" s="752">
        <f t="shared" ref="S3467:S3475" si="212">F3467*R3467</f>
        <v>319.2</v>
      </c>
      <c r="U3467" s="386"/>
      <c r="V3467" s="386" t="s">
        <v>10751</v>
      </c>
      <c r="W3467" s="386"/>
      <c r="X3467" s="1083">
        <v>42163</v>
      </c>
      <c r="Y3467" s="318" t="s">
        <v>10886</v>
      </c>
      <c r="Z3467" s="1086">
        <v>8567</v>
      </c>
      <c r="AA3467" s="1095">
        <v>42177</v>
      </c>
      <c r="AB3467" s="386" t="s">
        <v>10887</v>
      </c>
      <c r="AD3467" s="1088">
        <v>30.62</v>
      </c>
      <c r="AE3467" s="1182">
        <v>9774</v>
      </c>
      <c r="AF3467" s="386" t="s">
        <v>10888</v>
      </c>
      <c r="AG3467" s="386"/>
    </row>
    <row r="3468" spans="1:33" ht="15.75" customHeight="1">
      <c r="A3468" s="743">
        <v>42171</v>
      </c>
      <c r="B3468" s="823" t="s">
        <v>8502</v>
      </c>
      <c r="C3468" s="970" t="s">
        <v>10889</v>
      </c>
      <c r="D3468" s="386" t="s">
        <v>10890</v>
      </c>
      <c r="E3468" s="592" t="s">
        <v>10891</v>
      </c>
      <c r="F3468" s="1088">
        <v>2</v>
      </c>
      <c r="G3468" s="386"/>
      <c r="H3468" s="1097"/>
      <c r="I3468" s="263" t="s">
        <v>10884</v>
      </c>
      <c r="J3468" s="267" t="s">
        <v>89</v>
      </c>
      <c r="K3468" s="811">
        <v>42184</v>
      </c>
      <c r="L3468" s="1477"/>
      <c r="M3468" s="386"/>
      <c r="N3468" s="267" t="s">
        <v>89</v>
      </c>
      <c r="O3468" s="263" t="s">
        <v>10892</v>
      </c>
      <c r="Q3468" s="752">
        <v>126</v>
      </c>
      <c r="R3468" s="1088">
        <v>73.5</v>
      </c>
      <c r="S3468" s="1183">
        <f t="shared" si="212"/>
        <v>147</v>
      </c>
      <c r="U3468" s="386"/>
      <c r="V3468" s="386" t="s">
        <v>10751</v>
      </c>
      <c r="W3468" s="386"/>
      <c r="X3468" s="1083">
        <v>42184</v>
      </c>
      <c r="Y3468" s="318" t="s">
        <v>10893</v>
      </c>
      <c r="Z3468" s="1086">
        <v>3894</v>
      </c>
      <c r="AA3468" s="1095">
        <v>42180</v>
      </c>
      <c r="AB3468" s="386" t="s">
        <v>10894</v>
      </c>
      <c r="AD3468" s="386" t="s">
        <v>10895</v>
      </c>
      <c r="AE3468" s="1088">
        <v>4542</v>
      </c>
      <c r="AF3468" s="386" t="s">
        <v>10896</v>
      </c>
      <c r="AG3468" s="386"/>
    </row>
    <row r="3469" spans="1:33" ht="15.75" customHeight="1">
      <c r="A3469" s="743">
        <v>42261</v>
      </c>
      <c r="B3469" s="823" t="s">
        <v>8502</v>
      </c>
      <c r="C3469" s="970" t="s">
        <v>10897</v>
      </c>
      <c r="D3469" s="386" t="s">
        <v>10898</v>
      </c>
      <c r="E3469" s="592" t="s">
        <v>10899</v>
      </c>
      <c r="F3469" s="1088">
        <v>1</v>
      </c>
      <c r="G3469" s="386"/>
      <c r="H3469" s="386"/>
      <c r="I3469" s="263" t="s">
        <v>10900</v>
      </c>
      <c r="J3469" s="267" t="s">
        <v>89</v>
      </c>
      <c r="K3469" s="811">
        <v>42289</v>
      </c>
      <c r="L3469" s="1477"/>
      <c r="M3469" s="386"/>
      <c r="N3469" s="267" t="s">
        <v>89</v>
      </c>
      <c r="O3469" s="318" t="s">
        <v>10901</v>
      </c>
      <c r="Q3469" s="752">
        <v>27.3</v>
      </c>
      <c r="R3469" s="1088">
        <v>32.130000000000003</v>
      </c>
      <c r="S3469" s="1098">
        <f t="shared" si="212"/>
        <v>32.130000000000003</v>
      </c>
      <c r="U3469" s="386"/>
      <c r="V3469" s="386" t="s">
        <v>10751</v>
      </c>
      <c r="W3469" s="1090"/>
      <c r="X3469" s="1094">
        <v>42289</v>
      </c>
      <c r="Y3469" s="386" t="s">
        <v>10902</v>
      </c>
      <c r="Z3469" s="585">
        <v>893</v>
      </c>
      <c r="AA3469" s="1095">
        <v>42263</v>
      </c>
      <c r="AB3469" s="386" t="s">
        <v>10903</v>
      </c>
      <c r="AD3469" s="386" t="s">
        <v>10904</v>
      </c>
      <c r="AE3469" s="1110">
        <v>1047</v>
      </c>
      <c r="AF3469" s="386" t="s">
        <v>10905</v>
      </c>
      <c r="AG3469" s="386"/>
    </row>
    <row r="3470" spans="1:33" ht="15.75" customHeight="1">
      <c r="A3470" s="743">
        <v>42282</v>
      </c>
      <c r="B3470" s="823" t="s">
        <v>8502</v>
      </c>
      <c r="C3470" s="970" t="s">
        <v>10906</v>
      </c>
      <c r="D3470" s="386" t="s">
        <v>10907</v>
      </c>
      <c r="E3470" s="592" t="s">
        <v>10908</v>
      </c>
      <c r="F3470" s="1088">
        <v>1</v>
      </c>
      <c r="G3470" s="386"/>
      <c r="H3470" s="1184"/>
      <c r="I3470" s="263" t="s">
        <v>10900</v>
      </c>
      <c r="J3470" s="267" t="s">
        <v>89</v>
      </c>
      <c r="K3470" s="811">
        <v>42292</v>
      </c>
      <c r="L3470" s="1477"/>
      <c r="M3470" s="386"/>
      <c r="N3470" s="267" t="s">
        <v>89</v>
      </c>
      <c r="O3470" s="970" t="s">
        <v>10909</v>
      </c>
      <c r="Q3470" s="752">
        <v>27.3</v>
      </c>
      <c r="R3470" s="1088">
        <f>30.6*1.05</f>
        <v>32.130000000000003</v>
      </c>
      <c r="S3470" s="1098">
        <f t="shared" si="212"/>
        <v>32.130000000000003</v>
      </c>
      <c r="U3470" s="386"/>
      <c r="V3470" s="386" t="s">
        <v>10751</v>
      </c>
      <c r="W3470" s="386"/>
      <c r="X3470" s="1094">
        <v>42292</v>
      </c>
      <c r="Y3470" s="386" t="s">
        <v>10910</v>
      </c>
      <c r="Z3470" s="585">
        <v>893</v>
      </c>
      <c r="AA3470" s="1095">
        <v>42321</v>
      </c>
      <c r="AB3470" s="386" t="s">
        <v>10911</v>
      </c>
      <c r="AD3470" s="386" t="s">
        <v>10912</v>
      </c>
      <c r="AE3470" s="1110">
        <v>1044</v>
      </c>
      <c r="AF3470" s="386" t="s">
        <v>10913</v>
      </c>
      <c r="AG3470" s="386"/>
    </row>
    <row r="3471" spans="1:33" ht="15.75" customHeight="1">
      <c r="A3471" s="743">
        <v>42299</v>
      </c>
      <c r="B3471" s="823" t="s">
        <v>8502</v>
      </c>
      <c r="C3471" s="970" t="s">
        <v>10914</v>
      </c>
      <c r="D3471" s="386" t="s">
        <v>10915</v>
      </c>
      <c r="E3471" s="592" t="s">
        <v>10916</v>
      </c>
      <c r="F3471" s="1088">
        <v>2</v>
      </c>
      <c r="G3471" s="386"/>
      <c r="H3471" s="386"/>
      <c r="I3471" s="263" t="s">
        <v>10900</v>
      </c>
      <c r="J3471" s="267" t="s">
        <v>89</v>
      </c>
      <c r="K3471" s="811">
        <v>42306</v>
      </c>
      <c r="L3471" s="1477"/>
      <c r="M3471" s="386"/>
      <c r="N3471" s="267" t="s">
        <v>89</v>
      </c>
      <c r="O3471" s="263" t="s">
        <v>10917</v>
      </c>
      <c r="Q3471" s="752">
        <v>184.8</v>
      </c>
      <c r="R3471" s="1088">
        <v>109.2</v>
      </c>
      <c r="S3471" s="1098">
        <f t="shared" si="212"/>
        <v>218.4</v>
      </c>
      <c r="U3471" s="386"/>
      <c r="V3471" s="386" t="s">
        <v>10751</v>
      </c>
      <c r="W3471" s="1090"/>
      <c r="X3471" s="1094">
        <v>42306</v>
      </c>
      <c r="Y3471" s="386" t="s">
        <v>10918</v>
      </c>
      <c r="Z3471" s="824">
        <v>5948</v>
      </c>
      <c r="AA3471" s="1090">
        <v>42321</v>
      </c>
      <c r="AB3471" s="386" t="s">
        <v>10919</v>
      </c>
      <c r="AD3471" s="386" t="s">
        <v>10920</v>
      </c>
      <c r="AE3471" s="1110">
        <v>7083</v>
      </c>
      <c r="AF3471" s="386" t="s">
        <v>10921</v>
      </c>
      <c r="AG3471" s="386"/>
    </row>
    <row r="3472" spans="1:33" ht="15.75" customHeight="1">
      <c r="A3472" s="743">
        <v>42303</v>
      </c>
      <c r="B3472" s="823" t="s">
        <v>8502</v>
      </c>
      <c r="C3472" s="970" t="s">
        <v>10922</v>
      </c>
      <c r="D3472" s="386" t="s">
        <v>10923</v>
      </c>
      <c r="E3472" s="592" t="s">
        <v>8505</v>
      </c>
      <c r="F3472" s="1088">
        <v>2</v>
      </c>
      <c r="G3472" s="386"/>
      <c r="H3472" s="386"/>
      <c r="I3472" s="263" t="s">
        <v>10900</v>
      </c>
      <c r="J3472" s="267" t="s">
        <v>89</v>
      </c>
      <c r="K3472" s="811">
        <v>42306</v>
      </c>
      <c r="L3472" s="1477"/>
      <c r="M3472" s="386"/>
      <c r="N3472" s="267" t="s">
        <v>89</v>
      </c>
      <c r="O3472" s="263" t="s">
        <v>10924</v>
      </c>
      <c r="Q3472" s="752">
        <v>178.5</v>
      </c>
      <c r="R3472" s="1088">
        <f t="shared" ref="R3472:R3473" si="213">97*1.05</f>
        <v>101.85000000000001</v>
      </c>
      <c r="S3472" s="1098">
        <f t="shared" si="212"/>
        <v>203.70000000000002</v>
      </c>
      <c r="U3472" s="386"/>
      <c r="V3472" s="386" t="s">
        <v>10751</v>
      </c>
      <c r="W3472" s="386"/>
      <c r="X3472" s="1094">
        <v>42306</v>
      </c>
      <c r="Y3472" s="386" t="s">
        <v>10925</v>
      </c>
      <c r="Z3472" s="824">
        <v>5745</v>
      </c>
      <c r="AA3472" s="1090">
        <v>42321</v>
      </c>
      <c r="AB3472" s="386" t="s">
        <v>10926</v>
      </c>
      <c r="AD3472" s="386" t="s">
        <v>10920</v>
      </c>
      <c r="AE3472" s="1110">
        <v>6607</v>
      </c>
      <c r="AF3472" s="386" t="s">
        <v>10921</v>
      </c>
      <c r="AG3472" s="386"/>
    </row>
    <row r="3473" spans="1:33" ht="15.75" customHeight="1">
      <c r="A3473" s="743">
        <v>42312</v>
      </c>
      <c r="B3473" s="823" t="s">
        <v>8502</v>
      </c>
      <c r="C3473" s="970" t="s">
        <v>10927</v>
      </c>
      <c r="D3473" s="386" t="s">
        <v>10928</v>
      </c>
      <c r="E3473" s="592" t="s">
        <v>8505</v>
      </c>
      <c r="F3473" s="1088">
        <v>1</v>
      </c>
      <c r="G3473" s="386"/>
      <c r="H3473" s="386"/>
      <c r="I3473" s="263" t="s">
        <v>10900</v>
      </c>
      <c r="J3473" s="267" t="s">
        <v>89</v>
      </c>
      <c r="K3473" s="811">
        <v>42317</v>
      </c>
      <c r="L3473" s="1477"/>
      <c r="M3473" s="386"/>
      <c r="N3473" s="267" t="s">
        <v>89</v>
      </c>
      <c r="O3473" s="386" t="s">
        <v>10929</v>
      </c>
      <c r="Q3473" s="318">
        <v>89.25</v>
      </c>
      <c r="R3473" s="1088">
        <f t="shared" si="213"/>
        <v>101.85000000000001</v>
      </c>
      <c r="S3473" s="1098">
        <f t="shared" si="212"/>
        <v>101.85000000000001</v>
      </c>
      <c r="U3473" s="386"/>
      <c r="V3473" s="386" t="s">
        <v>10751</v>
      </c>
      <c r="W3473" s="386"/>
      <c r="X3473" s="1090">
        <v>42317</v>
      </c>
      <c r="Y3473" s="386" t="s">
        <v>10930</v>
      </c>
      <c r="Z3473" s="1097">
        <v>2882</v>
      </c>
      <c r="AA3473" s="1090">
        <v>42341</v>
      </c>
      <c r="AB3473" s="386" t="s">
        <v>10931</v>
      </c>
      <c r="AD3473" s="386">
        <v>32.475000000000001</v>
      </c>
      <c r="AE3473" s="1097">
        <v>3308</v>
      </c>
      <c r="AF3473" s="386" t="s">
        <v>10932</v>
      </c>
      <c r="AG3473" s="386"/>
    </row>
    <row r="3474" spans="1:33" ht="15.75" customHeight="1">
      <c r="A3474" s="743">
        <v>42331</v>
      </c>
      <c r="B3474" s="823" t="s">
        <v>10933</v>
      </c>
      <c r="C3474" s="386" t="s">
        <v>10934</v>
      </c>
      <c r="D3474" s="386" t="s">
        <v>10935</v>
      </c>
      <c r="E3474" s="592" t="s">
        <v>10936</v>
      </c>
      <c r="F3474" s="386">
        <v>2</v>
      </c>
      <c r="G3474" s="386"/>
      <c r="H3474" s="386"/>
      <c r="I3474" s="263" t="s">
        <v>170</v>
      </c>
      <c r="J3474" s="331" t="s">
        <v>8461</v>
      </c>
      <c r="K3474" s="811">
        <v>42341</v>
      </c>
      <c r="L3474" s="1477"/>
      <c r="M3474" s="811">
        <v>42340</v>
      </c>
      <c r="N3474" s="267" t="s">
        <v>10937</v>
      </c>
      <c r="O3474" s="318" t="s">
        <v>10938</v>
      </c>
      <c r="Q3474" s="386"/>
      <c r="R3474" s="386">
        <v>114</v>
      </c>
      <c r="S3474" s="1098">
        <f t="shared" si="212"/>
        <v>228</v>
      </c>
      <c r="U3474" s="318">
        <v>6090</v>
      </c>
      <c r="V3474" s="386" t="s">
        <v>10939</v>
      </c>
      <c r="W3474" s="1088"/>
      <c r="X3474" s="1185">
        <v>42340</v>
      </c>
      <c r="Y3474" s="1091" t="s">
        <v>10940</v>
      </c>
      <c r="Z3474" s="1186">
        <v>6090</v>
      </c>
      <c r="AA3474" s="1185">
        <v>42339</v>
      </c>
      <c r="AB3474" s="1091" t="s">
        <v>10941</v>
      </c>
      <c r="AD3474" s="386"/>
      <c r="AE3474" s="386"/>
      <c r="AF3474" s="386"/>
      <c r="AG3474" s="386" t="s">
        <v>283</v>
      </c>
    </row>
    <row r="3475" spans="1:33" ht="15.75" customHeight="1">
      <c r="A3475" s="743">
        <v>42331</v>
      </c>
      <c r="B3475" s="823" t="s">
        <v>10933</v>
      </c>
      <c r="C3475" s="386" t="s">
        <v>10934</v>
      </c>
      <c r="D3475" s="386" t="s">
        <v>10935</v>
      </c>
      <c r="E3475" s="592" t="s">
        <v>10942</v>
      </c>
      <c r="F3475" s="386">
        <v>1</v>
      </c>
      <c r="G3475" s="386"/>
      <c r="H3475" s="386"/>
      <c r="I3475" s="263" t="s">
        <v>170</v>
      </c>
      <c r="J3475" s="331" t="s">
        <v>8461</v>
      </c>
      <c r="K3475" s="811">
        <v>42341</v>
      </c>
      <c r="L3475" s="1477"/>
      <c r="M3475" s="585"/>
      <c r="N3475" s="267" t="s">
        <v>10943</v>
      </c>
      <c r="O3475" s="386"/>
      <c r="Q3475" s="386"/>
      <c r="R3475" s="386">
        <v>58</v>
      </c>
      <c r="S3475" s="1098">
        <f t="shared" si="212"/>
        <v>58</v>
      </c>
      <c r="U3475" s="318">
        <v>2133</v>
      </c>
      <c r="V3475" s="386" t="s">
        <v>10944</v>
      </c>
      <c r="W3475" s="1090">
        <v>42376</v>
      </c>
      <c r="X3475" s="1185">
        <v>42340</v>
      </c>
      <c r="Y3475" s="1091" t="s">
        <v>10945</v>
      </c>
      <c r="Z3475" s="1187" t="s">
        <v>10946</v>
      </c>
      <c r="AA3475" s="1185">
        <v>42373</v>
      </c>
      <c r="AB3475" s="1091" t="s">
        <v>10941</v>
      </c>
      <c r="AD3475" s="386"/>
      <c r="AE3475" s="386"/>
      <c r="AF3475" s="386"/>
      <c r="AG3475" s="386" t="s">
        <v>283</v>
      </c>
    </row>
    <row r="3476" spans="1:33" ht="15.75" customHeight="1">
      <c r="A3476" s="743">
        <v>42110</v>
      </c>
      <c r="B3476" s="823" t="s">
        <v>713</v>
      </c>
      <c r="C3476" s="386"/>
      <c r="D3476" s="386" t="s">
        <v>10947</v>
      </c>
      <c r="E3476" s="592" t="s">
        <v>10948</v>
      </c>
      <c r="F3476" s="1088">
        <v>10</v>
      </c>
      <c r="G3476" s="386"/>
      <c r="H3476" s="386"/>
      <c r="I3476" s="263" t="s">
        <v>3712</v>
      </c>
      <c r="J3476" s="267" t="s">
        <v>10949</v>
      </c>
      <c r="K3476" s="811">
        <v>42124</v>
      </c>
      <c r="L3476" s="1477"/>
      <c r="M3476" s="811">
        <v>42123</v>
      </c>
      <c r="N3476" s="267" t="s">
        <v>89</v>
      </c>
      <c r="O3476" s="263" t="s">
        <v>10950</v>
      </c>
      <c r="Q3476" s="1088">
        <v>462</v>
      </c>
      <c r="R3476" s="1088">
        <v>52</v>
      </c>
      <c r="S3476" s="464">
        <f t="shared" ref="S3476:S3481" si="214">R3476*F3476</f>
        <v>520</v>
      </c>
      <c r="U3476" s="386"/>
      <c r="V3476" s="386" t="s">
        <v>10751</v>
      </c>
      <c r="W3476" s="1090"/>
      <c r="X3476" s="1095">
        <v>42122</v>
      </c>
      <c r="Y3476" s="386" t="s">
        <v>10951</v>
      </c>
      <c r="Z3476" s="824">
        <v>73511</v>
      </c>
      <c r="AA3476" s="1095">
        <v>42129</v>
      </c>
      <c r="AB3476" s="318" t="s">
        <v>10952</v>
      </c>
      <c r="AD3476" s="386"/>
      <c r="AE3476" s="386"/>
      <c r="AF3476" s="386"/>
      <c r="AG3476" s="386" t="s">
        <v>8415</v>
      </c>
    </row>
    <row r="3477" spans="1:33" ht="15.75" customHeight="1">
      <c r="A3477" s="743">
        <v>42110</v>
      </c>
      <c r="B3477" s="823" t="s">
        <v>713</v>
      </c>
      <c r="C3477" s="386"/>
      <c r="D3477" s="386" t="s">
        <v>10947</v>
      </c>
      <c r="E3477" s="592" t="s">
        <v>10953</v>
      </c>
      <c r="F3477" s="1088">
        <v>5</v>
      </c>
      <c r="G3477" s="386"/>
      <c r="H3477" s="386"/>
      <c r="I3477" s="263" t="s">
        <v>3712</v>
      </c>
      <c r="J3477" s="267" t="s">
        <v>10949</v>
      </c>
      <c r="K3477" s="811">
        <v>42124</v>
      </c>
      <c r="L3477" s="1477"/>
      <c r="M3477" s="811">
        <v>42123</v>
      </c>
      <c r="N3477" s="267" t="s">
        <v>89</v>
      </c>
      <c r="O3477" s="263" t="s">
        <v>10950</v>
      </c>
      <c r="Q3477" s="1088">
        <v>488.25</v>
      </c>
      <c r="R3477" s="1088">
        <v>107</v>
      </c>
      <c r="S3477" s="464">
        <f t="shared" si="214"/>
        <v>535</v>
      </c>
      <c r="U3477" s="386"/>
      <c r="V3477" s="386" t="s">
        <v>10751</v>
      </c>
      <c r="W3477" s="1090"/>
      <c r="X3477" s="1095">
        <v>42122</v>
      </c>
      <c r="Y3477" s="386" t="s">
        <v>10951</v>
      </c>
      <c r="Z3477" s="585" t="s">
        <v>8588</v>
      </c>
      <c r="AA3477" s="1095">
        <v>42129</v>
      </c>
      <c r="AB3477" s="318" t="s">
        <v>10952</v>
      </c>
      <c r="AD3477" s="386"/>
      <c r="AE3477" s="386"/>
      <c r="AF3477" s="386"/>
      <c r="AG3477" s="386" t="s">
        <v>8415</v>
      </c>
    </row>
    <row r="3478" spans="1:33" ht="15.75" customHeight="1">
      <c r="A3478" s="743">
        <v>42110</v>
      </c>
      <c r="B3478" s="823" t="s">
        <v>713</v>
      </c>
      <c r="C3478" s="386"/>
      <c r="D3478" s="386" t="s">
        <v>10947</v>
      </c>
      <c r="E3478" s="592" t="s">
        <v>3467</v>
      </c>
      <c r="F3478" s="1088">
        <v>1</v>
      </c>
      <c r="G3478" s="386"/>
      <c r="H3478" s="386"/>
      <c r="I3478" s="263" t="s">
        <v>3712</v>
      </c>
      <c r="J3478" s="267" t="s">
        <v>10949</v>
      </c>
      <c r="K3478" s="811">
        <v>42124</v>
      </c>
      <c r="L3478" s="1477"/>
      <c r="M3478" s="811">
        <v>42123</v>
      </c>
      <c r="N3478" s="267" t="s">
        <v>89</v>
      </c>
      <c r="O3478" s="263" t="s">
        <v>10950</v>
      </c>
      <c r="Q3478" s="1088">
        <v>178.5</v>
      </c>
      <c r="R3478" s="1088">
        <v>205</v>
      </c>
      <c r="S3478" s="464">
        <f t="shared" si="214"/>
        <v>205</v>
      </c>
      <c r="U3478" s="386"/>
      <c r="V3478" s="386" t="s">
        <v>10751</v>
      </c>
      <c r="W3478" s="1090"/>
      <c r="X3478" s="1095">
        <v>42122</v>
      </c>
      <c r="Y3478" s="386" t="s">
        <v>10951</v>
      </c>
      <c r="Z3478" s="585" t="s">
        <v>8588</v>
      </c>
      <c r="AA3478" s="1095">
        <v>42129</v>
      </c>
      <c r="AB3478" s="318" t="s">
        <v>10952</v>
      </c>
      <c r="AD3478" s="386"/>
      <c r="AE3478" s="386"/>
      <c r="AF3478" s="386"/>
      <c r="AG3478" s="386" t="s">
        <v>8415</v>
      </c>
    </row>
    <row r="3479" spans="1:33" ht="15.75" customHeight="1">
      <c r="A3479" s="743">
        <v>42110</v>
      </c>
      <c r="B3479" s="823" t="s">
        <v>713</v>
      </c>
      <c r="C3479" s="386"/>
      <c r="D3479" s="386" t="s">
        <v>10947</v>
      </c>
      <c r="E3479" s="592" t="s">
        <v>10791</v>
      </c>
      <c r="F3479" s="1088">
        <v>10</v>
      </c>
      <c r="G3479" s="386"/>
      <c r="H3479" s="386"/>
      <c r="I3479" s="263" t="s">
        <v>3712</v>
      </c>
      <c r="J3479" s="267" t="s">
        <v>10949</v>
      </c>
      <c r="K3479" s="811">
        <v>42124</v>
      </c>
      <c r="L3479" s="1477"/>
      <c r="M3479" s="811">
        <v>42123</v>
      </c>
      <c r="N3479" s="267" t="s">
        <v>89</v>
      </c>
      <c r="O3479" s="263" t="s">
        <v>10950</v>
      </c>
      <c r="Q3479" s="1088">
        <v>1228.5</v>
      </c>
      <c r="R3479" s="1088">
        <v>137</v>
      </c>
      <c r="S3479" s="464">
        <f t="shared" si="214"/>
        <v>1370</v>
      </c>
      <c r="U3479" s="386"/>
      <c r="V3479" s="386" t="s">
        <v>10751</v>
      </c>
      <c r="W3479" s="1090"/>
      <c r="X3479" s="1095">
        <v>42122</v>
      </c>
      <c r="Y3479" s="386" t="s">
        <v>10951</v>
      </c>
      <c r="Z3479" s="585" t="s">
        <v>8588</v>
      </c>
      <c r="AA3479" s="1095">
        <v>42129</v>
      </c>
      <c r="AB3479" s="318" t="s">
        <v>10952</v>
      </c>
      <c r="AD3479" s="386"/>
      <c r="AE3479" s="386"/>
      <c r="AF3479" s="386"/>
      <c r="AG3479" s="386" t="s">
        <v>8415</v>
      </c>
    </row>
    <row r="3480" spans="1:33" ht="15.75" customHeight="1">
      <c r="A3480" s="743">
        <v>42124</v>
      </c>
      <c r="B3480" s="823" t="s">
        <v>713</v>
      </c>
      <c r="C3480" s="386"/>
      <c r="D3480" s="386" t="s">
        <v>10954</v>
      </c>
      <c r="E3480" s="592" t="s">
        <v>10791</v>
      </c>
      <c r="F3480" s="1088">
        <v>13</v>
      </c>
      <c r="G3480" s="386"/>
      <c r="H3480" s="386"/>
      <c r="I3480" s="263" t="s">
        <v>3712</v>
      </c>
      <c r="J3480" s="267" t="s">
        <v>10949</v>
      </c>
      <c r="K3480" s="1188">
        <v>42135</v>
      </c>
      <c r="L3480" s="1486"/>
      <c r="M3480" s="811">
        <v>42132</v>
      </c>
      <c r="N3480" s="267" t="s">
        <v>89</v>
      </c>
      <c r="O3480" s="263" t="s">
        <v>10955</v>
      </c>
      <c r="Q3480" s="752">
        <v>1597.05</v>
      </c>
      <c r="R3480" s="1088">
        <v>137</v>
      </c>
      <c r="S3480" s="464">
        <f t="shared" si="214"/>
        <v>1781</v>
      </c>
      <c r="U3480" s="386"/>
      <c r="V3480" s="386" t="s">
        <v>10751</v>
      </c>
      <c r="W3480" s="1090"/>
      <c r="X3480" s="1095">
        <v>42132</v>
      </c>
      <c r="Y3480" s="386" t="s">
        <v>10956</v>
      </c>
      <c r="Z3480" s="824">
        <v>70187</v>
      </c>
      <c r="AA3480" s="1095">
        <v>42129</v>
      </c>
      <c r="AB3480" s="318" t="s">
        <v>10957</v>
      </c>
      <c r="AD3480" s="386"/>
      <c r="AE3480" s="386"/>
      <c r="AF3480" s="386"/>
      <c r="AG3480" s="585" t="s">
        <v>8415</v>
      </c>
    </row>
    <row r="3481" spans="1:33" ht="15.75" customHeight="1">
      <c r="A3481" s="743">
        <v>42124</v>
      </c>
      <c r="B3481" s="823" t="s">
        <v>713</v>
      </c>
      <c r="C3481" s="386"/>
      <c r="D3481" s="386" t="s">
        <v>10954</v>
      </c>
      <c r="E3481" s="338" t="s">
        <v>10958</v>
      </c>
      <c r="F3481" s="1088">
        <v>5</v>
      </c>
      <c r="G3481" s="386"/>
      <c r="H3481" s="386"/>
      <c r="I3481" s="263" t="s">
        <v>3712</v>
      </c>
      <c r="J3481" s="267" t="s">
        <v>10949</v>
      </c>
      <c r="K3481" s="1188">
        <v>42135</v>
      </c>
      <c r="L3481" s="1486"/>
      <c r="M3481" s="811">
        <v>42132</v>
      </c>
      <c r="N3481" s="267" t="s">
        <v>89</v>
      </c>
      <c r="O3481" s="263" t="s">
        <v>10955</v>
      </c>
      <c r="Q3481" s="752">
        <v>682.5</v>
      </c>
      <c r="R3481" s="323">
        <v>149</v>
      </c>
      <c r="S3481" s="464">
        <f t="shared" si="214"/>
        <v>745</v>
      </c>
      <c r="U3481" s="386"/>
      <c r="V3481" s="386" t="s">
        <v>10751</v>
      </c>
      <c r="W3481" s="1090"/>
      <c r="X3481" s="1095">
        <v>42132</v>
      </c>
      <c r="Y3481" s="386" t="s">
        <v>10956</v>
      </c>
      <c r="Z3481" s="585" t="s">
        <v>8588</v>
      </c>
      <c r="AA3481" s="1095">
        <v>42129</v>
      </c>
      <c r="AB3481" s="318" t="s">
        <v>10957</v>
      </c>
      <c r="AD3481" s="386"/>
      <c r="AE3481" s="386"/>
      <c r="AF3481" s="386"/>
      <c r="AG3481" s="585" t="s">
        <v>8415</v>
      </c>
    </row>
    <row r="3482" spans="1:33" ht="15.75" customHeight="1">
      <c r="A3482" s="743">
        <v>42067</v>
      </c>
      <c r="B3482" s="823" t="s">
        <v>10959</v>
      </c>
      <c r="C3482" s="970">
        <v>3100046080</v>
      </c>
      <c r="D3482" s="386" t="s">
        <v>10960</v>
      </c>
      <c r="E3482" s="338" t="s">
        <v>10961</v>
      </c>
      <c r="F3482" s="1088">
        <v>1</v>
      </c>
      <c r="G3482" s="772"/>
      <c r="H3482" s="772"/>
      <c r="I3482" s="263" t="s">
        <v>10694</v>
      </c>
      <c r="J3482" s="267" t="s">
        <v>89</v>
      </c>
      <c r="K3482" s="811">
        <v>42073</v>
      </c>
      <c r="L3482" s="1477"/>
      <c r="M3482" s="386"/>
      <c r="N3482" s="267" t="s">
        <v>89</v>
      </c>
      <c r="O3482" s="263" t="s">
        <v>10962</v>
      </c>
      <c r="Q3482" s="752">
        <v>92.4</v>
      </c>
      <c r="R3482" s="323">
        <v>116.55</v>
      </c>
      <c r="S3482" s="464">
        <f>F3482*R3482</f>
        <v>116.55</v>
      </c>
      <c r="U3482" s="386"/>
      <c r="V3482" s="386" t="s">
        <v>10751</v>
      </c>
      <c r="W3482" s="1090"/>
      <c r="X3482" s="1083">
        <v>42072</v>
      </c>
      <c r="Y3482" s="263" t="s">
        <v>10963</v>
      </c>
      <c r="Z3482" s="1086">
        <v>3460</v>
      </c>
      <c r="AA3482" s="1095">
        <v>42074</v>
      </c>
      <c r="AB3482" s="386" t="s">
        <v>10964</v>
      </c>
      <c r="AD3482" s="386" t="s">
        <v>10965</v>
      </c>
      <c r="AE3482" s="1110">
        <v>4392</v>
      </c>
      <c r="AF3482" s="386" t="s">
        <v>10966</v>
      </c>
      <c r="AG3482" s="386"/>
    </row>
    <row r="3483" spans="1:33" ht="15.75" customHeight="1">
      <c r="A3483" s="743">
        <v>42067</v>
      </c>
      <c r="B3483" s="823" t="s">
        <v>10959</v>
      </c>
      <c r="C3483" s="970">
        <v>3100046080</v>
      </c>
      <c r="D3483" s="386" t="s">
        <v>10960</v>
      </c>
      <c r="E3483" s="338" t="s">
        <v>10967</v>
      </c>
      <c r="F3483" s="1088">
        <v>1</v>
      </c>
      <c r="G3483" s="772"/>
      <c r="H3483" s="772"/>
      <c r="I3483" s="263" t="s">
        <v>10694</v>
      </c>
      <c r="J3483" s="267" t="s">
        <v>89</v>
      </c>
      <c r="K3483" s="811">
        <v>42073</v>
      </c>
      <c r="L3483" s="1477"/>
      <c r="M3483" s="386"/>
      <c r="N3483" s="267" t="s">
        <v>89</v>
      </c>
      <c r="O3483" s="263" t="s">
        <v>10962</v>
      </c>
      <c r="Q3483" s="752">
        <v>17.850000000000001</v>
      </c>
      <c r="R3483" s="323">
        <v>23.1</v>
      </c>
      <c r="S3483" s="464">
        <f>F3483*R3483</f>
        <v>23.1</v>
      </c>
      <c r="U3483" s="386"/>
      <c r="V3483" s="386" t="s">
        <v>10751</v>
      </c>
      <c r="W3483" s="1090"/>
      <c r="X3483" s="1083">
        <v>42072</v>
      </c>
      <c r="Y3483" s="263" t="s">
        <v>10963</v>
      </c>
      <c r="Z3483" s="254" t="s">
        <v>8588</v>
      </c>
      <c r="AA3483" s="1095">
        <v>42074</v>
      </c>
      <c r="AB3483" s="386" t="s">
        <v>10964</v>
      </c>
      <c r="AD3483" s="386" t="s">
        <v>10965</v>
      </c>
      <c r="AE3483" s="1088" t="s">
        <v>8588</v>
      </c>
      <c r="AF3483" s="386" t="s">
        <v>10966</v>
      </c>
      <c r="AG3483" s="386"/>
    </row>
    <row r="3484" spans="1:33" ht="15.75" customHeight="1">
      <c r="A3484" s="743">
        <v>42073</v>
      </c>
      <c r="B3484" s="823" t="s">
        <v>10959</v>
      </c>
      <c r="C3484" s="970">
        <v>3100046166</v>
      </c>
      <c r="D3484" s="386" t="s">
        <v>10968</v>
      </c>
      <c r="E3484" s="592" t="s">
        <v>7412</v>
      </c>
      <c r="F3484" s="1088">
        <v>5</v>
      </c>
      <c r="G3484" s="386"/>
      <c r="H3484" s="386"/>
      <c r="I3484" s="263" t="s">
        <v>10694</v>
      </c>
      <c r="J3484" s="267" t="s">
        <v>89</v>
      </c>
      <c r="K3484" s="811">
        <v>42082</v>
      </c>
      <c r="L3484" s="1477"/>
      <c r="M3484" s="386"/>
      <c r="N3484" s="267" t="s">
        <v>89</v>
      </c>
      <c r="O3484" s="263" t="s">
        <v>10969</v>
      </c>
      <c r="Q3484" s="752">
        <v>792.75</v>
      </c>
      <c r="R3484" s="323">
        <v>163.80000000000001</v>
      </c>
      <c r="S3484" s="464">
        <f>R3484*F3484</f>
        <v>819</v>
      </c>
      <c r="U3484" s="386"/>
      <c r="V3484" s="386" t="s">
        <v>10751</v>
      </c>
      <c r="W3484" s="1090"/>
      <c r="X3484" s="1083">
        <v>42082</v>
      </c>
      <c r="Y3484" s="263" t="s">
        <v>10970</v>
      </c>
      <c r="Z3484" s="1086">
        <v>27721</v>
      </c>
      <c r="AA3484" s="1095">
        <v>42082</v>
      </c>
      <c r="AB3484" s="386" t="s">
        <v>10971</v>
      </c>
      <c r="AD3484" s="386" t="s">
        <v>10972</v>
      </c>
      <c r="AE3484" s="1110">
        <v>29577</v>
      </c>
      <c r="AF3484" s="386" t="s">
        <v>10973</v>
      </c>
      <c r="AG3484" s="386"/>
    </row>
    <row r="3485" spans="1:33" ht="15.75" customHeight="1">
      <c r="A3485" s="743">
        <v>42073</v>
      </c>
      <c r="B3485" s="823" t="s">
        <v>10959</v>
      </c>
      <c r="C3485" s="970">
        <v>3100046166</v>
      </c>
      <c r="D3485" s="386" t="s">
        <v>10968</v>
      </c>
      <c r="E3485" s="592" t="s">
        <v>10974</v>
      </c>
      <c r="F3485" s="1088">
        <v>5</v>
      </c>
      <c r="G3485" s="386"/>
      <c r="H3485" s="386"/>
      <c r="I3485" s="263" t="s">
        <v>10694</v>
      </c>
      <c r="J3485" s="267" t="s">
        <v>89</v>
      </c>
      <c r="K3485" s="811">
        <v>42082</v>
      </c>
      <c r="L3485" s="1477"/>
      <c r="M3485" s="386"/>
      <c r="N3485" s="267" t="s">
        <v>89</v>
      </c>
      <c r="O3485" s="263" t="s">
        <v>10969</v>
      </c>
      <c r="Q3485" s="752">
        <v>89.25</v>
      </c>
      <c r="R3485" s="323">
        <v>23.1</v>
      </c>
      <c r="S3485" s="464">
        <f>R3485*F3485</f>
        <v>115.5</v>
      </c>
      <c r="U3485" s="386"/>
      <c r="V3485" s="386" t="s">
        <v>10751</v>
      </c>
      <c r="W3485" s="1090"/>
      <c r="X3485" s="1083">
        <v>42082</v>
      </c>
      <c r="Y3485" s="263" t="s">
        <v>10970</v>
      </c>
      <c r="Z3485" s="254" t="s">
        <v>8588</v>
      </c>
      <c r="AA3485" s="1095">
        <v>42082</v>
      </c>
      <c r="AB3485" s="386" t="s">
        <v>10971</v>
      </c>
      <c r="AD3485" s="386" t="s">
        <v>10972</v>
      </c>
      <c r="AE3485" s="1110" t="s">
        <v>8588</v>
      </c>
      <c r="AF3485" s="386" t="s">
        <v>10973</v>
      </c>
      <c r="AG3485" s="386"/>
    </row>
    <row r="3486" spans="1:33" ht="15.75" customHeight="1">
      <c r="A3486" s="743">
        <v>42123</v>
      </c>
      <c r="B3486" s="823" t="s">
        <v>10959</v>
      </c>
      <c r="C3486" s="970">
        <v>3100046774</v>
      </c>
      <c r="D3486" s="386" t="s">
        <v>10975</v>
      </c>
      <c r="E3486" s="338" t="s">
        <v>10961</v>
      </c>
      <c r="F3486" s="1088">
        <v>2</v>
      </c>
      <c r="G3486" s="772"/>
      <c r="H3486" s="772"/>
      <c r="I3486" s="263" t="s">
        <v>10884</v>
      </c>
      <c r="J3486" s="267" t="s">
        <v>10721</v>
      </c>
      <c r="K3486" s="1188">
        <v>42138</v>
      </c>
      <c r="L3486" s="1486"/>
      <c r="M3486" s="386"/>
      <c r="N3486" s="267" t="s">
        <v>89</v>
      </c>
      <c r="O3486" s="263" t="s">
        <v>10976</v>
      </c>
      <c r="Q3486" s="752">
        <v>184.8</v>
      </c>
      <c r="R3486" s="323">
        <v>116.55</v>
      </c>
      <c r="S3486" s="464">
        <f>F3486*R3486</f>
        <v>233.1</v>
      </c>
      <c r="U3486" s="386"/>
      <c r="V3486" s="386" t="s">
        <v>10751</v>
      </c>
      <c r="W3486" s="1090"/>
      <c r="X3486" s="1095">
        <v>42138</v>
      </c>
      <c r="Y3486" s="386" t="s">
        <v>10977</v>
      </c>
      <c r="Z3486" s="824">
        <v>5660</v>
      </c>
      <c r="AA3486" s="1095">
        <v>42129</v>
      </c>
      <c r="AB3486" s="386" t="s">
        <v>10978</v>
      </c>
      <c r="AD3486" s="386" t="s">
        <v>10979</v>
      </c>
      <c r="AE3486" s="1110">
        <v>8569</v>
      </c>
      <c r="AF3486" s="386" t="s">
        <v>10980</v>
      </c>
      <c r="AG3486" s="386"/>
    </row>
    <row r="3487" spans="1:33" ht="15.75" customHeight="1">
      <c r="A3487" s="743">
        <v>42123</v>
      </c>
      <c r="B3487" s="823" t="s">
        <v>10959</v>
      </c>
      <c r="C3487" s="970">
        <v>3100046774</v>
      </c>
      <c r="D3487" s="386" t="s">
        <v>10975</v>
      </c>
      <c r="E3487" s="338" t="s">
        <v>10967</v>
      </c>
      <c r="F3487" s="1088">
        <v>2</v>
      </c>
      <c r="G3487" s="772"/>
      <c r="H3487" s="772"/>
      <c r="I3487" s="263" t="s">
        <v>10884</v>
      </c>
      <c r="J3487" s="267" t="s">
        <v>10721</v>
      </c>
      <c r="K3487" s="1188">
        <v>42139</v>
      </c>
      <c r="L3487" s="1486"/>
      <c r="M3487" s="811">
        <v>42131</v>
      </c>
      <c r="N3487" s="267" t="s">
        <v>10981</v>
      </c>
      <c r="O3487" s="263" t="s">
        <v>9236</v>
      </c>
      <c r="Q3487" s="386"/>
      <c r="R3487" s="323">
        <v>23.1</v>
      </c>
      <c r="S3487" s="464">
        <f>F3487*R3487</f>
        <v>46.2</v>
      </c>
      <c r="U3487" s="752">
        <v>472.5</v>
      </c>
      <c r="V3487" s="386"/>
      <c r="W3487" s="386"/>
      <c r="X3487" s="970" t="s">
        <v>10982</v>
      </c>
      <c r="Y3487" s="386" t="s">
        <v>10983</v>
      </c>
      <c r="Z3487" s="585" t="s">
        <v>10982</v>
      </c>
      <c r="AA3487" s="386"/>
      <c r="AB3487" s="386" t="s">
        <v>10978</v>
      </c>
      <c r="AD3487" s="386" t="s">
        <v>10979</v>
      </c>
      <c r="AE3487" s="1110" t="s">
        <v>8588</v>
      </c>
      <c r="AF3487" s="386" t="s">
        <v>10980</v>
      </c>
      <c r="AG3487" s="386"/>
    </row>
    <row r="3488" spans="1:33" ht="15.75" customHeight="1">
      <c r="A3488" s="743">
        <v>42293</v>
      </c>
      <c r="B3488" s="823" t="s">
        <v>10984</v>
      </c>
      <c r="C3488" s="970">
        <v>15000123</v>
      </c>
      <c r="D3488" s="386" t="s">
        <v>10985</v>
      </c>
      <c r="E3488" s="592" t="s">
        <v>10986</v>
      </c>
      <c r="F3488" s="1088">
        <v>1</v>
      </c>
      <c r="G3488" s="386"/>
      <c r="H3488" s="386"/>
      <c r="I3488" s="263" t="s">
        <v>170</v>
      </c>
      <c r="J3488" s="267" t="s">
        <v>10987</v>
      </c>
      <c r="K3488" s="811">
        <v>42305</v>
      </c>
      <c r="L3488" s="1477"/>
      <c r="M3488" s="811">
        <v>42300</v>
      </c>
      <c r="N3488" s="267" t="s">
        <v>89</v>
      </c>
      <c r="O3488" s="263" t="s">
        <v>10988</v>
      </c>
      <c r="Q3488" s="752">
        <v>127.05</v>
      </c>
      <c r="R3488" s="1088">
        <v>133</v>
      </c>
      <c r="S3488" s="1189">
        <f>F3488*R3488</f>
        <v>133</v>
      </c>
      <c r="U3488" s="386"/>
      <c r="V3488" s="386" t="s">
        <v>10751</v>
      </c>
      <c r="W3488" s="386"/>
      <c r="X3488" s="1094">
        <v>42300</v>
      </c>
      <c r="Y3488" s="386" t="s">
        <v>10989</v>
      </c>
      <c r="Z3488" s="824">
        <v>4089</v>
      </c>
      <c r="AA3488" s="1090">
        <v>42321</v>
      </c>
      <c r="AB3488" s="386" t="s">
        <v>10990</v>
      </c>
      <c r="AD3488" s="386"/>
      <c r="AE3488" s="386"/>
      <c r="AF3488" s="386"/>
      <c r="AG3488" s="386" t="s">
        <v>283</v>
      </c>
    </row>
    <row r="3489" spans="1:33" ht="15.75" customHeight="1">
      <c r="A3489" s="743">
        <v>41992</v>
      </c>
      <c r="B3489" s="823" t="s">
        <v>6395</v>
      </c>
      <c r="C3489" s="386"/>
      <c r="D3489" s="386" t="s">
        <v>10991</v>
      </c>
      <c r="E3489" s="338" t="s">
        <v>10992</v>
      </c>
      <c r="F3489" s="1088">
        <v>2</v>
      </c>
      <c r="G3489" s="772"/>
      <c r="H3489" s="772"/>
      <c r="I3489" s="263" t="s">
        <v>8429</v>
      </c>
      <c r="J3489" s="267" t="s">
        <v>6399</v>
      </c>
      <c r="K3489" s="811">
        <v>42037</v>
      </c>
      <c r="L3489" s="1477"/>
      <c r="M3489" s="811">
        <v>41655</v>
      </c>
      <c r="N3489" s="267" t="s">
        <v>10993</v>
      </c>
      <c r="O3489" s="970" t="s">
        <v>10994</v>
      </c>
      <c r="Q3489" s="386"/>
      <c r="R3489" s="323">
        <v>772</v>
      </c>
      <c r="S3489" s="464">
        <f>R3489*F3489</f>
        <v>1544</v>
      </c>
      <c r="U3489" s="752">
        <v>45759</v>
      </c>
      <c r="V3489" s="386" t="s">
        <v>10995</v>
      </c>
      <c r="W3489" s="1090"/>
      <c r="X3489" s="1095">
        <v>42019</v>
      </c>
      <c r="Y3489" s="386" t="s">
        <v>10996</v>
      </c>
      <c r="Z3489" s="824">
        <v>45759</v>
      </c>
      <c r="AA3489" s="1095">
        <v>42090</v>
      </c>
      <c r="AB3489" s="318" t="s">
        <v>10997</v>
      </c>
      <c r="AD3489" s="386"/>
      <c r="AE3489" s="386"/>
      <c r="AF3489" s="386"/>
      <c r="AG3489" s="386" t="s">
        <v>283</v>
      </c>
    </row>
    <row r="3490" spans="1:33" ht="15.75" customHeight="1">
      <c r="A3490" s="743">
        <v>42037</v>
      </c>
      <c r="B3490" s="823" t="s">
        <v>6395</v>
      </c>
      <c r="C3490" s="386"/>
      <c r="D3490" s="386" t="s">
        <v>10998</v>
      </c>
      <c r="E3490" s="338" t="s">
        <v>10992</v>
      </c>
      <c r="F3490" s="1088">
        <v>2</v>
      </c>
      <c r="G3490" s="772"/>
      <c r="H3490" s="772"/>
      <c r="I3490" s="263" t="s">
        <v>8429</v>
      </c>
      <c r="J3490" s="267" t="s">
        <v>6399</v>
      </c>
      <c r="K3490" s="811">
        <v>42061</v>
      </c>
      <c r="L3490" s="1477"/>
      <c r="M3490" s="811">
        <v>42060</v>
      </c>
      <c r="N3490" s="267" t="s">
        <v>6642</v>
      </c>
      <c r="O3490" s="970" t="s">
        <v>10999</v>
      </c>
      <c r="Q3490" s="386"/>
      <c r="R3490" s="323">
        <v>772</v>
      </c>
      <c r="S3490" s="464">
        <f>R3490*F3490</f>
        <v>1544</v>
      </c>
      <c r="U3490" s="752">
        <v>45399</v>
      </c>
      <c r="V3490" s="386" t="s">
        <v>10995</v>
      </c>
      <c r="W3490" s="1090"/>
      <c r="X3490" s="1083">
        <v>42059</v>
      </c>
      <c r="Y3490" s="318" t="s">
        <v>11000</v>
      </c>
      <c r="Z3490" s="1086">
        <v>45399</v>
      </c>
      <c r="AA3490" s="1095">
        <v>42090</v>
      </c>
      <c r="AB3490" s="318" t="s">
        <v>11001</v>
      </c>
      <c r="AD3490" s="386"/>
      <c r="AE3490" s="386"/>
      <c r="AF3490" s="386"/>
      <c r="AG3490" s="386" t="s">
        <v>8415</v>
      </c>
    </row>
    <row r="3491" spans="1:33" ht="15.75" customHeight="1">
      <c r="A3491" s="743">
        <v>42059</v>
      </c>
      <c r="B3491" s="823" t="s">
        <v>6395</v>
      </c>
      <c r="C3491" s="386"/>
      <c r="D3491" s="386" t="s">
        <v>11002</v>
      </c>
      <c r="E3491" s="338" t="s">
        <v>10992</v>
      </c>
      <c r="F3491" s="1088">
        <v>4</v>
      </c>
      <c r="G3491" s="386"/>
      <c r="H3491" s="386"/>
      <c r="I3491" s="263" t="s">
        <v>8429</v>
      </c>
      <c r="J3491" s="267" t="s">
        <v>6399</v>
      </c>
      <c r="K3491" s="811">
        <v>42086</v>
      </c>
      <c r="L3491" s="1477"/>
      <c r="M3491" s="811">
        <v>42083</v>
      </c>
      <c r="N3491" s="267" t="s">
        <v>6642</v>
      </c>
      <c r="O3491" s="970" t="s">
        <v>11003</v>
      </c>
      <c r="Q3491" s="386"/>
      <c r="R3491" s="323">
        <v>772</v>
      </c>
      <c r="S3491" s="464">
        <f>R3491*F3491</f>
        <v>3088</v>
      </c>
      <c r="U3491" s="752">
        <v>90237</v>
      </c>
      <c r="V3491" s="386" t="s">
        <v>10995</v>
      </c>
      <c r="W3491" s="1090"/>
      <c r="X3491" s="1095">
        <v>42082</v>
      </c>
      <c r="Y3491" s="970" t="s">
        <v>11004</v>
      </c>
      <c r="Z3491" s="824">
        <v>90237</v>
      </c>
      <c r="AA3491" s="1095">
        <v>42129</v>
      </c>
      <c r="AB3491" s="318" t="s">
        <v>11005</v>
      </c>
      <c r="AD3491" s="386"/>
      <c r="AE3491" s="386"/>
      <c r="AF3491" s="386"/>
      <c r="AG3491" s="386" t="s">
        <v>8415</v>
      </c>
    </row>
    <row r="3492" spans="1:33" ht="15.75" customHeight="1">
      <c r="A3492" s="755">
        <v>41985</v>
      </c>
      <c r="B3492" s="823" t="s">
        <v>10673</v>
      </c>
      <c r="C3492" s="263" t="s">
        <v>11006</v>
      </c>
      <c r="D3492" s="318" t="s">
        <v>11007</v>
      </c>
      <c r="E3492" s="338" t="s">
        <v>11008</v>
      </c>
      <c r="F3492" s="752">
        <v>3</v>
      </c>
      <c r="G3492" s="464">
        <f>2871*1.05</f>
        <v>3014.55</v>
      </c>
      <c r="H3492" s="1100">
        <f>F3492*G3492</f>
        <v>9043.6500000000015</v>
      </c>
      <c r="I3492" s="263" t="s">
        <v>10831</v>
      </c>
      <c r="J3492" s="331" t="s">
        <v>10721</v>
      </c>
      <c r="K3492" s="811">
        <v>41652</v>
      </c>
      <c r="L3492" s="1477"/>
      <c r="M3492" s="811">
        <v>41648</v>
      </c>
      <c r="N3492" s="331" t="s">
        <v>10778</v>
      </c>
      <c r="O3492" s="263" t="s">
        <v>11009</v>
      </c>
      <c r="Q3492" s="772"/>
      <c r="R3492" s="464">
        <v>100.49</v>
      </c>
      <c r="S3492" s="464">
        <f t="shared" ref="S3492:S3505" si="215">F3492*R3492</f>
        <v>301.46999999999997</v>
      </c>
      <c r="U3492" s="1100">
        <f>2756*3*1.05</f>
        <v>8681.4</v>
      </c>
      <c r="V3492" s="318" t="s">
        <v>8443</v>
      </c>
      <c r="W3492" s="1090"/>
      <c r="X3492" s="1083">
        <v>42012</v>
      </c>
      <c r="Y3492" s="318" t="s">
        <v>11010</v>
      </c>
      <c r="Z3492" s="1086">
        <v>8681</v>
      </c>
      <c r="AA3492" s="1083">
        <v>42040</v>
      </c>
      <c r="AB3492" s="318" t="s">
        <v>11011</v>
      </c>
      <c r="AD3492" s="386"/>
      <c r="AE3492" s="1100">
        <v>9044</v>
      </c>
      <c r="AF3492" s="318" t="s">
        <v>11012</v>
      </c>
      <c r="AG3492" s="386"/>
    </row>
    <row r="3493" spans="1:33" ht="15.75" customHeight="1">
      <c r="A3493" s="755">
        <v>41985</v>
      </c>
      <c r="B3493" s="823" t="s">
        <v>10673</v>
      </c>
      <c r="C3493" s="263" t="s">
        <v>11013</v>
      </c>
      <c r="D3493" s="318" t="s">
        <v>11014</v>
      </c>
      <c r="E3493" s="338" t="s">
        <v>11015</v>
      </c>
      <c r="F3493" s="752">
        <v>1</v>
      </c>
      <c r="G3493" s="386"/>
      <c r="H3493" s="386"/>
      <c r="I3493" s="263" t="s">
        <v>10831</v>
      </c>
      <c r="J3493" s="331" t="s">
        <v>89</v>
      </c>
      <c r="K3493" s="811">
        <v>42030</v>
      </c>
      <c r="L3493" s="1477"/>
      <c r="M3493" s="386"/>
      <c r="N3493" s="331" t="s">
        <v>89</v>
      </c>
      <c r="O3493" s="263" t="s">
        <v>11016</v>
      </c>
      <c r="Q3493" s="752">
        <v>245.7</v>
      </c>
      <c r="R3493" s="752">
        <v>255.78</v>
      </c>
      <c r="S3493" s="464">
        <f t="shared" si="215"/>
        <v>255.78</v>
      </c>
      <c r="U3493" s="386"/>
      <c r="V3493" s="318" t="s">
        <v>5896</v>
      </c>
      <c r="W3493" s="1090"/>
      <c r="X3493" s="1083">
        <v>42030</v>
      </c>
      <c r="Y3493" s="263" t="s">
        <v>11017</v>
      </c>
      <c r="Z3493" s="1086">
        <v>7779</v>
      </c>
      <c r="AA3493" s="1083">
        <v>42044</v>
      </c>
      <c r="AB3493" s="318" t="s">
        <v>11018</v>
      </c>
      <c r="AD3493" s="318" t="s">
        <v>11019</v>
      </c>
      <c r="AE3493" s="1100">
        <v>8001</v>
      </c>
      <c r="AF3493" s="318" t="s">
        <v>11020</v>
      </c>
      <c r="AG3493" s="386"/>
    </row>
    <row r="3494" spans="1:33" ht="15.75" customHeight="1">
      <c r="A3494" s="743">
        <v>41985</v>
      </c>
      <c r="B3494" s="823" t="s">
        <v>10673</v>
      </c>
      <c r="C3494" s="970" t="s">
        <v>11013</v>
      </c>
      <c r="D3494" s="386" t="s">
        <v>11021</v>
      </c>
      <c r="E3494" s="592" t="s">
        <v>11015</v>
      </c>
      <c r="F3494" s="1088">
        <v>1</v>
      </c>
      <c r="G3494" s="386"/>
      <c r="H3494" s="386"/>
      <c r="I3494" s="263" t="s">
        <v>10831</v>
      </c>
      <c r="J3494" s="267" t="s">
        <v>89</v>
      </c>
      <c r="K3494" s="811">
        <v>42086</v>
      </c>
      <c r="L3494" s="1477"/>
      <c r="M3494" s="386"/>
      <c r="N3494" s="267" t="s">
        <v>89</v>
      </c>
      <c r="O3494" s="263" t="s">
        <v>11022</v>
      </c>
      <c r="Q3494" s="752">
        <v>245.7</v>
      </c>
      <c r="R3494" s="1088">
        <v>255.78</v>
      </c>
      <c r="S3494" s="464">
        <f t="shared" si="215"/>
        <v>255.78</v>
      </c>
      <c r="U3494" s="386"/>
      <c r="V3494" s="386" t="s">
        <v>5896</v>
      </c>
      <c r="W3494" s="1090"/>
      <c r="X3494" s="1083">
        <v>42086</v>
      </c>
      <c r="Y3494" s="263" t="s">
        <v>11023</v>
      </c>
      <c r="Z3494" s="1086">
        <v>7762</v>
      </c>
      <c r="AA3494" s="1095">
        <v>42082</v>
      </c>
      <c r="AB3494" s="386" t="s">
        <v>11024</v>
      </c>
      <c r="AD3494" s="318" t="s">
        <v>11025</v>
      </c>
      <c r="AE3494" s="1110">
        <v>8042</v>
      </c>
      <c r="AF3494" s="386" t="s">
        <v>11026</v>
      </c>
      <c r="AG3494" s="386"/>
    </row>
    <row r="3495" spans="1:33" ht="15.75" customHeight="1">
      <c r="A3495" s="743">
        <v>41985</v>
      </c>
      <c r="B3495" s="823" t="s">
        <v>10673</v>
      </c>
      <c r="C3495" s="970" t="s">
        <v>11013</v>
      </c>
      <c r="D3495" s="386" t="s">
        <v>11027</v>
      </c>
      <c r="E3495" s="592" t="s">
        <v>11015</v>
      </c>
      <c r="F3495" s="1088">
        <v>1</v>
      </c>
      <c r="G3495" s="386"/>
      <c r="H3495" s="386"/>
      <c r="I3495" s="263" t="s">
        <v>10831</v>
      </c>
      <c r="J3495" s="267" t="s">
        <v>89</v>
      </c>
      <c r="K3495" s="811">
        <v>42093</v>
      </c>
      <c r="L3495" s="1477"/>
      <c r="M3495" s="386"/>
      <c r="N3495" s="267" t="s">
        <v>89</v>
      </c>
      <c r="O3495" s="263" t="s">
        <v>11028</v>
      </c>
      <c r="Q3495" s="752">
        <v>245.7</v>
      </c>
      <c r="R3495" s="1088">
        <v>255.78</v>
      </c>
      <c r="S3495" s="464">
        <f t="shared" si="215"/>
        <v>255.78</v>
      </c>
      <c r="U3495" s="386"/>
      <c r="V3495" s="386" t="s">
        <v>5896</v>
      </c>
      <c r="W3495" s="386"/>
      <c r="X3495" s="1083">
        <v>42093</v>
      </c>
      <c r="Y3495" s="318" t="s">
        <v>11029</v>
      </c>
      <c r="Z3495" s="1086">
        <v>7762</v>
      </c>
      <c r="AA3495" s="386"/>
      <c r="AB3495" s="386" t="s">
        <v>11030</v>
      </c>
      <c r="AD3495" s="386" t="s">
        <v>11031</v>
      </c>
      <c r="AE3495" s="1110">
        <v>8006</v>
      </c>
      <c r="AF3495" s="386" t="s">
        <v>11032</v>
      </c>
      <c r="AG3495" s="386"/>
    </row>
    <row r="3496" spans="1:33" ht="15.75" customHeight="1">
      <c r="A3496" s="755">
        <v>42010</v>
      </c>
      <c r="B3496" s="823" t="s">
        <v>10673</v>
      </c>
      <c r="C3496" s="263" t="s">
        <v>11033</v>
      </c>
      <c r="D3496" s="318" t="s">
        <v>11034</v>
      </c>
      <c r="E3496" s="338" t="s">
        <v>11035</v>
      </c>
      <c r="F3496" s="752">
        <v>2</v>
      </c>
      <c r="G3496" s="386"/>
      <c r="H3496" s="386"/>
      <c r="I3496" s="263" t="s">
        <v>10831</v>
      </c>
      <c r="J3496" s="331" t="s">
        <v>89</v>
      </c>
      <c r="K3496" s="811">
        <v>42023</v>
      </c>
      <c r="L3496" s="1477"/>
      <c r="M3496" s="386"/>
      <c r="N3496" s="331" t="s">
        <v>89</v>
      </c>
      <c r="O3496" s="263" t="s">
        <v>11036</v>
      </c>
      <c r="Q3496" s="752">
        <v>357</v>
      </c>
      <c r="R3496" s="752">
        <v>204.75</v>
      </c>
      <c r="S3496" s="464">
        <f t="shared" si="215"/>
        <v>409.5</v>
      </c>
      <c r="U3496" s="386"/>
      <c r="V3496" s="318" t="s">
        <v>5896</v>
      </c>
      <c r="W3496" s="1090"/>
      <c r="X3496" s="1083">
        <v>42023</v>
      </c>
      <c r="Y3496" s="263" t="s">
        <v>11037</v>
      </c>
      <c r="Z3496" s="1086">
        <v>11388</v>
      </c>
      <c r="AA3496" s="1083">
        <v>42044</v>
      </c>
      <c r="AB3496" s="318" t="s">
        <v>11038</v>
      </c>
      <c r="AD3496" s="318" t="s">
        <v>11039</v>
      </c>
      <c r="AE3496" s="1100">
        <v>12957</v>
      </c>
      <c r="AF3496" s="318" t="s">
        <v>11040</v>
      </c>
      <c r="AG3496" s="386"/>
    </row>
    <row r="3497" spans="1:33" ht="15.75" customHeight="1">
      <c r="A3497" s="755">
        <v>42013</v>
      </c>
      <c r="B3497" s="823" t="s">
        <v>10673</v>
      </c>
      <c r="C3497" s="263" t="s">
        <v>11041</v>
      </c>
      <c r="D3497" s="318" t="s">
        <v>11042</v>
      </c>
      <c r="E3497" s="338" t="s">
        <v>11008</v>
      </c>
      <c r="F3497" s="752">
        <v>4</v>
      </c>
      <c r="G3497" s="752">
        <v>3014.55</v>
      </c>
      <c r="H3497" s="1100">
        <f>F3497*G3497</f>
        <v>12058.2</v>
      </c>
      <c r="I3497" s="263" t="s">
        <v>10831</v>
      </c>
      <c r="J3497" s="592"/>
      <c r="K3497" s="811">
        <v>42031</v>
      </c>
      <c r="L3497" s="1477"/>
      <c r="M3497" s="811">
        <v>42027</v>
      </c>
      <c r="N3497" s="331" t="s">
        <v>10778</v>
      </c>
      <c r="O3497" s="318" t="s">
        <v>11043</v>
      </c>
      <c r="Q3497" s="386"/>
      <c r="R3497" s="752">
        <v>100.485</v>
      </c>
      <c r="S3497" s="464">
        <f t="shared" si="215"/>
        <v>401.94</v>
      </c>
      <c r="U3497" s="1100">
        <v>11575</v>
      </c>
      <c r="V3497" s="318" t="s">
        <v>8443</v>
      </c>
      <c r="W3497" s="1090"/>
      <c r="X3497" s="1083">
        <v>41659</v>
      </c>
      <c r="Y3497" s="263" t="s">
        <v>11044</v>
      </c>
      <c r="Z3497" s="1086">
        <v>11575</v>
      </c>
      <c r="AA3497" s="1083">
        <v>42040</v>
      </c>
      <c r="AB3497" s="318" t="s">
        <v>11045</v>
      </c>
      <c r="AD3497" s="386"/>
      <c r="AE3497" s="1100">
        <v>12058</v>
      </c>
      <c r="AF3497" s="318" t="s">
        <v>11020</v>
      </c>
      <c r="AG3497" s="386"/>
    </row>
    <row r="3498" spans="1:33" ht="15.75" customHeight="1">
      <c r="A3498" s="755">
        <v>42013</v>
      </c>
      <c r="B3498" s="823" t="s">
        <v>10673</v>
      </c>
      <c r="C3498" s="263" t="s">
        <v>11046</v>
      </c>
      <c r="D3498" s="318" t="s">
        <v>11047</v>
      </c>
      <c r="E3498" s="338" t="s">
        <v>11048</v>
      </c>
      <c r="F3498" s="752">
        <v>10</v>
      </c>
      <c r="G3498" s="386"/>
      <c r="H3498" s="386"/>
      <c r="I3498" s="263" t="s">
        <v>10831</v>
      </c>
      <c r="J3498" s="592"/>
      <c r="K3498" s="811">
        <v>42023</v>
      </c>
      <c r="L3498" s="1477"/>
      <c r="M3498" s="386"/>
      <c r="N3498" s="331" t="s">
        <v>89</v>
      </c>
      <c r="O3498" s="263" t="s">
        <v>11049</v>
      </c>
      <c r="Q3498" s="752">
        <v>682.5</v>
      </c>
      <c r="R3498" s="752">
        <v>76.650000000000006</v>
      </c>
      <c r="S3498" s="464">
        <f t="shared" si="215"/>
        <v>766.5</v>
      </c>
      <c r="U3498" s="1097"/>
      <c r="V3498" s="318" t="s">
        <v>5896</v>
      </c>
      <c r="W3498" s="1090"/>
      <c r="X3498" s="1083">
        <v>42023</v>
      </c>
      <c r="Y3498" s="263" t="s">
        <v>11050</v>
      </c>
      <c r="Z3498" s="1086">
        <v>21772</v>
      </c>
      <c r="AA3498" s="1083">
        <v>42033</v>
      </c>
      <c r="AB3498" s="318" t="s">
        <v>11051</v>
      </c>
      <c r="AD3498" s="318" t="s">
        <v>11052</v>
      </c>
      <c r="AE3498" s="1100">
        <v>24122</v>
      </c>
      <c r="AF3498" s="318" t="s">
        <v>11040</v>
      </c>
      <c r="AG3498" s="386"/>
    </row>
    <row r="3499" spans="1:33" ht="15.75" customHeight="1">
      <c r="A3499" s="755">
        <v>42017</v>
      </c>
      <c r="B3499" s="823" t="s">
        <v>10673</v>
      </c>
      <c r="C3499" s="263" t="s">
        <v>11053</v>
      </c>
      <c r="D3499" s="318" t="s">
        <v>11054</v>
      </c>
      <c r="E3499" s="338" t="s">
        <v>11055</v>
      </c>
      <c r="F3499" s="752">
        <v>1</v>
      </c>
      <c r="G3499" s="752">
        <v>5810</v>
      </c>
      <c r="H3499" s="1100">
        <v>5810</v>
      </c>
      <c r="I3499" s="263" t="s">
        <v>10831</v>
      </c>
      <c r="J3499" s="331" t="s">
        <v>10777</v>
      </c>
      <c r="K3499" s="811">
        <v>42019</v>
      </c>
      <c r="L3499" s="1477"/>
      <c r="M3499" s="811">
        <v>42019</v>
      </c>
      <c r="N3499" s="331" t="s">
        <v>10778</v>
      </c>
      <c r="O3499" s="318" t="s">
        <v>11056</v>
      </c>
      <c r="Q3499" s="386"/>
      <c r="R3499" s="752">
        <v>193.69</v>
      </c>
      <c r="S3499" s="464">
        <f t="shared" si="215"/>
        <v>193.69</v>
      </c>
      <c r="U3499" s="1100">
        <v>5625</v>
      </c>
      <c r="V3499" s="318" t="s">
        <v>8443</v>
      </c>
      <c r="W3499" s="1090"/>
      <c r="X3499" s="1083">
        <v>42023</v>
      </c>
      <c r="Y3499" s="263" t="s">
        <v>11057</v>
      </c>
      <c r="Z3499" s="1086">
        <v>22348</v>
      </c>
      <c r="AA3499" s="1083">
        <v>42040</v>
      </c>
      <c r="AB3499" s="318" t="s">
        <v>11058</v>
      </c>
      <c r="AD3499" s="386"/>
      <c r="AE3499" s="1100">
        <v>9210</v>
      </c>
      <c r="AF3499" s="318" t="s">
        <v>11059</v>
      </c>
      <c r="AG3499" s="386"/>
    </row>
    <row r="3500" spans="1:33" ht="15.75" customHeight="1">
      <c r="A3500" s="755">
        <v>42017</v>
      </c>
      <c r="B3500" s="823" t="s">
        <v>10673</v>
      </c>
      <c r="C3500" s="263" t="s">
        <v>11053</v>
      </c>
      <c r="D3500" s="318" t="s">
        <v>11054</v>
      </c>
      <c r="E3500" s="338" t="s">
        <v>6768</v>
      </c>
      <c r="F3500" s="752">
        <v>1</v>
      </c>
      <c r="G3500" s="752">
        <v>3349.5</v>
      </c>
      <c r="H3500" s="1100">
        <f>F3500*G3500</f>
        <v>3349.5</v>
      </c>
      <c r="I3500" s="263" t="s">
        <v>10831</v>
      </c>
      <c r="J3500" s="331" t="s">
        <v>10777</v>
      </c>
      <c r="K3500" s="811">
        <v>42019</v>
      </c>
      <c r="L3500" s="1477"/>
      <c r="M3500" s="811">
        <v>42019</v>
      </c>
      <c r="N3500" s="331" t="s">
        <v>10778</v>
      </c>
      <c r="O3500" s="318" t="s">
        <v>11056</v>
      </c>
      <c r="Q3500" s="386"/>
      <c r="R3500" s="752">
        <v>111.65</v>
      </c>
      <c r="S3500" s="464">
        <f t="shared" si="215"/>
        <v>111.65</v>
      </c>
      <c r="U3500" s="1100">
        <v>3216</v>
      </c>
      <c r="V3500" s="318" t="s">
        <v>8443</v>
      </c>
      <c r="W3500" s="1090"/>
      <c r="X3500" s="263" t="s">
        <v>11060</v>
      </c>
      <c r="Y3500" s="263" t="s">
        <v>11060</v>
      </c>
      <c r="Z3500" s="254" t="s">
        <v>11060</v>
      </c>
      <c r="AA3500" s="1083">
        <v>42040</v>
      </c>
      <c r="AB3500" s="318" t="s">
        <v>11061</v>
      </c>
      <c r="AD3500" s="386"/>
      <c r="AE3500" s="1100" t="s">
        <v>11062</v>
      </c>
      <c r="AF3500" s="318" t="s">
        <v>11059</v>
      </c>
      <c r="AG3500" s="386"/>
    </row>
    <row r="3501" spans="1:33" ht="15.75" customHeight="1">
      <c r="A3501" s="755">
        <v>42017</v>
      </c>
      <c r="B3501" s="823" t="s">
        <v>10673</v>
      </c>
      <c r="C3501" s="263" t="s">
        <v>11053</v>
      </c>
      <c r="D3501" s="318" t="s">
        <v>11063</v>
      </c>
      <c r="E3501" s="338" t="s">
        <v>11064</v>
      </c>
      <c r="F3501" s="752">
        <v>4</v>
      </c>
      <c r="G3501" s="752">
        <v>3517.5</v>
      </c>
      <c r="H3501" s="1100">
        <f>F3501*G3501</f>
        <v>14070</v>
      </c>
      <c r="I3501" s="263" t="s">
        <v>10831</v>
      </c>
      <c r="J3501" s="592"/>
      <c r="K3501" s="811">
        <v>42024</v>
      </c>
      <c r="L3501" s="1477"/>
      <c r="M3501" s="811">
        <v>42026</v>
      </c>
      <c r="N3501" s="331" t="s">
        <v>10778</v>
      </c>
      <c r="O3501" s="318" t="s">
        <v>11056</v>
      </c>
      <c r="Q3501" s="386"/>
      <c r="R3501" s="752">
        <v>117.25</v>
      </c>
      <c r="S3501" s="464">
        <f t="shared" si="215"/>
        <v>469</v>
      </c>
      <c r="U3501" s="1100">
        <v>13507</v>
      </c>
      <c r="V3501" s="318" t="s">
        <v>8443</v>
      </c>
      <c r="W3501" s="1090"/>
      <c r="X3501" s="263" t="s">
        <v>11060</v>
      </c>
      <c r="Y3501" s="263" t="s">
        <v>11060</v>
      </c>
      <c r="Z3501" s="254" t="s">
        <v>11060</v>
      </c>
      <c r="AA3501" s="1083">
        <v>42040</v>
      </c>
      <c r="AB3501" s="318" t="s">
        <v>11065</v>
      </c>
      <c r="AD3501" s="386"/>
      <c r="AE3501" s="1100">
        <v>14070</v>
      </c>
      <c r="AF3501" s="318" t="s">
        <v>11066</v>
      </c>
      <c r="AG3501" s="386"/>
    </row>
    <row r="3502" spans="1:33" ht="15.75" customHeight="1">
      <c r="A3502" s="755">
        <v>42019</v>
      </c>
      <c r="B3502" s="823" t="s">
        <v>10673</v>
      </c>
      <c r="C3502" s="263" t="s">
        <v>11067</v>
      </c>
      <c r="D3502" s="318" t="s">
        <v>11068</v>
      </c>
      <c r="E3502" s="338" t="s">
        <v>11035</v>
      </c>
      <c r="F3502" s="752">
        <v>1</v>
      </c>
      <c r="G3502" s="386"/>
      <c r="H3502" s="386"/>
      <c r="I3502" s="263" t="s">
        <v>10831</v>
      </c>
      <c r="J3502" s="331" t="s">
        <v>89</v>
      </c>
      <c r="K3502" s="811">
        <v>42030</v>
      </c>
      <c r="L3502" s="1477"/>
      <c r="M3502" s="386"/>
      <c r="N3502" s="331" t="s">
        <v>89</v>
      </c>
      <c r="O3502" s="263" t="s">
        <v>11069</v>
      </c>
      <c r="Q3502" s="752">
        <v>178.5</v>
      </c>
      <c r="R3502" s="752">
        <v>204.75</v>
      </c>
      <c r="S3502" s="464">
        <f t="shared" si="215"/>
        <v>204.75</v>
      </c>
      <c r="U3502" s="386"/>
      <c r="V3502" s="318" t="s">
        <v>10751</v>
      </c>
      <c r="W3502" s="1090"/>
      <c r="X3502" s="1083">
        <v>42030</v>
      </c>
      <c r="Y3502" s="263" t="s">
        <v>11070</v>
      </c>
      <c r="Z3502" s="1086">
        <v>5651</v>
      </c>
      <c r="AA3502" s="1083">
        <v>42044</v>
      </c>
      <c r="AB3502" s="318" t="s">
        <v>11071</v>
      </c>
      <c r="AD3502" s="318" t="s">
        <v>11019</v>
      </c>
      <c r="AE3502" s="1100">
        <v>6405</v>
      </c>
      <c r="AF3502" s="318" t="s">
        <v>11020</v>
      </c>
      <c r="AG3502" s="386"/>
    </row>
    <row r="3503" spans="1:33" ht="15.75" customHeight="1">
      <c r="A3503" s="743">
        <v>42019</v>
      </c>
      <c r="B3503" s="823" t="s">
        <v>10673</v>
      </c>
      <c r="C3503" s="970" t="s">
        <v>11072</v>
      </c>
      <c r="D3503" s="386" t="s">
        <v>11073</v>
      </c>
      <c r="E3503" s="592" t="s">
        <v>11074</v>
      </c>
      <c r="F3503" s="1088">
        <v>10</v>
      </c>
      <c r="G3503" s="1088">
        <v>5449.5</v>
      </c>
      <c r="H3503" s="1100">
        <f>F3503*G3503</f>
        <v>54495</v>
      </c>
      <c r="I3503" s="263" t="s">
        <v>10831</v>
      </c>
      <c r="J3503" s="267" t="s">
        <v>10721</v>
      </c>
      <c r="K3503" s="811">
        <v>42045</v>
      </c>
      <c r="L3503" s="1477"/>
      <c r="M3503" s="811">
        <v>42041</v>
      </c>
      <c r="N3503" s="267" t="s">
        <v>10778</v>
      </c>
      <c r="O3503" s="386" t="s">
        <v>11075</v>
      </c>
      <c r="Q3503" s="386"/>
      <c r="R3503" s="1088">
        <v>181.65</v>
      </c>
      <c r="S3503" s="464">
        <f t="shared" si="215"/>
        <v>1816.5</v>
      </c>
      <c r="U3503" s="752">
        <v>52164</v>
      </c>
      <c r="V3503" s="386" t="s">
        <v>8443</v>
      </c>
      <c r="W3503" s="1090"/>
      <c r="X3503" s="1095">
        <v>42038</v>
      </c>
      <c r="Y3503" s="386" t="s">
        <v>11076</v>
      </c>
      <c r="Z3503" s="824">
        <v>52164</v>
      </c>
      <c r="AA3503" s="1095">
        <v>42074</v>
      </c>
      <c r="AB3503" s="386" t="s">
        <v>11077</v>
      </c>
      <c r="AD3503" s="386"/>
      <c r="AE3503" s="1110">
        <v>54495</v>
      </c>
      <c r="AF3503" s="386" t="s">
        <v>11078</v>
      </c>
      <c r="AG3503" s="386"/>
    </row>
    <row r="3504" spans="1:33" ht="15.75" customHeight="1">
      <c r="A3504" s="755">
        <v>42019</v>
      </c>
      <c r="B3504" s="823" t="s">
        <v>10673</v>
      </c>
      <c r="C3504" s="263" t="s">
        <v>11079</v>
      </c>
      <c r="D3504" s="318" t="s">
        <v>11080</v>
      </c>
      <c r="E3504" s="338" t="s">
        <v>11081</v>
      </c>
      <c r="F3504" s="752">
        <v>2</v>
      </c>
      <c r="G3504" s="752">
        <v>2165.1</v>
      </c>
      <c r="H3504" s="1100">
        <f>F3504*G3504</f>
        <v>4330.2</v>
      </c>
      <c r="I3504" s="263" t="s">
        <v>10831</v>
      </c>
      <c r="J3504" s="331" t="s">
        <v>10721</v>
      </c>
      <c r="K3504" s="811">
        <v>42024</v>
      </c>
      <c r="L3504" s="1477"/>
      <c r="M3504" s="811">
        <v>42023</v>
      </c>
      <c r="N3504" s="331" t="s">
        <v>10778</v>
      </c>
      <c r="O3504" s="318" t="s">
        <v>11082</v>
      </c>
      <c r="Q3504" s="386"/>
      <c r="R3504" s="752">
        <v>72.17</v>
      </c>
      <c r="S3504" s="464">
        <f t="shared" si="215"/>
        <v>144.34</v>
      </c>
      <c r="U3504" s="1100">
        <v>4155.8999999999996</v>
      </c>
      <c r="V3504" s="318" t="s">
        <v>8443</v>
      </c>
      <c r="W3504" s="1090"/>
      <c r="X3504" s="1083">
        <v>42023</v>
      </c>
      <c r="Y3504" s="263" t="s">
        <v>11083</v>
      </c>
      <c r="Z3504" s="1086">
        <v>9224</v>
      </c>
      <c r="AA3504" s="1083">
        <v>42040</v>
      </c>
      <c r="AB3504" s="318" t="s">
        <v>11084</v>
      </c>
      <c r="AD3504" s="386"/>
      <c r="AE3504" s="1100">
        <v>9609</v>
      </c>
      <c r="AF3504" s="318" t="s">
        <v>11085</v>
      </c>
      <c r="AG3504" s="386"/>
    </row>
    <row r="3505" spans="1:33" ht="15.75" customHeight="1">
      <c r="A3505" s="755">
        <v>42019</v>
      </c>
      <c r="B3505" s="823" t="s">
        <v>10673</v>
      </c>
      <c r="C3505" s="263" t="s">
        <v>11079</v>
      </c>
      <c r="D3505" s="318" t="s">
        <v>11080</v>
      </c>
      <c r="E3505" s="338" t="s">
        <v>11086</v>
      </c>
      <c r="F3505" s="752">
        <v>3</v>
      </c>
      <c r="G3505" s="752">
        <v>1759.8</v>
      </c>
      <c r="H3505" s="1100">
        <f>F3505*G3505</f>
        <v>5279.4</v>
      </c>
      <c r="I3505" s="263" t="s">
        <v>10831</v>
      </c>
      <c r="J3505" s="331" t="s">
        <v>10721</v>
      </c>
      <c r="K3505" s="811">
        <v>42024</v>
      </c>
      <c r="L3505" s="1477"/>
      <c r="M3505" s="811">
        <v>42023</v>
      </c>
      <c r="N3505" s="331" t="s">
        <v>10778</v>
      </c>
      <c r="O3505" s="318" t="s">
        <v>11082</v>
      </c>
      <c r="Q3505" s="386"/>
      <c r="R3505" s="752">
        <v>58.66</v>
      </c>
      <c r="S3505" s="464">
        <f t="shared" si="215"/>
        <v>175.98</v>
      </c>
      <c r="U3505" s="1100">
        <v>5068.3500000000004</v>
      </c>
      <c r="V3505" s="318" t="s">
        <v>8443</v>
      </c>
      <c r="W3505" s="1090"/>
      <c r="X3505" s="263" t="s">
        <v>11087</v>
      </c>
      <c r="Y3505" s="263" t="s">
        <v>11087</v>
      </c>
      <c r="Z3505" s="254" t="s">
        <v>11087</v>
      </c>
      <c r="AA3505" s="1083">
        <v>42040</v>
      </c>
      <c r="AB3505" s="263" t="s">
        <v>11087</v>
      </c>
      <c r="AD3505" s="386"/>
      <c r="AE3505" s="263" t="s">
        <v>11087</v>
      </c>
      <c r="AF3505" s="318" t="s">
        <v>11085</v>
      </c>
      <c r="AG3505" s="386"/>
    </row>
    <row r="3506" spans="1:33" ht="15.75" customHeight="1">
      <c r="A3506" s="755">
        <v>42024</v>
      </c>
      <c r="B3506" s="823" t="s">
        <v>10673</v>
      </c>
      <c r="C3506" s="263" t="s">
        <v>11088</v>
      </c>
      <c r="D3506" s="318" t="s">
        <v>11089</v>
      </c>
      <c r="E3506" s="338" t="s">
        <v>11090</v>
      </c>
      <c r="F3506" s="752">
        <v>20</v>
      </c>
      <c r="G3506" s="386"/>
      <c r="H3506" s="386"/>
      <c r="I3506" s="263" t="s">
        <v>10831</v>
      </c>
      <c r="J3506" s="331" t="s">
        <v>89</v>
      </c>
      <c r="K3506" s="811">
        <v>42030</v>
      </c>
      <c r="L3506" s="1477"/>
      <c r="M3506" s="386"/>
      <c r="N3506" s="331" t="s">
        <v>89</v>
      </c>
      <c r="O3506" s="263" t="s">
        <v>11091</v>
      </c>
      <c r="Q3506" s="464">
        <v>1134</v>
      </c>
      <c r="R3506" s="752">
        <v>64.05</v>
      </c>
      <c r="S3506" s="464">
        <f t="shared" ref="S3506:S3512" si="216">R3506*F3506</f>
        <v>1281</v>
      </c>
      <c r="U3506" s="386"/>
      <c r="V3506" s="318" t="s">
        <v>10751</v>
      </c>
      <c r="W3506" s="1090"/>
      <c r="X3506" s="1083">
        <v>42030</v>
      </c>
      <c r="Y3506" s="263" t="s">
        <v>11092</v>
      </c>
      <c r="Z3506" s="1086">
        <v>35902</v>
      </c>
      <c r="AA3506" s="1083">
        <v>42033</v>
      </c>
      <c r="AB3506" s="318" t="s">
        <v>11093</v>
      </c>
      <c r="AD3506" s="318" t="s">
        <v>11019</v>
      </c>
      <c r="AE3506" s="1100">
        <v>40070</v>
      </c>
      <c r="AF3506" s="318" t="s">
        <v>11020</v>
      </c>
      <c r="AG3506" s="386"/>
    </row>
    <row r="3507" spans="1:33" ht="15.75" customHeight="1">
      <c r="A3507" s="755">
        <v>42026</v>
      </c>
      <c r="B3507" s="823" t="s">
        <v>10673</v>
      </c>
      <c r="C3507" s="263" t="s">
        <v>11094</v>
      </c>
      <c r="D3507" s="318" t="s">
        <v>11095</v>
      </c>
      <c r="E3507" s="338" t="s">
        <v>6261</v>
      </c>
      <c r="F3507" s="752">
        <v>5</v>
      </c>
      <c r="G3507" s="752">
        <v>3727.5</v>
      </c>
      <c r="H3507" s="1100">
        <f>F3507*G3507</f>
        <v>18637.5</v>
      </c>
      <c r="I3507" s="263" t="s">
        <v>10831</v>
      </c>
      <c r="J3507" s="331" t="s">
        <v>10721</v>
      </c>
      <c r="K3507" s="811">
        <v>42031</v>
      </c>
      <c r="L3507" s="1477"/>
      <c r="M3507" s="811">
        <v>42030</v>
      </c>
      <c r="N3507" s="331" t="s">
        <v>10778</v>
      </c>
      <c r="O3507" s="318" t="s">
        <v>11096</v>
      </c>
      <c r="Q3507" s="386"/>
      <c r="R3507" s="752">
        <v>124.25</v>
      </c>
      <c r="S3507" s="464">
        <f t="shared" si="216"/>
        <v>621.25</v>
      </c>
      <c r="U3507" s="1100">
        <v>18443</v>
      </c>
      <c r="V3507" s="318" t="s">
        <v>8443</v>
      </c>
      <c r="W3507" s="1090"/>
      <c r="X3507" s="1083">
        <v>42030</v>
      </c>
      <c r="Y3507" s="263" t="s">
        <v>11097</v>
      </c>
      <c r="Z3507" s="1086">
        <v>65419</v>
      </c>
      <c r="AA3507" s="1083">
        <v>42040</v>
      </c>
      <c r="AB3507" s="318" t="s">
        <v>11098</v>
      </c>
      <c r="AD3507" s="386"/>
      <c r="AE3507" s="1100">
        <v>67572</v>
      </c>
      <c r="AF3507" s="318" t="s">
        <v>11020</v>
      </c>
      <c r="AG3507" s="386"/>
    </row>
    <row r="3508" spans="1:33" ht="15.75" customHeight="1">
      <c r="A3508" s="755">
        <v>42026</v>
      </c>
      <c r="B3508" s="823" t="s">
        <v>10673</v>
      </c>
      <c r="C3508" s="263" t="s">
        <v>11094</v>
      </c>
      <c r="D3508" s="318" t="s">
        <v>11095</v>
      </c>
      <c r="E3508" s="338" t="s">
        <v>11081</v>
      </c>
      <c r="F3508" s="752">
        <v>1</v>
      </c>
      <c r="G3508" s="752">
        <v>2165.1</v>
      </c>
      <c r="H3508" s="1100">
        <f>F3508*G3508</f>
        <v>2165.1</v>
      </c>
      <c r="I3508" s="263" t="s">
        <v>10831</v>
      </c>
      <c r="J3508" s="331" t="s">
        <v>10721</v>
      </c>
      <c r="K3508" s="811">
        <v>42031</v>
      </c>
      <c r="L3508" s="1477"/>
      <c r="M3508" s="811">
        <v>42030</v>
      </c>
      <c r="N3508" s="331" t="s">
        <v>10778</v>
      </c>
      <c r="O3508" s="318" t="s">
        <v>11096</v>
      </c>
      <c r="Q3508" s="386"/>
      <c r="R3508" s="752">
        <v>72.17</v>
      </c>
      <c r="S3508" s="464">
        <f t="shared" si="216"/>
        <v>72.17</v>
      </c>
      <c r="U3508" s="1100">
        <v>2078</v>
      </c>
      <c r="V3508" s="318" t="s">
        <v>8443</v>
      </c>
      <c r="W3508" s="1090"/>
      <c r="X3508" s="263" t="s">
        <v>11099</v>
      </c>
      <c r="Y3508" s="263" t="s">
        <v>11099</v>
      </c>
      <c r="Z3508" s="386"/>
      <c r="AA3508" s="1083">
        <v>42040</v>
      </c>
      <c r="AB3508" s="263" t="s">
        <v>11100</v>
      </c>
      <c r="AD3508" s="386"/>
      <c r="AE3508" s="752" t="s">
        <v>11100</v>
      </c>
      <c r="AF3508" s="318" t="s">
        <v>11020</v>
      </c>
      <c r="AG3508" s="386"/>
    </row>
    <row r="3509" spans="1:33" ht="15.75" customHeight="1">
      <c r="A3509" s="755">
        <v>42026</v>
      </c>
      <c r="B3509" s="823" t="s">
        <v>10673</v>
      </c>
      <c r="C3509" s="263" t="s">
        <v>11094</v>
      </c>
      <c r="D3509" s="318" t="s">
        <v>11095</v>
      </c>
      <c r="E3509" s="338" t="s">
        <v>11101</v>
      </c>
      <c r="F3509" s="752">
        <v>1</v>
      </c>
      <c r="G3509" s="752">
        <v>4418.3999999999996</v>
      </c>
      <c r="H3509" s="1100">
        <f>F3509*G3509</f>
        <v>4418.3999999999996</v>
      </c>
      <c r="I3509" s="263" t="s">
        <v>10831</v>
      </c>
      <c r="J3509" s="331" t="s">
        <v>10721</v>
      </c>
      <c r="K3509" s="811">
        <v>42031</v>
      </c>
      <c r="L3509" s="1477"/>
      <c r="M3509" s="811">
        <v>42030</v>
      </c>
      <c r="N3509" s="331" t="s">
        <v>10778</v>
      </c>
      <c r="O3509" s="318" t="s">
        <v>11096</v>
      </c>
      <c r="Q3509" s="386"/>
      <c r="R3509" s="752">
        <v>147.28</v>
      </c>
      <c r="S3509" s="464">
        <f t="shared" si="216"/>
        <v>147.28</v>
      </c>
      <c r="U3509" s="1100">
        <v>4242</v>
      </c>
      <c r="V3509" s="318" t="s">
        <v>8443</v>
      </c>
      <c r="W3509" s="1090"/>
      <c r="X3509" s="263" t="s">
        <v>11099</v>
      </c>
      <c r="Y3509" s="263" t="s">
        <v>11099</v>
      </c>
      <c r="Z3509" s="386"/>
      <c r="AA3509" s="1083">
        <v>42040</v>
      </c>
      <c r="AB3509" s="263" t="s">
        <v>11100</v>
      </c>
      <c r="AD3509" s="386"/>
      <c r="AE3509" s="752" t="s">
        <v>11100</v>
      </c>
      <c r="AF3509" s="318" t="s">
        <v>11020</v>
      </c>
      <c r="AG3509" s="386"/>
    </row>
    <row r="3510" spans="1:33" ht="15.75" customHeight="1">
      <c r="A3510" s="755">
        <v>42026</v>
      </c>
      <c r="B3510" s="823" t="s">
        <v>10673</v>
      </c>
      <c r="C3510" s="263" t="s">
        <v>11094</v>
      </c>
      <c r="D3510" s="318" t="s">
        <v>11095</v>
      </c>
      <c r="E3510" s="338" t="s">
        <v>11102</v>
      </c>
      <c r="F3510" s="752">
        <v>2</v>
      </c>
      <c r="G3510" s="752">
        <v>8115.45</v>
      </c>
      <c r="H3510" s="1100">
        <f>F3510*G3510</f>
        <v>16230.9</v>
      </c>
      <c r="I3510" s="263" t="s">
        <v>10831</v>
      </c>
      <c r="J3510" s="331" t="s">
        <v>10721</v>
      </c>
      <c r="K3510" s="811">
        <v>42031</v>
      </c>
      <c r="L3510" s="1477"/>
      <c r="M3510" s="811">
        <v>42030</v>
      </c>
      <c r="N3510" s="331" t="s">
        <v>10778</v>
      </c>
      <c r="O3510" s="318" t="s">
        <v>11096</v>
      </c>
      <c r="Q3510" s="386"/>
      <c r="R3510" s="752">
        <v>270.51499999999999</v>
      </c>
      <c r="S3510" s="464">
        <f t="shared" si="216"/>
        <v>541.03</v>
      </c>
      <c r="U3510" s="1100">
        <v>15582</v>
      </c>
      <c r="V3510" s="318" t="s">
        <v>8443</v>
      </c>
      <c r="W3510" s="1090"/>
      <c r="X3510" s="263" t="s">
        <v>11099</v>
      </c>
      <c r="Y3510" s="263" t="s">
        <v>11099</v>
      </c>
      <c r="Z3510" s="386"/>
      <c r="AA3510" s="1083">
        <v>42040</v>
      </c>
      <c r="AB3510" s="263" t="s">
        <v>11100</v>
      </c>
      <c r="AD3510" s="386"/>
      <c r="AE3510" s="752" t="s">
        <v>11100</v>
      </c>
      <c r="AF3510" s="318" t="s">
        <v>11020</v>
      </c>
      <c r="AG3510" s="386"/>
    </row>
    <row r="3511" spans="1:33" ht="15.75" customHeight="1">
      <c r="A3511" s="755">
        <v>42026</v>
      </c>
      <c r="B3511" s="823" t="s">
        <v>10673</v>
      </c>
      <c r="C3511" s="263" t="s">
        <v>11094</v>
      </c>
      <c r="D3511" s="318" t="s">
        <v>11095</v>
      </c>
      <c r="E3511" s="338" t="s">
        <v>11103</v>
      </c>
      <c r="F3511" s="752">
        <v>6</v>
      </c>
      <c r="G3511" s="752">
        <v>4353.3</v>
      </c>
      <c r="H3511" s="1100">
        <f>F3511*G3511</f>
        <v>26119.800000000003</v>
      </c>
      <c r="I3511" s="263" t="s">
        <v>10831</v>
      </c>
      <c r="J3511" s="331" t="s">
        <v>10721</v>
      </c>
      <c r="K3511" s="811">
        <v>42031</v>
      </c>
      <c r="L3511" s="1477"/>
      <c r="M3511" s="811">
        <v>42030</v>
      </c>
      <c r="N3511" s="331" t="s">
        <v>10778</v>
      </c>
      <c r="O3511" s="318" t="s">
        <v>11096</v>
      </c>
      <c r="Q3511" s="386"/>
      <c r="R3511" s="752">
        <v>145.11000000000001</v>
      </c>
      <c r="S3511" s="464">
        <f t="shared" si="216"/>
        <v>870.66000000000008</v>
      </c>
      <c r="U3511" s="1100">
        <v>25074</v>
      </c>
      <c r="V3511" s="318" t="s">
        <v>8443</v>
      </c>
      <c r="W3511" s="1090"/>
      <c r="X3511" s="263" t="s">
        <v>11099</v>
      </c>
      <c r="Y3511" s="263" t="s">
        <v>11099</v>
      </c>
      <c r="Z3511" s="386"/>
      <c r="AA3511" s="1083">
        <v>42040</v>
      </c>
      <c r="AB3511" s="263" t="s">
        <v>11100</v>
      </c>
      <c r="AD3511" s="386"/>
      <c r="AE3511" s="752" t="s">
        <v>11100</v>
      </c>
      <c r="AF3511" s="318" t="s">
        <v>11020</v>
      </c>
      <c r="AG3511" s="386"/>
    </row>
    <row r="3512" spans="1:33" ht="15.75" customHeight="1">
      <c r="A3512" s="743">
        <v>42026</v>
      </c>
      <c r="B3512" s="823" t="s">
        <v>10673</v>
      </c>
      <c r="C3512" s="970" t="s">
        <v>11104</v>
      </c>
      <c r="D3512" s="386" t="s">
        <v>11105</v>
      </c>
      <c r="E3512" s="592" t="s">
        <v>11035</v>
      </c>
      <c r="F3512" s="1088">
        <v>20</v>
      </c>
      <c r="G3512" s="386"/>
      <c r="H3512" s="386"/>
      <c r="I3512" s="263" t="s">
        <v>10831</v>
      </c>
      <c r="J3512" s="267" t="s">
        <v>89</v>
      </c>
      <c r="K3512" s="811">
        <v>42037</v>
      </c>
      <c r="L3512" s="1477"/>
      <c r="M3512" s="386"/>
      <c r="N3512" s="267" t="s">
        <v>89</v>
      </c>
      <c r="O3512" s="263" t="s">
        <v>11106</v>
      </c>
      <c r="Q3512" s="464">
        <v>3570</v>
      </c>
      <c r="R3512" s="1088">
        <v>204.75</v>
      </c>
      <c r="S3512" s="464">
        <f t="shared" si="216"/>
        <v>4095</v>
      </c>
      <c r="U3512" s="386"/>
      <c r="V3512" s="386" t="s">
        <v>10751</v>
      </c>
      <c r="W3512" s="1090"/>
      <c r="X3512" s="1095">
        <v>42037</v>
      </c>
      <c r="Y3512" s="970" t="s">
        <v>11107</v>
      </c>
      <c r="Z3512" s="824">
        <v>111563</v>
      </c>
      <c r="AA3512" s="1095">
        <v>42044</v>
      </c>
      <c r="AB3512" s="386" t="s">
        <v>11108</v>
      </c>
      <c r="AD3512" s="386" t="s">
        <v>11109</v>
      </c>
      <c r="AE3512" s="1110">
        <v>129320</v>
      </c>
      <c r="AF3512" s="386"/>
      <c r="AG3512" s="386"/>
    </row>
    <row r="3513" spans="1:33" ht="15.75" customHeight="1">
      <c r="A3513" s="743">
        <v>42030</v>
      </c>
      <c r="B3513" s="823" t="s">
        <v>10673</v>
      </c>
      <c r="C3513" s="970" t="s">
        <v>11110</v>
      </c>
      <c r="D3513" s="386" t="s">
        <v>11111</v>
      </c>
      <c r="E3513" s="592" t="s">
        <v>6261</v>
      </c>
      <c r="F3513" s="1088">
        <v>10</v>
      </c>
      <c r="G3513" s="1190">
        <v>3784.2</v>
      </c>
      <c r="H3513" s="1100">
        <f t="shared" ref="H3513:H3518" si="217">F3513*G3513</f>
        <v>37842</v>
      </c>
      <c r="I3513" s="263" t="s">
        <v>10831</v>
      </c>
      <c r="J3513" s="267" t="s">
        <v>10721</v>
      </c>
      <c r="K3513" s="811">
        <v>42038</v>
      </c>
      <c r="L3513" s="1477"/>
      <c r="M3513" s="811">
        <v>42038</v>
      </c>
      <c r="N3513" s="267" t="s">
        <v>10778</v>
      </c>
      <c r="O3513" s="386" t="s">
        <v>11112</v>
      </c>
      <c r="Q3513" s="386"/>
      <c r="R3513" s="323">
        <v>122.07096774193499</v>
      </c>
      <c r="S3513" s="464">
        <f t="shared" ref="S3513:S3518" si="218">F3513*R3513</f>
        <v>1220.7096774193499</v>
      </c>
      <c r="U3513" s="752">
        <v>36887</v>
      </c>
      <c r="V3513" s="386" t="s">
        <v>8443</v>
      </c>
      <c r="W3513" s="1090"/>
      <c r="X3513" s="1095">
        <v>42037</v>
      </c>
      <c r="Y3513" s="386" t="s">
        <v>11113</v>
      </c>
      <c r="Z3513" s="824">
        <v>71756</v>
      </c>
      <c r="AA3513" s="1095">
        <v>42074</v>
      </c>
      <c r="AB3513" s="386" t="s">
        <v>11114</v>
      </c>
      <c r="AD3513" s="386"/>
      <c r="AE3513" s="1110">
        <v>73746</v>
      </c>
      <c r="AF3513" s="386" t="s">
        <v>11115</v>
      </c>
      <c r="AG3513" s="386"/>
    </row>
    <row r="3514" spans="1:33" ht="15.75" customHeight="1">
      <c r="A3514" s="743">
        <v>42030</v>
      </c>
      <c r="B3514" s="823" t="s">
        <v>10673</v>
      </c>
      <c r="C3514" s="970" t="s">
        <v>11110</v>
      </c>
      <c r="D3514" s="386" t="s">
        <v>11111</v>
      </c>
      <c r="E3514" s="592" t="s">
        <v>6813</v>
      </c>
      <c r="F3514" s="1088">
        <v>2</v>
      </c>
      <c r="G3514" s="1190">
        <v>1652.7</v>
      </c>
      <c r="H3514" s="1100">
        <f t="shared" si="217"/>
        <v>3305.4</v>
      </c>
      <c r="I3514" s="263" t="s">
        <v>10831</v>
      </c>
      <c r="J3514" s="267" t="s">
        <v>10721</v>
      </c>
      <c r="K3514" s="811">
        <v>42038</v>
      </c>
      <c r="L3514" s="1477"/>
      <c r="M3514" s="811">
        <v>42038</v>
      </c>
      <c r="N3514" s="267" t="s">
        <v>10778</v>
      </c>
      <c r="O3514" s="386" t="s">
        <v>11112</v>
      </c>
      <c r="Q3514" s="386"/>
      <c r="R3514" s="323">
        <v>53.312903225806402</v>
      </c>
      <c r="S3514" s="464">
        <f t="shared" si="218"/>
        <v>106.6258064516128</v>
      </c>
      <c r="U3514" s="752">
        <v>3221</v>
      </c>
      <c r="V3514" s="386" t="s">
        <v>8443</v>
      </c>
      <c r="W3514" s="1090"/>
      <c r="X3514" s="1095">
        <v>42037</v>
      </c>
      <c r="Y3514" s="386" t="s">
        <v>11113</v>
      </c>
      <c r="Z3514" s="824" t="s">
        <v>8588</v>
      </c>
      <c r="AA3514" s="1095">
        <v>42074</v>
      </c>
      <c r="AB3514" s="386" t="s">
        <v>11114</v>
      </c>
      <c r="AD3514" s="386"/>
      <c r="AE3514" s="1088" t="s">
        <v>8588</v>
      </c>
      <c r="AF3514" s="386" t="s">
        <v>11115</v>
      </c>
      <c r="AG3514" s="386"/>
    </row>
    <row r="3515" spans="1:33" ht="15.75" customHeight="1">
      <c r="A3515" s="743">
        <v>42030</v>
      </c>
      <c r="B3515" s="823" t="s">
        <v>10673</v>
      </c>
      <c r="C3515" s="970" t="s">
        <v>11110</v>
      </c>
      <c r="D3515" s="386" t="s">
        <v>11111</v>
      </c>
      <c r="E3515" s="592" t="s">
        <v>6008</v>
      </c>
      <c r="F3515" s="1088">
        <v>2</v>
      </c>
      <c r="G3515" s="1191">
        <v>2569.35</v>
      </c>
      <c r="H3515" s="1100">
        <f t="shared" si="217"/>
        <v>5138.7</v>
      </c>
      <c r="I3515" s="263" t="s">
        <v>10831</v>
      </c>
      <c r="J3515" s="267" t="s">
        <v>10721</v>
      </c>
      <c r="K3515" s="811">
        <v>42038</v>
      </c>
      <c r="L3515" s="1477"/>
      <c r="M3515" s="811">
        <v>42038</v>
      </c>
      <c r="N3515" s="267" t="s">
        <v>10778</v>
      </c>
      <c r="O3515" s="386" t="s">
        <v>11112</v>
      </c>
      <c r="Q3515" s="386"/>
      <c r="R3515" s="323">
        <v>82.882258064516094</v>
      </c>
      <c r="S3515" s="464">
        <f t="shared" si="218"/>
        <v>165.76451612903219</v>
      </c>
      <c r="U3515" s="318" t="s">
        <v>11116</v>
      </c>
      <c r="V3515" s="386" t="s">
        <v>8443</v>
      </c>
      <c r="W3515" s="1090"/>
      <c r="X3515" s="1095">
        <v>42037</v>
      </c>
      <c r="Y3515" s="386" t="s">
        <v>11113</v>
      </c>
      <c r="Z3515" s="824" t="s">
        <v>8588</v>
      </c>
      <c r="AA3515" s="1095">
        <v>42074</v>
      </c>
      <c r="AB3515" s="386" t="s">
        <v>11114</v>
      </c>
      <c r="AD3515" s="386"/>
      <c r="AE3515" s="1088" t="s">
        <v>8588</v>
      </c>
      <c r="AF3515" s="386" t="s">
        <v>11115</v>
      </c>
      <c r="AG3515" s="386"/>
    </row>
    <row r="3516" spans="1:33" ht="15.75" customHeight="1">
      <c r="A3516" s="743">
        <v>42030</v>
      </c>
      <c r="B3516" s="823" t="s">
        <v>10673</v>
      </c>
      <c r="C3516" s="970" t="s">
        <v>11110</v>
      </c>
      <c r="D3516" s="386" t="s">
        <v>11111</v>
      </c>
      <c r="E3516" s="592" t="s">
        <v>3515</v>
      </c>
      <c r="F3516" s="1088">
        <v>10</v>
      </c>
      <c r="G3516" s="1190">
        <v>1373.4</v>
      </c>
      <c r="H3516" s="1100">
        <f t="shared" si="217"/>
        <v>13734</v>
      </c>
      <c r="I3516" s="263" t="s">
        <v>10831</v>
      </c>
      <c r="J3516" s="267" t="s">
        <v>10721</v>
      </c>
      <c r="K3516" s="811">
        <v>42038</v>
      </c>
      <c r="L3516" s="1477"/>
      <c r="M3516" s="811">
        <v>42038</v>
      </c>
      <c r="N3516" s="267" t="s">
        <v>10778</v>
      </c>
      <c r="O3516" s="386" t="s">
        <v>11112</v>
      </c>
      <c r="Q3516" s="386"/>
      <c r="R3516" s="323">
        <v>44.3032258064516</v>
      </c>
      <c r="S3516" s="464">
        <f t="shared" si="218"/>
        <v>443.03225806451599</v>
      </c>
      <c r="U3516" s="752">
        <v>13419</v>
      </c>
      <c r="V3516" s="386" t="s">
        <v>8443</v>
      </c>
      <c r="W3516" s="1090"/>
      <c r="X3516" s="1095">
        <v>42037</v>
      </c>
      <c r="Y3516" s="386" t="s">
        <v>11113</v>
      </c>
      <c r="Z3516" s="824" t="s">
        <v>8588</v>
      </c>
      <c r="AA3516" s="1095">
        <v>42074</v>
      </c>
      <c r="AB3516" s="386" t="s">
        <v>11114</v>
      </c>
      <c r="AD3516" s="386"/>
      <c r="AE3516" s="1088" t="s">
        <v>8588</v>
      </c>
      <c r="AF3516" s="386" t="s">
        <v>11115</v>
      </c>
      <c r="AG3516" s="386"/>
    </row>
    <row r="3517" spans="1:33" ht="15.75" customHeight="1">
      <c r="A3517" s="743">
        <v>42030</v>
      </c>
      <c r="B3517" s="823" t="s">
        <v>10673</v>
      </c>
      <c r="C3517" s="970" t="s">
        <v>11110</v>
      </c>
      <c r="D3517" s="386" t="s">
        <v>11111</v>
      </c>
      <c r="E3517" s="592" t="s">
        <v>6992</v>
      </c>
      <c r="F3517" s="1088">
        <v>3</v>
      </c>
      <c r="G3517" s="1191">
        <v>3841.95</v>
      </c>
      <c r="H3517" s="1100">
        <f t="shared" si="217"/>
        <v>11525.849999999999</v>
      </c>
      <c r="I3517" s="263" t="s">
        <v>10831</v>
      </c>
      <c r="J3517" s="267" t="s">
        <v>10721</v>
      </c>
      <c r="K3517" s="811">
        <v>42038</v>
      </c>
      <c r="L3517" s="1477"/>
      <c r="M3517" s="811">
        <v>42038</v>
      </c>
      <c r="N3517" s="267" t="s">
        <v>10778</v>
      </c>
      <c r="O3517" s="386" t="s">
        <v>11112</v>
      </c>
      <c r="Q3517" s="386"/>
      <c r="R3517" s="323">
        <v>123.933870967742</v>
      </c>
      <c r="S3517" s="464">
        <f t="shared" si="218"/>
        <v>371.80161290322599</v>
      </c>
      <c r="U3517" s="752">
        <v>11066</v>
      </c>
      <c r="V3517" s="386" t="s">
        <v>8443</v>
      </c>
      <c r="W3517" s="1090"/>
      <c r="X3517" s="1095">
        <v>42037</v>
      </c>
      <c r="Y3517" s="386" t="s">
        <v>11113</v>
      </c>
      <c r="Z3517" s="824" t="s">
        <v>8588</v>
      </c>
      <c r="AA3517" s="1095">
        <v>42074</v>
      </c>
      <c r="AB3517" s="386" t="s">
        <v>11114</v>
      </c>
      <c r="AD3517" s="386"/>
      <c r="AE3517" s="1088" t="s">
        <v>8588</v>
      </c>
      <c r="AF3517" s="386" t="s">
        <v>11115</v>
      </c>
      <c r="AG3517" s="386"/>
    </row>
    <row r="3518" spans="1:33" ht="15.75" customHeight="1">
      <c r="A3518" s="743">
        <v>42030</v>
      </c>
      <c r="B3518" s="823" t="s">
        <v>10673</v>
      </c>
      <c r="C3518" s="970" t="s">
        <v>11110</v>
      </c>
      <c r="D3518" s="386" t="s">
        <v>11111</v>
      </c>
      <c r="E3518" s="592" t="s">
        <v>4034</v>
      </c>
      <c r="F3518" s="1088">
        <v>1</v>
      </c>
      <c r="G3518" s="1191">
        <v>2199.75</v>
      </c>
      <c r="H3518" s="1100">
        <f t="shared" si="217"/>
        <v>2199.75</v>
      </c>
      <c r="I3518" s="263" t="s">
        <v>10831</v>
      </c>
      <c r="J3518" s="267" t="s">
        <v>10721</v>
      </c>
      <c r="K3518" s="811">
        <v>42038</v>
      </c>
      <c r="L3518" s="1477"/>
      <c r="M3518" s="811">
        <v>42038</v>
      </c>
      <c r="N3518" s="267" t="s">
        <v>10778</v>
      </c>
      <c r="O3518" s="386" t="s">
        <v>11112</v>
      </c>
      <c r="Q3518" s="386"/>
      <c r="R3518" s="323">
        <v>70.959677419354804</v>
      </c>
      <c r="S3518" s="464">
        <f t="shared" si="218"/>
        <v>70.959677419354804</v>
      </c>
      <c r="U3518" s="752">
        <v>2150</v>
      </c>
      <c r="V3518" s="386" t="s">
        <v>8443</v>
      </c>
      <c r="W3518" s="1090"/>
      <c r="X3518" s="1095">
        <v>42037</v>
      </c>
      <c r="Y3518" s="386" t="s">
        <v>11113</v>
      </c>
      <c r="Z3518" s="824" t="s">
        <v>8588</v>
      </c>
      <c r="AA3518" s="1095">
        <v>42074</v>
      </c>
      <c r="AB3518" s="386" t="s">
        <v>11114</v>
      </c>
      <c r="AD3518" s="386"/>
      <c r="AE3518" s="1088" t="s">
        <v>8588</v>
      </c>
      <c r="AF3518" s="386" t="s">
        <v>11115</v>
      </c>
      <c r="AG3518" s="386"/>
    </row>
    <row r="3519" spans="1:33" ht="15.75" customHeight="1">
      <c r="A3519" s="743">
        <v>42046</v>
      </c>
      <c r="B3519" s="823" t="s">
        <v>10673</v>
      </c>
      <c r="C3519" s="970" t="s">
        <v>11117</v>
      </c>
      <c r="D3519" s="386" t="s">
        <v>11118</v>
      </c>
      <c r="E3519" s="592" t="s">
        <v>11055</v>
      </c>
      <c r="F3519" s="1088">
        <v>2</v>
      </c>
      <c r="G3519" s="1088">
        <v>5810</v>
      </c>
      <c r="H3519" s="464">
        <f>G3519*F3519</f>
        <v>11620</v>
      </c>
      <c r="I3519" s="263" t="s">
        <v>10831</v>
      </c>
      <c r="J3519" s="267" t="s">
        <v>10721</v>
      </c>
      <c r="K3519" s="811">
        <v>42059</v>
      </c>
      <c r="L3519" s="1477"/>
      <c r="M3519" s="811">
        <v>42048</v>
      </c>
      <c r="N3519" s="267" t="s">
        <v>10778</v>
      </c>
      <c r="O3519" s="970" t="s">
        <v>11119</v>
      </c>
      <c r="Q3519" s="386"/>
      <c r="R3519" s="1088">
        <v>184.4</v>
      </c>
      <c r="S3519" s="464">
        <f>R3519*F3519</f>
        <v>368.8</v>
      </c>
      <c r="U3519" s="752">
        <v>11250</v>
      </c>
      <c r="V3519" s="386" t="s">
        <v>8443</v>
      </c>
      <c r="W3519" s="1090"/>
      <c r="X3519" s="1095">
        <v>42047</v>
      </c>
      <c r="Y3519" s="970" t="s">
        <v>11120</v>
      </c>
      <c r="Z3519" s="824">
        <v>11250</v>
      </c>
      <c r="AA3519" s="1095">
        <v>42074</v>
      </c>
      <c r="AB3519" s="386" t="s">
        <v>11121</v>
      </c>
      <c r="AD3519" s="386"/>
      <c r="AE3519" s="1110">
        <v>11619</v>
      </c>
      <c r="AF3519" s="386" t="s">
        <v>11122</v>
      </c>
      <c r="AG3519" s="386"/>
    </row>
    <row r="3520" spans="1:33" ht="15.75" customHeight="1">
      <c r="A3520" s="743">
        <v>42047</v>
      </c>
      <c r="B3520" s="823" t="s">
        <v>10673</v>
      </c>
      <c r="C3520" s="970" t="s">
        <v>11123</v>
      </c>
      <c r="D3520" s="386" t="s">
        <v>11124</v>
      </c>
      <c r="E3520" s="592" t="s">
        <v>11074</v>
      </c>
      <c r="F3520" s="1088">
        <v>10</v>
      </c>
      <c r="G3520" s="1088">
        <v>5432.7</v>
      </c>
      <c r="H3520" s="464">
        <f>G3520*F3520</f>
        <v>54327</v>
      </c>
      <c r="I3520" s="263" t="s">
        <v>10831</v>
      </c>
      <c r="J3520" s="267" t="s">
        <v>10721</v>
      </c>
      <c r="K3520" s="811">
        <v>42080</v>
      </c>
      <c r="L3520" s="1477"/>
      <c r="M3520" s="1192">
        <v>42073</v>
      </c>
      <c r="N3520" s="267" t="s">
        <v>10778</v>
      </c>
      <c r="O3520" s="970" t="s">
        <v>11125</v>
      </c>
      <c r="Q3520" s="386"/>
      <c r="R3520" s="1088">
        <v>172.46600000000001</v>
      </c>
      <c r="S3520" s="464">
        <v>1742.67</v>
      </c>
      <c r="U3520" s="752">
        <v>52164</v>
      </c>
      <c r="V3520" s="386" t="s">
        <v>8443</v>
      </c>
      <c r="W3520" s="1090"/>
      <c r="X3520" s="1083">
        <v>42069</v>
      </c>
      <c r="Y3520" s="386" t="s">
        <v>11126</v>
      </c>
      <c r="Z3520" s="824">
        <v>52164</v>
      </c>
      <c r="AA3520" s="1095">
        <v>42096</v>
      </c>
      <c r="AB3520" s="386" t="s">
        <v>11127</v>
      </c>
      <c r="AD3520" s="386"/>
      <c r="AE3520" s="1110">
        <v>54327</v>
      </c>
      <c r="AF3520" s="386" t="s">
        <v>11128</v>
      </c>
      <c r="AG3520" s="386"/>
    </row>
    <row r="3521" spans="1:33" ht="15.75" customHeight="1">
      <c r="A3521" s="743">
        <v>42051</v>
      </c>
      <c r="B3521" s="823" t="s">
        <v>10673</v>
      </c>
      <c r="C3521" s="970" t="s">
        <v>11129</v>
      </c>
      <c r="D3521" s="386" t="s">
        <v>11130</v>
      </c>
      <c r="E3521" s="592" t="s">
        <v>6863</v>
      </c>
      <c r="F3521" s="1088">
        <v>10</v>
      </c>
      <c r="G3521" s="386"/>
      <c r="H3521" s="386"/>
      <c r="I3521" s="263" t="s">
        <v>10831</v>
      </c>
      <c r="J3521" s="592"/>
      <c r="K3521" s="811">
        <v>42072</v>
      </c>
      <c r="L3521" s="1477"/>
      <c r="M3521" s="386"/>
      <c r="N3521" s="267" t="s">
        <v>89</v>
      </c>
      <c r="O3521" s="970" t="s">
        <v>11131</v>
      </c>
      <c r="Q3521" s="752">
        <v>1344</v>
      </c>
      <c r="R3521" s="1088">
        <v>142.80000000000001</v>
      </c>
      <c r="S3521" s="464">
        <f>R3521*F3521</f>
        <v>1428</v>
      </c>
      <c r="U3521" s="386"/>
      <c r="V3521" s="386" t="s">
        <v>10751</v>
      </c>
      <c r="W3521" s="1090"/>
      <c r="X3521" s="1083">
        <v>42072</v>
      </c>
      <c r="Y3521" s="263" t="s">
        <v>11132</v>
      </c>
      <c r="Z3521" s="1086">
        <v>64590</v>
      </c>
      <c r="AA3521" s="1095">
        <v>42074</v>
      </c>
      <c r="AB3521" s="386" t="s">
        <v>11133</v>
      </c>
      <c r="AD3521" s="386" t="s">
        <v>11134</v>
      </c>
      <c r="AE3521" s="1110">
        <v>69964</v>
      </c>
      <c r="AF3521" s="386" t="s">
        <v>11135</v>
      </c>
      <c r="AG3521" s="386"/>
    </row>
    <row r="3522" spans="1:33" ht="15.75" customHeight="1">
      <c r="A3522" s="743">
        <v>42051</v>
      </c>
      <c r="B3522" s="823" t="s">
        <v>10673</v>
      </c>
      <c r="C3522" s="970" t="s">
        <v>11129</v>
      </c>
      <c r="D3522" s="386" t="s">
        <v>11130</v>
      </c>
      <c r="E3522" s="592" t="s">
        <v>4644</v>
      </c>
      <c r="F3522" s="1088">
        <v>10</v>
      </c>
      <c r="G3522" s="386"/>
      <c r="H3522" s="386"/>
      <c r="I3522" s="263" t="s">
        <v>10831</v>
      </c>
      <c r="J3522" s="592"/>
      <c r="K3522" s="811">
        <v>42072</v>
      </c>
      <c r="L3522" s="1477"/>
      <c r="M3522" s="386"/>
      <c r="N3522" s="267" t="s">
        <v>89</v>
      </c>
      <c r="O3522" s="970" t="s">
        <v>11131</v>
      </c>
      <c r="Q3522" s="752">
        <v>31.5</v>
      </c>
      <c r="R3522" s="1088">
        <v>3.15</v>
      </c>
      <c r="S3522" s="464">
        <f>R3522*F3522</f>
        <v>31.5</v>
      </c>
      <c r="U3522" s="386"/>
      <c r="V3522" s="386" t="s">
        <v>10751</v>
      </c>
      <c r="W3522" s="1090"/>
      <c r="X3522" s="1083">
        <v>42072</v>
      </c>
      <c r="Y3522" s="263" t="s">
        <v>11132</v>
      </c>
      <c r="Z3522" s="254" t="s">
        <v>8588</v>
      </c>
      <c r="AA3522" s="1095">
        <v>42074</v>
      </c>
      <c r="AB3522" s="386" t="s">
        <v>11133</v>
      </c>
      <c r="AD3522" s="386" t="s">
        <v>11134</v>
      </c>
      <c r="AE3522" s="1088" t="s">
        <v>8588</v>
      </c>
      <c r="AF3522" s="386" t="s">
        <v>11135</v>
      </c>
      <c r="AG3522" s="386"/>
    </row>
    <row r="3523" spans="1:33" ht="15.75" customHeight="1">
      <c r="A3523" s="743">
        <v>42051</v>
      </c>
      <c r="B3523" s="823" t="s">
        <v>10673</v>
      </c>
      <c r="C3523" s="970" t="s">
        <v>11129</v>
      </c>
      <c r="D3523" s="386" t="s">
        <v>11130</v>
      </c>
      <c r="E3523" s="592" t="s">
        <v>11136</v>
      </c>
      <c r="F3523" s="1088">
        <v>10</v>
      </c>
      <c r="G3523" s="386"/>
      <c r="H3523" s="386"/>
      <c r="I3523" s="263" t="s">
        <v>10831</v>
      </c>
      <c r="J3523" s="592"/>
      <c r="K3523" s="811">
        <v>42072</v>
      </c>
      <c r="L3523" s="1477"/>
      <c r="M3523" s="386"/>
      <c r="N3523" s="267" t="s">
        <v>89</v>
      </c>
      <c r="O3523" s="970" t="s">
        <v>11131</v>
      </c>
      <c r="Q3523" s="752">
        <v>682.5</v>
      </c>
      <c r="R3523" s="1088">
        <v>76.650000000000006</v>
      </c>
      <c r="S3523" s="464">
        <f>R3523*F3523</f>
        <v>766.5</v>
      </c>
      <c r="U3523" s="386"/>
      <c r="V3523" s="386" t="s">
        <v>10751</v>
      </c>
      <c r="W3523" s="1090"/>
      <c r="X3523" s="1083">
        <v>42072</v>
      </c>
      <c r="Y3523" s="263" t="s">
        <v>11132</v>
      </c>
      <c r="Z3523" s="254" t="s">
        <v>8588</v>
      </c>
      <c r="AA3523" s="1095">
        <v>42074</v>
      </c>
      <c r="AB3523" s="386" t="s">
        <v>11133</v>
      </c>
      <c r="AD3523" s="386" t="s">
        <v>11134</v>
      </c>
      <c r="AE3523" s="1088" t="s">
        <v>8588</v>
      </c>
      <c r="AF3523" s="386" t="s">
        <v>11135</v>
      </c>
      <c r="AG3523" s="386"/>
    </row>
    <row r="3524" spans="1:33" ht="15.75" customHeight="1">
      <c r="A3524" s="743">
        <v>42059</v>
      </c>
      <c r="B3524" s="823" t="s">
        <v>10673</v>
      </c>
      <c r="C3524" s="970" t="s">
        <v>11137</v>
      </c>
      <c r="D3524" s="386" t="s">
        <v>11138</v>
      </c>
      <c r="E3524" s="592" t="s">
        <v>11008</v>
      </c>
      <c r="F3524" s="1088">
        <v>14</v>
      </c>
      <c r="G3524" s="1088">
        <v>3116.4</v>
      </c>
      <c r="H3524" s="464">
        <f t="shared" ref="H3524:H3536" si="219">G3524*F3524</f>
        <v>43629.599999999999</v>
      </c>
      <c r="I3524" s="263" t="s">
        <v>10831</v>
      </c>
      <c r="J3524" s="592"/>
      <c r="K3524" s="811">
        <v>42066</v>
      </c>
      <c r="L3524" s="1477"/>
      <c r="M3524" s="811">
        <v>42061</v>
      </c>
      <c r="N3524" s="267" t="s">
        <v>10778</v>
      </c>
      <c r="O3524" s="970" t="s">
        <v>11139</v>
      </c>
      <c r="Q3524" s="386"/>
      <c r="R3524" s="1088">
        <v>103.88</v>
      </c>
      <c r="S3524" s="464">
        <f>F3524*R3524</f>
        <v>1454.32</v>
      </c>
      <c r="U3524" s="752">
        <v>40513</v>
      </c>
      <c r="V3524" s="386" t="s">
        <v>8443</v>
      </c>
      <c r="W3524" s="1090"/>
      <c r="X3524" s="1095">
        <v>42061</v>
      </c>
      <c r="Y3524" s="386" t="s">
        <v>11140</v>
      </c>
      <c r="Z3524" s="824">
        <v>40513</v>
      </c>
      <c r="AA3524" s="1095">
        <v>42096</v>
      </c>
      <c r="AB3524" s="386" t="s">
        <v>11141</v>
      </c>
      <c r="AD3524" s="386"/>
      <c r="AE3524" s="1110">
        <v>43630</v>
      </c>
      <c r="AF3524" s="386" t="s">
        <v>11142</v>
      </c>
      <c r="AG3524" s="386"/>
    </row>
    <row r="3525" spans="1:33" ht="15.75" customHeight="1">
      <c r="A3525" s="743">
        <v>42060</v>
      </c>
      <c r="B3525" s="823" t="s">
        <v>10673</v>
      </c>
      <c r="C3525" s="970" t="s">
        <v>11143</v>
      </c>
      <c r="D3525" s="386" t="s">
        <v>11144</v>
      </c>
      <c r="E3525" s="592" t="s">
        <v>3510</v>
      </c>
      <c r="F3525" s="1088">
        <v>11</v>
      </c>
      <c r="G3525" s="752">
        <v>4288.2</v>
      </c>
      <c r="H3525" s="464">
        <f t="shared" si="219"/>
        <v>47170.2</v>
      </c>
      <c r="I3525" s="263" t="s">
        <v>10831</v>
      </c>
      <c r="J3525" s="592"/>
      <c r="K3525" s="811">
        <v>42073</v>
      </c>
      <c r="L3525" s="1477"/>
      <c r="M3525" s="811">
        <v>42072</v>
      </c>
      <c r="N3525" s="267" t="s">
        <v>10778</v>
      </c>
      <c r="O3525" s="386" t="s">
        <v>11145</v>
      </c>
      <c r="Q3525" s="386"/>
      <c r="R3525" s="323">
        <v>142.94</v>
      </c>
      <c r="S3525" s="464">
        <f t="shared" ref="S3525:S3530" si="220">R3525*F3525</f>
        <v>1572.34</v>
      </c>
      <c r="U3525" s="752">
        <v>45288</v>
      </c>
      <c r="V3525" s="386" t="s">
        <v>8443</v>
      </c>
      <c r="W3525" s="1090"/>
      <c r="X3525" s="1083">
        <v>42069</v>
      </c>
      <c r="Y3525" s="263" t="s">
        <v>11146</v>
      </c>
      <c r="Z3525" s="1086">
        <v>45288</v>
      </c>
      <c r="AA3525" s="1095">
        <v>42096</v>
      </c>
      <c r="AB3525" s="386" t="s">
        <v>11147</v>
      </c>
      <c r="AD3525" s="386"/>
      <c r="AE3525" s="1110">
        <v>47170</v>
      </c>
      <c r="AF3525" s="386" t="s">
        <v>11148</v>
      </c>
      <c r="AG3525" s="386"/>
    </row>
    <row r="3526" spans="1:33" ht="15.75" customHeight="1">
      <c r="A3526" s="743">
        <v>42060</v>
      </c>
      <c r="B3526" s="823" t="s">
        <v>10673</v>
      </c>
      <c r="C3526" s="970" t="s">
        <v>11143</v>
      </c>
      <c r="D3526" s="386" t="s">
        <v>11149</v>
      </c>
      <c r="E3526" s="592" t="s">
        <v>6004</v>
      </c>
      <c r="F3526" s="1088">
        <v>8</v>
      </c>
      <c r="G3526" s="752">
        <v>4381.6499999999996</v>
      </c>
      <c r="H3526" s="464">
        <f t="shared" si="219"/>
        <v>35053.199999999997</v>
      </c>
      <c r="I3526" s="263" t="s">
        <v>10831</v>
      </c>
      <c r="J3526" s="592"/>
      <c r="K3526" s="811">
        <v>42066</v>
      </c>
      <c r="L3526" s="1477"/>
      <c r="M3526" s="811">
        <v>42065</v>
      </c>
      <c r="N3526" s="267" t="s">
        <v>10778</v>
      </c>
      <c r="O3526" s="386" t="s">
        <v>11150</v>
      </c>
      <c r="Q3526" s="386"/>
      <c r="R3526" s="323">
        <v>146.05500000000001</v>
      </c>
      <c r="S3526" s="464">
        <f t="shared" si="220"/>
        <v>1168.44</v>
      </c>
      <c r="U3526" s="752">
        <v>33650</v>
      </c>
      <c r="V3526" s="386" t="s">
        <v>8443</v>
      </c>
      <c r="W3526" s="1090"/>
      <c r="X3526" s="1095">
        <v>42061</v>
      </c>
      <c r="Y3526" s="970" t="s">
        <v>11151</v>
      </c>
      <c r="Z3526" s="824">
        <v>58391</v>
      </c>
      <c r="AA3526" s="1095">
        <v>42096</v>
      </c>
      <c r="AB3526" s="386" t="s">
        <v>11152</v>
      </c>
      <c r="AD3526" s="386"/>
      <c r="AE3526" s="1110">
        <v>60822</v>
      </c>
      <c r="AF3526" s="386" t="s">
        <v>11142</v>
      </c>
      <c r="AG3526" s="386"/>
    </row>
    <row r="3527" spans="1:33" ht="15.75" customHeight="1">
      <c r="A3527" s="743">
        <v>42060</v>
      </c>
      <c r="B3527" s="823" t="s">
        <v>10673</v>
      </c>
      <c r="C3527" s="970" t="s">
        <v>11143</v>
      </c>
      <c r="D3527" s="386" t="s">
        <v>11149</v>
      </c>
      <c r="E3527" s="592" t="s">
        <v>6008</v>
      </c>
      <c r="F3527" s="1088">
        <v>4</v>
      </c>
      <c r="G3527" s="752">
        <v>2610.3000000000002</v>
      </c>
      <c r="H3527" s="464">
        <f t="shared" si="219"/>
        <v>10441.200000000001</v>
      </c>
      <c r="I3527" s="263" t="s">
        <v>10831</v>
      </c>
      <c r="J3527" s="592"/>
      <c r="K3527" s="811">
        <v>42066</v>
      </c>
      <c r="L3527" s="1477"/>
      <c r="M3527" s="811">
        <v>42065</v>
      </c>
      <c r="N3527" s="267" t="s">
        <v>10778</v>
      </c>
      <c r="O3527" s="386" t="s">
        <v>11150</v>
      </c>
      <c r="Q3527" s="386"/>
      <c r="R3527" s="323">
        <v>87.01</v>
      </c>
      <c r="S3527" s="464">
        <f t="shared" si="220"/>
        <v>348.04</v>
      </c>
      <c r="U3527" s="752">
        <v>10025</v>
      </c>
      <c r="V3527" s="386" t="s">
        <v>8443</v>
      </c>
      <c r="W3527" s="1090"/>
      <c r="X3527" s="1095">
        <v>42061</v>
      </c>
      <c r="Y3527" s="970" t="s">
        <v>11151</v>
      </c>
      <c r="Z3527" s="824">
        <v>58391</v>
      </c>
      <c r="AA3527" s="1095">
        <v>42096</v>
      </c>
      <c r="AB3527" s="386" t="s">
        <v>11152</v>
      </c>
      <c r="AD3527" s="386"/>
      <c r="AE3527" s="1088" t="s">
        <v>8588</v>
      </c>
      <c r="AF3527" s="386" t="s">
        <v>11142</v>
      </c>
      <c r="AG3527" s="386"/>
    </row>
    <row r="3528" spans="1:33" ht="15.75" customHeight="1">
      <c r="A3528" s="743">
        <v>42060</v>
      </c>
      <c r="B3528" s="823" t="s">
        <v>10673</v>
      </c>
      <c r="C3528" s="970" t="s">
        <v>11143</v>
      </c>
      <c r="D3528" s="386" t="s">
        <v>11149</v>
      </c>
      <c r="E3528" s="592" t="s">
        <v>4031</v>
      </c>
      <c r="F3528" s="1088">
        <v>4</v>
      </c>
      <c r="G3528" s="752">
        <v>2050.65</v>
      </c>
      <c r="H3528" s="464">
        <f t="shared" si="219"/>
        <v>8202.6</v>
      </c>
      <c r="I3528" s="263" t="s">
        <v>10831</v>
      </c>
      <c r="J3528" s="592"/>
      <c r="K3528" s="811">
        <v>42066</v>
      </c>
      <c r="L3528" s="1477"/>
      <c r="M3528" s="811">
        <v>42065</v>
      </c>
      <c r="N3528" s="267" t="s">
        <v>10778</v>
      </c>
      <c r="O3528" s="386" t="s">
        <v>11150</v>
      </c>
      <c r="Q3528" s="386"/>
      <c r="R3528" s="323">
        <v>68.355000000000004</v>
      </c>
      <c r="S3528" s="464">
        <f t="shared" si="220"/>
        <v>273.42</v>
      </c>
      <c r="U3528" s="752">
        <v>7875</v>
      </c>
      <c r="V3528" s="386" t="s">
        <v>8443</v>
      </c>
      <c r="W3528" s="1090"/>
      <c r="X3528" s="1095">
        <v>42061</v>
      </c>
      <c r="Y3528" s="970" t="s">
        <v>11151</v>
      </c>
      <c r="Z3528" s="824">
        <v>58391</v>
      </c>
      <c r="AA3528" s="1095">
        <v>42096</v>
      </c>
      <c r="AB3528" s="386" t="s">
        <v>11152</v>
      </c>
      <c r="AD3528" s="386"/>
      <c r="AE3528" s="1088" t="s">
        <v>8588</v>
      </c>
      <c r="AF3528" s="386" t="s">
        <v>11142</v>
      </c>
      <c r="AG3528" s="386"/>
    </row>
    <row r="3529" spans="1:33" ht="15.75" customHeight="1">
      <c r="A3529" s="743">
        <v>42060</v>
      </c>
      <c r="B3529" s="823" t="s">
        <v>10673</v>
      </c>
      <c r="C3529" s="970" t="s">
        <v>11143</v>
      </c>
      <c r="D3529" s="386" t="s">
        <v>11149</v>
      </c>
      <c r="E3529" s="592" t="s">
        <v>11153</v>
      </c>
      <c r="F3529" s="1088">
        <v>2</v>
      </c>
      <c r="G3529" s="752">
        <v>3562.65</v>
      </c>
      <c r="H3529" s="464">
        <f t="shared" si="219"/>
        <v>7125.3</v>
      </c>
      <c r="I3529" s="263" t="s">
        <v>10831</v>
      </c>
      <c r="J3529" s="592"/>
      <c r="K3529" s="811">
        <v>42066</v>
      </c>
      <c r="L3529" s="1477"/>
      <c r="M3529" s="811">
        <v>42065</v>
      </c>
      <c r="N3529" s="267" t="s">
        <v>10778</v>
      </c>
      <c r="O3529" s="386" t="s">
        <v>11150</v>
      </c>
      <c r="Q3529" s="386"/>
      <c r="R3529" s="323">
        <v>118.755</v>
      </c>
      <c r="S3529" s="464">
        <f t="shared" si="220"/>
        <v>237.51</v>
      </c>
      <c r="U3529" s="752">
        <v>6840</v>
      </c>
      <c r="V3529" s="386" t="s">
        <v>8443</v>
      </c>
      <c r="W3529" s="1090"/>
      <c r="X3529" s="1095">
        <v>42061</v>
      </c>
      <c r="Y3529" s="970" t="s">
        <v>11151</v>
      </c>
      <c r="Z3529" s="824">
        <v>58391</v>
      </c>
      <c r="AA3529" s="1095">
        <v>42096</v>
      </c>
      <c r="AB3529" s="386" t="s">
        <v>11152</v>
      </c>
      <c r="AD3529" s="386"/>
      <c r="AE3529" s="1088" t="s">
        <v>8588</v>
      </c>
      <c r="AF3529" s="386" t="s">
        <v>11142</v>
      </c>
      <c r="AG3529" s="386"/>
    </row>
    <row r="3530" spans="1:33" ht="15.75" customHeight="1">
      <c r="A3530" s="743">
        <v>42066</v>
      </c>
      <c r="B3530" s="823" t="s">
        <v>10673</v>
      </c>
      <c r="C3530" s="970" t="s">
        <v>11154</v>
      </c>
      <c r="D3530" s="386" t="s">
        <v>11155</v>
      </c>
      <c r="E3530" s="592" t="s">
        <v>11156</v>
      </c>
      <c r="F3530" s="1088">
        <v>5</v>
      </c>
      <c r="G3530" s="752">
        <v>105</v>
      </c>
      <c r="H3530" s="464">
        <f t="shared" si="219"/>
        <v>525</v>
      </c>
      <c r="I3530" s="263" t="s">
        <v>10831</v>
      </c>
      <c r="J3530" s="592"/>
      <c r="K3530" s="811">
        <v>42073</v>
      </c>
      <c r="L3530" s="1477"/>
      <c r="M3530" s="811">
        <v>42072</v>
      </c>
      <c r="N3530" s="267" t="s">
        <v>10778</v>
      </c>
      <c r="O3530" s="970" t="s">
        <v>11157</v>
      </c>
      <c r="Q3530" s="386"/>
      <c r="R3530" s="1088">
        <v>3.5</v>
      </c>
      <c r="S3530" s="464">
        <f t="shared" si="220"/>
        <v>17.5</v>
      </c>
      <c r="U3530" s="752">
        <v>394</v>
      </c>
      <c r="V3530" s="386" t="s">
        <v>8443</v>
      </c>
      <c r="W3530" s="1090"/>
      <c r="X3530" s="1095">
        <v>42068</v>
      </c>
      <c r="Y3530" s="386" t="s">
        <v>11158</v>
      </c>
      <c r="Z3530" s="585">
        <v>394</v>
      </c>
      <c r="AA3530" s="1095">
        <v>42096</v>
      </c>
      <c r="AB3530" s="386" t="s">
        <v>11159</v>
      </c>
      <c r="AD3530" s="386"/>
      <c r="AE3530" s="1088">
        <v>525</v>
      </c>
      <c r="AF3530" s="386" t="s">
        <v>11148</v>
      </c>
      <c r="AG3530" s="386"/>
    </row>
    <row r="3531" spans="1:33" ht="15.75" customHeight="1">
      <c r="A3531" s="743">
        <v>42068</v>
      </c>
      <c r="B3531" s="823" t="s">
        <v>10673</v>
      </c>
      <c r="C3531" s="970" t="s">
        <v>11160</v>
      </c>
      <c r="D3531" s="386" t="s">
        <v>11161</v>
      </c>
      <c r="E3531" s="592" t="s">
        <v>6008</v>
      </c>
      <c r="F3531" s="1088">
        <v>2</v>
      </c>
      <c r="G3531" s="752">
        <v>2610.3000000000002</v>
      </c>
      <c r="H3531" s="464">
        <f t="shared" si="219"/>
        <v>5220.6000000000004</v>
      </c>
      <c r="I3531" s="263" t="s">
        <v>10831</v>
      </c>
      <c r="J3531" s="592"/>
      <c r="K3531" s="811">
        <v>42073</v>
      </c>
      <c r="L3531" s="1477"/>
      <c r="M3531" s="811">
        <v>42072</v>
      </c>
      <c r="N3531" s="267" t="s">
        <v>10778</v>
      </c>
      <c r="O3531" s="386" t="s">
        <v>11162</v>
      </c>
      <c r="Q3531" s="386"/>
      <c r="R3531" s="1088">
        <v>87.01</v>
      </c>
      <c r="S3531" s="464">
        <f>F3531*R3531</f>
        <v>174.02</v>
      </c>
      <c r="U3531" s="1193">
        <v>5013</v>
      </c>
      <c r="V3531" s="386" t="s">
        <v>8443</v>
      </c>
      <c r="W3531" s="1090"/>
      <c r="X3531" s="1095">
        <v>42068</v>
      </c>
      <c r="Y3531" s="386" t="s">
        <v>11163</v>
      </c>
      <c r="Z3531" s="824">
        <v>55940</v>
      </c>
      <c r="AA3531" s="1095">
        <v>42096</v>
      </c>
      <c r="AB3531" s="386" t="s">
        <v>11164</v>
      </c>
      <c r="AD3531" s="386"/>
      <c r="AE3531" s="1110">
        <v>58260</v>
      </c>
      <c r="AF3531" s="386" t="s">
        <v>11148</v>
      </c>
      <c r="AG3531" s="386"/>
    </row>
    <row r="3532" spans="1:33" ht="15.75" customHeight="1">
      <c r="A3532" s="743">
        <v>42068</v>
      </c>
      <c r="B3532" s="823" t="s">
        <v>10673</v>
      </c>
      <c r="C3532" s="970" t="s">
        <v>11160</v>
      </c>
      <c r="D3532" s="386" t="s">
        <v>11161</v>
      </c>
      <c r="E3532" s="592" t="s">
        <v>4031</v>
      </c>
      <c r="F3532" s="1088">
        <v>2</v>
      </c>
      <c r="G3532" s="752">
        <v>2050.65</v>
      </c>
      <c r="H3532" s="464">
        <f t="shared" si="219"/>
        <v>4101.3</v>
      </c>
      <c r="I3532" s="263" t="s">
        <v>10831</v>
      </c>
      <c r="J3532" s="592"/>
      <c r="K3532" s="811">
        <v>42073</v>
      </c>
      <c r="L3532" s="1477"/>
      <c r="M3532" s="811">
        <v>42072</v>
      </c>
      <c r="N3532" s="267" t="s">
        <v>10778</v>
      </c>
      <c r="O3532" s="386" t="s">
        <v>11162</v>
      </c>
      <c r="Q3532" s="386"/>
      <c r="R3532" s="1088">
        <v>68.355000000000004</v>
      </c>
      <c r="S3532" s="464">
        <f>F3532*R3532</f>
        <v>136.71</v>
      </c>
      <c r="U3532" s="752">
        <v>3938</v>
      </c>
      <c r="V3532" s="386" t="s">
        <v>8443</v>
      </c>
      <c r="W3532" s="1090"/>
      <c r="X3532" s="1095">
        <v>42068</v>
      </c>
      <c r="Y3532" s="386" t="s">
        <v>11163</v>
      </c>
      <c r="Z3532" s="824" t="s">
        <v>8588</v>
      </c>
      <c r="AA3532" s="1095">
        <v>42096</v>
      </c>
      <c r="AB3532" s="386" t="s">
        <v>11164</v>
      </c>
      <c r="AD3532" s="386"/>
      <c r="AE3532" s="1088" t="s">
        <v>8588</v>
      </c>
      <c r="AF3532" s="386" t="s">
        <v>11148</v>
      </c>
      <c r="AG3532" s="386"/>
    </row>
    <row r="3533" spans="1:33" ht="15.75" customHeight="1">
      <c r="A3533" s="743">
        <v>42068</v>
      </c>
      <c r="B3533" s="823" t="s">
        <v>10673</v>
      </c>
      <c r="C3533" s="970" t="s">
        <v>11160</v>
      </c>
      <c r="D3533" s="386" t="s">
        <v>11161</v>
      </c>
      <c r="E3533" s="592" t="s">
        <v>11165</v>
      </c>
      <c r="F3533" s="1088">
        <v>4</v>
      </c>
      <c r="G3533" s="752">
        <v>1548.75</v>
      </c>
      <c r="H3533" s="464">
        <f t="shared" si="219"/>
        <v>6195</v>
      </c>
      <c r="I3533" s="263" t="s">
        <v>10831</v>
      </c>
      <c r="J3533" s="592"/>
      <c r="K3533" s="811">
        <v>42073</v>
      </c>
      <c r="L3533" s="1477"/>
      <c r="M3533" s="811">
        <v>42072</v>
      </c>
      <c r="N3533" s="267" t="s">
        <v>10778</v>
      </c>
      <c r="O3533" s="386" t="s">
        <v>11162</v>
      </c>
      <c r="Q3533" s="386"/>
      <c r="R3533" s="1088">
        <v>51.625</v>
      </c>
      <c r="S3533" s="464">
        <f>F3533*R3533</f>
        <v>206.5</v>
      </c>
      <c r="U3533" s="752">
        <v>5947</v>
      </c>
      <c r="V3533" s="386" t="s">
        <v>8443</v>
      </c>
      <c r="W3533" s="1090"/>
      <c r="X3533" s="1095">
        <v>42068</v>
      </c>
      <c r="Y3533" s="386" t="s">
        <v>11163</v>
      </c>
      <c r="Z3533" s="824" t="s">
        <v>8588</v>
      </c>
      <c r="AA3533" s="1095">
        <v>42096</v>
      </c>
      <c r="AB3533" s="386" t="s">
        <v>11164</v>
      </c>
      <c r="AD3533" s="386"/>
      <c r="AE3533" s="1088" t="s">
        <v>8588</v>
      </c>
      <c r="AF3533" s="386" t="s">
        <v>11148</v>
      </c>
      <c r="AG3533" s="386"/>
    </row>
    <row r="3534" spans="1:33" ht="15.75" customHeight="1">
      <c r="A3534" s="743">
        <v>42068</v>
      </c>
      <c r="B3534" s="823" t="s">
        <v>10673</v>
      </c>
      <c r="C3534" s="970" t="s">
        <v>11160</v>
      </c>
      <c r="D3534" s="386" t="s">
        <v>11161</v>
      </c>
      <c r="E3534" s="592" t="s">
        <v>11166</v>
      </c>
      <c r="F3534" s="1088">
        <v>4</v>
      </c>
      <c r="G3534" s="752">
        <v>4111.8</v>
      </c>
      <c r="H3534" s="464">
        <f t="shared" si="219"/>
        <v>16447.2</v>
      </c>
      <c r="I3534" s="263" t="s">
        <v>10831</v>
      </c>
      <c r="J3534" s="592"/>
      <c r="K3534" s="811">
        <v>42073</v>
      </c>
      <c r="L3534" s="1477"/>
      <c r="M3534" s="811">
        <v>42072</v>
      </c>
      <c r="N3534" s="267" t="s">
        <v>10778</v>
      </c>
      <c r="O3534" s="386" t="s">
        <v>11162</v>
      </c>
      <c r="Q3534" s="386"/>
      <c r="R3534" s="1088">
        <v>137.06</v>
      </c>
      <c r="S3534" s="464">
        <f>F3534*R3534</f>
        <v>548.24</v>
      </c>
      <c r="U3534" s="752">
        <v>15792</v>
      </c>
      <c r="V3534" s="386" t="s">
        <v>8443</v>
      </c>
      <c r="W3534" s="1090"/>
      <c r="X3534" s="1095">
        <v>42068</v>
      </c>
      <c r="Y3534" s="386" t="s">
        <v>11163</v>
      </c>
      <c r="Z3534" s="824" t="s">
        <v>8588</v>
      </c>
      <c r="AA3534" s="1095">
        <v>42096</v>
      </c>
      <c r="AB3534" s="386" t="s">
        <v>11164</v>
      </c>
      <c r="AD3534" s="386"/>
      <c r="AE3534" s="1088" t="s">
        <v>8588</v>
      </c>
      <c r="AF3534" s="386" t="s">
        <v>11148</v>
      </c>
      <c r="AG3534" s="386"/>
    </row>
    <row r="3535" spans="1:33" ht="15.75" customHeight="1">
      <c r="A3535" s="743">
        <v>42068</v>
      </c>
      <c r="B3535" s="823" t="s">
        <v>10673</v>
      </c>
      <c r="C3535" s="970" t="s">
        <v>11160</v>
      </c>
      <c r="D3535" s="386" t="s">
        <v>11161</v>
      </c>
      <c r="E3535" s="592" t="s">
        <v>11167</v>
      </c>
      <c r="F3535" s="1088">
        <v>4</v>
      </c>
      <c r="G3535" s="752">
        <v>6574.05</v>
      </c>
      <c r="H3535" s="464">
        <f t="shared" si="219"/>
        <v>26296.2</v>
      </c>
      <c r="I3535" s="263" t="s">
        <v>10831</v>
      </c>
      <c r="J3535" s="592"/>
      <c r="K3535" s="811">
        <v>42073</v>
      </c>
      <c r="L3535" s="1477"/>
      <c r="M3535" s="811">
        <v>42072</v>
      </c>
      <c r="N3535" s="267" t="s">
        <v>10778</v>
      </c>
      <c r="O3535" s="386" t="s">
        <v>11162</v>
      </c>
      <c r="Q3535" s="386"/>
      <c r="R3535" s="1088">
        <v>219.13499999999999</v>
      </c>
      <c r="S3535" s="464">
        <f>F3535*R3535</f>
        <v>876.54</v>
      </c>
      <c r="U3535" s="752">
        <v>25250</v>
      </c>
      <c r="V3535" s="386" t="s">
        <v>8443</v>
      </c>
      <c r="W3535" s="1090"/>
      <c r="X3535" s="1095">
        <v>42068</v>
      </c>
      <c r="Y3535" s="386" t="s">
        <v>11163</v>
      </c>
      <c r="Z3535" s="824" t="s">
        <v>8588</v>
      </c>
      <c r="AA3535" s="1095">
        <v>42096</v>
      </c>
      <c r="AB3535" s="386" t="s">
        <v>11164</v>
      </c>
      <c r="AD3535" s="386"/>
      <c r="AE3535" s="1088" t="s">
        <v>8588</v>
      </c>
      <c r="AF3535" s="386" t="s">
        <v>11148</v>
      </c>
      <c r="AG3535" s="386"/>
    </row>
    <row r="3536" spans="1:33" ht="15.75" customHeight="1">
      <c r="A3536" s="755">
        <v>42072</v>
      </c>
      <c r="B3536" s="823" t="s">
        <v>10673</v>
      </c>
      <c r="C3536" s="263" t="s">
        <v>11168</v>
      </c>
      <c r="D3536" s="318" t="s">
        <v>11169</v>
      </c>
      <c r="E3536" s="338" t="s">
        <v>4493</v>
      </c>
      <c r="F3536" s="752">
        <v>1</v>
      </c>
      <c r="G3536" s="752">
        <v>3349.5</v>
      </c>
      <c r="H3536" s="464">
        <f t="shared" si="219"/>
        <v>3349.5</v>
      </c>
      <c r="I3536" s="263" t="s">
        <v>10831</v>
      </c>
      <c r="J3536" s="592"/>
      <c r="K3536" s="811">
        <v>42080</v>
      </c>
      <c r="L3536" s="1477"/>
      <c r="M3536" s="811">
        <v>42073</v>
      </c>
      <c r="N3536" s="331" t="s">
        <v>10778</v>
      </c>
      <c r="O3536" s="263" t="s">
        <v>11170</v>
      </c>
      <c r="Q3536" s="386"/>
      <c r="R3536" s="752">
        <v>111.65</v>
      </c>
      <c r="S3536" s="464">
        <f>R3536*F3536</f>
        <v>111.65</v>
      </c>
      <c r="U3536" s="752">
        <v>3216</v>
      </c>
      <c r="V3536" s="318" t="s">
        <v>8443</v>
      </c>
      <c r="W3536" s="1090"/>
      <c r="X3536" s="1083">
        <v>42072</v>
      </c>
      <c r="Y3536" s="318" t="s">
        <v>11171</v>
      </c>
      <c r="Z3536" s="1086">
        <v>3216</v>
      </c>
      <c r="AA3536" s="1083">
        <v>42096</v>
      </c>
      <c r="AB3536" s="318" t="s">
        <v>11172</v>
      </c>
      <c r="AD3536" s="386"/>
      <c r="AE3536" s="1100">
        <v>3350</v>
      </c>
      <c r="AF3536" s="318" t="s">
        <v>11173</v>
      </c>
      <c r="AG3536" s="386"/>
    </row>
    <row r="3537" spans="1:33" ht="15.75" customHeight="1">
      <c r="A3537" s="743">
        <v>42074</v>
      </c>
      <c r="B3537" s="823" t="s">
        <v>10673</v>
      </c>
      <c r="C3537" s="970" t="s">
        <v>11174</v>
      </c>
      <c r="D3537" s="386" t="s">
        <v>11175</v>
      </c>
      <c r="E3537" s="592" t="s">
        <v>11136</v>
      </c>
      <c r="F3537" s="1088">
        <v>10</v>
      </c>
      <c r="G3537" s="386"/>
      <c r="H3537" s="386"/>
      <c r="I3537" s="263" t="s">
        <v>10831</v>
      </c>
      <c r="J3537" s="267" t="s">
        <v>89</v>
      </c>
      <c r="K3537" s="811">
        <v>42089</v>
      </c>
      <c r="L3537" s="1477"/>
      <c r="M3537" s="386"/>
      <c r="N3537" s="267" t="s">
        <v>89</v>
      </c>
      <c r="O3537" s="970" t="s">
        <v>11176</v>
      </c>
      <c r="Q3537" s="752">
        <v>682.5</v>
      </c>
      <c r="R3537" s="1088">
        <f>73*1.05</f>
        <v>76.650000000000006</v>
      </c>
      <c r="S3537" s="752">
        <f>R3537*F3537</f>
        <v>766.5</v>
      </c>
      <c r="U3537" s="386"/>
      <c r="V3537" s="386" t="s">
        <v>10751</v>
      </c>
      <c r="W3537" s="1090"/>
      <c r="X3537" s="1083">
        <v>42089</v>
      </c>
      <c r="Y3537" s="263" t="s">
        <v>11177</v>
      </c>
      <c r="Z3537" s="1086">
        <v>21560</v>
      </c>
      <c r="AA3537" s="1095">
        <v>42090</v>
      </c>
      <c r="AB3537" s="386" t="s">
        <v>11178</v>
      </c>
      <c r="AD3537" s="386" t="s">
        <v>11179</v>
      </c>
      <c r="AE3537" s="1110">
        <v>23999</v>
      </c>
      <c r="AF3537" s="386" t="s">
        <v>11180</v>
      </c>
      <c r="AG3537" s="386"/>
    </row>
    <row r="3538" spans="1:33" ht="15.75" customHeight="1">
      <c r="A3538" s="743">
        <v>42075</v>
      </c>
      <c r="B3538" s="823" t="s">
        <v>10673</v>
      </c>
      <c r="C3538" s="970" t="s">
        <v>11181</v>
      </c>
      <c r="D3538" s="386" t="s">
        <v>11182</v>
      </c>
      <c r="E3538" s="592" t="s">
        <v>6404</v>
      </c>
      <c r="F3538" s="1088">
        <v>3</v>
      </c>
      <c r="G3538" s="752">
        <v>3541.65</v>
      </c>
      <c r="H3538" s="464">
        <f>G3538*F3538</f>
        <v>10624.95</v>
      </c>
      <c r="I3538" s="263" t="s">
        <v>10831</v>
      </c>
      <c r="J3538" s="267" t="s">
        <v>10721</v>
      </c>
      <c r="K3538" s="811">
        <v>42080</v>
      </c>
      <c r="L3538" s="1477"/>
      <c r="M3538" s="811">
        <v>42079</v>
      </c>
      <c r="N3538" s="267" t="s">
        <v>10778</v>
      </c>
      <c r="O3538" s="386" t="s">
        <v>11183</v>
      </c>
      <c r="Q3538" s="386"/>
      <c r="R3538" s="1088">
        <v>118.05500000000001</v>
      </c>
      <c r="S3538" s="464">
        <f>R3538*F3538</f>
        <v>354.16500000000002</v>
      </c>
      <c r="U3538" s="752">
        <v>10203</v>
      </c>
      <c r="V3538" s="386" t="s">
        <v>8443</v>
      </c>
      <c r="W3538" s="1090"/>
      <c r="X3538" s="1095">
        <v>42075</v>
      </c>
      <c r="Y3538" s="970" t="s">
        <v>11184</v>
      </c>
      <c r="Z3538" s="824">
        <v>10230</v>
      </c>
      <c r="AA3538" s="1095">
        <v>42096</v>
      </c>
      <c r="AB3538" s="970" t="s">
        <v>11185</v>
      </c>
      <c r="AD3538" s="386"/>
      <c r="AE3538" s="1110">
        <v>10625</v>
      </c>
      <c r="AF3538" s="386" t="s">
        <v>11173</v>
      </c>
      <c r="AG3538" s="386"/>
    </row>
    <row r="3539" spans="1:33" ht="15.75" customHeight="1">
      <c r="A3539" s="743">
        <v>42079</v>
      </c>
      <c r="B3539" s="823" t="s">
        <v>10673</v>
      </c>
      <c r="C3539" s="970" t="s">
        <v>11186</v>
      </c>
      <c r="D3539" s="386" t="s">
        <v>11187</v>
      </c>
      <c r="E3539" s="592" t="s">
        <v>11090</v>
      </c>
      <c r="F3539" s="1088">
        <v>30</v>
      </c>
      <c r="G3539" s="386"/>
      <c r="H3539" s="386"/>
      <c r="I3539" s="263" t="s">
        <v>10831</v>
      </c>
      <c r="J3539" s="267" t="s">
        <v>89</v>
      </c>
      <c r="K3539" s="811">
        <v>42089</v>
      </c>
      <c r="L3539" s="1477"/>
      <c r="M3539" s="386"/>
      <c r="N3539" s="267" t="s">
        <v>89</v>
      </c>
      <c r="O3539" s="263" t="s">
        <v>11188</v>
      </c>
      <c r="Q3539" s="752">
        <v>1701</v>
      </c>
      <c r="R3539" s="1088">
        <v>64.05</v>
      </c>
      <c r="S3539" s="752">
        <f>R3539*F3539</f>
        <v>1921.5</v>
      </c>
      <c r="U3539" s="386"/>
      <c r="V3539" s="386" t="s">
        <v>10751</v>
      </c>
      <c r="W3539" s="1090"/>
      <c r="X3539" s="1083">
        <v>42089</v>
      </c>
      <c r="Y3539" s="263" t="s">
        <v>11189</v>
      </c>
      <c r="Z3539" s="1086">
        <v>53735</v>
      </c>
      <c r="AA3539" s="1095">
        <v>42090</v>
      </c>
      <c r="AB3539" s="386" t="s">
        <v>11190</v>
      </c>
      <c r="AD3539" s="386" t="s">
        <v>11179</v>
      </c>
      <c r="AE3539" s="1110">
        <v>60162</v>
      </c>
      <c r="AF3539" s="386" t="s">
        <v>11180</v>
      </c>
      <c r="AG3539" s="386"/>
    </row>
    <row r="3540" spans="1:33" ht="15.75" customHeight="1">
      <c r="A3540" s="743">
        <v>42081</v>
      </c>
      <c r="B3540" s="823" t="s">
        <v>10673</v>
      </c>
      <c r="C3540" s="970" t="s">
        <v>11191</v>
      </c>
      <c r="D3540" s="386" t="s">
        <v>11192</v>
      </c>
      <c r="E3540" s="592" t="s">
        <v>11193</v>
      </c>
      <c r="F3540" s="1088">
        <v>5</v>
      </c>
      <c r="G3540" s="386"/>
      <c r="H3540" s="386"/>
      <c r="I3540" s="263" t="s">
        <v>10831</v>
      </c>
      <c r="J3540" s="267" t="s">
        <v>89</v>
      </c>
      <c r="K3540" s="811">
        <v>42093</v>
      </c>
      <c r="L3540" s="1477"/>
      <c r="M3540" s="386"/>
      <c r="N3540" s="267" t="s">
        <v>89</v>
      </c>
      <c r="O3540" s="263" t="s">
        <v>11194</v>
      </c>
      <c r="Q3540" s="752">
        <v>141.75</v>
      </c>
      <c r="R3540" s="1088">
        <v>30.45</v>
      </c>
      <c r="S3540" s="464">
        <f t="shared" ref="S3540:S3547" si="221">F3540*R3540</f>
        <v>152.25</v>
      </c>
      <c r="U3540" s="386"/>
      <c r="V3540" s="386" t="s">
        <v>10751</v>
      </c>
      <c r="W3540" s="386"/>
      <c r="X3540" s="1083">
        <v>42093</v>
      </c>
      <c r="Y3540" s="318" t="s">
        <v>11195</v>
      </c>
      <c r="Z3540" s="1086">
        <v>4766</v>
      </c>
      <c r="AA3540" s="386"/>
      <c r="AB3540" s="386" t="s">
        <v>11196</v>
      </c>
      <c r="AD3540" s="386" t="s">
        <v>11031</v>
      </c>
      <c r="AE3540" s="1110">
        <v>4766</v>
      </c>
      <c r="AF3540" s="386" t="s">
        <v>11032</v>
      </c>
      <c r="AG3540" s="386"/>
    </row>
    <row r="3541" spans="1:33" ht="15.75" customHeight="1">
      <c r="A3541" s="743">
        <v>42081</v>
      </c>
      <c r="B3541" s="823" t="s">
        <v>10673</v>
      </c>
      <c r="C3541" s="970" t="s">
        <v>11191</v>
      </c>
      <c r="D3541" s="386" t="s">
        <v>11192</v>
      </c>
      <c r="E3541" s="592" t="s">
        <v>11197</v>
      </c>
      <c r="F3541" s="1088">
        <v>9</v>
      </c>
      <c r="G3541" s="386"/>
      <c r="H3541" s="386"/>
      <c r="I3541" s="263" t="s">
        <v>10831</v>
      </c>
      <c r="J3541" s="267" t="s">
        <v>89</v>
      </c>
      <c r="K3541" s="811">
        <v>42110</v>
      </c>
      <c r="L3541" s="1477"/>
      <c r="M3541" s="386"/>
      <c r="N3541" s="267" t="s">
        <v>89</v>
      </c>
      <c r="O3541" s="263" t="s">
        <v>11198</v>
      </c>
      <c r="Q3541" s="752">
        <v>1606.5</v>
      </c>
      <c r="R3541" s="1088">
        <v>204.75</v>
      </c>
      <c r="S3541" s="464">
        <f t="shared" si="221"/>
        <v>1842.75</v>
      </c>
      <c r="U3541" s="386"/>
      <c r="V3541" s="386" t="s">
        <v>10751</v>
      </c>
      <c r="W3541" s="386"/>
      <c r="X3541" s="1083">
        <v>42110</v>
      </c>
      <c r="Y3541" s="318" t="s">
        <v>11199</v>
      </c>
      <c r="Z3541" s="1086">
        <v>50067</v>
      </c>
      <c r="AA3541" s="386"/>
      <c r="AB3541" s="386" t="s">
        <v>11200</v>
      </c>
      <c r="AD3541" s="386" t="s">
        <v>11201</v>
      </c>
      <c r="AE3541" s="1110">
        <v>57567</v>
      </c>
      <c r="AF3541" s="386" t="s">
        <v>11202</v>
      </c>
      <c r="AG3541" s="386"/>
    </row>
    <row r="3542" spans="1:33" ht="15.75" customHeight="1">
      <c r="A3542" s="743">
        <v>42082</v>
      </c>
      <c r="B3542" s="823" t="s">
        <v>10673</v>
      </c>
      <c r="C3542" s="970" t="s">
        <v>11203</v>
      </c>
      <c r="D3542" s="386" t="s">
        <v>11204</v>
      </c>
      <c r="E3542" s="592" t="s">
        <v>3510</v>
      </c>
      <c r="F3542" s="1088">
        <v>5</v>
      </c>
      <c r="G3542" s="752">
        <v>4288.2</v>
      </c>
      <c r="H3542" s="1100">
        <f t="shared" ref="H3542:H3547" si="222">F3542*G3542</f>
        <v>21441</v>
      </c>
      <c r="I3542" s="263" t="s">
        <v>10831</v>
      </c>
      <c r="J3542" s="267" t="s">
        <v>10721</v>
      </c>
      <c r="K3542" s="811">
        <v>42088</v>
      </c>
      <c r="L3542" s="1477"/>
      <c r="M3542" s="811">
        <v>42111</v>
      </c>
      <c r="N3542" s="267" t="s">
        <v>10778</v>
      </c>
      <c r="O3542" s="386" t="s">
        <v>11205</v>
      </c>
      <c r="Q3542" s="386"/>
      <c r="R3542" s="1088">
        <v>142.94</v>
      </c>
      <c r="S3542" s="464">
        <f t="shared" si="221"/>
        <v>714.7</v>
      </c>
      <c r="U3542" s="1194">
        <v>20585.25</v>
      </c>
      <c r="V3542" s="386" t="s">
        <v>8443</v>
      </c>
      <c r="W3542" s="1090"/>
      <c r="X3542" s="1083">
        <v>42089</v>
      </c>
      <c r="Y3542" s="318" t="s">
        <v>11206</v>
      </c>
      <c r="Z3542" s="1086">
        <v>53637</v>
      </c>
      <c r="AA3542" s="1095">
        <v>42096</v>
      </c>
      <c r="AB3542" s="386" t="s">
        <v>11207</v>
      </c>
      <c r="AD3542" s="386"/>
      <c r="AE3542" s="1110">
        <v>55870</v>
      </c>
      <c r="AF3542" s="386" t="s">
        <v>11208</v>
      </c>
      <c r="AG3542" s="386"/>
    </row>
    <row r="3543" spans="1:33" ht="15.75" customHeight="1">
      <c r="A3543" s="743">
        <v>42082</v>
      </c>
      <c r="B3543" s="823" t="s">
        <v>10673</v>
      </c>
      <c r="C3543" s="970" t="s">
        <v>11203</v>
      </c>
      <c r="D3543" s="386" t="s">
        <v>11209</v>
      </c>
      <c r="E3543" s="592" t="s">
        <v>6004</v>
      </c>
      <c r="F3543" s="1088">
        <v>5</v>
      </c>
      <c r="G3543" s="752">
        <v>4381.6499999999996</v>
      </c>
      <c r="H3543" s="1100">
        <f t="shared" si="222"/>
        <v>21908.25</v>
      </c>
      <c r="I3543" s="263" t="s">
        <v>10831</v>
      </c>
      <c r="J3543" s="267" t="s">
        <v>10721</v>
      </c>
      <c r="K3543" s="811">
        <v>42088</v>
      </c>
      <c r="L3543" s="1477"/>
      <c r="M3543" s="811">
        <v>42086</v>
      </c>
      <c r="N3543" s="267" t="s">
        <v>10778</v>
      </c>
      <c r="O3543" s="386" t="s">
        <v>11210</v>
      </c>
      <c r="Q3543" s="386"/>
      <c r="R3543" s="1088">
        <v>146.05500000000001</v>
      </c>
      <c r="S3543" s="464">
        <f t="shared" si="221"/>
        <v>730.27500000000009</v>
      </c>
      <c r="U3543" s="1195">
        <v>21031.5</v>
      </c>
      <c r="V3543" s="386" t="s">
        <v>8443</v>
      </c>
      <c r="W3543" s="1090"/>
      <c r="X3543" s="1083">
        <v>42089</v>
      </c>
      <c r="Y3543" s="318" t="s">
        <v>11206</v>
      </c>
      <c r="Z3543" s="1086" t="s">
        <v>8588</v>
      </c>
      <c r="AA3543" s="1095">
        <v>42096</v>
      </c>
      <c r="AB3543" s="386" t="s">
        <v>11207</v>
      </c>
      <c r="AD3543" s="386"/>
      <c r="AE3543" s="1088" t="s">
        <v>8588</v>
      </c>
      <c r="AF3543" s="386" t="s">
        <v>11208</v>
      </c>
      <c r="AG3543" s="386"/>
    </row>
    <row r="3544" spans="1:33" ht="15.75" customHeight="1">
      <c r="A3544" s="743">
        <v>42082</v>
      </c>
      <c r="B3544" s="823" t="s">
        <v>10673</v>
      </c>
      <c r="C3544" s="970" t="s">
        <v>11203</v>
      </c>
      <c r="D3544" s="386" t="s">
        <v>11209</v>
      </c>
      <c r="E3544" s="592" t="s">
        <v>11211</v>
      </c>
      <c r="F3544" s="1088">
        <v>1</v>
      </c>
      <c r="G3544" s="752">
        <v>3142.65</v>
      </c>
      <c r="H3544" s="1100">
        <f t="shared" si="222"/>
        <v>3142.65</v>
      </c>
      <c r="I3544" s="263" t="s">
        <v>10831</v>
      </c>
      <c r="J3544" s="267" t="s">
        <v>10721</v>
      </c>
      <c r="K3544" s="811">
        <v>42088</v>
      </c>
      <c r="L3544" s="1477"/>
      <c r="M3544" s="811">
        <v>42086</v>
      </c>
      <c r="N3544" s="267" t="s">
        <v>10778</v>
      </c>
      <c r="O3544" s="386" t="s">
        <v>11210</v>
      </c>
      <c r="Q3544" s="386"/>
      <c r="R3544" s="1088">
        <v>104.755</v>
      </c>
      <c r="S3544" s="464">
        <f t="shared" si="221"/>
        <v>104.755</v>
      </c>
      <c r="U3544" s="1194">
        <v>3016.65</v>
      </c>
      <c r="V3544" s="386" t="s">
        <v>8443</v>
      </c>
      <c r="W3544" s="1090"/>
      <c r="X3544" s="1083">
        <v>42089</v>
      </c>
      <c r="Y3544" s="318" t="s">
        <v>11206</v>
      </c>
      <c r="Z3544" s="1086" t="s">
        <v>8588</v>
      </c>
      <c r="AA3544" s="1095">
        <v>42096</v>
      </c>
      <c r="AB3544" s="386" t="s">
        <v>11207</v>
      </c>
      <c r="AD3544" s="386"/>
      <c r="AE3544" s="1088" t="s">
        <v>8588</v>
      </c>
      <c r="AF3544" s="386" t="s">
        <v>11208</v>
      </c>
      <c r="AG3544" s="386"/>
    </row>
    <row r="3545" spans="1:33" ht="15.75" customHeight="1">
      <c r="A3545" s="743">
        <v>42082</v>
      </c>
      <c r="B3545" s="823" t="s">
        <v>10673</v>
      </c>
      <c r="C3545" s="970" t="s">
        <v>11203</v>
      </c>
      <c r="D3545" s="386" t="s">
        <v>11209</v>
      </c>
      <c r="E3545" s="592" t="s">
        <v>11212</v>
      </c>
      <c r="F3545" s="1088">
        <v>1</v>
      </c>
      <c r="G3545" s="752">
        <v>1254.75</v>
      </c>
      <c r="H3545" s="1100">
        <f t="shared" si="222"/>
        <v>1254.75</v>
      </c>
      <c r="I3545" s="263" t="s">
        <v>10831</v>
      </c>
      <c r="J3545" s="267" t="s">
        <v>10721</v>
      </c>
      <c r="K3545" s="811">
        <v>42088</v>
      </c>
      <c r="L3545" s="1477"/>
      <c r="M3545" s="811">
        <v>42086</v>
      </c>
      <c r="N3545" s="267" t="s">
        <v>10778</v>
      </c>
      <c r="O3545" s="386" t="s">
        <v>11210</v>
      </c>
      <c r="Q3545" s="386"/>
      <c r="R3545" s="1088">
        <v>41.825000000000003</v>
      </c>
      <c r="S3545" s="464">
        <f t="shared" si="221"/>
        <v>41.825000000000003</v>
      </c>
      <c r="U3545" s="1194">
        <v>1204.3499999999999</v>
      </c>
      <c r="V3545" s="386" t="s">
        <v>8443</v>
      </c>
      <c r="W3545" s="1090"/>
      <c r="X3545" s="1083">
        <v>42089</v>
      </c>
      <c r="Y3545" s="318" t="s">
        <v>11206</v>
      </c>
      <c r="Z3545" s="1086" t="s">
        <v>8588</v>
      </c>
      <c r="AA3545" s="1095">
        <v>42096</v>
      </c>
      <c r="AB3545" s="386" t="s">
        <v>11207</v>
      </c>
      <c r="AD3545" s="386"/>
      <c r="AE3545" s="1088" t="s">
        <v>8588</v>
      </c>
      <c r="AF3545" s="386" t="s">
        <v>11208</v>
      </c>
      <c r="AG3545" s="386"/>
    </row>
    <row r="3546" spans="1:33" ht="15.75" customHeight="1">
      <c r="A3546" s="743">
        <v>42082</v>
      </c>
      <c r="B3546" s="823" t="s">
        <v>10673</v>
      </c>
      <c r="C3546" s="970" t="s">
        <v>11203</v>
      </c>
      <c r="D3546" s="386" t="s">
        <v>11209</v>
      </c>
      <c r="E3546" s="592" t="s">
        <v>11165</v>
      </c>
      <c r="F3546" s="1088">
        <v>1</v>
      </c>
      <c r="G3546" s="752">
        <v>1548.75</v>
      </c>
      <c r="H3546" s="1100">
        <f t="shared" si="222"/>
        <v>1548.75</v>
      </c>
      <c r="I3546" s="263" t="s">
        <v>10831</v>
      </c>
      <c r="J3546" s="267" t="s">
        <v>10721</v>
      </c>
      <c r="K3546" s="811">
        <v>42088</v>
      </c>
      <c r="L3546" s="1477"/>
      <c r="M3546" s="811">
        <v>42086</v>
      </c>
      <c r="N3546" s="267" t="s">
        <v>10778</v>
      </c>
      <c r="O3546" s="386" t="s">
        <v>11210</v>
      </c>
      <c r="Q3546" s="386"/>
      <c r="R3546" s="1088">
        <v>51.625</v>
      </c>
      <c r="S3546" s="464">
        <f t="shared" si="221"/>
        <v>51.625</v>
      </c>
      <c r="U3546" s="1195">
        <v>1486.8</v>
      </c>
      <c r="V3546" s="386" t="s">
        <v>8443</v>
      </c>
      <c r="W3546" s="1090"/>
      <c r="X3546" s="1083">
        <v>42089</v>
      </c>
      <c r="Y3546" s="318" t="s">
        <v>11206</v>
      </c>
      <c r="Z3546" s="1086" t="s">
        <v>8588</v>
      </c>
      <c r="AA3546" s="1095">
        <v>42096</v>
      </c>
      <c r="AB3546" s="386" t="s">
        <v>11207</v>
      </c>
      <c r="AD3546" s="386"/>
      <c r="AE3546" s="1088" t="s">
        <v>8588</v>
      </c>
      <c r="AF3546" s="386" t="s">
        <v>11208</v>
      </c>
      <c r="AG3546" s="386"/>
    </row>
    <row r="3547" spans="1:33" ht="15.75" customHeight="1">
      <c r="A3547" s="743">
        <v>42082</v>
      </c>
      <c r="B3547" s="823" t="s">
        <v>10673</v>
      </c>
      <c r="C3547" s="970" t="s">
        <v>11203</v>
      </c>
      <c r="D3547" s="386" t="s">
        <v>11213</v>
      </c>
      <c r="E3547" s="592" t="s">
        <v>11167</v>
      </c>
      <c r="F3547" s="1088">
        <v>1</v>
      </c>
      <c r="G3547" s="752">
        <v>6574.05</v>
      </c>
      <c r="H3547" s="1100">
        <f t="shared" si="222"/>
        <v>6574.05</v>
      </c>
      <c r="I3547" s="263" t="s">
        <v>10831</v>
      </c>
      <c r="J3547" s="267" t="s">
        <v>10721</v>
      </c>
      <c r="K3547" s="811">
        <v>42088</v>
      </c>
      <c r="L3547" s="1477"/>
      <c r="M3547" s="811">
        <v>42088</v>
      </c>
      <c r="N3547" s="267" t="s">
        <v>10778</v>
      </c>
      <c r="O3547" s="386" t="s">
        <v>11214</v>
      </c>
      <c r="Q3547" s="386"/>
      <c r="R3547" s="1088">
        <v>219.13499999999999</v>
      </c>
      <c r="S3547" s="464">
        <f t="shared" si="221"/>
        <v>219.13499999999999</v>
      </c>
      <c r="U3547" s="1195">
        <v>6312.6</v>
      </c>
      <c r="V3547" s="386" t="s">
        <v>8443</v>
      </c>
      <c r="W3547" s="1090"/>
      <c r="X3547" s="1083">
        <v>42089</v>
      </c>
      <c r="Y3547" s="318" t="s">
        <v>11206</v>
      </c>
      <c r="Z3547" s="1086" t="s">
        <v>8588</v>
      </c>
      <c r="AA3547" s="1095">
        <v>42096</v>
      </c>
      <c r="AB3547" s="386" t="s">
        <v>11207</v>
      </c>
      <c r="AD3547" s="386"/>
      <c r="AE3547" s="1088" t="s">
        <v>8588</v>
      </c>
      <c r="AF3547" s="386" t="s">
        <v>11208</v>
      </c>
      <c r="AG3547" s="386"/>
    </row>
    <row r="3548" spans="1:33" ht="15.75" customHeight="1">
      <c r="A3548" s="743">
        <v>42082</v>
      </c>
      <c r="B3548" s="823" t="s">
        <v>10673</v>
      </c>
      <c r="C3548" s="970" t="s">
        <v>11215</v>
      </c>
      <c r="D3548" s="386" t="s">
        <v>11216</v>
      </c>
      <c r="E3548" s="592" t="s">
        <v>11090</v>
      </c>
      <c r="F3548" s="1088">
        <v>20</v>
      </c>
      <c r="G3548" s="386"/>
      <c r="H3548" s="386"/>
      <c r="I3548" s="263" t="s">
        <v>10831</v>
      </c>
      <c r="J3548" s="267" t="s">
        <v>89</v>
      </c>
      <c r="K3548" s="811">
        <v>42093</v>
      </c>
      <c r="L3548" s="1477"/>
      <c r="M3548" s="386"/>
      <c r="N3548" s="267" t="s">
        <v>89</v>
      </c>
      <c r="O3548" s="263" t="s">
        <v>11217</v>
      </c>
      <c r="Q3548" s="752">
        <v>1134</v>
      </c>
      <c r="R3548" s="1088">
        <v>64.05</v>
      </c>
      <c r="S3548" s="464">
        <f t="shared" ref="S3548:S3592" si="223">R3548*F3548</f>
        <v>1281</v>
      </c>
      <c r="U3548" s="386"/>
      <c r="V3548" s="386" t="s">
        <v>10751</v>
      </c>
      <c r="W3548" s="386"/>
      <c r="X3548" s="1083">
        <v>42093</v>
      </c>
      <c r="Y3548" s="318" t="s">
        <v>11218</v>
      </c>
      <c r="Z3548" s="1086">
        <v>139312</v>
      </c>
      <c r="AA3548" s="386"/>
      <c r="AB3548" s="386" t="s">
        <v>11219</v>
      </c>
      <c r="AD3548" s="386" t="s">
        <v>11031</v>
      </c>
      <c r="AE3548" s="1110">
        <v>145263</v>
      </c>
      <c r="AF3548" s="386" t="s">
        <v>11032</v>
      </c>
      <c r="AG3548" s="386"/>
    </row>
    <row r="3549" spans="1:33" ht="15.75" customHeight="1">
      <c r="A3549" s="743">
        <v>42082</v>
      </c>
      <c r="B3549" s="823" t="s">
        <v>10673</v>
      </c>
      <c r="C3549" s="970" t="s">
        <v>11215</v>
      </c>
      <c r="D3549" s="386" t="s">
        <v>11216</v>
      </c>
      <c r="E3549" s="592" t="s">
        <v>10143</v>
      </c>
      <c r="F3549" s="1088">
        <v>40</v>
      </c>
      <c r="G3549" s="386"/>
      <c r="H3549" s="386"/>
      <c r="I3549" s="263" t="s">
        <v>10831</v>
      </c>
      <c r="J3549" s="267" t="s">
        <v>89</v>
      </c>
      <c r="K3549" s="811">
        <v>42093</v>
      </c>
      <c r="L3549" s="1477"/>
      <c r="M3549" s="386"/>
      <c r="N3549" s="267" t="s">
        <v>89</v>
      </c>
      <c r="O3549" s="263" t="s">
        <v>11217</v>
      </c>
      <c r="Q3549" s="752">
        <v>3276</v>
      </c>
      <c r="R3549" s="1088">
        <v>84</v>
      </c>
      <c r="S3549" s="464">
        <f t="shared" si="223"/>
        <v>3360</v>
      </c>
      <c r="U3549" s="386"/>
      <c r="V3549" s="386" t="s">
        <v>10751</v>
      </c>
      <c r="W3549" s="386"/>
      <c r="X3549" s="1083">
        <v>42093</v>
      </c>
      <c r="Y3549" s="318" t="s">
        <v>11218</v>
      </c>
      <c r="Z3549" s="585" t="s">
        <v>8588</v>
      </c>
      <c r="AA3549" s="386"/>
      <c r="AB3549" s="386" t="s">
        <v>11219</v>
      </c>
      <c r="AD3549" s="386" t="s">
        <v>11031</v>
      </c>
      <c r="AE3549" s="1110" t="s">
        <v>8588</v>
      </c>
      <c r="AF3549" s="386" t="s">
        <v>11032</v>
      </c>
      <c r="AG3549" s="386"/>
    </row>
    <row r="3550" spans="1:33" ht="15.75" customHeight="1">
      <c r="A3550" s="743">
        <v>42087</v>
      </c>
      <c r="B3550" s="823" t="s">
        <v>10673</v>
      </c>
      <c r="C3550" s="970" t="s">
        <v>11220</v>
      </c>
      <c r="D3550" s="386" t="s">
        <v>11221</v>
      </c>
      <c r="E3550" s="592" t="s">
        <v>11136</v>
      </c>
      <c r="F3550" s="1088">
        <v>20</v>
      </c>
      <c r="G3550" s="386"/>
      <c r="H3550" s="386"/>
      <c r="I3550" s="263" t="s">
        <v>10831</v>
      </c>
      <c r="J3550" s="267" t="s">
        <v>89</v>
      </c>
      <c r="K3550" s="811">
        <v>42096</v>
      </c>
      <c r="L3550" s="1477"/>
      <c r="M3550" s="386"/>
      <c r="N3550" s="267" t="s">
        <v>89</v>
      </c>
      <c r="O3550" s="263" t="s">
        <v>11222</v>
      </c>
      <c r="Q3550" s="752">
        <v>1365</v>
      </c>
      <c r="R3550" s="1088">
        <v>76.650000000000006</v>
      </c>
      <c r="S3550" s="464">
        <f t="shared" si="223"/>
        <v>1533</v>
      </c>
      <c r="U3550" s="386"/>
      <c r="V3550" s="386" t="s">
        <v>10751</v>
      </c>
      <c r="W3550" s="386"/>
      <c r="X3550" s="1083">
        <v>42096</v>
      </c>
      <c r="Y3550" s="318" t="s">
        <v>11223</v>
      </c>
      <c r="Z3550" s="1086">
        <v>42656</v>
      </c>
      <c r="AA3550" s="386"/>
      <c r="AB3550" s="386" t="s">
        <v>11224</v>
      </c>
      <c r="AD3550" s="386" t="s">
        <v>11225</v>
      </c>
      <c r="AE3550" s="1110">
        <v>47860</v>
      </c>
      <c r="AF3550" s="386" t="s">
        <v>11226</v>
      </c>
      <c r="AG3550" s="386"/>
    </row>
    <row r="3551" spans="1:33" ht="15.75" customHeight="1">
      <c r="A3551" s="743">
        <v>42088</v>
      </c>
      <c r="B3551" s="823" t="s">
        <v>10673</v>
      </c>
      <c r="C3551" s="970" t="s">
        <v>11227</v>
      </c>
      <c r="D3551" s="386" t="s">
        <v>11228</v>
      </c>
      <c r="E3551" s="592" t="s">
        <v>3638</v>
      </c>
      <c r="F3551" s="1088">
        <v>2</v>
      </c>
      <c r="G3551" s="752">
        <v>2889.6</v>
      </c>
      <c r="H3551" s="1100">
        <f t="shared" ref="H3551:H3559" si="224">F3551*G3551</f>
        <v>5779.2</v>
      </c>
      <c r="I3551" s="263" t="s">
        <v>10831</v>
      </c>
      <c r="J3551" s="267" t="s">
        <v>10721</v>
      </c>
      <c r="K3551" s="811">
        <v>42093</v>
      </c>
      <c r="L3551" s="1477"/>
      <c r="M3551" s="811">
        <v>42090</v>
      </c>
      <c r="N3551" s="267" t="s">
        <v>10778</v>
      </c>
      <c r="O3551" s="386" t="s">
        <v>11229</v>
      </c>
      <c r="Q3551" s="386"/>
      <c r="R3551" s="1088">
        <v>96.32</v>
      </c>
      <c r="S3551" s="464">
        <f t="shared" si="223"/>
        <v>192.64</v>
      </c>
      <c r="U3551" s="1100">
        <v>5548.2</v>
      </c>
      <c r="V3551" s="386" t="s">
        <v>8443</v>
      </c>
      <c r="W3551" s="386"/>
      <c r="X3551" s="1083">
        <v>42083</v>
      </c>
      <c r="Y3551" s="318" t="s">
        <v>11230</v>
      </c>
      <c r="Z3551" s="1086">
        <v>67421</v>
      </c>
      <c r="AA3551" s="1095">
        <v>42129</v>
      </c>
      <c r="AB3551" s="386" t="s">
        <v>11231</v>
      </c>
      <c r="AD3551" s="386" t="s">
        <v>11031</v>
      </c>
      <c r="AE3551" s="1110">
        <v>70276</v>
      </c>
      <c r="AF3551" s="386" t="s">
        <v>11032</v>
      </c>
      <c r="AG3551" s="386"/>
    </row>
    <row r="3552" spans="1:33" ht="15.75" customHeight="1">
      <c r="A3552" s="743">
        <v>42088</v>
      </c>
      <c r="B3552" s="823" t="s">
        <v>10673</v>
      </c>
      <c r="C3552" s="970" t="s">
        <v>11227</v>
      </c>
      <c r="D3552" s="386" t="s">
        <v>11228</v>
      </c>
      <c r="E3552" s="592" t="s">
        <v>11055</v>
      </c>
      <c r="F3552" s="1088">
        <v>1</v>
      </c>
      <c r="G3552" s="752">
        <v>5860.05</v>
      </c>
      <c r="H3552" s="1100">
        <f t="shared" si="224"/>
        <v>5860.05</v>
      </c>
      <c r="I3552" s="263" t="s">
        <v>10831</v>
      </c>
      <c r="J3552" s="267" t="s">
        <v>10721</v>
      </c>
      <c r="K3552" s="811">
        <v>42093</v>
      </c>
      <c r="L3552" s="1477"/>
      <c r="M3552" s="811">
        <v>42090</v>
      </c>
      <c r="N3552" s="267" t="s">
        <v>10778</v>
      </c>
      <c r="O3552" s="386" t="s">
        <v>11229</v>
      </c>
      <c r="Q3552" s="386"/>
      <c r="R3552" s="1088">
        <v>193.655</v>
      </c>
      <c r="S3552" s="464">
        <f t="shared" si="223"/>
        <v>193.655</v>
      </c>
      <c r="U3552" s="1100">
        <v>5577.6</v>
      </c>
      <c r="V3552" s="386" t="s">
        <v>8443</v>
      </c>
      <c r="W3552" s="386"/>
      <c r="X3552" s="1083">
        <v>42083</v>
      </c>
      <c r="Y3552" s="318" t="s">
        <v>11230</v>
      </c>
      <c r="Z3552" s="585" t="s">
        <v>8588</v>
      </c>
      <c r="AA3552" s="1095">
        <v>42129</v>
      </c>
      <c r="AB3552" s="386" t="s">
        <v>11231</v>
      </c>
      <c r="AD3552" s="386" t="s">
        <v>11031</v>
      </c>
      <c r="AE3552" s="1088" t="s">
        <v>8588</v>
      </c>
      <c r="AF3552" s="386" t="s">
        <v>11032</v>
      </c>
      <c r="AG3552" s="386"/>
    </row>
    <row r="3553" spans="1:33" ht="15.75" customHeight="1">
      <c r="A3553" s="743">
        <v>42088</v>
      </c>
      <c r="B3553" s="823" t="s">
        <v>10673</v>
      </c>
      <c r="C3553" s="970" t="s">
        <v>11227</v>
      </c>
      <c r="D3553" s="386" t="s">
        <v>11228</v>
      </c>
      <c r="E3553" s="592" t="s">
        <v>3510</v>
      </c>
      <c r="F3553" s="1088">
        <v>5</v>
      </c>
      <c r="G3553" s="752">
        <v>4288.2</v>
      </c>
      <c r="H3553" s="1100">
        <f t="shared" si="224"/>
        <v>21441</v>
      </c>
      <c r="I3553" s="263" t="s">
        <v>10831</v>
      </c>
      <c r="J3553" s="267" t="s">
        <v>10721</v>
      </c>
      <c r="K3553" s="811">
        <v>42093</v>
      </c>
      <c r="L3553" s="1477"/>
      <c r="M3553" s="811">
        <v>42090</v>
      </c>
      <c r="N3553" s="267" t="s">
        <v>10778</v>
      </c>
      <c r="O3553" s="386" t="s">
        <v>11229</v>
      </c>
      <c r="Q3553" s="386"/>
      <c r="R3553" s="1088">
        <v>142.94</v>
      </c>
      <c r="S3553" s="464">
        <f t="shared" si="223"/>
        <v>714.7</v>
      </c>
      <c r="U3553" s="1100">
        <v>20585.25</v>
      </c>
      <c r="V3553" s="386" t="s">
        <v>8443</v>
      </c>
      <c r="W3553" s="386"/>
      <c r="X3553" s="1083">
        <v>42083</v>
      </c>
      <c r="Y3553" s="318" t="s">
        <v>11230</v>
      </c>
      <c r="Z3553" s="585" t="s">
        <v>8588</v>
      </c>
      <c r="AA3553" s="1095">
        <v>42129</v>
      </c>
      <c r="AB3553" s="386" t="s">
        <v>11231</v>
      </c>
      <c r="AD3553" s="386" t="s">
        <v>11031</v>
      </c>
      <c r="AE3553" s="1088" t="s">
        <v>8588</v>
      </c>
      <c r="AF3553" s="386" t="s">
        <v>11032</v>
      </c>
      <c r="AG3553" s="386"/>
    </row>
    <row r="3554" spans="1:33" ht="15.75" customHeight="1">
      <c r="A3554" s="743">
        <v>42088</v>
      </c>
      <c r="B3554" s="823" t="s">
        <v>10673</v>
      </c>
      <c r="C3554" s="970" t="s">
        <v>11227</v>
      </c>
      <c r="D3554" s="386" t="s">
        <v>11228</v>
      </c>
      <c r="E3554" s="592" t="s">
        <v>6004</v>
      </c>
      <c r="F3554" s="1088">
        <v>5</v>
      </c>
      <c r="G3554" s="752">
        <v>4381.6499999999996</v>
      </c>
      <c r="H3554" s="1100">
        <f t="shared" si="224"/>
        <v>21908.25</v>
      </c>
      <c r="I3554" s="263" t="s">
        <v>10831</v>
      </c>
      <c r="J3554" s="267" t="s">
        <v>10721</v>
      </c>
      <c r="K3554" s="811">
        <v>42093</v>
      </c>
      <c r="L3554" s="1477"/>
      <c r="M3554" s="811">
        <v>42090</v>
      </c>
      <c r="N3554" s="267" t="s">
        <v>10778</v>
      </c>
      <c r="O3554" s="386" t="s">
        <v>11229</v>
      </c>
      <c r="Q3554" s="386"/>
      <c r="R3554" s="1088">
        <v>146.05500000000001</v>
      </c>
      <c r="S3554" s="464">
        <f t="shared" si="223"/>
        <v>730.27500000000009</v>
      </c>
      <c r="U3554" s="1100">
        <v>21031.5</v>
      </c>
      <c r="V3554" s="386" t="s">
        <v>8443</v>
      </c>
      <c r="W3554" s="386"/>
      <c r="X3554" s="1083">
        <v>42083</v>
      </c>
      <c r="Y3554" s="318" t="s">
        <v>11230</v>
      </c>
      <c r="Z3554" s="585" t="s">
        <v>8588</v>
      </c>
      <c r="AA3554" s="1095">
        <v>42129</v>
      </c>
      <c r="AB3554" s="386" t="s">
        <v>11231</v>
      </c>
      <c r="AD3554" s="386" t="s">
        <v>11031</v>
      </c>
      <c r="AE3554" s="1088" t="s">
        <v>8588</v>
      </c>
      <c r="AF3554" s="386" t="s">
        <v>11032</v>
      </c>
      <c r="AG3554" s="386"/>
    </row>
    <row r="3555" spans="1:33" ht="15.75" customHeight="1">
      <c r="A3555" s="743">
        <v>42088</v>
      </c>
      <c r="B3555" s="823" t="s">
        <v>10673</v>
      </c>
      <c r="C3555" s="970" t="s">
        <v>11227</v>
      </c>
      <c r="D3555" s="386" t="s">
        <v>11228</v>
      </c>
      <c r="E3555" s="592" t="s">
        <v>6813</v>
      </c>
      <c r="F3555" s="1088">
        <v>2</v>
      </c>
      <c r="G3555" s="752">
        <v>1677.9</v>
      </c>
      <c r="H3555" s="1100">
        <f t="shared" si="224"/>
        <v>3355.8</v>
      </c>
      <c r="I3555" s="263" t="s">
        <v>10831</v>
      </c>
      <c r="J3555" s="267" t="s">
        <v>10721</v>
      </c>
      <c r="K3555" s="811">
        <v>42093</v>
      </c>
      <c r="L3555" s="1477"/>
      <c r="M3555" s="811">
        <v>42090</v>
      </c>
      <c r="N3555" s="267" t="s">
        <v>10778</v>
      </c>
      <c r="O3555" s="386" t="s">
        <v>11229</v>
      </c>
      <c r="Q3555" s="386"/>
      <c r="R3555" s="1088">
        <v>55.93</v>
      </c>
      <c r="S3555" s="464">
        <f t="shared" si="223"/>
        <v>111.86</v>
      </c>
      <c r="U3555" s="1100">
        <v>3221.4</v>
      </c>
      <c r="V3555" s="386" t="s">
        <v>8443</v>
      </c>
      <c r="W3555" s="386"/>
      <c r="X3555" s="1083">
        <v>42083</v>
      </c>
      <c r="Y3555" s="318" t="s">
        <v>11230</v>
      </c>
      <c r="Z3555" s="585" t="s">
        <v>8588</v>
      </c>
      <c r="AA3555" s="1095">
        <v>42129</v>
      </c>
      <c r="AB3555" s="386" t="s">
        <v>11231</v>
      </c>
      <c r="AD3555" s="386" t="s">
        <v>11031</v>
      </c>
      <c r="AE3555" s="1088" t="s">
        <v>8588</v>
      </c>
      <c r="AF3555" s="386" t="s">
        <v>11032</v>
      </c>
      <c r="AG3555" s="386"/>
    </row>
    <row r="3556" spans="1:33" ht="15.75" customHeight="1">
      <c r="A3556" s="743">
        <v>42088</v>
      </c>
      <c r="B3556" s="823" t="s">
        <v>10673</v>
      </c>
      <c r="C3556" s="970" t="s">
        <v>11227</v>
      </c>
      <c r="D3556" s="386" t="s">
        <v>11228</v>
      </c>
      <c r="E3556" s="592" t="s">
        <v>6008</v>
      </c>
      <c r="F3556" s="1088">
        <v>3</v>
      </c>
      <c r="G3556" s="752">
        <v>2610.3000000000002</v>
      </c>
      <c r="H3556" s="1100">
        <f t="shared" si="224"/>
        <v>7830.9000000000005</v>
      </c>
      <c r="I3556" s="263" t="s">
        <v>10831</v>
      </c>
      <c r="J3556" s="267" t="s">
        <v>10721</v>
      </c>
      <c r="K3556" s="811">
        <v>42093</v>
      </c>
      <c r="L3556" s="1477"/>
      <c r="M3556" s="811">
        <v>42090</v>
      </c>
      <c r="N3556" s="267" t="s">
        <v>10778</v>
      </c>
      <c r="O3556" s="386" t="s">
        <v>11229</v>
      </c>
      <c r="Q3556" s="386"/>
      <c r="R3556" s="1088">
        <v>87.01</v>
      </c>
      <c r="S3556" s="464">
        <f t="shared" si="223"/>
        <v>261.03000000000003</v>
      </c>
      <c r="U3556" s="1100">
        <v>7519.05</v>
      </c>
      <c r="V3556" s="386" t="s">
        <v>8443</v>
      </c>
      <c r="W3556" s="386"/>
      <c r="X3556" s="1083">
        <v>42083</v>
      </c>
      <c r="Y3556" s="318" t="s">
        <v>11230</v>
      </c>
      <c r="Z3556" s="585" t="s">
        <v>8588</v>
      </c>
      <c r="AA3556" s="1095">
        <v>42129</v>
      </c>
      <c r="AB3556" s="386" t="s">
        <v>11231</v>
      </c>
      <c r="AD3556" s="386" t="s">
        <v>11031</v>
      </c>
      <c r="AE3556" s="1088" t="s">
        <v>8588</v>
      </c>
      <c r="AF3556" s="386" t="s">
        <v>11032</v>
      </c>
      <c r="AG3556" s="386"/>
    </row>
    <row r="3557" spans="1:33" ht="15.75" customHeight="1">
      <c r="A3557" s="743">
        <v>42088</v>
      </c>
      <c r="B3557" s="823" t="s">
        <v>10673</v>
      </c>
      <c r="C3557" s="970" t="s">
        <v>11227</v>
      </c>
      <c r="D3557" s="386" t="s">
        <v>11228</v>
      </c>
      <c r="E3557" s="592" t="s">
        <v>4031</v>
      </c>
      <c r="F3557" s="1088">
        <v>2</v>
      </c>
      <c r="G3557" s="752">
        <v>2050.65</v>
      </c>
      <c r="H3557" s="1100">
        <f t="shared" si="224"/>
        <v>4101.3</v>
      </c>
      <c r="I3557" s="263" t="s">
        <v>10831</v>
      </c>
      <c r="J3557" s="267" t="s">
        <v>10721</v>
      </c>
      <c r="K3557" s="811">
        <v>42093</v>
      </c>
      <c r="L3557" s="1477"/>
      <c r="M3557" s="811">
        <v>42090</v>
      </c>
      <c r="N3557" s="267" t="s">
        <v>10778</v>
      </c>
      <c r="O3557" s="386" t="s">
        <v>11229</v>
      </c>
      <c r="Q3557" s="386"/>
      <c r="R3557" s="1088">
        <v>68.355000000000004</v>
      </c>
      <c r="S3557" s="464">
        <f t="shared" si="223"/>
        <v>136.71</v>
      </c>
      <c r="U3557" s="1100">
        <v>3937.5</v>
      </c>
      <c r="V3557" s="386" t="s">
        <v>8443</v>
      </c>
      <c r="W3557" s="386"/>
      <c r="X3557" s="1083">
        <v>42083</v>
      </c>
      <c r="Y3557" s="318" t="s">
        <v>11230</v>
      </c>
      <c r="Z3557" s="585" t="s">
        <v>8588</v>
      </c>
      <c r="AA3557" s="1095">
        <v>42129</v>
      </c>
      <c r="AB3557" s="386" t="s">
        <v>11231</v>
      </c>
      <c r="AD3557" s="386" t="s">
        <v>11031</v>
      </c>
      <c r="AE3557" s="1088" t="s">
        <v>8588</v>
      </c>
      <c r="AF3557" s="386" t="s">
        <v>11032</v>
      </c>
      <c r="AG3557" s="386"/>
    </row>
    <row r="3558" spans="1:33" ht="15.75" customHeight="1">
      <c r="A3558" s="743">
        <v>42090</v>
      </c>
      <c r="B3558" s="823" t="s">
        <v>10673</v>
      </c>
      <c r="C3558" s="970" t="s">
        <v>11232</v>
      </c>
      <c r="D3558" s="386" t="s">
        <v>11233</v>
      </c>
      <c r="E3558" s="592" t="s">
        <v>6404</v>
      </c>
      <c r="F3558" s="1088">
        <v>3</v>
      </c>
      <c r="G3558" s="752">
        <f>3373*1.05</f>
        <v>3541.65</v>
      </c>
      <c r="H3558" s="1100">
        <f t="shared" si="224"/>
        <v>10624.95</v>
      </c>
      <c r="I3558" s="263" t="s">
        <v>10831</v>
      </c>
      <c r="J3558" s="267" t="s">
        <v>10721</v>
      </c>
      <c r="K3558" s="811">
        <v>42095</v>
      </c>
      <c r="L3558" s="1477"/>
      <c r="M3558" s="811">
        <v>42094</v>
      </c>
      <c r="N3558" s="267" t="s">
        <v>10778</v>
      </c>
      <c r="O3558" s="970" t="s">
        <v>11234</v>
      </c>
      <c r="Q3558" s="386"/>
      <c r="R3558" s="1088">
        <f>G3558/30</f>
        <v>118.05500000000001</v>
      </c>
      <c r="S3558" s="464">
        <f t="shared" si="223"/>
        <v>354.16500000000002</v>
      </c>
      <c r="U3558" s="752">
        <f>3239*3*1.05</f>
        <v>10202.85</v>
      </c>
      <c r="V3558" s="386" t="s">
        <v>8443</v>
      </c>
      <c r="W3558" s="386"/>
      <c r="X3558" s="1095">
        <v>42093</v>
      </c>
      <c r="Y3558" s="386" t="s">
        <v>11235</v>
      </c>
      <c r="Z3558" s="824">
        <v>10203</v>
      </c>
      <c r="AA3558" s="1095">
        <v>42129</v>
      </c>
      <c r="AB3558" s="386" t="s">
        <v>11236</v>
      </c>
      <c r="AD3558" s="386"/>
      <c r="AE3558" s="1110">
        <v>10625</v>
      </c>
      <c r="AF3558" s="386" t="s">
        <v>11032</v>
      </c>
      <c r="AG3558" s="386"/>
    </row>
    <row r="3559" spans="1:33" ht="15.75" customHeight="1">
      <c r="A3559" s="743">
        <v>42095</v>
      </c>
      <c r="B3559" s="823" t="s">
        <v>10673</v>
      </c>
      <c r="C3559" s="970" t="s">
        <v>11237</v>
      </c>
      <c r="D3559" s="386" t="s">
        <v>11238</v>
      </c>
      <c r="E3559" s="592" t="s">
        <v>11064</v>
      </c>
      <c r="F3559" s="1088">
        <v>6</v>
      </c>
      <c r="G3559" s="752">
        <v>3636.15</v>
      </c>
      <c r="H3559" s="1100">
        <f t="shared" si="224"/>
        <v>21816.9</v>
      </c>
      <c r="I3559" s="263" t="s">
        <v>10831</v>
      </c>
      <c r="J3559" s="267" t="s">
        <v>10721</v>
      </c>
      <c r="K3559" s="811">
        <v>42101</v>
      </c>
      <c r="L3559" s="1477"/>
      <c r="M3559" s="811">
        <v>42101</v>
      </c>
      <c r="N3559" s="267" t="s">
        <v>10778</v>
      </c>
      <c r="O3559" s="970" t="s">
        <v>11239</v>
      </c>
      <c r="Q3559" s="386"/>
      <c r="R3559" s="1088">
        <v>121.205</v>
      </c>
      <c r="S3559" s="464">
        <f t="shared" si="223"/>
        <v>727.23</v>
      </c>
      <c r="U3559" s="752">
        <v>20941</v>
      </c>
      <c r="V3559" s="386" t="s">
        <v>8443</v>
      </c>
      <c r="W3559" s="386"/>
      <c r="X3559" s="1095">
        <v>42096</v>
      </c>
      <c r="Y3559" s="386" t="s">
        <v>11240</v>
      </c>
      <c r="Z3559" s="824">
        <v>20941</v>
      </c>
      <c r="AA3559" s="1095">
        <v>42129</v>
      </c>
      <c r="AB3559" s="386" t="s">
        <v>11241</v>
      </c>
      <c r="AD3559" s="386"/>
      <c r="AE3559" s="1110">
        <v>21817</v>
      </c>
      <c r="AF3559" s="386" t="s">
        <v>11242</v>
      </c>
      <c r="AG3559" s="386"/>
    </row>
    <row r="3560" spans="1:33" ht="15.75" customHeight="1">
      <c r="A3560" s="743">
        <v>42101</v>
      </c>
      <c r="B3560" s="823" t="s">
        <v>10673</v>
      </c>
      <c r="C3560" s="970" t="s">
        <v>11243</v>
      </c>
      <c r="D3560" s="386" t="s">
        <v>11244</v>
      </c>
      <c r="E3560" s="592" t="s">
        <v>11245</v>
      </c>
      <c r="F3560" s="1088">
        <v>20</v>
      </c>
      <c r="G3560" s="386"/>
      <c r="H3560" s="386"/>
      <c r="I3560" s="263" t="s">
        <v>10831</v>
      </c>
      <c r="J3560" s="267" t="s">
        <v>89</v>
      </c>
      <c r="K3560" s="811">
        <v>42110</v>
      </c>
      <c r="L3560" s="1477"/>
      <c r="M3560" s="386"/>
      <c r="N3560" s="267" t="s">
        <v>89</v>
      </c>
      <c r="O3560" s="263" t="s">
        <v>11246</v>
      </c>
      <c r="Q3560" s="752">
        <v>1134</v>
      </c>
      <c r="R3560" s="1088">
        <f>61*1.05</f>
        <v>64.05</v>
      </c>
      <c r="S3560" s="464">
        <f t="shared" si="223"/>
        <v>1281</v>
      </c>
      <c r="U3560" s="386"/>
      <c r="V3560" s="386" t="s">
        <v>10751</v>
      </c>
      <c r="W3560" s="386"/>
      <c r="X3560" s="1083">
        <v>42109</v>
      </c>
      <c r="Y3560" s="318" t="s">
        <v>11247</v>
      </c>
      <c r="Z3560" s="1086">
        <v>44176</v>
      </c>
      <c r="AA3560" s="386"/>
      <c r="AB3560" s="386" t="s">
        <v>11248</v>
      </c>
      <c r="AD3560" s="386" t="s">
        <v>11249</v>
      </c>
      <c r="AE3560" s="1110">
        <v>49579</v>
      </c>
      <c r="AF3560" s="386" t="s">
        <v>11202</v>
      </c>
      <c r="AG3560" s="386"/>
    </row>
    <row r="3561" spans="1:33" ht="15.75" customHeight="1">
      <c r="A3561" s="743">
        <v>42101</v>
      </c>
      <c r="B3561" s="823" t="s">
        <v>10673</v>
      </c>
      <c r="C3561" s="970" t="s">
        <v>11243</v>
      </c>
      <c r="D3561" s="386" t="s">
        <v>11244</v>
      </c>
      <c r="E3561" s="592" t="s">
        <v>11250</v>
      </c>
      <c r="F3561" s="1088">
        <v>10</v>
      </c>
      <c r="G3561" s="386"/>
      <c r="H3561" s="386"/>
      <c r="I3561" s="263" t="s">
        <v>10831</v>
      </c>
      <c r="J3561" s="267" t="s">
        <v>89</v>
      </c>
      <c r="K3561" s="811">
        <v>42110</v>
      </c>
      <c r="L3561" s="1477"/>
      <c r="M3561" s="386"/>
      <c r="N3561" s="267" t="s">
        <v>89</v>
      </c>
      <c r="O3561" s="263" t="s">
        <v>11246</v>
      </c>
      <c r="Q3561" s="752">
        <v>283.5</v>
      </c>
      <c r="R3561" s="1088">
        <f t="shared" ref="R3561:R3562" si="225">29*1.05</f>
        <v>30.450000000000003</v>
      </c>
      <c r="S3561" s="464">
        <f t="shared" si="223"/>
        <v>304.5</v>
      </c>
      <c r="U3561" s="386"/>
      <c r="V3561" s="386" t="s">
        <v>10751</v>
      </c>
      <c r="W3561" s="386"/>
      <c r="X3561" s="1083">
        <v>42109</v>
      </c>
      <c r="Y3561" s="318" t="s">
        <v>11247</v>
      </c>
      <c r="Z3561" s="1086" t="s">
        <v>8588</v>
      </c>
      <c r="AA3561" s="386"/>
      <c r="AB3561" s="386" t="s">
        <v>11248</v>
      </c>
      <c r="AD3561" s="386" t="s">
        <v>11249</v>
      </c>
      <c r="AE3561" s="1088" t="s">
        <v>8588</v>
      </c>
      <c r="AF3561" s="386" t="s">
        <v>11202</v>
      </c>
      <c r="AG3561" s="386"/>
    </row>
    <row r="3562" spans="1:33" ht="15.75" customHeight="1">
      <c r="A3562" s="743">
        <v>42102</v>
      </c>
      <c r="B3562" s="823" t="s">
        <v>10673</v>
      </c>
      <c r="C3562" s="970" t="s">
        <v>11251</v>
      </c>
      <c r="D3562" s="386" t="s">
        <v>11252</v>
      </c>
      <c r="E3562" s="592" t="s">
        <v>11250</v>
      </c>
      <c r="F3562" s="1088">
        <v>10</v>
      </c>
      <c r="G3562" s="386"/>
      <c r="H3562" s="386"/>
      <c r="I3562" s="263" t="s">
        <v>10831</v>
      </c>
      <c r="J3562" s="267" t="s">
        <v>89</v>
      </c>
      <c r="K3562" s="811">
        <v>42110</v>
      </c>
      <c r="L3562" s="1477"/>
      <c r="M3562" s="386"/>
      <c r="N3562" s="267" t="s">
        <v>89</v>
      </c>
      <c r="O3562" s="263" t="s">
        <v>11253</v>
      </c>
      <c r="Q3562" s="752">
        <v>283.5</v>
      </c>
      <c r="R3562" s="1088">
        <f t="shared" si="225"/>
        <v>30.450000000000003</v>
      </c>
      <c r="S3562" s="464">
        <f t="shared" si="223"/>
        <v>304.5</v>
      </c>
      <c r="U3562" s="386"/>
      <c r="V3562" s="386" t="s">
        <v>10751</v>
      </c>
      <c r="W3562" s="386"/>
      <c r="X3562" s="1083">
        <v>42109</v>
      </c>
      <c r="Y3562" s="318" t="s">
        <v>11254</v>
      </c>
      <c r="Z3562" s="1086">
        <v>8835</v>
      </c>
      <c r="AA3562" s="386"/>
      <c r="AB3562" s="386" t="s">
        <v>11255</v>
      </c>
      <c r="AD3562" s="386" t="s">
        <v>11249</v>
      </c>
      <c r="AE3562" s="1110">
        <v>9521</v>
      </c>
      <c r="AF3562" s="386" t="s">
        <v>11202</v>
      </c>
      <c r="AG3562" s="386"/>
    </row>
    <row r="3563" spans="1:33" ht="15.75" customHeight="1">
      <c r="A3563" s="743">
        <v>42103</v>
      </c>
      <c r="B3563" s="823" t="s">
        <v>10673</v>
      </c>
      <c r="C3563" s="970" t="s">
        <v>11256</v>
      </c>
      <c r="D3563" s="386" t="s">
        <v>11257</v>
      </c>
      <c r="E3563" s="592" t="s">
        <v>6863</v>
      </c>
      <c r="F3563" s="1088">
        <v>10</v>
      </c>
      <c r="G3563" s="386"/>
      <c r="H3563" s="386"/>
      <c r="I3563" s="263" t="s">
        <v>10831</v>
      </c>
      <c r="J3563" s="267" t="s">
        <v>89</v>
      </c>
      <c r="K3563" s="811">
        <v>42114</v>
      </c>
      <c r="L3563" s="1477"/>
      <c r="M3563" s="386"/>
      <c r="N3563" s="267" t="s">
        <v>89</v>
      </c>
      <c r="O3563" s="263" t="s">
        <v>11258</v>
      </c>
      <c r="Q3563" s="752">
        <v>1344</v>
      </c>
      <c r="R3563" s="1088">
        <v>142.80000000000001</v>
      </c>
      <c r="S3563" s="464">
        <f t="shared" si="223"/>
        <v>1428</v>
      </c>
      <c r="U3563" s="386"/>
      <c r="V3563" s="386" t="s">
        <v>10751</v>
      </c>
      <c r="W3563" s="386"/>
      <c r="X3563" s="1083">
        <v>42111</v>
      </c>
      <c r="Y3563" s="318" t="s">
        <v>11259</v>
      </c>
      <c r="Z3563" s="1086">
        <v>42867</v>
      </c>
      <c r="AA3563" s="386"/>
      <c r="AB3563" s="386" t="s">
        <v>11260</v>
      </c>
      <c r="AD3563" s="386" t="s">
        <v>11261</v>
      </c>
      <c r="AE3563" s="1110">
        <v>45245</v>
      </c>
      <c r="AF3563" s="386" t="s">
        <v>11202</v>
      </c>
      <c r="AG3563" s="386"/>
    </row>
    <row r="3564" spans="1:33" ht="15.75" customHeight="1">
      <c r="A3564" s="743">
        <v>42103</v>
      </c>
      <c r="B3564" s="823" t="s">
        <v>10673</v>
      </c>
      <c r="C3564" s="970" t="s">
        <v>11256</v>
      </c>
      <c r="D3564" s="386" t="s">
        <v>11257</v>
      </c>
      <c r="E3564" s="592" t="s">
        <v>4644</v>
      </c>
      <c r="F3564" s="1088">
        <v>10</v>
      </c>
      <c r="G3564" s="386"/>
      <c r="H3564" s="386"/>
      <c r="I3564" s="263" t="s">
        <v>10831</v>
      </c>
      <c r="J3564" s="267" t="s">
        <v>89</v>
      </c>
      <c r="K3564" s="811">
        <v>42114</v>
      </c>
      <c r="L3564" s="1477"/>
      <c r="M3564" s="386"/>
      <c r="N3564" s="267" t="s">
        <v>89</v>
      </c>
      <c r="O3564" s="263" t="s">
        <v>11258</v>
      </c>
      <c r="Q3564" s="752">
        <v>31.5</v>
      </c>
      <c r="R3564" s="1088">
        <v>3.15</v>
      </c>
      <c r="S3564" s="464">
        <f t="shared" si="223"/>
        <v>31.5</v>
      </c>
      <c r="U3564" s="386"/>
      <c r="V3564" s="386" t="s">
        <v>10751</v>
      </c>
      <c r="W3564" s="386"/>
      <c r="X3564" s="1083">
        <v>42111</v>
      </c>
      <c r="Y3564" s="318" t="s">
        <v>11259</v>
      </c>
      <c r="Z3564" s="254" t="s">
        <v>8588</v>
      </c>
      <c r="AA3564" s="386"/>
      <c r="AB3564" s="386" t="s">
        <v>11260</v>
      </c>
      <c r="AD3564" s="386" t="s">
        <v>11261</v>
      </c>
      <c r="AE3564" s="1088" t="s">
        <v>8588</v>
      </c>
      <c r="AF3564" s="386" t="s">
        <v>11202</v>
      </c>
      <c r="AG3564" s="386"/>
    </row>
    <row r="3565" spans="1:33" ht="15.75" customHeight="1">
      <c r="A3565" s="743">
        <v>42109</v>
      </c>
      <c r="B3565" s="823" t="s">
        <v>10673</v>
      </c>
      <c r="C3565" s="970" t="s">
        <v>11262</v>
      </c>
      <c r="D3565" s="386" t="s">
        <v>11263</v>
      </c>
      <c r="E3565" s="592" t="s">
        <v>7376</v>
      </c>
      <c r="F3565" s="1088">
        <v>10</v>
      </c>
      <c r="G3565" s="752">
        <v>3541.65</v>
      </c>
      <c r="H3565" s="1100">
        <f>F3565*G3565</f>
        <v>35416.5</v>
      </c>
      <c r="I3565" s="263" t="s">
        <v>10831</v>
      </c>
      <c r="J3565" s="267" t="s">
        <v>10721</v>
      </c>
      <c r="K3565" s="811">
        <v>42115</v>
      </c>
      <c r="L3565" s="1477"/>
      <c r="M3565" s="811">
        <v>42111</v>
      </c>
      <c r="N3565" s="267" t="s">
        <v>10778</v>
      </c>
      <c r="O3565" s="970" t="s">
        <v>11264</v>
      </c>
      <c r="Q3565" s="386"/>
      <c r="R3565" s="1088">
        <v>113.5</v>
      </c>
      <c r="S3565" s="464">
        <f t="shared" si="223"/>
        <v>1135</v>
      </c>
      <c r="U3565" s="752">
        <v>34010</v>
      </c>
      <c r="V3565" s="386" t="s">
        <v>8443</v>
      </c>
      <c r="W3565" s="386"/>
      <c r="X3565" s="1095">
        <v>42110</v>
      </c>
      <c r="Y3565" s="386" t="s">
        <v>11265</v>
      </c>
      <c r="Z3565" s="824">
        <v>34010</v>
      </c>
      <c r="AA3565" s="1095">
        <v>42129</v>
      </c>
      <c r="AB3565" s="386" t="s">
        <v>11266</v>
      </c>
      <c r="AD3565" s="386"/>
      <c r="AE3565" s="1110">
        <v>46041</v>
      </c>
      <c r="AF3565" s="386" t="s">
        <v>11202</v>
      </c>
      <c r="AG3565" s="386"/>
    </row>
    <row r="3566" spans="1:33" ht="15.75" customHeight="1">
      <c r="A3566" s="743">
        <v>42109</v>
      </c>
      <c r="B3566" s="823" t="s">
        <v>10673</v>
      </c>
      <c r="C3566" s="970" t="s">
        <v>11267</v>
      </c>
      <c r="D3566" s="386" t="s">
        <v>11268</v>
      </c>
      <c r="E3566" s="592" t="s">
        <v>6404</v>
      </c>
      <c r="F3566" s="1088">
        <v>3</v>
      </c>
      <c r="G3566" s="752">
        <v>3541.65</v>
      </c>
      <c r="H3566" s="1100">
        <f>F3566*G3566</f>
        <v>10624.95</v>
      </c>
      <c r="I3566" s="263" t="s">
        <v>10831</v>
      </c>
      <c r="J3566" s="267" t="s">
        <v>10721</v>
      </c>
      <c r="K3566" s="811">
        <v>42115</v>
      </c>
      <c r="L3566" s="1477"/>
      <c r="M3566" s="811">
        <v>42111</v>
      </c>
      <c r="N3566" s="267" t="s">
        <v>10778</v>
      </c>
      <c r="O3566" s="970" t="s">
        <v>11269</v>
      </c>
      <c r="Q3566" s="386"/>
      <c r="R3566" s="1088">
        <v>113.5</v>
      </c>
      <c r="S3566" s="464">
        <f t="shared" si="223"/>
        <v>340.5</v>
      </c>
      <c r="U3566" s="752">
        <v>10203</v>
      </c>
      <c r="V3566" s="386" t="s">
        <v>8443</v>
      </c>
      <c r="W3566" s="386"/>
      <c r="X3566" s="1095">
        <v>42111</v>
      </c>
      <c r="Y3566" s="386" t="s">
        <v>11270</v>
      </c>
      <c r="Z3566" s="824">
        <v>10203</v>
      </c>
      <c r="AA3566" s="1095">
        <v>42129</v>
      </c>
      <c r="AB3566" s="386" t="s">
        <v>11266</v>
      </c>
      <c r="AD3566" s="386"/>
      <c r="AE3566" s="1088" t="s">
        <v>8588</v>
      </c>
      <c r="AF3566" s="386" t="s">
        <v>11202</v>
      </c>
      <c r="AG3566" s="386"/>
    </row>
    <row r="3567" spans="1:33" ht="15.75" customHeight="1">
      <c r="A3567" s="743">
        <v>42109</v>
      </c>
      <c r="B3567" s="823" t="s">
        <v>10673</v>
      </c>
      <c r="C3567" s="970" t="s">
        <v>11267</v>
      </c>
      <c r="D3567" s="386" t="s">
        <v>11271</v>
      </c>
      <c r="E3567" s="592" t="s">
        <v>11272</v>
      </c>
      <c r="F3567" s="1088">
        <v>4</v>
      </c>
      <c r="G3567" s="1088">
        <v>3116.4</v>
      </c>
      <c r="H3567" s="1100">
        <f>F3567*G3567</f>
        <v>12465.6</v>
      </c>
      <c r="I3567" s="263" t="s">
        <v>10831</v>
      </c>
      <c r="J3567" s="267" t="s">
        <v>10721</v>
      </c>
      <c r="K3567" s="811">
        <v>42129</v>
      </c>
      <c r="L3567" s="1477"/>
      <c r="M3567" s="811">
        <v>42124</v>
      </c>
      <c r="N3567" s="267" t="s">
        <v>10778</v>
      </c>
      <c r="O3567" s="970" t="s">
        <v>11273</v>
      </c>
      <c r="Q3567" s="386"/>
      <c r="R3567" s="1088">
        <v>99.885000000000005</v>
      </c>
      <c r="S3567" s="464">
        <f t="shared" si="223"/>
        <v>399.54</v>
      </c>
      <c r="U3567" s="752">
        <v>11966</v>
      </c>
      <c r="V3567" s="386" t="s">
        <v>8443</v>
      </c>
      <c r="W3567" s="386"/>
      <c r="X3567" s="1095">
        <v>42124</v>
      </c>
      <c r="Y3567" s="386" t="s">
        <v>11274</v>
      </c>
      <c r="Z3567" s="1086">
        <v>11966</v>
      </c>
      <c r="AA3567" s="1095">
        <v>42159</v>
      </c>
      <c r="AB3567" s="386" t="s">
        <v>11275</v>
      </c>
      <c r="AD3567" s="386"/>
      <c r="AE3567" s="1110">
        <v>12466</v>
      </c>
      <c r="AF3567" s="386" t="s">
        <v>11276</v>
      </c>
      <c r="AG3567" s="386"/>
    </row>
    <row r="3568" spans="1:33" ht="15.75" customHeight="1">
      <c r="A3568" s="743">
        <v>42110</v>
      </c>
      <c r="B3568" s="823" t="s">
        <v>10673</v>
      </c>
      <c r="C3568" s="970" t="s">
        <v>11277</v>
      </c>
      <c r="D3568" s="386" t="s">
        <v>11278</v>
      </c>
      <c r="E3568" s="592" t="s">
        <v>11279</v>
      </c>
      <c r="F3568" s="1088">
        <v>10</v>
      </c>
      <c r="G3568" s="386"/>
      <c r="H3568" s="386"/>
      <c r="I3568" s="263" t="s">
        <v>10831</v>
      </c>
      <c r="J3568" s="592"/>
      <c r="K3568" s="811">
        <v>42121</v>
      </c>
      <c r="L3568" s="1477"/>
      <c r="M3568" s="386"/>
      <c r="N3568" s="267" t="s">
        <v>89</v>
      </c>
      <c r="O3568" s="263" t="s">
        <v>11280</v>
      </c>
      <c r="Q3568" s="752">
        <v>1344</v>
      </c>
      <c r="R3568" s="1088">
        <v>142.80000000000001</v>
      </c>
      <c r="S3568" s="464">
        <f t="shared" si="223"/>
        <v>1428</v>
      </c>
      <c r="U3568" s="386"/>
      <c r="V3568" s="386" t="s">
        <v>10751</v>
      </c>
      <c r="W3568" s="1090"/>
      <c r="X3568" s="1095">
        <v>42117</v>
      </c>
      <c r="Y3568" s="386" t="s">
        <v>11281</v>
      </c>
      <c r="Z3568" s="824">
        <v>42895</v>
      </c>
      <c r="AA3568" s="1095">
        <v>42129</v>
      </c>
      <c r="AB3568" s="386" t="s">
        <v>11282</v>
      </c>
      <c r="AD3568" s="386" t="s">
        <v>11283</v>
      </c>
      <c r="AE3568" s="1110">
        <v>45026</v>
      </c>
      <c r="AF3568" s="386" t="s">
        <v>11284</v>
      </c>
      <c r="AG3568" s="386"/>
    </row>
    <row r="3569" spans="1:33" ht="15.75" customHeight="1">
      <c r="A3569" s="743">
        <v>42110</v>
      </c>
      <c r="B3569" s="823" t="s">
        <v>10673</v>
      </c>
      <c r="C3569" s="970" t="s">
        <v>11277</v>
      </c>
      <c r="D3569" s="386" t="s">
        <v>11278</v>
      </c>
      <c r="E3569" s="592" t="s">
        <v>4644</v>
      </c>
      <c r="F3569" s="1088">
        <v>10</v>
      </c>
      <c r="G3569" s="386"/>
      <c r="H3569" s="386"/>
      <c r="I3569" s="263" t="s">
        <v>10831</v>
      </c>
      <c r="J3569" s="592"/>
      <c r="K3569" s="811">
        <v>42121</v>
      </c>
      <c r="L3569" s="1477"/>
      <c r="M3569" s="386"/>
      <c r="N3569" s="267" t="s">
        <v>89</v>
      </c>
      <c r="O3569" s="263" t="s">
        <v>11280</v>
      </c>
      <c r="Q3569" s="752">
        <v>31.5</v>
      </c>
      <c r="R3569" s="1088">
        <v>3.15</v>
      </c>
      <c r="S3569" s="464">
        <f t="shared" si="223"/>
        <v>31.5</v>
      </c>
      <c r="U3569" s="386"/>
      <c r="V3569" s="386" t="s">
        <v>10751</v>
      </c>
      <c r="W3569" s="1090"/>
      <c r="X3569" s="1095">
        <v>42117</v>
      </c>
      <c r="Y3569" s="386" t="s">
        <v>11281</v>
      </c>
      <c r="Z3569" s="585" t="s">
        <v>8588</v>
      </c>
      <c r="AA3569" s="1095">
        <v>42129</v>
      </c>
      <c r="AB3569" s="386" t="s">
        <v>11282</v>
      </c>
      <c r="AD3569" s="386" t="s">
        <v>11283</v>
      </c>
      <c r="AE3569" s="1088" t="s">
        <v>8588</v>
      </c>
      <c r="AF3569" s="386" t="s">
        <v>11284</v>
      </c>
      <c r="AG3569" s="386"/>
    </row>
    <row r="3570" spans="1:33" ht="15.75" customHeight="1">
      <c r="A3570" s="743">
        <v>42111</v>
      </c>
      <c r="B3570" s="823" t="s">
        <v>10673</v>
      </c>
      <c r="C3570" s="970" t="s">
        <v>11285</v>
      </c>
      <c r="D3570" s="386" t="s">
        <v>11286</v>
      </c>
      <c r="E3570" s="592" t="s">
        <v>11090</v>
      </c>
      <c r="F3570" s="1088">
        <v>40</v>
      </c>
      <c r="G3570" s="386"/>
      <c r="H3570" s="386"/>
      <c r="I3570" s="263" t="s">
        <v>10831</v>
      </c>
      <c r="J3570" s="592"/>
      <c r="K3570" s="811">
        <v>42121</v>
      </c>
      <c r="L3570" s="1477"/>
      <c r="M3570" s="386"/>
      <c r="N3570" s="267" t="s">
        <v>89</v>
      </c>
      <c r="O3570" s="263" t="s">
        <v>11287</v>
      </c>
      <c r="Q3570" s="752">
        <v>2268</v>
      </c>
      <c r="R3570" s="1088">
        <v>64.05</v>
      </c>
      <c r="S3570" s="464">
        <f t="shared" si="223"/>
        <v>2562</v>
      </c>
      <c r="U3570" s="386"/>
      <c r="V3570" s="386" t="s">
        <v>10751</v>
      </c>
      <c r="W3570" s="1090"/>
      <c r="X3570" s="1095">
        <v>42117</v>
      </c>
      <c r="Y3570" s="386" t="s">
        <v>11288</v>
      </c>
      <c r="Z3570" s="824">
        <v>70728</v>
      </c>
      <c r="AA3570" s="1095">
        <v>42129</v>
      </c>
      <c r="AB3570" s="386" t="s">
        <v>11289</v>
      </c>
      <c r="AD3570" s="386" t="s">
        <v>11283</v>
      </c>
      <c r="AE3570" s="1110">
        <v>79038</v>
      </c>
      <c r="AF3570" s="386" t="s">
        <v>11284</v>
      </c>
      <c r="AG3570" s="386"/>
    </row>
    <row r="3571" spans="1:33" ht="15.75" customHeight="1">
      <c r="A3571" s="743">
        <v>42114</v>
      </c>
      <c r="B3571" s="823" t="s">
        <v>10673</v>
      </c>
      <c r="C3571" s="970" t="s">
        <v>11290</v>
      </c>
      <c r="D3571" s="386" t="s">
        <v>11291</v>
      </c>
      <c r="E3571" s="592" t="s">
        <v>11008</v>
      </c>
      <c r="F3571" s="1088">
        <v>1</v>
      </c>
      <c r="G3571" s="1088">
        <f>2968*1.05</f>
        <v>3116.4</v>
      </c>
      <c r="H3571" s="1100">
        <f>F3571*G3571</f>
        <v>3116.4</v>
      </c>
      <c r="I3571" s="263" t="s">
        <v>10831</v>
      </c>
      <c r="J3571" s="592"/>
      <c r="K3571" s="811">
        <v>42121</v>
      </c>
      <c r="L3571" s="1477"/>
      <c r="M3571" s="1099">
        <v>42117</v>
      </c>
      <c r="N3571" s="267" t="s">
        <v>10778</v>
      </c>
      <c r="O3571" s="970" t="s">
        <v>11292</v>
      </c>
      <c r="Q3571" s="386"/>
      <c r="R3571" s="1088">
        <v>99.88</v>
      </c>
      <c r="S3571" s="464">
        <f t="shared" si="223"/>
        <v>99.88</v>
      </c>
      <c r="U3571" s="752">
        <v>2991</v>
      </c>
      <c r="V3571" s="386" t="s">
        <v>8443</v>
      </c>
      <c r="W3571" s="386"/>
      <c r="X3571" s="1095">
        <v>42116</v>
      </c>
      <c r="Y3571" s="386" t="s">
        <v>11293</v>
      </c>
      <c r="Z3571" s="824">
        <v>2991</v>
      </c>
      <c r="AA3571" s="1095">
        <v>42129</v>
      </c>
      <c r="AB3571" s="386" t="s">
        <v>11294</v>
      </c>
      <c r="AD3571" s="386"/>
      <c r="AE3571" s="1110">
        <v>3116</v>
      </c>
      <c r="AF3571" s="386" t="s">
        <v>11284</v>
      </c>
      <c r="AG3571" s="386"/>
    </row>
    <row r="3572" spans="1:33" ht="15.75" customHeight="1">
      <c r="A3572" s="743">
        <v>42116</v>
      </c>
      <c r="B3572" s="823" t="s">
        <v>10673</v>
      </c>
      <c r="C3572" s="970" t="s">
        <v>11295</v>
      </c>
      <c r="D3572" s="386" t="s">
        <v>11296</v>
      </c>
      <c r="E3572" s="592" t="s">
        <v>11297</v>
      </c>
      <c r="F3572" s="1088">
        <v>1</v>
      </c>
      <c r="G3572" s="1088">
        <v>5502</v>
      </c>
      <c r="H3572" s="1100">
        <f>F3572*G3572</f>
        <v>5502</v>
      </c>
      <c r="I3572" s="263" t="s">
        <v>10831</v>
      </c>
      <c r="J3572" s="267" t="s">
        <v>10721</v>
      </c>
      <c r="K3572" s="811">
        <v>42121</v>
      </c>
      <c r="L3572" s="1477"/>
      <c r="M3572" s="811">
        <v>42121</v>
      </c>
      <c r="N3572" s="267" t="s">
        <v>10778</v>
      </c>
      <c r="O3572" s="970" t="s">
        <v>11298</v>
      </c>
      <c r="Q3572" s="386"/>
      <c r="R3572" s="323">
        <v>176.34615384615401</v>
      </c>
      <c r="S3572" s="464">
        <f t="shared" si="223"/>
        <v>176.34615384615401</v>
      </c>
      <c r="U3572" s="1196">
        <v>5282</v>
      </c>
      <c r="V3572" s="386" t="s">
        <v>8443</v>
      </c>
      <c r="W3572" s="386"/>
      <c r="X3572" s="1083">
        <v>42124</v>
      </c>
      <c r="Y3572" s="263" t="s">
        <v>11299</v>
      </c>
      <c r="Z3572" s="1086">
        <v>26097</v>
      </c>
      <c r="AA3572" s="1095">
        <v>42159</v>
      </c>
      <c r="AB3572" s="386" t="s">
        <v>11300</v>
      </c>
      <c r="AD3572" s="386"/>
      <c r="AE3572" s="1110">
        <v>27180</v>
      </c>
      <c r="AF3572" s="1097" t="s">
        <v>11284</v>
      </c>
      <c r="AG3572" s="386"/>
    </row>
    <row r="3573" spans="1:33" ht="15.75" customHeight="1">
      <c r="A3573" s="743">
        <v>42116</v>
      </c>
      <c r="B3573" s="823" t="s">
        <v>10673</v>
      </c>
      <c r="C3573" s="970" t="s">
        <v>11295</v>
      </c>
      <c r="D3573" s="386" t="s">
        <v>11296</v>
      </c>
      <c r="E3573" s="592" t="s">
        <v>11301</v>
      </c>
      <c r="F3573" s="1088">
        <v>1</v>
      </c>
      <c r="G3573" s="1088">
        <v>4567.5</v>
      </c>
      <c r="H3573" s="1100">
        <f>F3573*G3573</f>
        <v>4567.5</v>
      </c>
      <c r="I3573" s="263" t="s">
        <v>10831</v>
      </c>
      <c r="J3573" s="267" t="s">
        <v>10721</v>
      </c>
      <c r="K3573" s="811">
        <v>42121</v>
      </c>
      <c r="L3573" s="1477"/>
      <c r="M3573" s="811">
        <v>42121</v>
      </c>
      <c r="N3573" s="267" t="s">
        <v>10778</v>
      </c>
      <c r="O3573" s="970" t="s">
        <v>11298</v>
      </c>
      <c r="Q3573" s="386"/>
      <c r="R3573" s="323">
        <v>146.394230769231</v>
      </c>
      <c r="S3573" s="464">
        <f t="shared" si="223"/>
        <v>146.394230769231</v>
      </c>
      <c r="U3573" s="1196">
        <v>4385</v>
      </c>
      <c r="V3573" s="386" t="s">
        <v>8443</v>
      </c>
      <c r="W3573" s="386"/>
      <c r="X3573" s="1083">
        <v>42124</v>
      </c>
      <c r="Y3573" s="263" t="s">
        <v>11299</v>
      </c>
      <c r="Z3573" s="1086" t="s">
        <v>8588</v>
      </c>
      <c r="AA3573" s="1095">
        <v>42159</v>
      </c>
      <c r="AB3573" s="386" t="s">
        <v>11300</v>
      </c>
      <c r="AD3573" s="386"/>
      <c r="AE3573" s="1110" t="s">
        <v>8588</v>
      </c>
      <c r="AF3573" s="1097" t="s">
        <v>11284</v>
      </c>
      <c r="AG3573" s="386"/>
    </row>
    <row r="3574" spans="1:33" ht="15.75" customHeight="1">
      <c r="A3574" s="743">
        <v>42116</v>
      </c>
      <c r="B3574" s="823" t="s">
        <v>10673</v>
      </c>
      <c r="C3574" s="970" t="s">
        <v>11295</v>
      </c>
      <c r="D3574" s="386" t="s">
        <v>11296</v>
      </c>
      <c r="E3574" s="592" t="s">
        <v>11302</v>
      </c>
      <c r="F3574" s="1088">
        <v>4</v>
      </c>
      <c r="G3574" s="1088">
        <v>2237.5500000000002</v>
      </c>
      <c r="H3574" s="1100">
        <f>F3574*G3574</f>
        <v>8950.2000000000007</v>
      </c>
      <c r="I3574" s="263" t="s">
        <v>10831</v>
      </c>
      <c r="J3574" s="267" t="s">
        <v>10721</v>
      </c>
      <c r="K3574" s="811">
        <v>42121</v>
      </c>
      <c r="L3574" s="1477"/>
      <c r="M3574" s="811">
        <v>42121</v>
      </c>
      <c r="N3574" s="267" t="s">
        <v>10778</v>
      </c>
      <c r="O3574" s="970" t="s">
        <v>11298</v>
      </c>
      <c r="Q3574" s="386"/>
      <c r="R3574" s="323">
        <v>71.716346153846203</v>
      </c>
      <c r="S3574" s="464">
        <f t="shared" si="223"/>
        <v>286.86538461538481</v>
      </c>
      <c r="U3574" s="1196">
        <v>8593</v>
      </c>
      <c r="V3574" s="386" t="s">
        <v>8443</v>
      </c>
      <c r="W3574" s="386"/>
      <c r="X3574" s="1083">
        <v>42124</v>
      </c>
      <c r="Y3574" s="263" t="s">
        <v>11299</v>
      </c>
      <c r="Z3574" s="1086" t="s">
        <v>8588</v>
      </c>
      <c r="AA3574" s="1095">
        <v>42159</v>
      </c>
      <c r="AB3574" s="386" t="s">
        <v>11300</v>
      </c>
      <c r="AD3574" s="386"/>
      <c r="AE3574" s="1110" t="s">
        <v>8588</v>
      </c>
      <c r="AF3574" s="1097" t="s">
        <v>11284</v>
      </c>
      <c r="AG3574" s="386"/>
    </row>
    <row r="3575" spans="1:33" ht="15.75" customHeight="1">
      <c r="A3575" s="743">
        <v>42116</v>
      </c>
      <c r="B3575" s="823" t="s">
        <v>10673</v>
      </c>
      <c r="C3575" s="970" t="s">
        <v>11295</v>
      </c>
      <c r="D3575" s="386" t="s">
        <v>11296</v>
      </c>
      <c r="E3575" s="592" t="s">
        <v>9854</v>
      </c>
      <c r="F3575" s="1088">
        <v>2</v>
      </c>
      <c r="G3575" s="1088">
        <v>4080.3</v>
      </c>
      <c r="H3575" s="1100">
        <f>F3575*G3575</f>
        <v>8160.6</v>
      </c>
      <c r="I3575" s="263" t="s">
        <v>10831</v>
      </c>
      <c r="J3575" s="267" t="s">
        <v>10721</v>
      </c>
      <c r="K3575" s="811">
        <v>42121</v>
      </c>
      <c r="L3575" s="1477"/>
      <c r="M3575" s="811">
        <v>42121</v>
      </c>
      <c r="N3575" s="267" t="s">
        <v>10778</v>
      </c>
      <c r="O3575" s="970" t="s">
        <v>11298</v>
      </c>
      <c r="Q3575" s="386"/>
      <c r="R3575" s="323">
        <v>130.77884615384599</v>
      </c>
      <c r="S3575" s="464">
        <f t="shared" si="223"/>
        <v>261.55769230769198</v>
      </c>
      <c r="U3575" s="1196">
        <v>7837</v>
      </c>
      <c r="V3575" s="386" t="s">
        <v>8443</v>
      </c>
      <c r="W3575" s="386"/>
      <c r="X3575" s="1083">
        <v>42124</v>
      </c>
      <c r="Y3575" s="263" t="s">
        <v>11299</v>
      </c>
      <c r="Z3575" s="1086" t="s">
        <v>8588</v>
      </c>
      <c r="AA3575" s="1095">
        <v>42159</v>
      </c>
      <c r="AB3575" s="386" t="s">
        <v>11300</v>
      </c>
      <c r="AD3575" s="386"/>
      <c r="AE3575" s="1110" t="s">
        <v>8588</v>
      </c>
      <c r="AF3575" s="1097" t="s">
        <v>11284</v>
      </c>
      <c r="AG3575" s="386"/>
    </row>
    <row r="3576" spans="1:33" ht="15.75" customHeight="1">
      <c r="A3576" s="743">
        <v>42117</v>
      </c>
      <c r="B3576" s="823" t="s">
        <v>10673</v>
      </c>
      <c r="C3576" s="970" t="s">
        <v>11303</v>
      </c>
      <c r="D3576" s="386" t="s">
        <v>11304</v>
      </c>
      <c r="E3576" s="592" t="s">
        <v>11305</v>
      </c>
      <c r="F3576" s="1088">
        <v>20</v>
      </c>
      <c r="G3576" s="386"/>
      <c r="H3576" s="386"/>
      <c r="I3576" s="263" t="s">
        <v>10831</v>
      </c>
      <c r="J3576" s="267" t="s">
        <v>89</v>
      </c>
      <c r="K3576" s="811">
        <v>42124</v>
      </c>
      <c r="L3576" s="1477"/>
      <c r="M3576" s="386"/>
      <c r="N3576" s="267" t="s">
        <v>89</v>
      </c>
      <c r="O3576" s="263" t="s">
        <v>11306</v>
      </c>
      <c r="Q3576" s="752">
        <v>1365</v>
      </c>
      <c r="R3576" s="1088">
        <v>76.650000000000006</v>
      </c>
      <c r="S3576" s="464">
        <f t="shared" si="223"/>
        <v>1533</v>
      </c>
      <c r="U3576" s="386"/>
      <c r="V3576" s="386" t="s">
        <v>10751</v>
      </c>
      <c r="W3576" s="1090"/>
      <c r="X3576" s="1083">
        <v>42123</v>
      </c>
      <c r="Y3576" s="263" t="s">
        <v>11307</v>
      </c>
      <c r="Z3576" s="1086">
        <v>42568</v>
      </c>
      <c r="AA3576" s="1095">
        <v>42129</v>
      </c>
      <c r="AB3576" s="386" t="s">
        <v>11308</v>
      </c>
      <c r="AD3576" s="386" t="s">
        <v>11309</v>
      </c>
      <c r="AE3576" s="1110">
        <v>58388</v>
      </c>
      <c r="AF3576" s="1097" t="s">
        <v>11310</v>
      </c>
      <c r="AG3576" s="386"/>
    </row>
    <row r="3577" spans="1:33" ht="15.75" customHeight="1">
      <c r="A3577" s="743">
        <v>42117</v>
      </c>
      <c r="B3577" s="823" t="s">
        <v>10673</v>
      </c>
      <c r="C3577" s="970" t="s">
        <v>11311</v>
      </c>
      <c r="D3577" s="386" t="s">
        <v>11312</v>
      </c>
      <c r="E3577" s="592" t="s">
        <v>11305</v>
      </c>
      <c r="F3577" s="1088">
        <v>5</v>
      </c>
      <c r="G3577" s="386"/>
      <c r="H3577" s="386"/>
      <c r="I3577" s="263" t="s">
        <v>10831</v>
      </c>
      <c r="J3577" s="267" t="s">
        <v>89</v>
      </c>
      <c r="K3577" s="811">
        <v>42124</v>
      </c>
      <c r="L3577" s="1477"/>
      <c r="M3577" s="386"/>
      <c r="N3577" s="267" t="s">
        <v>89</v>
      </c>
      <c r="O3577" s="263" t="s">
        <v>11313</v>
      </c>
      <c r="Q3577" s="752">
        <v>341.25</v>
      </c>
      <c r="R3577" s="1088">
        <v>76.650000000000006</v>
      </c>
      <c r="S3577" s="464">
        <f t="shared" si="223"/>
        <v>383.25</v>
      </c>
      <c r="U3577" s="386"/>
      <c r="V3577" s="386" t="s">
        <v>10751</v>
      </c>
      <c r="W3577" s="386"/>
      <c r="X3577" s="1083">
        <v>42123</v>
      </c>
      <c r="Y3577" s="263" t="s">
        <v>11314</v>
      </c>
      <c r="Z3577" s="1086">
        <v>10642</v>
      </c>
      <c r="AA3577" s="386"/>
      <c r="AB3577" s="386" t="s">
        <v>11308</v>
      </c>
      <c r="AD3577" s="386" t="s">
        <v>11309</v>
      </c>
      <c r="AE3577" s="1110" t="s">
        <v>8588</v>
      </c>
      <c r="AF3577" s="1097" t="s">
        <v>11310</v>
      </c>
      <c r="AG3577" s="386"/>
    </row>
    <row r="3578" spans="1:33" ht="15.75" customHeight="1">
      <c r="A3578" s="743">
        <v>42122</v>
      </c>
      <c r="B3578" s="823" t="s">
        <v>10673</v>
      </c>
      <c r="C3578" s="970" t="s">
        <v>11315</v>
      </c>
      <c r="D3578" s="386" t="s">
        <v>11316</v>
      </c>
      <c r="E3578" s="592" t="s">
        <v>11317</v>
      </c>
      <c r="F3578" s="1088">
        <v>10</v>
      </c>
      <c r="G3578" s="752">
        <v>5432.7</v>
      </c>
      <c r="H3578" s="1100">
        <f>F3578*G3578</f>
        <v>54327</v>
      </c>
      <c r="I3578" s="263" t="s">
        <v>10831</v>
      </c>
      <c r="J3578" s="267" t="s">
        <v>10721</v>
      </c>
      <c r="K3578" s="811">
        <v>42143</v>
      </c>
      <c r="L3578" s="1477"/>
      <c r="M3578" s="811">
        <v>42142</v>
      </c>
      <c r="N3578" s="267" t="s">
        <v>10778</v>
      </c>
      <c r="O3578" s="970" t="s">
        <v>11318</v>
      </c>
      <c r="Q3578" s="386"/>
      <c r="R3578" s="752">
        <f>174.125</f>
        <v>174.125</v>
      </c>
      <c r="S3578" s="464">
        <f t="shared" si="223"/>
        <v>1741.25</v>
      </c>
      <c r="U3578" s="752">
        <v>52154</v>
      </c>
      <c r="V3578" s="386" t="s">
        <v>8443</v>
      </c>
      <c r="W3578" s="386"/>
      <c r="X3578" s="1095">
        <v>42140</v>
      </c>
      <c r="Y3578" s="386" t="s">
        <v>11319</v>
      </c>
      <c r="Z3578" s="824">
        <v>52154</v>
      </c>
      <c r="AA3578" s="1095">
        <v>42159</v>
      </c>
      <c r="AB3578" s="386" t="s">
        <v>11320</v>
      </c>
      <c r="AD3578" s="386"/>
      <c r="AE3578" s="1110">
        <v>54327</v>
      </c>
      <c r="AF3578" s="386" t="s">
        <v>11321</v>
      </c>
      <c r="AG3578" s="386"/>
    </row>
    <row r="3579" spans="1:33" ht="15.75" customHeight="1">
      <c r="A3579" s="743">
        <v>42122</v>
      </c>
      <c r="B3579" s="823" t="s">
        <v>10673</v>
      </c>
      <c r="C3579" s="970" t="s">
        <v>11322</v>
      </c>
      <c r="D3579" s="386" t="s">
        <v>11323</v>
      </c>
      <c r="E3579" s="338" t="s">
        <v>11324</v>
      </c>
      <c r="F3579" s="752">
        <v>1</v>
      </c>
      <c r="G3579" s="386"/>
      <c r="H3579" s="386"/>
      <c r="I3579" s="263" t="s">
        <v>10831</v>
      </c>
      <c r="J3579" s="267" t="s">
        <v>89</v>
      </c>
      <c r="K3579" s="811">
        <v>42130</v>
      </c>
      <c r="L3579" s="1477"/>
      <c r="M3579" s="386"/>
      <c r="N3579" s="267" t="s">
        <v>89</v>
      </c>
      <c r="O3579" s="263" t="s">
        <v>11325</v>
      </c>
      <c r="Q3579" s="752">
        <v>80.17</v>
      </c>
      <c r="R3579" s="752">
        <f>85*1.05</f>
        <v>89.25</v>
      </c>
      <c r="S3579" s="464">
        <f t="shared" si="223"/>
        <v>89.25</v>
      </c>
      <c r="U3579" s="386"/>
      <c r="V3579" s="386" t="s">
        <v>10751</v>
      </c>
      <c r="W3579" s="1090"/>
      <c r="X3579" s="1095">
        <v>42130</v>
      </c>
      <c r="Y3579" s="386" t="s">
        <v>11326</v>
      </c>
      <c r="Z3579" s="824">
        <v>2468</v>
      </c>
      <c r="AA3579" s="1095">
        <v>42129</v>
      </c>
      <c r="AB3579" s="386" t="s">
        <v>11327</v>
      </c>
      <c r="AD3579" s="386" t="s">
        <v>11328</v>
      </c>
      <c r="AE3579" s="1110">
        <v>2737</v>
      </c>
      <c r="AF3579" s="386" t="s">
        <v>11329</v>
      </c>
      <c r="AG3579" s="386"/>
    </row>
    <row r="3580" spans="1:33" ht="15.75" customHeight="1">
      <c r="A3580" s="743">
        <v>42122</v>
      </c>
      <c r="B3580" s="823" t="s">
        <v>10673</v>
      </c>
      <c r="C3580" s="970" t="s">
        <v>11330</v>
      </c>
      <c r="D3580" s="386" t="s">
        <v>11331</v>
      </c>
      <c r="E3580" s="592" t="s">
        <v>6404</v>
      </c>
      <c r="F3580" s="1088">
        <v>5</v>
      </c>
      <c r="G3580" s="752">
        <v>3541.65</v>
      </c>
      <c r="H3580" s="1100">
        <v>17708.25</v>
      </c>
      <c r="I3580" s="263" t="s">
        <v>10831</v>
      </c>
      <c r="J3580" s="267" t="s">
        <v>10721</v>
      </c>
      <c r="K3580" s="811">
        <v>42129</v>
      </c>
      <c r="L3580" s="1477"/>
      <c r="M3580" s="811">
        <v>42124</v>
      </c>
      <c r="N3580" s="267" t="s">
        <v>10778</v>
      </c>
      <c r="O3580" s="386" t="s">
        <v>11332</v>
      </c>
      <c r="Q3580" s="386"/>
      <c r="R3580" s="323">
        <v>113.51442307692299</v>
      </c>
      <c r="S3580" s="464">
        <f t="shared" si="223"/>
        <v>567.57211538461502</v>
      </c>
      <c r="U3580" s="1100">
        <v>17004.75</v>
      </c>
      <c r="V3580" s="386" t="s">
        <v>8443</v>
      </c>
      <c r="W3580" s="386"/>
      <c r="X3580" s="1095">
        <v>42124</v>
      </c>
      <c r="Y3580" s="386" t="s">
        <v>11333</v>
      </c>
      <c r="Z3580" s="824">
        <v>105660</v>
      </c>
      <c r="AA3580" s="1095">
        <v>42159</v>
      </c>
      <c r="AB3580" s="386" t="s">
        <v>11334</v>
      </c>
      <c r="AD3580" s="386"/>
      <c r="AE3580" s="1110">
        <v>96073</v>
      </c>
      <c r="AF3580" s="1097" t="s">
        <v>11276</v>
      </c>
      <c r="AG3580" s="386"/>
    </row>
    <row r="3581" spans="1:33" ht="15.75" customHeight="1">
      <c r="A3581" s="743">
        <v>42122</v>
      </c>
      <c r="B3581" s="823" t="s">
        <v>10673</v>
      </c>
      <c r="C3581" s="970" t="s">
        <v>11330</v>
      </c>
      <c r="D3581" s="386" t="s">
        <v>11331</v>
      </c>
      <c r="E3581" s="592" t="s">
        <v>6261</v>
      </c>
      <c r="F3581" s="1088">
        <v>8</v>
      </c>
      <c r="G3581" s="752">
        <v>3840.9</v>
      </c>
      <c r="H3581" s="1100">
        <v>30727.200000000001</v>
      </c>
      <c r="I3581" s="263" t="s">
        <v>10831</v>
      </c>
      <c r="J3581" s="267" t="s">
        <v>10721</v>
      </c>
      <c r="K3581" s="811">
        <v>42129</v>
      </c>
      <c r="L3581" s="1477"/>
      <c r="M3581" s="811">
        <v>42124</v>
      </c>
      <c r="N3581" s="267" t="s">
        <v>10778</v>
      </c>
      <c r="O3581" s="386" t="s">
        <v>11332</v>
      </c>
      <c r="Q3581" s="386"/>
      <c r="R3581" s="323">
        <v>123.105769230769</v>
      </c>
      <c r="S3581" s="464">
        <f t="shared" si="223"/>
        <v>984.84615384615199</v>
      </c>
      <c r="U3581" s="1100">
        <v>29500.799999999999</v>
      </c>
      <c r="V3581" s="386" t="s">
        <v>8443</v>
      </c>
      <c r="W3581" s="386"/>
      <c r="X3581" s="1095">
        <v>42124</v>
      </c>
      <c r="Y3581" s="386" t="s">
        <v>11333</v>
      </c>
      <c r="Z3581" s="585" t="s">
        <v>8588</v>
      </c>
      <c r="AA3581" s="1095">
        <v>42159</v>
      </c>
      <c r="AB3581" s="386" t="s">
        <v>11334</v>
      </c>
      <c r="AD3581" s="386"/>
      <c r="AE3581" s="1110" t="s">
        <v>8588</v>
      </c>
      <c r="AF3581" s="1097" t="s">
        <v>11276</v>
      </c>
      <c r="AG3581" s="386"/>
    </row>
    <row r="3582" spans="1:33" ht="15.75" customHeight="1">
      <c r="A3582" s="743">
        <v>42122</v>
      </c>
      <c r="B3582" s="823" t="s">
        <v>10673</v>
      </c>
      <c r="C3582" s="970" t="s">
        <v>11330</v>
      </c>
      <c r="D3582" s="386" t="s">
        <v>11331</v>
      </c>
      <c r="E3582" s="592" t="s">
        <v>3510</v>
      </c>
      <c r="F3582" s="1088">
        <v>5</v>
      </c>
      <c r="G3582" s="752">
        <v>4288.2</v>
      </c>
      <c r="H3582" s="1100">
        <v>21441</v>
      </c>
      <c r="I3582" s="263" t="s">
        <v>10831</v>
      </c>
      <c r="J3582" s="267" t="s">
        <v>10721</v>
      </c>
      <c r="K3582" s="811">
        <v>42129</v>
      </c>
      <c r="L3582" s="1477"/>
      <c r="M3582" s="811">
        <v>42124</v>
      </c>
      <c r="N3582" s="267" t="s">
        <v>10778</v>
      </c>
      <c r="O3582" s="386" t="s">
        <v>11332</v>
      </c>
      <c r="Q3582" s="386"/>
      <c r="R3582" s="323">
        <v>137.44230769230799</v>
      </c>
      <c r="S3582" s="464">
        <f t="shared" si="223"/>
        <v>687.21153846153993</v>
      </c>
      <c r="U3582" s="1100">
        <v>20585.25</v>
      </c>
      <c r="V3582" s="386" t="s">
        <v>8443</v>
      </c>
      <c r="W3582" s="386"/>
      <c r="X3582" s="1095">
        <v>42124</v>
      </c>
      <c r="Y3582" s="386" t="s">
        <v>11333</v>
      </c>
      <c r="Z3582" s="585" t="s">
        <v>8588</v>
      </c>
      <c r="AA3582" s="1095">
        <v>42159</v>
      </c>
      <c r="AB3582" s="386" t="s">
        <v>11334</v>
      </c>
      <c r="AD3582" s="386"/>
      <c r="AE3582" s="1110" t="s">
        <v>8588</v>
      </c>
      <c r="AF3582" s="1097" t="s">
        <v>11276</v>
      </c>
      <c r="AG3582" s="386"/>
    </row>
    <row r="3583" spans="1:33" ht="15.75" customHeight="1">
      <c r="A3583" s="743">
        <v>42122</v>
      </c>
      <c r="B3583" s="823" t="s">
        <v>10673</v>
      </c>
      <c r="C3583" s="970" t="s">
        <v>11330</v>
      </c>
      <c r="D3583" s="386" t="s">
        <v>11331</v>
      </c>
      <c r="E3583" s="592" t="s">
        <v>6004</v>
      </c>
      <c r="F3583" s="1088">
        <v>3</v>
      </c>
      <c r="G3583" s="752">
        <v>4381.6499999999996</v>
      </c>
      <c r="H3583" s="1100">
        <v>13144.95</v>
      </c>
      <c r="I3583" s="263" t="s">
        <v>10831</v>
      </c>
      <c r="J3583" s="267" t="s">
        <v>10721</v>
      </c>
      <c r="K3583" s="811">
        <v>42129</v>
      </c>
      <c r="L3583" s="1477"/>
      <c r="M3583" s="811">
        <v>42124</v>
      </c>
      <c r="N3583" s="267" t="s">
        <v>10778</v>
      </c>
      <c r="O3583" s="386" t="s">
        <v>11332</v>
      </c>
      <c r="Q3583" s="386"/>
      <c r="R3583" s="323">
        <v>140.4375</v>
      </c>
      <c r="S3583" s="464">
        <f t="shared" si="223"/>
        <v>421.3125</v>
      </c>
      <c r="U3583" s="1100">
        <v>12618.9</v>
      </c>
      <c r="V3583" s="386" t="s">
        <v>8443</v>
      </c>
      <c r="W3583" s="386"/>
      <c r="X3583" s="1095">
        <v>42124</v>
      </c>
      <c r="Y3583" s="386" t="s">
        <v>11333</v>
      </c>
      <c r="Z3583" s="585" t="s">
        <v>8588</v>
      </c>
      <c r="AA3583" s="1095">
        <v>42159</v>
      </c>
      <c r="AB3583" s="386" t="s">
        <v>11334</v>
      </c>
      <c r="AD3583" s="386"/>
      <c r="AE3583" s="1110" t="s">
        <v>8588</v>
      </c>
      <c r="AF3583" s="1097" t="s">
        <v>11276</v>
      </c>
      <c r="AG3583" s="386"/>
    </row>
    <row r="3584" spans="1:33" ht="15.75" customHeight="1">
      <c r="A3584" s="743">
        <v>42122</v>
      </c>
      <c r="B3584" s="823" t="s">
        <v>10673</v>
      </c>
      <c r="C3584" s="970" t="s">
        <v>11330</v>
      </c>
      <c r="D3584" s="386" t="s">
        <v>11331</v>
      </c>
      <c r="E3584" s="592" t="s">
        <v>6008</v>
      </c>
      <c r="F3584" s="1088">
        <v>5</v>
      </c>
      <c r="G3584" s="752">
        <v>2610.3000000000002</v>
      </c>
      <c r="H3584" s="1100">
        <v>13051.5</v>
      </c>
      <c r="I3584" s="263" t="s">
        <v>10831</v>
      </c>
      <c r="J3584" s="267" t="s">
        <v>10721</v>
      </c>
      <c r="K3584" s="811">
        <v>42129</v>
      </c>
      <c r="L3584" s="1477"/>
      <c r="M3584" s="811">
        <v>42124</v>
      </c>
      <c r="N3584" s="267" t="s">
        <v>10778</v>
      </c>
      <c r="O3584" s="386" t="s">
        <v>11332</v>
      </c>
      <c r="Q3584" s="386"/>
      <c r="R3584" s="323">
        <v>83.663461538461604</v>
      </c>
      <c r="S3584" s="464">
        <f t="shared" si="223"/>
        <v>418.31730769230802</v>
      </c>
      <c r="U3584" s="1100">
        <v>12531.75</v>
      </c>
      <c r="V3584" s="386" t="s">
        <v>8443</v>
      </c>
      <c r="W3584" s="386"/>
      <c r="X3584" s="1095">
        <v>42124</v>
      </c>
      <c r="Y3584" s="386" t="s">
        <v>11333</v>
      </c>
      <c r="Z3584" s="585" t="s">
        <v>8588</v>
      </c>
      <c r="AA3584" s="1095">
        <v>42159</v>
      </c>
      <c r="AB3584" s="386" t="s">
        <v>11334</v>
      </c>
      <c r="AD3584" s="386"/>
      <c r="AE3584" s="1110" t="s">
        <v>8588</v>
      </c>
      <c r="AF3584" s="1097" t="s">
        <v>11276</v>
      </c>
      <c r="AG3584" s="386"/>
    </row>
    <row r="3585" spans="1:33" ht="15.75" customHeight="1">
      <c r="A3585" s="743">
        <v>42122</v>
      </c>
      <c r="B3585" s="823" t="s">
        <v>10673</v>
      </c>
      <c r="C3585" s="970" t="s">
        <v>11330</v>
      </c>
      <c r="D3585" s="386" t="s">
        <v>11331</v>
      </c>
      <c r="E3585" s="592" t="s">
        <v>3515</v>
      </c>
      <c r="F3585" s="1088">
        <v>10</v>
      </c>
      <c r="G3585" s="752">
        <v>1397.55</v>
      </c>
      <c r="H3585" s="1100">
        <v>13975.5</v>
      </c>
      <c r="I3585" s="263" t="s">
        <v>10831</v>
      </c>
      <c r="J3585" s="267" t="s">
        <v>10721</v>
      </c>
      <c r="K3585" s="811">
        <v>42129</v>
      </c>
      <c r="L3585" s="1477"/>
      <c r="M3585" s="811">
        <v>42124</v>
      </c>
      <c r="N3585" s="267" t="s">
        <v>10778</v>
      </c>
      <c r="O3585" s="386" t="s">
        <v>11332</v>
      </c>
      <c r="Q3585" s="386"/>
      <c r="R3585" s="323">
        <v>44.793269230769198</v>
      </c>
      <c r="S3585" s="464">
        <f t="shared" si="223"/>
        <v>447.93269230769198</v>
      </c>
      <c r="U3585" s="1100">
        <v>13419</v>
      </c>
      <c r="V3585" s="386" t="s">
        <v>8443</v>
      </c>
      <c r="W3585" s="386"/>
      <c r="X3585" s="1095">
        <v>42124</v>
      </c>
      <c r="Y3585" s="386" t="s">
        <v>11333</v>
      </c>
      <c r="Z3585" s="585" t="s">
        <v>8588</v>
      </c>
      <c r="AA3585" s="1095">
        <v>42159</v>
      </c>
      <c r="AB3585" s="386" t="s">
        <v>11335</v>
      </c>
      <c r="AD3585" s="386"/>
      <c r="AE3585" s="1110">
        <v>13976</v>
      </c>
      <c r="AF3585" s="1097" t="s">
        <v>11276</v>
      </c>
      <c r="AG3585" s="386"/>
    </row>
    <row r="3586" spans="1:33" ht="15.75" customHeight="1">
      <c r="A3586" s="743">
        <v>42124</v>
      </c>
      <c r="B3586" s="823" t="s">
        <v>10673</v>
      </c>
      <c r="C3586" s="970" t="s">
        <v>11336</v>
      </c>
      <c r="D3586" s="386" t="s">
        <v>11337</v>
      </c>
      <c r="E3586" s="592" t="s">
        <v>6863</v>
      </c>
      <c r="F3586" s="1088">
        <v>20</v>
      </c>
      <c r="G3586" s="386"/>
      <c r="H3586" s="386"/>
      <c r="I3586" s="263" t="s">
        <v>10831</v>
      </c>
      <c r="J3586" s="267" t="s">
        <v>89</v>
      </c>
      <c r="K3586" s="811">
        <v>42135</v>
      </c>
      <c r="L3586" s="1477"/>
      <c r="M3586" s="386"/>
      <c r="N3586" s="267" t="s">
        <v>89</v>
      </c>
      <c r="O3586" s="263" t="s">
        <v>11338</v>
      </c>
      <c r="Q3586" s="752">
        <v>2688</v>
      </c>
      <c r="R3586" s="1088">
        <f>136*1.05</f>
        <v>142.80000000000001</v>
      </c>
      <c r="S3586" s="464">
        <f t="shared" si="223"/>
        <v>2856</v>
      </c>
      <c r="U3586" s="386"/>
      <c r="V3586" s="386" t="s">
        <v>10751</v>
      </c>
      <c r="W3586" s="1090"/>
      <c r="X3586" s="1095">
        <v>42135</v>
      </c>
      <c r="Y3586" s="386" t="s">
        <v>11339</v>
      </c>
      <c r="Z3586" s="824">
        <v>84249</v>
      </c>
      <c r="AA3586" s="1095">
        <v>42129</v>
      </c>
      <c r="AB3586" s="386" t="s">
        <v>11340</v>
      </c>
      <c r="AD3586" s="386" t="s">
        <v>11341</v>
      </c>
      <c r="AE3586" s="1110">
        <v>90460</v>
      </c>
      <c r="AF3586" s="386" t="s">
        <v>11342</v>
      </c>
      <c r="AG3586" s="386"/>
    </row>
    <row r="3587" spans="1:33" ht="15.75" customHeight="1">
      <c r="A3587" s="743">
        <v>42124</v>
      </c>
      <c r="B3587" s="823" t="s">
        <v>10673</v>
      </c>
      <c r="C3587" s="970" t="s">
        <v>11336</v>
      </c>
      <c r="D3587" s="386" t="s">
        <v>11337</v>
      </c>
      <c r="E3587" s="592" t="s">
        <v>4644</v>
      </c>
      <c r="F3587" s="1088">
        <v>20</v>
      </c>
      <c r="G3587" s="386"/>
      <c r="H3587" s="386"/>
      <c r="I3587" s="263" t="s">
        <v>10831</v>
      </c>
      <c r="J3587" s="267" t="s">
        <v>89</v>
      </c>
      <c r="K3587" s="811">
        <v>42135</v>
      </c>
      <c r="L3587" s="1477"/>
      <c r="M3587" s="386"/>
      <c r="N3587" s="267" t="s">
        <v>89</v>
      </c>
      <c r="O3587" s="263" t="s">
        <v>11338</v>
      </c>
      <c r="Q3587" s="752">
        <v>63</v>
      </c>
      <c r="R3587" s="1088">
        <f>3*1.05</f>
        <v>3.1500000000000004</v>
      </c>
      <c r="S3587" s="464">
        <f t="shared" si="223"/>
        <v>63.000000000000007</v>
      </c>
      <c r="U3587" s="386"/>
      <c r="V3587" s="386" t="s">
        <v>10751</v>
      </c>
      <c r="W3587" s="1090"/>
      <c r="X3587" s="1095">
        <v>42135</v>
      </c>
      <c r="Y3587" s="386" t="s">
        <v>11339</v>
      </c>
      <c r="Z3587" s="585" t="s">
        <v>8588</v>
      </c>
      <c r="AA3587" s="1095">
        <v>42129</v>
      </c>
      <c r="AB3587" s="386" t="s">
        <v>11340</v>
      </c>
      <c r="AD3587" s="386" t="s">
        <v>11341</v>
      </c>
      <c r="AE3587" s="1088" t="s">
        <v>8588</v>
      </c>
      <c r="AF3587" s="386" t="s">
        <v>11342</v>
      </c>
      <c r="AG3587" s="386"/>
    </row>
    <row r="3588" spans="1:33" ht="15.75" customHeight="1">
      <c r="A3588" s="743">
        <v>42129</v>
      </c>
      <c r="B3588" s="823" t="s">
        <v>10673</v>
      </c>
      <c r="C3588" s="970" t="s">
        <v>11343</v>
      </c>
      <c r="D3588" s="386" t="s">
        <v>11344</v>
      </c>
      <c r="E3588" s="592" t="s">
        <v>11008</v>
      </c>
      <c r="F3588" s="1088">
        <v>19</v>
      </c>
      <c r="G3588" s="1088">
        <v>3096.45</v>
      </c>
      <c r="H3588" s="1100">
        <f>F3588*G3588</f>
        <v>58832.549999999996</v>
      </c>
      <c r="I3588" s="263" t="s">
        <v>10831</v>
      </c>
      <c r="J3588" s="267" t="s">
        <v>10721</v>
      </c>
      <c r="K3588" s="811">
        <v>42138</v>
      </c>
      <c r="L3588" s="1477"/>
      <c r="M3588" s="811">
        <v>42138</v>
      </c>
      <c r="N3588" s="267" t="s">
        <v>10778</v>
      </c>
      <c r="O3588" s="263" t="s">
        <v>11345</v>
      </c>
      <c r="Q3588" s="386"/>
      <c r="R3588" s="323">
        <v>101.19</v>
      </c>
      <c r="S3588" s="464">
        <f t="shared" si="223"/>
        <v>1922.61</v>
      </c>
      <c r="U3588" s="752">
        <v>56199</v>
      </c>
      <c r="V3588" s="386" t="s">
        <v>8443</v>
      </c>
      <c r="W3588" s="1090"/>
      <c r="X3588" s="1083">
        <v>42138</v>
      </c>
      <c r="Y3588" s="318" t="s">
        <v>11346</v>
      </c>
      <c r="Z3588" s="1086">
        <v>56199</v>
      </c>
      <c r="AA3588" s="1095">
        <v>42159</v>
      </c>
      <c r="AB3588" s="386" t="s">
        <v>11347</v>
      </c>
      <c r="AD3588" s="386"/>
      <c r="AE3588" s="1110">
        <v>58833</v>
      </c>
      <c r="AF3588" s="386" t="s">
        <v>11348</v>
      </c>
      <c r="AG3588" s="386"/>
    </row>
    <row r="3589" spans="1:33" ht="15.75" customHeight="1">
      <c r="A3589" s="743">
        <v>42129</v>
      </c>
      <c r="B3589" s="823" t="s">
        <v>10673</v>
      </c>
      <c r="C3589" s="970" t="s">
        <v>11343</v>
      </c>
      <c r="D3589" s="386" t="s">
        <v>11344</v>
      </c>
      <c r="E3589" s="592" t="s">
        <v>11008</v>
      </c>
      <c r="F3589" s="1088">
        <v>55</v>
      </c>
      <c r="G3589" s="1088">
        <v>3096.45</v>
      </c>
      <c r="H3589" s="1100">
        <f>F3589*G3589</f>
        <v>170304.75</v>
      </c>
      <c r="I3589" s="263" t="s">
        <v>10831</v>
      </c>
      <c r="J3589" s="267" t="s">
        <v>10721</v>
      </c>
      <c r="K3589" s="811">
        <v>42151</v>
      </c>
      <c r="L3589" s="1477"/>
      <c r="M3589" s="811">
        <v>42151</v>
      </c>
      <c r="N3589" s="267" t="s">
        <v>10778</v>
      </c>
      <c r="O3589" s="263" t="s">
        <v>11345</v>
      </c>
      <c r="Q3589" s="386"/>
      <c r="R3589" s="323">
        <v>101.19</v>
      </c>
      <c r="S3589" s="464">
        <f t="shared" si="223"/>
        <v>5565.45</v>
      </c>
      <c r="U3589" s="752">
        <v>162682</v>
      </c>
      <c r="V3589" s="386" t="s">
        <v>8443</v>
      </c>
      <c r="W3589" s="386"/>
      <c r="X3589" s="1084">
        <v>42150</v>
      </c>
      <c r="Y3589" s="318" t="s">
        <v>11349</v>
      </c>
      <c r="Z3589" s="1086">
        <v>162682</v>
      </c>
      <c r="AA3589" s="1095">
        <v>42159</v>
      </c>
      <c r="AB3589" s="386" t="s">
        <v>11350</v>
      </c>
      <c r="AD3589" s="386"/>
      <c r="AE3589" s="1110">
        <v>170305</v>
      </c>
      <c r="AF3589" s="386" t="s">
        <v>11351</v>
      </c>
      <c r="AG3589" s="386"/>
    </row>
    <row r="3590" spans="1:33" ht="15.75" customHeight="1">
      <c r="A3590" s="743">
        <v>42129</v>
      </c>
      <c r="B3590" s="823" t="s">
        <v>10673</v>
      </c>
      <c r="C3590" s="970" t="s">
        <v>11352</v>
      </c>
      <c r="D3590" s="386" t="s">
        <v>11353</v>
      </c>
      <c r="E3590" s="592" t="s">
        <v>9189</v>
      </c>
      <c r="F3590" s="1088">
        <v>110</v>
      </c>
      <c r="G3590" s="386"/>
      <c r="H3590" s="386"/>
      <c r="I3590" s="263" t="s">
        <v>10831</v>
      </c>
      <c r="J3590" s="267" t="s">
        <v>89</v>
      </c>
      <c r="K3590" s="811">
        <v>42157</v>
      </c>
      <c r="L3590" s="1477"/>
      <c r="M3590" s="811">
        <v>42151</v>
      </c>
      <c r="N3590" s="267" t="s">
        <v>89</v>
      </c>
      <c r="O3590" s="263" t="s">
        <v>11354</v>
      </c>
      <c r="Q3590" s="752">
        <v>16863</v>
      </c>
      <c r="R3590" s="1088">
        <v>178.5</v>
      </c>
      <c r="S3590" s="464">
        <f t="shared" si="223"/>
        <v>19635</v>
      </c>
      <c r="U3590" s="386"/>
      <c r="V3590" s="386" t="s">
        <v>10751</v>
      </c>
      <c r="W3590" s="1090"/>
      <c r="X3590" s="1083">
        <v>42151</v>
      </c>
      <c r="Y3590" s="318" t="s">
        <v>11355</v>
      </c>
      <c r="Z3590" s="1086">
        <v>512720</v>
      </c>
      <c r="AA3590" s="1095">
        <v>42129</v>
      </c>
      <c r="AB3590" s="386" t="s">
        <v>11356</v>
      </c>
      <c r="AD3590" s="386" t="s">
        <v>11357</v>
      </c>
      <c r="AE3590" s="1110">
        <v>603384</v>
      </c>
      <c r="AF3590" s="386"/>
      <c r="AG3590" s="386"/>
    </row>
    <row r="3591" spans="1:33" ht="15.75" customHeight="1">
      <c r="A3591" s="743">
        <v>42130</v>
      </c>
      <c r="B3591" s="823" t="s">
        <v>10673</v>
      </c>
      <c r="C3591" s="970" t="s">
        <v>11358</v>
      </c>
      <c r="D3591" s="386" t="s">
        <v>11359</v>
      </c>
      <c r="E3591" s="592" t="s">
        <v>11250</v>
      </c>
      <c r="F3591" s="1088">
        <v>1</v>
      </c>
      <c r="G3591" s="386"/>
      <c r="H3591" s="386"/>
      <c r="I3591" s="263" t="s">
        <v>10831</v>
      </c>
      <c r="J3591" s="267" t="s">
        <v>89</v>
      </c>
      <c r="K3591" s="811">
        <v>42135</v>
      </c>
      <c r="L3591" s="1477"/>
      <c r="M3591" s="386"/>
      <c r="N3591" s="267" t="s">
        <v>89</v>
      </c>
      <c r="O3591" s="263" t="s">
        <v>11360</v>
      </c>
      <c r="Q3591" s="752">
        <v>28.35</v>
      </c>
      <c r="R3591" s="1088">
        <v>30.45</v>
      </c>
      <c r="S3591" s="464">
        <f t="shared" si="223"/>
        <v>30.45</v>
      </c>
      <c r="U3591" s="386"/>
      <c r="V3591" s="386" t="s">
        <v>10751</v>
      </c>
      <c r="W3591" s="1090"/>
      <c r="X3591" s="1095">
        <v>42135</v>
      </c>
      <c r="Y3591" s="386" t="s">
        <v>11361</v>
      </c>
      <c r="Z3591" s="824">
        <v>868</v>
      </c>
      <c r="AA3591" s="1095">
        <v>42129</v>
      </c>
      <c r="AB3591" s="386" t="s">
        <v>11340</v>
      </c>
      <c r="AD3591" s="386" t="s">
        <v>11341</v>
      </c>
      <c r="AE3591" s="1088" t="s">
        <v>11362</v>
      </c>
      <c r="AF3591" s="386" t="s">
        <v>11342</v>
      </c>
      <c r="AG3591" s="386"/>
    </row>
    <row r="3592" spans="1:33" ht="15.75" customHeight="1">
      <c r="A3592" s="743">
        <v>42130</v>
      </c>
      <c r="B3592" s="823" t="s">
        <v>10673</v>
      </c>
      <c r="C3592" s="970" t="s">
        <v>11363</v>
      </c>
      <c r="D3592" s="386" t="s">
        <v>11364</v>
      </c>
      <c r="E3592" s="592" t="s">
        <v>4034</v>
      </c>
      <c r="F3592" s="1088">
        <v>3</v>
      </c>
      <c r="G3592" s="752">
        <v>2239.65</v>
      </c>
      <c r="H3592" s="1100">
        <f>F3592*G3592</f>
        <v>6718.9500000000007</v>
      </c>
      <c r="I3592" s="263" t="s">
        <v>10831</v>
      </c>
      <c r="J3592" s="267" t="s">
        <v>10721</v>
      </c>
      <c r="K3592" s="811">
        <v>42136</v>
      </c>
      <c r="L3592" s="1477"/>
      <c r="M3592" s="811">
        <v>42132</v>
      </c>
      <c r="N3592" s="267" t="s">
        <v>10778</v>
      </c>
      <c r="O3592" s="970" t="s">
        <v>11365</v>
      </c>
      <c r="Q3592" s="386"/>
      <c r="R3592" s="1088">
        <v>73.19</v>
      </c>
      <c r="S3592" s="464">
        <f t="shared" si="223"/>
        <v>219.57</v>
      </c>
      <c r="U3592" s="752">
        <v>6451</v>
      </c>
      <c r="V3592" s="386" t="s">
        <v>8443</v>
      </c>
      <c r="W3592" s="386"/>
      <c r="X3592" s="1095">
        <v>42131</v>
      </c>
      <c r="Y3592" s="386" t="s">
        <v>11366</v>
      </c>
      <c r="Z3592" s="824">
        <v>6451</v>
      </c>
      <c r="AA3592" s="1095">
        <v>42159</v>
      </c>
      <c r="AB3592" s="386" t="s">
        <v>11367</v>
      </c>
      <c r="AD3592" s="386"/>
      <c r="AE3592" s="1110">
        <v>6719</v>
      </c>
      <c r="AF3592" s="386" t="s">
        <v>11342</v>
      </c>
      <c r="AG3592" s="386"/>
    </row>
    <row r="3593" spans="1:33" ht="15.75" customHeight="1">
      <c r="A3593" s="743">
        <v>42159</v>
      </c>
      <c r="B3593" s="823" t="s">
        <v>10673</v>
      </c>
      <c r="C3593" s="970" t="s">
        <v>11368</v>
      </c>
      <c r="D3593" s="386" t="s">
        <v>11369</v>
      </c>
      <c r="E3593" s="592" t="s">
        <v>3510</v>
      </c>
      <c r="F3593" s="1088">
        <v>2</v>
      </c>
      <c r="G3593" s="1197">
        <v>4288.2</v>
      </c>
      <c r="H3593" s="1100">
        <f>F3593*G3593</f>
        <v>8576.4</v>
      </c>
      <c r="I3593" s="263" t="s">
        <v>10884</v>
      </c>
      <c r="J3593" s="267" t="s">
        <v>10721</v>
      </c>
      <c r="K3593" s="811">
        <v>42163</v>
      </c>
      <c r="L3593" s="1477"/>
      <c r="M3593" s="811">
        <v>42163</v>
      </c>
      <c r="N3593" s="267" t="s">
        <v>10778</v>
      </c>
      <c r="O3593" s="386" t="s">
        <v>11370</v>
      </c>
      <c r="Q3593" s="386"/>
      <c r="R3593" s="1189">
        <f>G3593/30.8</f>
        <v>139.22727272727272</v>
      </c>
      <c r="S3593" s="1098">
        <f t="shared" ref="S3593:S3598" si="226">F3593*R3593</f>
        <v>278.45454545454544</v>
      </c>
      <c r="U3593" s="752">
        <v>8234</v>
      </c>
      <c r="V3593" s="386" t="s">
        <v>8443</v>
      </c>
      <c r="W3593" s="1083">
        <v>42252</v>
      </c>
      <c r="X3593" s="1083">
        <v>42160</v>
      </c>
      <c r="Y3593" s="318" t="s">
        <v>11371</v>
      </c>
      <c r="Z3593" s="1086">
        <v>21389</v>
      </c>
      <c r="AA3593" s="1095">
        <v>42254</v>
      </c>
      <c r="AB3593" s="386" t="s">
        <v>11372</v>
      </c>
      <c r="AD3593" s="386"/>
      <c r="AE3593" s="1110">
        <v>22277</v>
      </c>
      <c r="AF3593" s="386" t="s">
        <v>11373</v>
      </c>
      <c r="AG3593" s="386"/>
    </row>
    <row r="3594" spans="1:33" ht="15.75" customHeight="1">
      <c r="A3594" s="743">
        <v>42159</v>
      </c>
      <c r="B3594" s="823" t="s">
        <v>10673</v>
      </c>
      <c r="C3594" s="970" t="s">
        <v>11368</v>
      </c>
      <c r="D3594" s="386" t="s">
        <v>11369</v>
      </c>
      <c r="E3594" s="592" t="s">
        <v>11302</v>
      </c>
      <c r="F3594" s="1088">
        <v>3</v>
      </c>
      <c r="G3594" s="1197">
        <v>2237.5500000000002</v>
      </c>
      <c r="H3594" s="1100">
        <f>F3594*G3594</f>
        <v>6712.6500000000005</v>
      </c>
      <c r="I3594" s="263" t="s">
        <v>10884</v>
      </c>
      <c r="J3594" s="267" t="s">
        <v>10721</v>
      </c>
      <c r="K3594" s="811">
        <v>42163</v>
      </c>
      <c r="L3594" s="1477"/>
      <c r="M3594" s="811">
        <v>42163</v>
      </c>
      <c r="N3594" s="267" t="s">
        <v>10778</v>
      </c>
      <c r="O3594" s="386" t="s">
        <v>11370</v>
      </c>
      <c r="Q3594" s="386"/>
      <c r="R3594" s="1189">
        <f>G3594/30.8</f>
        <v>72.64772727272728</v>
      </c>
      <c r="S3594" s="1098">
        <f t="shared" si="226"/>
        <v>217.94318181818184</v>
      </c>
      <c r="U3594" s="752">
        <v>6445</v>
      </c>
      <c r="V3594" s="386" t="s">
        <v>8443</v>
      </c>
      <c r="W3594" s="1083">
        <v>42252</v>
      </c>
      <c r="X3594" s="1083">
        <v>42160</v>
      </c>
      <c r="Y3594" s="318" t="s">
        <v>11371</v>
      </c>
      <c r="Z3594" s="254" t="s">
        <v>8588</v>
      </c>
      <c r="AA3594" s="1095">
        <v>42254</v>
      </c>
      <c r="AB3594" s="386" t="s">
        <v>11372</v>
      </c>
      <c r="AD3594" s="386"/>
      <c r="AE3594" s="1088" t="s">
        <v>8588</v>
      </c>
      <c r="AF3594" s="386" t="s">
        <v>11373</v>
      </c>
      <c r="AG3594" s="386"/>
    </row>
    <row r="3595" spans="1:33" ht="15.75" customHeight="1">
      <c r="A3595" s="743">
        <v>42159</v>
      </c>
      <c r="B3595" s="823" t="s">
        <v>10673</v>
      </c>
      <c r="C3595" s="970" t="s">
        <v>11368</v>
      </c>
      <c r="D3595" s="386" t="s">
        <v>11369</v>
      </c>
      <c r="E3595" s="592" t="s">
        <v>3515</v>
      </c>
      <c r="F3595" s="1088">
        <v>5</v>
      </c>
      <c r="G3595" s="1197">
        <v>1397.55</v>
      </c>
      <c r="H3595" s="1100">
        <f>F3595*G3595</f>
        <v>6987.75</v>
      </c>
      <c r="I3595" s="263" t="s">
        <v>10884</v>
      </c>
      <c r="J3595" s="267" t="s">
        <v>10721</v>
      </c>
      <c r="K3595" s="811">
        <v>42163</v>
      </c>
      <c r="L3595" s="1477"/>
      <c r="M3595" s="811">
        <v>42163</v>
      </c>
      <c r="N3595" s="267" t="s">
        <v>10778</v>
      </c>
      <c r="O3595" s="386" t="s">
        <v>11370</v>
      </c>
      <c r="Q3595" s="386"/>
      <c r="R3595" s="1189">
        <f>G3595/30.8</f>
        <v>45.375</v>
      </c>
      <c r="S3595" s="1098">
        <f t="shared" si="226"/>
        <v>226.875</v>
      </c>
      <c r="U3595" s="752">
        <v>6710</v>
      </c>
      <c r="V3595" s="386" t="s">
        <v>8443</v>
      </c>
      <c r="W3595" s="1083">
        <v>42252</v>
      </c>
      <c r="X3595" s="1083">
        <v>42160</v>
      </c>
      <c r="Y3595" s="318" t="s">
        <v>11371</v>
      </c>
      <c r="Z3595" s="254" t="s">
        <v>8588</v>
      </c>
      <c r="AA3595" s="1095">
        <v>42254</v>
      </c>
      <c r="AB3595" s="386" t="s">
        <v>11372</v>
      </c>
      <c r="AD3595" s="386"/>
      <c r="AE3595" s="1088" t="s">
        <v>8588</v>
      </c>
      <c r="AF3595" s="386" t="s">
        <v>11373</v>
      </c>
      <c r="AG3595" s="386"/>
    </row>
    <row r="3596" spans="1:33" ht="15.75" customHeight="1">
      <c r="A3596" s="743">
        <v>42171</v>
      </c>
      <c r="B3596" s="823" t="s">
        <v>10673</v>
      </c>
      <c r="C3596" s="386" t="s">
        <v>11374</v>
      </c>
      <c r="D3596" s="386" t="s">
        <v>11375</v>
      </c>
      <c r="E3596" s="592" t="s">
        <v>11376</v>
      </c>
      <c r="F3596" s="1088">
        <v>30</v>
      </c>
      <c r="G3596" s="386"/>
      <c r="H3596" s="386"/>
      <c r="I3596" s="263" t="s">
        <v>10884</v>
      </c>
      <c r="J3596" s="267" t="s">
        <v>89</v>
      </c>
      <c r="K3596" s="811">
        <v>42180</v>
      </c>
      <c r="L3596" s="1477"/>
      <c r="M3596" s="386"/>
      <c r="N3596" s="267" t="s">
        <v>89</v>
      </c>
      <c r="O3596" s="263" t="s">
        <v>11377</v>
      </c>
      <c r="Q3596" s="752">
        <v>126</v>
      </c>
      <c r="R3596" s="1088">
        <v>4.2</v>
      </c>
      <c r="S3596" s="1183">
        <f t="shared" si="226"/>
        <v>126</v>
      </c>
      <c r="U3596" s="386"/>
      <c r="V3596" s="386" t="s">
        <v>10751</v>
      </c>
      <c r="W3596" s="386"/>
      <c r="X3596" s="1083">
        <v>42180</v>
      </c>
      <c r="Y3596" s="318" t="s">
        <v>11378</v>
      </c>
      <c r="Z3596" s="1086">
        <v>3894</v>
      </c>
      <c r="AA3596" s="1095">
        <v>42181</v>
      </c>
      <c r="AB3596" s="386" t="s">
        <v>11379</v>
      </c>
      <c r="AD3596" s="386" t="s">
        <v>11380</v>
      </c>
      <c r="AE3596" s="1088">
        <v>3893</v>
      </c>
      <c r="AF3596" s="386" t="s">
        <v>11381</v>
      </c>
      <c r="AG3596" s="386"/>
    </row>
    <row r="3597" spans="1:33" ht="15.75" customHeight="1">
      <c r="A3597" s="743">
        <v>42177</v>
      </c>
      <c r="B3597" s="823" t="s">
        <v>10673</v>
      </c>
      <c r="C3597" s="970" t="s">
        <v>11382</v>
      </c>
      <c r="D3597" s="386" t="s">
        <v>11383</v>
      </c>
      <c r="E3597" s="592" t="s">
        <v>10961</v>
      </c>
      <c r="F3597" s="1088">
        <v>6</v>
      </c>
      <c r="G3597" s="386"/>
      <c r="H3597" s="1191">
        <v>19467</v>
      </c>
      <c r="I3597" s="263" t="s">
        <v>10884</v>
      </c>
      <c r="J3597" s="267" t="s">
        <v>89</v>
      </c>
      <c r="K3597" s="811">
        <v>42187</v>
      </c>
      <c r="L3597" s="1477"/>
      <c r="M3597" s="386"/>
      <c r="N3597" s="267" t="s">
        <v>89</v>
      </c>
      <c r="O3597" s="263" t="s">
        <v>11384</v>
      </c>
      <c r="Q3597" s="752">
        <v>554.4</v>
      </c>
      <c r="R3597" s="1088">
        <v>105</v>
      </c>
      <c r="S3597" s="1183">
        <f t="shared" si="226"/>
        <v>630</v>
      </c>
      <c r="U3597" s="386"/>
      <c r="V3597" s="386" t="s">
        <v>10751</v>
      </c>
      <c r="W3597" s="386"/>
      <c r="X3597" s="1094">
        <v>42187</v>
      </c>
      <c r="Y3597" s="386" t="s">
        <v>11385</v>
      </c>
      <c r="Z3597" s="824">
        <v>18988</v>
      </c>
      <c r="AA3597" s="1095">
        <v>42186</v>
      </c>
      <c r="AB3597" s="386" t="s">
        <v>11386</v>
      </c>
      <c r="AD3597" s="386" t="s">
        <v>11387</v>
      </c>
      <c r="AE3597" s="1110">
        <v>24691</v>
      </c>
      <c r="AF3597" s="386" t="s">
        <v>11388</v>
      </c>
      <c r="AG3597" s="386"/>
    </row>
    <row r="3598" spans="1:33" ht="15.75" customHeight="1">
      <c r="A3598" s="743">
        <v>42177</v>
      </c>
      <c r="B3598" s="823" t="s">
        <v>10673</v>
      </c>
      <c r="C3598" s="970" t="s">
        <v>11382</v>
      </c>
      <c r="D3598" s="386" t="s">
        <v>11383</v>
      </c>
      <c r="E3598" s="592" t="s">
        <v>11389</v>
      </c>
      <c r="F3598" s="1088">
        <v>5</v>
      </c>
      <c r="G3598" s="386"/>
      <c r="H3598" s="1191">
        <v>3245</v>
      </c>
      <c r="I3598" s="263" t="s">
        <v>10884</v>
      </c>
      <c r="J3598" s="267" t="s">
        <v>5882</v>
      </c>
      <c r="K3598" s="811">
        <v>42186</v>
      </c>
      <c r="L3598" s="1477"/>
      <c r="M3598" s="254" t="s">
        <v>11390</v>
      </c>
      <c r="N3598" s="1198" t="s">
        <v>10981</v>
      </c>
      <c r="O3598" s="970" t="s">
        <v>9236</v>
      </c>
      <c r="Q3598" s="386"/>
      <c r="R3598" s="1088">
        <v>21</v>
      </c>
      <c r="S3598" s="1183">
        <f t="shared" si="226"/>
        <v>105</v>
      </c>
      <c r="U3598" s="1088">
        <v>1181.25</v>
      </c>
      <c r="V3598" s="386"/>
      <c r="W3598" s="386"/>
      <c r="X3598" s="263" t="s">
        <v>9236</v>
      </c>
      <c r="Y3598" s="263" t="s">
        <v>9236</v>
      </c>
      <c r="Z3598" s="263" t="s">
        <v>9236</v>
      </c>
      <c r="AA3598" s="263" t="s">
        <v>9236</v>
      </c>
      <c r="AB3598" s="386" t="s">
        <v>11386</v>
      </c>
      <c r="AD3598" s="386" t="s">
        <v>11387</v>
      </c>
      <c r="AE3598" s="1088" t="s">
        <v>8588</v>
      </c>
      <c r="AF3598" s="386" t="s">
        <v>11388</v>
      </c>
      <c r="AG3598" s="386"/>
    </row>
    <row r="3599" spans="1:33" ht="15.75" customHeight="1">
      <c r="A3599" s="743">
        <v>42177</v>
      </c>
      <c r="B3599" s="823" t="s">
        <v>10673</v>
      </c>
      <c r="C3599" s="970" t="s">
        <v>11382</v>
      </c>
      <c r="D3599" s="386" t="s">
        <v>11383</v>
      </c>
      <c r="E3599" s="592" t="s">
        <v>4404</v>
      </c>
      <c r="F3599" s="1088">
        <v>1</v>
      </c>
      <c r="G3599" s="386"/>
      <c r="H3599" s="1191">
        <v>1979</v>
      </c>
      <c r="I3599" s="263" t="s">
        <v>10884</v>
      </c>
      <c r="J3599" s="267" t="s">
        <v>89</v>
      </c>
      <c r="K3599" s="811">
        <v>42187</v>
      </c>
      <c r="L3599" s="1477"/>
      <c r="M3599" s="386"/>
      <c r="N3599" s="267" t="s">
        <v>89</v>
      </c>
      <c r="O3599" s="263" t="s">
        <v>11384</v>
      </c>
      <c r="Q3599" s="752">
        <v>60.9</v>
      </c>
      <c r="R3599" s="1088">
        <v>64.05</v>
      </c>
      <c r="S3599" s="1194">
        <v>64.05</v>
      </c>
      <c r="U3599" s="386"/>
      <c r="V3599" s="386" t="s">
        <v>10751</v>
      </c>
      <c r="W3599" s="386"/>
      <c r="X3599" s="1094">
        <v>42187</v>
      </c>
      <c r="Y3599" s="386" t="s">
        <v>11385</v>
      </c>
      <c r="Z3599" s="585" t="s">
        <v>8588</v>
      </c>
      <c r="AA3599" s="1095">
        <v>42186</v>
      </c>
      <c r="AB3599" s="386" t="s">
        <v>11386</v>
      </c>
      <c r="AD3599" s="386" t="s">
        <v>11387</v>
      </c>
      <c r="AE3599" s="1088" t="s">
        <v>8588</v>
      </c>
      <c r="AF3599" s="386" t="s">
        <v>11388</v>
      </c>
      <c r="AG3599" s="386"/>
    </row>
    <row r="3600" spans="1:33" ht="15.75" customHeight="1">
      <c r="A3600" s="743">
        <v>42180</v>
      </c>
      <c r="B3600" s="823" t="s">
        <v>10673</v>
      </c>
      <c r="C3600" s="970" t="s">
        <v>11391</v>
      </c>
      <c r="D3600" s="592" t="s">
        <v>11392</v>
      </c>
      <c r="E3600" s="592" t="s">
        <v>6261</v>
      </c>
      <c r="F3600" s="1088">
        <v>5</v>
      </c>
      <c r="G3600" s="752">
        <v>3840.9</v>
      </c>
      <c r="H3600" s="752">
        <f>G3600*F3600</f>
        <v>19204.5</v>
      </c>
      <c r="I3600" s="263" t="s">
        <v>10884</v>
      </c>
      <c r="J3600" s="267" t="s">
        <v>5882</v>
      </c>
      <c r="K3600" s="811">
        <v>42187</v>
      </c>
      <c r="L3600" s="1477"/>
      <c r="M3600" s="1099">
        <v>42186</v>
      </c>
      <c r="N3600" s="267" t="s">
        <v>10778</v>
      </c>
      <c r="O3600" s="970" t="s">
        <v>11393</v>
      </c>
      <c r="Q3600" s="386"/>
      <c r="R3600" s="1088">
        <v>124.7</v>
      </c>
      <c r="S3600" s="1194">
        <f>R3600*F3600</f>
        <v>623.5</v>
      </c>
      <c r="U3600" s="752">
        <v>18438</v>
      </c>
      <c r="V3600" s="386" t="s">
        <v>8443</v>
      </c>
      <c r="W3600" s="1083">
        <v>42282</v>
      </c>
      <c r="X3600" s="1094">
        <v>42186</v>
      </c>
      <c r="Y3600" s="386" t="s">
        <v>11394</v>
      </c>
      <c r="Z3600" s="824">
        <v>22126</v>
      </c>
      <c r="AA3600" s="1095">
        <v>42284</v>
      </c>
      <c r="AB3600" s="386" t="s">
        <v>11395</v>
      </c>
      <c r="AD3600" s="386"/>
      <c r="AE3600" s="1110">
        <v>23047</v>
      </c>
      <c r="AF3600" s="386" t="s">
        <v>11388</v>
      </c>
      <c r="AG3600" s="386"/>
    </row>
    <row r="3601" spans="1:33" ht="15.75" customHeight="1">
      <c r="A3601" s="743">
        <v>42180</v>
      </c>
      <c r="B3601" s="823" t="s">
        <v>10673</v>
      </c>
      <c r="C3601" s="970" t="s">
        <v>11391</v>
      </c>
      <c r="D3601" s="592" t="s">
        <v>11392</v>
      </c>
      <c r="E3601" s="592" t="s">
        <v>6992</v>
      </c>
      <c r="F3601" s="1088">
        <v>1</v>
      </c>
      <c r="G3601" s="752">
        <v>3841.95</v>
      </c>
      <c r="H3601" s="752">
        <f>G3601*F3601</f>
        <v>3841.95</v>
      </c>
      <c r="I3601" s="263" t="s">
        <v>10884</v>
      </c>
      <c r="J3601" s="267" t="s">
        <v>5882</v>
      </c>
      <c r="K3601" s="811">
        <v>42187</v>
      </c>
      <c r="L3601" s="1477"/>
      <c r="M3601" s="1099">
        <v>42186</v>
      </c>
      <c r="N3601" s="267" t="s">
        <v>10778</v>
      </c>
      <c r="O3601" s="970" t="s">
        <v>11393</v>
      </c>
      <c r="Q3601" s="386"/>
      <c r="R3601" s="1088">
        <v>124.73</v>
      </c>
      <c r="S3601" s="1194">
        <f>R3601*F3601</f>
        <v>124.73</v>
      </c>
      <c r="U3601" s="752">
        <v>3688</v>
      </c>
      <c r="V3601" s="386" t="s">
        <v>8443</v>
      </c>
      <c r="W3601" s="1083">
        <v>42282</v>
      </c>
      <c r="X3601" s="1094">
        <v>42186</v>
      </c>
      <c r="Y3601" s="386" t="s">
        <v>11394</v>
      </c>
      <c r="Z3601" s="585" t="s">
        <v>8588</v>
      </c>
      <c r="AA3601" s="1095">
        <v>42284</v>
      </c>
      <c r="AB3601" s="386" t="s">
        <v>11395</v>
      </c>
      <c r="AD3601" s="386"/>
      <c r="AE3601" s="1088" t="s">
        <v>8588</v>
      </c>
      <c r="AF3601" s="386" t="s">
        <v>11388</v>
      </c>
      <c r="AG3601" s="386"/>
    </row>
    <row r="3602" spans="1:33" ht="15.75" customHeight="1">
      <c r="A3602" s="743">
        <v>42186</v>
      </c>
      <c r="B3602" s="823" t="s">
        <v>10673</v>
      </c>
      <c r="C3602" s="970" t="s">
        <v>11396</v>
      </c>
      <c r="D3602" s="386" t="s">
        <v>11397</v>
      </c>
      <c r="E3602" s="592" t="s">
        <v>11272</v>
      </c>
      <c r="F3602" s="1088">
        <v>5</v>
      </c>
      <c r="G3602" s="1088">
        <f>2968*1.05</f>
        <v>3116.4</v>
      </c>
      <c r="H3602" s="752">
        <f>G3602*F3602</f>
        <v>15582</v>
      </c>
      <c r="I3602" s="263" t="s">
        <v>10884</v>
      </c>
      <c r="J3602" s="267" t="s">
        <v>5882</v>
      </c>
      <c r="K3602" s="811">
        <v>42192</v>
      </c>
      <c r="L3602" s="1477"/>
      <c r="M3602" s="811">
        <v>42188</v>
      </c>
      <c r="N3602" s="267" t="s">
        <v>10778</v>
      </c>
      <c r="O3602" s="970" t="s">
        <v>11398</v>
      </c>
      <c r="Q3602" s="386"/>
      <c r="R3602" s="1088">
        <f>100.854</f>
        <v>100.854</v>
      </c>
      <c r="S3602" s="1098">
        <f t="shared" ref="S3602:S3639" si="227">F3602*R3602</f>
        <v>504.27</v>
      </c>
      <c r="U3602" s="752">
        <v>14957</v>
      </c>
      <c r="V3602" s="386" t="s">
        <v>8443</v>
      </c>
      <c r="W3602" s="1083">
        <v>42282</v>
      </c>
      <c r="X3602" s="1094">
        <v>42187</v>
      </c>
      <c r="Y3602" s="386" t="s">
        <v>11399</v>
      </c>
      <c r="Z3602" s="585">
        <v>14957</v>
      </c>
      <c r="AA3602" s="1095">
        <v>42284</v>
      </c>
      <c r="AB3602" s="386" t="s">
        <v>11400</v>
      </c>
      <c r="AD3602" s="386"/>
      <c r="AE3602" s="1088">
        <v>15582</v>
      </c>
      <c r="AF3602" s="386" t="s">
        <v>11401</v>
      </c>
      <c r="AG3602" s="386"/>
    </row>
    <row r="3603" spans="1:33" ht="15.75" customHeight="1">
      <c r="A3603" s="743">
        <v>42187</v>
      </c>
      <c r="B3603" s="823" t="s">
        <v>10673</v>
      </c>
      <c r="C3603" s="970" t="s">
        <v>11402</v>
      </c>
      <c r="D3603" s="386" t="s">
        <v>11403</v>
      </c>
      <c r="E3603" s="592" t="s">
        <v>11404</v>
      </c>
      <c r="F3603" s="1088">
        <v>20</v>
      </c>
      <c r="G3603" s="1088">
        <v>4837</v>
      </c>
      <c r="H3603" s="752">
        <v>96749</v>
      </c>
      <c r="I3603" s="263" t="s">
        <v>10884</v>
      </c>
      <c r="J3603" s="267" t="s">
        <v>5882</v>
      </c>
      <c r="K3603" s="811">
        <v>42192</v>
      </c>
      <c r="L3603" s="1477"/>
      <c r="M3603" s="811">
        <v>42192</v>
      </c>
      <c r="N3603" s="1198" t="s">
        <v>11405</v>
      </c>
      <c r="O3603" s="970" t="s">
        <v>11406</v>
      </c>
      <c r="Q3603" s="386"/>
      <c r="R3603" s="1088">
        <v>156.44999999999999</v>
      </c>
      <c r="S3603" s="1098">
        <f t="shared" si="227"/>
        <v>3129</v>
      </c>
      <c r="U3603" s="752">
        <v>94700</v>
      </c>
      <c r="V3603" s="1199" t="s">
        <v>11407</v>
      </c>
      <c r="W3603" s="386"/>
      <c r="X3603" s="1094">
        <v>42191</v>
      </c>
      <c r="Y3603" s="386" t="s">
        <v>11408</v>
      </c>
      <c r="Z3603" s="824">
        <v>94700</v>
      </c>
      <c r="AA3603" s="1095">
        <v>42187</v>
      </c>
      <c r="AB3603" s="386" t="s">
        <v>11409</v>
      </c>
      <c r="AD3603" s="386" t="s">
        <v>11410</v>
      </c>
      <c r="AE3603" s="1110">
        <v>96749</v>
      </c>
      <c r="AF3603" s="386" t="s">
        <v>11401</v>
      </c>
      <c r="AG3603" s="386"/>
    </row>
    <row r="3604" spans="1:33" ht="15.75" customHeight="1">
      <c r="A3604" s="743">
        <v>42194</v>
      </c>
      <c r="B3604" s="823" t="s">
        <v>10673</v>
      </c>
      <c r="C3604" s="970" t="s">
        <v>11411</v>
      </c>
      <c r="D3604" s="386" t="s">
        <v>11412</v>
      </c>
      <c r="E3604" s="592" t="s">
        <v>6261</v>
      </c>
      <c r="F3604" s="1088">
        <v>10</v>
      </c>
      <c r="G3604" s="752">
        <v>3840.9</v>
      </c>
      <c r="H3604" s="752">
        <f>G3604*F3604</f>
        <v>38409</v>
      </c>
      <c r="I3604" s="263" t="s">
        <v>10884</v>
      </c>
      <c r="J3604" s="267" t="s">
        <v>5882</v>
      </c>
      <c r="K3604" s="811">
        <v>42198</v>
      </c>
      <c r="L3604" s="1477"/>
      <c r="M3604" s="811">
        <v>42198</v>
      </c>
      <c r="N3604" s="267" t="s">
        <v>10778</v>
      </c>
      <c r="O3604" s="970" t="s">
        <v>11413</v>
      </c>
      <c r="Q3604" s="386"/>
      <c r="R3604" s="1088">
        <v>124.3</v>
      </c>
      <c r="S3604" s="1098">
        <f t="shared" si="227"/>
        <v>1243</v>
      </c>
      <c r="U3604" s="752">
        <v>36876</v>
      </c>
      <c r="V3604" s="386" t="s">
        <v>8443</v>
      </c>
      <c r="W3604" s="1083">
        <v>42282</v>
      </c>
      <c r="X3604" s="1094">
        <v>42201</v>
      </c>
      <c r="Y3604" s="386" t="s">
        <v>11414</v>
      </c>
      <c r="Z3604" s="824">
        <v>44251</v>
      </c>
      <c r="AA3604" s="1095">
        <v>42284</v>
      </c>
      <c r="AB3604" s="386" t="s">
        <v>11415</v>
      </c>
      <c r="AD3604" s="386"/>
      <c r="AE3604" s="1110">
        <v>38409</v>
      </c>
      <c r="AF3604" s="386" t="s">
        <v>11416</v>
      </c>
      <c r="AG3604" s="386"/>
    </row>
    <row r="3605" spans="1:33" ht="15.75" customHeight="1">
      <c r="A3605" s="743">
        <v>42194</v>
      </c>
      <c r="B3605" s="823" t="s">
        <v>10673</v>
      </c>
      <c r="C3605" s="970" t="s">
        <v>11411</v>
      </c>
      <c r="D3605" s="386" t="s">
        <v>11412</v>
      </c>
      <c r="E3605" s="338" t="s">
        <v>6992</v>
      </c>
      <c r="F3605" s="1088">
        <v>2</v>
      </c>
      <c r="G3605" s="752">
        <v>3840.9</v>
      </c>
      <c r="H3605" s="752">
        <f>G3605*F3605</f>
        <v>7681.8</v>
      </c>
      <c r="I3605" s="263" t="s">
        <v>10884</v>
      </c>
      <c r="J3605" s="267" t="s">
        <v>5882</v>
      </c>
      <c r="K3605" s="811">
        <v>42202</v>
      </c>
      <c r="L3605" s="1477"/>
      <c r="M3605" s="811">
        <v>42198</v>
      </c>
      <c r="N3605" s="267" t="s">
        <v>10778</v>
      </c>
      <c r="O3605" s="970" t="s">
        <v>11413</v>
      </c>
      <c r="Q3605" s="386"/>
      <c r="R3605" s="323">
        <v>125.11</v>
      </c>
      <c r="S3605" s="1098">
        <f t="shared" si="227"/>
        <v>250.22</v>
      </c>
      <c r="U3605" s="752">
        <v>7375</v>
      </c>
      <c r="V3605" s="386" t="s">
        <v>8443</v>
      </c>
      <c r="W3605" s="1083">
        <v>42282</v>
      </c>
      <c r="X3605" s="1094">
        <v>42201</v>
      </c>
      <c r="Y3605" s="386" t="s">
        <v>11414</v>
      </c>
      <c r="Z3605" s="585" t="s">
        <v>8588</v>
      </c>
      <c r="AA3605" s="1095">
        <v>42284</v>
      </c>
      <c r="AB3605" s="386" t="s">
        <v>11417</v>
      </c>
      <c r="AD3605" s="386"/>
      <c r="AE3605" s="1110">
        <v>7682</v>
      </c>
      <c r="AF3605" s="386" t="s">
        <v>11416</v>
      </c>
      <c r="AG3605" s="386"/>
    </row>
    <row r="3606" spans="1:33" ht="15.75" customHeight="1">
      <c r="A3606" s="743">
        <v>42200</v>
      </c>
      <c r="B3606" s="823" t="s">
        <v>10673</v>
      </c>
      <c r="C3606" s="386" t="s">
        <v>11418</v>
      </c>
      <c r="D3606" s="386" t="s">
        <v>11419</v>
      </c>
      <c r="E3606" s="592" t="s">
        <v>9854</v>
      </c>
      <c r="F3606" s="1088">
        <v>6</v>
      </c>
      <c r="G3606" s="752">
        <v>4080.3</v>
      </c>
      <c r="H3606" s="752">
        <f>G3606*F3606</f>
        <v>24481.800000000003</v>
      </c>
      <c r="I3606" s="263" t="s">
        <v>10884</v>
      </c>
      <c r="J3606" s="267" t="s">
        <v>11420</v>
      </c>
      <c r="K3606" s="811">
        <v>42205</v>
      </c>
      <c r="L3606" s="1477"/>
      <c r="M3606" s="811">
        <v>42202</v>
      </c>
      <c r="N3606" s="267" t="s">
        <v>10778</v>
      </c>
      <c r="O3606" s="970" t="s">
        <v>11421</v>
      </c>
      <c r="Q3606" s="386"/>
      <c r="R3606" s="1189">
        <f>G3606/30.9</f>
        <v>132.04854368932041</v>
      </c>
      <c r="S3606" s="1098">
        <f t="shared" si="227"/>
        <v>792.29126213592247</v>
      </c>
      <c r="U3606" s="752">
        <v>23512</v>
      </c>
      <c r="V3606" s="386" t="s">
        <v>8443</v>
      </c>
      <c r="W3606" s="1083">
        <v>42282</v>
      </c>
      <c r="X3606" s="1094">
        <v>42201</v>
      </c>
      <c r="Y3606" s="386" t="s">
        <v>11422</v>
      </c>
      <c r="Z3606" s="824">
        <v>47758</v>
      </c>
      <c r="AA3606" s="1095">
        <v>42284</v>
      </c>
      <c r="AB3606" s="386" t="s">
        <v>11423</v>
      </c>
      <c r="AD3606" s="386"/>
      <c r="AE3606" s="1110">
        <v>49732</v>
      </c>
      <c r="AF3606" s="386" t="s">
        <v>11424</v>
      </c>
      <c r="AG3606" s="386"/>
    </row>
    <row r="3607" spans="1:33" ht="15.75" customHeight="1">
      <c r="A3607" s="743">
        <v>42200</v>
      </c>
      <c r="B3607" s="823" t="s">
        <v>10673</v>
      </c>
      <c r="C3607" s="386" t="s">
        <v>11418</v>
      </c>
      <c r="D3607" s="386" t="s">
        <v>11419</v>
      </c>
      <c r="E3607" s="592" t="s">
        <v>9854</v>
      </c>
      <c r="F3607" s="1088">
        <v>4</v>
      </c>
      <c r="G3607" s="752">
        <v>4080.3</v>
      </c>
      <c r="H3607" s="752">
        <f>G3607*F3607</f>
        <v>16321.2</v>
      </c>
      <c r="I3607" s="263" t="s">
        <v>10884</v>
      </c>
      <c r="J3607" s="267" t="s">
        <v>11420</v>
      </c>
      <c r="K3607" s="811">
        <v>42205</v>
      </c>
      <c r="L3607" s="1477"/>
      <c r="M3607" s="811">
        <v>42202</v>
      </c>
      <c r="N3607" s="267" t="s">
        <v>10778</v>
      </c>
      <c r="O3607" s="970" t="s">
        <v>11421</v>
      </c>
      <c r="Q3607" s="386"/>
      <c r="R3607" s="1189">
        <f>G3607/30.9</f>
        <v>132.04854368932041</v>
      </c>
      <c r="S3607" s="1098">
        <f t="shared" si="227"/>
        <v>528.19417475728164</v>
      </c>
      <c r="U3607" s="752">
        <v>15674</v>
      </c>
      <c r="V3607" s="386" t="s">
        <v>8443</v>
      </c>
      <c r="W3607" s="1083">
        <v>42282</v>
      </c>
      <c r="X3607" s="1094">
        <v>42201</v>
      </c>
      <c r="Y3607" s="386" t="s">
        <v>11422</v>
      </c>
      <c r="Z3607" s="585" t="s">
        <v>8588</v>
      </c>
      <c r="AA3607" s="1095">
        <v>42284</v>
      </c>
      <c r="AB3607" s="386" t="s">
        <v>11423</v>
      </c>
      <c r="AD3607" s="386"/>
      <c r="AE3607" s="1110" t="s">
        <v>8588</v>
      </c>
      <c r="AF3607" s="386" t="s">
        <v>11424</v>
      </c>
      <c r="AG3607" s="386"/>
    </row>
    <row r="3608" spans="1:33" ht="15.75" customHeight="1">
      <c r="A3608" s="743">
        <v>42200</v>
      </c>
      <c r="B3608" s="823" t="s">
        <v>10673</v>
      </c>
      <c r="C3608" s="386" t="s">
        <v>11418</v>
      </c>
      <c r="D3608" s="386" t="s">
        <v>11419</v>
      </c>
      <c r="E3608" s="592" t="s">
        <v>11425</v>
      </c>
      <c r="F3608" s="1088">
        <v>1</v>
      </c>
      <c r="G3608" s="752">
        <v>8929.2000000000007</v>
      </c>
      <c r="H3608" s="752">
        <f>G3608*F3608</f>
        <v>8929.2000000000007</v>
      </c>
      <c r="I3608" s="263" t="s">
        <v>10884</v>
      </c>
      <c r="J3608" s="267" t="s">
        <v>11420</v>
      </c>
      <c r="K3608" s="811">
        <v>42205</v>
      </c>
      <c r="L3608" s="1477"/>
      <c r="M3608" s="811">
        <v>42202</v>
      </c>
      <c r="N3608" s="267" t="s">
        <v>10778</v>
      </c>
      <c r="O3608" s="970" t="s">
        <v>11421</v>
      </c>
      <c r="Q3608" s="386"/>
      <c r="R3608" s="1088">
        <v>288.97000000000003</v>
      </c>
      <c r="S3608" s="1098">
        <f t="shared" si="227"/>
        <v>288.97000000000003</v>
      </c>
      <c r="U3608" s="752">
        <v>8572</v>
      </c>
      <c r="V3608" s="386" t="s">
        <v>8443</v>
      </c>
      <c r="W3608" s="1083">
        <v>42282</v>
      </c>
      <c r="X3608" s="1094">
        <v>42201</v>
      </c>
      <c r="Y3608" s="386" t="s">
        <v>11422</v>
      </c>
      <c r="Z3608" s="585" t="s">
        <v>8588</v>
      </c>
      <c r="AA3608" s="1095">
        <v>42284</v>
      </c>
      <c r="AB3608" s="386" t="s">
        <v>11423</v>
      </c>
      <c r="AD3608" s="386"/>
      <c r="AE3608" s="1110" t="s">
        <v>8588</v>
      </c>
      <c r="AF3608" s="386" t="s">
        <v>11424</v>
      </c>
      <c r="AG3608" s="386"/>
    </row>
    <row r="3609" spans="1:33" ht="15.75" customHeight="1">
      <c r="A3609" s="743">
        <v>42200</v>
      </c>
      <c r="B3609" s="823" t="s">
        <v>10673</v>
      </c>
      <c r="C3609" s="970" t="s">
        <v>11426</v>
      </c>
      <c r="D3609" s="386" t="s">
        <v>11427</v>
      </c>
      <c r="E3609" s="592" t="s">
        <v>7207</v>
      </c>
      <c r="F3609" s="1088">
        <v>2</v>
      </c>
      <c r="G3609" s="386"/>
      <c r="H3609" s="752">
        <v>12768</v>
      </c>
      <c r="I3609" s="263" t="s">
        <v>10884</v>
      </c>
      <c r="J3609" s="267" t="s">
        <v>89</v>
      </c>
      <c r="K3609" s="811">
        <v>42208</v>
      </c>
      <c r="L3609" s="1477"/>
      <c r="M3609" s="386"/>
      <c r="N3609" s="267" t="s">
        <v>89</v>
      </c>
      <c r="O3609" s="263" t="s">
        <v>11428</v>
      </c>
      <c r="Q3609" s="752">
        <v>357</v>
      </c>
      <c r="R3609" s="1088">
        <v>204.75</v>
      </c>
      <c r="S3609" s="1098">
        <f t="shared" si="227"/>
        <v>409.5</v>
      </c>
      <c r="U3609" s="386"/>
      <c r="V3609" s="386" t="s">
        <v>10751</v>
      </c>
      <c r="W3609" s="386"/>
      <c r="X3609" s="1094">
        <v>42208</v>
      </c>
      <c r="Y3609" s="386" t="s">
        <v>11429</v>
      </c>
      <c r="Z3609" s="824">
        <v>11056</v>
      </c>
      <c r="AA3609" s="1095">
        <v>42220</v>
      </c>
      <c r="AB3609" s="386" t="s">
        <v>11430</v>
      </c>
      <c r="AD3609" s="386" t="s">
        <v>11431</v>
      </c>
      <c r="AE3609" s="1110">
        <v>12768</v>
      </c>
      <c r="AF3609" s="386" t="s">
        <v>11432</v>
      </c>
      <c r="AG3609" s="386"/>
    </row>
    <row r="3610" spans="1:33" ht="15.75" customHeight="1">
      <c r="A3610" s="743">
        <v>42201</v>
      </c>
      <c r="B3610" s="823" t="s">
        <v>10673</v>
      </c>
      <c r="C3610" s="970" t="s">
        <v>11433</v>
      </c>
      <c r="D3610" s="386" t="s">
        <v>11434</v>
      </c>
      <c r="E3610" s="592" t="s">
        <v>11435</v>
      </c>
      <c r="F3610" s="1088">
        <v>1</v>
      </c>
      <c r="G3610" s="752">
        <v>2300.5500000000002</v>
      </c>
      <c r="H3610" s="752">
        <f>G3610*F3610</f>
        <v>2300.5500000000002</v>
      </c>
      <c r="I3610" s="263" t="s">
        <v>10884</v>
      </c>
      <c r="J3610" s="267" t="s">
        <v>11420</v>
      </c>
      <c r="K3610" s="811">
        <v>42205</v>
      </c>
      <c r="L3610" s="1477"/>
      <c r="M3610" s="1099">
        <v>42202</v>
      </c>
      <c r="N3610" s="267" t="s">
        <v>10778</v>
      </c>
      <c r="O3610" s="970" t="s">
        <v>11436</v>
      </c>
      <c r="Q3610" s="386"/>
      <c r="R3610" s="1088">
        <v>74.45</v>
      </c>
      <c r="S3610" s="1098">
        <f t="shared" si="227"/>
        <v>74.45</v>
      </c>
      <c r="U3610" s="752">
        <v>2208</v>
      </c>
      <c r="V3610" s="386" t="s">
        <v>8443</v>
      </c>
      <c r="W3610" s="1083">
        <v>42282</v>
      </c>
      <c r="X3610" s="1094">
        <v>42201</v>
      </c>
      <c r="Y3610" s="386" t="s">
        <v>11437</v>
      </c>
      <c r="Z3610" s="585">
        <v>2208</v>
      </c>
      <c r="AA3610" s="1095">
        <v>42284</v>
      </c>
      <c r="AB3610" s="386" t="s">
        <v>11438</v>
      </c>
      <c r="AD3610" s="386"/>
      <c r="AE3610" s="1110">
        <v>2301</v>
      </c>
      <c r="AF3610" s="386" t="s">
        <v>11424</v>
      </c>
      <c r="AG3610" s="386"/>
    </row>
    <row r="3611" spans="1:33" ht="15.75" customHeight="1">
      <c r="A3611" s="743">
        <v>42214</v>
      </c>
      <c r="B3611" s="823" t="s">
        <v>10673</v>
      </c>
      <c r="C3611" s="970" t="s">
        <v>11439</v>
      </c>
      <c r="D3611" s="386" t="s">
        <v>11440</v>
      </c>
      <c r="E3611" s="592" t="s">
        <v>11441</v>
      </c>
      <c r="F3611" s="1088">
        <v>1</v>
      </c>
      <c r="G3611" s="752">
        <v>5007</v>
      </c>
      <c r="H3611" s="752">
        <v>5007</v>
      </c>
      <c r="I3611" s="263" t="s">
        <v>10900</v>
      </c>
      <c r="J3611" s="267" t="s">
        <v>11420</v>
      </c>
      <c r="K3611" s="811">
        <v>42227</v>
      </c>
      <c r="L3611" s="1477"/>
      <c r="M3611" s="811">
        <v>42226</v>
      </c>
      <c r="N3611" s="1198" t="s">
        <v>11442</v>
      </c>
      <c r="O3611" s="970" t="s">
        <v>11443</v>
      </c>
      <c r="Q3611" s="386"/>
      <c r="R3611" s="1088">
        <v>158.55000000000001</v>
      </c>
      <c r="S3611" s="752">
        <f t="shared" si="227"/>
        <v>158.55000000000001</v>
      </c>
      <c r="U3611" s="752">
        <v>4755</v>
      </c>
      <c r="V3611" s="386" t="s">
        <v>5666</v>
      </c>
      <c r="W3611" s="1095">
        <v>42221</v>
      </c>
      <c r="X3611" s="1094">
        <v>42226</v>
      </c>
      <c r="Y3611" s="386" t="s">
        <v>11444</v>
      </c>
      <c r="Z3611" s="824">
        <v>4755</v>
      </c>
      <c r="AA3611" s="1095">
        <v>42221</v>
      </c>
      <c r="AB3611" s="386" t="s">
        <v>11445</v>
      </c>
      <c r="AD3611" s="386" t="s">
        <v>11446</v>
      </c>
      <c r="AE3611" s="1110">
        <v>5007</v>
      </c>
      <c r="AF3611" s="386" t="s">
        <v>11447</v>
      </c>
      <c r="AG3611" s="386"/>
    </row>
    <row r="3612" spans="1:33" ht="15.75" customHeight="1">
      <c r="A3612" s="743">
        <v>42219</v>
      </c>
      <c r="B3612" s="823" t="s">
        <v>10673</v>
      </c>
      <c r="C3612" s="970" t="s">
        <v>11448</v>
      </c>
      <c r="D3612" s="386" t="s">
        <v>11449</v>
      </c>
      <c r="E3612" s="592" t="s">
        <v>11450</v>
      </c>
      <c r="F3612" s="1088">
        <v>10</v>
      </c>
      <c r="G3612" s="386"/>
      <c r="H3612" s="386"/>
      <c r="I3612" s="263" t="s">
        <v>10900</v>
      </c>
      <c r="J3612" s="267" t="s">
        <v>89</v>
      </c>
      <c r="K3612" s="811">
        <v>42240</v>
      </c>
      <c r="L3612" s="1477"/>
      <c r="M3612" s="386"/>
      <c r="N3612" s="267" t="s">
        <v>89</v>
      </c>
      <c r="O3612" s="263" t="s">
        <v>11451</v>
      </c>
      <c r="Q3612" s="752">
        <v>801.68</v>
      </c>
      <c r="R3612" s="1088">
        <v>89.25</v>
      </c>
      <c r="S3612" s="1088">
        <f t="shared" si="227"/>
        <v>892.5</v>
      </c>
      <c r="U3612" s="386"/>
      <c r="V3612" s="386" t="s">
        <v>10751</v>
      </c>
      <c r="W3612" s="386"/>
      <c r="X3612" s="1094">
        <v>42240</v>
      </c>
      <c r="Y3612" s="386" t="s">
        <v>11452</v>
      </c>
      <c r="Z3612" s="824">
        <v>25686</v>
      </c>
      <c r="AA3612" s="386"/>
      <c r="AB3612" s="386" t="s">
        <v>11453</v>
      </c>
      <c r="AD3612" s="386" t="s">
        <v>11454</v>
      </c>
      <c r="AE3612" s="1110">
        <v>29078</v>
      </c>
      <c r="AF3612" s="386" t="s">
        <v>11455</v>
      </c>
      <c r="AG3612" s="386"/>
    </row>
    <row r="3613" spans="1:33" ht="15.75" customHeight="1">
      <c r="A3613" s="743">
        <v>42222</v>
      </c>
      <c r="B3613" s="823" t="s">
        <v>10673</v>
      </c>
      <c r="C3613" s="970" t="s">
        <v>11456</v>
      </c>
      <c r="D3613" s="386" t="s">
        <v>11457</v>
      </c>
      <c r="E3613" s="592" t="s">
        <v>11297</v>
      </c>
      <c r="F3613" s="1088">
        <v>2</v>
      </c>
      <c r="G3613" s="1088">
        <v>5502</v>
      </c>
      <c r="H3613" s="1088">
        <f>G3613*F3613</f>
        <v>11004</v>
      </c>
      <c r="I3613" s="263" t="s">
        <v>10900</v>
      </c>
      <c r="J3613" s="267" t="s">
        <v>11420</v>
      </c>
      <c r="K3613" s="811">
        <v>42227</v>
      </c>
      <c r="L3613" s="1477"/>
      <c r="M3613" s="811">
        <v>42226</v>
      </c>
      <c r="N3613" s="267" t="s">
        <v>10778</v>
      </c>
      <c r="O3613" s="970" t="s">
        <v>11458</v>
      </c>
      <c r="Q3613" s="386"/>
      <c r="R3613" s="1088">
        <v>174.67</v>
      </c>
      <c r="S3613" s="1088">
        <f t="shared" si="227"/>
        <v>349.34</v>
      </c>
      <c r="U3613" s="1183">
        <v>10563</v>
      </c>
      <c r="V3613" s="386" t="s">
        <v>8443</v>
      </c>
      <c r="W3613" s="1083">
        <v>42311</v>
      </c>
      <c r="X3613" s="1094">
        <v>42226</v>
      </c>
      <c r="Y3613" s="386" t="s">
        <v>11459</v>
      </c>
      <c r="Z3613" s="585">
        <v>10563</v>
      </c>
      <c r="AA3613" s="1095">
        <v>42303</v>
      </c>
      <c r="AB3613" s="386" t="s">
        <v>11460</v>
      </c>
      <c r="AD3613" s="386"/>
      <c r="AE3613" s="1110">
        <v>40277</v>
      </c>
      <c r="AF3613" s="386" t="s">
        <v>11447</v>
      </c>
      <c r="AG3613" s="386"/>
    </row>
    <row r="3614" spans="1:33" ht="15.75" customHeight="1">
      <c r="A3614" s="743">
        <v>42222</v>
      </c>
      <c r="B3614" s="823" t="s">
        <v>10673</v>
      </c>
      <c r="C3614" s="970" t="s">
        <v>11456</v>
      </c>
      <c r="D3614" s="386" t="s">
        <v>11457</v>
      </c>
      <c r="E3614" s="592" t="s">
        <v>11101</v>
      </c>
      <c r="F3614" s="1088">
        <v>2</v>
      </c>
      <c r="G3614" s="1088">
        <v>4567.5</v>
      </c>
      <c r="H3614" s="1088">
        <f>G3614*F3614</f>
        <v>9135</v>
      </c>
      <c r="I3614" s="263" t="s">
        <v>10900</v>
      </c>
      <c r="J3614" s="267" t="s">
        <v>11420</v>
      </c>
      <c r="K3614" s="811">
        <v>42227</v>
      </c>
      <c r="L3614" s="1477"/>
      <c r="M3614" s="811">
        <v>42226</v>
      </c>
      <c r="N3614" s="267" t="s">
        <v>10778</v>
      </c>
      <c r="O3614" s="970" t="s">
        <v>11458</v>
      </c>
      <c r="Q3614" s="386"/>
      <c r="R3614" s="1088">
        <v>145</v>
      </c>
      <c r="S3614" s="1088">
        <f t="shared" si="227"/>
        <v>290</v>
      </c>
      <c r="U3614" s="1183">
        <v>8769</v>
      </c>
      <c r="V3614" s="386" t="s">
        <v>8443</v>
      </c>
      <c r="W3614" s="1083">
        <v>42311</v>
      </c>
      <c r="X3614" s="1094">
        <v>42226</v>
      </c>
      <c r="Y3614" s="386" t="s">
        <v>11459</v>
      </c>
      <c r="Z3614" s="585">
        <v>8770</v>
      </c>
      <c r="AA3614" s="1095">
        <v>42303</v>
      </c>
      <c r="AB3614" s="386" t="s">
        <v>11460</v>
      </c>
      <c r="AD3614" s="386"/>
      <c r="AE3614" s="1088" t="s">
        <v>8588</v>
      </c>
      <c r="AF3614" s="386" t="s">
        <v>11447</v>
      </c>
      <c r="AG3614" s="386"/>
    </row>
    <row r="3615" spans="1:33" ht="15.75" customHeight="1">
      <c r="A3615" s="743">
        <v>42222</v>
      </c>
      <c r="B3615" s="823" t="s">
        <v>10673</v>
      </c>
      <c r="C3615" s="970" t="s">
        <v>11456</v>
      </c>
      <c r="D3615" s="386" t="s">
        <v>11457</v>
      </c>
      <c r="E3615" s="592" t="s">
        <v>11081</v>
      </c>
      <c r="F3615" s="1088">
        <v>9</v>
      </c>
      <c r="G3615" s="1088">
        <v>2237.5500000000002</v>
      </c>
      <c r="H3615" s="1088">
        <f>G3615*F3615</f>
        <v>20137.95</v>
      </c>
      <c r="I3615" s="263" t="s">
        <v>10900</v>
      </c>
      <c r="J3615" s="267" t="s">
        <v>11420</v>
      </c>
      <c r="K3615" s="811">
        <v>42227</v>
      </c>
      <c r="L3615" s="1477"/>
      <c r="M3615" s="811">
        <v>42226</v>
      </c>
      <c r="N3615" s="267" t="s">
        <v>10778</v>
      </c>
      <c r="O3615" s="970" t="s">
        <v>11458</v>
      </c>
      <c r="Q3615" s="386"/>
      <c r="R3615" s="1088">
        <v>71.03</v>
      </c>
      <c r="S3615" s="1088">
        <f t="shared" si="227"/>
        <v>639.27</v>
      </c>
      <c r="U3615" s="1183">
        <v>19335</v>
      </c>
      <c r="V3615" s="386" t="s">
        <v>8443</v>
      </c>
      <c r="W3615" s="1083">
        <v>42311</v>
      </c>
      <c r="X3615" s="1094">
        <v>42226</v>
      </c>
      <c r="Y3615" s="386" t="s">
        <v>11459</v>
      </c>
      <c r="Z3615" s="585">
        <v>19335</v>
      </c>
      <c r="AA3615" s="1095">
        <v>42303</v>
      </c>
      <c r="AB3615" s="386" t="s">
        <v>11460</v>
      </c>
      <c r="AD3615" s="386"/>
      <c r="AE3615" s="1088" t="s">
        <v>8588</v>
      </c>
      <c r="AF3615" s="386" t="s">
        <v>11447</v>
      </c>
      <c r="AG3615" s="386"/>
    </row>
    <row r="3616" spans="1:33" ht="15.75" customHeight="1">
      <c r="A3616" s="743">
        <v>42223</v>
      </c>
      <c r="B3616" s="823" t="s">
        <v>10673</v>
      </c>
      <c r="C3616" s="970" t="s">
        <v>11461</v>
      </c>
      <c r="D3616" s="386" t="s">
        <v>11462</v>
      </c>
      <c r="E3616" s="592" t="s">
        <v>7207</v>
      </c>
      <c r="F3616" s="1088">
        <v>10</v>
      </c>
      <c r="G3616" s="386"/>
      <c r="H3616" s="386"/>
      <c r="I3616" s="263" t="s">
        <v>10900</v>
      </c>
      <c r="J3616" s="267" t="s">
        <v>89</v>
      </c>
      <c r="K3616" s="1192">
        <v>42233</v>
      </c>
      <c r="L3616" s="1487"/>
      <c r="M3616" s="386"/>
      <c r="N3616" s="267" t="s">
        <v>89</v>
      </c>
      <c r="O3616" s="263" t="s">
        <v>11463</v>
      </c>
      <c r="Q3616" s="752">
        <v>1785</v>
      </c>
      <c r="R3616" s="1088">
        <v>204.75</v>
      </c>
      <c r="S3616" s="1088">
        <f t="shared" si="227"/>
        <v>2047.5</v>
      </c>
      <c r="U3616" s="386"/>
      <c r="V3616" s="386" t="s">
        <v>10751</v>
      </c>
      <c r="W3616" s="386"/>
      <c r="X3616" s="1094">
        <v>42233</v>
      </c>
      <c r="Y3616" s="386" t="s">
        <v>11464</v>
      </c>
      <c r="Z3616" s="824">
        <v>56352</v>
      </c>
      <c r="AA3616" s="386"/>
      <c r="AB3616" s="386" t="s">
        <v>11465</v>
      </c>
      <c r="AD3616" s="386" t="s">
        <v>11466</v>
      </c>
      <c r="AE3616" s="1110">
        <v>65664</v>
      </c>
      <c r="AF3616" s="386" t="s">
        <v>11467</v>
      </c>
      <c r="AG3616" s="386"/>
    </row>
    <row r="3617" spans="1:33" ht="15.75" customHeight="1">
      <c r="A3617" s="743">
        <v>42237</v>
      </c>
      <c r="B3617" s="823" t="s">
        <v>10673</v>
      </c>
      <c r="C3617" s="970" t="s">
        <v>11468</v>
      </c>
      <c r="D3617" s="386" t="s">
        <v>11469</v>
      </c>
      <c r="E3617" s="592" t="s">
        <v>11470</v>
      </c>
      <c r="F3617" s="1088">
        <v>2</v>
      </c>
      <c r="G3617" s="1197">
        <v>3075.4500000000003</v>
      </c>
      <c r="H3617" s="1197">
        <f t="shared" ref="H3617:H3630" si="228">G3617*F3617</f>
        <v>6150.9000000000005</v>
      </c>
      <c r="I3617" s="263" t="s">
        <v>10900</v>
      </c>
      <c r="J3617" s="267" t="s">
        <v>11420</v>
      </c>
      <c r="K3617" s="811">
        <v>42241</v>
      </c>
      <c r="L3617" s="1477"/>
      <c r="M3617" s="811">
        <v>42240</v>
      </c>
      <c r="N3617" s="267" t="s">
        <v>10778</v>
      </c>
      <c r="O3617" s="970" t="s">
        <v>11471</v>
      </c>
      <c r="Q3617" s="386"/>
      <c r="R3617" s="1189">
        <v>97.63333333333334</v>
      </c>
      <c r="S3617" s="1189">
        <f t="shared" si="227"/>
        <v>195.26666666666668</v>
      </c>
      <c r="U3617" s="1108">
        <v>5905</v>
      </c>
      <c r="V3617" s="386" t="s">
        <v>8443</v>
      </c>
      <c r="W3617" s="1083">
        <v>42311</v>
      </c>
      <c r="X3617" s="1094">
        <v>42237</v>
      </c>
      <c r="Y3617" s="386" t="s">
        <v>11472</v>
      </c>
      <c r="Z3617" s="824">
        <v>54470</v>
      </c>
      <c r="AA3617" s="1095">
        <v>42303</v>
      </c>
      <c r="AB3617" s="386" t="s">
        <v>11473</v>
      </c>
      <c r="AD3617" s="386"/>
      <c r="AE3617" s="1110">
        <v>50020</v>
      </c>
      <c r="AF3617" s="386" t="s">
        <v>11455</v>
      </c>
      <c r="AG3617" s="386"/>
    </row>
    <row r="3618" spans="1:33" ht="15.75" customHeight="1">
      <c r="A3618" s="743">
        <v>42237</v>
      </c>
      <c r="B3618" s="823" t="s">
        <v>10673</v>
      </c>
      <c r="C3618" s="970" t="s">
        <v>11468</v>
      </c>
      <c r="D3618" s="386" t="s">
        <v>11469</v>
      </c>
      <c r="E3618" s="592" t="s">
        <v>3923</v>
      </c>
      <c r="F3618" s="1088">
        <v>1</v>
      </c>
      <c r="G3618" s="1197">
        <v>5385.45</v>
      </c>
      <c r="H3618" s="1197">
        <f t="shared" si="228"/>
        <v>5385.45</v>
      </c>
      <c r="I3618" s="263" t="s">
        <v>10900</v>
      </c>
      <c r="J3618" s="267" t="s">
        <v>11420</v>
      </c>
      <c r="K3618" s="811">
        <v>42241</v>
      </c>
      <c r="L3618" s="1477"/>
      <c r="M3618" s="811">
        <v>42240</v>
      </c>
      <c r="N3618" s="267" t="s">
        <v>10778</v>
      </c>
      <c r="O3618" s="970" t="s">
        <v>11471</v>
      </c>
      <c r="Q3618" s="386"/>
      <c r="R3618" s="1189">
        <v>170.96666666666667</v>
      </c>
      <c r="S3618" s="1189">
        <f t="shared" si="227"/>
        <v>170.96666666666667</v>
      </c>
      <c r="U3618" s="1108">
        <v>5170</v>
      </c>
      <c r="V3618" s="386" t="s">
        <v>8443</v>
      </c>
      <c r="W3618" s="1083">
        <v>42311</v>
      </c>
      <c r="X3618" s="1094">
        <v>42237</v>
      </c>
      <c r="Y3618" s="386" t="s">
        <v>11472</v>
      </c>
      <c r="Z3618" s="585" t="s">
        <v>8588</v>
      </c>
      <c r="AA3618" s="1095">
        <v>42303</v>
      </c>
      <c r="AB3618" s="386" t="s">
        <v>11473</v>
      </c>
      <c r="AD3618" s="386"/>
      <c r="AE3618" s="1110" t="s">
        <v>8588</v>
      </c>
      <c r="AF3618" s="386" t="s">
        <v>11455</v>
      </c>
      <c r="AG3618" s="386"/>
    </row>
    <row r="3619" spans="1:33" ht="15.75" customHeight="1">
      <c r="A3619" s="743">
        <v>42237</v>
      </c>
      <c r="B3619" s="823" t="s">
        <v>10673</v>
      </c>
      <c r="C3619" s="970" t="s">
        <v>11468</v>
      </c>
      <c r="D3619" s="386" t="s">
        <v>11469</v>
      </c>
      <c r="E3619" s="592" t="s">
        <v>11474</v>
      </c>
      <c r="F3619" s="1088">
        <v>2</v>
      </c>
      <c r="G3619" s="1197">
        <v>8087.1</v>
      </c>
      <c r="H3619" s="1197">
        <f t="shared" si="228"/>
        <v>16174.2</v>
      </c>
      <c r="I3619" s="263" t="s">
        <v>10900</v>
      </c>
      <c r="J3619" s="267" t="s">
        <v>11420</v>
      </c>
      <c r="K3619" s="811">
        <v>42241</v>
      </c>
      <c r="L3619" s="1477"/>
      <c r="M3619" s="811">
        <v>42240</v>
      </c>
      <c r="N3619" s="267" t="s">
        <v>10778</v>
      </c>
      <c r="O3619" s="970" t="s">
        <v>11471</v>
      </c>
      <c r="Q3619" s="386"/>
      <c r="R3619" s="1189">
        <v>256.73333333333335</v>
      </c>
      <c r="S3619" s="1189">
        <f t="shared" si="227"/>
        <v>513.4666666666667</v>
      </c>
      <c r="U3619" s="1108">
        <v>15527</v>
      </c>
      <c r="V3619" s="386" t="s">
        <v>8443</v>
      </c>
      <c r="W3619" s="1083">
        <v>42311</v>
      </c>
      <c r="X3619" s="1094">
        <v>42237</v>
      </c>
      <c r="Y3619" s="386" t="s">
        <v>11472</v>
      </c>
      <c r="Z3619" s="585" t="s">
        <v>8588</v>
      </c>
      <c r="AA3619" s="1095">
        <v>42303</v>
      </c>
      <c r="AB3619" s="386" t="s">
        <v>11473</v>
      </c>
      <c r="AD3619" s="386"/>
      <c r="AE3619" s="1110" t="s">
        <v>8588</v>
      </c>
      <c r="AF3619" s="386" t="s">
        <v>11455</v>
      </c>
      <c r="AG3619" s="386"/>
    </row>
    <row r="3620" spans="1:33" ht="15.75" customHeight="1">
      <c r="A3620" s="743">
        <v>42237</v>
      </c>
      <c r="B3620" s="823" t="s">
        <v>10673</v>
      </c>
      <c r="C3620" s="970" t="s">
        <v>11468</v>
      </c>
      <c r="D3620" s="386" t="s">
        <v>11469</v>
      </c>
      <c r="E3620" s="592" t="s">
        <v>11435</v>
      </c>
      <c r="F3620" s="1088">
        <v>2</v>
      </c>
      <c r="G3620" s="1197">
        <v>2300.5500000000002</v>
      </c>
      <c r="H3620" s="1197">
        <f t="shared" si="228"/>
        <v>4601.1000000000004</v>
      </c>
      <c r="I3620" s="263" t="s">
        <v>10900</v>
      </c>
      <c r="J3620" s="267" t="s">
        <v>11420</v>
      </c>
      <c r="K3620" s="811">
        <v>42241</v>
      </c>
      <c r="L3620" s="1477"/>
      <c r="M3620" s="811">
        <v>42240</v>
      </c>
      <c r="N3620" s="267" t="s">
        <v>10778</v>
      </c>
      <c r="O3620" s="970" t="s">
        <v>11471</v>
      </c>
      <c r="Q3620" s="386"/>
      <c r="R3620" s="1189">
        <v>73.033333333333346</v>
      </c>
      <c r="S3620" s="1189">
        <f t="shared" si="227"/>
        <v>146.06666666666669</v>
      </c>
      <c r="U3620" s="1108">
        <v>4416</v>
      </c>
      <c r="V3620" s="386" t="s">
        <v>8443</v>
      </c>
      <c r="W3620" s="1083">
        <v>42311</v>
      </c>
      <c r="X3620" s="1094">
        <v>42237</v>
      </c>
      <c r="Y3620" s="386" t="s">
        <v>11472</v>
      </c>
      <c r="Z3620" s="585" t="s">
        <v>8588</v>
      </c>
      <c r="AA3620" s="1095">
        <v>42303</v>
      </c>
      <c r="AB3620" s="386" t="s">
        <v>11473</v>
      </c>
      <c r="AD3620" s="386"/>
      <c r="AE3620" s="1110" t="s">
        <v>8588</v>
      </c>
      <c r="AF3620" s="386" t="s">
        <v>11455</v>
      </c>
      <c r="AG3620" s="386"/>
    </row>
    <row r="3621" spans="1:33" ht="15.75" customHeight="1">
      <c r="A3621" s="743">
        <v>42237</v>
      </c>
      <c r="B3621" s="823" t="s">
        <v>10673</v>
      </c>
      <c r="C3621" s="970" t="s">
        <v>11468</v>
      </c>
      <c r="D3621" s="386" t="s">
        <v>11469</v>
      </c>
      <c r="E3621" s="592" t="s">
        <v>6404</v>
      </c>
      <c r="F3621" s="1088">
        <v>5</v>
      </c>
      <c r="G3621" s="1197">
        <v>3541.65</v>
      </c>
      <c r="H3621" s="1197">
        <f t="shared" si="228"/>
        <v>17708.25</v>
      </c>
      <c r="I3621" s="263" t="s">
        <v>10900</v>
      </c>
      <c r="J3621" s="267" t="s">
        <v>11420</v>
      </c>
      <c r="K3621" s="811">
        <v>42241</v>
      </c>
      <c r="L3621" s="1477"/>
      <c r="M3621" s="811">
        <v>42240</v>
      </c>
      <c r="N3621" s="267" t="s">
        <v>10778</v>
      </c>
      <c r="O3621" s="970" t="s">
        <v>11471</v>
      </c>
      <c r="Q3621" s="386"/>
      <c r="R3621" s="1189">
        <v>112.43333333333334</v>
      </c>
      <c r="S3621" s="1189">
        <f t="shared" si="227"/>
        <v>562.16666666666674</v>
      </c>
      <c r="U3621" s="1108">
        <v>17001</v>
      </c>
      <c r="V3621" s="386" t="s">
        <v>8443</v>
      </c>
      <c r="W3621" s="1083">
        <v>42311</v>
      </c>
      <c r="X3621" s="1094">
        <v>42237</v>
      </c>
      <c r="Y3621" s="386" t="s">
        <v>11472</v>
      </c>
      <c r="Z3621" s="585" t="s">
        <v>8588</v>
      </c>
      <c r="AA3621" s="1095">
        <v>42303</v>
      </c>
      <c r="AB3621" s="386" t="s">
        <v>11473</v>
      </c>
      <c r="AD3621" s="386"/>
      <c r="AE3621" s="1110" t="s">
        <v>8588</v>
      </c>
      <c r="AF3621" s="386" t="s">
        <v>11455</v>
      </c>
      <c r="AG3621" s="386"/>
    </row>
    <row r="3622" spans="1:33" ht="15.75" customHeight="1">
      <c r="A3622" s="743">
        <v>42237</v>
      </c>
      <c r="B3622" s="823" t="s">
        <v>10673</v>
      </c>
      <c r="C3622" s="970" t="s">
        <v>11468</v>
      </c>
      <c r="D3622" s="386" t="s">
        <v>11469</v>
      </c>
      <c r="E3622" s="592" t="s">
        <v>4034</v>
      </c>
      <c r="F3622" s="1088">
        <v>3</v>
      </c>
      <c r="G3622" s="1197">
        <v>2239.65</v>
      </c>
      <c r="H3622" s="1197">
        <f t="shared" si="228"/>
        <v>6718.9500000000007</v>
      </c>
      <c r="I3622" s="263" t="s">
        <v>10900</v>
      </c>
      <c r="J3622" s="267" t="s">
        <v>11420</v>
      </c>
      <c r="K3622" s="811">
        <v>42241</v>
      </c>
      <c r="L3622" s="1477"/>
      <c r="M3622" s="811">
        <v>42240</v>
      </c>
      <c r="N3622" s="267" t="s">
        <v>10778</v>
      </c>
      <c r="O3622" s="970" t="s">
        <v>11471</v>
      </c>
      <c r="Q3622" s="386"/>
      <c r="R3622" s="1189">
        <v>71.100000000000009</v>
      </c>
      <c r="S3622" s="1189">
        <f t="shared" si="227"/>
        <v>213.3</v>
      </c>
      <c r="U3622" s="1108">
        <v>6451</v>
      </c>
      <c r="V3622" s="386" t="s">
        <v>8443</v>
      </c>
      <c r="W3622" s="1083">
        <v>42311</v>
      </c>
      <c r="X3622" s="1094">
        <v>42237</v>
      </c>
      <c r="Y3622" s="386" t="s">
        <v>11472</v>
      </c>
      <c r="Z3622" s="585" t="s">
        <v>8588</v>
      </c>
      <c r="AA3622" s="1095">
        <v>42303</v>
      </c>
      <c r="AB3622" s="386" t="s">
        <v>11475</v>
      </c>
      <c r="AD3622" s="386"/>
      <c r="AE3622" s="1110">
        <v>6719</v>
      </c>
      <c r="AF3622" s="386" t="s">
        <v>11455</v>
      </c>
      <c r="AG3622" s="386"/>
    </row>
    <row r="3623" spans="1:33" ht="15.75" customHeight="1">
      <c r="A3623" s="743">
        <v>42249</v>
      </c>
      <c r="B3623" s="823" t="s">
        <v>10673</v>
      </c>
      <c r="C3623" s="970" t="s">
        <v>11476</v>
      </c>
      <c r="D3623" s="386" t="s">
        <v>11477</v>
      </c>
      <c r="E3623" s="592" t="s">
        <v>11478</v>
      </c>
      <c r="F3623" s="1088">
        <v>2</v>
      </c>
      <c r="G3623" s="752">
        <v>3840.9</v>
      </c>
      <c r="H3623" s="1108">
        <f t="shared" si="228"/>
        <v>7681.8</v>
      </c>
      <c r="I3623" s="263" t="s">
        <v>10900</v>
      </c>
      <c r="J3623" s="267" t="s">
        <v>11420</v>
      </c>
      <c r="K3623" s="811">
        <v>42255</v>
      </c>
      <c r="L3623" s="1477"/>
      <c r="M3623" s="811">
        <v>42254</v>
      </c>
      <c r="N3623" s="267" t="s">
        <v>10778</v>
      </c>
      <c r="O3623" s="970" t="s">
        <v>11479</v>
      </c>
      <c r="Q3623" s="386"/>
      <c r="R3623" s="1200">
        <v>118.185</v>
      </c>
      <c r="S3623" s="1098">
        <f t="shared" si="227"/>
        <v>236.37</v>
      </c>
      <c r="U3623" s="752">
        <v>7375</v>
      </c>
      <c r="V3623" s="386" t="s">
        <v>8443</v>
      </c>
      <c r="W3623" s="1083">
        <v>42343</v>
      </c>
      <c r="X3623" s="1094">
        <v>42250</v>
      </c>
      <c r="Y3623" s="386" t="s">
        <v>11480</v>
      </c>
      <c r="Z3623" s="824">
        <v>47263</v>
      </c>
      <c r="AA3623" s="1090">
        <v>42341</v>
      </c>
      <c r="AB3623" s="386" t="s">
        <v>11481</v>
      </c>
      <c r="AD3623" s="386"/>
      <c r="AE3623" s="824">
        <v>49226</v>
      </c>
      <c r="AF3623" s="386" t="s">
        <v>11482</v>
      </c>
      <c r="AG3623" s="386"/>
    </row>
    <row r="3624" spans="1:33" ht="15.75" customHeight="1">
      <c r="A3624" s="743">
        <v>42249</v>
      </c>
      <c r="B3624" s="823" t="s">
        <v>10673</v>
      </c>
      <c r="C3624" s="970" t="s">
        <v>11476</v>
      </c>
      <c r="D3624" s="386" t="s">
        <v>11477</v>
      </c>
      <c r="E3624" s="592" t="s">
        <v>3510</v>
      </c>
      <c r="F3624" s="1088">
        <v>3</v>
      </c>
      <c r="G3624" s="752">
        <v>4288.2</v>
      </c>
      <c r="H3624" s="1108">
        <f t="shared" si="228"/>
        <v>12864.599999999999</v>
      </c>
      <c r="I3624" s="263" t="s">
        <v>10900</v>
      </c>
      <c r="J3624" s="267" t="s">
        <v>11420</v>
      </c>
      <c r="K3624" s="811">
        <v>42255</v>
      </c>
      <c r="L3624" s="1477"/>
      <c r="M3624" s="811">
        <v>42254</v>
      </c>
      <c r="N3624" s="267" t="s">
        <v>10778</v>
      </c>
      <c r="O3624" s="970" t="s">
        <v>11479</v>
      </c>
      <c r="Q3624" s="386"/>
      <c r="R3624" s="1200">
        <f>G3624/32.5</f>
        <v>131.94461538461539</v>
      </c>
      <c r="S3624" s="1098">
        <f t="shared" si="227"/>
        <v>395.83384615384614</v>
      </c>
      <c r="U3624" s="1183">
        <v>12351</v>
      </c>
      <c r="V3624" s="386" t="s">
        <v>8443</v>
      </c>
      <c r="W3624" s="1083">
        <v>42343</v>
      </c>
      <c r="X3624" s="1094">
        <v>42250</v>
      </c>
      <c r="Y3624" s="386" t="s">
        <v>11480</v>
      </c>
      <c r="Z3624" s="585" t="s">
        <v>8588</v>
      </c>
      <c r="AA3624" s="1090">
        <v>42341</v>
      </c>
      <c r="AB3624" s="386" t="s">
        <v>11481</v>
      </c>
      <c r="AD3624" s="386"/>
      <c r="AE3624" s="585" t="s">
        <v>8588</v>
      </c>
      <c r="AF3624" s="386" t="s">
        <v>11482</v>
      </c>
      <c r="AG3624" s="386"/>
    </row>
    <row r="3625" spans="1:33" ht="15.75" customHeight="1">
      <c r="A3625" s="743">
        <v>42249</v>
      </c>
      <c r="B3625" s="823" t="s">
        <v>10673</v>
      </c>
      <c r="C3625" s="970" t="s">
        <v>11476</v>
      </c>
      <c r="D3625" s="386" t="s">
        <v>11477</v>
      </c>
      <c r="E3625" s="592" t="s">
        <v>11081</v>
      </c>
      <c r="F3625" s="1088">
        <v>7</v>
      </c>
      <c r="G3625" s="752">
        <v>2237.5500000000002</v>
      </c>
      <c r="H3625" s="1108">
        <f t="shared" si="228"/>
        <v>15662.850000000002</v>
      </c>
      <c r="I3625" s="263" t="s">
        <v>10900</v>
      </c>
      <c r="J3625" s="267" t="s">
        <v>11420</v>
      </c>
      <c r="K3625" s="811">
        <v>42255</v>
      </c>
      <c r="L3625" s="1477"/>
      <c r="M3625" s="811">
        <v>42254</v>
      </c>
      <c r="N3625" s="267" t="s">
        <v>10778</v>
      </c>
      <c r="O3625" s="970" t="s">
        <v>11479</v>
      </c>
      <c r="Q3625" s="386"/>
      <c r="R3625" s="1200">
        <f>G3625/32.5</f>
        <v>68.847692307692313</v>
      </c>
      <c r="S3625" s="1098">
        <f t="shared" si="227"/>
        <v>481.93384615384616</v>
      </c>
      <c r="U3625" s="1183">
        <v>15039</v>
      </c>
      <c r="V3625" s="386" t="s">
        <v>8443</v>
      </c>
      <c r="W3625" s="1083">
        <v>42343</v>
      </c>
      <c r="X3625" s="1094">
        <v>42250</v>
      </c>
      <c r="Y3625" s="386" t="s">
        <v>11480</v>
      </c>
      <c r="Z3625" s="585" t="s">
        <v>8588</v>
      </c>
      <c r="AA3625" s="1090">
        <v>42341</v>
      </c>
      <c r="AB3625" s="386" t="s">
        <v>11481</v>
      </c>
      <c r="AD3625" s="386"/>
      <c r="AE3625" s="585" t="s">
        <v>8588</v>
      </c>
      <c r="AF3625" s="386" t="s">
        <v>11482</v>
      </c>
      <c r="AG3625" s="386"/>
    </row>
    <row r="3626" spans="1:33" ht="15.75" customHeight="1">
      <c r="A3626" s="743">
        <v>42249</v>
      </c>
      <c r="B3626" s="823" t="s">
        <v>10673</v>
      </c>
      <c r="C3626" s="970" t="s">
        <v>11476</v>
      </c>
      <c r="D3626" s="386" t="s">
        <v>11477</v>
      </c>
      <c r="E3626" s="592" t="s">
        <v>4034</v>
      </c>
      <c r="F3626" s="1088">
        <v>5</v>
      </c>
      <c r="G3626" s="752">
        <v>2239.65</v>
      </c>
      <c r="H3626" s="1108">
        <f t="shared" si="228"/>
        <v>11198.25</v>
      </c>
      <c r="I3626" s="263" t="s">
        <v>10900</v>
      </c>
      <c r="J3626" s="267" t="s">
        <v>11420</v>
      </c>
      <c r="K3626" s="811">
        <v>42255</v>
      </c>
      <c r="L3626" s="1477"/>
      <c r="M3626" s="811">
        <v>42254</v>
      </c>
      <c r="N3626" s="267" t="s">
        <v>10778</v>
      </c>
      <c r="O3626" s="970" t="s">
        <v>11479</v>
      </c>
      <c r="Q3626" s="386"/>
      <c r="R3626" s="1200">
        <f>G3626/32.5</f>
        <v>68.912307692307692</v>
      </c>
      <c r="S3626" s="1098">
        <f t="shared" si="227"/>
        <v>344.56153846153848</v>
      </c>
      <c r="U3626" s="1183">
        <v>10752</v>
      </c>
      <c r="V3626" s="386" t="s">
        <v>8443</v>
      </c>
      <c r="W3626" s="1083">
        <v>42343</v>
      </c>
      <c r="X3626" s="1094">
        <v>42250</v>
      </c>
      <c r="Y3626" s="386" t="s">
        <v>11480</v>
      </c>
      <c r="Z3626" s="585" t="s">
        <v>8588</v>
      </c>
      <c r="AA3626" s="1090">
        <v>42341</v>
      </c>
      <c r="AB3626" s="386" t="s">
        <v>11481</v>
      </c>
      <c r="AD3626" s="386"/>
      <c r="AE3626" s="585" t="s">
        <v>8588</v>
      </c>
      <c r="AF3626" s="386" t="s">
        <v>11482</v>
      </c>
      <c r="AG3626" s="386"/>
    </row>
    <row r="3627" spans="1:33" ht="15.75" customHeight="1">
      <c r="A3627" s="743">
        <v>42249</v>
      </c>
      <c r="B3627" s="823" t="s">
        <v>10673</v>
      </c>
      <c r="C3627" s="970" t="s">
        <v>11476</v>
      </c>
      <c r="D3627" s="386" t="s">
        <v>11477</v>
      </c>
      <c r="E3627" s="592" t="s">
        <v>11086</v>
      </c>
      <c r="F3627" s="1088">
        <v>1</v>
      </c>
      <c r="G3627" s="752">
        <v>1818.6000000000001</v>
      </c>
      <c r="H3627" s="1108">
        <f t="shared" si="228"/>
        <v>1818.6000000000001</v>
      </c>
      <c r="I3627" s="263" t="s">
        <v>10900</v>
      </c>
      <c r="J3627" s="267" t="s">
        <v>11420</v>
      </c>
      <c r="K3627" s="811">
        <v>42255</v>
      </c>
      <c r="L3627" s="1477"/>
      <c r="M3627" s="811">
        <v>42254</v>
      </c>
      <c r="N3627" s="267" t="s">
        <v>10778</v>
      </c>
      <c r="O3627" s="970" t="s">
        <v>11479</v>
      </c>
      <c r="Q3627" s="386"/>
      <c r="R3627" s="1200">
        <f>G3627/32.5</f>
        <v>55.956923076923083</v>
      </c>
      <c r="S3627" s="1098">
        <f t="shared" si="227"/>
        <v>55.956923076923083</v>
      </c>
      <c r="U3627" s="1183">
        <v>1746</v>
      </c>
      <c r="V3627" s="386" t="s">
        <v>8443</v>
      </c>
      <c r="W3627" s="1083">
        <v>42343</v>
      </c>
      <c r="X3627" s="1094">
        <v>42250</v>
      </c>
      <c r="Y3627" s="386" t="s">
        <v>11480</v>
      </c>
      <c r="Z3627" s="585" t="s">
        <v>8588</v>
      </c>
      <c r="AA3627" s="1090">
        <v>42341</v>
      </c>
      <c r="AB3627" s="386" t="s">
        <v>11481</v>
      </c>
      <c r="AD3627" s="386"/>
      <c r="AE3627" s="585" t="s">
        <v>8588</v>
      </c>
      <c r="AF3627" s="386" t="s">
        <v>11482</v>
      </c>
      <c r="AG3627" s="386"/>
    </row>
    <row r="3628" spans="1:33" ht="15.75" customHeight="1">
      <c r="A3628" s="743">
        <v>42263</v>
      </c>
      <c r="B3628" s="823" t="s">
        <v>10673</v>
      </c>
      <c r="C3628" s="970" t="s">
        <v>11483</v>
      </c>
      <c r="D3628" s="386" t="s">
        <v>11484</v>
      </c>
      <c r="E3628" s="823" t="s">
        <v>6261</v>
      </c>
      <c r="F3628" s="1088">
        <v>5</v>
      </c>
      <c r="G3628" s="752">
        <v>3840.9</v>
      </c>
      <c r="H3628" s="1108">
        <f t="shared" si="228"/>
        <v>19204.5</v>
      </c>
      <c r="I3628" s="263" t="s">
        <v>10900</v>
      </c>
      <c r="J3628" s="267" t="s">
        <v>11420</v>
      </c>
      <c r="K3628" s="811">
        <v>42268</v>
      </c>
      <c r="L3628" s="1477"/>
      <c r="M3628" s="811">
        <v>42268</v>
      </c>
      <c r="N3628" s="267" t="s">
        <v>10778</v>
      </c>
      <c r="O3628" s="970" t="s">
        <v>11485</v>
      </c>
      <c r="Q3628" s="386"/>
      <c r="R3628" s="1189">
        <v>118.18153846153847</v>
      </c>
      <c r="S3628" s="1098">
        <f t="shared" si="227"/>
        <v>590.90769230769229</v>
      </c>
      <c r="U3628" s="1183">
        <v>18438</v>
      </c>
      <c r="V3628" s="386" t="s">
        <v>8443</v>
      </c>
      <c r="W3628" s="1083">
        <v>42343</v>
      </c>
      <c r="X3628" s="1094">
        <v>42265</v>
      </c>
      <c r="Y3628" s="386" t="s">
        <v>11486</v>
      </c>
      <c r="Z3628" s="824">
        <v>22126</v>
      </c>
      <c r="AA3628" s="1090">
        <v>42341</v>
      </c>
      <c r="AB3628" s="386" t="s">
        <v>11487</v>
      </c>
      <c r="AD3628" s="386"/>
      <c r="AE3628" s="824">
        <v>33299</v>
      </c>
      <c r="AF3628" s="386"/>
      <c r="AG3628" s="386"/>
    </row>
    <row r="3629" spans="1:33" ht="15.75" customHeight="1">
      <c r="A3629" s="743">
        <v>42263</v>
      </c>
      <c r="B3629" s="823" t="s">
        <v>10673</v>
      </c>
      <c r="C3629" s="970" t="s">
        <v>11483</v>
      </c>
      <c r="D3629" s="386" t="s">
        <v>11488</v>
      </c>
      <c r="E3629" s="592" t="s">
        <v>6992</v>
      </c>
      <c r="F3629" s="1088">
        <v>1</v>
      </c>
      <c r="G3629" s="752">
        <v>3840.9</v>
      </c>
      <c r="H3629" s="1108">
        <f t="shared" si="228"/>
        <v>3840.9</v>
      </c>
      <c r="I3629" s="263" t="s">
        <v>10900</v>
      </c>
      <c r="J3629" s="267" t="s">
        <v>11420</v>
      </c>
      <c r="K3629" s="811">
        <v>42268</v>
      </c>
      <c r="L3629" s="1477"/>
      <c r="M3629" s="811">
        <v>42268</v>
      </c>
      <c r="N3629" s="267" t="s">
        <v>10778</v>
      </c>
      <c r="O3629" s="970" t="s">
        <v>11485</v>
      </c>
      <c r="Q3629" s="386"/>
      <c r="R3629" s="1189">
        <v>118.18153846153847</v>
      </c>
      <c r="S3629" s="1098">
        <f t="shared" si="227"/>
        <v>118.18153846153847</v>
      </c>
      <c r="U3629" s="1183">
        <v>3688</v>
      </c>
      <c r="V3629" s="386" t="s">
        <v>8443</v>
      </c>
      <c r="W3629" s="1083">
        <v>42343</v>
      </c>
      <c r="X3629" s="1094">
        <v>42265</v>
      </c>
      <c r="Y3629" s="386" t="s">
        <v>11486</v>
      </c>
      <c r="Z3629" s="585" t="s">
        <v>8588</v>
      </c>
      <c r="AA3629" s="1090">
        <v>42341</v>
      </c>
      <c r="AB3629" s="386" t="s">
        <v>11487</v>
      </c>
      <c r="AD3629" s="386"/>
      <c r="AE3629" s="585" t="s">
        <v>8588</v>
      </c>
      <c r="AF3629" s="386"/>
      <c r="AG3629" s="386"/>
    </row>
    <row r="3630" spans="1:33" ht="15.75" customHeight="1">
      <c r="A3630" s="743">
        <v>42263</v>
      </c>
      <c r="B3630" s="823" t="s">
        <v>10673</v>
      </c>
      <c r="C3630" s="970" t="s">
        <v>11483</v>
      </c>
      <c r="D3630" s="386" t="s">
        <v>11484</v>
      </c>
      <c r="E3630" s="592" t="s">
        <v>11489</v>
      </c>
      <c r="F3630" s="1088">
        <v>1</v>
      </c>
      <c r="G3630" s="752">
        <v>10253.23</v>
      </c>
      <c r="H3630" s="1108">
        <f t="shared" si="228"/>
        <v>10253.23</v>
      </c>
      <c r="I3630" s="263" t="s">
        <v>10900</v>
      </c>
      <c r="J3630" s="267" t="s">
        <v>11420</v>
      </c>
      <c r="K3630" s="811">
        <v>42268</v>
      </c>
      <c r="L3630" s="1477"/>
      <c r="M3630" s="811">
        <v>42265</v>
      </c>
      <c r="N3630" s="267" t="s">
        <v>10778</v>
      </c>
      <c r="O3630" s="970" t="s">
        <v>11485</v>
      </c>
      <c r="Q3630" s="386"/>
      <c r="R3630" s="1189">
        <v>315.48399999999998</v>
      </c>
      <c r="S3630" s="1098">
        <f t="shared" si="227"/>
        <v>315.48399999999998</v>
      </c>
      <c r="U3630" s="1183">
        <v>9843</v>
      </c>
      <c r="V3630" s="386" t="s">
        <v>8443</v>
      </c>
      <c r="W3630" s="1083">
        <v>42343</v>
      </c>
      <c r="X3630" s="1094">
        <v>42264</v>
      </c>
      <c r="Y3630" s="386" t="s">
        <v>11490</v>
      </c>
      <c r="Z3630" s="824">
        <v>9843</v>
      </c>
      <c r="AA3630" s="1090">
        <v>42341</v>
      </c>
      <c r="AB3630" s="386" t="s">
        <v>11487</v>
      </c>
      <c r="AD3630" s="386"/>
      <c r="AE3630" s="585" t="s">
        <v>8588</v>
      </c>
      <c r="AF3630" s="386"/>
      <c r="AG3630" s="386"/>
    </row>
    <row r="3631" spans="1:33" ht="15.75" customHeight="1">
      <c r="A3631" s="743">
        <v>42264</v>
      </c>
      <c r="B3631" s="823" t="s">
        <v>10673</v>
      </c>
      <c r="C3631" s="970" t="s">
        <v>11491</v>
      </c>
      <c r="D3631" s="386" t="s">
        <v>11492</v>
      </c>
      <c r="E3631" s="592" t="s">
        <v>6863</v>
      </c>
      <c r="F3631" s="1088">
        <v>10</v>
      </c>
      <c r="G3631" s="386"/>
      <c r="H3631" s="386"/>
      <c r="I3631" s="263" t="s">
        <v>10900</v>
      </c>
      <c r="J3631" s="267" t="s">
        <v>89</v>
      </c>
      <c r="K3631" s="811">
        <v>42271</v>
      </c>
      <c r="L3631" s="1477"/>
      <c r="M3631" s="386"/>
      <c r="N3631" s="267" t="s">
        <v>89</v>
      </c>
      <c r="O3631" s="263" t="s">
        <v>10672</v>
      </c>
      <c r="Q3631" s="752">
        <v>1344</v>
      </c>
      <c r="R3631" s="1088">
        <v>142.80000000000001</v>
      </c>
      <c r="S3631" s="1098">
        <f t="shared" si="227"/>
        <v>1428</v>
      </c>
      <c r="U3631" s="386"/>
      <c r="V3631" s="386" t="s">
        <v>10751</v>
      </c>
      <c r="W3631" s="386"/>
      <c r="X3631" s="1084">
        <v>42271</v>
      </c>
      <c r="Y3631" s="263" t="s">
        <v>11493</v>
      </c>
      <c r="Z3631" s="1086">
        <v>44704</v>
      </c>
      <c r="AA3631" s="1095">
        <v>42290</v>
      </c>
      <c r="AB3631" s="386" t="s">
        <v>11494</v>
      </c>
      <c r="AD3631" s="386" t="s">
        <v>11495</v>
      </c>
      <c r="AE3631" s="824">
        <v>47916</v>
      </c>
      <c r="AF3631" s="386" t="s">
        <v>11496</v>
      </c>
      <c r="AG3631" s="386"/>
    </row>
    <row r="3632" spans="1:33" ht="15.75" customHeight="1">
      <c r="A3632" s="743">
        <v>42264</v>
      </c>
      <c r="B3632" s="823" t="s">
        <v>10673</v>
      </c>
      <c r="C3632" s="970" t="s">
        <v>11491</v>
      </c>
      <c r="D3632" s="386" t="s">
        <v>11492</v>
      </c>
      <c r="E3632" s="592" t="s">
        <v>4644</v>
      </c>
      <c r="F3632" s="1088">
        <v>10</v>
      </c>
      <c r="G3632" s="386"/>
      <c r="H3632" s="386"/>
      <c r="I3632" s="263" t="s">
        <v>10900</v>
      </c>
      <c r="J3632" s="267" t="s">
        <v>89</v>
      </c>
      <c r="K3632" s="811">
        <v>42271</v>
      </c>
      <c r="L3632" s="1477"/>
      <c r="M3632" s="386"/>
      <c r="N3632" s="267" t="s">
        <v>89</v>
      </c>
      <c r="O3632" s="263" t="s">
        <v>10672</v>
      </c>
      <c r="Q3632" s="752">
        <v>31.5</v>
      </c>
      <c r="R3632" s="1088">
        <v>3.1500000000000004</v>
      </c>
      <c r="S3632" s="1098">
        <f t="shared" si="227"/>
        <v>31.500000000000004</v>
      </c>
      <c r="U3632" s="386"/>
      <c r="V3632" s="386" t="s">
        <v>10751</v>
      </c>
      <c r="W3632" s="386"/>
      <c r="X3632" s="1084">
        <v>42271</v>
      </c>
      <c r="Y3632" s="263" t="s">
        <v>11493</v>
      </c>
      <c r="Z3632" s="1086">
        <v>44704</v>
      </c>
      <c r="AA3632" s="1095">
        <v>42290</v>
      </c>
      <c r="AB3632" s="386" t="s">
        <v>11494</v>
      </c>
      <c r="AD3632" s="386" t="s">
        <v>11495</v>
      </c>
      <c r="AE3632" s="585" t="s">
        <v>8588</v>
      </c>
      <c r="AF3632" s="386" t="s">
        <v>11496</v>
      </c>
      <c r="AG3632" s="386"/>
    </row>
    <row r="3633" spans="1:33" ht="15.75" customHeight="1">
      <c r="A3633" s="743">
        <v>42270</v>
      </c>
      <c r="B3633" s="823" t="s">
        <v>10673</v>
      </c>
      <c r="C3633" s="970" t="s">
        <v>11497</v>
      </c>
      <c r="D3633" s="386" t="s">
        <v>11498</v>
      </c>
      <c r="E3633" s="592" t="s">
        <v>11074</v>
      </c>
      <c r="F3633" s="1088">
        <v>10</v>
      </c>
      <c r="G3633" s="752">
        <v>5432.7</v>
      </c>
      <c r="H3633" s="1108">
        <f>G3633*F3633</f>
        <v>54327</v>
      </c>
      <c r="I3633" s="263" t="s">
        <v>10900</v>
      </c>
      <c r="J3633" s="331" t="s">
        <v>11420</v>
      </c>
      <c r="K3633" s="811">
        <v>42276</v>
      </c>
      <c r="L3633" s="1477"/>
      <c r="M3633" s="811">
        <v>42272</v>
      </c>
      <c r="N3633" s="267" t="s">
        <v>10778</v>
      </c>
      <c r="O3633" s="970" t="s">
        <v>11499</v>
      </c>
      <c r="Q3633" s="386"/>
      <c r="R3633" s="1088">
        <v>167.16</v>
      </c>
      <c r="S3633" s="1098">
        <f t="shared" si="227"/>
        <v>1671.6</v>
      </c>
      <c r="U3633" s="752">
        <v>52154</v>
      </c>
      <c r="V3633" s="386" t="s">
        <v>8443</v>
      </c>
      <c r="W3633" s="1083">
        <v>42374</v>
      </c>
      <c r="X3633" s="1094">
        <v>42273</v>
      </c>
      <c r="Y3633" s="386" t="s">
        <v>11500</v>
      </c>
      <c r="Z3633" s="824">
        <v>52154</v>
      </c>
      <c r="AA3633" s="1090">
        <v>42373</v>
      </c>
      <c r="AB3633" s="386" t="s">
        <v>11501</v>
      </c>
      <c r="AD3633" s="386"/>
      <c r="AE3633" s="824">
        <v>54327</v>
      </c>
      <c r="AF3633" s="386" t="s">
        <v>11502</v>
      </c>
      <c r="AG3633" s="386"/>
    </row>
    <row r="3634" spans="1:33" ht="15.75" customHeight="1">
      <c r="A3634" s="743">
        <v>42284</v>
      </c>
      <c r="B3634" s="823" t="s">
        <v>10673</v>
      </c>
      <c r="C3634" s="263" t="s">
        <v>11503</v>
      </c>
      <c r="D3634" s="386" t="s">
        <v>11504</v>
      </c>
      <c r="E3634" s="592" t="s">
        <v>6404</v>
      </c>
      <c r="F3634" s="1088">
        <v>2</v>
      </c>
      <c r="G3634" s="1194">
        <v>3542.7</v>
      </c>
      <c r="H3634" s="1100">
        <f t="shared" ref="H3634:H3639" si="229">F3634*G3634</f>
        <v>7085.4</v>
      </c>
      <c r="I3634" s="263" t="s">
        <v>10900</v>
      </c>
      <c r="J3634" s="267" t="s">
        <v>5882</v>
      </c>
      <c r="K3634" s="811">
        <v>42289</v>
      </c>
      <c r="L3634" s="1477"/>
      <c r="M3634" s="811">
        <v>42289</v>
      </c>
      <c r="N3634" s="267" t="s">
        <v>10778</v>
      </c>
      <c r="O3634" s="386" t="s">
        <v>11505</v>
      </c>
      <c r="Q3634" s="386"/>
      <c r="R3634" s="1189">
        <f t="shared" ref="R3634:R3639" si="230">G3634/33</f>
        <v>107.35454545454544</v>
      </c>
      <c r="S3634" s="1098">
        <f t="shared" si="227"/>
        <v>214.70909090909089</v>
      </c>
      <c r="U3634" s="1183">
        <v>6801.9</v>
      </c>
      <c r="V3634" s="386" t="s">
        <v>8443</v>
      </c>
      <c r="W3634" s="1095">
        <v>42374</v>
      </c>
      <c r="X3634" s="1094">
        <v>42285</v>
      </c>
      <c r="Y3634" s="386" t="s">
        <v>11506</v>
      </c>
      <c r="Z3634" s="824">
        <v>31248</v>
      </c>
      <c r="AA3634" s="1090">
        <v>42373</v>
      </c>
      <c r="AB3634" s="386" t="s">
        <v>11507</v>
      </c>
      <c r="AD3634" s="386"/>
      <c r="AE3634" s="1110">
        <v>32549</v>
      </c>
      <c r="AF3634" s="386" t="s">
        <v>11508</v>
      </c>
      <c r="AG3634" s="386"/>
    </row>
    <row r="3635" spans="1:33" ht="15.75" customHeight="1">
      <c r="A3635" s="743">
        <v>42284</v>
      </c>
      <c r="B3635" s="823" t="s">
        <v>10673</v>
      </c>
      <c r="C3635" s="263" t="s">
        <v>11503</v>
      </c>
      <c r="D3635" s="386" t="s">
        <v>11504</v>
      </c>
      <c r="E3635" s="592" t="s">
        <v>3927</v>
      </c>
      <c r="F3635" s="1088">
        <v>4</v>
      </c>
      <c r="G3635" s="1194">
        <v>1519.35</v>
      </c>
      <c r="H3635" s="1100">
        <f t="shared" si="229"/>
        <v>6077.4</v>
      </c>
      <c r="I3635" s="263" t="s">
        <v>10900</v>
      </c>
      <c r="J3635" s="267" t="s">
        <v>5882</v>
      </c>
      <c r="K3635" s="811">
        <v>42289</v>
      </c>
      <c r="L3635" s="1477"/>
      <c r="M3635" s="811">
        <v>42289</v>
      </c>
      <c r="N3635" s="267" t="s">
        <v>10778</v>
      </c>
      <c r="O3635" s="386" t="s">
        <v>11505</v>
      </c>
      <c r="Q3635" s="386"/>
      <c r="R3635" s="1189">
        <f t="shared" si="230"/>
        <v>46.040909090909089</v>
      </c>
      <c r="S3635" s="1098">
        <f t="shared" si="227"/>
        <v>184.16363636363636</v>
      </c>
      <c r="U3635" s="1183">
        <v>5833.8</v>
      </c>
      <c r="V3635" s="386" t="s">
        <v>8443</v>
      </c>
      <c r="W3635" s="1095">
        <v>42374</v>
      </c>
      <c r="X3635" s="1094">
        <v>42285</v>
      </c>
      <c r="Y3635" s="386" t="s">
        <v>11506</v>
      </c>
      <c r="Z3635" s="585" t="s">
        <v>8588</v>
      </c>
      <c r="AA3635" s="1090">
        <v>42373</v>
      </c>
      <c r="AB3635" s="386" t="s">
        <v>11507</v>
      </c>
      <c r="AD3635" s="386"/>
      <c r="AE3635" s="1088" t="s">
        <v>8588</v>
      </c>
      <c r="AF3635" s="386" t="s">
        <v>11508</v>
      </c>
      <c r="AG3635" s="386"/>
    </row>
    <row r="3636" spans="1:33" ht="15.75" customHeight="1">
      <c r="A3636" s="743">
        <v>42284</v>
      </c>
      <c r="B3636" s="823" t="s">
        <v>10673</v>
      </c>
      <c r="C3636" s="263" t="s">
        <v>11503</v>
      </c>
      <c r="D3636" s="386" t="s">
        <v>11504</v>
      </c>
      <c r="E3636" s="592" t="s">
        <v>7533</v>
      </c>
      <c r="F3636" s="1088">
        <v>4</v>
      </c>
      <c r="G3636" s="1194">
        <v>1372.35</v>
      </c>
      <c r="H3636" s="1100">
        <f t="shared" si="229"/>
        <v>5489.4</v>
      </c>
      <c r="I3636" s="263" t="s">
        <v>10900</v>
      </c>
      <c r="J3636" s="267" t="s">
        <v>5882</v>
      </c>
      <c r="K3636" s="811">
        <v>42289</v>
      </c>
      <c r="L3636" s="1477"/>
      <c r="M3636" s="811">
        <v>42289</v>
      </c>
      <c r="N3636" s="267" t="s">
        <v>10778</v>
      </c>
      <c r="O3636" s="386" t="s">
        <v>11505</v>
      </c>
      <c r="Q3636" s="386"/>
      <c r="R3636" s="1189">
        <f t="shared" si="230"/>
        <v>41.586363636363636</v>
      </c>
      <c r="S3636" s="1098">
        <f t="shared" si="227"/>
        <v>166.34545454545454</v>
      </c>
      <c r="U3636" s="1183">
        <v>5271</v>
      </c>
      <c r="V3636" s="386" t="s">
        <v>8443</v>
      </c>
      <c r="W3636" s="1095">
        <v>42374</v>
      </c>
      <c r="X3636" s="1094">
        <v>42285</v>
      </c>
      <c r="Y3636" s="386" t="s">
        <v>11506</v>
      </c>
      <c r="Z3636" s="585" t="s">
        <v>8588</v>
      </c>
      <c r="AA3636" s="1090">
        <v>42373</v>
      </c>
      <c r="AB3636" s="386" t="s">
        <v>11507</v>
      </c>
      <c r="AD3636" s="386"/>
      <c r="AE3636" s="1088" t="s">
        <v>8588</v>
      </c>
      <c r="AF3636" s="386" t="s">
        <v>11508</v>
      </c>
      <c r="AG3636" s="386"/>
    </row>
    <row r="3637" spans="1:33" ht="15.75" customHeight="1">
      <c r="A3637" s="743">
        <v>42284</v>
      </c>
      <c r="B3637" s="823" t="s">
        <v>10673</v>
      </c>
      <c r="C3637" s="263" t="s">
        <v>11503</v>
      </c>
      <c r="D3637" s="386" t="s">
        <v>11504</v>
      </c>
      <c r="E3637" s="592" t="s">
        <v>11509</v>
      </c>
      <c r="F3637" s="1088">
        <v>1</v>
      </c>
      <c r="G3637" s="1194">
        <v>8114.4</v>
      </c>
      <c r="H3637" s="1100">
        <f t="shared" si="229"/>
        <v>8114.4</v>
      </c>
      <c r="I3637" s="263" t="s">
        <v>10900</v>
      </c>
      <c r="J3637" s="267" t="s">
        <v>5882</v>
      </c>
      <c r="K3637" s="811">
        <v>42289</v>
      </c>
      <c r="L3637" s="1477"/>
      <c r="M3637" s="811">
        <v>42289</v>
      </c>
      <c r="N3637" s="267" t="s">
        <v>10778</v>
      </c>
      <c r="O3637" s="386" t="s">
        <v>11505</v>
      </c>
      <c r="Q3637" s="386"/>
      <c r="R3637" s="1189">
        <f t="shared" si="230"/>
        <v>245.89090909090908</v>
      </c>
      <c r="S3637" s="1098">
        <f t="shared" si="227"/>
        <v>245.89090909090908</v>
      </c>
      <c r="U3637" s="1183">
        <v>7789.95</v>
      </c>
      <c r="V3637" s="386" t="s">
        <v>8443</v>
      </c>
      <c r="W3637" s="1095">
        <v>42374</v>
      </c>
      <c r="X3637" s="1094">
        <v>42285</v>
      </c>
      <c r="Y3637" s="386" t="s">
        <v>11506</v>
      </c>
      <c r="Z3637" s="585" t="s">
        <v>8588</v>
      </c>
      <c r="AA3637" s="1090">
        <v>42373</v>
      </c>
      <c r="AB3637" s="386" t="s">
        <v>11507</v>
      </c>
      <c r="AD3637" s="386"/>
      <c r="AE3637" s="1088" t="s">
        <v>8588</v>
      </c>
      <c r="AF3637" s="386" t="s">
        <v>11508</v>
      </c>
      <c r="AG3637" s="386"/>
    </row>
    <row r="3638" spans="1:33" ht="15.75" customHeight="1">
      <c r="A3638" s="743">
        <v>42284</v>
      </c>
      <c r="B3638" s="823" t="s">
        <v>10673</v>
      </c>
      <c r="C3638" s="263" t="s">
        <v>11503</v>
      </c>
      <c r="D3638" s="386" t="s">
        <v>11504</v>
      </c>
      <c r="E3638" s="592" t="s">
        <v>11510</v>
      </c>
      <c r="F3638" s="1088">
        <v>1</v>
      </c>
      <c r="G3638" s="1194">
        <v>5782.35</v>
      </c>
      <c r="H3638" s="1100">
        <f t="shared" si="229"/>
        <v>5782.35</v>
      </c>
      <c r="I3638" s="263" t="s">
        <v>10900</v>
      </c>
      <c r="J3638" s="267" t="s">
        <v>5882</v>
      </c>
      <c r="K3638" s="811">
        <v>42289</v>
      </c>
      <c r="L3638" s="1477"/>
      <c r="M3638" s="811">
        <v>42289</v>
      </c>
      <c r="N3638" s="267" t="s">
        <v>10778</v>
      </c>
      <c r="O3638" s="386" t="s">
        <v>11505</v>
      </c>
      <c r="Q3638" s="386"/>
      <c r="R3638" s="1189">
        <f t="shared" si="230"/>
        <v>175.2227272727273</v>
      </c>
      <c r="S3638" s="1098">
        <f t="shared" si="227"/>
        <v>175.2227272727273</v>
      </c>
      <c r="U3638" s="1183">
        <v>5551.35</v>
      </c>
      <c r="V3638" s="386" t="s">
        <v>8443</v>
      </c>
      <c r="W3638" s="1095">
        <v>42374</v>
      </c>
      <c r="X3638" s="1094">
        <v>42285</v>
      </c>
      <c r="Y3638" s="386" t="s">
        <v>11506</v>
      </c>
      <c r="Z3638" s="585" t="s">
        <v>8588</v>
      </c>
      <c r="AA3638" s="1090">
        <v>42373</v>
      </c>
      <c r="AB3638" s="386" t="s">
        <v>11507</v>
      </c>
      <c r="AD3638" s="386"/>
      <c r="AE3638" s="1088" t="s">
        <v>8588</v>
      </c>
      <c r="AF3638" s="386" t="s">
        <v>11508</v>
      </c>
      <c r="AG3638" s="386"/>
    </row>
    <row r="3639" spans="1:33" ht="15.75" customHeight="1">
      <c r="A3639" s="743">
        <v>42284</v>
      </c>
      <c r="B3639" s="823" t="s">
        <v>10673</v>
      </c>
      <c r="C3639" s="970" t="s">
        <v>11511</v>
      </c>
      <c r="D3639" s="386" t="s">
        <v>11512</v>
      </c>
      <c r="E3639" s="592" t="s">
        <v>7376</v>
      </c>
      <c r="F3639" s="1088">
        <v>10</v>
      </c>
      <c r="G3639" s="1088">
        <f>3373*1.05</f>
        <v>3541.65</v>
      </c>
      <c r="H3639" s="1100">
        <f t="shared" si="229"/>
        <v>35416.5</v>
      </c>
      <c r="I3639" s="263" t="s">
        <v>10900</v>
      </c>
      <c r="J3639" s="331" t="s">
        <v>5882</v>
      </c>
      <c r="K3639" s="811">
        <v>42289</v>
      </c>
      <c r="L3639" s="1477"/>
      <c r="M3639" s="811">
        <v>42289</v>
      </c>
      <c r="N3639" s="267" t="s">
        <v>10778</v>
      </c>
      <c r="O3639" s="386" t="s">
        <v>11513</v>
      </c>
      <c r="Q3639" s="386"/>
      <c r="R3639" s="1189">
        <f t="shared" si="230"/>
        <v>107.32272727272728</v>
      </c>
      <c r="S3639" s="1098">
        <f t="shared" si="227"/>
        <v>1073.2272727272727</v>
      </c>
      <c r="U3639" s="1108">
        <f>3239*10*1.05</f>
        <v>34009.5</v>
      </c>
      <c r="V3639" s="386" t="s">
        <v>8443</v>
      </c>
      <c r="W3639" s="1095">
        <v>42374</v>
      </c>
      <c r="X3639" s="1094">
        <v>42285</v>
      </c>
      <c r="Y3639" s="386" t="s">
        <v>11514</v>
      </c>
      <c r="Z3639" s="824">
        <v>34010</v>
      </c>
      <c r="AA3639" s="1090">
        <v>42373</v>
      </c>
      <c r="AB3639" s="386" t="s">
        <v>11515</v>
      </c>
      <c r="AD3639" s="386"/>
      <c r="AE3639" s="1110">
        <v>35417</v>
      </c>
      <c r="AF3639" s="386" t="s">
        <v>11508</v>
      </c>
      <c r="AG3639" s="386"/>
    </row>
    <row r="3640" spans="1:33" ht="15.75" customHeight="1">
      <c r="A3640" s="755">
        <v>41995</v>
      </c>
      <c r="B3640" s="823" t="s">
        <v>11516</v>
      </c>
      <c r="C3640" s="263" t="s">
        <v>8882</v>
      </c>
      <c r="D3640" s="318" t="s">
        <v>11517</v>
      </c>
      <c r="E3640" s="338" t="s">
        <v>11518</v>
      </c>
      <c r="F3640" s="752">
        <v>2</v>
      </c>
      <c r="G3640" s="386"/>
      <c r="H3640" s="386"/>
      <c r="I3640" s="263" t="s">
        <v>10694</v>
      </c>
      <c r="J3640" s="267" t="s">
        <v>11519</v>
      </c>
      <c r="K3640" s="811">
        <v>42033</v>
      </c>
      <c r="L3640" s="1477"/>
      <c r="M3640" s="386"/>
      <c r="N3640" s="267" t="s">
        <v>89</v>
      </c>
      <c r="O3640" s="386"/>
      <c r="Q3640" s="386"/>
      <c r="R3640" s="323">
        <v>200</v>
      </c>
      <c r="S3640" s="464">
        <f>R3640*F3640</f>
        <v>400</v>
      </c>
      <c r="U3640" s="752">
        <v>12600</v>
      </c>
      <c r="V3640" s="386" t="s">
        <v>5896</v>
      </c>
      <c r="W3640" s="1090"/>
      <c r="X3640" s="1095">
        <v>42046</v>
      </c>
      <c r="Y3640" s="970" t="s">
        <v>11520</v>
      </c>
      <c r="Z3640" s="824">
        <v>12600</v>
      </c>
      <c r="AA3640" s="1095">
        <v>42076</v>
      </c>
      <c r="AB3640" s="318" t="s">
        <v>11521</v>
      </c>
      <c r="AD3640" s="386"/>
      <c r="AE3640" s="386"/>
      <c r="AF3640" s="386"/>
      <c r="AG3640" s="386" t="s">
        <v>8415</v>
      </c>
    </row>
    <row r="3641" spans="1:33" ht="15.75" customHeight="1">
      <c r="A3641" s="755">
        <v>42010</v>
      </c>
      <c r="B3641" s="823" t="s">
        <v>11516</v>
      </c>
      <c r="C3641" s="386"/>
      <c r="D3641" s="318" t="s">
        <v>11522</v>
      </c>
      <c r="E3641" s="338" t="s">
        <v>11523</v>
      </c>
      <c r="F3641" s="752">
        <v>2</v>
      </c>
      <c r="G3641" s="386"/>
      <c r="H3641" s="386"/>
      <c r="I3641" s="263" t="s">
        <v>10694</v>
      </c>
      <c r="J3641" s="331" t="s">
        <v>11519</v>
      </c>
      <c r="K3641" s="811">
        <v>42013</v>
      </c>
      <c r="L3641" s="1477"/>
      <c r="M3641" s="386"/>
      <c r="N3641" s="331" t="s">
        <v>89</v>
      </c>
      <c r="O3641" s="263" t="s">
        <v>11524</v>
      </c>
      <c r="Q3641" s="752">
        <v>1806</v>
      </c>
      <c r="R3641" s="464">
        <v>977</v>
      </c>
      <c r="S3641" s="464">
        <f>F3641*R3641</f>
        <v>1954</v>
      </c>
      <c r="U3641" s="386"/>
      <c r="V3641" s="318" t="s">
        <v>5896</v>
      </c>
      <c r="W3641" s="1090"/>
      <c r="X3641" s="1083">
        <v>42013</v>
      </c>
      <c r="Y3641" s="263" t="s">
        <v>11525</v>
      </c>
      <c r="Z3641" s="1086">
        <v>57187</v>
      </c>
      <c r="AA3641" s="1083">
        <v>42031</v>
      </c>
      <c r="AB3641" s="318" t="s">
        <v>11526</v>
      </c>
      <c r="AD3641" s="386"/>
      <c r="AE3641" s="386"/>
      <c r="AF3641" s="386"/>
      <c r="AG3641" s="318" t="s">
        <v>8415</v>
      </c>
    </row>
    <row r="3642" spans="1:33" ht="15.75" customHeight="1">
      <c r="A3642" s="755">
        <v>42010</v>
      </c>
      <c r="B3642" s="823" t="s">
        <v>11516</v>
      </c>
      <c r="C3642" s="386"/>
      <c r="D3642" s="318" t="s">
        <v>11527</v>
      </c>
      <c r="E3642" s="338" t="s">
        <v>11528</v>
      </c>
      <c r="F3642" s="752">
        <v>1</v>
      </c>
      <c r="G3642" s="386"/>
      <c r="H3642" s="386"/>
      <c r="I3642" s="263" t="s">
        <v>10694</v>
      </c>
      <c r="J3642" s="331" t="s">
        <v>11519</v>
      </c>
      <c r="K3642" s="811">
        <v>42016</v>
      </c>
      <c r="L3642" s="1477"/>
      <c r="M3642" s="811">
        <v>42013</v>
      </c>
      <c r="N3642" s="331" t="s">
        <v>89</v>
      </c>
      <c r="O3642" s="263" t="s">
        <v>11529</v>
      </c>
      <c r="Q3642" s="752">
        <v>210</v>
      </c>
      <c r="R3642" s="464">
        <v>241</v>
      </c>
      <c r="S3642" s="464">
        <v>241</v>
      </c>
      <c r="U3642" s="386"/>
      <c r="V3642" s="318" t="s">
        <v>5896</v>
      </c>
      <c r="W3642" s="1090"/>
      <c r="X3642" s="1083">
        <v>42013</v>
      </c>
      <c r="Y3642" s="263" t="s">
        <v>11530</v>
      </c>
      <c r="Z3642" s="1086">
        <v>11072</v>
      </c>
      <c r="AA3642" s="1083">
        <v>42044</v>
      </c>
      <c r="AB3642" s="318" t="s">
        <v>11531</v>
      </c>
      <c r="AD3642" s="386"/>
      <c r="AE3642" s="386"/>
      <c r="AF3642" s="386"/>
      <c r="AG3642" s="318" t="s">
        <v>8415</v>
      </c>
    </row>
    <row r="3643" spans="1:33" ht="15.75" customHeight="1">
      <c r="A3643" s="755">
        <v>42010</v>
      </c>
      <c r="B3643" s="823" t="s">
        <v>11516</v>
      </c>
      <c r="C3643" s="386"/>
      <c r="D3643" s="318" t="s">
        <v>11527</v>
      </c>
      <c r="E3643" s="338" t="s">
        <v>11532</v>
      </c>
      <c r="F3643" s="752">
        <v>1</v>
      </c>
      <c r="G3643" s="386"/>
      <c r="H3643" s="386"/>
      <c r="I3643" s="263" t="s">
        <v>10694</v>
      </c>
      <c r="J3643" s="331" t="s">
        <v>11519</v>
      </c>
      <c r="K3643" s="811">
        <v>42016</v>
      </c>
      <c r="L3643" s="1477"/>
      <c r="M3643" s="811">
        <v>42013</v>
      </c>
      <c r="N3643" s="331" t="s">
        <v>89</v>
      </c>
      <c r="O3643" s="263" t="s">
        <v>11529</v>
      </c>
      <c r="Q3643" s="752">
        <v>139.65</v>
      </c>
      <c r="R3643" s="464">
        <v>151</v>
      </c>
      <c r="S3643" s="464">
        <v>151</v>
      </c>
      <c r="U3643" s="386"/>
      <c r="V3643" s="318" t="s">
        <v>5896</v>
      </c>
      <c r="W3643" s="1090"/>
      <c r="X3643" s="318" t="s">
        <v>11533</v>
      </c>
      <c r="Y3643" s="318" t="s">
        <v>11533</v>
      </c>
      <c r="Z3643" s="254" t="s">
        <v>11533</v>
      </c>
      <c r="AA3643" s="1083">
        <v>42044</v>
      </c>
      <c r="AB3643" s="318" t="s">
        <v>11531</v>
      </c>
      <c r="AD3643" s="386"/>
      <c r="AE3643" s="386"/>
      <c r="AF3643" s="386"/>
      <c r="AG3643" s="318" t="s">
        <v>8415</v>
      </c>
    </row>
    <row r="3644" spans="1:33" ht="15.75" customHeight="1">
      <c r="A3644" s="743">
        <v>42010</v>
      </c>
      <c r="B3644" s="823" t="s">
        <v>11516</v>
      </c>
      <c r="C3644" s="386"/>
      <c r="D3644" s="386" t="s">
        <v>11534</v>
      </c>
      <c r="E3644" s="592" t="s">
        <v>11535</v>
      </c>
      <c r="F3644" s="1088">
        <v>50</v>
      </c>
      <c r="G3644" s="386"/>
      <c r="H3644" s="386"/>
      <c r="I3644" s="263" t="s">
        <v>10694</v>
      </c>
      <c r="J3644" s="267" t="s">
        <v>11519</v>
      </c>
      <c r="K3644" s="811">
        <v>42040</v>
      </c>
      <c r="L3644" s="1477"/>
      <c r="M3644" s="811">
        <v>42039</v>
      </c>
      <c r="N3644" s="267" t="s">
        <v>89</v>
      </c>
      <c r="O3644" s="263" t="s">
        <v>11536</v>
      </c>
      <c r="Q3644" s="752">
        <v>1732.5</v>
      </c>
      <c r="R3644" s="323">
        <v>37.5</v>
      </c>
      <c r="S3644" s="464">
        <f t="shared" ref="S3644:S3649" si="231">F3644*R3644</f>
        <v>1875</v>
      </c>
      <c r="U3644" s="386"/>
      <c r="V3644" s="386" t="s">
        <v>5896</v>
      </c>
      <c r="W3644" s="1090"/>
      <c r="X3644" s="1083">
        <v>42039</v>
      </c>
      <c r="Y3644" s="318" t="s">
        <v>11537</v>
      </c>
      <c r="Z3644" s="1086">
        <v>54141</v>
      </c>
      <c r="AA3644" s="1095">
        <v>42044</v>
      </c>
      <c r="AB3644" s="318" t="s">
        <v>11538</v>
      </c>
      <c r="AD3644" s="386"/>
      <c r="AE3644" s="386"/>
      <c r="AF3644" s="386"/>
      <c r="AG3644" s="386" t="s">
        <v>8415</v>
      </c>
    </row>
    <row r="3645" spans="1:33" ht="15.75" customHeight="1">
      <c r="A3645" s="743">
        <v>42010</v>
      </c>
      <c r="B3645" s="823" t="s">
        <v>11516</v>
      </c>
      <c r="C3645" s="386"/>
      <c r="D3645" s="386" t="s">
        <v>11539</v>
      </c>
      <c r="E3645" s="592" t="s">
        <v>11535</v>
      </c>
      <c r="F3645" s="1088">
        <v>97</v>
      </c>
      <c r="G3645" s="386"/>
      <c r="H3645" s="386"/>
      <c r="I3645" s="263" t="s">
        <v>10694</v>
      </c>
      <c r="J3645" s="267" t="s">
        <v>11519</v>
      </c>
      <c r="K3645" s="811">
        <v>42065</v>
      </c>
      <c r="L3645" s="1477"/>
      <c r="M3645" s="811">
        <v>42052</v>
      </c>
      <c r="N3645" s="267" t="s">
        <v>89</v>
      </c>
      <c r="O3645" s="263" t="s">
        <v>11536</v>
      </c>
      <c r="Q3645" s="752">
        <v>3361.05</v>
      </c>
      <c r="R3645" s="323">
        <v>37.5</v>
      </c>
      <c r="S3645" s="464">
        <f t="shared" si="231"/>
        <v>3637.5</v>
      </c>
      <c r="U3645" s="386"/>
      <c r="V3645" s="386" t="s">
        <v>5896</v>
      </c>
      <c r="W3645" s="1090"/>
      <c r="X3645" s="1083">
        <v>41686</v>
      </c>
      <c r="Y3645" s="263" t="s">
        <v>11540</v>
      </c>
      <c r="Z3645" s="1086">
        <v>105621</v>
      </c>
      <c r="AA3645" s="1095">
        <v>42074</v>
      </c>
      <c r="AB3645" s="318" t="s">
        <v>11541</v>
      </c>
      <c r="AD3645" s="386"/>
      <c r="AE3645" s="386"/>
      <c r="AF3645" s="386"/>
      <c r="AG3645" s="970" t="s">
        <v>8415</v>
      </c>
    </row>
    <row r="3646" spans="1:33" ht="15.75" customHeight="1">
      <c r="A3646" s="755">
        <v>42011</v>
      </c>
      <c r="B3646" s="823" t="s">
        <v>11516</v>
      </c>
      <c r="C3646" s="386"/>
      <c r="D3646" s="318" t="s">
        <v>11542</v>
      </c>
      <c r="E3646" s="338" t="s">
        <v>11543</v>
      </c>
      <c r="F3646" s="752">
        <v>3</v>
      </c>
      <c r="G3646" s="386"/>
      <c r="H3646" s="386"/>
      <c r="I3646" s="263" t="s">
        <v>10694</v>
      </c>
      <c r="J3646" s="331" t="s">
        <v>11519</v>
      </c>
      <c r="K3646" s="811">
        <v>42019</v>
      </c>
      <c r="L3646" s="1477"/>
      <c r="M3646" s="811">
        <v>42017</v>
      </c>
      <c r="N3646" s="331" t="s">
        <v>89</v>
      </c>
      <c r="O3646" s="263" t="s">
        <v>11544</v>
      </c>
      <c r="Q3646" s="752">
        <v>1946.7</v>
      </c>
      <c r="R3646" s="464">
        <v>702</v>
      </c>
      <c r="S3646" s="464">
        <f t="shared" si="231"/>
        <v>2106</v>
      </c>
      <c r="U3646" s="386"/>
      <c r="V3646" s="318" t="s">
        <v>5896</v>
      </c>
      <c r="W3646" s="1090"/>
      <c r="X3646" s="1083">
        <v>42017</v>
      </c>
      <c r="Y3646" s="263" t="s">
        <v>11545</v>
      </c>
      <c r="Z3646" s="1086">
        <v>62100</v>
      </c>
      <c r="AA3646" s="1083">
        <v>42033</v>
      </c>
      <c r="AB3646" s="318" t="s">
        <v>11546</v>
      </c>
      <c r="AD3646" s="386"/>
      <c r="AE3646" s="386"/>
      <c r="AF3646" s="386"/>
      <c r="AG3646" s="318" t="s">
        <v>8415</v>
      </c>
    </row>
    <row r="3647" spans="1:33" ht="15.75" customHeight="1">
      <c r="A3647" s="743">
        <v>42012</v>
      </c>
      <c r="B3647" s="823" t="s">
        <v>11516</v>
      </c>
      <c r="C3647" s="386"/>
      <c r="D3647" s="386" t="s">
        <v>11547</v>
      </c>
      <c r="E3647" s="592" t="s">
        <v>11523</v>
      </c>
      <c r="F3647" s="1088">
        <v>1</v>
      </c>
      <c r="G3647" s="386"/>
      <c r="H3647" s="386"/>
      <c r="I3647" s="263" t="s">
        <v>10694</v>
      </c>
      <c r="J3647" s="267" t="s">
        <v>11519</v>
      </c>
      <c r="K3647" s="811">
        <v>42016</v>
      </c>
      <c r="L3647" s="1477"/>
      <c r="M3647" s="811">
        <v>42013</v>
      </c>
      <c r="N3647" s="267" t="s">
        <v>89</v>
      </c>
      <c r="O3647" s="263" t="s">
        <v>11548</v>
      </c>
      <c r="Q3647" s="752">
        <v>903</v>
      </c>
      <c r="R3647" s="323">
        <v>977</v>
      </c>
      <c r="S3647" s="464">
        <f t="shared" si="231"/>
        <v>977</v>
      </c>
      <c r="U3647" s="386"/>
      <c r="V3647" s="386" t="s">
        <v>5896</v>
      </c>
      <c r="W3647" s="1090"/>
      <c r="X3647" s="1083">
        <v>42013</v>
      </c>
      <c r="Y3647" s="263" t="s">
        <v>11549</v>
      </c>
      <c r="Z3647" s="1086">
        <v>40962</v>
      </c>
      <c r="AA3647" s="1095">
        <v>42033</v>
      </c>
      <c r="AB3647" s="386" t="s">
        <v>11531</v>
      </c>
      <c r="AD3647" s="386"/>
      <c r="AE3647" s="386"/>
      <c r="AF3647" s="386"/>
      <c r="AG3647" s="386" t="s">
        <v>8415</v>
      </c>
    </row>
    <row r="3648" spans="1:33" ht="15.75" customHeight="1">
      <c r="A3648" s="743">
        <v>42012</v>
      </c>
      <c r="B3648" s="823" t="s">
        <v>11516</v>
      </c>
      <c r="C3648" s="386"/>
      <c r="D3648" s="386" t="s">
        <v>11547</v>
      </c>
      <c r="E3648" s="592" t="s">
        <v>8693</v>
      </c>
      <c r="F3648" s="1088">
        <v>4</v>
      </c>
      <c r="G3648" s="386"/>
      <c r="H3648" s="386"/>
      <c r="I3648" s="263" t="s">
        <v>10694</v>
      </c>
      <c r="J3648" s="267" t="s">
        <v>11519</v>
      </c>
      <c r="K3648" s="811">
        <v>42016</v>
      </c>
      <c r="L3648" s="1477"/>
      <c r="M3648" s="811">
        <v>42013</v>
      </c>
      <c r="N3648" s="267" t="s">
        <v>89</v>
      </c>
      <c r="O3648" s="263" t="s">
        <v>11548</v>
      </c>
      <c r="Q3648" s="752">
        <v>390.6</v>
      </c>
      <c r="R3648" s="323">
        <v>105</v>
      </c>
      <c r="S3648" s="464">
        <f t="shared" si="231"/>
        <v>420</v>
      </c>
      <c r="U3648" s="386"/>
      <c r="V3648" s="386" t="s">
        <v>5896</v>
      </c>
      <c r="W3648" s="1090"/>
      <c r="X3648" s="318" t="s">
        <v>11550</v>
      </c>
      <c r="Y3648" s="318" t="s">
        <v>11550</v>
      </c>
      <c r="Z3648" s="254" t="s">
        <v>11550</v>
      </c>
      <c r="AA3648" s="1095">
        <v>42033</v>
      </c>
      <c r="AB3648" s="386" t="s">
        <v>11531</v>
      </c>
      <c r="AD3648" s="386"/>
      <c r="AE3648" s="386"/>
      <c r="AF3648" s="386"/>
      <c r="AG3648" s="386" t="s">
        <v>8415</v>
      </c>
    </row>
    <row r="3649" spans="1:33" ht="15.75" customHeight="1">
      <c r="A3649" s="755">
        <v>42018</v>
      </c>
      <c r="B3649" s="823" t="s">
        <v>11516</v>
      </c>
      <c r="C3649" s="386"/>
      <c r="D3649" s="318" t="s">
        <v>11551</v>
      </c>
      <c r="E3649" s="338" t="s">
        <v>11552</v>
      </c>
      <c r="F3649" s="752">
        <v>4</v>
      </c>
      <c r="G3649" s="386"/>
      <c r="H3649" s="386"/>
      <c r="I3649" s="263" t="s">
        <v>10694</v>
      </c>
      <c r="J3649" s="331" t="s">
        <v>11519</v>
      </c>
      <c r="K3649" s="811">
        <v>42033</v>
      </c>
      <c r="L3649" s="1477"/>
      <c r="M3649" s="811">
        <v>42031</v>
      </c>
      <c r="N3649" s="331" t="s">
        <v>89</v>
      </c>
      <c r="O3649" s="263" t="s">
        <v>11553</v>
      </c>
      <c r="Q3649" s="752">
        <v>483</v>
      </c>
      <c r="R3649" s="464">
        <v>130</v>
      </c>
      <c r="S3649" s="464">
        <f t="shared" si="231"/>
        <v>520</v>
      </c>
      <c r="U3649" s="386"/>
      <c r="V3649" s="318" t="s">
        <v>5896</v>
      </c>
      <c r="W3649" s="1090"/>
      <c r="X3649" s="1083">
        <v>42031</v>
      </c>
      <c r="Y3649" s="263" t="s">
        <v>11554</v>
      </c>
      <c r="Z3649" s="1086">
        <v>15292</v>
      </c>
      <c r="AA3649" s="1083">
        <v>42044</v>
      </c>
      <c r="AB3649" s="318" t="s">
        <v>11521</v>
      </c>
      <c r="AD3649" s="386"/>
      <c r="AE3649" s="386"/>
      <c r="AF3649" s="386"/>
      <c r="AG3649" s="318" t="s">
        <v>8415</v>
      </c>
    </row>
    <row r="3650" spans="1:33" ht="15.75" customHeight="1">
      <c r="A3650" s="755">
        <v>42024</v>
      </c>
      <c r="B3650" s="823" t="s">
        <v>11516</v>
      </c>
      <c r="C3650" s="386"/>
      <c r="D3650" s="318" t="s">
        <v>11555</v>
      </c>
      <c r="E3650" s="338" t="s">
        <v>11556</v>
      </c>
      <c r="F3650" s="752">
        <v>2</v>
      </c>
      <c r="G3650" s="386"/>
      <c r="H3650" s="386"/>
      <c r="I3650" s="263" t="s">
        <v>10694</v>
      </c>
      <c r="J3650" s="331" t="s">
        <v>11519</v>
      </c>
      <c r="K3650" s="811">
        <v>42033</v>
      </c>
      <c r="L3650" s="1477"/>
      <c r="M3650" s="811">
        <v>42031</v>
      </c>
      <c r="N3650" s="331" t="s">
        <v>89</v>
      </c>
      <c r="O3650" s="263" t="s">
        <v>11557</v>
      </c>
      <c r="Q3650" s="464">
        <v>942.9</v>
      </c>
      <c r="R3650" s="464">
        <v>510</v>
      </c>
      <c r="S3650" s="464">
        <f>R3650*F3650</f>
        <v>1020</v>
      </c>
      <c r="U3650" s="386"/>
      <c r="V3650" s="318" t="s">
        <v>10751</v>
      </c>
      <c r="W3650" s="1090"/>
      <c r="X3650" s="1083">
        <v>42031</v>
      </c>
      <c r="Y3650" s="318" t="s">
        <v>11558</v>
      </c>
      <c r="Z3650" s="1086">
        <v>29852</v>
      </c>
      <c r="AA3650" s="1083">
        <v>42044</v>
      </c>
      <c r="AB3650" s="318" t="s">
        <v>11521</v>
      </c>
      <c r="AD3650" s="386"/>
      <c r="AE3650" s="386"/>
      <c r="AF3650" s="386"/>
      <c r="AG3650" s="318" t="s">
        <v>8415</v>
      </c>
    </row>
    <row r="3651" spans="1:33" ht="15.75" customHeight="1">
      <c r="A3651" s="743">
        <v>42027</v>
      </c>
      <c r="B3651" s="823" t="s">
        <v>11516</v>
      </c>
      <c r="C3651" s="386"/>
      <c r="D3651" s="386" t="s">
        <v>11559</v>
      </c>
      <c r="E3651" s="592" t="s">
        <v>11560</v>
      </c>
      <c r="F3651" s="1088">
        <v>1</v>
      </c>
      <c r="G3651" s="386"/>
      <c r="H3651" s="386"/>
      <c r="I3651" s="263" t="s">
        <v>10694</v>
      </c>
      <c r="J3651" s="267" t="s">
        <v>11519</v>
      </c>
      <c r="K3651" s="811">
        <v>42040</v>
      </c>
      <c r="L3651" s="1477"/>
      <c r="M3651" s="811">
        <v>42039</v>
      </c>
      <c r="N3651" s="267" t="s">
        <v>89</v>
      </c>
      <c r="O3651" s="263" t="s">
        <v>11561</v>
      </c>
      <c r="Q3651" s="464">
        <v>924</v>
      </c>
      <c r="R3651" s="323">
        <v>1070</v>
      </c>
      <c r="S3651" s="464">
        <f>R3651*F3651</f>
        <v>1070</v>
      </c>
      <c r="U3651" s="386"/>
      <c r="V3651" s="386" t="s">
        <v>10751</v>
      </c>
      <c r="W3651" s="1090"/>
      <c r="X3651" s="1083">
        <v>42039</v>
      </c>
      <c r="Y3651" s="318" t="s">
        <v>11562</v>
      </c>
      <c r="Z3651" s="1086">
        <v>28875</v>
      </c>
      <c r="AA3651" s="1095">
        <v>42044</v>
      </c>
      <c r="AB3651" s="318" t="s">
        <v>11538</v>
      </c>
      <c r="AD3651" s="386"/>
      <c r="AE3651" s="386"/>
      <c r="AF3651" s="386"/>
      <c r="AG3651" s="386" t="s">
        <v>8415</v>
      </c>
    </row>
    <row r="3652" spans="1:33" ht="15.75" customHeight="1">
      <c r="A3652" s="743">
        <v>42027</v>
      </c>
      <c r="B3652" s="823" t="s">
        <v>11516</v>
      </c>
      <c r="C3652" s="386"/>
      <c r="D3652" s="386" t="s">
        <v>11563</v>
      </c>
      <c r="E3652" s="592" t="s">
        <v>11564</v>
      </c>
      <c r="F3652" s="1088">
        <v>1</v>
      </c>
      <c r="G3652" s="386"/>
      <c r="H3652" s="386"/>
      <c r="I3652" s="263" t="s">
        <v>10694</v>
      </c>
      <c r="J3652" s="267" t="s">
        <v>11519</v>
      </c>
      <c r="K3652" s="1099">
        <v>42048</v>
      </c>
      <c r="L3652" s="1484"/>
      <c r="M3652" s="811">
        <v>42047</v>
      </c>
      <c r="N3652" s="267" t="s">
        <v>89</v>
      </c>
      <c r="O3652" s="263" t="s">
        <v>11565</v>
      </c>
      <c r="Q3652" s="464">
        <v>472.5</v>
      </c>
      <c r="R3652" s="1088">
        <v>500</v>
      </c>
      <c r="S3652" s="464">
        <f>R3652*F3652</f>
        <v>500</v>
      </c>
      <c r="U3652" s="386"/>
      <c r="V3652" s="386" t="s">
        <v>10751</v>
      </c>
      <c r="W3652" s="1090"/>
      <c r="X3652" s="1083">
        <v>42047</v>
      </c>
      <c r="Y3652" s="318" t="s">
        <v>11566</v>
      </c>
      <c r="Z3652" s="1086">
        <v>55632</v>
      </c>
      <c r="AA3652" s="1095">
        <v>42074</v>
      </c>
      <c r="AB3652" s="318" t="s">
        <v>11567</v>
      </c>
      <c r="AD3652" s="386"/>
      <c r="AE3652" s="386"/>
      <c r="AF3652" s="386"/>
      <c r="AG3652" s="386" t="s">
        <v>8415</v>
      </c>
    </row>
    <row r="3653" spans="1:33" ht="15.75" customHeight="1">
      <c r="A3653" s="743">
        <v>42027</v>
      </c>
      <c r="B3653" s="823" t="s">
        <v>11516</v>
      </c>
      <c r="C3653" s="386"/>
      <c r="D3653" s="386" t="s">
        <v>11563</v>
      </c>
      <c r="E3653" s="592" t="s">
        <v>11543</v>
      </c>
      <c r="F3653" s="1088">
        <v>2</v>
      </c>
      <c r="G3653" s="386"/>
      <c r="H3653" s="386"/>
      <c r="I3653" s="263" t="s">
        <v>10694</v>
      </c>
      <c r="J3653" s="267" t="s">
        <v>11519</v>
      </c>
      <c r="K3653" s="1099">
        <v>42048</v>
      </c>
      <c r="L3653" s="1484"/>
      <c r="M3653" s="811">
        <v>42047</v>
      </c>
      <c r="N3653" s="267" t="s">
        <v>89</v>
      </c>
      <c r="O3653" s="263" t="s">
        <v>11565</v>
      </c>
      <c r="Q3653" s="464">
        <v>1297.8</v>
      </c>
      <c r="R3653" s="1088">
        <v>702</v>
      </c>
      <c r="S3653" s="464">
        <f>R3653*F3653</f>
        <v>1404</v>
      </c>
      <c r="U3653" s="386"/>
      <c r="V3653" s="386" t="s">
        <v>10751</v>
      </c>
      <c r="W3653" s="1090"/>
      <c r="X3653" s="1083">
        <v>42047</v>
      </c>
      <c r="Y3653" s="318" t="s">
        <v>11566</v>
      </c>
      <c r="Z3653" s="254" t="s">
        <v>8588</v>
      </c>
      <c r="AA3653" s="1095">
        <v>42074</v>
      </c>
      <c r="AB3653" s="318" t="s">
        <v>11567</v>
      </c>
      <c r="AD3653" s="386"/>
      <c r="AE3653" s="386"/>
      <c r="AF3653" s="386"/>
      <c r="AG3653" s="386" t="s">
        <v>8415</v>
      </c>
    </row>
    <row r="3654" spans="1:33" ht="15.75" customHeight="1">
      <c r="A3654" s="743">
        <v>42038</v>
      </c>
      <c r="B3654" s="823" t="s">
        <v>11516</v>
      </c>
      <c r="C3654" s="386"/>
      <c r="D3654" s="386" t="s">
        <v>11568</v>
      </c>
      <c r="E3654" s="592" t="s">
        <v>11569</v>
      </c>
      <c r="F3654" s="1088">
        <v>1</v>
      </c>
      <c r="G3654" s="386"/>
      <c r="H3654" s="386"/>
      <c r="I3654" s="263" t="s">
        <v>10694</v>
      </c>
      <c r="J3654" s="267" t="s">
        <v>11519</v>
      </c>
      <c r="K3654" s="811">
        <v>42048</v>
      </c>
      <c r="L3654" s="1477"/>
      <c r="M3654" s="811">
        <v>42046</v>
      </c>
      <c r="N3654" s="267" t="s">
        <v>89</v>
      </c>
      <c r="O3654" s="263" t="s">
        <v>11570</v>
      </c>
      <c r="Q3654" s="752">
        <v>395.85</v>
      </c>
      <c r="R3654" s="323">
        <v>428</v>
      </c>
      <c r="S3654" s="464">
        <f>R3654*F3654</f>
        <v>428</v>
      </c>
      <c r="U3654" s="386"/>
      <c r="V3654" s="386" t="s">
        <v>10751</v>
      </c>
      <c r="W3654" s="1090"/>
      <c r="X3654" s="1083">
        <v>42046</v>
      </c>
      <c r="Y3654" s="263" t="s">
        <v>11571</v>
      </c>
      <c r="Z3654" s="1086">
        <v>12440</v>
      </c>
      <c r="AA3654" s="1095">
        <v>42074</v>
      </c>
      <c r="AB3654" s="318" t="s">
        <v>11567</v>
      </c>
      <c r="AD3654" s="386"/>
      <c r="AE3654" s="386"/>
      <c r="AF3654" s="386"/>
      <c r="AG3654" s="386" t="s">
        <v>283</v>
      </c>
    </row>
    <row r="3655" spans="1:33" ht="15.75" customHeight="1">
      <c r="A3655" s="755">
        <v>42044</v>
      </c>
      <c r="B3655" s="823" t="s">
        <v>11516</v>
      </c>
      <c r="C3655" s="386"/>
      <c r="D3655" s="318" t="s">
        <v>11572</v>
      </c>
      <c r="E3655" s="338" t="s">
        <v>11573</v>
      </c>
      <c r="F3655" s="752">
        <v>2</v>
      </c>
      <c r="G3655" s="386"/>
      <c r="H3655" s="386"/>
      <c r="I3655" s="263" t="s">
        <v>10694</v>
      </c>
      <c r="J3655" s="331" t="s">
        <v>11519</v>
      </c>
      <c r="K3655" s="811">
        <v>42065</v>
      </c>
      <c r="L3655" s="1477"/>
      <c r="M3655" s="811">
        <v>42061</v>
      </c>
      <c r="N3655" s="331" t="s">
        <v>89</v>
      </c>
      <c r="O3655" s="263" t="s">
        <v>11574</v>
      </c>
      <c r="Q3655" s="752">
        <v>342.3</v>
      </c>
      <c r="R3655" s="464">
        <v>185</v>
      </c>
      <c r="S3655" s="464">
        <f>F3655*R3655</f>
        <v>370</v>
      </c>
      <c r="U3655" s="386"/>
      <c r="V3655" s="318" t="s">
        <v>10751</v>
      </c>
      <c r="W3655" s="1090"/>
      <c r="X3655" s="1083">
        <v>42061</v>
      </c>
      <c r="Y3655" s="263" t="s">
        <v>11575</v>
      </c>
      <c r="Z3655" s="1086">
        <v>10738</v>
      </c>
      <c r="AA3655" s="1083">
        <v>42074</v>
      </c>
      <c r="AB3655" s="318" t="s">
        <v>11541</v>
      </c>
      <c r="AD3655" s="386"/>
      <c r="AE3655" s="386"/>
      <c r="AF3655" s="386"/>
      <c r="AG3655" s="318" t="s">
        <v>283</v>
      </c>
    </row>
    <row r="3656" spans="1:33" ht="15.75" customHeight="1">
      <c r="A3656" s="755">
        <v>42059</v>
      </c>
      <c r="B3656" s="823" t="s">
        <v>11516</v>
      </c>
      <c r="C3656" s="386"/>
      <c r="D3656" s="318" t="s">
        <v>11576</v>
      </c>
      <c r="E3656" s="338" t="s">
        <v>11556</v>
      </c>
      <c r="F3656" s="752">
        <v>1</v>
      </c>
      <c r="G3656" s="386"/>
      <c r="H3656" s="386"/>
      <c r="I3656" s="263" t="s">
        <v>10694</v>
      </c>
      <c r="J3656" s="331" t="s">
        <v>11519</v>
      </c>
      <c r="K3656" s="811">
        <v>42075</v>
      </c>
      <c r="L3656" s="1477"/>
      <c r="M3656" s="811">
        <v>42067</v>
      </c>
      <c r="N3656" s="331" t="s">
        <v>89</v>
      </c>
      <c r="O3656" s="263" t="s">
        <v>11577</v>
      </c>
      <c r="Q3656" s="752">
        <v>471.45</v>
      </c>
      <c r="R3656" s="464">
        <v>510</v>
      </c>
      <c r="S3656" s="464">
        <f>F3656*R3656</f>
        <v>510</v>
      </c>
      <c r="U3656" s="386"/>
      <c r="V3656" s="318" t="s">
        <v>10751</v>
      </c>
      <c r="W3656" s="1090"/>
      <c r="X3656" s="1083">
        <v>42067</v>
      </c>
      <c r="Y3656" s="263" t="s">
        <v>11578</v>
      </c>
      <c r="Z3656" s="1086">
        <v>14796</v>
      </c>
      <c r="AA3656" s="1083">
        <v>42074</v>
      </c>
      <c r="AB3656" s="318" t="s">
        <v>11579</v>
      </c>
      <c r="AD3656" s="386"/>
      <c r="AE3656" s="386"/>
      <c r="AF3656" s="386"/>
      <c r="AG3656" s="318" t="s">
        <v>283</v>
      </c>
    </row>
    <row r="3657" spans="1:33" ht="15.75" customHeight="1">
      <c r="A3657" s="755">
        <v>42065</v>
      </c>
      <c r="B3657" s="823" t="s">
        <v>11516</v>
      </c>
      <c r="C3657" s="386"/>
      <c r="D3657" s="318" t="s">
        <v>11580</v>
      </c>
      <c r="E3657" s="338" t="s">
        <v>11523</v>
      </c>
      <c r="F3657" s="752">
        <v>1</v>
      </c>
      <c r="G3657" s="386"/>
      <c r="H3657" s="386"/>
      <c r="I3657" s="263" t="s">
        <v>10694</v>
      </c>
      <c r="J3657" s="331" t="s">
        <v>11519</v>
      </c>
      <c r="K3657" s="811">
        <v>42075</v>
      </c>
      <c r="L3657" s="1477"/>
      <c r="M3657" s="811">
        <v>42074</v>
      </c>
      <c r="N3657" s="331" t="s">
        <v>89</v>
      </c>
      <c r="O3657" s="263" t="s">
        <v>11581</v>
      </c>
      <c r="Q3657" s="464">
        <v>903</v>
      </c>
      <c r="R3657" s="752">
        <v>977</v>
      </c>
      <c r="S3657" s="464">
        <f t="shared" ref="S3657:S3679" si="232">R3657*F3657</f>
        <v>977</v>
      </c>
      <c r="U3657" s="386"/>
      <c r="V3657" s="318" t="s">
        <v>10751</v>
      </c>
      <c r="W3657" s="1090"/>
      <c r="X3657" s="1083">
        <v>42074</v>
      </c>
      <c r="Y3657" s="263" t="s">
        <v>11582</v>
      </c>
      <c r="Z3657" s="1086">
        <v>31747</v>
      </c>
      <c r="AA3657" s="1083">
        <v>42074</v>
      </c>
      <c r="AB3657" s="318" t="s">
        <v>11579</v>
      </c>
      <c r="AD3657" s="386"/>
      <c r="AE3657" s="386"/>
      <c r="AF3657" s="386"/>
      <c r="AG3657" s="386" t="s">
        <v>8415</v>
      </c>
    </row>
    <row r="3658" spans="1:33" ht="15.75" customHeight="1">
      <c r="A3658" s="755">
        <v>42065</v>
      </c>
      <c r="B3658" s="823" t="s">
        <v>11516</v>
      </c>
      <c r="C3658" s="386"/>
      <c r="D3658" s="318" t="s">
        <v>11580</v>
      </c>
      <c r="E3658" s="338" t="s">
        <v>8693</v>
      </c>
      <c r="F3658" s="752">
        <v>1</v>
      </c>
      <c r="G3658" s="386"/>
      <c r="H3658" s="386"/>
      <c r="I3658" s="263" t="s">
        <v>10694</v>
      </c>
      <c r="J3658" s="331" t="s">
        <v>11519</v>
      </c>
      <c r="K3658" s="811">
        <v>42075</v>
      </c>
      <c r="L3658" s="1477"/>
      <c r="M3658" s="811">
        <v>42074</v>
      </c>
      <c r="N3658" s="331" t="s">
        <v>89</v>
      </c>
      <c r="O3658" s="263" t="s">
        <v>11581</v>
      </c>
      <c r="Q3658" s="464">
        <v>97.65</v>
      </c>
      <c r="R3658" s="752">
        <v>105</v>
      </c>
      <c r="S3658" s="464">
        <f t="shared" si="232"/>
        <v>105</v>
      </c>
      <c r="U3658" s="386"/>
      <c r="V3658" s="318" t="s">
        <v>10751</v>
      </c>
      <c r="W3658" s="1090"/>
      <c r="X3658" s="1083">
        <v>42074</v>
      </c>
      <c r="Y3658" s="263" t="s">
        <v>11582</v>
      </c>
      <c r="Z3658" s="254" t="s">
        <v>8588</v>
      </c>
      <c r="AA3658" s="1083">
        <v>42074</v>
      </c>
      <c r="AB3658" s="318" t="s">
        <v>11579</v>
      </c>
      <c r="AD3658" s="386"/>
      <c r="AE3658" s="386"/>
      <c r="AF3658" s="386"/>
      <c r="AG3658" s="386" t="s">
        <v>8415</v>
      </c>
    </row>
    <row r="3659" spans="1:33" ht="15.75" customHeight="1">
      <c r="A3659" s="755">
        <v>42065</v>
      </c>
      <c r="B3659" s="823" t="s">
        <v>11516</v>
      </c>
      <c r="C3659" s="386"/>
      <c r="D3659" s="318" t="s">
        <v>11580</v>
      </c>
      <c r="E3659" s="338" t="s">
        <v>11583</v>
      </c>
      <c r="F3659" s="752">
        <v>1</v>
      </c>
      <c r="G3659" s="386"/>
      <c r="H3659" s="386"/>
      <c r="I3659" s="263" t="s">
        <v>10694</v>
      </c>
      <c r="J3659" s="331" t="s">
        <v>11519</v>
      </c>
      <c r="K3659" s="811">
        <v>42075</v>
      </c>
      <c r="L3659" s="1477"/>
      <c r="M3659" s="811">
        <v>42074</v>
      </c>
      <c r="N3659" s="331" t="s">
        <v>89</v>
      </c>
      <c r="O3659" s="263" t="s">
        <v>11581</v>
      </c>
      <c r="Q3659" s="464">
        <v>9.4499999999999993</v>
      </c>
      <c r="R3659" s="752">
        <v>10.5</v>
      </c>
      <c r="S3659" s="464">
        <f t="shared" si="232"/>
        <v>10.5</v>
      </c>
      <c r="U3659" s="386"/>
      <c r="V3659" s="318" t="s">
        <v>10751</v>
      </c>
      <c r="W3659" s="1090"/>
      <c r="X3659" s="1083">
        <v>42074</v>
      </c>
      <c r="Y3659" s="263" t="s">
        <v>11582</v>
      </c>
      <c r="Z3659" s="254" t="s">
        <v>8588</v>
      </c>
      <c r="AA3659" s="1083">
        <v>42074</v>
      </c>
      <c r="AB3659" s="318" t="s">
        <v>11579</v>
      </c>
      <c r="AD3659" s="386"/>
      <c r="AE3659" s="386"/>
      <c r="AF3659" s="386"/>
      <c r="AG3659" s="386" t="s">
        <v>8415</v>
      </c>
    </row>
    <row r="3660" spans="1:33" ht="15.75" customHeight="1">
      <c r="A3660" s="743">
        <v>42066</v>
      </c>
      <c r="B3660" s="823" t="s">
        <v>11516</v>
      </c>
      <c r="C3660" s="386"/>
      <c r="D3660" s="386" t="s">
        <v>11584</v>
      </c>
      <c r="E3660" s="592" t="s">
        <v>7207</v>
      </c>
      <c r="F3660" s="1088">
        <v>1</v>
      </c>
      <c r="G3660" s="386"/>
      <c r="H3660" s="386"/>
      <c r="I3660" s="263" t="s">
        <v>10694</v>
      </c>
      <c r="J3660" s="267" t="s">
        <v>11519</v>
      </c>
      <c r="K3660" s="811">
        <v>42089</v>
      </c>
      <c r="L3660" s="1477"/>
      <c r="M3660" s="811">
        <v>42088</v>
      </c>
      <c r="N3660" s="267" t="s">
        <v>89</v>
      </c>
      <c r="O3660" s="263" t="s">
        <v>11585</v>
      </c>
      <c r="Q3660" s="464">
        <v>178.5</v>
      </c>
      <c r="R3660" s="1088">
        <v>222</v>
      </c>
      <c r="S3660" s="464">
        <f t="shared" si="232"/>
        <v>222</v>
      </c>
      <c r="U3660" s="386"/>
      <c r="V3660" s="386" t="s">
        <v>10751</v>
      </c>
      <c r="W3660" s="1090"/>
      <c r="X3660" s="1083">
        <v>42088</v>
      </c>
      <c r="Y3660" s="318" t="s">
        <v>11586</v>
      </c>
      <c r="Z3660" s="1086">
        <v>7364</v>
      </c>
      <c r="AA3660" s="1095">
        <v>42090</v>
      </c>
      <c r="AB3660" s="318" t="s">
        <v>11587</v>
      </c>
      <c r="AD3660" s="386"/>
      <c r="AE3660" s="386"/>
      <c r="AF3660" s="386"/>
      <c r="AG3660" s="386" t="s">
        <v>8415</v>
      </c>
    </row>
    <row r="3661" spans="1:33" ht="15.75" customHeight="1">
      <c r="A3661" s="743">
        <v>42066</v>
      </c>
      <c r="B3661" s="823" t="s">
        <v>11516</v>
      </c>
      <c r="C3661" s="386"/>
      <c r="D3661" s="386" t="s">
        <v>11584</v>
      </c>
      <c r="E3661" s="592" t="s">
        <v>11588</v>
      </c>
      <c r="F3661" s="1088">
        <v>1</v>
      </c>
      <c r="G3661" s="386"/>
      <c r="H3661" s="386"/>
      <c r="I3661" s="263" t="s">
        <v>10694</v>
      </c>
      <c r="J3661" s="267" t="s">
        <v>11519</v>
      </c>
      <c r="K3661" s="811">
        <v>42089</v>
      </c>
      <c r="L3661" s="1477"/>
      <c r="M3661" s="811">
        <v>42088</v>
      </c>
      <c r="N3661" s="267" t="s">
        <v>89</v>
      </c>
      <c r="O3661" s="263" t="s">
        <v>11585</v>
      </c>
      <c r="Q3661" s="464">
        <v>54.6</v>
      </c>
      <c r="R3661" s="1088">
        <v>59</v>
      </c>
      <c r="S3661" s="464">
        <f t="shared" si="232"/>
        <v>59</v>
      </c>
      <c r="U3661" s="386"/>
      <c r="V3661" s="386" t="s">
        <v>10751</v>
      </c>
      <c r="W3661" s="1090"/>
      <c r="X3661" s="1083">
        <v>42088</v>
      </c>
      <c r="Y3661" s="318" t="s">
        <v>11586</v>
      </c>
      <c r="Z3661" s="254" t="s">
        <v>8588</v>
      </c>
      <c r="AA3661" s="1095">
        <v>42090</v>
      </c>
      <c r="AB3661" s="318" t="s">
        <v>11587</v>
      </c>
      <c r="AD3661" s="386"/>
      <c r="AE3661" s="386"/>
      <c r="AF3661" s="386"/>
      <c r="AG3661" s="386" t="s">
        <v>8415</v>
      </c>
    </row>
    <row r="3662" spans="1:33" ht="15.75" customHeight="1">
      <c r="A3662" s="755">
        <v>42069</v>
      </c>
      <c r="B3662" s="823" t="s">
        <v>11516</v>
      </c>
      <c r="C3662" s="386"/>
      <c r="D3662" s="318" t="s">
        <v>11589</v>
      </c>
      <c r="E3662" s="590" t="s">
        <v>11590</v>
      </c>
      <c r="F3662" s="752">
        <v>20</v>
      </c>
      <c r="G3662" s="386"/>
      <c r="H3662" s="386"/>
      <c r="I3662" s="263" t="s">
        <v>10694</v>
      </c>
      <c r="J3662" s="331" t="s">
        <v>11519</v>
      </c>
      <c r="K3662" s="811">
        <v>42082</v>
      </c>
      <c r="L3662" s="1477"/>
      <c r="M3662" s="811">
        <v>42079</v>
      </c>
      <c r="N3662" s="331" t="s">
        <v>10778</v>
      </c>
      <c r="O3662" s="318" t="s">
        <v>11591</v>
      </c>
      <c r="Q3662" s="772"/>
      <c r="R3662" s="752">
        <v>120</v>
      </c>
      <c r="S3662" s="464">
        <f t="shared" si="232"/>
        <v>2400</v>
      </c>
      <c r="U3662" s="752">
        <v>73773</v>
      </c>
      <c r="V3662" s="318" t="s">
        <v>8443</v>
      </c>
      <c r="W3662" s="1090"/>
      <c r="X3662" s="1083">
        <v>42076</v>
      </c>
      <c r="Y3662" s="263" t="s">
        <v>11592</v>
      </c>
      <c r="Z3662" s="1086">
        <v>73773</v>
      </c>
      <c r="AA3662" s="1083">
        <v>42096</v>
      </c>
      <c r="AB3662" s="318" t="s">
        <v>11593</v>
      </c>
      <c r="AD3662" s="386"/>
      <c r="AE3662" s="386"/>
      <c r="AF3662" s="386"/>
      <c r="AG3662" s="386" t="s">
        <v>8415</v>
      </c>
    </row>
    <row r="3663" spans="1:33" ht="15.75" customHeight="1">
      <c r="A3663" s="755">
        <v>42069</v>
      </c>
      <c r="B3663" s="823" t="s">
        <v>11516</v>
      </c>
      <c r="C3663" s="386"/>
      <c r="D3663" s="318" t="s">
        <v>11594</v>
      </c>
      <c r="E3663" s="338" t="s">
        <v>11595</v>
      </c>
      <c r="F3663" s="752">
        <v>2</v>
      </c>
      <c r="G3663" s="386"/>
      <c r="H3663" s="386"/>
      <c r="I3663" s="263" t="s">
        <v>10694</v>
      </c>
      <c r="J3663" s="331" t="s">
        <v>11519</v>
      </c>
      <c r="K3663" s="811">
        <v>42082</v>
      </c>
      <c r="L3663" s="1477"/>
      <c r="M3663" s="811">
        <v>42080</v>
      </c>
      <c r="N3663" s="331" t="s">
        <v>89</v>
      </c>
      <c r="O3663" s="263" t="s">
        <v>11596</v>
      </c>
      <c r="Q3663" s="464">
        <v>1692.6</v>
      </c>
      <c r="R3663" s="752">
        <v>916</v>
      </c>
      <c r="S3663" s="464">
        <f t="shared" si="232"/>
        <v>1832</v>
      </c>
      <c r="U3663" s="386"/>
      <c r="V3663" s="318" t="s">
        <v>10751</v>
      </c>
      <c r="W3663" s="1090"/>
      <c r="X3663" s="1083">
        <v>42080</v>
      </c>
      <c r="Y3663" s="263" t="s">
        <v>11597</v>
      </c>
      <c r="Z3663" s="1086">
        <v>106529</v>
      </c>
      <c r="AA3663" s="1083">
        <v>42082</v>
      </c>
      <c r="AB3663" s="318" t="s">
        <v>11593</v>
      </c>
      <c r="AD3663" s="386"/>
      <c r="AE3663" s="386"/>
      <c r="AF3663" s="386"/>
      <c r="AG3663" s="386" t="s">
        <v>8415</v>
      </c>
    </row>
    <row r="3664" spans="1:33" ht="15.75" customHeight="1">
      <c r="A3664" s="755">
        <v>42069</v>
      </c>
      <c r="B3664" s="823" t="s">
        <v>11516</v>
      </c>
      <c r="C3664" s="386"/>
      <c r="D3664" s="318" t="s">
        <v>11594</v>
      </c>
      <c r="E3664" s="338" t="s">
        <v>11598</v>
      </c>
      <c r="F3664" s="752">
        <v>8</v>
      </c>
      <c r="G3664" s="386"/>
      <c r="H3664" s="386"/>
      <c r="I3664" s="263" t="s">
        <v>10694</v>
      </c>
      <c r="J3664" s="331" t="s">
        <v>11519</v>
      </c>
      <c r="K3664" s="811">
        <v>42082</v>
      </c>
      <c r="L3664" s="1477"/>
      <c r="M3664" s="811">
        <v>42080</v>
      </c>
      <c r="N3664" s="331" t="s">
        <v>89</v>
      </c>
      <c r="O3664" s="263" t="s">
        <v>11596</v>
      </c>
      <c r="Q3664" s="464">
        <v>1696.8</v>
      </c>
      <c r="R3664" s="752">
        <v>230</v>
      </c>
      <c r="S3664" s="464">
        <f t="shared" si="232"/>
        <v>1840</v>
      </c>
      <c r="U3664" s="386"/>
      <c r="V3664" s="318" t="s">
        <v>10751</v>
      </c>
      <c r="W3664" s="1090"/>
      <c r="X3664" s="1083">
        <v>42080</v>
      </c>
      <c r="Y3664" s="263" t="s">
        <v>11597</v>
      </c>
      <c r="Z3664" s="254" t="s">
        <v>8588</v>
      </c>
      <c r="AA3664" s="1083">
        <v>42082</v>
      </c>
      <c r="AB3664" s="318" t="s">
        <v>11593</v>
      </c>
      <c r="AD3664" s="386"/>
      <c r="AE3664" s="386"/>
      <c r="AF3664" s="386"/>
      <c r="AG3664" s="386" t="s">
        <v>8415</v>
      </c>
    </row>
    <row r="3665" spans="1:33" ht="15.75" customHeight="1">
      <c r="A3665" s="743">
        <v>42089</v>
      </c>
      <c r="B3665" s="823" t="s">
        <v>11516</v>
      </c>
      <c r="C3665" s="386"/>
      <c r="D3665" s="386" t="s">
        <v>11599</v>
      </c>
      <c r="E3665" s="592" t="s">
        <v>4616</v>
      </c>
      <c r="F3665" s="1088">
        <v>3</v>
      </c>
      <c r="G3665" s="386"/>
      <c r="H3665" s="386"/>
      <c r="I3665" s="263" t="s">
        <v>10694</v>
      </c>
      <c r="J3665" s="267" t="s">
        <v>11519</v>
      </c>
      <c r="K3665" s="811">
        <v>42096</v>
      </c>
      <c r="L3665" s="1477"/>
      <c r="M3665" s="811">
        <v>42095</v>
      </c>
      <c r="N3665" s="267" t="s">
        <v>89</v>
      </c>
      <c r="O3665" s="263" t="s">
        <v>11600</v>
      </c>
      <c r="Q3665" s="752">
        <v>248.85</v>
      </c>
      <c r="R3665" s="1088">
        <v>90</v>
      </c>
      <c r="S3665" s="464">
        <f t="shared" si="232"/>
        <v>270</v>
      </c>
      <c r="U3665" s="386"/>
      <c r="V3665" s="386" t="s">
        <v>10751</v>
      </c>
      <c r="W3665" s="386"/>
      <c r="X3665" s="1083">
        <v>42095</v>
      </c>
      <c r="Y3665" s="318" t="s">
        <v>11601</v>
      </c>
      <c r="Z3665" s="1086">
        <v>7777</v>
      </c>
      <c r="AA3665" s="386"/>
      <c r="AB3665" s="318" t="s">
        <v>11602</v>
      </c>
      <c r="AD3665" s="386"/>
      <c r="AE3665" s="386"/>
      <c r="AF3665" s="386"/>
      <c r="AG3665" s="386" t="s">
        <v>283</v>
      </c>
    </row>
    <row r="3666" spans="1:33" ht="15.75" customHeight="1">
      <c r="A3666" s="743">
        <v>42089</v>
      </c>
      <c r="B3666" s="823" t="s">
        <v>11516</v>
      </c>
      <c r="C3666" s="386"/>
      <c r="D3666" s="386" t="s">
        <v>11603</v>
      </c>
      <c r="E3666" s="592" t="s">
        <v>11604</v>
      </c>
      <c r="F3666" s="1088">
        <v>4</v>
      </c>
      <c r="G3666" s="386"/>
      <c r="H3666" s="386"/>
      <c r="I3666" s="263" t="s">
        <v>10694</v>
      </c>
      <c r="J3666" s="267" t="s">
        <v>11519</v>
      </c>
      <c r="K3666" s="811">
        <v>42111</v>
      </c>
      <c r="L3666" s="1477"/>
      <c r="M3666" s="811">
        <v>42109</v>
      </c>
      <c r="N3666" s="267" t="s">
        <v>89</v>
      </c>
      <c r="O3666" s="263" t="s">
        <v>11605</v>
      </c>
      <c r="Q3666" s="752">
        <v>600.6</v>
      </c>
      <c r="R3666" s="1088">
        <v>177</v>
      </c>
      <c r="S3666" s="464">
        <f t="shared" si="232"/>
        <v>708</v>
      </c>
      <c r="U3666" s="386"/>
      <c r="V3666" s="386" t="s">
        <v>10751</v>
      </c>
      <c r="W3666" s="386"/>
      <c r="X3666" s="1083">
        <v>42109</v>
      </c>
      <c r="Y3666" s="318" t="s">
        <v>11606</v>
      </c>
      <c r="Z3666" s="1086">
        <v>20223</v>
      </c>
      <c r="AA3666" s="386"/>
      <c r="AB3666" s="318" t="s">
        <v>11607</v>
      </c>
      <c r="AD3666" s="386"/>
      <c r="AE3666" s="386"/>
      <c r="AF3666" s="386"/>
      <c r="AG3666" s="386" t="s">
        <v>283</v>
      </c>
    </row>
    <row r="3667" spans="1:33" ht="15.75" customHeight="1">
      <c r="A3667" s="743">
        <v>42089</v>
      </c>
      <c r="B3667" s="823" t="s">
        <v>11516</v>
      </c>
      <c r="C3667" s="386"/>
      <c r="D3667" s="386" t="s">
        <v>11603</v>
      </c>
      <c r="E3667" s="592" t="s">
        <v>11608</v>
      </c>
      <c r="F3667" s="1088">
        <v>1</v>
      </c>
      <c r="G3667" s="386"/>
      <c r="H3667" s="386"/>
      <c r="I3667" s="263" t="s">
        <v>10694</v>
      </c>
      <c r="J3667" s="267" t="s">
        <v>11519</v>
      </c>
      <c r="K3667" s="811">
        <v>42111</v>
      </c>
      <c r="L3667" s="1477"/>
      <c r="M3667" s="811">
        <v>42109</v>
      </c>
      <c r="N3667" s="267" t="s">
        <v>89</v>
      </c>
      <c r="O3667" s="263" t="s">
        <v>11605</v>
      </c>
      <c r="Q3667" s="752">
        <v>48.3</v>
      </c>
      <c r="R3667" s="1088">
        <v>52</v>
      </c>
      <c r="S3667" s="464">
        <f t="shared" si="232"/>
        <v>52</v>
      </c>
      <c r="U3667" s="386"/>
      <c r="V3667" s="386" t="s">
        <v>10751</v>
      </c>
      <c r="W3667" s="386"/>
      <c r="X3667" s="1083">
        <v>42109</v>
      </c>
      <c r="Y3667" s="318" t="s">
        <v>11606</v>
      </c>
      <c r="Z3667" s="254" t="s">
        <v>8588</v>
      </c>
      <c r="AA3667" s="386"/>
      <c r="AB3667" s="318" t="s">
        <v>11607</v>
      </c>
      <c r="AD3667" s="386"/>
      <c r="AE3667" s="386"/>
      <c r="AF3667" s="386"/>
      <c r="AG3667" s="386" t="s">
        <v>283</v>
      </c>
    </row>
    <row r="3668" spans="1:33" ht="15.75" customHeight="1">
      <c r="A3668" s="743">
        <v>42090</v>
      </c>
      <c r="B3668" s="823" t="s">
        <v>11516</v>
      </c>
      <c r="C3668" s="386"/>
      <c r="D3668" s="386" t="s">
        <v>11609</v>
      </c>
      <c r="E3668" s="823" t="s">
        <v>11590</v>
      </c>
      <c r="F3668" s="1088">
        <v>1</v>
      </c>
      <c r="G3668" s="386"/>
      <c r="H3668" s="386"/>
      <c r="I3668" s="263" t="s">
        <v>10694</v>
      </c>
      <c r="J3668" s="267" t="s">
        <v>11519</v>
      </c>
      <c r="K3668" s="811">
        <v>42096</v>
      </c>
      <c r="L3668" s="1477"/>
      <c r="M3668" s="811">
        <v>42095</v>
      </c>
      <c r="N3668" s="267" t="s">
        <v>10778</v>
      </c>
      <c r="O3668" s="970" t="s">
        <v>11610</v>
      </c>
      <c r="Q3668" s="386"/>
      <c r="R3668" s="1088">
        <v>120</v>
      </c>
      <c r="S3668" s="464">
        <f t="shared" si="232"/>
        <v>120</v>
      </c>
      <c r="U3668" s="752">
        <v>3689</v>
      </c>
      <c r="V3668" s="386" t="s">
        <v>8443</v>
      </c>
      <c r="W3668" s="386"/>
      <c r="X3668" s="1095">
        <v>42094</v>
      </c>
      <c r="Y3668" s="386" t="s">
        <v>11611</v>
      </c>
      <c r="Z3668" s="824">
        <v>3689</v>
      </c>
      <c r="AA3668" s="1095">
        <v>42129</v>
      </c>
      <c r="AB3668" s="318" t="s">
        <v>11602</v>
      </c>
      <c r="AD3668" s="386"/>
      <c r="AE3668" s="386"/>
      <c r="AF3668" s="386"/>
      <c r="AG3668" s="386" t="s">
        <v>283</v>
      </c>
    </row>
    <row r="3669" spans="1:33" ht="15.75" customHeight="1">
      <c r="A3669" s="743">
        <v>42093</v>
      </c>
      <c r="B3669" s="823" t="s">
        <v>11516</v>
      </c>
      <c r="C3669" s="386"/>
      <c r="D3669" s="386" t="s">
        <v>11612</v>
      </c>
      <c r="E3669" s="592" t="s">
        <v>11613</v>
      </c>
      <c r="F3669" s="1088">
        <v>6</v>
      </c>
      <c r="G3669" s="386"/>
      <c r="H3669" s="386"/>
      <c r="I3669" s="263" t="s">
        <v>10694</v>
      </c>
      <c r="J3669" s="267" t="s">
        <v>11519</v>
      </c>
      <c r="K3669" s="811">
        <v>42111</v>
      </c>
      <c r="L3669" s="1477"/>
      <c r="M3669" s="811">
        <v>42109</v>
      </c>
      <c r="N3669" s="267" t="s">
        <v>89</v>
      </c>
      <c r="O3669" s="263" t="s">
        <v>11614</v>
      </c>
      <c r="Q3669" s="752">
        <v>737.1</v>
      </c>
      <c r="R3669" s="1088">
        <v>138.5</v>
      </c>
      <c r="S3669" s="464">
        <f t="shared" si="232"/>
        <v>831</v>
      </c>
      <c r="U3669" s="386"/>
      <c r="V3669" s="386" t="s">
        <v>10751</v>
      </c>
      <c r="W3669" s="386"/>
      <c r="X3669" s="1083">
        <v>42109</v>
      </c>
      <c r="Y3669" s="1054" t="s">
        <v>11615</v>
      </c>
      <c r="Z3669" s="1086">
        <v>23561</v>
      </c>
      <c r="AA3669" s="386"/>
      <c r="AB3669" s="318" t="s">
        <v>11607</v>
      </c>
      <c r="AD3669" s="386"/>
      <c r="AE3669" s="386"/>
      <c r="AF3669" s="386"/>
      <c r="AG3669" s="386" t="s">
        <v>283</v>
      </c>
    </row>
    <row r="3670" spans="1:33" ht="15.75" customHeight="1">
      <c r="A3670" s="743">
        <v>42093</v>
      </c>
      <c r="B3670" s="823" t="s">
        <v>11516</v>
      </c>
      <c r="C3670" s="386"/>
      <c r="D3670" s="386" t="s">
        <v>11612</v>
      </c>
      <c r="E3670" s="592" t="s">
        <v>4644</v>
      </c>
      <c r="F3670" s="1088">
        <v>6</v>
      </c>
      <c r="G3670" s="386"/>
      <c r="H3670" s="386"/>
      <c r="I3670" s="263" t="s">
        <v>10694</v>
      </c>
      <c r="J3670" s="267" t="s">
        <v>11519</v>
      </c>
      <c r="K3670" s="811">
        <v>42111</v>
      </c>
      <c r="L3670" s="1477"/>
      <c r="M3670" s="811">
        <v>42109</v>
      </c>
      <c r="N3670" s="267" t="s">
        <v>89</v>
      </c>
      <c r="O3670" s="263" t="s">
        <v>11614</v>
      </c>
      <c r="Q3670" s="752">
        <v>18.899999999999999</v>
      </c>
      <c r="R3670" s="1088">
        <v>3.5</v>
      </c>
      <c r="S3670" s="464">
        <f t="shared" si="232"/>
        <v>21</v>
      </c>
      <c r="U3670" s="386"/>
      <c r="V3670" s="386" t="s">
        <v>10751</v>
      </c>
      <c r="W3670" s="386"/>
      <c r="X3670" s="1083">
        <v>42109</v>
      </c>
      <c r="Y3670" s="1054" t="s">
        <v>11615</v>
      </c>
      <c r="Z3670" s="1086" t="s">
        <v>8588</v>
      </c>
      <c r="AA3670" s="386"/>
      <c r="AB3670" s="318" t="s">
        <v>11607</v>
      </c>
      <c r="AD3670" s="386"/>
      <c r="AE3670" s="386"/>
      <c r="AF3670" s="386"/>
      <c r="AG3670" s="386" t="s">
        <v>283</v>
      </c>
    </row>
    <row r="3671" spans="1:33" ht="15.75" customHeight="1">
      <c r="A3671" s="743">
        <v>42094</v>
      </c>
      <c r="B3671" s="823" t="s">
        <v>11516</v>
      </c>
      <c r="C3671" s="386"/>
      <c r="D3671" s="318" t="s">
        <v>11616</v>
      </c>
      <c r="E3671" s="592" t="s">
        <v>11617</v>
      </c>
      <c r="F3671" s="1088">
        <v>1</v>
      </c>
      <c r="G3671" s="386"/>
      <c r="H3671" s="1088">
        <v>1638</v>
      </c>
      <c r="I3671" s="263" t="s">
        <v>10694</v>
      </c>
      <c r="J3671" s="267" t="s">
        <v>10777</v>
      </c>
      <c r="K3671" s="811">
        <v>42110</v>
      </c>
      <c r="L3671" s="1477"/>
      <c r="M3671" s="811">
        <v>42110</v>
      </c>
      <c r="N3671" s="267" t="s">
        <v>11618</v>
      </c>
      <c r="O3671" s="386"/>
      <c r="Q3671" s="386"/>
      <c r="R3671" s="1088">
        <v>52.5</v>
      </c>
      <c r="S3671" s="464">
        <f t="shared" si="232"/>
        <v>52.5</v>
      </c>
      <c r="U3671" s="1088">
        <v>1800</v>
      </c>
      <c r="V3671" s="386" t="s">
        <v>11619</v>
      </c>
      <c r="W3671" s="1090"/>
      <c r="X3671" s="1095">
        <v>42109</v>
      </c>
      <c r="Y3671" s="386" t="s">
        <v>11620</v>
      </c>
      <c r="Z3671" s="824">
        <v>1800</v>
      </c>
      <c r="AA3671" s="1095">
        <v>42095</v>
      </c>
      <c r="AB3671" s="386" t="s">
        <v>11621</v>
      </c>
      <c r="AD3671" s="386"/>
      <c r="AE3671" s="386"/>
      <c r="AF3671" s="386"/>
      <c r="AG3671" s="386"/>
    </row>
    <row r="3672" spans="1:33" ht="15.75" customHeight="1">
      <c r="A3672" s="743">
        <v>42107</v>
      </c>
      <c r="B3672" s="823" t="s">
        <v>11516</v>
      </c>
      <c r="C3672" s="386"/>
      <c r="D3672" s="386" t="s">
        <v>11622</v>
      </c>
      <c r="E3672" s="592" t="s">
        <v>11623</v>
      </c>
      <c r="F3672" s="1088">
        <v>1</v>
      </c>
      <c r="G3672" s="386"/>
      <c r="H3672" s="386"/>
      <c r="I3672" s="263" t="s">
        <v>10694</v>
      </c>
      <c r="J3672" s="267" t="s">
        <v>11624</v>
      </c>
      <c r="K3672" s="811">
        <v>42117</v>
      </c>
      <c r="L3672" s="1477"/>
      <c r="M3672" s="811">
        <v>42115</v>
      </c>
      <c r="N3672" s="267" t="s">
        <v>89</v>
      </c>
      <c r="O3672" s="263" t="s">
        <v>11625</v>
      </c>
      <c r="Q3672" s="752">
        <v>310.8</v>
      </c>
      <c r="R3672" s="1088">
        <v>337</v>
      </c>
      <c r="S3672" s="464">
        <f t="shared" si="232"/>
        <v>337</v>
      </c>
      <c r="U3672" s="386"/>
      <c r="V3672" s="386" t="s">
        <v>10751</v>
      </c>
      <c r="W3672" s="386"/>
      <c r="X3672" s="1083">
        <v>42116</v>
      </c>
      <c r="Y3672" s="318" t="s">
        <v>11626</v>
      </c>
      <c r="Z3672" s="1086">
        <v>12246</v>
      </c>
      <c r="AA3672" s="386"/>
      <c r="AB3672" s="386" t="s">
        <v>11627</v>
      </c>
      <c r="AD3672" s="386"/>
      <c r="AE3672" s="386"/>
      <c r="AF3672" s="386"/>
      <c r="AG3672" s="386" t="s">
        <v>283</v>
      </c>
    </row>
    <row r="3673" spans="1:33" ht="15.75" customHeight="1">
      <c r="A3673" s="743">
        <v>42107</v>
      </c>
      <c r="B3673" s="823" t="s">
        <v>11516</v>
      </c>
      <c r="C3673" s="386"/>
      <c r="D3673" s="386" t="s">
        <v>11622</v>
      </c>
      <c r="E3673" s="592" t="s">
        <v>7052</v>
      </c>
      <c r="F3673" s="1088">
        <v>1</v>
      </c>
      <c r="G3673" s="386"/>
      <c r="H3673" s="386"/>
      <c r="I3673" s="263" t="s">
        <v>10694</v>
      </c>
      <c r="J3673" s="267" t="s">
        <v>11624</v>
      </c>
      <c r="K3673" s="811">
        <v>42117</v>
      </c>
      <c r="L3673" s="1477"/>
      <c r="M3673" s="811">
        <v>42115</v>
      </c>
      <c r="N3673" s="267" t="s">
        <v>89</v>
      </c>
      <c r="O3673" s="263" t="s">
        <v>11625</v>
      </c>
      <c r="Q3673" s="752">
        <v>81.900000000000006</v>
      </c>
      <c r="R3673" s="1088">
        <v>89</v>
      </c>
      <c r="S3673" s="464">
        <f t="shared" si="232"/>
        <v>89</v>
      </c>
      <c r="U3673" s="386"/>
      <c r="V3673" s="386" t="s">
        <v>10751</v>
      </c>
      <c r="W3673" s="386"/>
      <c r="X3673" s="1083">
        <v>42116</v>
      </c>
      <c r="Y3673" s="318" t="s">
        <v>11626</v>
      </c>
      <c r="Z3673" s="254" t="s">
        <v>8588</v>
      </c>
      <c r="AA3673" s="386"/>
      <c r="AB3673" s="386" t="s">
        <v>11627</v>
      </c>
      <c r="AD3673" s="386"/>
      <c r="AE3673" s="386"/>
      <c r="AF3673" s="386"/>
      <c r="AG3673" s="386" t="s">
        <v>283</v>
      </c>
    </row>
    <row r="3674" spans="1:33" ht="15.75" customHeight="1">
      <c r="A3674" s="743">
        <v>42121</v>
      </c>
      <c r="B3674" s="823" t="s">
        <v>11516</v>
      </c>
      <c r="C3674" s="386"/>
      <c r="D3674" s="386" t="s">
        <v>11628</v>
      </c>
      <c r="E3674" s="592" t="s">
        <v>11629</v>
      </c>
      <c r="F3674" s="1088">
        <v>1</v>
      </c>
      <c r="G3674" s="386"/>
      <c r="H3674" s="386"/>
      <c r="I3674" s="263" t="s">
        <v>10694</v>
      </c>
      <c r="J3674" s="267" t="s">
        <v>11519</v>
      </c>
      <c r="K3674" s="811">
        <v>42142</v>
      </c>
      <c r="L3674" s="1477"/>
      <c r="M3674" s="811">
        <v>42131</v>
      </c>
      <c r="N3674" s="267" t="s">
        <v>10981</v>
      </c>
      <c r="O3674" s="263" t="s">
        <v>9236</v>
      </c>
      <c r="Q3674" s="386"/>
      <c r="R3674" s="1088">
        <v>24</v>
      </c>
      <c r="S3674" s="464">
        <f t="shared" si="232"/>
        <v>24</v>
      </c>
      <c r="U3674" s="752">
        <v>236.25</v>
      </c>
      <c r="V3674" s="386"/>
      <c r="W3674" s="386"/>
      <c r="X3674" s="970" t="s">
        <v>10982</v>
      </c>
      <c r="Y3674" s="386" t="s">
        <v>10983</v>
      </c>
      <c r="Z3674" s="585" t="s">
        <v>10982</v>
      </c>
      <c r="AA3674" s="386"/>
      <c r="AB3674" s="318" t="s">
        <v>11630</v>
      </c>
      <c r="AD3674" s="386"/>
      <c r="AE3674" s="386"/>
      <c r="AF3674" s="386"/>
      <c r="AG3674" s="1088" t="s">
        <v>11631</v>
      </c>
    </row>
    <row r="3675" spans="1:33" ht="15.75" customHeight="1">
      <c r="A3675" s="743">
        <v>42124</v>
      </c>
      <c r="B3675" s="823" t="s">
        <v>11516</v>
      </c>
      <c r="C3675" s="386"/>
      <c r="D3675" s="386" t="s">
        <v>11632</v>
      </c>
      <c r="E3675" s="592" t="s">
        <v>11633</v>
      </c>
      <c r="F3675" s="1088">
        <v>3</v>
      </c>
      <c r="G3675" s="386"/>
      <c r="H3675" s="386"/>
      <c r="I3675" s="263" t="s">
        <v>10694</v>
      </c>
      <c r="J3675" s="267" t="s">
        <v>11519</v>
      </c>
      <c r="K3675" s="811">
        <v>42152</v>
      </c>
      <c r="L3675" s="1477"/>
      <c r="M3675" s="811">
        <v>42150</v>
      </c>
      <c r="N3675" s="267" t="s">
        <v>89</v>
      </c>
      <c r="O3675" s="263" t="s">
        <v>11634</v>
      </c>
      <c r="Q3675" s="752">
        <v>2551.5</v>
      </c>
      <c r="R3675" s="1088">
        <v>996</v>
      </c>
      <c r="S3675" s="464">
        <f t="shared" si="232"/>
        <v>2988</v>
      </c>
      <c r="U3675" s="386"/>
      <c r="V3675" s="386" t="s">
        <v>10751</v>
      </c>
      <c r="W3675" s="1090"/>
      <c r="X3675" s="1083">
        <v>42150</v>
      </c>
      <c r="Y3675" s="318" t="s">
        <v>11635</v>
      </c>
      <c r="Z3675" s="1086">
        <v>77578</v>
      </c>
      <c r="AA3675" s="1095">
        <v>42129</v>
      </c>
      <c r="AB3675" s="318" t="s">
        <v>11636</v>
      </c>
      <c r="AD3675" s="386"/>
      <c r="AE3675" s="386"/>
      <c r="AF3675" s="386"/>
      <c r="AG3675" s="1088">
        <v>11535.46</v>
      </c>
    </row>
    <row r="3676" spans="1:33" ht="15.75" customHeight="1">
      <c r="A3676" s="743">
        <v>42125</v>
      </c>
      <c r="B3676" s="823" t="s">
        <v>11516</v>
      </c>
      <c r="C3676" s="386"/>
      <c r="D3676" s="386" t="s">
        <v>11637</v>
      </c>
      <c r="E3676" s="592" t="s">
        <v>11638</v>
      </c>
      <c r="F3676" s="1088">
        <v>25</v>
      </c>
      <c r="G3676" s="386"/>
      <c r="H3676" s="386"/>
      <c r="I3676" s="263" t="s">
        <v>10694</v>
      </c>
      <c r="J3676" s="267" t="s">
        <v>11519</v>
      </c>
      <c r="K3676" s="811">
        <v>42142</v>
      </c>
      <c r="L3676" s="1477"/>
      <c r="M3676" s="811">
        <v>42139</v>
      </c>
      <c r="N3676" s="267" t="s">
        <v>89</v>
      </c>
      <c r="O3676" s="263" t="s">
        <v>11639</v>
      </c>
      <c r="Q3676" s="752">
        <v>3753.75</v>
      </c>
      <c r="R3676" s="1088">
        <v>173</v>
      </c>
      <c r="S3676" s="464">
        <f t="shared" si="232"/>
        <v>4325</v>
      </c>
      <c r="U3676" s="386"/>
      <c r="V3676" s="386" t="s">
        <v>10751</v>
      </c>
      <c r="W3676" s="1090"/>
      <c r="X3676" s="1095">
        <v>42139</v>
      </c>
      <c r="Y3676" s="386" t="s">
        <v>11640</v>
      </c>
      <c r="Z3676" s="824">
        <v>114959</v>
      </c>
      <c r="AA3676" s="1095">
        <v>42129</v>
      </c>
      <c r="AB3676" s="318" t="s">
        <v>11630</v>
      </c>
      <c r="AD3676" s="386"/>
      <c r="AE3676" s="386"/>
      <c r="AF3676" s="386"/>
      <c r="AG3676" s="1088" t="s">
        <v>11631</v>
      </c>
    </row>
    <row r="3677" spans="1:33" ht="15.75" customHeight="1">
      <c r="A3677" s="743">
        <v>42138</v>
      </c>
      <c r="B3677" s="823" t="s">
        <v>11516</v>
      </c>
      <c r="C3677" s="386"/>
      <c r="D3677" s="386" t="s">
        <v>11641</v>
      </c>
      <c r="E3677" s="592" t="s">
        <v>11642</v>
      </c>
      <c r="F3677" s="1088">
        <v>20</v>
      </c>
      <c r="G3677" s="386"/>
      <c r="H3677" s="386"/>
      <c r="I3677" s="263" t="s">
        <v>11643</v>
      </c>
      <c r="J3677" s="267" t="s">
        <v>11519</v>
      </c>
      <c r="K3677" s="811">
        <v>42152</v>
      </c>
      <c r="L3677" s="1477"/>
      <c r="M3677" s="811">
        <v>42149</v>
      </c>
      <c r="N3677" s="267" t="s">
        <v>89</v>
      </c>
      <c r="O3677" s="263" t="s">
        <v>11644</v>
      </c>
      <c r="Q3677" s="752">
        <v>3927</v>
      </c>
      <c r="R3677" s="1088">
        <v>212</v>
      </c>
      <c r="S3677" s="464">
        <f t="shared" si="232"/>
        <v>4240</v>
      </c>
      <c r="U3677" s="386"/>
      <c r="V3677" s="386" t="s">
        <v>10751</v>
      </c>
      <c r="W3677" s="386"/>
      <c r="X3677" s="1083">
        <v>42149</v>
      </c>
      <c r="Y3677" s="263" t="s">
        <v>11645</v>
      </c>
      <c r="Z3677" s="1086">
        <v>119400</v>
      </c>
      <c r="AA3677" s="1095">
        <v>42177</v>
      </c>
      <c r="AB3677" s="318" t="s">
        <v>11636</v>
      </c>
      <c r="AD3677" s="386"/>
      <c r="AE3677" s="386"/>
      <c r="AF3677" s="386"/>
      <c r="AG3677" s="1088" t="s">
        <v>11631</v>
      </c>
    </row>
    <row r="3678" spans="1:33" ht="15.75" customHeight="1">
      <c r="A3678" s="743">
        <v>42138</v>
      </c>
      <c r="B3678" s="823" t="s">
        <v>11516</v>
      </c>
      <c r="C3678" s="386"/>
      <c r="D3678" s="386" t="s">
        <v>11646</v>
      </c>
      <c r="E3678" s="592" t="s">
        <v>11642</v>
      </c>
      <c r="F3678" s="1088">
        <v>25</v>
      </c>
      <c r="G3678" s="386"/>
      <c r="H3678" s="386"/>
      <c r="I3678" s="263" t="s">
        <v>11643</v>
      </c>
      <c r="J3678" s="267" t="s">
        <v>11519</v>
      </c>
      <c r="K3678" s="811">
        <v>42180</v>
      </c>
      <c r="L3678" s="1477"/>
      <c r="M3678" s="811">
        <v>42177</v>
      </c>
      <c r="N3678" s="267" t="s">
        <v>89</v>
      </c>
      <c r="O3678" s="263" t="s">
        <v>11647</v>
      </c>
      <c r="Q3678" s="752">
        <v>4908.75</v>
      </c>
      <c r="R3678" s="1088">
        <v>212</v>
      </c>
      <c r="S3678" s="464">
        <f t="shared" si="232"/>
        <v>5300</v>
      </c>
      <c r="U3678" s="386"/>
      <c r="V3678" s="386" t="s">
        <v>10751</v>
      </c>
      <c r="W3678" s="386"/>
      <c r="X3678" s="1095">
        <v>42177</v>
      </c>
      <c r="Y3678" s="386" t="s">
        <v>11648</v>
      </c>
      <c r="Z3678" s="824">
        <v>151705</v>
      </c>
      <c r="AA3678" s="1095">
        <v>42179</v>
      </c>
      <c r="AB3678" s="386" t="s">
        <v>11649</v>
      </c>
      <c r="AD3678" s="386"/>
      <c r="AE3678" s="386"/>
      <c r="AF3678" s="386"/>
      <c r="AG3678" s="1088">
        <v>5260.51</v>
      </c>
    </row>
    <row r="3679" spans="1:33" ht="15.75" customHeight="1">
      <c r="A3679" s="775">
        <v>42138</v>
      </c>
      <c r="B3679" s="823" t="s">
        <v>11516</v>
      </c>
      <c r="C3679" s="386"/>
      <c r="D3679" s="779" t="s">
        <v>11650</v>
      </c>
      <c r="E3679" s="765" t="s">
        <v>11642</v>
      </c>
      <c r="F3679" s="386"/>
      <c r="G3679" s="386"/>
      <c r="H3679" s="386"/>
      <c r="I3679" s="762" t="s">
        <v>11643</v>
      </c>
      <c r="J3679" s="281" t="s">
        <v>11519</v>
      </c>
      <c r="K3679" s="1201" t="s">
        <v>11651</v>
      </c>
      <c r="L3679" s="1488"/>
      <c r="M3679" s="280" t="s">
        <v>70</v>
      </c>
      <c r="N3679" s="281" t="s">
        <v>89</v>
      </c>
      <c r="O3679" s="762" t="s">
        <v>11652</v>
      </c>
      <c r="Q3679" s="909"/>
      <c r="R3679" s="909">
        <v>212</v>
      </c>
      <c r="S3679" s="813">
        <f t="shared" si="232"/>
        <v>0</v>
      </c>
      <c r="U3679" s="386"/>
      <c r="V3679" s="779" t="s">
        <v>10751</v>
      </c>
      <c r="W3679" s="386"/>
      <c r="X3679" s="386"/>
      <c r="Y3679" s="386"/>
      <c r="Z3679" s="386"/>
      <c r="AA3679" s="386"/>
      <c r="AB3679" s="386"/>
      <c r="AD3679" s="386"/>
      <c r="AE3679" s="386"/>
      <c r="AF3679" s="386"/>
      <c r="AG3679" s="386"/>
    </row>
    <row r="3680" spans="1:33" ht="15.75" customHeight="1">
      <c r="A3680" s="743">
        <v>42241</v>
      </c>
      <c r="B3680" s="823" t="s">
        <v>11653</v>
      </c>
      <c r="C3680" s="970">
        <v>380835</v>
      </c>
      <c r="D3680" s="386" t="s">
        <v>11654</v>
      </c>
      <c r="E3680" s="592" t="s">
        <v>11655</v>
      </c>
      <c r="F3680" s="1088">
        <v>1</v>
      </c>
      <c r="G3680" s="386"/>
      <c r="H3680" s="386"/>
      <c r="I3680" s="263" t="s">
        <v>170</v>
      </c>
      <c r="J3680" s="331" t="s">
        <v>3613</v>
      </c>
      <c r="K3680" s="811">
        <v>42257</v>
      </c>
      <c r="L3680" s="1477"/>
      <c r="M3680" s="811">
        <v>42256</v>
      </c>
      <c r="N3680" s="267" t="s">
        <v>11656</v>
      </c>
      <c r="O3680" s="970" t="s">
        <v>11657</v>
      </c>
      <c r="Q3680" s="386"/>
      <c r="R3680" s="1088">
        <v>1584</v>
      </c>
      <c r="S3680" s="1098">
        <f t="shared" ref="S3680:S3696" si="233">F3680*R3680</f>
        <v>1584</v>
      </c>
      <c r="U3680" s="752">
        <v>49593</v>
      </c>
      <c r="V3680" s="386" t="s">
        <v>2159</v>
      </c>
      <c r="W3680" s="1095">
        <v>42254</v>
      </c>
      <c r="X3680" s="1094">
        <v>42255</v>
      </c>
      <c r="Y3680" s="386" t="s">
        <v>11658</v>
      </c>
      <c r="Z3680" s="824">
        <v>49593</v>
      </c>
      <c r="AA3680" s="1083">
        <v>42255</v>
      </c>
      <c r="AB3680" s="386" t="s">
        <v>11659</v>
      </c>
      <c r="AD3680" s="386"/>
      <c r="AE3680" s="386"/>
      <c r="AF3680" s="386"/>
      <c r="AG3680" s="1091" t="s">
        <v>283</v>
      </c>
    </row>
    <row r="3681" spans="1:33" ht="15.75" customHeight="1">
      <c r="A3681" s="743">
        <v>42256</v>
      </c>
      <c r="B3681" s="823" t="s">
        <v>11653</v>
      </c>
      <c r="C3681" s="386"/>
      <c r="D3681" s="386" t="s">
        <v>11660</v>
      </c>
      <c r="E3681" s="338" t="s">
        <v>11661</v>
      </c>
      <c r="F3681" s="1088">
        <v>1</v>
      </c>
      <c r="G3681" s="386"/>
      <c r="H3681" s="386"/>
      <c r="I3681" s="263" t="s">
        <v>170</v>
      </c>
      <c r="J3681" s="331" t="s">
        <v>3613</v>
      </c>
      <c r="K3681" s="811">
        <v>42265</v>
      </c>
      <c r="L3681" s="1477"/>
      <c r="M3681" s="811">
        <v>42263</v>
      </c>
      <c r="N3681" s="267" t="s">
        <v>11656</v>
      </c>
      <c r="O3681" s="970" t="s">
        <v>11662</v>
      </c>
      <c r="Q3681" s="386"/>
      <c r="R3681" s="1088">
        <v>50</v>
      </c>
      <c r="S3681" s="1098">
        <f t="shared" si="233"/>
        <v>50</v>
      </c>
      <c r="U3681" s="1088">
        <v>755</v>
      </c>
      <c r="V3681" s="386" t="s">
        <v>2159</v>
      </c>
      <c r="W3681" s="1095">
        <v>42263</v>
      </c>
      <c r="X3681" s="1094">
        <v>42263</v>
      </c>
      <c r="Y3681" s="386" t="s">
        <v>11663</v>
      </c>
      <c r="Z3681" s="585">
        <v>755</v>
      </c>
      <c r="AA3681" s="1090">
        <v>42263</v>
      </c>
      <c r="AB3681" s="318" t="s">
        <v>11664</v>
      </c>
      <c r="AD3681" s="386"/>
      <c r="AE3681" s="386"/>
      <c r="AF3681" s="386"/>
      <c r="AG3681" s="1091" t="s">
        <v>283</v>
      </c>
    </row>
    <row r="3682" spans="1:33" ht="15.75" customHeight="1">
      <c r="A3682" s="743">
        <v>42241</v>
      </c>
      <c r="B3682" s="823" t="s">
        <v>11653</v>
      </c>
      <c r="C3682" s="970">
        <v>380835</v>
      </c>
      <c r="D3682" s="386" t="s">
        <v>11654</v>
      </c>
      <c r="E3682" s="592" t="s">
        <v>11665</v>
      </c>
      <c r="F3682" s="1088">
        <v>1</v>
      </c>
      <c r="G3682" s="386"/>
      <c r="H3682" s="386"/>
      <c r="I3682" s="263" t="s">
        <v>170</v>
      </c>
      <c r="J3682" s="331" t="s">
        <v>3613</v>
      </c>
      <c r="K3682" s="811">
        <v>42257</v>
      </c>
      <c r="L3682" s="1477"/>
      <c r="M3682" s="811">
        <v>42256</v>
      </c>
      <c r="N3682" s="267" t="s">
        <v>11656</v>
      </c>
      <c r="O3682" s="970" t="s">
        <v>11657</v>
      </c>
      <c r="Q3682" s="386"/>
      <c r="R3682" s="1088">
        <v>5</v>
      </c>
      <c r="S3682" s="1098">
        <f t="shared" si="233"/>
        <v>5</v>
      </c>
      <c r="U3682" s="752">
        <v>0</v>
      </c>
      <c r="V3682" s="386" t="s">
        <v>2159</v>
      </c>
      <c r="W3682" s="1083">
        <v>42254</v>
      </c>
      <c r="X3682" s="1084">
        <v>42255</v>
      </c>
      <c r="Y3682" s="318" t="s">
        <v>11658</v>
      </c>
      <c r="Z3682" s="1086">
        <v>49593</v>
      </c>
      <c r="AA3682" s="1095">
        <v>42255</v>
      </c>
      <c r="AB3682" s="386" t="s">
        <v>11659</v>
      </c>
      <c r="AD3682" s="386"/>
      <c r="AE3682" s="386"/>
      <c r="AF3682" s="386"/>
      <c r="AG3682" s="1091" t="s">
        <v>283</v>
      </c>
    </row>
    <row r="3683" spans="1:33" ht="15.75" customHeight="1">
      <c r="A3683" s="743">
        <v>42241</v>
      </c>
      <c r="B3683" s="823" t="s">
        <v>11653</v>
      </c>
      <c r="C3683" s="970">
        <v>380835</v>
      </c>
      <c r="D3683" s="386" t="s">
        <v>11654</v>
      </c>
      <c r="E3683" s="592" t="s">
        <v>11666</v>
      </c>
      <c r="F3683" s="1088">
        <v>1</v>
      </c>
      <c r="G3683" s="386"/>
      <c r="H3683" s="386"/>
      <c r="I3683" s="263" t="s">
        <v>170</v>
      </c>
      <c r="J3683" s="331" t="s">
        <v>3613</v>
      </c>
      <c r="K3683" s="811">
        <v>42257</v>
      </c>
      <c r="L3683" s="1477"/>
      <c r="M3683" s="811">
        <v>42256</v>
      </c>
      <c r="N3683" s="267" t="s">
        <v>11656</v>
      </c>
      <c r="O3683" s="970" t="s">
        <v>11657</v>
      </c>
      <c r="Q3683" s="386"/>
      <c r="R3683" s="1088">
        <v>18</v>
      </c>
      <c r="S3683" s="1098">
        <f t="shared" si="233"/>
        <v>18</v>
      </c>
      <c r="U3683" s="752">
        <v>0</v>
      </c>
      <c r="V3683" s="386" t="s">
        <v>2159</v>
      </c>
      <c r="W3683" s="1083">
        <v>42254</v>
      </c>
      <c r="X3683" s="1084">
        <v>42255</v>
      </c>
      <c r="Y3683" s="318" t="s">
        <v>11658</v>
      </c>
      <c r="Z3683" s="1086">
        <v>49593</v>
      </c>
      <c r="AA3683" s="1095">
        <v>42255</v>
      </c>
      <c r="AB3683" s="386" t="s">
        <v>11659</v>
      </c>
      <c r="AD3683" s="386"/>
      <c r="AE3683" s="386"/>
      <c r="AF3683" s="386"/>
      <c r="AG3683" s="1091" t="s">
        <v>283</v>
      </c>
    </row>
    <row r="3684" spans="1:33" ht="15.75" customHeight="1">
      <c r="A3684" s="743">
        <v>42242</v>
      </c>
      <c r="B3684" s="823" t="s">
        <v>11653</v>
      </c>
      <c r="C3684" s="970">
        <v>380856</v>
      </c>
      <c r="D3684" s="386" t="s">
        <v>11667</v>
      </c>
      <c r="E3684" s="592" t="s">
        <v>8682</v>
      </c>
      <c r="F3684" s="1088">
        <v>5</v>
      </c>
      <c r="G3684" s="386"/>
      <c r="H3684" s="386"/>
      <c r="I3684" s="263" t="s">
        <v>170</v>
      </c>
      <c r="J3684" s="331" t="s">
        <v>3613</v>
      </c>
      <c r="K3684" s="811">
        <v>42257</v>
      </c>
      <c r="L3684" s="1477"/>
      <c r="M3684" s="811">
        <v>42256</v>
      </c>
      <c r="N3684" s="267" t="s">
        <v>11656</v>
      </c>
      <c r="O3684" s="970" t="s">
        <v>11668</v>
      </c>
      <c r="Q3684" s="386"/>
      <c r="R3684" s="1088">
        <v>607</v>
      </c>
      <c r="S3684" s="1098">
        <f t="shared" si="233"/>
        <v>3035</v>
      </c>
      <c r="U3684" s="752">
        <v>95306</v>
      </c>
      <c r="V3684" s="386" t="s">
        <v>2159</v>
      </c>
      <c r="W3684" s="1083">
        <v>42254</v>
      </c>
      <c r="X3684" s="1094">
        <v>42255</v>
      </c>
      <c r="Y3684" s="386" t="s">
        <v>11669</v>
      </c>
      <c r="Z3684" s="824">
        <v>99523</v>
      </c>
      <c r="AA3684" s="1095">
        <v>42255</v>
      </c>
      <c r="AB3684" s="386" t="s">
        <v>11659</v>
      </c>
      <c r="AD3684" s="386"/>
      <c r="AE3684" s="386"/>
      <c r="AF3684" s="386"/>
      <c r="AG3684" s="1091" t="s">
        <v>283</v>
      </c>
    </row>
    <row r="3685" spans="1:33" ht="15.75" customHeight="1">
      <c r="A3685" s="743">
        <v>42242</v>
      </c>
      <c r="B3685" s="823" t="s">
        <v>11653</v>
      </c>
      <c r="C3685" s="386"/>
      <c r="D3685" s="386" t="s">
        <v>11667</v>
      </c>
      <c r="E3685" s="592" t="s">
        <v>4256</v>
      </c>
      <c r="F3685" s="1088">
        <v>5</v>
      </c>
      <c r="G3685" s="386"/>
      <c r="H3685" s="386"/>
      <c r="I3685" s="263" t="s">
        <v>170</v>
      </c>
      <c r="J3685" s="331" t="s">
        <v>3613</v>
      </c>
      <c r="K3685" s="811">
        <v>42257</v>
      </c>
      <c r="L3685" s="1477"/>
      <c r="M3685" s="811">
        <v>42256</v>
      </c>
      <c r="N3685" s="267" t="s">
        <v>11656</v>
      </c>
      <c r="O3685" s="970" t="s">
        <v>11670</v>
      </c>
      <c r="Q3685" s="386"/>
      <c r="R3685" s="1088">
        <v>27</v>
      </c>
      <c r="S3685" s="1098">
        <f t="shared" si="233"/>
        <v>135</v>
      </c>
      <c r="U3685" s="752">
        <v>4217</v>
      </c>
      <c r="V3685" s="386" t="s">
        <v>2159</v>
      </c>
      <c r="W3685" s="1083">
        <v>42254</v>
      </c>
      <c r="X3685" s="1094">
        <v>42255</v>
      </c>
      <c r="Y3685" s="386" t="s">
        <v>11669</v>
      </c>
      <c r="Z3685" s="585" t="s">
        <v>8588</v>
      </c>
      <c r="AA3685" s="1095">
        <v>42255</v>
      </c>
      <c r="AB3685" s="386" t="s">
        <v>11659</v>
      </c>
      <c r="AD3685" s="386"/>
      <c r="AE3685" s="386"/>
      <c r="AF3685" s="386"/>
      <c r="AG3685" s="1091" t="s">
        <v>283</v>
      </c>
    </row>
    <row r="3686" spans="1:33" ht="15.75" customHeight="1">
      <c r="A3686" s="743">
        <v>42243</v>
      </c>
      <c r="B3686" s="823" t="s">
        <v>11653</v>
      </c>
      <c r="C3686" s="970">
        <v>380852</v>
      </c>
      <c r="D3686" s="386" t="s">
        <v>11671</v>
      </c>
      <c r="E3686" s="592" t="s">
        <v>11672</v>
      </c>
      <c r="F3686" s="1088">
        <v>5</v>
      </c>
      <c r="G3686" s="386"/>
      <c r="H3686" s="386"/>
      <c r="I3686" s="263" t="s">
        <v>170</v>
      </c>
      <c r="J3686" s="331" t="s">
        <v>3613</v>
      </c>
      <c r="K3686" s="811">
        <v>42265</v>
      </c>
      <c r="L3686" s="1477"/>
      <c r="M3686" s="811">
        <v>42258</v>
      </c>
      <c r="N3686" s="267" t="s">
        <v>11656</v>
      </c>
      <c r="O3686" s="970" t="s">
        <v>11673</v>
      </c>
      <c r="Q3686" s="386"/>
      <c r="R3686" s="1088">
        <v>960</v>
      </c>
      <c r="S3686" s="1098">
        <f t="shared" si="233"/>
        <v>4800</v>
      </c>
      <c r="U3686" s="752">
        <v>140007</v>
      </c>
      <c r="V3686" s="386" t="s">
        <v>2159</v>
      </c>
      <c r="W3686" s="1083">
        <v>42254</v>
      </c>
      <c r="X3686" s="1094">
        <v>42257</v>
      </c>
      <c r="Y3686" s="386" t="s">
        <v>11674</v>
      </c>
      <c r="Z3686" s="824">
        <v>140007</v>
      </c>
      <c r="AA3686" s="1095">
        <v>42255</v>
      </c>
      <c r="AB3686" s="318" t="s">
        <v>11664</v>
      </c>
      <c r="AD3686" s="386"/>
      <c r="AE3686" s="386"/>
      <c r="AF3686" s="386"/>
      <c r="AG3686" s="1091" t="s">
        <v>283</v>
      </c>
    </row>
    <row r="3687" spans="1:33" ht="15.75" customHeight="1">
      <c r="A3687" s="743">
        <v>42255</v>
      </c>
      <c r="B3687" s="823" t="s">
        <v>11653</v>
      </c>
      <c r="C3687" s="970">
        <v>380896</v>
      </c>
      <c r="D3687" s="386" t="s">
        <v>11675</v>
      </c>
      <c r="E3687" s="592" t="s">
        <v>11655</v>
      </c>
      <c r="F3687" s="1088">
        <v>1</v>
      </c>
      <c r="G3687" s="386"/>
      <c r="H3687" s="386"/>
      <c r="I3687" s="263" t="s">
        <v>170</v>
      </c>
      <c r="J3687" s="331" t="s">
        <v>3613</v>
      </c>
      <c r="K3687" s="811">
        <v>42278</v>
      </c>
      <c r="L3687" s="1477"/>
      <c r="M3687" s="811">
        <v>42271</v>
      </c>
      <c r="N3687" s="267" t="s">
        <v>11656</v>
      </c>
      <c r="O3687" s="970" t="s">
        <v>11676</v>
      </c>
      <c r="Q3687" s="386"/>
      <c r="R3687" s="1088">
        <v>1584</v>
      </c>
      <c r="S3687" s="1098">
        <f t="shared" si="233"/>
        <v>1584</v>
      </c>
      <c r="U3687" s="752">
        <v>49809</v>
      </c>
      <c r="V3687" s="386" t="s">
        <v>2159</v>
      </c>
      <c r="W3687" s="1083">
        <v>42268</v>
      </c>
      <c r="X3687" s="1094">
        <v>42269</v>
      </c>
      <c r="Y3687" s="386" t="s">
        <v>11677</v>
      </c>
      <c r="Z3687" s="824">
        <v>80371</v>
      </c>
      <c r="AA3687" s="1083">
        <v>42268</v>
      </c>
      <c r="AB3687" s="386" t="s">
        <v>11678</v>
      </c>
      <c r="AD3687" s="386"/>
      <c r="AE3687" s="386"/>
      <c r="AF3687" s="386"/>
      <c r="AG3687" s="386" t="s">
        <v>283</v>
      </c>
    </row>
    <row r="3688" spans="1:33" ht="15.75" customHeight="1">
      <c r="A3688" s="743">
        <v>42256</v>
      </c>
      <c r="B3688" s="823" t="s">
        <v>11653</v>
      </c>
      <c r="C3688" s="386"/>
      <c r="D3688" s="386" t="s">
        <v>11679</v>
      </c>
      <c r="E3688" s="338" t="s">
        <v>11661</v>
      </c>
      <c r="F3688" s="1088">
        <v>1</v>
      </c>
      <c r="G3688" s="386"/>
      <c r="H3688" s="386"/>
      <c r="I3688" s="263" t="s">
        <v>170</v>
      </c>
      <c r="J3688" s="331" t="s">
        <v>3613</v>
      </c>
      <c r="K3688" s="811">
        <v>42278</v>
      </c>
      <c r="L3688" s="1477"/>
      <c r="M3688" s="811">
        <v>42271</v>
      </c>
      <c r="N3688" s="267" t="s">
        <v>11656</v>
      </c>
      <c r="O3688" s="970" t="s">
        <v>11676</v>
      </c>
      <c r="Q3688" s="386"/>
      <c r="R3688" s="1088">
        <v>50</v>
      </c>
      <c r="S3688" s="1098">
        <f t="shared" si="233"/>
        <v>50</v>
      </c>
      <c r="U3688" s="752">
        <v>745</v>
      </c>
      <c r="V3688" s="386" t="s">
        <v>2159</v>
      </c>
      <c r="W3688" s="1083">
        <v>42268</v>
      </c>
      <c r="X3688" s="1094">
        <v>42269</v>
      </c>
      <c r="Y3688" s="386" t="s">
        <v>11677</v>
      </c>
      <c r="Z3688" s="585" t="s">
        <v>8588</v>
      </c>
      <c r="AA3688" s="1083">
        <v>42268</v>
      </c>
      <c r="AB3688" s="386" t="s">
        <v>11678</v>
      </c>
      <c r="AD3688" s="386"/>
      <c r="AE3688" s="386"/>
      <c r="AF3688" s="386"/>
      <c r="AG3688" s="386" t="s">
        <v>283</v>
      </c>
    </row>
    <row r="3689" spans="1:33" ht="15.75" customHeight="1">
      <c r="A3689" s="743">
        <v>42255</v>
      </c>
      <c r="B3689" s="823" t="s">
        <v>11653</v>
      </c>
      <c r="C3689" s="970">
        <v>380896</v>
      </c>
      <c r="D3689" s="386" t="s">
        <v>11675</v>
      </c>
      <c r="E3689" s="592" t="s">
        <v>11665</v>
      </c>
      <c r="F3689" s="1088">
        <v>1</v>
      </c>
      <c r="G3689" s="386"/>
      <c r="H3689" s="386"/>
      <c r="I3689" s="263" t="s">
        <v>170</v>
      </c>
      <c r="J3689" s="331" t="s">
        <v>3613</v>
      </c>
      <c r="K3689" s="811">
        <v>42278</v>
      </c>
      <c r="L3689" s="1477"/>
      <c r="M3689" s="811">
        <v>42271</v>
      </c>
      <c r="N3689" s="267" t="s">
        <v>11656</v>
      </c>
      <c r="O3689" s="970" t="s">
        <v>11676</v>
      </c>
      <c r="Q3689" s="386"/>
      <c r="R3689" s="1088">
        <v>5</v>
      </c>
      <c r="S3689" s="1098">
        <f t="shared" si="233"/>
        <v>5</v>
      </c>
      <c r="U3689" s="752">
        <v>0</v>
      </c>
      <c r="V3689" s="386" t="s">
        <v>2159</v>
      </c>
      <c r="W3689" s="1083">
        <v>42268</v>
      </c>
      <c r="X3689" s="1094">
        <v>42269</v>
      </c>
      <c r="Y3689" s="386" t="s">
        <v>11677</v>
      </c>
      <c r="Z3689" s="585" t="s">
        <v>8588</v>
      </c>
      <c r="AA3689" s="1083">
        <v>42268</v>
      </c>
      <c r="AB3689" s="386" t="s">
        <v>11678</v>
      </c>
      <c r="AD3689" s="386"/>
      <c r="AE3689" s="386"/>
      <c r="AF3689" s="386"/>
      <c r="AG3689" s="386" t="s">
        <v>283</v>
      </c>
    </row>
    <row r="3690" spans="1:33" ht="15.75" customHeight="1">
      <c r="A3690" s="743">
        <v>42255</v>
      </c>
      <c r="B3690" s="823" t="s">
        <v>11653</v>
      </c>
      <c r="C3690" s="970">
        <v>380896</v>
      </c>
      <c r="D3690" s="386" t="s">
        <v>11680</v>
      </c>
      <c r="E3690" s="592" t="s">
        <v>11666</v>
      </c>
      <c r="F3690" s="1088">
        <v>1</v>
      </c>
      <c r="G3690" s="386"/>
      <c r="H3690" s="386"/>
      <c r="I3690" s="263" t="s">
        <v>170</v>
      </c>
      <c r="J3690" s="331" t="s">
        <v>3613</v>
      </c>
      <c r="K3690" s="811">
        <v>42278</v>
      </c>
      <c r="L3690" s="1477"/>
      <c r="M3690" s="811">
        <v>42271</v>
      </c>
      <c r="N3690" s="267" t="s">
        <v>11656</v>
      </c>
      <c r="O3690" s="970" t="s">
        <v>11676</v>
      </c>
      <c r="Q3690" s="386"/>
      <c r="R3690" s="1088">
        <v>18</v>
      </c>
      <c r="S3690" s="1098">
        <f t="shared" si="233"/>
        <v>18</v>
      </c>
      <c r="U3690" s="752">
        <v>0</v>
      </c>
      <c r="V3690" s="386" t="s">
        <v>2159</v>
      </c>
      <c r="W3690" s="1083">
        <v>42268</v>
      </c>
      <c r="X3690" s="1094">
        <v>42269</v>
      </c>
      <c r="Y3690" s="386" t="s">
        <v>11677</v>
      </c>
      <c r="Z3690" s="585" t="s">
        <v>8588</v>
      </c>
      <c r="AA3690" s="1083">
        <v>42268</v>
      </c>
      <c r="AB3690" s="386" t="s">
        <v>11678</v>
      </c>
      <c r="AD3690" s="386"/>
      <c r="AE3690" s="386"/>
      <c r="AF3690" s="386"/>
      <c r="AG3690" s="386" t="s">
        <v>283</v>
      </c>
    </row>
    <row r="3691" spans="1:33" ht="15.75" customHeight="1">
      <c r="A3691" s="743">
        <v>42255</v>
      </c>
      <c r="B3691" s="823" t="s">
        <v>11653</v>
      </c>
      <c r="C3691" s="970">
        <v>380896</v>
      </c>
      <c r="D3691" s="386" t="s">
        <v>11675</v>
      </c>
      <c r="E3691" s="592" t="s">
        <v>11681</v>
      </c>
      <c r="F3691" s="1088">
        <v>1</v>
      </c>
      <c r="G3691" s="386"/>
      <c r="H3691" s="386"/>
      <c r="I3691" s="263" t="s">
        <v>170</v>
      </c>
      <c r="J3691" s="331" t="s">
        <v>3613</v>
      </c>
      <c r="K3691" s="811">
        <v>42278</v>
      </c>
      <c r="L3691" s="1477"/>
      <c r="M3691" s="811">
        <v>42276</v>
      </c>
      <c r="N3691" s="267" t="s">
        <v>11656</v>
      </c>
      <c r="O3691" s="970" t="s">
        <v>11676</v>
      </c>
      <c r="Q3691" s="386"/>
      <c r="R3691" s="1088">
        <v>980</v>
      </c>
      <c r="S3691" s="1098">
        <f t="shared" si="233"/>
        <v>980</v>
      </c>
      <c r="U3691" s="752">
        <v>29818</v>
      </c>
      <c r="V3691" s="386" t="s">
        <v>2159</v>
      </c>
      <c r="W3691" s="1083">
        <v>42268</v>
      </c>
      <c r="X3691" s="1094">
        <v>42269</v>
      </c>
      <c r="Y3691" s="386" t="s">
        <v>11677</v>
      </c>
      <c r="Z3691" s="585" t="s">
        <v>8588</v>
      </c>
      <c r="AA3691" s="1083">
        <v>42268</v>
      </c>
      <c r="AB3691" s="386" t="s">
        <v>11678</v>
      </c>
      <c r="AD3691" s="386"/>
      <c r="AE3691" s="386"/>
      <c r="AF3691" s="386"/>
      <c r="AG3691" s="386" t="s">
        <v>283</v>
      </c>
    </row>
    <row r="3692" spans="1:33" ht="15.75" customHeight="1">
      <c r="A3692" s="743">
        <v>42278</v>
      </c>
      <c r="B3692" s="823" t="s">
        <v>11653</v>
      </c>
      <c r="C3692" s="970" t="s">
        <v>11682</v>
      </c>
      <c r="D3692" s="386" t="s">
        <v>11683</v>
      </c>
      <c r="E3692" s="592" t="s">
        <v>8682</v>
      </c>
      <c r="F3692" s="1088">
        <v>2</v>
      </c>
      <c r="G3692" s="386"/>
      <c r="H3692" s="1184"/>
      <c r="I3692" s="263" t="s">
        <v>170</v>
      </c>
      <c r="J3692" s="331" t="s">
        <v>3613</v>
      </c>
      <c r="K3692" s="1099">
        <v>42289</v>
      </c>
      <c r="L3692" s="1484"/>
      <c r="M3692" s="811">
        <v>42286</v>
      </c>
      <c r="N3692" s="267" t="s">
        <v>11656</v>
      </c>
      <c r="O3692" s="970" t="s">
        <v>11684</v>
      </c>
      <c r="Q3692" s="386"/>
      <c r="R3692" s="1088">
        <v>607</v>
      </c>
      <c r="S3692" s="1098">
        <f t="shared" si="233"/>
        <v>1214</v>
      </c>
      <c r="U3692" s="1108">
        <f>1130*1.05*32.76</f>
        <v>38869.74</v>
      </c>
      <c r="V3692" s="386" t="s">
        <v>2159</v>
      </c>
      <c r="W3692" s="1095">
        <v>42284</v>
      </c>
      <c r="X3692" s="1094">
        <v>42285</v>
      </c>
      <c r="Y3692" s="386" t="s">
        <v>11685</v>
      </c>
      <c r="Z3692" s="824">
        <v>40590</v>
      </c>
      <c r="AA3692" s="1095">
        <v>42284</v>
      </c>
      <c r="AB3692" s="386" t="s">
        <v>11686</v>
      </c>
      <c r="AD3692" s="386"/>
      <c r="AE3692" s="386"/>
      <c r="AF3692" s="386"/>
      <c r="AG3692" s="386" t="s">
        <v>283</v>
      </c>
    </row>
    <row r="3693" spans="1:33" ht="15.75" customHeight="1">
      <c r="A3693" s="743">
        <v>42278</v>
      </c>
      <c r="B3693" s="823" t="s">
        <v>11653</v>
      </c>
      <c r="C3693" s="970" t="s">
        <v>11682</v>
      </c>
      <c r="D3693" s="386" t="s">
        <v>11683</v>
      </c>
      <c r="E3693" s="592" t="s">
        <v>4256</v>
      </c>
      <c r="F3693" s="1088">
        <v>2</v>
      </c>
      <c r="G3693" s="386"/>
      <c r="H3693" s="1184"/>
      <c r="I3693" s="263" t="s">
        <v>170</v>
      </c>
      <c r="J3693" s="331" t="s">
        <v>3613</v>
      </c>
      <c r="K3693" s="1099">
        <v>42289</v>
      </c>
      <c r="L3693" s="1484"/>
      <c r="M3693" s="811">
        <v>42286</v>
      </c>
      <c r="N3693" s="267" t="s">
        <v>11656</v>
      </c>
      <c r="O3693" s="970" t="s">
        <v>11684</v>
      </c>
      <c r="Q3693" s="386"/>
      <c r="R3693" s="1088">
        <v>27</v>
      </c>
      <c r="S3693" s="1098">
        <f t="shared" si="233"/>
        <v>54</v>
      </c>
      <c r="U3693" s="1108">
        <f>50*1.05*32.76</f>
        <v>1719.8999999999999</v>
      </c>
      <c r="V3693" s="386" t="s">
        <v>2159</v>
      </c>
      <c r="W3693" s="1095">
        <v>42284</v>
      </c>
      <c r="X3693" s="1094">
        <v>42285</v>
      </c>
      <c r="Y3693" s="386" t="s">
        <v>11685</v>
      </c>
      <c r="Z3693" s="585" t="s">
        <v>8588</v>
      </c>
      <c r="AA3693" s="1095">
        <v>42284</v>
      </c>
      <c r="AB3693" s="386" t="s">
        <v>11686</v>
      </c>
      <c r="AD3693" s="386"/>
      <c r="AE3693" s="386"/>
      <c r="AF3693" s="386"/>
      <c r="AG3693" s="386" t="s">
        <v>283</v>
      </c>
    </row>
    <row r="3694" spans="1:33" ht="15.75" customHeight="1">
      <c r="A3694" s="743">
        <v>42325</v>
      </c>
      <c r="B3694" s="823" t="s">
        <v>11653</v>
      </c>
      <c r="C3694" s="386">
        <v>381168</v>
      </c>
      <c r="D3694" s="386" t="s">
        <v>11687</v>
      </c>
      <c r="E3694" s="592" t="s">
        <v>11688</v>
      </c>
      <c r="F3694" s="386">
        <v>2</v>
      </c>
      <c r="G3694" s="386"/>
      <c r="H3694" s="386"/>
      <c r="I3694" s="263" t="s">
        <v>170</v>
      </c>
      <c r="J3694" s="331" t="s">
        <v>3613</v>
      </c>
      <c r="K3694" s="829">
        <v>42355</v>
      </c>
      <c r="L3694" s="1479"/>
      <c r="M3694" s="1096">
        <v>42354</v>
      </c>
      <c r="N3694" s="267" t="s">
        <v>11656</v>
      </c>
      <c r="O3694" s="386" t="s">
        <v>11689</v>
      </c>
      <c r="Q3694" s="386"/>
      <c r="R3694" s="386">
        <v>1250</v>
      </c>
      <c r="S3694" s="1098">
        <f t="shared" si="233"/>
        <v>2500</v>
      </c>
      <c r="U3694" s="1089">
        <f>1100*1.05*33.015*2</f>
        <v>76264.649999999994</v>
      </c>
      <c r="V3694" s="386" t="s">
        <v>6186</v>
      </c>
      <c r="W3694" s="1094">
        <v>42399</v>
      </c>
      <c r="X3694" s="1090">
        <v>42349</v>
      </c>
      <c r="Y3694" s="386" t="s">
        <v>11690</v>
      </c>
      <c r="Z3694" s="824">
        <v>76265</v>
      </c>
      <c r="AA3694" s="1090">
        <v>42397</v>
      </c>
      <c r="AB3694" s="386" t="s">
        <v>11691</v>
      </c>
      <c r="AD3694" s="386"/>
      <c r="AE3694" s="386"/>
      <c r="AF3694" s="386"/>
      <c r="AG3694" s="386" t="s">
        <v>283</v>
      </c>
    </row>
    <row r="3695" spans="1:33" ht="15.75" customHeight="1">
      <c r="A3695" s="755">
        <v>42362</v>
      </c>
      <c r="B3695" s="823" t="s">
        <v>11653</v>
      </c>
      <c r="C3695" s="386"/>
      <c r="D3695" s="318" t="s">
        <v>11692</v>
      </c>
      <c r="E3695" s="338" t="s">
        <v>11693</v>
      </c>
      <c r="F3695" s="752">
        <v>2</v>
      </c>
      <c r="G3695" s="464"/>
      <c r="H3695" s="1100"/>
      <c r="I3695" s="263" t="s">
        <v>170</v>
      </c>
      <c r="J3695" s="331" t="s">
        <v>3613</v>
      </c>
      <c r="K3695" s="811">
        <v>42366</v>
      </c>
      <c r="L3695" s="1477"/>
      <c r="M3695" s="811">
        <v>42363</v>
      </c>
      <c r="N3695" s="267" t="s">
        <v>11656</v>
      </c>
      <c r="O3695" s="263" t="s">
        <v>11694</v>
      </c>
      <c r="Q3695" s="386"/>
      <c r="R3695" s="464">
        <v>30</v>
      </c>
      <c r="S3695" s="1098">
        <f t="shared" si="233"/>
        <v>60</v>
      </c>
      <c r="U3695" s="1100">
        <v>1940</v>
      </c>
      <c r="V3695" s="386" t="s">
        <v>6186</v>
      </c>
      <c r="W3695" s="1090">
        <v>42400</v>
      </c>
      <c r="X3695" s="1084">
        <v>42363</v>
      </c>
      <c r="Y3695" s="263" t="s">
        <v>11695</v>
      </c>
      <c r="Z3695" s="1086">
        <v>1940</v>
      </c>
      <c r="AA3695" s="1083">
        <v>42397</v>
      </c>
      <c r="AB3695" s="318" t="s">
        <v>11696</v>
      </c>
      <c r="AD3695" s="386"/>
      <c r="AE3695" s="1100"/>
      <c r="AF3695" s="318"/>
      <c r="AG3695" s="1091" t="s">
        <v>283</v>
      </c>
    </row>
    <row r="3696" spans="1:33" ht="15.75" customHeight="1">
      <c r="A3696" s="743">
        <v>42011</v>
      </c>
      <c r="B3696" s="823" t="s">
        <v>11697</v>
      </c>
      <c r="C3696" s="970" t="s">
        <v>11698</v>
      </c>
      <c r="D3696" s="386" t="s">
        <v>11699</v>
      </c>
      <c r="E3696" s="592" t="s">
        <v>11700</v>
      </c>
      <c r="F3696" s="1088">
        <v>0</v>
      </c>
      <c r="G3696" s="386"/>
      <c r="H3696" s="386"/>
      <c r="I3696" s="263" t="s">
        <v>11643</v>
      </c>
      <c r="J3696" s="267" t="s">
        <v>10777</v>
      </c>
      <c r="K3696" s="1099">
        <v>42013</v>
      </c>
      <c r="L3696" s="1484"/>
      <c r="M3696" s="386"/>
      <c r="N3696" s="267"/>
      <c r="O3696" s="386"/>
      <c r="Q3696" s="386"/>
      <c r="R3696" s="323">
        <v>21</v>
      </c>
      <c r="S3696" s="464">
        <f t="shared" si="233"/>
        <v>0</v>
      </c>
      <c r="U3696" s="386"/>
      <c r="V3696" s="386"/>
      <c r="W3696" s="386"/>
      <c r="X3696" s="386"/>
      <c r="Y3696" s="386"/>
      <c r="Z3696" s="386"/>
      <c r="AA3696" s="386"/>
      <c r="AB3696" s="386"/>
      <c r="AD3696" s="386"/>
      <c r="AE3696" s="386"/>
      <c r="AF3696" s="386"/>
      <c r="AG3696" s="386"/>
    </row>
    <row r="3697" spans="1:33" ht="15.75" customHeight="1">
      <c r="A3697" s="743">
        <v>42018</v>
      </c>
      <c r="B3697" s="823" t="s">
        <v>11701</v>
      </c>
      <c r="C3697" s="970" t="s">
        <v>11702</v>
      </c>
      <c r="D3697" s="386" t="s">
        <v>11703</v>
      </c>
      <c r="E3697" s="592" t="s">
        <v>11704</v>
      </c>
      <c r="F3697" s="1088">
        <v>0</v>
      </c>
      <c r="G3697" s="386"/>
      <c r="H3697" s="386"/>
      <c r="I3697" s="263" t="s">
        <v>11643</v>
      </c>
      <c r="J3697" s="331" t="s">
        <v>10777</v>
      </c>
      <c r="K3697" s="1099">
        <v>42018</v>
      </c>
      <c r="L3697" s="1484"/>
      <c r="M3697" s="386"/>
      <c r="N3697" s="267" t="s">
        <v>89</v>
      </c>
      <c r="O3697" s="386"/>
      <c r="Q3697" s="386"/>
      <c r="R3697" s="464">
        <v>168</v>
      </c>
      <c r="S3697" s="464">
        <f>R3697*F3697</f>
        <v>0</v>
      </c>
      <c r="U3697" s="386"/>
      <c r="V3697" s="386"/>
      <c r="W3697" s="386"/>
      <c r="X3697" s="386"/>
      <c r="Y3697" s="386"/>
      <c r="Z3697" s="386"/>
      <c r="AA3697" s="386"/>
      <c r="AB3697" s="386" t="s">
        <v>11705</v>
      </c>
      <c r="AD3697" s="386"/>
      <c r="AE3697" s="386" t="s">
        <v>11705</v>
      </c>
      <c r="AF3697" s="386" t="s">
        <v>11705</v>
      </c>
      <c r="AG3697" s="386"/>
    </row>
    <row r="3698" spans="1:33" ht="15.75" customHeight="1">
      <c r="A3698" s="743">
        <v>42025</v>
      </c>
      <c r="B3698" s="823" t="s">
        <v>11701</v>
      </c>
      <c r="C3698" s="970" t="s">
        <v>11706</v>
      </c>
      <c r="D3698" s="386" t="s">
        <v>11707</v>
      </c>
      <c r="E3698" s="338" t="s">
        <v>11708</v>
      </c>
      <c r="F3698" s="1088">
        <v>0</v>
      </c>
      <c r="G3698" s="772"/>
      <c r="H3698" s="386"/>
      <c r="I3698" s="263" t="s">
        <v>11643</v>
      </c>
      <c r="J3698" s="331" t="s">
        <v>10777</v>
      </c>
      <c r="K3698" s="811">
        <v>42032</v>
      </c>
      <c r="L3698" s="1477"/>
      <c r="M3698" s="811">
        <v>42030</v>
      </c>
      <c r="N3698" s="267" t="s">
        <v>89</v>
      </c>
      <c r="O3698" s="386"/>
      <c r="Q3698" s="772"/>
      <c r="R3698" s="464">
        <v>420</v>
      </c>
      <c r="S3698" s="464">
        <f>R3698*F3698</f>
        <v>0</v>
      </c>
      <c r="U3698" s="386"/>
      <c r="V3698" s="386"/>
      <c r="W3698" s="386"/>
      <c r="X3698" s="386" t="s">
        <v>11709</v>
      </c>
      <c r="Y3698" s="386" t="s">
        <v>11709</v>
      </c>
      <c r="Z3698" s="386" t="s">
        <v>11709</v>
      </c>
      <c r="AA3698" s="386"/>
      <c r="AB3698" s="386" t="s">
        <v>11709</v>
      </c>
      <c r="AD3698" s="386"/>
      <c r="AE3698" s="386"/>
      <c r="AF3698" s="386"/>
      <c r="AG3698" s="386"/>
    </row>
    <row r="3699" spans="1:33" ht="15.75" customHeight="1">
      <c r="A3699" s="743">
        <v>42089</v>
      </c>
      <c r="B3699" s="823" t="s">
        <v>11701</v>
      </c>
      <c r="C3699" s="970" t="s">
        <v>11710</v>
      </c>
      <c r="D3699" s="386" t="s">
        <v>11711</v>
      </c>
      <c r="E3699" s="338" t="s">
        <v>11712</v>
      </c>
      <c r="F3699" s="1088">
        <v>1</v>
      </c>
      <c r="G3699" s="772"/>
      <c r="H3699" s="386"/>
      <c r="I3699" s="263" t="s">
        <v>11643</v>
      </c>
      <c r="J3699" s="331" t="s">
        <v>10777</v>
      </c>
      <c r="K3699" s="811">
        <v>42117</v>
      </c>
      <c r="L3699" s="1477"/>
      <c r="M3699" s="386"/>
      <c r="N3699" s="267"/>
      <c r="O3699" s="386"/>
      <c r="Q3699" s="386"/>
      <c r="R3699" s="464">
        <v>300</v>
      </c>
      <c r="S3699" s="464">
        <v>0</v>
      </c>
      <c r="U3699" s="386"/>
      <c r="V3699" s="386"/>
      <c r="W3699" s="386"/>
      <c r="X3699" s="386" t="s">
        <v>11713</v>
      </c>
      <c r="Y3699" s="386" t="s">
        <v>11713</v>
      </c>
      <c r="Z3699" s="386" t="s">
        <v>11713</v>
      </c>
      <c r="AA3699" s="386"/>
      <c r="AB3699" s="386" t="s">
        <v>11713</v>
      </c>
      <c r="AD3699" s="386"/>
      <c r="AE3699" s="386"/>
      <c r="AF3699" s="386"/>
      <c r="AG3699" s="386"/>
    </row>
    <row r="3700" spans="1:33" ht="15.75" customHeight="1">
      <c r="A3700" s="743">
        <v>42109</v>
      </c>
      <c r="B3700" s="823" t="s">
        <v>11714</v>
      </c>
      <c r="C3700" s="386"/>
      <c r="D3700" s="386" t="s">
        <v>11715</v>
      </c>
      <c r="E3700" s="592" t="s">
        <v>11716</v>
      </c>
      <c r="F3700" s="1088">
        <v>82</v>
      </c>
      <c r="G3700" s="386"/>
      <c r="H3700" s="386"/>
      <c r="I3700" s="263" t="s">
        <v>11717</v>
      </c>
      <c r="J3700" s="823" t="s">
        <v>11718</v>
      </c>
      <c r="K3700" s="811">
        <v>42118</v>
      </c>
      <c r="L3700" s="1477"/>
      <c r="M3700" s="811">
        <v>42117</v>
      </c>
      <c r="N3700" s="267" t="s">
        <v>10734</v>
      </c>
      <c r="O3700" s="970" t="s">
        <v>11719</v>
      </c>
      <c r="Q3700" s="386"/>
      <c r="R3700" s="1088">
        <v>1.5</v>
      </c>
      <c r="S3700" s="464">
        <f>R3700*F3700</f>
        <v>123</v>
      </c>
      <c r="U3700" s="752">
        <f>30*82*1.05</f>
        <v>2583</v>
      </c>
      <c r="V3700" s="386" t="s">
        <v>11720</v>
      </c>
      <c r="W3700" s="1090"/>
      <c r="X3700" s="1083">
        <v>42117</v>
      </c>
      <c r="Y3700" s="318" t="s">
        <v>11721</v>
      </c>
      <c r="Z3700" s="1086">
        <v>2583</v>
      </c>
      <c r="AA3700" s="1095">
        <v>42129</v>
      </c>
      <c r="AB3700" s="318" t="s">
        <v>11621</v>
      </c>
      <c r="AD3700" s="386"/>
      <c r="AE3700" s="386"/>
      <c r="AF3700" s="386"/>
      <c r="AG3700" s="386"/>
    </row>
    <row r="3701" spans="1:33" ht="15.75" customHeight="1">
      <c r="A3701" s="743">
        <v>42109</v>
      </c>
      <c r="B3701" s="823" t="s">
        <v>11714</v>
      </c>
      <c r="C3701" s="386"/>
      <c r="D3701" s="386" t="s">
        <v>11722</v>
      </c>
      <c r="E3701" s="592" t="s">
        <v>11716</v>
      </c>
      <c r="F3701" s="1088">
        <v>218</v>
      </c>
      <c r="G3701" s="386"/>
      <c r="H3701" s="386"/>
      <c r="I3701" s="263" t="s">
        <v>11717</v>
      </c>
      <c r="J3701" s="823" t="s">
        <v>11718</v>
      </c>
      <c r="K3701" s="811">
        <v>42128</v>
      </c>
      <c r="L3701" s="1477"/>
      <c r="M3701" s="811">
        <v>42128</v>
      </c>
      <c r="N3701" s="267" t="s">
        <v>10734</v>
      </c>
      <c r="O3701" s="970" t="s">
        <v>11723</v>
      </c>
      <c r="Q3701" s="386"/>
      <c r="R3701" s="1088">
        <v>1.5</v>
      </c>
      <c r="S3701" s="464">
        <f>R3701*F3701</f>
        <v>327</v>
      </c>
      <c r="U3701" s="752">
        <f>216*30*1.05</f>
        <v>6804</v>
      </c>
      <c r="V3701" s="386" t="s">
        <v>11720</v>
      </c>
      <c r="W3701" s="1090"/>
      <c r="X3701" s="1095">
        <v>42124</v>
      </c>
      <c r="Y3701" s="386" t="s">
        <v>11724</v>
      </c>
      <c r="Z3701" s="824">
        <v>6804</v>
      </c>
      <c r="AA3701" s="1095">
        <v>42129</v>
      </c>
      <c r="AB3701" s="386" t="s">
        <v>11621</v>
      </c>
      <c r="AD3701" s="386"/>
      <c r="AE3701" s="386"/>
      <c r="AF3701" s="386"/>
      <c r="AG3701" s="386"/>
    </row>
    <row r="3702" spans="1:33" ht="15.75" customHeight="1">
      <c r="A3702" s="743">
        <v>42178</v>
      </c>
      <c r="B3702" s="823" t="s">
        <v>11714</v>
      </c>
      <c r="C3702" s="386"/>
      <c r="D3702" s="386" t="s">
        <v>11725</v>
      </c>
      <c r="E3702" s="592" t="s">
        <v>11726</v>
      </c>
      <c r="F3702" s="1088">
        <v>2</v>
      </c>
      <c r="G3702" s="386"/>
      <c r="H3702" s="386"/>
      <c r="I3702" s="263" t="s">
        <v>11727</v>
      </c>
      <c r="J3702" s="1202" t="s">
        <v>11728</v>
      </c>
      <c r="K3702" s="811">
        <v>42257</v>
      </c>
      <c r="L3702" s="1477"/>
      <c r="M3702" s="386"/>
      <c r="N3702" s="267"/>
      <c r="O3702" s="386"/>
      <c r="Q3702" s="386"/>
      <c r="R3702" s="1088">
        <v>400</v>
      </c>
      <c r="S3702" s="1183">
        <f t="shared" ref="S3702:S3710" si="234">F3702*R3702</f>
        <v>800</v>
      </c>
      <c r="U3702" s="386"/>
      <c r="V3702" s="386"/>
      <c r="W3702" s="386"/>
      <c r="X3702" s="1088" t="s">
        <v>11729</v>
      </c>
      <c r="Y3702" s="386" t="s">
        <v>11729</v>
      </c>
      <c r="Z3702" s="386" t="s">
        <v>11729</v>
      </c>
      <c r="AA3702" s="386"/>
      <c r="AB3702" s="386" t="s">
        <v>11730</v>
      </c>
      <c r="AD3702" s="386"/>
      <c r="AE3702" s="386"/>
      <c r="AF3702" s="386"/>
      <c r="AG3702" s="386"/>
    </row>
    <row r="3703" spans="1:33" ht="15.75" customHeight="1">
      <c r="A3703" s="1203">
        <v>42178</v>
      </c>
      <c r="B3703" s="151" t="s">
        <v>11714</v>
      </c>
      <c r="C3703" s="66"/>
      <c r="D3703" s="519" t="s">
        <v>11725</v>
      </c>
      <c r="E3703" s="622" t="s">
        <v>11726</v>
      </c>
      <c r="F3703" s="136">
        <v>1</v>
      </c>
      <c r="G3703" s="66"/>
      <c r="H3703" s="66"/>
      <c r="I3703" s="1205" t="s">
        <v>11727</v>
      </c>
      <c r="J3703" s="132" t="s">
        <v>70</v>
      </c>
      <c r="K3703" s="61" t="s">
        <v>70</v>
      </c>
      <c r="L3703" s="1489"/>
      <c r="M3703" s="66"/>
      <c r="N3703" s="79"/>
      <c r="O3703" s="66"/>
      <c r="Q3703" s="66"/>
      <c r="R3703" s="136">
        <v>400</v>
      </c>
      <c r="S3703" s="1204">
        <f t="shared" si="234"/>
        <v>400</v>
      </c>
      <c r="U3703" s="66"/>
      <c r="V3703" s="66"/>
      <c r="W3703" s="66"/>
      <c r="X3703" s="66"/>
      <c r="Y3703" s="66"/>
      <c r="Z3703" s="66"/>
      <c r="AA3703" s="66"/>
      <c r="AB3703" s="66"/>
      <c r="AD3703" s="66"/>
      <c r="AE3703" s="66"/>
      <c r="AF3703" s="66"/>
      <c r="AG3703" s="66"/>
    </row>
    <row r="3704" spans="1:33" ht="15.75" customHeight="1">
      <c r="A3704" s="743">
        <v>42018</v>
      </c>
      <c r="B3704" s="823" t="s">
        <v>11731</v>
      </c>
      <c r="C3704" s="386"/>
      <c r="D3704" s="386" t="s">
        <v>11732</v>
      </c>
      <c r="E3704" s="592" t="s">
        <v>11733</v>
      </c>
      <c r="F3704" s="1088">
        <v>150</v>
      </c>
      <c r="G3704" s="386"/>
      <c r="H3704" s="386"/>
      <c r="I3704" s="263" t="s">
        <v>11717</v>
      </c>
      <c r="J3704" s="267" t="s">
        <v>11734</v>
      </c>
      <c r="K3704" s="811">
        <v>42035</v>
      </c>
      <c r="L3704" s="1477"/>
      <c r="M3704" s="811">
        <v>42034</v>
      </c>
      <c r="N3704" s="267" t="s">
        <v>11735</v>
      </c>
      <c r="O3704" s="386" t="s">
        <v>11736</v>
      </c>
      <c r="Q3704" s="386"/>
      <c r="R3704" s="1088">
        <v>25</v>
      </c>
      <c r="S3704" s="752">
        <f t="shared" si="234"/>
        <v>3750</v>
      </c>
      <c r="U3704" s="752">
        <v>88515</v>
      </c>
      <c r="V3704" s="386" t="s">
        <v>11737</v>
      </c>
      <c r="W3704" s="1090"/>
      <c r="X3704" s="1083">
        <v>42034</v>
      </c>
      <c r="Y3704" s="263" t="s">
        <v>11738</v>
      </c>
      <c r="Z3704" s="1086">
        <v>88515</v>
      </c>
      <c r="AA3704" s="1095">
        <v>42030</v>
      </c>
      <c r="AB3704" s="318" t="s">
        <v>11739</v>
      </c>
      <c r="AD3704" s="386"/>
      <c r="AE3704" s="386"/>
      <c r="AF3704" s="386"/>
      <c r="AG3704" s="386" t="s">
        <v>283</v>
      </c>
    </row>
    <row r="3705" spans="1:33" ht="15.75" customHeight="1">
      <c r="A3705" s="743">
        <v>42034</v>
      </c>
      <c r="B3705" s="823" t="s">
        <v>11740</v>
      </c>
      <c r="C3705" s="386"/>
      <c r="D3705" s="386" t="s">
        <v>11741</v>
      </c>
      <c r="E3705" s="592" t="s">
        <v>11742</v>
      </c>
      <c r="F3705" s="1088">
        <v>30</v>
      </c>
      <c r="G3705" s="386"/>
      <c r="H3705" s="386"/>
      <c r="I3705" s="263" t="s">
        <v>11743</v>
      </c>
      <c r="J3705" s="267" t="s">
        <v>11744</v>
      </c>
      <c r="K3705" s="811">
        <v>42044</v>
      </c>
      <c r="L3705" s="1477"/>
      <c r="M3705" s="811">
        <v>42041</v>
      </c>
      <c r="N3705" s="267" t="s">
        <v>89</v>
      </c>
      <c r="O3705" s="263" t="s">
        <v>11745</v>
      </c>
      <c r="Q3705" s="752">
        <v>2488.5</v>
      </c>
      <c r="R3705" s="1088">
        <v>88</v>
      </c>
      <c r="S3705" s="464">
        <f t="shared" si="234"/>
        <v>2640</v>
      </c>
      <c r="U3705" s="386"/>
      <c r="V3705" s="386" t="s">
        <v>10751</v>
      </c>
      <c r="W3705" s="1090"/>
      <c r="X3705" s="1083">
        <v>42041</v>
      </c>
      <c r="Y3705" s="263" t="s">
        <v>11746</v>
      </c>
      <c r="Z3705" s="1086">
        <v>77766</v>
      </c>
      <c r="AA3705" s="1095">
        <v>42074</v>
      </c>
      <c r="AB3705" s="318" t="s">
        <v>11747</v>
      </c>
      <c r="AD3705" s="386"/>
      <c r="AE3705" s="386"/>
      <c r="AF3705" s="386"/>
      <c r="AG3705" s="386" t="s">
        <v>283</v>
      </c>
    </row>
    <row r="3706" spans="1:33" ht="15.75" customHeight="1">
      <c r="A3706" s="743">
        <v>42291</v>
      </c>
      <c r="B3706" s="823" t="s">
        <v>8751</v>
      </c>
      <c r="C3706" s="970">
        <v>7000115903</v>
      </c>
      <c r="D3706" s="386" t="s">
        <v>11748</v>
      </c>
      <c r="E3706" s="823" t="s">
        <v>11749</v>
      </c>
      <c r="F3706" s="1088">
        <v>2</v>
      </c>
      <c r="G3706" s="386"/>
      <c r="H3706" s="386"/>
      <c r="I3706" s="263" t="s">
        <v>170</v>
      </c>
      <c r="J3706" s="590" t="s">
        <v>11750</v>
      </c>
      <c r="K3706" s="811">
        <v>42331</v>
      </c>
      <c r="L3706" s="1477"/>
      <c r="M3706" s="811">
        <v>42303</v>
      </c>
      <c r="N3706" s="267" t="s">
        <v>10778</v>
      </c>
      <c r="O3706" s="386" t="s">
        <v>11751</v>
      </c>
      <c r="Q3706" s="386"/>
      <c r="R3706" s="1088">
        <v>133</v>
      </c>
      <c r="S3706" s="1098">
        <f t="shared" si="234"/>
        <v>266</v>
      </c>
      <c r="U3706" s="752">
        <v>8058</v>
      </c>
      <c r="V3706" s="386" t="s">
        <v>8443</v>
      </c>
      <c r="W3706" s="1083">
        <v>42405</v>
      </c>
      <c r="X3706" s="1206">
        <v>42303</v>
      </c>
      <c r="Y3706" s="386" t="s">
        <v>11752</v>
      </c>
      <c r="Z3706" s="585" t="s">
        <v>11753</v>
      </c>
      <c r="AA3706" s="1090">
        <v>42397</v>
      </c>
      <c r="AB3706" s="386" t="s">
        <v>11754</v>
      </c>
      <c r="AD3706" s="386"/>
      <c r="AE3706" s="386"/>
      <c r="AF3706" s="386"/>
      <c r="AG3706" s="386" t="s">
        <v>283</v>
      </c>
    </row>
    <row r="3707" spans="1:33" ht="15.75" customHeight="1">
      <c r="A3707" s="743">
        <v>42291</v>
      </c>
      <c r="B3707" s="823" t="s">
        <v>8751</v>
      </c>
      <c r="C3707" s="970">
        <v>7000115903</v>
      </c>
      <c r="D3707" s="386" t="s">
        <v>11748</v>
      </c>
      <c r="E3707" s="823" t="s">
        <v>8757</v>
      </c>
      <c r="F3707" s="1088">
        <v>2</v>
      </c>
      <c r="G3707" s="386"/>
      <c r="H3707" s="386"/>
      <c r="I3707" s="263" t="s">
        <v>170</v>
      </c>
      <c r="J3707" s="590" t="s">
        <v>11750</v>
      </c>
      <c r="K3707" s="811">
        <v>42331</v>
      </c>
      <c r="L3707" s="1477"/>
      <c r="M3707" s="811">
        <v>42303</v>
      </c>
      <c r="N3707" s="267" t="s">
        <v>10778</v>
      </c>
      <c r="O3707" s="386" t="s">
        <v>11751</v>
      </c>
      <c r="Q3707" s="386"/>
      <c r="R3707" s="1088">
        <v>50</v>
      </c>
      <c r="S3707" s="1098">
        <f t="shared" si="234"/>
        <v>100</v>
      </c>
      <c r="U3707" s="752">
        <v>3192</v>
      </c>
      <c r="V3707" s="386" t="s">
        <v>8443</v>
      </c>
      <c r="W3707" s="1083">
        <v>42405</v>
      </c>
      <c r="X3707" s="1206">
        <v>42303</v>
      </c>
      <c r="Y3707" s="386" t="s">
        <v>11752</v>
      </c>
      <c r="Z3707" s="585" t="s">
        <v>11753</v>
      </c>
      <c r="AA3707" s="1090">
        <v>42397</v>
      </c>
      <c r="AB3707" s="386" t="s">
        <v>11754</v>
      </c>
      <c r="AD3707" s="386"/>
      <c r="AE3707" s="386"/>
      <c r="AF3707" s="386"/>
      <c r="AG3707" s="386" t="s">
        <v>283</v>
      </c>
    </row>
    <row r="3708" spans="1:33" ht="15.75" customHeight="1">
      <c r="A3708" s="743">
        <v>42291</v>
      </c>
      <c r="B3708" s="823" t="s">
        <v>8751</v>
      </c>
      <c r="C3708" s="970">
        <v>7000115903</v>
      </c>
      <c r="D3708" s="386" t="s">
        <v>11748</v>
      </c>
      <c r="E3708" s="823" t="s">
        <v>11755</v>
      </c>
      <c r="F3708" s="1088">
        <v>2</v>
      </c>
      <c r="G3708" s="386"/>
      <c r="H3708" s="386"/>
      <c r="I3708" s="263" t="s">
        <v>170</v>
      </c>
      <c r="J3708" s="590" t="s">
        <v>11750</v>
      </c>
      <c r="K3708" s="811">
        <v>42331</v>
      </c>
      <c r="L3708" s="1477"/>
      <c r="M3708" s="811">
        <v>42328</v>
      </c>
      <c r="N3708" s="267" t="s">
        <v>10778</v>
      </c>
      <c r="O3708" s="386" t="s">
        <v>11751</v>
      </c>
      <c r="Q3708" s="386"/>
      <c r="R3708" s="1088">
        <v>270</v>
      </c>
      <c r="S3708" s="1098">
        <f t="shared" si="234"/>
        <v>540</v>
      </c>
      <c r="U3708" s="752">
        <v>15322</v>
      </c>
      <c r="V3708" s="386" t="s">
        <v>8443</v>
      </c>
      <c r="W3708" s="1083">
        <v>42405</v>
      </c>
      <c r="X3708" s="1185">
        <v>42327</v>
      </c>
      <c r="Y3708" s="386" t="s">
        <v>11756</v>
      </c>
      <c r="Z3708" s="824">
        <v>15322</v>
      </c>
      <c r="AA3708" s="1090">
        <v>42397</v>
      </c>
      <c r="AB3708" s="386" t="s">
        <v>11754</v>
      </c>
      <c r="AD3708" s="386"/>
      <c r="AE3708" s="386"/>
      <c r="AF3708" s="386"/>
      <c r="AG3708" s="386" t="s">
        <v>283</v>
      </c>
    </row>
    <row r="3709" spans="1:33" ht="15.75" customHeight="1">
      <c r="A3709" s="743">
        <v>42291</v>
      </c>
      <c r="B3709" s="823" t="s">
        <v>8751</v>
      </c>
      <c r="C3709" s="970">
        <v>7000115903</v>
      </c>
      <c r="D3709" s="386" t="s">
        <v>11748</v>
      </c>
      <c r="E3709" s="592" t="s">
        <v>11757</v>
      </c>
      <c r="F3709" s="1088">
        <v>2</v>
      </c>
      <c r="G3709" s="386"/>
      <c r="H3709" s="386"/>
      <c r="I3709" s="263" t="s">
        <v>170</v>
      </c>
      <c r="J3709" s="590" t="s">
        <v>512</v>
      </c>
      <c r="K3709" s="811">
        <v>42306</v>
      </c>
      <c r="L3709" s="1477"/>
      <c r="M3709" s="811">
        <v>42303</v>
      </c>
      <c r="N3709" s="267" t="s">
        <v>10778</v>
      </c>
      <c r="O3709" s="386" t="s">
        <v>11751</v>
      </c>
      <c r="Q3709" s="386"/>
      <c r="R3709" s="1088">
        <v>107</v>
      </c>
      <c r="S3709" s="1098">
        <f t="shared" si="234"/>
        <v>214</v>
      </c>
      <c r="U3709" s="752">
        <v>6520</v>
      </c>
      <c r="V3709" s="386" t="s">
        <v>8443</v>
      </c>
      <c r="W3709" s="1083">
        <v>42405</v>
      </c>
      <c r="X3709" s="1094">
        <v>42303</v>
      </c>
      <c r="Y3709" s="386" t="s">
        <v>11752</v>
      </c>
      <c r="Z3709" s="824">
        <v>17770</v>
      </c>
      <c r="AA3709" s="1090">
        <v>42397</v>
      </c>
      <c r="AB3709" s="386" t="s">
        <v>11758</v>
      </c>
      <c r="AD3709" s="386"/>
      <c r="AE3709" s="386"/>
      <c r="AF3709" s="386"/>
      <c r="AG3709" s="386" t="s">
        <v>283</v>
      </c>
    </row>
    <row r="3710" spans="1:33" ht="15.75" customHeight="1">
      <c r="A3710" s="743">
        <v>42291</v>
      </c>
      <c r="B3710" s="823" t="s">
        <v>8751</v>
      </c>
      <c r="C3710" s="970">
        <v>7000115903</v>
      </c>
      <c r="D3710" s="386" t="s">
        <v>11748</v>
      </c>
      <c r="E3710" s="592" t="s">
        <v>11759</v>
      </c>
      <c r="F3710" s="1088">
        <v>2</v>
      </c>
      <c r="G3710" s="386"/>
      <c r="H3710" s="386"/>
      <c r="I3710" s="263" t="s">
        <v>170</v>
      </c>
      <c r="J3710" s="590" t="s">
        <v>11750</v>
      </c>
      <c r="K3710" s="811">
        <v>42331</v>
      </c>
      <c r="L3710" s="1477"/>
      <c r="M3710" s="811">
        <v>42312</v>
      </c>
      <c r="N3710" s="267" t="s">
        <v>10778</v>
      </c>
      <c r="O3710" s="386" t="s">
        <v>11751</v>
      </c>
      <c r="Q3710" s="386"/>
      <c r="R3710" s="1088">
        <v>254</v>
      </c>
      <c r="S3710" s="1098">
        <f t="shared" si="234"/>
        <v>508</v>
      </c>
      <c r="U3710" s="752">
        <f>13696*1.05</f>
        <v>14380.800000000001</v>
      </c>
      <c r="V3710" s="386" t="s">
        <v>8443</v>
      </c>
      <c r="W3710" s="1083">
        <v>42405</v>
      </c>
      <c r="X3710" s="1185">
        <v>42311</v>
      </c>
      <c r="Y3710" s="386" t="s">
        <v>11760</v>
      </c>
      <c r="Z3710" s="824">
        <v>14381</v>
      </c>
      <c r="AA3710" s="1090">
        <v>42397</v>
      </c>
      <c r="AB3710" s="386" t="s">
        <v>11754</v>
      </c>
      <c r="AD3710" s="386"/>
      <c r="AE3710" s="386"/>
      <c r="AF3710" s="386"/>
      <c r="AG3710" s="386" t="s">
        <v>283</v>
      </c>
    </row>
    <row r="3711" spans="1:33" ht="15.75" customHeight="1">
      <c r="A3711" s="272">
        <v>42039</v>
      </c>
      <c r="B3711" s="823" t="s">
        <v>11761</v>
      </c>
      <c r="C3711" s="386"/>
      <c r="D3711" s="836" t="s">
        <v>11762</v>
      </c>
      <c r="E3711" s="1178" t="s">
        <v>11763</v>
      </c>
      <c r="F3711" s="1179">
        <v>1</v>
      </c>
      <c r="G3711" s="386"/>
      <c r="H3711" s="386"/>
      <c r="I3711" s="762" t="s">
        <v>11643</v>
      </c>
      <c r="J3711" s="592"/>
      <c r="K3711" s="1201" t="s">
        <v>11651</v>
      </c>
      <c r="L3711" s="1488"/>
      <c r="M3711" s="386"/>
      <c r="N3711" s="267"/>
      <c r="O3711" s="386"/>
      <c r="Q3711" s="386"/>
      <c r="R3711" s="879">
        <v>3150</v>
      </c>
      <c r="S3711" s="772"/>
      <c r="U3711" s="386"/>
      <c r="V3711" s="386"/>
      <c r="W3711" s="386"/>
      <c r="X3711" s="386"/>
      <c r="Y3711" s="386"/>
      <c r="Z3711" s="386"/>
      <c r="AA3711" s="386"/>
      <c r="AB3711" s="386"/>
      <c r="AD3711" s="386"/>
      <c r="AE3711" s="386"/>
      <c r="AF3711" s="386"/>
      <c r="AG3711" s="386"/>
    </row>
    <row r="3712" spans="1:33" ht="15.75" customHeight="1">
      <c r="A3712" s="755">
        <v>42082</v>
      </c>
      <c r="B3712" s="823" t="s">
        <v>11761</v>
      </c>
      <c r="C3712" s="386"/>
      <c r="D3712" s="318" t="s">
        <v>11764</v>
      </c>
      <c r="E3712" s="338" t="s">
        <v>11765</v>
      </c>
      <c r="F3712" s="752">
        <v>1</v>
      </c>
      <c r="G3712" s="386"/>
      <c r="H3712" s="386"/>
      <c r="I3712" s="263" t="s">
        <v>11643</v>
      </c>
      <c r="J3712" s="592"/>
      <c r="K3712" s="811">
        <v>42137</v>
      </c>
      <c r="L3712" s="1477"/>
      <c r="M3712" s="811">
        <v>42135</v>
      </c>
      <c r="N3712" s="267"/>
      <c r="O3712" s="386"/>
      <c r="Q3712" s="386"/>
      <c r="R3712" s="464">
        <v>3013.5</v>
      </c>
      <c r="S3712" s="464">
        <f>R3712*F3712</f>
        <v>3013.5</v>
      </c>
      <c r="U3712" s="386"/>
      <c r="V3712" s="386"/>
      <c r="W3712" s="386"/>
      <c r="X3712" s="1092" t="s">
        <v>11729</v>
      </c>
      <c r="Y3712" s="1092" t="s">
        <v>11729</v>
      </c>
      <c r="Z3712" s="1092" t="s">
        <v>11729</v>
      </c>
      <c r="AA3712" s="386"/>
      <c r="AB3712" s="1087" t="s">
        <v>11766</v>
      </c>
      <c r="AD3712" s="752">
        <v>31.370999999999999</v>
      </c>
      <c r="AE3712" s="752" t="s">
        <v>8588</v>
      </c>
      <c r="AF3712" s="386"/>
      <c r="AG3712" s="386"/>
    </row>
    <row r="3713" spans="1:33" ht="15.75" customHeight="1">
      <c r="A3713" s="755">
        <v>42082</v>
      </c>
      <c r="B3713" s="823" t="s">
        <v>11761</v>
      </c>
      <c r="C3713" s="386"/>
      <c r="D3713" s="318" t="s">
        <v>11767</v>
      </c>
      <c r="E3713" s="338" t="s">
        <v>11768</v>
      </c>
      <c r="F3713" s="752">
        <v>1</v>
      </c>
      <c r="G3713" s="386"/>
      <c r="H3713" s="386"/>
      <c r="I3713" s="263" t="s">
        <v>11643</v>
      </c>
      <c r="J3713" s="331" t="s">
        <v>11769</v>
      </c>
      <c r="K3713" s="811">
        <v>42103</v>
      </c>
      <c r="L3713" s="1477"/>
      <c r="M3713" s="811">
        <v>42103</v>
      </c>
      <c r="N3713" s="267"/>
      <c r="O3713" s="386"/>
      <c r="Q3713" s="386"/>
      <c r="R3713" s="464">
        <v>170.1</v>
      </c>
      <c r="S3713" s="464">
        <f>R3713*F3713</f>
        <v>170.1</v>
      </c>
      <c r="U3713" s="752">
        <v>4069</v>
      </c>
      <c r="V3713" s="1052" t="s">
        <v>11770</v>
      </c>
      <c r="W3713" s="1090"/>
      <c r="X3713" s="1083">
        <v>42102</v>
      </c>
      <c r="Y3713" s="263" t="s">
        <v>11771</v>
      </c>
      <c r="Z3713" s="1086">
        <v>4069</v>
      </c>
      <c r="AA3713" s="1084">
        <v>42103</v>
      </c>
      <c r="AB3713" s="263" t="s">
        <v>11766</v>
      </c>
      <c r="AD3713" s="752">
        <v>31.370999999999999</v>
      </c>
      <c r="AE3713" s="1100">
        <v>99873</v>
      </c>
      <c r="AF3713" s="386"/>
      <c r="AG3713" s="386"/>
    </row>
    <row r="3714" spans="1:33" ht="15.75" customHeight="1">
      <c r="A3714" s="743">
        <v>42340</v>
      </c>
      <c r="B3714" s="823" t="s">
        <v>11772</v>
      </c>
      <c r="C3714" s="970">
        <v>20151202004</v>
      </c>
      <c r="D3714" s="386" t="s">
        <v>11773</v>
      </c>
      <c r="E3714" s="592" t="s">
        <v>11774</v>
      </c>
      <c r="F3714" s="386">
        <v>1</v>
      </c>
      <c r="G3714" s="386">
        <f>R3714*32.8</f>
        <v>11571.84</v>
      </c>
      <c r="H3714" s="386">
        <f>S3714*32.8</f>
        <v>11571.84</v>
      </c>
      <c r="I3714" s="263" t="s">
        <v>170</v>
      </c>
      <c r="J3714" s="267" t="s">
        <v>5882</v>
      </c>
      <c r="K3714" s="811">
        <v>42348</v>
      </c>
      <c r="L3714" s="1477"/>
      <c r="M3714" s="811">
        <v>42347</v>
      </c>
      <c r="N3714" s="267" t="s">
        <v>89</v>
      </c>
      <c r="O3714" s="318" t="s">
        <v>11775</v>
      </c>
      <c r="Q3714" s="318">
        <v>317.10000000000002</v>
      </c>
      <c r="R3714" s="386">
        <v>352.8</v>
      </c>
      <c r="S3714" s="1098">
        <f>F3714*R3714</f>
        <v>352.8</v>
      </c>
      <c r="U3714" s="386"/>
      <c r="V3714" s="318" t="s">
        <v>10751</v>
      </c>
      <c r="W3714" s="1088"/>
      <c r="X3714" s="1090">
        <v>42347</v>
      </c>
      <c r="Y3714" s="386" t="s">
        <v>11776</v>
      </c>
      <c r="Z3714" s="824">
        <v>10288</v>
      </c>
      <c r="AA3714" s="1090">
        <v>42398</v>
      </c>
      <c r="AB3714" s="386" t="s">
        <v>11777</v>
      </c>
      <c r="AD3714" s="386" t="s">
        <v>11778</v>
      </c>
      <c r="AE3714" s="1097">
        <v>11572</v>
      </c>
      <c r="AF3714" s="386" t="s">
        <v>11779</v>
      </c>
      <c r="AG3714" s="386"/>
    </row>
    <row r="3715" spans="1:33" ht="15.75" customHeight="1">
      <c r="A3715" s="743">
        <v>42067</v>
      </c>
      <c r="B3715" s="823" t="s">
        <v>665</v>
      </c>
      <c r="C3715" s="386"/>
      <c r="D3715" s="386" t="s">
        <v>11780</v>
      </c>
      <c r="E3715" s="592" t="s">
        <v>11781</v>
      </c>
      <c r="F3715" s="1088">
        <v>3</v>
      </c>
      <c r="G3715" s="386"/>
      <c r="H3715" s="386"/>
      <c r="I3715" s="263" t="s">
        <v>11717</v>
      </c>
      <c r="J3715" s="267" t="s">
        <v>11782</v>
      </c>
      <c r="K3715" s="811">
        <v>42075</v>
      </c>
      <c r="L3715" s="1477"/>
      <c r="M3715" s="811">
        <v>42074</v>
      </c>
      <c r="N3715" s="267" t="s">
        <v>89</v>
      </c>
      <c r="O3715" s="263" t="s">
        <v>11783</v>
      </c>
      <c r="Q3715" s="752">
        <v>1004.85</v>
      </c>
      <c r="R3715" s="1088">
        <v>365</v>
      </c>
      <c r="S3715" s="464">
        <f>R3715*F3715</f>
        <v>1095</v>
      </c>
      <c r="U3715" s="386"/>
      <c r="V3715" s="386" t="s">
        <v>10751</v>
      </c>
      <c r="W3715" s="1090"/>
      <c r="X3715" s="1083">
        <v>42074</v>
      </c>
      <c r="Y3715" s="263" t="s">
        <v>11784</v>
      </c>
      <c r="Z3715" s="1086">
        <v>31582</v>
      </c>
      <c r="AA3715" s="1095">
        <v>42074</v>
      </c>
      <c r="AB3715" s="318" t="s">
        <v>11785</v>
      </c>
      <c r="AD3715" s="386"/>
      <c r="AE3715" s="386"/>
      <c r="AF3715" s="386"/>
      <c r="AG3715" s="386"/>
    </row>
    <row r="3716" spans="1:33" ht="15.75" customHeight="1">
      <c r="A3716" s="743">
        <v>42240</v>
      </c>
      <c r="B3716" s="823" t="s">
        <v>665</v>
      </c>
      <c r="C3716" s="970" t="s">
        <v>11786</v>
      </c>
      <c r="D3716" s="386" t="s">
        <v>11787</v>
      </c>
      <c r="E3716" s="592" t="s">
        <v>3447</v>
      </c>
      <c r="F3716" s="1088">
        <v>4</v>
      </c>
      <c r="G3716" s="386"/>
      <c r="H3716" s="386"/>
      <c r="I3716" s="263" t="s">
        <v>170</v>
      </c>
      <c r="J3716" s="267" t="s">
        <v>11788</v>
      </c>
      <c r="K3716" s="811">
        <v>42250</v>
      </c>
      <c r="L3716" s="1477"/>
      <c r="M3716" s="811">
        <v>42248</v>
      </c>
      <c r="N3716" s="267" t="s">
        <v>89</v>
      </c>
      <c r="O3716" s="263" t="s">
        <v>11789</v>
      </c>
      <c r="Q3716" s="752">
        <v>1554</v>
      </c>
      <c r="R3716" s="1088">
        <v>410</v>
      </c>
      <c r="S3716" s="1098">
        <f t="shared" ref="S3716:S3726" si="235">F3716*R3716</f>
        <v>1640</v>
      </c>
      <c r="U3716" s="386"/>
      <c r="V3716" s="386" t="s">
        <v>10751</v>
      </c>
      <c r="W3716" s="386"/>
      <c r="X3716" s="1094">
        <v>42248</v>
      </c>
      <c r="Y3716" s="386" t="s">
        <v>11790</v>
      </c>
      <c r="Z3716" s="824">
        <v>50645</v>
      </c>
      <c r="AA3716" s="1095">
        <v>42248</v>
      </c>
      <c r="AB3716" s="318" t="s">
        <v>11791</v>
      </c>
      <c r="AD3716" s="386"/>
      <c r="AE3716" s="386"/>
      <c r="AF3716" s="386"/>
      <c r="AG3716" s="1091" t="s">
        <v>283</v>
      </c>
    </row>
    <row r="3717" spans="1:33" ht="15.75" customHeight="1">
      <c r="A3717" s="743">
        <v>42327</v>
      </c>
      <c r="B3717" s="823" t="s">
        <v>665</v>
      </c>
      <c r="C3717" s="386"/>
      <c r="D3717" s="386" t="s">
        <v>11792</v>
      </c>
      <c r="E3717" s="338" t="s">
        <v>11793</v>
      </c>
      <c r="F3717" s="386">
        <v>2</v>
      </c>
      <c r="G3717" s="386"/>
      <c r="H3717" s="386"/>
      <c r="I3717" s="263" t="s">
        <v>170</v>
      </c>
      <c r="J3717" s="267" t="s">
        <v>11788</v>
      </c>
      <c r="K3717" s="829">
        <v>42367</v>
      </c>
      <c r="L3717" s="1479"/>
      <c r="M3717" s="811">
        <v>42363</v>
      </c>
      <c r="N3717" s="267" t="s">
        <v>11794</v>
      </c>
      <c r="O3717" s="386" t="s">
        <v>11795</v>
      </c>
      <c r="Q3717" s="386"/>
      <c r="R3717" s="386">
        <v>906</v>
      </c>
      <c r="S3717" s="1098">
        <f t="shared" si="235"/>
        <v>1812</v>
      </c>
      <c r="U3717" s="1089">
        <f>1680*32.655*1.05</f>
        <v>57603.420000000006</v>
      </c>
      <c r="V3717" s="386" t="s">
        <v>11796</v>
      </c>
      <c r="W3717" s="1094">
        <v>42328</v>
      </c>
      <c r="X3717" s="1185">
        <v>42362</v>
      </c>
      <c r="Y3717" s="1091" t="s">
        <v>11797</v>
      </c>
      <c r="Z3717" s="1186">
        <v>127550</v>
      </c>
      <c r="AA3717" s="1090">
        <v>42328</v>
      </c>
      <c r="AB3717" s="1091" t="s">
        <v>11798</v>
      </c>
      <c r="AD3717" s="386"/>
      <c r="AE3717" s="386"/>
      <c r="AF3717" s="386"/>
      <c r="AG3717" s="1091" t="s">
        <v>283</v>
      </c>
    </row>
    <row r="3718" spans="1:33" ht="15.75" customHeight="1">
      <c r="A3718" s="743">
        <v>42327</v>
      </c>
      <c r="B3718" s="823" t="s">
        <v>665</v>
      </c>
      <c r="C3718" s="386"/>
      <c r="D3718" s="386" t="s">
        <v>11792</v>
      </c>
      <c r="E3718" s="338" t="s">
        <v>11799</v>
      </c>
      <c r="F3718" s="386">
        <v>2</v>
      </c>
      <c r="G3718" s="386"/>
      <c r="H3718" s="386"/>
      <c r="I3718" s="263" t="s">
        <v>170</v>
      </c>
      <c r="J3718" s="267" t="s">
        <v>11788</v>
      </c>
      <c r="K3718" s="829">
        <v>42367</v>
      </c>
      <c r="L3718" s="1479"/>
      <c r="M3718" s="811">
        <v>42363</v>
      </c>
      <c r="N3718" s="267" t="s">
        <v>11794</v>
      </c>
      <c r="O3718" s="386" t="s">
        <v>11795</v>
      </c>
      <c r="Q3718" s="386"/>
      <c r="R3718" s="386">
        <v>1100</v>
      </c>
      <c r="S3718" s="1098">
        <f t="shared" si="235"/>
        <v>2200</v>
      </c>
      <c r="U3718" s="1089">
        <f>2040*32.655*1.05</f>
        <v>69947.009999999995</v>
      </c>
      <c r="V3718" s="386" t="s">
        <v>11796</v>
      </c>
      <c r="W3718" s="1094">
        <v>42328</v>
      </c>
      <c r="X3718" s="1185">
        <v>42362</v>
      </c>
      <c r="Y3718" s="1091" t="s">
        <v>11797</v>
      </c>
      <c r="Z3718" s="1187" t="s">
        <v>11800</v>
      </c>
      <c r="AA3718" s="1090">
        <v>42328</v>
      </c>
      <c r="AB3718" s="1091" t="s">
        <v>11798</v>
      </c>
      <c r="AD3718" s="386"/>
      <c r="AE3718" s="386"/>
      <c r="AF3718" s="386"/>
      <c r="AG3718" s="1091" t="s">
        <v>283</v>
      </c>
    </row>
    <row r="3719" spans="1:33" ht="15.75" customHeight="1">
      <c r="A3719" s="743">
        <v>42012</v>
      </c>
      <c r="B3719" s="823" t="s">
        <v>3709</v>
      </c>
      <c r="C3719" s="970" t="s">
        <v>11801</v>
      </c>
      <c r="D3719" s="386" t="s">
        <v>11802</v>
      </c>
      <c r="E3719" s="338" t="s">
        <v>11803</v>
      </c>
      <c r="F3719" s="1088">
        <v>1</v>
      </c>
      <c r="G3719" s="386"/>
      <c r="H3719" s="386"/>
      <c r="I3719" s="263" t="s">
        <v>3712</v>
      </c>
      <c r="J3719" s="267" t="s">
        <v>11804</v>
      </c>
      <c r="K3719" s="811">
        <v>42019</v>
      </c>
      <c r="L3719" s="1477"/>
      <c r="M3719" s="811">
        <v>42017</v>
      </c>
      <c r="N3719" s="267" t="s">
        <v>89</v>
      </c>
      <c r="O3719" s="263" t="s">
        <v>11805</v>
      </c>
      <c r="Q3719" s="752">
        <v>86.1</v>
      </c>
      <c r="R3719" s="323">
        <v>97</v>
      </c>
      <c r="S3719" s="464">
        <f t="shared" si="235"/>
        <v>97</v>
      </c>
      <c r="U3719" s="386"/>
      <c r="V3719" s="386" t="s">
        <v>5896</v>
      </c>
      <c r="W3719" s="1090"/>
      <c r="X3719" s="1083">
        <v>42017</v>
      </c>
      <c r="Y3719" s="263" t="s">
        <v>11806</v>
      </c>
      <c r="Z3719" s="1086">
        <v>6666</v>
      </c>
      <c r="AA3719" s="1095">
        <v>42033</v>
      </c>
      <c r="AB3719" s="318" t="s">
        <v>11807</v>
      </c>
      <c r="AD3719" s="386"/>
      <c r="AE3719" s="386"/>
      <c r="AF3719" s="386"/>
      <c r="AG3719" s="386" t="s">
        <v>283</v>
      </c>
    </row>
    <row r="3720" spans="1:33" ht="15.75" customHeight="1">
      <c r="A3720" s="743">
        <v>42012</v>
      </c>
      <c r="B3720" s="823" t="s">
        <v>3709</v>
      </c>
      <c r="C3720" s="970" t="s">
        <v>11801</v>
      </c>
      <c r="D3720" s="386" t="s">
        <v>11802</v>
      </c>
      <c r="E3720" s="338" t="s">
        <v>10807</v>
      </c>
      <c r="F3720" s="1088">
        <v>1</v>
      </c>
      <c r="G3720" s="386"/>
      <c r="H3720" s="386"/>
      <c r="I3720" s="263" t="s">
        <v>3712</v>
      </c>
      <c r="J3720" s="267" t="s">
        <v>11804</v>
      </c>
      <c r="K3720" s="811">
        <v>42019</v>
      </c>
      <c r="L3720" s="1477"/>
      <c r="M3720" s="811">
        <v>42017</v>
      </c>
      <c r="N3720" s="267" t="s">
        <v>89</v>
      </c>
      <c r="O3720" s="263" t="s">
        <v>11805</v>
      </c>
      <c r="Q3720" s="752">
        <v>122.85</v>
      </c>
      <c r="R3720" s="323">
        <v>137</v>
      </c>
      <c r="S3720" s="464">
        <f t="shared" si="235"/>
        <v>137</v>
      </c>
      <c r="U3720" s="386"/>
      <c r="V3720" s="386" t="s">
        <v>5896</v>
      </c>
      <c r="W3720" s="1090"/>
      <c r="X3720" s="318" t="s">
        <v>11808</v>
      </c>
      <c r="Y3720" s="318" t="s">
        <v>11808</v>
      </c>
      <c r="Z3720" s="254" t="s">
        <v>11808</v>
      </c>
      <c r="AA3720" s="1095">
        <v>42033</v>
      </c>
      <c r="AB3720" s="318" t="s">
        <v>11807</v>
      </c>
      <c r="AD3720" s="386"/>
      <c r="AE3720" s="386"/>
      <c r="AF3720" s="386"/>
      <c r="AG3720" s="386" t="s">
        <v>283</v>
      </c>
    </row>
    <row r="3721" spans="1:33" ht="15.75" customHeight="1">
      <c r="A3721" s="743">
        <v>42195</v>
      </c>
      <c r="B3721" s="823" t="s">
        <v>3709</v>
      </c>
      <c r="C3721" s="970" t="s">
        <v>11809</v>
      </c>
      <c r="D3721" s="386" t="s">
        <v>11810</v>
      </c>
      <c r="E3721" s="338" t="s">
        <v>11803</v>
      </c>
      <c r="F3721" s="1088">
        <v>5</v>
      </c>
      <c r="G3721" s="386"/>
      <c r="H3721" s="386"/>
      <c r="I3721" s="263" t="s">
        <v>3712</v>
      </c>
      <c r="J3721" s="267" t="s">
        <v>11804</v>
      </c>
      <c r="K3721" s="811">
        <v>42209</v>
      </c>
      <c r="L3721" s="1477"/>
      <c r="M3721" s="811">
        <v>42206</v>
      </c>
      <c r="N3721" s="267" t="s">
        <v>89</v>
      </c>
      <c r="O3721" s="263" t="s">
        <v>11811</v>
      </c>
      <c r="Q3721" s="752">
        <v>430.5</v>
      </c>
      <c r="R3721" s="323">
        <v>97</v>
      </c>
      <c r="S3721" s="1098">
        <f t="shared" si="235"/>
        <v>485</v>
      </c>
      <c r="U3721" s="386"/>
      <c r="V3721" s="386" t="s">
        <v>10751</v>
      </c>
      <c r="W3721" s="386"/>
      <c r="X3721" s="1094">
        <v>42206</v>
      </c>
      <c r="Y3721" s="386" t="s">
        <v>11812</v>
      </c>
      <c r="Z3721" s="824">
        <v>13333</v>
      </c>
      <c r="AA3721" s="1095">
        <v>42220</v>
      </c>
      <c r="AB3721" s="386" t="s">
        <v>11813</v>
      </c>
      <c r="AD3721" s="386"/>
      <c r="AE3721" s="386"/>
      <c r="AF3721" s="386"/>
      <c r="AG3721" s="970">
        <v>484.76</v>
      </c>
    </row>
    <row r="3722" spans="1:33" ht="15.75" customHeight="1">
      <c r="A3722" s="743">
        <v>42283</v>
      </c>
      <c r="B3722" s="823" t="s">
        <v>3709</v>
      </c>
      <c r="C3722" s="970" t="s">
        <v>11814</v>
      </c>
      <c r="D3722" s="386" t="s">
        <v>11815</v>
      </c>
      <c r="E3722" s="592" t="s">
        <v>11803</v>
      </c>
      <c r="F3722" s="1088">
        <v>2</v>
      </c>
      <c r="G3722" s="386"/>
      <c r="H3722" s="386"/>
      <c r="I3722" s="263" t="s">
        <v>3712</v>
      </c>
      <c r="J3722" s="267" t="s">
        <v>11804</v>
      </c>
      <c r="K3722" s="811">
        <v>42293</v>
      </c>
      <c r="L3722" s="1477"/>
      <c r="M3722" s="811">
        <v>42291</v>
      </c>
      <c r="N3722" s="267" t="s">
        <v>89</v>
      </c>
      <c r="O3722" s="263" t="s">
        <v>11816</v>
      </c>
      <c r="Q3722" s="752">
        <v>172.2</v>
      </c>
      <c r="R3722" s="1088">
        <v>97</v>
      </c>
      <c r="S3722" s="1098">
        <f t="shared" si="235"/>
        <v>194</v>
      </c>
      <c r="U3722" s="386"/>
      <c r="V3722" s="386" t="s">
        <v>10751</v>
      </c>
      <c r="W3722" s="386"/>
      <c r="X3722" s="1094">
        <v>42291</v>
      </c>
      <c r="Y3722" s="386" t="s">
        <v>11817</v>
      </c>
      <c r="Z3722" s="824">
        <v>18572</v>
      </c>
      <c r="AA3722" s="1095">
        <v>42321</v>
      </c>
      <c r="AB3722" s="386" t="s">
        <v>11818</v>
      </c>
      <c r="AD3722" s="386"/>
      <c r="AE3722" s="386"/>
      <c r="AF3722" s="386"/>
      <c r="AG3722" s="386" t="s">
        <v>283</v>
      </c>
    </row>
    <row r="3723" spans="1:33" ht="15.75" customHeight="1">
      <c r="A3723" s="743">
        <v>42283</v>
      </c>
      <c r="B3723" s="823" t="s">
        <v>3709</v>
      </c>
      <c r="C3723" s="970" t="s">
        <v>11814</v>
      </c>
      <c r="D3723" s="386" t="s">
        <v>11815</v>
      </c>
      <c r="E3723" s="592" t="s">
        <v>3711</v>
      </c>
      <c r="F3723" s="1088">
        <v>1</v>
      </c>
      <c r="G3723" s="772"/>
      <c r="H3723" s="1097"/>
      <c r="I3723" s="263" t="s">
        <v>3712</v>
      </c>
      <c r="J3723" s="267" t="s">
        <v>11804</v>
      </c>
      <c r="K3723" s="811">
        <v>42293</v>
      </c>
      <c r="L3723" s="1477"/>
      <c r="M3723" s="811">
        <v>42291</v>
      </c>
      <c r="N3723" s="267" t="s">
        <v>89</v>
      </c>
      <c r="O3723" s="263" t="s">
        <v>11816</v>
      </c>
      <c r="Q3723" s="752">
        <v>395.85</v>
      </c>
      <c r="R3723" s="1088">
        <v>460</v>
      </c>
      <c r="S3723" s="1098">
        <f t="shared" si="235"/>
        <v>460</v>
      </c>
      <c r="U3723" s="386"/>
      <c r="V3723" s="386" t="s">
        <v>10751</v>
      </c>
      <c r="W3723" s="386"/>
      <c r="X3723" s="1094">
        <v>42291</v>
      </c>
      <c r="Y3723" s="386" t="s">
        <v>11817</v>
      </c>
      <c r="Z3723" s="585" t="s">
        <v>8588</v>
      </c>
      <c r="AA3723" s="1095">
        <v>42321</v>
      </c>
      <c r="AB3723" s="386" t="s">
        <v>11818</v>
      </c>
      <c r="AD3723" s="386"/>
      <c r="AE3723" s="386"/>
      <c r="AF3723" s="386"/>
      <c r="AG3723" s="386" t="s">
        <v>283</v>
      </c>
    </row>
    <row r="3724" spans="1:33" ht="15.75" customHeight="1">
      <c r="A3724" s="743">
        <v>42348</v>
      </c>
      <c r="B3724" s="823" t="s">
        <v>3709</v>
      </c>
      <c r="C3724" s="970" t="s">
        <v>11819</v>
      </c>
      <c r="D3724" s="386" t="s">
        <v>11820</v>
      </c>
      <c r="E3724" s="338" t="s">
        <v>6863</v>
      </c>
      <c r="F3724" s="1088">
        <v>7</v>
      </c>
      <c r="G3724" s="386"/>
      <c r="H3724" s="386"/>
      <c r="I3724" s="263" t="s">
        <v>3712</v>
      </c>
      <c r="J3724" s="267" t="s">
        <v>11821</v>
      </c>
      <c r="K3724" s="811">
        <v>42355</v>
      </c>
      <c r="L3724" s="1477"/>
      <c r="M3724" s="811">
        <v>42354</v>
      </c>
      <c r="N3724" s="267" t="s">
        <v>89</v>
      </c>
      <c r="O3724" s="318" t="s">
        <v>11822</v>
      </c>
      <c r="Q3724" s="318">
        <v>940.8</v>
      </c>
      <c r="R3724" s="323">
        <v>161</v>
      </c>
      <c r="S3724" s="1098">
        <f t="shared" si="235"/>
        <v>1127</v>
      </c>
      <c r="U3724" s="386"/>
      <c r="V3724" s="386" t="s">
        <v>10751</v>
      </c>
      <c r="W3724" s="1088"/>
      <c r="X3724" s="1090">
        <v>42354</v>
      </c>
      <c r="Y3724" s="386" t="s">
        <v>11823</v>
      </c>
      <c r="Z3724" s="824">
        <v>30698</v>
      </c>
      <c r="AA3724" s="1090">
        <v>42398</v>
      </c>
      <c r="AB3724" s="386" t="s">
        <v>11824</v>
      </c>
      <c r="AD3724" s="386"/>
      <c r="AE3724" s="386"/>
      <c r="AF3724" s="386"/>
      <c r="AG3724" s="386" t="s">
        <v>283</v>
      </c>
    </row>
    <row r="3725" spans="1:33" ht="15.75" customHeight="1">
      <c r="A3725" s="743">
        <v>42040</v>
      </c>
      <c r="B3725" s="823" t="s">
        <v>11825</v>
      </c>
      <c r="C3725" s="970" t="s">
        <v>11826</v>
      </c>
      <c r="D3725" s="386" t="s">
        <v>11827</v>
      </c>
      <c r="E3725" s="592" t="s">
        <v>4616</v>
      </c>
      <c r="F3725" s="1088">
        <v>4</v>
      </c>
      <c r="G3725" s="386"/>
      <c r="H3725" s="386"/>
      <c r="I3725" s="263" t="s">
        <v>3712</v>
      </c>
      <c r="J3725" s="267" t="s">
        <v>11804</v>
      </c>
      <c r="K3725" s="811">
        <v>42051</v>
      </c>
      <c r="L3725" s="1477"/>
      <c r="M3725" s="811">
        <v>42048</v>
      </c>
      <c r="N3725" s="267" t="s">
        <v>89</v>
      </c>
      <c r="O3725" s="263" t="s">
        <v>11828</v>
      </c>
      <c r="Q3725" s="752">
        <v>331.8</v>
      </c>
      <c r="R3725" s="1088">
        <v>91</v>
      </c>
      <c r="S3725" s="752">
        <f t="shared" si="235"/>
        <v>364</v>
      </c>
      <c r="U3725" s="386"/>
      <c r="V3725" s="386" t="s">
        <v>10751</v>
      </c>
      <c r="W3725" s="1090"/>
      <c r="X3725" s="1083">
        <v>42048</v>
      </c>
      <c r="Y3725" s="263" t="s">
        <v>11829</v>
      </c>
      <c r="Z3725" s="1086">
        <v>10427</v>
      </c>
      <c r="AA3725" s="1095">
        <v>42074</v>
      </c>
      <c r="AB3725" s="318" t="s">
        <v>11830</v>
      </c>
      <c r="AD3725" s="386"/>
      <c r="AE3725" s="386"/>
      <c r="AF3725" s="386"/>
      <c r="AG3725" s="386" t="s">
        <v>8415</v>
      </c>
    </row>
    <row r="3726" spans="1:33" ht="15.75" customHeight="1">
      <c r="A3726" s="743">
        <v>42039</v>
      </c>
      <c r="B3726" s="823" t="s">
        <v>1189</v>
      </c>
      <c r="C3726" s="970" t="s">
        <v>11831</v>
      </c>
      <c r="D3726" s="386" t="s">
        <v>11832</v>
      </c>
      <c r="E3726" s="592" t="s">
        <v>11833</v>
      </c>
      <c r="F3726" s="1088">
        <v>4</v>
      </c>
      <c r="G3726" s="386"/>
      <c r="H3726" s="386"/>
      <c r="I3726" s="263" t="s">
        <v>11834</v>
      </c>
      <c r="J3726" s="267" t="s">
        <v>11835</v>
      </c>
      <c r="K3726" s="811">
        <v>42047</v>
      </c>
      <c r="L3726" s="1477"/>
      <c r="M3726" s="811">
        <v>42045</v>
      </c>
      <c r="N3726" s="267" t="s">
        <v>89</v>
      </c>
      <c r="O3726" s="263" t="s">
        <v>11836</v>
      </c>
      <c r="Q3726" s="752">
        <v>491.4</v>
      </c>
      <c r="R3726" s="1088">
        <v>133.19999999999999</v>
      </c>
      <c r="S3726" s="752">
        <f t="shared" si="235"/>
        <v>532.79999999999995</v>
      </c>
      <c r="U3726" s="386"/>
      <c r="V3726" s="386" t="s">
        <v>10751</v>
      </c>
      <c r="W3726" s="1090"/>
      <c r="X3726" s="1083">
        <v>42045</v>
      </c>
      <c r="Y3726" s="263" t="s">
        <v>11837</v>
      </c>
      <c r="Z3726" s="1086">
        <v>15356</v>
      </c>
      <c r="AA3726" s="1095">
        <v>42074</v>
      </c>
      <c r="AB3726" s="318" t="s">
        <v>11838</v>
      </c>
      <c r="AD3726" s="386"/>
      <c r="AE3726" s="386"/>
      <c r="AF3726" s="386"/>
      <c r="AG3726" s="386" t="s">
        <v>8415</v>
      </c>
    </row>
    <row r="3727" spans="1:33" ht="15.75" customHeight="1">
      <c r="A3727" s="743">
        <v>42080</v>
      </c>
      <c r="B3727" s="823" t="s">
        <v>1189</v>
      </c>
      <c r="C3727" s="970" t="s">
        <v>11839</v>
      </c>
      <c r="D3727" s="386" t="s">
        <v>11840</v>
      </c>
      <c r="E3727" s="592" t="s">
        <v>11841</v>
      </c>
      <c r="F3727" s="1088">
        <v>1</v>
      </c>
      <c r="G3727" s="386"/>
      <c r="H3727" s="386"/>
      <c r="I3727" s="263" t="s">
        <v>11834</v>
      </c>
      <c r="J3727" s="267" t="s">
        <v>11842</v>
      </c>
      <c r="K3727" s="811">
        <v>42149</v>
      </c>
      <c r="L3727" s="1477"/>
      <c r="M3727" s="811">
        <v>42143</v>
      </c>
      <c r="N3727" s="267" t="s">
        <v>2001</v>
      </c>
      <c r="O3727" s="970" t="s">
        <v>11843</v>
      </c>
      <c r="Q3727" s="386"/>
      <c r="R3727" s="1088">
        <v>223</v>
      </c>
      <c r="S3727" s="1098">
        <f t="shared" ref="S3727:S3743" si="236">R3727*F3727</f>
        <v>223</v>
      </c>
      <c r="U3727" s="464">
        <v>6377.7</v>
      </c>
      <c r="V3727" s="386" t="s">
        <v>2003</v>
      </c>
      <c r="W3727" s="1090"/>
      <c r="X3727" s="1095">
        <v>42142</v>
      </c>
      <c r="Y3727" s="386" t="s">
        <v>11844</v>
      </c>
      <c r="Z3727" s="824">
        <v>15465</v>
      </c>
      <c r="AA3727" s="1095">
        <v>42202</v>
      </c>
      <c r="AB3727" s="318" t="s">
        <v>11845</v>
      </c>
      <c r="AD3727" s="386"/>
      <c r="AE3727" s="386"/>
      <c r="AF3727" s="386"/>
      <c r="AG3727" s="1088" t="s">
        <v>11846</v>
      </c>
    </row>
    <row r="3728" spans="1:33" ht="15.75" customHeight="1">
      <c r="A3728" s="743">
        <v>42080</v>
      </c>
      <c r="B3728" s="823" t="s">
        <v>1189</v>
      </c>
      <c r="C3728" s="970" t="s">
        <v>11839</v>
      </c>
      <c r="D3728" s="386" t="s">
        <v>11840</v>
      </c>
      <c r="E3728" s="592" t="s">
        <v>11847</v>
      </c>
      <c r="F3728" s="1088">
        <v>1</v>
      </c>
      <c r="G3728" s="386"/>
      <c r="H3728" s="386"/>
      <c r="I3728" s="263" t="s">
        <v>11848</v>
      </c>
      <c r="J3728" s="267" t="s">
        <v>11842</v>
      </c>
      <c r="K3728" s="811">
        <v>42149</v>
      </c>
      <c r="L3728" s="1477"/>
      <c r="M3728" s="811">
        <v>42143</v>
      </c>
      <c r="N3728" s="267" t="s">
        <v>2001</v>
      </c>
      <c r="O3728" s="970" t="s">
        <v>11843</v>
      </c>
      <c r="Q3728" s="386"/>
      <c r="R3728" s="1088">
        <v>282</v>
      </c>
      <c r="S3728" s="1098">
        <f t="shared" si="236"/>
        <v>282</v>
      </c>
      <c r="U3728" s="464">
        <v>8067.7905000000001</v>
      </c>
      <c r="V3728" s="386" t="s">
        <v>2003</v>
      </c>
      <c r="W3728" s="1090"/>
      <c r="X3728" s="1095">
        <v>42142</v>
      </c>
      <c r="Y3728" s="386" t="s">
        <v>11844</v>
      </c>
      <c r="Z3728" s="254" t="s">
        <v>8588</v>
      </c>
      <c r="AA3728" s="1095">
        <v>42202</v>
      </c>
      <c r="AB3728" s="318" t="s">
        <v>11845</v>
      </c>
      <c r="AD3728" s="386"/>
      <c r="AE3728" s="386"/>
      <c r="AF3728" s="386"/>
      <c r="AG3728" s="1088" t="s">
        <v>11846</v>
      </c>
    </row>
    <row r="3729" spans="1:33" ht="15.75" customHeight="1">
      <c r="A3729" s="743">
        <v>42080</v>
      </c>
      <c r="B3729" s="823" t="s">
        <v>1189</v>
      </c>
      <c r="C3729" s="970" t="s">
        <v>11839</v>
      </c>
      <c r="D3729" s="386" t="s">
        <v>11840</v>
      </c>
      <c r="E3729" s="592" t="s">
        <v>11849</v>
      </c>
      <c r="F3729" s="1088">
        <v>2</v>
      </c>
      <c r="G3729" s="386"/>
      <c r="H3729" s="386"/>
      <c r="I3729" s="263" t="s">
        <v>11834</v>
      </c>
      <c r="J3729" s="267" t="s">
        <v>11842</v>
      </c>
      <c r="K3729" s="811">
        <v>42149</v>
      </c>
      <c r="L3729" s="1477"/>
      <c r="M3729" s="811">
        <v>42143</v>
      </c>
      <c r="N3729" s="267" t="s">
        <v>2001</v>
      </c>
      <c r="O3729" s="970" t="s">
        <v>11843</v>
      </c>
      <c r="Q3729" s="386"/>
      <c r="R3729" s="1088">
        <v>18</v>
      </c>
      <c r="S3729" s="1098">
        <f t="shared" si="236"/>
        <v>36</v>
      </c>
      <c r="U3729" s="464">
        <v>1020.432</v>
      </c>
      <c r="V3729" s="386" t="s">
        <v>2003</v>
      </c>
      <c r="W3729" s="1090"/>
      <c r="X3729" s="1095">
        <v>42142</v>
      </c>
      <c r="Y3729" s="386" t="s">
        <v>11844</v>
      </c>
      <c r="Z3729" s="254" t="s">
        <v>8588</v>
      </c>
      <c r="AA3729" s="1095">
        <v>42202</v>
      </c>
      <c r="AB3729" s="318" t="s">
        <v>11845</v>
      </c>
      <c r="AD3729" s="386"/>
      <c r="AE3729" s="386"/>
      <c r="AF3729" s="386"/>
      <c r="AG3729" s="1088" t="s">
        <v>11846</v>
      </c>
    </row>
    <row r="3730" spans="1:33" ht="15.75" customHeight="1">
      <c r="A3730" s="743">
        <v>42080</v>
      </c>
      <c r="B3730" s="823" t="s">
        <v>1189</v>
      </c>
      <c r="C3730" s="970" t="s">
        <v>11850</v>
      </c>
      <c r="D3730" s="386" t="s">
        <v>11851</v>
      </c>
      <c r="E3730" s="592" t="s">
        <v>11852</v>
      </c>
      <c r="F3730" s="1088">
        <v>4</v>
      </c>
      <c r="G3730" s="386"/>
      <c r="H3730" s="386"/>
      <c r="I3730" s="263" t="s">
        <v>11834</v>
      </c>
      <c r="J3730" s="267" t="s">
        <v>11835</v>
      </c>
      <c r="K3730" s="811">
        <v>42104</v>
      </c>
      <c r="L3730" s="1477"/>
      <c r="M3730" s="811">
        <v>42102</v>
      </c>
      <c r="N3730" s="331" t="s">
        <v>89</v>
      </c>
      <c r="O3730" s="263" t="s">
        <v>11853</v>
      </c>
      <c r="Q3730" s="752">
        <v>491.4</v>
      </c>
      <c r="R3730" s="1088">
        <v>133.19999999999999</v>
      </c>
      <c r="S3730" s="752">
        <f t="shared" si="236"/>
        <v>532.79999999999995</v>
      </c>
      <c r="U3730" s="386"/>
      <c r="V3730" s="386" t="s">
        <v>10751</v>
      </c>
      <c r="W3730" s="386"/>
      <c r="X3730" s="1083">
        <v>42102</v>
      </c>
      <c r="Y3730" s="263" t="s">
        <v>11854</v>
      </c>
      <c r="Z3730" s="1086">
        <v>15356</v>
      </c>
      <c r="AA3730" s="386"/>
      <c r="AB3730" s="263" t="s">
        <v>11855</v>
      </c>
      <c r="AD3730" s="386"/>
      <c r="AE3730" s="386"/>
      <c r="AF3730" s="386"/>
      <c r="AG3730" s="386" t="s">
        <v>283</v>
      </c>
    </row>
    <row r="3731" spans="1:33" ht="15.75" customHeight="1">
      <c r="A3731" s="743">
        <v>42080</v>
      </c>
      <c r="B3731" s="823" t="s">
        <v>1189</v>
      </c>
      <c r="C3731" s="970" t="s">
        <v>11856</v>
      </c>
      <c r="D3731" s="386" t="s">
        <v>11857</v>
      </c>
      <c r="E3731" s="592" t="s">
        <v>11858</v>
      </c>
      <c r="F3731" s="1088">
        <v>12</v>
      </c>
      <c r="G3731" s="386"/>
      <c r="H3731" s="386"/>
      <c r="I3731" s="263" t="s">
        <v>11834</v>
      </c>
      <c r="J3731" s="267" t="s">
        <v>11859</v>
      </c>
      <c r="K3731" s="811">
        <v>42111</v>
      </c>
      <c r="L3731" s="1477"/>
      <c r="M3731" s="811">
        <v>42110</v>
      </c>
      <c r="N3731" s="267" t="s">
        <v>11860</v>
      </c>
      <c r="O3731" s="970" t="s">
        <v>11861</v>
      </c>
      <c r="Q3731" s="386"/>
      <c r="R3731" s="1088">
        <v>410</v>
      </c>
      <c r="S3731" s="752">
        <f t="shared" si="236"/>
        <v>4920</v>
      </c>
      <c r="U3731" s="752">
        <v>142695</v>
      </c>
      <c r="V3731" s="386" t="s">
        <v>10189</v>
      </c>
      <c r="W3731" s="1090"/>
      <c r="X3731" s="1095">
        <v>42109</v>
      </c>
      <c r="Y3731" s="386" t="s">
        <v>11862</v>
      </c>
      <c r="Z3731" s="824">
        <v>283210</v>
      </c>
      <c r="AA3731" s="1095">
        <v>42108</v>
      </c>
      <c r="AB3731" s="386" t="s">
        <v>11863</v>
      </c>
      <c r="AD3731" s="386"/>
      <c r="AE3731" s="386"/>
      <c r="AF3731" s="386"/>
      <c r="AG3731" s="386" t="s">
        <v>283</v>
      </c>
    </row>
    <row r="3732" spans="1:33" ht="15.75" customHeight="1">
      <c r="A3732" s="743">
        <v>42082</v>
      </c>
      <c r="B3732" s="823" t="s">
        <v>1189</v>
      </c>
      <c r="C3732" s="970" t="s">
        <v>11864</v>
      </c>
      <c r="D3732" s="386" t="s">
        <v>11865</v>
      </c>
      <c r="E3732" s="592" t="s">
        <v>11866</v>
      </c>
      <c r="F3732" s="1088">
        <v>1</v>
      </c>
      <c r="G3732" s="386"/>
      <c r="H3732" s="386"/>
      <c r="I3732" s="263" t="s">
        <v>11834</v>
      </c>
      <c r="J3732" s="267" t="s">
        <v>11835</v>
      </c>
      <c r="K3732" s="811">
        <v>42104</v>
      </c>
      <c r="L3732" s="1477"/>
      <c r="M3732" s="811">
        <v>42090</v>
      </c>
      <c r="N3732" s="267" t="s">
        <v>11867</v>
      </c>
      <c r="O3732" s="386" t="s">
        <v>11868</v>
      </c>
      <c r="Q3732" s="386"/>
      <c r="R3732" s="1207">
        <v>213</v>
      </c>
      <c r="S3732" s="1183">
        <f t="shared" si="236"/>
        <v>213</v>
      </c>
      <c r="U3732" s="1194">
        <v>5878.95</v>
      </c>
      <c r="V3732" s="386" t="s">
        <v>11869</v>
      </c>
      <c r="W3732" s="1090"/>
      <c r="X3732" s="1095">
        <v>42089</v>
      </c>
      <c r="Y3732" s="970" t="s">
        <v>11870</v>
      </c>
      <c r="Z3732" s="824">
        <v>6320</v>
      </c>
      <c r="AA3732" s="1095">
        <v>42089</v>
      </c>
      <c r="AB3732" s="263" t="s">
        <v>11855</v>
      </c>
      <c r="AD3732" s="386"/>
      <c r="AE3732" s="386"/>
      <c r="AF3732" s="386"/>
      <c r="AG3732" s="386" t="s">
        <v>283</v>
      </c>
    </row>
    <row r="3733" spans="1:33" ht="15.75" customHeight="1">
      <c r="A3733" s="743">
        <v>42082</v>
      </c>
      <c r="B3733" s="823" t="s">
        <v>1189</v>
      </c>
      <c r="C3733" s="970" t="s">
        <v>11864</v>
      </c>
      <c r="D3733" s="386" t="s">
        <v>11865</v>
      </c>
      <c r="E3733" s="592" t="s">
        <v>11871</v>
      </c>
      <c r="F3733" s="1088">
        <v>1</v>
      </c>
      <c r="G3733" s="386"/>
      <c r="H3733" s="386"/>
      <c r="I3733" s="263" t="s">
        <v>11834</v>
      </c>
      <c r="J3733" s="267" t="s">
        <v>11835</v>
      </c>
      <c r="K3733" s="811">
        <v>42104</v>
      </c>
      <c r="L3733" s="1477"/>
      <c r="M3733" s="811">
        <v>42090</v>
      </c>
      <c r="N3733" s="267" t="s">
        <v>11867</v>
      </c>
      <c r="O3733" s="386" t="s">
        <v>11868</v>
      </c>
      <c r="Q3733" s="386"/>
      <c r="R3733" s="1207">
        <v>4</v>
      </c>
      <c r="S3733" s="1183">
        <f t="shared" si="236"/>
        <v>4</v>
      </c>
      <c r="U3733" s="1183">
        <v>105</v>
      </c>
      <c r="V3733" s="386" t="s">
        <v>11869</v>
      </c>
      <c r="W3733" s="1090"/>
      <c r="X3733" s="1095">
        <v>42089</v>
      </c>
      <c r="Y3733" s="970" t="s">
        <v>11870</v>
      </c>
      <c r="Z3733" s="585" t="s">
        <v>8588</v>
      </c>
      <c r="AA3733" s="1095">
        <v>42089</v>
      </c>
      <c r="AB3733" s="263" t="s">
        <v>11855</v>
      </c>
      <c r="AD3733" s="386"/>
      <c r="AE3733" s="386"/>
      <c r="AF3733" s="386"/>
      <c r="AG3733" s="386" t="s">
        <v>283</v>
      </c>
    </row>
    <row r="3734" spans="1:33" ht="15.75" customHeight="1">
      <c r="A3734" s="743">
        <v>42082</v>
      </c>
      <c r="B3734" s="823" t="s">
        <v>1189</v>
      </c>
      <c r="C3734" s="970" t="s">
        <v>11864</v>
      </c>
      <c r="D3734" s="386" t="s">
        <v>11865</v>
      </c>
      <c r="E3734" s="823">
        <v>1090150</v>
      </c>
      <c r="F3734" s="1088">
        <v>4</v>
      </c>
      <c r="G3734" s="386"/>
      <c r="H3734" s="386"/>
      <c r="I3734" s="263" t="s">
        <v>11834</v>
      </c>
      <c r="J3734" s="267" t="s">
        <v>11835</v>
      </c>
      <c r="K3734" s="811">
        <v>42104</v>
      </c>
      <c r="L3734" s="1477"/>
      <c r="M3734" s="811">
        <v>42090</v>
      </c>
      <c r="N3734" s="267" t="s">
        <v>11867</v>
      </c>
      <c r="O3734" s="386" t="s">
        <v>11868</v>
      </c>
      <c r="Q3734" s="386"/>
      <c r="R3734" s="1207">
        <v>3</v>
      </c>
      <c r="S3734" s="1183">
        <f t="shared" si="236"/>
        <v>12</v>
      </c>
      <c r="U3734" s="1183">
        <v>336</v>
      </c>
      <c r="V3734" s="386" t="s">
        <v>11869</v>
      </c>
      <c r="W3734" s="1090"/>
      <c r="X3734" s="1095">
        <v>42089</v>
      </c>
      <c r="Y3734" s="970" t="s">
        <v>11870</v>
      </c>
      <c r="Z3734" s="585" t="s">
        <v>8588</v>
      </c>
      <c r="AA3734" s="1095">
        <v>42089</v>
      </c>
      <c r="AB3734" s="263" t="s">
        <v>11855</v>
      </c>
      <c r="AD3734" s="386"/>
      <c r="AE3734" s="386"/>
      <c r="AF3734" s="386"/>
      <c r="AG3734" s="386" t="s">
        <v>283</v>
      </c>
    </row>
    <row r="3735" spans="1:33" ht="15.75" customHeight="1">
      <c r="A3735" s="743">
        <v>42083</v>
      </c>
      <c r="B3735" s="823" t="s">
        <v>1189</v>
      </c>
      <c r="C3735" s="970" t="s">
        <v>11872</v>
      </c>
      <c r="D3735" s="386" t="s">
        <v>11873</v>
      </c>
      <c r="E3735" s="592" t="s">
        <v>11874</v>
      </c>
      <c r="F3735" s="1088">
        <v>12</v>
      </c>
      <c r="G3735" s="386"/>
      <c r="H3735" s="386"/>
      <c r="I3735" s="263" t="s">
        <v>11834</v>
      </c>
      <c r="J3735" s="267" t="s">
        <v>11859</v>
      </c>
      <c r="K3735" s="811">
        <v>42111</v>
      </c>
      <c r="L3735" s="1477"/>
      <c r="M3735" s="811">
        <v>42110</v>
      </c>
      <c r="N3735" s="267" t="s">
        <v>11860</v>
      </c>
      <c r="O3735" s="386" t="s">
        <v>11875</v>
      </c>
      <c r="Q3735" s="386"/>
      <c r="R3735" s="1088">
        <v>365</v>
      </c>
      <c r="S3735" s="752">
        <f t="shared" si="236"/>
        <v>4380</v>
      </c>
      <c r="U3735" s="752">
        <v>128696</v>
      </c>
      <c r="V3735" s="386" t="s">
        <v>10189</v>
      </c>
      <c r="W3735" s="1090"/>
      <c r="X3735" s="1095">
        <v>42109</v>
      </c>
      <c r="Y3735" s="386" t="s">
        <v>11862</v>
      </c>
      <c r="Z3735" s="585" t="s">
        <v>11876</v>
      </c>
      <c r="AA3735" s="1095">
        <v>42108</v>
      </c>
      <c r="AB3735" s="386" t="s">
        <v>11863</v>
      </c>
      <c r="AD3735" s="386"/>
      <c r="AE3735" s="386"/>
      <c r="AF3735" s="386"/>
      <c r="AG3735" s="386" t="s">
        <v>283</v>
      </c>
    </row>
    <row r="3736" spans="1:33" ht="15.75" customHeight="1">
      <c r="A3736" s="743">
        <v>42095</v>
      </c>
      <c r="B3736" s="823" t="s">
        <v>1189</v>
      </c>
      <c r="C3736" s="970" t="s">
        <v>11877</v>
      </c>
      <c r="D3736" s="386" t="s">
        <v>11878</v>
      </c>
      <c r="E3736" s="592" t="s">
        <v>11879</v>
      </c>
      <c r="F3736" s="1088">
        <v>1</v>
      </c>
      <c r="G3736" s="386"/>
      <c r="H3736" s="386"/>
      <c r="I3736" s="263" t="s">
        <v>11717</v>
      </c>
      <c r="J3736" s="592"/>
      <c r="K3736" s="811">
        <v>42121</v>
      </c>
      <c r="L3736" s="1477"/>
      <c r="M3736" s="811">
        <v>42114</v>
      </c>
      <c r="N3736" s="267" t="s">
        <v>10741</v>
      </c>
      <c r="O3736" s="970" t="s">
        <v>11880</v>
      </c>
      <c r="Q3736" s="386"/>
      <c r="R3736" s="1088">
        <v>553</v>
      </c>
      <c r="S3736" s="1098">
        <f t="shared" si="236"/>
        <v>553</v>
      </c>
      <c r="U3736" s="752">
        <v>14700</v>
      </c>
      <c r="V3736" s="386" t="s">
        <v>10743</v>
      </c>
      <c r="W3736" s="386"/>
      <c r="X3736" s="1095">
        <v>42111</v>
      </c>
      <c r="Y3736" s="386" t="s">
        <v>11881</v>
      </c>
      <c r="Z3736" s="824">
        <v>14700</v>
      </c>
      <c r="AA3736" s="1095">
        <v>42129</v>
      </c>
      <c r="AB3736" s="318" t="s">
        <v>11882</v>
      </c>
      <c r="AD3736" s="386"/>
      <c r="AE3736" s="386"/>
      <c r="AF3736" s="386"/>
      <c r="AG3736" s="1088">
        <v>2718.91</v>
      </c>
    </row>
    <row r="3737" spans="1:33" ht="15.75" customHeight="1">
      <c r="A3737" s="743">
        <v>42095</v>
      </c>
      <c r="B3737" s="823" t="s">
        <v>1189</v>
      </c>
      <c r="C3737" s="970" t="s">
        <v>11877</v>
      </c>
      <c r="D3737" s="386" t="s">
        <v>11878</v>
      </c>
      <c r="E3737" s="338" t="s">
        <v>10173</v>
      </c>
      <c r="F3737" s="1088">
        <v>4</v>
      </c>
      <c r="G3737" s="386"/>
      <c r="H3737" s="386"/>
      <c r="I3737" s="263" t="s">
        <v>11717</v>
      </c>
      <c r="J3737" s="592"/>
      <c r="K3737" s="811">
        <v>42121</v>
      </c>
      <c r="L3737" s="1477"/>
      <c r="M3737" s="811">
        <v>42109</v>
      </c>
      <c r="N3737" s="267" t="s">
        <v>89</v>
      </c>
      <c r="O3737" s="970" t="s">
        <v>11883</v>
      </c>
      <c r="Q3737" s="752">
        <v>613.20000000000005</v>
      </c>
      <c r="R3737" s="1088">
        <v>177</v>
      </c>
      <c r="S3737" s="1098">
        <f t="shared" si="236"/>
        <v>708</v>
      </c>
      <c r="U3737" s="386"/>
      <c r="V3737" s="386" t="s">
        <v>10751</v>
      </c>
      <c r="W3737" s="386"/>
      <c r="X3737" s="1083">
        <v>42109</v>
      </c>
      <c r="Y3737" s="318" t="s">
        <v>11884</v>
      </c>
      <c r="Z3737" s="1086">
        <v>19110</v>
      </c>
      <c r="AA3737" s="386"/>
      <c r="AB3737" s="318" t="s">
        <v>11882</v>
      </c>
      <c r="AD3737" s="386"/>
      <c r="AE3737" s="386"/>
      <c r="AF3737" s="386"/>
      <c r="AG3737" s="1088" t="s">
        <v>8588</v>
      </c>
    </row>
    <row r="3738" spans="1:33" ht="15.75" customHeight="1">
      <c r="A3738" s="743">
        <v>42095</v>
      </c>
      <c r="B3738" s="823" t="s">
        <v>1189</v>
      </c>
      <c r="C3738" s="970" t="s">
        <v>11885</v>
      </c>
      <c r="D3738" s="386" t="s">
        <v>11878</v>
      </c>
      <c r="E3738" s="338" t="s">
        <v>9182</v>
      </c>
      <c r="F3738" s="1088">
        <v>1</v>
      </c>
      <c r="G3738" s="386"/>
      <c r="H3738" s="386"/>
      <c r="I3738" s="263" t="s">
        <v>11717</v>
      </c>
      <c r="J3738" s="592"/>
      <c r="K3738" s="811">
        <v>42121</v>
      </c>
      <c r="L3738" s="1477"/>
      <c r="M3738" s="811">
        <v>42111</v>
      </c>
      <c r="N3738" s="267" t="s">
        <v>11886</v>
      </c>
      <c r="O3738" s="970" t="s">
        <v>11887</v>
      </c>
      <c r="Q3738" s="386"/>
      <c r="R3738" s="1088">
        <v>35</v>
      </c>
      <c r="S3738" s="1098">
        <f t="shared" si="236"/>
        <v>35</v>
      </c>
      <c r="U3738" s="752">
        <v>891</v>
      </c>
      <c r="V3738" s="386" t="s">
        <v>11737</v>
      </c>
      <c r="W3738" s="1090"/>
      <c r="X3738" s="1095">
        <v>42111</v>
      </c>
      <c r="Y3738" s="386" t="s">
        <v>11888</v>
      </c>
      <c r="Z3738" s="824">
        <v>2111</v>
      </c>
      <c r="AA3738" s="1095">
        <v>42108</v>
      </c>
      <c r="AB3738" s="318" t="s">
        <v>11882</v>
      </c>
      <c r="AD3738" s="386"/>
      <c r="AE3738" s="386"/>
      <c r="AF3738" s="386"/>
      <c r="AG3738" s="1088" t="s">
        <v>8588</v>
      </c>
    </row>
    <row r="3739" spans="1:33" ht="15.75" customHeight="1">
      <c r="A3739" s="743">
        <v>42095</v>
      </c>
      <c r="B3739" s="823" t="s">
        <v>1189</v>
      </c>
      <c r="C3739" s="970" t="s">
        <v>11885</v>
      </c>
      <c r="D3739" s="386" t="s">
        <v>11878</v>
      </c>
      <c r="E3739" s="338" t="s">
        <v>9185</v>
      </c>
      <c r="F3739" s="1088">
        <v>1</v>
      </c>
      <c r="G3739" s="386"/>
      <c r="H3739" s="386"/>
      <c r="I3739" s="263" t="s">
        <v>11717</v>
      </c>
      <c r="J3739" s="592"/>
      <c r="K3739" s="811">
        <v>42121</v>
      </c>
      <c r="L3739" s="1477"/>
      <c r="M3739" s="811">
        <v>42111</v>
      </c>
      <c r="N3739" s="267" t="s">
        <v>11886</v>
      </c>
      <c r="O3739" s="970" t="s">
        <v>11887</v>
      </c>
      <c r="Q3739" s="386"/>
      <c r="R3739" s="1088">
        <v>45</v>
      </c>
      <c r="S3739" s="1098">
        <f t="shared" si="236"/>
        <v>45</v>
      </c>
      <c r="U3739" s="752">
        <v>1220</v>
      </c>
      <c r="V3739" s="386" t="s">
        <v>11737</v>
      </c>
      <c r="W3739" s="1090"/>
      <c r="X3739" s="1095">
        <v>42111</v>
      </c>
      <c r="Y3739" s="386" t="s">
        <v>11888</v>
      </c>
      <c r="Z3739" s="585" t="s">
        <v>8588</v>
      </c>
      <c r="AA3739" s="1095">
        <v>42108</v>
      </c>
      <c r="AB3739" s="318" t="s">
        <v>11882</v>
      </c>
      <c r="AD3739" s="386"/>
      <c r="AE3739" s="386"/>
      <c r="AF3739" s="386"/>
      <c r="AG3739" s="1088" t="s">
        <v>8588</v>
      </c>
    </row>
    <row r="3740" spans="1:33" ht="15.75" customHeight="1">
      <c r="A3740" s="743">
        <v>42095</v>
      </c>
      <c r="B3740" s="823" t="s">
        <v>1189</v>
      </c>
      <c r="C3740" s="970" t="s">
        <v>11885</v>
      </c>
      <c r="D3740" s="386" t="s">
        <v>11878</v>
      </c>
      <c r="E3740" s="338" t="s">
        <v>10183</v>
      </c>
      <c r="F3740" s="1088">
        <v>1</v>
      </c>
      <c r="G3740" s="386"/>
      <c r="H3740" s="386"/>
      <c r="I3740" s="263" t="s">
        <v>11717</v>
      </c>
      <c r="J3740" s="592"/>
      <c r="K3740" s="811">
        <v>42121</v>
      </c>
      <c r="L3740" s="1477"/>
      <c r="M3740" s="811">
        <v>42118</v>
      </c>
      <c r="N3740" s="267" t="s">
        <v>11889</v>
      </c>
      <c r="O3740" s="970" t="s">
        <v>11890</v>
      </c>
      <c r="Q3740" s="386"/>
      <c r="R3740" s="1088">
        <v>30</v>
      </c>
      <c r="S3740" s="1098">
        <f t="shared" si="236"/>
        <v>30</v>
      </c>
      <c r="U3740" s="752">
        <v>500</v>
      </c>
      <c r="V3740" s="386" t="s">
        <v>11891</v>
      </c>
      <c r="W3740" s="386"/>
      <c r="X3740" s="386"/>
      <c r="Y3740" s="386"/>
      <c r="Z3740" s="386"/>
      <c r="AA3740" s="1095">
        <v>42130</v>
      </c>
      <c r="AB3740" s="386"/>
      <c r="AD3740" s="386"/>
      <c r="AE3740" s="386"/>
      <c r="AF3740" s="386"/>
      <c r="AG3740" s="1088" t="s">
        <v>8588</v>
      </c>
    </row>
    <row r="3741" spans="1:33" ht="15.75" customHeight="1">
      <c r="A3741" s="272">
        <v>42095</v>
      </c>
      <c r="B3741" s="823" t="s">
        <v>1189</v>
      </c>
      <c r="C3741" s="1024" t="s">
        <v>11892</v>
      </c>
      <c r="D3741" s="836" t="s">
        <v>11893</v>
      </c>
      <c r="E3741" s="1178" t="s">
        <v>11894</v>
      </c>
      <c r="F3741" s="1179">
        <v>0</v>
      </c>
      <c r="G3741" s="386"/>
      <c r="H3741" s="386"/>
      <c r="I3741" s="762" t="s">
        <v>11717</v>
      </c>
      <c r="J3741" s="592"/>
      <c r="K3741" s="1201" t="s">
        <v>11651</v>
      </c>
      <c r="L3741" s="1488"/>
      <c r="M3741" s="386"/>
      <c r="N3741" s="267"/>
      <c r="O3741" s="386"/>
      <c r="Q3741" s="386"/>
      <c r="R3741" s="1179">
        <v>47</v>
      </c>
      <c r="S3741" s="813">
        <f t="shared" si="236"/>
        <v>0</v>
      </c>
      <c r="U3741" s="386"/>
      <c r="V3741" s="386"/>
      <c r="W3741" s="386"/>
      <c r="X3741" s="386"/>
      <c r="Y3741" s="386"/>
      <c r="Z3741" s="386"/>
      <c r="AA3741" s="386"/>
      <c r="AB3741" s="386"/>
      <c r="AD3741" s="386"/>
      <c r="AE3741" s="386"/>
      <c r="AF3741" s="386"/>
      <c r="AG3741" s="386"/>
    </row>
    <row r="3742" spans="1:33" ht="15.75" customHeight="1">
      <c r="A3742" s="743">
        <v>42104</v>
      </c>
      <c r="B3742" s="823" t="s">
        <v>1189</v>
      </c>
      <c r="C3742" s="970" t="s">
        <v>11895</v>
      </c>
      <c r="D3742" s="386" t="s">
        <v>11896</v>
      </c>
      <c r="E3742" s="592" t="s">
        <v>11879</v>
      </c>
      <c r="F3742" s="1088">
        <v>1</v>
      </c>
      <c r="G3742" s="386"/>
      <c r="H3742" s="386"/>
      <c r="I3742" s="263" t="s">
        <v>11717</v>
      </c>
      <c r="J3742" s="592"/>
      <c r="K3742" s="811">
        <v>42121</v>
      </c>
      <c r="L3742" s="1477"/>
      <c r="M3742" s="1099">
        <v>42114</v>
      </c>
      <c r="N3742" s="267" t="s">
        <v>10741</v>
      </c>
      <c r="O3742" s="970" t="s">
        <v>11897</v>
      </c>
      <c r="Q3742" s="386"/>
      <c r="R3742" s="1088">
        <v>553</v>
      </c>
      <c r="S3742" s="1098">
        <f t="shared" si="236"/>
        <v>553</v>
      </c>
      <c r="U3742" s="752">
        <v>14700</v>
      </c>
      <c r="V3742" s="386" t="s">
        <v>10743</v>
      </c>
      <c r="W3742" s="386"/>
      <c r="X3742" s="1095">
        <v>42111</v>
      </c>
      <c r="Y3742" s="386" t="s">
        <v>11898</v>
      </c>
      <c r="Z3742" s="824">
        <v>14700</v>
      </c>
      <c r="AA3742" s="1095">
        <v>42129</v>
      </c>
      <c r="AB3742" s="318" t="s">
        <v>11882</v>
      </c>
      <c r="AD3742" s="386"/>
      <c r="AE3742" s="386"/>
      <c r="AF3742" s="386"/>
      <c r="AG3742" s="1088" t="s">
        <v>11846</v>
      </c>
    </row>
    <row r="3743" spans="1:33" ht="15.75" customHeight="1">
      <c r="A3743" s="743">
        <v>42107</v>
      </c>
      <c r="B3743" s="823" t="s">
        <v>1189</v>
      </c>
      <c r="C3743" s="970" t="s">
        <v>11899</v>
      </c>
      <c r="D3743" s="386" t="s">
        <v>11900</v>
      </c>
      <c r="E3743" s="592" t="s">
        <v>11901</v>
      </c>
      <c r="F3743" s="1088">
        <v>12</v>
      </c>
      <c r="G3743" s="386"/>
      <c r="H3743" s="386"/>
      <c r="I3743" s="263" t="s">
        <v>11717</v>
      </c>
      <c r="J3743" s="267" t="s">
        <v>11859</v>
      </c>
      <c r="K3743" s="811">
        <v>42111</v>
      </c>
      <c r="L3743" s="1477"/>
      <c r="M3743" s="811">
        <v>42110</v>
      </c>
      <c r="N3743" s="267" t="s">
        <v>11860</v>
      </c>
      <c r="O3743" s="970" t="s">
        <v>11902</v>
      </c>
      <c r="Q3743" s="386"/>
      <c r="R3743" s="1088">
        <v>40</v>
      </c>
      <c r="S3743" s="464">
        <f t="shared" si="236"/>
        <v>480</v>
      </c>
      <c r="U3743" s="752">
        <v>11819</v>
      </c>
      <c r="V3743" s="386" t="s">
        <v>10189</v>
      </c>
      <c r="W3743" s="1090"/>
      <c r="X3743" s="1095">
        <v>42109</v>
      </c>
      <c r="Y3743" s="386" t="s">
        <v>11862</v>
      </c>
      <c r="Z3743" s="585" t="s">
        <v>11876</v>
      </c>
      <c r="AA3743" s="1095">
        <v>42108</v>
      </c>
      <c r="AB3743" s="386" t="s">
        <v>11863</v>
      </c>
      <c r="AD3743" s="386"/>
      <c r="AE3743" s="386"/>
      <c r="AF3743" s="386"/>
      <c r="AG3743" s="386"/>
    </row>
    <row r="3744" spans="1:33" ht="15.75" customHeight="1">
      <c r="A3744" s="755">
        <v>42138</v>
      </c>
      <c r="B3744" s="823" t="s">
        <v>1189</v>
      </c>
      <c r="C3744" s="263" t="s">
        <v>11903</v>
      </c>
      <c r="D3744" s="318" t="s">
        <v>11904</v>
      </c>
      <c r="E3744" s="338" t="s">
        <v>11852</v>
      </c>
      <c r="F3744" s="752">
        <v>2</v>
      </c>
      <c r="G3744" s="318" t="s">
        <v>0</v>
      </c>
      <c r="H3744" s="386"/>
      <c r="I3744" s="263" t="s">
        <v>11834</v>
      </c>
      <c r="J3744" s="331" t="s">
        <v>11842</v>
      </c>
      <c r="K3744" s="811">
        <v>42149</v>
      </c>
      <c r="L3744" s="1477"/>
      <c r="M3744" s="811">
        <v>42146</v>
      </c>
      <c r="N3744" s="331" t="s">
        <v>89</v>
      </c>
      <c r="O3744" s="263" t="s">
        <v>11905</v>
      </c>
      <c r="Q3744" s="752">
        <v>245.7</v>
      </c>
      <c r="R3744" s="752">
        <v>133.19999999999999</v>
      </c>
      <c r="S3744" s="1098">
        <f>F3744*R3744</f>
        <v>266.39999999999998</v>
      </c>
      <c r="U3744" s="386"/>
      <c r="V3744" s="318" t="s">
        <v>10751</v>
      </c>
      <c r="W3744" s="1090"/>
      <c r="X3744" s="1083">
        <v>42146</v>
      </c>
      <c r="Y3744" s="318" t="s">
        <v>11906</v>
      </c>
      <c r="Z3744" s="1086">
        <v>7471</v>
      </c>
      <c r="AA3744" s="1083">
        <v>42146</v>
      </c>
      <c r="AB3744" s="318" t="s">
        <v>11845</v>
      </c>
      <c r="AD3744" s="386"/>
      <c r="AE3744" s="386"/>
      <c r="AF3744" s="386"/>
      <c r="AG3744" s="386"/>
    </row>
    <row r="3745" spans="1:33" ht="15.75" customHeight="1">
      <c r="A3745" s="755">
        <v>42144</v>
      </c>
      <c r="B3745" s="823" t="s">
        <v>1189</v>
      </c>
      <c r="C3745" s="263" t="s">
        <v>11907</v>
      </c>
      <c r="D3745" s="318" t="s">
        <v>11908</v>
      </c>
      <c r="E3745" s="338" t="s">
        <v>11909</v>
      </c>
      <c r="F3745" s="752">
        <v>2</v>
      </c>
      <c r="G3745" s="386"/>
      <c r="H3745" s="386"/>
      <c r="I3745" s="263" t="s">
        <v>11834</v>
      </c>
      <c r="J3745" s="331" t="s">
        <v>11842</v>
      </c>
      <c r="K3745" s="811">
        <v>42149</v>
      </c>
      <c r="L3745" s="1477"/>
      <c r="M3745" s="811">
        <v>42146</v>
      </c>
      <c r="N3745" s="331" t="s">
        <v>11910</v>
      </c>
      <c r="O3745" s="386"/>
      <c r="Q3745" s="386"/>
      <c r="R3745" s="752">
        <v>12</v>
      </c>
      <c r="S3745" s="1098">
        <f>F3745*R3745</f>
        <v>24</v>
      </c>
      <c r="U3745" s="752">
        <v>338</v>
      </c>
      <c r="V3745" s="318" t="s">
        <v>11911</v>
      </c>
      <c r="W3745" s="1090"/>
      <c r="X3745" s="1083">
        <v>42146</v>
      </c>
      <c r="Y3745" s="318" t="s">
        <v>11912</v>
      </c>
      <c r="Z3745" s="254">
        <v>338</v>
      </c>
      <c r="AA3745" s="1083">
        <v>42146</v>
      </c>
      <c r="AB3745" s="318" t="s">
        <v>11845</v>
      </c>
      <c r="AD3745" s="386"/>
      <c r="AE3745" s="386"/>
      <c r="AF3745" s="386"/>
      <c r="AG3745" s="386"/>
    </row>
    <row r="3746" spans="1:33" ht="15.75" customHeight="1">
      <c r="A3746" s="743">
        <v>42149</v>
      </c>
      <c r="B3746" s="823" t="s">
        <v>1189</v>
      </c>
      <c r="C3746" s="970" t="s">
        <v>11913</v>
      </c>
      <c r="D3746" s="386" t="s">
        <v>11914</v>
      </c>
      <c r="E3746" s="592" t="s">
        <v>11858</v>
      </c>
      <c r="F3746" s="1088">
        <v>1</v>
      </c>
      <c r="G3746" s="386"/>
      <c r="H3746" s="386"/>
      <c r="I3746" s="386"/>
      <c r="J3746" s="592"/>
      <c r="K3746" s="811">
        <v>42160</v>
      </c>
      <c r="L3746" s="1477"/>
      <c r="M3746" s="1099">
        <v>42159</v>
      </c>
      <c r="N3746" s="267" t="s">
        <v>11915</v>
      </c>
      <c r="O3746" s="386"/>
      <c r="Q3746" s="386"/>
      <c r="R3746" s="1088">
        <v>410</v>
      </c>
      <c r="S3746" s="386"/>
      <c r="U3746" s="1088">
        <v>0</v>
      </c>
      <c r="V3746" s="386"/>
      <c r="W3746" s="386"/>
      <c r="X3746" s="1095">
        <v>42146</v>
      </c>
      <c r="Y3746" s="386" t="s">
        <v>11916</v>
      </c>
      <c r="Z3746" s="824">
        <v>12507</v>
      </c>
      <c r="AA3746" s="386"/>
      <c r="AB3746" s="386" t="s">
        <v>8882</v>
      </c>
      <c r="AD3746" s="386"/>
      <c r="AE3746" s="386"/>
      <c r="AF3746" s="386"/>
      <c r="AG3746" s="386"/>
    </row>
    <row r="3747" spans="1:33" ht="15.75" customHeight="1">
      <c r="A3747" s="743">
        <v>42198</v>
      </c>
      <c r="B3747" s="823" t="s">
        <v>1189</v>
      </c>
      <c r="C3747" s="970" t="s">
        <v>11917</v>
      </c>
      <c r="D3747" s="386" t="s">
        <v>11918</v>
      </c>
      <c r="E3747" s="592" t="s">
        <v>4325</v>
      </c>
      <c r="F3747" s="1088">
        <v>200</v>
      </c>
      <c r="G3747" s="386"/>
      <c r="H3747" s="386"/>
      <c r="I3747" s="263" t="s">
        <v>170</v>
      </c>
      <c r="J3747" s="331" t="s">
        <v>11919</v>
      </c>
      <c r="K3747" s="811">
        <v>42255</v>
      </c>
      <c r="L3747" s="1477"/>
      <c r="M3747" s="811">
        <v>42255</v>
      </c>
      <c r="N3747" s="1198" t="s">
        <v>2411</v>
      </c>
      <c r="O3747" s="970" t="s">
        <v>11920</v>
      </c>
      <c r="Q3747" s="386"/>
      <c r="R3747" s="1088">
        <v>7.1</v>
      </c>
      <c r="S3747" s="1098">
        <f t="shared" ref="S3747:S3761" si="237">F3747*R3747</f>
        <v>1420</v>
      </c>
      <c r="U3747" s="752">
        <v>40950</v>
      </c>
      <c r="V3747" s="386" t="s">
        <v>2413</v>
      </c>
      <c r="W3747" s="1094">
        <v>42313</v>
      </c>
      <c r="X3747" s="1094">
        <v>42255</v>
      </c>
      <c r="Y3747" s="386" t="s">
        <v>11921</v>
      </c>
      <c r="Z3747" s="824">
        <v>40950</v>
      </c>
      <c r="AA3747" s="1090">
        <v>42318</v>
      </c>
      <c r="AB3747" s="386" t="s">
        <v>11922</v>
      </c>
      <c r="AD3747" s="386"/>
      <c r="AE3747" s="386"/>
      <c r="AF3747" s="386"/>
      <c r="AG3747" s="386" t="s">
        <v>283</v>
      </c>
    </row>
    <row r="3748" spans="1:33" ht="15.75" customHeight="1">
      <c r="A3748" s="743">
        <v>42200</v>
      </c>
      <c r="B3748" s="823" t="s">
        <v>1189</v>
      </c>
      <c r="C3748" s="970" t="s">
        <v>11923</v>
      </c>
      <c r="D3748" s="386" t="s">
        <v>11924</v>
      </c>
      <c r="E3748" s="592" t="s">
        <v>11925</v>
      </c>
      <c r="F3748" s="1088">
        <v>100</v>
      </c>
      <c r="G3748" s="386"/>
      <c r="H3748" s="386"/>
      <c r="I3748" s="263" t="s">
        <v>170</v>
      </c>
      <c r="J3748" s="331" t="s">
        <v>11842</v>
      </c>
      <c r="K3748" s="811">
        <v>42247</v>
      </c>
      <c r="L3748" s="1477"/>
      <c r="M3748" s="811">
        <v>42247</v>
      </c>
      <c r="N3748" s="1198" t="s">
        <v>2411</v>
      </c>
      <c r="O3748" s="970" t="s">
        <v>11926</v>
      </c>
      <c r="Q3748" s="386"/>
      <c r="R3748" s="1088">
        <v>27</v>
      </c>
      <c r="S3748" s="1098">
        <f t="shared" si="237"/>
        <v>2700</v>
      </c>
      <c r="U3748" s="752">
        <v>77700</v>
      </c>
      <c r="V3748" s="386" t="s">
        <v>2413</v>
      </c>
      <c r="W3748" s="1094">
        <v>42307</v>
      </c>
      <c r="X3748" s="1094">
        <v>42248</v>
      </c>
      <c r="Y3748" s="386" t="s">
        <v>11927</v>
      </c>
      <c r="Z3748" s="824">
        <v>77700</v>
      </c>
      <c r="AA3748" s="1090">
        <v>42318</v>
      </c>
      <c r="AB3748" s="386" t="s">
        <v>11928</v>
      </c>
      <c r="AD3748" s="386"/>
      <c r="AE3748" s="1097"/>
      <c r="AF3748" s="386"/>
      <c r="AG3748" s="386" t="s">
        <v>283</v>
      </c>
    </row>
    <row r="3749" spans="1:33" ht="15.75" customHeight="1">
      <c r="A3749" s="743">
        <v>42263</v>
      </c>
      <c r="B3749" s="823" t="s">
        <v>1189</v>
      </c>
      <c r="C3749" s="970" t="s">
        <v>11929</v>
      </c>
      <c r="D3749" s="386" t="s">
        <v>11930</v>
      </c>
      <c r="E3749" s="592" t="s">
        <v>11852</v>
      </c>
      <c r="F3749" s="1088">
        <v>3</v>
      </c>
      <c r="G3749" s="386"/>
      <c r="H3749" s="386"/>
      <c r="I3749" s="263" t="s">
        <v>170</v>
      </c>
      <c r="J3749" s="267" t="s">
        <v>11842</v>
      </c>
      <c r="K3749" s="811">
        <v>42272</v>
      </c>
      <c r="L3749" s="1477"/>
      <c r="M3749" s="811">
        <v>42269</v>
      </c>
      <c r="N3749" s="267" t="s">
        <v>89</v>
      </c>
      <c r="O3749" s="263" t="s">
        <v>11931</v>
      </c>
      <c r="Q3749" s="752">
        <v>368.55</v>
      </c>
      <c r="R3749" s="1088">
        <v>133.19999999999999</v>
      </c>
      <c r="S3749" s="1098">
        <f t="shared" si="237"/>
        <v>399.59999999999997</v>
      </c>
      <c r="U3749" s="386"/>
      <c r="V3749" s="386" t="s">
        <v>10751</v>
      </c>
      <c r="W3749" s="386"/>
      <c r="X3749" s="1094">
        <v>42269</v>
      </c>
      <c r="Y3749" s="386" t="s">
        <v>11932</v>
      </c>
      <c r="Z3749" s="824">
        <v>11978</v>
      </c>
      <c r="AA3749" s="1095">
        <v>42290</v>
      </c>
      <c r="AB3749" s="386" t="s">
        <v>11933</v>
      </c>
      <c r="AD3749" s="386"/>
      <c r="AE3749" s="386"/>
      <c r="AF3749" s="386"/>
      <c r="AG3749" s="386" t="s">
        <v>283</v>
      </c>
    </row>
    <row r="3750" spans="1:33" ht="15.75" customHeight="1">
      <c r="A3750" s="743">
        <v>42269</v>
      </c>
      <c r="B3750" s="823" t="s">
        <v>1189</v>
      </c>
      <c r="C3750" s="386"/>
      <c r="D3750" s="386" t="s">
        <v>11934</v>
      </c>
      <c r="E3750" s="823" t="s">
        <v>11935</v>
      </c>
      <c r="F3750" s="1088">
        <v>1</v>
      </c>
      <c r="G3750" s="386"/>
      <c r="H3750" s="386"/>
      <c r="I3750" s="263" t="s">
        <v>170</v>
      </c>
      <c r="J3750" s="267" t="s">
        <v>11842</v>
      </c>
      <c r="K3750" s="811">
        <v>42272</v>
      </c>
      <c r="L3750" s="1477"/>
      <c r="M3750" s="811">
        <v>42271</v>
      </c>
      <c r="N3750" s="267" t="s">
        <v>11936</v>
      </c>
      <c r="O3750" s="970" t="s">
        <v>11937</v>
      </c>
      <c r="Q3750" s="386"/>
      <c r="R3750" s="1088">
        <v>136</v>
      </c>
      <c r="S3750" s="1098">
        <f t="shared" si="237"/>
        <v>136</v>
      </c>
      <c r="U3750" s="1197">
        <v>4569.7805999999991</v>
      </c>
      <c r="V3750" s="386" t="s">
        <v>11938</v>
      </c>
      <c r="W3750" s="1095">
        <v>42270</v>
      </c>
      <c r="X3750" s="1094">
        <v>42270</v>
      </c>
      <c r="Y3750" s="386" t="s">
        <v>11939</v>
      </c>
      <c r="Z3750" s="824">
        <v>6024</v>
      </c>
      <c r="AA3750" s="1095">
        <v>42270</v>
      </c>
      <c r="AB3750" s="386" t="s">
        <v>11933</v>
      </c>
      <c r="AD3750" s="386"/>
      <c r="AE3750" s="386"/>
      <c r="AF3750" s="386"/>
      <c r="AG3750" s="386" t="s">
        <v>283</v>
      </c>
    </row>
    <row r="3751" spans="1:33" ht="15.75" customHeight="1">
      <c r="A3751" s="743">
        <v>42269</v>
      </c>
      <c r="B3751" s="823" t="s">
        <v>1189</v>
      </c>
      <c r="C3751" s="386"/>
      <c r="D3751" s="386" t="s">
        <v>11934</v>
      </c>
      <c r="E3751" s="592" t="s">
        <v>11940</v>
      </c>
      <c r="F3751" s="1088">
        <v>1</v>
      </c>
      <c r="G3751" s="386"/>
      <c r="H3751" s="386"/>
      <c r="I3751" s="263" t="s">
        <v>170</v>
      </c>
      <c r="J3751" s="267" t="s">
        <v>11842</v>
      </c>
      <c r="K3751" s="811">
        <v>42272</v>
      </c>
      <c r="L3751" s="1477"/>
      <c r="M3751" s="811">
        <v>42271</v>
      </c>
      <c r="N3751" s="267" t="s">
        <v>11936</v>
      </c>
      <c r="O3751" s="970" t="s">
        <v>11937</v>
      </c>
      <c r="Q3751" s="386"/>
      <c r="R3751" s="1088">
        <v>43.5</v>
      </c>
      <c r="S3751" s="1098">
        <f t="shared" si="237"/>
        <v>43.5</v>
      </c>
      <c r="U3751" s="1197">
        <v>1454.0210999999999</v>
      </c>
      <c r="V3751" s="386" t="s">
        <v>11938</v>
      </c>
      <c r="W3751" s="1095">
        <v>42270</v>
      </c>
      <c r="X3751" s="1094">
        <v>42270</v>
      </c>
      <c r="Y3751" s="386" t="s">
        <v>11939</v>
      </c>
      <c r="Z3751" s="824" t="s">
        <v>8588</v>
      </c>
      <c r="AA3751" s="1095">
        <v>42270</v>
      </c>
      <c r="AB3751" s="386" t="s">
        <v>11933</v>
      </c>
      <c r="AD3751" s="386"/>
      <c r="AE3751" s="386"/>
      <c r="AF3751" s="386"/>
      <c r="AG3751" s="386" t="s">
        <v>283</v>
      </c>
    </row>
    <row r="3752" spans="1:33" ht="15.75" customHeight="1">
      <c r="A3752" s="743">
        <v>42297</v>
      </c>
      <c r="B3752" s="823" t="s">
        <v>1189</v>
      </c>
      <c r="C3752" s="970" t="s">
        <v>11941</v>
      </c>
      <c r="D3752" s="386" t="s">
        <v>11942</v>
      </c>
      <c r="E3752" s="592" t="s">
        <v>11943</v>
      </c>
      <c r="F3752" s="1088">
        <v>1</v>
      </c>
      <c r="G3752" s="386"/>
      <c r="H3752" s="386"/>
      <c r="I3752" s="263" t="s">
        <v>170</v>
      </c>
      <c r="J3752" s="267" t="s">
        <v>11842</v>
      </c>
      <c r="K3752" s="811">
        <v>42303</v>
      </c>
      <c r="L3752" s="1477"/>
      <c r="M3752" s="811">
        <v>42300</v>
      </c>
      <c r="N3752" s="267" t="s">
        <v>11944</v>
      </c>
      <c r="O3752" s="386"/>
      <c r="Q3752" s="386"/>
      <c r="R3752" s="1088">
        <v>178</v>
      </c>
      <c r="S3752" s="1098">
        <f t="shared" si="237"/>
        <v>178</v>
      </c>
      <c r="U3752" s="1108">
        <f>160*1.05*32.36</f>
        <v>5436.48</v>
      </c>
      <c r="V3752" s="386" t="s">
        <v>11945</v>
      </c>
      <c r="W3752" s="1094">
        <v>42298</v>
      </c>
      <c r="X3752" s="1094">
        <v>42299</v>
      </c>
      <c r="Y3752" s="386" t="s">
        <v>11946</v>
      </c>
      <c r="Z3752" s="1086">
        <v>6015</v>
      </c>
      <c r="AA3752" s="1094">
        <v>42300</v>
      </c>
      <c r="AB3752" s="386" t="s">
        <v>11947</v>
      </c>
      <c r="AD3752" s="386"/>
      <c r="AE3752" s="1097"/>
      <c r="AF3752" s="386"/>
      <c r="AG3752" s="386" t="s">
        <v>8415</v>
      </c>
    </row>
    <row r="3753" spans="1:33" ht="15.75" customHeight="1">
      <c r="A3753" s="743">
        <v>42297</v>
      </c>
      <c r="B3753" s="823" t="s">
        <v>1189</v>
      </c>
      <c r="C3753" s="970" t="s">
        <v>11941</v>
      </c>
      <c r="D3753" s="386" t="s">
        <v>11942</v>
      </c>
      <c r="E3753" s="592" t="s">
        <v>11948</v>
      </c>
      <c r="F3753" s="1088">
        <v>1</v>
      </c>
      <c r="G3753" s="386"/>
      <c r="H3753" s="386"/>
      <c r="I3753" s="263" t="s">
        <v>170</v>
      </c>
      <c r="J3753" s="267" t="s">
        <v>11842</v>
      </c>
      <c r="K3753" s="811">
        <v>42303</v>
      </c>
      <c r="L3753" s="1477"/>
      <c r="M3753" s="811">
        <v>42300</v>
      </c>
      <c r="N3753" s="267" t="s">
        <v>11944</v>
      </c>
      <c r="O3753" s="386"/>
      <c r="Q3753" s="386"/>
      <c r="R3753" s="1088">
        <v>18</v>
      </c>
      <c r="S3753" s="1098">
        <f t="shared" si="237"/>
        <v>18</v>
      </c>
      <c r="U3753" s="1108">
        <f>17*1.05*32.36</f>
        <v>577.62600000000009</v>
      </c>
      <c r="V3753" s="386" t="s">
        <v>11945</v>
      </c>
      <c r="W3753" s="1094">
        <v>42298</v>
      </c>
      <c r="X3753" s="1094">
        <v>42299</v>
      </c>
      <c r="Y3753" s="386" t="s">
        <v>11946</v>
      </c>
      <c r="Z3753" s="585" t="s">
        <v>8588</v>
      </c>
      <c r="AA3753" s="1094">
        <v>42300</v>
      </c>
      <c r="AB3753" s="386" t="s">
        <v>11947</v>
      </c>
      <c r="AD3753" s="386"/>
      <c r="AE3753" s="1097"/>
      <c r="AF3753" s="386"/>
      <c r="AG3753" s="386" t="s">
        <v>8415</v>
      </c>
    </row>
    <row r="3754" spans="1:33" ht="15.75" customHeight="1">
      <c r="A3754" s="743">
        <v>42226</v>
      </c>
      <c r="B3754" s="823" t="s">
        <v>986</v>
      </c>
      <c r="C3754" s="970" t="s">
        <v>11949</v>
      </c>
      <c r="D3754" s="386" t="s">
        <v>11950</v>
      </c>
      <c r="E3754" s="592" t="s">
        <v>11951</v>
      </c>
      <c r="F3754" s="1088">
        <v>50</v>
      </c>
      <c r="G3754" s="386"/>
      <c r="H3754" s="386"/>
      <c r="I3754" s="263" t="s">
        <v>170</v>
      </c>
      <c r="J3754" s="331" t="s">
        <v>8438</v>
      </c>
      <c r="K3754" s="811">
        <v>42244</v>
      </c>
      <c r="L3754" s="1477"/>
      <c r="M3754" s="811">
        <v>42243</v>
      </c>
      <c r="N3754" s="267" t="s">
        <v>10778</v>
      </c>
      <c r="O3754" s="970" t="s">
        <v>11952</v>
      </c>
      <c r="Q3754" s="386"/>
      <c r="R3754" s="1088">
        <v>72</v>
      </c>
      <c r="S3754" s="752">
        <f t="shared" si="237"/>
        <v>3600</v>
      </c>
      <c r="U3754" s="752">
        <v>101168</v>
      </c>
      <c r="V3754" s="386" t="s">
        <v>8443</v>
      </c>
      <c r="W3754" s="1083">
        <v>42311</v>
      </c>
      <c r="X3754" s="1094">
        <v>42242</v>
      </c>
      <c r="Y3754" s="386" t="s">
        <v>11953</v>
      </c>
      <c r="Z3754" s="824">
        <v>101168</v>
      </c>
      <c r="AA3754" s="1095">
        <v>42303</v>
      </c>
      <c r="AB3754" s="386" t="s">
        <v>11954</v>
      </c>
      <c r="AD3754" s="386"/>
      <c r="AE3754" s="386"/>
      <c r="AF3754" s="386"/>
      <c r="AG3754" s="1091" t="s">
        <v>283</v>
      </c>
    </row>
    <row r="3755" spans="1:33" ht="15.75" customHeight="1">
      <c r="A3755" s="743">
        <v>42227</v>
      </c>
      <c r="B3755" s="823" t="s">
        <v>986</v>
      </c>
      <c r="C3755" s="970" t="s">
        <v>11955</v>
      </c>
      <c r="D3755" s="386" t="s">
        <v>11956</v>
      </c>
      <c r="E3755" s="592" t="s">
        <v>11957</v>
      </c>
      <c r="F3755" s="1088">
        <v>1</v>
      </c>
      <c r="G3755" s="386"/>
      <c r="H3755" s="386"/>
      <c r="I3755" s="263" t="s">
        <v>170</v>
      </c>
      <c r="J3755" s="331" t="s">
        <v>8438</v>
      </c>
      <c r="K3755" s="811">
        <v>42244</v>
      </c>
      <c r="L3755" s="1477"/>
      <c r="M3755" s="811">
        <v>42243</v>
      </c>
      <c r="N3755" s="267" t="s">
        <v>10778</v>
      </c>
      <c r="O3755" s="970" t="s">
        <v>11958</v>
      </c>
      <c r="Q3755" s="386"/>
      <c r="R3755" s="1088">
        <v>590</v>
      </c>
      <c r="S3755" s="752">
        <f t="shared" si="237"/>
        <v>590</v>
      </c>
      <c r="U3755" s="752">
        <v>18136</v>
      </c>
      <c r="V3755" s="386" t="s">
        <v>8443</v>
      </c>
      <c r="W3755" s="1083">
        <v>42311</v>
      </c>
      <c r="X3755" s="1094">
        <v>42242</v>
      </c>
      <c r="Y3755" s="386" t="s">
        <v>11959</v>
      </c>
      <c r="Z3755" s="824">
        <v>18136</v>
      </c>
      <c r="AA3755" s="1095">
        <v>42303</v>
      </c>
      <c r="AB3755" s="386" t="s">
        <v>11954</v>
      </c>
      <c r="AD3755" s="386"/>
      <c r="AE3755" s="386"/>
      <c r="AF3755" s="386"/>
      <c r="AG3755" s="1091" t="s">
        <v>283</v>
      </c>
    </row>
    <row r="3756" spans="1:33" ht="15.75" customHeight="1">
      <c r="A3756" s="743">
        <v>42235</v>
      </c>
      <c r="B3756" s="823" t="s">
        <v>986</v>
      </c>
      <c r="C3756" s="970" t="s">
        <v>11960</v>
      </c>
      <c r="D3756" s="386" t="s">
        <v>11961</v>
      </c>
      <c r="E3756" s="592" t="s">
        <v>11962</v>
      </c>
      <c r="F3756" s="1088">
        <v>5</v>
      </c>
      <c r="G3756" s="386"/>
      <c r="H3756" s="1184"/>
      <c r="I3756" s="263" t="s">
        <v>170</v>
      </c>
      <c r="J3756" s="331" t="s">
        <v>8438</v>
      </c>
      <c r="K3756" s="811">
        <v>42244</v>
      </c>
      <c r="L3756" s="1477"/>
      <c r="M3756" s="811">
        <v>42243</v>
      </c>
      <c r="N3756" s="267" t="s">
        <v>10778</v>
      </c>
      <c r="O3756" s="970" t="s">
        <v>11963</v>
      </c>
      <c r="Q3756" s="386"/>
      <c r="R3756" s="1088">
        <v>82</v>
      </c>
      <c r="S3756" s="752">
        <f t="shared" si="237"/>
        <v>410</v>
      </c>
      <c r="U3756" s="752">
        <v>11918</v>
      </c>
      <c r="V3756" s="386" t="s">
        <v>8443</v>
      </c>
      <c r="W3756" s="1083">
        <v>42343</v>
      </c>
      <c r="X3756" s="1094">
        <v>42242</v>
      </c>
      <c r="Y3756" s="386" t="s">
        <v>11964</v>
      </c>
      <c r="Z3756" s="824">
        <v>11918</v>
      </c>
      <c r="AA3756" s="1090">
        <v>42341</v>
      </c>
      <c r="AB3756" s="386" t="s">
        <v>11954</v>
      </c>
      <c r="AD3756" s="386"/>
      <c r="AE3756" s="386"/>
      <c r="AF3756" s="386"/>
      <c r="AG3756" s="1091" t="s">
        <v>283</v>
      </c>
    </row>
    <row r="3757" spans="1:33" ht="15.75" customHeight="1">
      <c r="A3757" s="743">
        <v>42269</v>
      </c>
      <c r="B3757" s="823" t="s">
        <v>986</v>
      </c>
      <c r="C3757" s="970" t="s">
        <v>11965</v>
      </c>
      <c r="D3757" s="386" t="s">
        <v>11966</v>
      </c>
      <c r="E3757" s="592" t="s">
        <v>11967</v>
      </c>
      <c r="F3757" s="1088">
        <v>1</v>
      </c>
      <c r="G3757" s="386"/>
      <c r="H3757" s="386"/>
      <c r="I3757" s="263" t="s">
        <v>170</v>
      </c>
      <c r="J3757" s="331" t="s">
        <v>8438</v>
      </c>
      <c r="K3757" s="811">
        <v>42277</v>
      </c>
      <c r="L3757" s="1477"/>
      <c r="M3757" s="811">
        <v>42272</v>
      </c>
      <c r="N3757" s="267" t="s">
        <v>11968</v>
      </c>
      <c r="O3757" s="970" t="s">
        <v>11969</v>
      </c>
      <c r="Q3757" s="386"/>
      <c r="R3757" s="1088">
        <v>930</v>
      </c>
      <c r="S3757" s="1098">
        <f t="shared" si="237"/>
        <v>930</v>
      </c>
      <c r="U3757" s="752">
        <v>29400</v>
      </c>
      <c r="V3757" s="386" t="s">
        <v>8443</v>
      </c>
      <c r="W3757" s="1083">
        <v>42374</v>
      </c>
      <c r="X3757" s="1094">
        <v>42272</v>
      </c>
      <c r="Y3757" s="386" t="s">
        <v>11970</v>
      </c>
      <c r="Z3757" s="824">
        <v>29400</v>
      </c>
      <c r="AA3757" s="1090">
        <v>42373</v>
      </c>
      <c r="AB3757" s="386" t="s">
        <v>11971</v>
      </c>
      <c r="AD3757" s="386"/>
      <c r="AE3757" s="386"/>
      <c r="AF3757" s="386"/>
      <c r="AG3757" s="1091" t="s">
        <v>283</v>
      </c>
    </row>
    <row r="3758" spans="1:33" ht="15.75" customHeight="1">
      <c r="A3758" s="743">
        <v>42293</v>
      </c>
      <c r="B3758" s="823" t="s">
        <v>986</v>
      </c>
      <c r="C3758" s="970" t="s">
        <v>11972</v>
      </c>
      <c r="D3758" s="386" t="s">
        <v>11973</v>
      </c>
      <c r="E3758" s="592" t="s">
        <v>11974</v>
      </c>
      <c r="F3758" s="1088">
        <v>1</v>
      </c>
      <c r="G3758" s="386"/>
      <c r="H3758" s="386"/>
      <c r="I3758" s="263" t="s">
        <v>170</v>
      </c>
      <c r="J3758" s="331" t="s">
        <v>8438</v>
      </c>
      <c r="K3758" s="811">
        <v>42306</v>
      </c>
      <c r="L3758" s="1477"/>
      <c r="M3758" s="811">
        <v>42305</v>
      </c>
      <c r="N3758" s="267" t="s">
        <v>10778</v>
      </c>
      <c r="O3758" s="386" t="s">
        <v>11975</v>
      </c>
      <c r="Q3758" s="386"/>
      <c r="R3758" s="1088">
        <v>1110</v>
      </c>
      <c r="S3758" s="1098">
        <f t="shared" si="237"/>
        <v>1110</v>
      </c>
      <c r="U3758" s="752">
        <v>34921</v>
      </c>
      <c r="V3758" s="386" t="s">
        <v>8443</v>
      </c>
      <c r="W3758" s="1083">
        <v>42405</v>
      </c>
      <c r="X3758" s="1094">
        <v>42304</v>
      </c>
      <c r="Y3758" s="386" t="s">
        <v>11976</v>
      </c>
      <c r="Z3758" s="824">
        <v>34921</v>
      </c>
      <c r="AA3758" s="386">
        <v>42397</v>
      </c>
      <c r="AB3758" s="386" t="s">
        <v>11977</v>
      </c>
      <c r="AD3758" s="386"/>
      <c r="AE3758" s="386"/>
      <c r="AF3758" s="386"/>
      <c r="AG3758" s="1091" t="s">
        <v>283</v>
      </c>
    </row>
    <row r="3759" spans="1:33" ht="15.75" customHeight="1">
      <c r="A3759" s="743">
        <v>42328</v>
      </c>
      <c r="B3759" s="823" t="s">
        <v>986</v>
      </c>
      <c r="C3759" s="386" t="s">
        <v>8435</v>
      </c>
      <c r="D3759" s="386" t="s">
        <v>11978</v>
      </c>
      <c r="E3759" s="592" t="s">
        <v>11979</v>
      </c>
      <c r="F3759" s="386">
        <v>7</v>
      </c>
      <c r="G3759" s="386"/>
      <c r="H3759" s="386"/>
      <c r="I3759" s="263" t="s">
        <v>170</v>
      </c>
      <c r="J3759" s="331" t="s">
        <v>8438</v>
      </c>
      <c r="K3759" s="811">
        <v>42341</v>
      </c>
      <c r="L3759" s="1477"/>
      <c r="M3759" s="811">
        <v>42338</v>
      </c>
      <c r="N3759" s="267" t="s">
        <v>2001</v>
      </c>
      <c r="O3759" s="386" t="s">
        <v>8621</v>
      </c>
      <c r="Q3759" s="386"/>
      <c r="R3759" s="386">
        <v>3546</v>
      </c>
      <c r="S3759" s="1098">
        <f t="shared" si="237"/>
        <v>24822</v>
      </c>
      <c r="U3759" s="318">
        <v>712950</v>
      </c>
      <c r="V3759" s="386" t="s">
        <v>5901</v>
      </c>
      <c r="W3759" s="1094">
        <v>42338</v>
      </c>
      <c r="X3759" s="1185">
        <v>42338</v>
      </c>
      <c r="Y3759" s="1091" t="s">
        <v>11980</v>
      </c>
      <c r="Z3759" s="1104">
        <v>712950</v>
      </c>
      <c r="AA3759" s="1090">
        <v>42338</v>
      </c>
      <c r="AB3759" s="1091" t="s">
        <v>11981</v>
      </c>
      <c r="AD3759" s="386"/>
      <c r="AE3759" s="386"/>
      <c r="AF3759" s="386"/>
      <c r="AG3759" s="1091" t="s">
        <v>283</v>
      </c>
    </row>
    <row r="3760" spans="1:33" ht="15.75" customHeight="1">
      <c r="A3760" s="743">
        <v>42328</v>
      </c>
      <c r="B3760" s="823" t="s">
        <v>986</v>
      </c>
      <c r="C3760" s="386" t="s">
        <v>8435</v>
      </c>
      <c r="D3760" s="386" t="s">
        <v>11978</v>
      </c>
      <c r="E3760" s="592" t="s">
        <v>8437</v>
      </c>
      <c r="F3760" s="386">
        <v>13</v>
      </c>
      <c r="G3760" s="386"/>
      <c r="H3760" s="386"/>
      <c r="I3760" s="263" t="s">
        <v>170</v>
      </c>
      <c r="J3760" s="331" t="s">
        <v>8438</v>
      </c>
      <c r="K3760" s="811">
        <v>42341</v>
      </c>
      <c r="L3760" s="1477"/>
      <c r="M3760" s="811">
        <v>42339</v>
      </c>
      <c r="N3760" s="267" t="s">
        <v>89</v>
      </c>
      <c r="O3760" s="318" t="s">
        <v>8621</v>
      </c>
      <c r="Q3760" s="318">
        <v>3630.9</v>
      </c>
      <c r="R3760" s="386">
        <v>296</v>
      </c>
      <c r="S3760" s="1098">
        <f t="shared" si="237"/>
        <v>3848</v>
      </c>
      <c r="U3760" s="657"/>
      <c r="V3760" s="386" t="s">
        <v>10751</v>
      </c>
      <c r="W3760" s="1094">
        <v>42363</v>
      </c>
      <c r="X3760" s="1185">
        <v>42339</v>
      </c>
      <c r="Y3760" s="1091" t="s">
        <v>11982</v>
      </c>
      <c r="Z3760" s="1104">
        <v>117805</v>
      </c>
      <c r="AA3760" s="1090">
        <v>42341</v>
      </c>
      <c r="AB3760" s="1091" t="s">
        <v>11981</v>
      </c>
      <c r="AD3760" s="386"/>
      <c r="AE3760" s="386"/>
      <c r="AF3760" s="386"/>
      <c r="AG3760" s="1091" t="s">
        <v>283</v>
      </c>
    </row>
    <row r="3761" spans="1:33" ht="15.75" customHeight="1">
      <c r="A3761" s="743">
        <v>42328</v>
      </c>
      <c r="B3761" s="823" t="s">
        <v>986</v>
      </c>
      <c r="C3761" s="386" t="s">
        <v>8435</v>
      </c>
      <c r="D3761" s="386" t="s">
        <v>11978</v>
      </c>
      <c r="E3761" s="592" t="s">
        <v>7405</v>
      </c>
      <c r="F3761" s="386">
        <v>14</v>
      </c>
      <c r="G3761" s="386"/>
      <c r="H3761" s="386"/>
      <c r="I3761" s="263" t="s">
        <v>170</v>
      </c>
      <c r="J3761" s="331" t="s">
        <v>8438</v>
      </c>
      <c r="K3761" s="811">
        <v>42341</v>
      </c>
      <c r="L3761" s="1477"/>
      <c r="M3761" s="811">
        <v>42335</v>
      </c>
      <c r="N3761" s="267" t="s">
        <v>11983</v>
      </c>
      <c r="O3761" s="386" t="s">
        <v>11984</v>
      </c>
      <c r="Q3761" s="386"/>
      <c r="R3761" s="386">
        <v>129</v>
      </c>
      <c r="S3761" s="1098">
        <f t="shared" si="237"/>
        <v>1806</v>
      </c>
      <c r="U3761" s="318">
        <v>54655</v>
      </c>
      <c r="V3761" s="386" t="s">
        <v>8443</v>
      </c>
      <c r="W3761" s="1094">
        <v>42439</v>
      </c>
      <c r="X3761" s="1185">
        <v>42334</v>
      </c>
      <c r="Y3761" s="1091" t="s">
        <v>11985</v>
      </c>
      <c r="Z3761" s="1104">
        <v>54655</v>
      </c>
      <c r="AA3761" s="1090">
        <v>42436</v>
      </c>
      <c r="AB3761" s="1091" t="s">
        <v>11981</v>
      </c>
      <c r="AD3761" s="386"/>
      <c r="AE3761" s="386"/>
      <c r="AF3761" s="386"/>
      <c r="AG3761" s="1091" t="s">
        <v>283</v>
      </c>
    </row>
    <row r="3762" spans="1:33" ht="15.75" customHeight="1">
      <c r="A3762" s="743">
        <v>41950</v>
      </c>
      <c r="B3762" s="823" t="s">
        <v>53</v>
      </c>
      <c r="C3762" s="823" t="s">
        <v>10673</v>
      </c>
      <c r="D3762" s="386" t="s">
        <v>11986</v>
      </c>
      <c r="E3762" s="338" t="s">
        <v>4586</v>
      </c>
      <c r="F3762" s="1088">
        <v>50</v>
      </c>
      <c r="G3762" s="772"/>
      <c r="H3762" s="386"/>
      <c r="I3762" s="263" t="s">
        <v>11987</v>
      </c>
      <c r="J3762" s="267" t="s">
        <v>89</v>
      </c>
      <c r="K3762" s="811">
        <v>42025</v>
      </c>
      <c r="L3762" s="1477"/>
      <c r="M3762" s="386"/>
      <c r="N3762" s="267" t="s">
        <v>89</v>
      </c>
      <c r="O3762" s="263" t="s">
        <v>11988</v>
      </c>
      <c r="Q3762" s="464">
        <v>4410</v>
      </c>
      <c r="R3762" s="464">
        <v>102.9</v>
      </c>
      <c r="S3762" s="464">
        <f>R3762*F3762</f>
        <v>5145</v>
      </c>
      <c r="U3762" s="772"/>
      <c r="V3762" s="386" t="s">
        <v>5896</v>
      </c>
      <c r="W3762" s="1090"/>
      <c r="X3762" s="1095">
        <v>42025</v>
      </c>
      <c r="Y3762" s="970" t="s">
        <v>11989</v>
      </c>
      <c r="Z3762" s="824">
        <v>139621</v>
      </c>
      <c r="AA3762" s="1095">
        <v>42031</v>
      </c>
      <c r="AB3762" s="386" t="s">
        <v>11990</v>
      </c>
      <c r="AD3762" s="386" t="s">
        <v>11991</v>
      </c>
      <c r="AE3762" s="1097" t="s">
        <v>11992</v>
      </c>
      <c r="AF3762" s="386" t="s">
        <v>11993</v>
      </c>
      <c r="AG3762" s="386"/>
    </row>
    <row r="3763" spans="1:33" ht="15.75" customHeight="1">
      <c r="A3763" s="743">
        <v>42019</v>
      </c>
      <c r="B3763" s="823" t="s">
        <v>53</v>
      </c>
      <c r="C3763" s="970" t="s">
        <v>11994</v>
      </c>
      <c r="D3763" s="386" t="s">
        <v>11995</v>
      </c>
      <c r="E3763" s="338" t="s">
        <v>11996</v>
      </c>
      <c r="F3763" s="752">
        <v>1</v>
      </c>
      <c r="G3763" s="464">
        <v>6536.25</v>
      </c>
      <c r="H3763" s="752">
        <f>F3763*G3763</f>
        <v>6536.25</v>
      </c>
      <c r="I3763" s="263" t="s">
        <v>11987</v>
      </c>
      <c r="J3763" s="331" t="s">
        <v>10777</v>
      </c>
      <c r="K3763" s="811">
        <v>42025</v>
      </c>
      <c r="L3763" s="1477"/>
      <c r="M3763" s="1099">
        <v>42024</v>
      </c>
      <c r="N3763" s="267" t="s">
        <v>89</v>
      </c>
      <c r="O3763" s="386" t="s">
        <v>11997</v>
      </c>
      <c r="Q3763" s="752">
        <v>194.25</v>
      </c>
      <c r="R3763" s="464">
        <v>217.87</v>
      </c>
      <c r="S3763" s="464">
        <f>F3763*R3763</f>
        <v>217.87</v>
      </c>
      <c r="U3763" s="386"/>
      <c r="V3763" s="386" t="s">
        <v>10751</v>
      </c>
      <c r="W3763" s="1090"/>
      <c r="X3763" s="1083">
        <v>42024</v>
      </c>
      <c r="Y3763" s="263" t="s">
        <v>11998</v>
      </c>
      <c r="Z3763" s="1086">
        <v>6197</v>
      </c>
      <c r="AA3763" s="1095">
        <v>42044</v>
      </c>
      <c r="AB3763" s="386" t="s">
        <v>11999</v>
      </c>
      <c r="AD3763" s="386"/>
      <c r="AE3763" s="1110">
        <v>6536</v>
      </c>
      <c r="AF3763" s="386" t="s">
        <v>12000</v>
      </c>
      <c r="AG3763" s="386"/>
    </row>
    <row r="3764" spans="1:33" ht="15.75" customHeight="1">
      <c r="A3764" s="755">
        <v>42030</v>
      </c>
      <c r="B3764" s="823" t="s">
        <v>53</v>
      </c>
      <c r="C3764" s="263" t="s">
        <v>12001</v>
      </c>
      <c r="D3764" s="318" t="s">
        <v>12002</v>
      </c>
      <c r="E3764" s="338" t="s">
        <v>11996</v>
      </c>
      <c r="F3764" s="752">
        <v>21</v>
      </c>
      <c r="G3764" s="464">
        <v>6536.25</v>
      </c>
      <c r="H3764" s="1100">
        <f>F3764*G3764</f>
        <v>137261.25</v>
      </c>
      <c r="I3764" s="263" t="s">
        <v>11987</v>
      </c>
      <c r="J3764" s="331" t="s">
        <v>89</v>
      </c>
      <c r="K3764" s="811">
        <v>42061</v>
      </c>
      <c r="L3764" s="1477"/>
      <c r="M3764" s="386"/>
      <c r="N3764" s="331" t="s">
        <v>89</v>
      </c>
      <c r="O3764" s="263" t="s">
        <v>12003</v>
      </c>
      <c r="Q3764" s="752">
        <v>4079.25</v>
      </c>
      <c r="R3764" s="752">
        <v>217.88</v>
      </c>
      <c r="S3764" s="464">
        <f>F3764*R3764</f>
        <v>4575.4799999999996</v>
      </c>
      <c r="U3764" s="386"/>
      <c r="V3764" s="318" t="s">
        <v>10751</v>
      </c>
      <c r="W3764" s="1090"/>
      <c r="X3764" s="1083">
        <v>42061</v>
      </c>
      <c r="Y3764" s="263" t="s">
        <v>12004</v>
      </c>
      <c r="Z3764" s="1086">
        <v>127966</v>
      </c>
      <c r="AA3764" s="1083">
        <v>42074</v>
      </c>
      <c r="AB3764" s="318" t="s">
        <v>12005</v>
      </c>
      <c r="AD3764" s="386"/>
      <c r="AE3764" s="1100">
        <v>137261</v>
      </c>
      <c r="AF3764" s="318" t="s">
        <v>12006</v>
      </c>
      <c r="AG3764" s="386"/>
    </row>
    <row r="3765" spans="1:33" ht="15.75" customHeight="1">
      <c r="A3765" s="743">
        <v>42045</v>
      </c>
      <c r="B3765" s="823" t="s">
        <v>53</v>
      </c>
      <c r="C3765" s="970" t="s">
        <v>12007</v>
      </c>
      <c r="D3765" s="386" t="s">
        <v>12008</v>
      </c>
      <c r="E3765" s="338" t="s">
        <v>4586</v>
      </c>
      <c r="F3765" s="1088">
        <v>50</v>
      </c>
      <c r="G3765" s="386"/>
      <c r="H3765" s="386"/>
      <c r="I3765" s="263" t="s">
        <v>11987</v>
      </c>
      <c r="J3765" s="267" t="s">
        <v>89</v>
      </c>
      <c r="K3765" s="811">
        <v>42130</v>
      </c>
      <c r="L3765" s="1477"/>
      <c r="M3765" s="386"/>
      <c r="N3765" s="267" t="s">
        <v>89</v>
      </c>
      <c r="O3765" s="263" t="s">
        <v>12009</v>
      </c>
      <c r="Q3765" s="752">
        <v>4410</v>
      </c>
      <c r="R3765" s="464">
        <v>102.9</v>
      </c>
      <c r="S3765" s="464">
        <f>R3765*F3765</f>
        <v>5145</v>
      </c>
      <c r="U3765" s="386"/>
      <c r="V3765" s="386" t="s">
        <v>10751</v>
      </c>
      <c r="W3765" s="1090"/>
      <c r="X3765" s="1095">
        <v>42130</v>
      </c>
      <c r="Y3765" s="386" t="s">
        <v>12010</v>
      </c>
      <c r="Z3765" s="824">
        <v>135784</v>
      </c>
      <c r="AA3765" s="1095">
        <v>42129</v>
      </c>
      <c r="AB3765" s="386" t="s">
        <v>12011</v>
      </c>
      <c r="AD3765" s="386" t="s">
        <v>12012</v>
      </c>
      <c r="AE3765" s="1110">
        <v>158368</v>
      </c>
      <c r="AF3765" s="386" t="s">
        <v>12013</v>
      </c>
      <c r="AG3765" s="386"/>
    </row>
    <row r="3766" spans="1:33" ht="15.75" customHeight="1">
      <c r="A3766" s="743">
        <v>42068</v>
      </c>
      <c r="B3766" s="823" t="s">
        <v>53</v>
      </c>
      <c r="C3766" s="970" t="s">
        <v>12014</v>
      </c>
      <c r="D3766" s="386" t="s">
        <v>12015</v>
      </c>
      <c r="E3766" s="338" t="s">
        <v>8805</v>
      </c>
      <c r="F3766" s="1088">
        <v>20</v>
      </c>
      <c r="G3766" s="772"/>
      <c r="H3766" s="386"/>
      <c r="I3766" s="263" t="s">
        <v>11987</v>
      </c>
      <c r="J3766" s="267" t="s">
        <v>89</v>
      </c>
      <c r="K3766" s="811">
        <v>42088</v>
      </c>
      <c r="L3766" s="1477"/>
      <c r="M3766" s="386"/>
      <c r="N3766" s="267" t="s">
        <v>89</v>
      </c>
      <c r="O3766" s="263" t="s">
        <v>12016</v>
      </c>
      <c r="Q3766" s="752">
        <v>2688</v>
      </c>
      <c r="R3766" s="323">
        <v>150.15</v>
      </c>
      <c r="S3766" s="464">
        <f>F3766*R3766</f>
        <v>3003</v>
      </c>
      <c r="U3766" s="386"/>
      <c r="V3766" s="386" t="s">
        <v>10751</v>
      </c>
      <c r="W3766" s="1090"/>
      <c r="X3766" s="1083">
        <v>42088</v>
      </c>
      <c r="Y3766" s="263" t="s">
        <v>12017</v>
      </c>
      <c r="Z3766" s="1086">
        <v>84914</v>
      </c>
      <c r="AA3766" s="1095">
        <v>42090</v>
      </c>
      <c r="AB3766" s="386" t="s">
        <v>12018</v>
      </c>
      <c r="AD3766" s="386" t="s">
        <v>12019</v>
      </c>
      <c r="AE3766" s="1110">
        <v>94114</v>
      </c>
      <c r="AF3766" s="386" t="s">
        <v>12020</v>
      </c>
      <c r="AG3766" s="386" t="s">
        <v>8415</v>
      </c>
    </row>
    <row r="3767" spans="1:33" ht="15.75" customHeight="1">
      <c r="A3767" s="743">
        <v>42073</v>
      </c>
      <c r="B3767" s="823" t="s">
        <v>53</v>
      </c>
      <c r="C3767" s="970" t="s">
        <v>12021</v>
      </c>
      <c r="D3767" s="386" t="s">
        <v>12022</v>
      </c>
      <c r="E3767" s="338" t="s">
        <v>12023</v>
      </c>
      <c r="F3767" s="1088">
        <v>25</v>
      </c>
      <c r="G3767" s="386"/>
      <c r="H3767" s="386"/>
      <c r="I3767" s="263" t="s">
        <v>11987</v>
      </c>
      <c r="J3767" s="267" t="s">
        <v>89</v>
      </c>
      <c r="K3767" s="811">
        <v>42089</v>
      </c>
      <c r="L3767" s="1477"/>
      <c r="M3767" s="386"/>
      <c r="N3767" s="267" t="s">
        <v>89</v>
      </c>
      <c r="O3767" s="386" t="s">
        <v>12024</v>
      </c>
      <c r="Q3767" s="1208">
        <v>15618.75</v>
      </c>
      <c r="R3767" s="1088">
        <v>766.5</v>
      </c>
      <c r="S3767" s="464">
        <f>F3767*R3767</f>
        <v>19162.5</v>
      </c>
      <c r="U3767" s="1097"/>
      <c r="V3767" s="386" t="s">
        <v>10751</v>
      </c>
      <c r="W3767" s="1090"/>
      <c r="X3767" s="1083">
        <v>42089</v>
      </c>
      <c r="Y3767" s="263" t="s">
        <v>12025</v>
      </c>
      <c r="Z3767" s="1086">
        <v>493396</v>
      </c>
      <c r="AA3767" s="1095">
        <v>42090</v>
      </c>
      <c r="AB3767" s="386" t="s">
        <v>12026</v>
      </c>
      <c r="AD3767" s="386" t="s">
        <v>12027</v>
      </c>
      <c r="AE3767" s="1110">
        <v>1199573</v>
      </c>
      <c r="AF3767" s="386" t="s">
        <v>12028</v>
      </c>
      <c r="AG3767" s="386" t="s">
        <v>8415</v>
      </c>
    </row>
    <row r="3768" spans="1:33" ht="15.75" customHeight="1">
      <c r="A3768" s="743">
        <v>42073</v>
      </c>
      <c r="B3768" s="823" t="s">
        <v>53</v>
      </c>
      <c r="C3768" s="970" t="s">
        <v>12021</v>
      </c>
      <c r="D3768" s="386" t="s">
        <v>12022</v>
      </c>
      <c r="E3768" s="338" t="s">
        <v>12023</v>
      </c>
      <c r="F3768" s="1088">
        <v>25</v>
      </c>
      <c r="G3768" s="386"/>
      <c r="H3768" s="386"/>
      <c r="I3768" s="263" t="s">
        <v>11987</v>
      </c>
      <c r="J3768" s="267" t="s">
        <v>89</v>
      </c>
      <c r="K3768" s="811">
        <v>42089</v>
      </c>
      <c r="L3768" s="1477"/>
      <c r="M3768" s="386"/>
      <c r="N3768" s="267" t="s">
        <v>89</v>
      </c>
      <c r="O3768" s="318" t="s">
        <v>12029</v>
      </c>
      <c r="Q3768" s="1208">
        <v>15618.75</v>
      </c>
      <c r="R3768" s="1088">
        <v>766.5</v>
      </c>
      <c r="S3768" s="464">
        <f>F3768*R3768</f>
        <v>19162.5</v>
      </c>
      <c r="U3768" s="1097"/>
      <c r="V3768" s="386" t="s">
        <v>10751</v>
      </c>
      <c r="W3768" s="1090"/>
      <c r="X3768" s="1083">
        <v>42089</v>
      </c>
      <c r="Y3768" s="263" t="s">
        <v>12030</v>
      </c>
      <c r="Z3768" s="1086">
        <v>493396</v>
      </c>
      <c r="AA3768" s="1095">
        <v>42090</v>
      </c>
      <c r="AB3768" s="386" t="s">
        <v>12026</v>
      </c>
      <c r="AD3768" s="386" t="s">
        <v>12027</v>
      </c>
      <c r="AE3768" s="1110" t="s">
        <v>8588</v>
      </c>
      <c r="AF3768" s="386" t="s">
        <v>12028</v>
      </c>
      <c r="AG3768" s="386" t="s">
        <v>8415</v>
      </c>
    </row>
    <row r="3769" spans="1:33" ht="15.75" customHeight="1">
      <c r="A3769" s="743">
        <v>42087</v>
      </c>
      <c r="B3769" s="823" t="s">
        <v>53</v>
      </c>
      <c r="C3769" s="970" t="s">
        <v>12031</v>
      </c>
      <c r="D3769" s="386" t="s">
        <v>12032</v>
      </c>
      <c r="E3769" s="338" t="s">
        <v>4586</v>
      </c>
      <c r="F3769" s="1088">
        <v>50</v>
      </c>
      <c r="G3769" s="386"/>
      <c r="H3769" s="386"/>
      <c r="I3769" s="263" t="s">
        <v>11987</v>
      </c>
      <c r="J3769" s="267" t="s">
        <v>89</v>
      </c>
      <c r="K3769" s="811">
        <v>42152</v>
      </c>
      <c r="L3769" s="1477"/>
      <c r="M3769" s="386"/>
      <c r="N3769" s="267" t="s">
        <v>89</v>
      </c>
      <c r="O3769" s="263" t="s">
        <v>12033</v>
      </c>
      <c r="Q3769" s="752">
        <v>4410</v>
      </c>
      <c r="R3769" s="464">
        <v>102.9</v>
      </c>
      <c r="S3769" s="464">
        <f>R3769*F3769</f>
        <v>5145</v>
      </c>
      <c r="U3769" s="386"/>
      <c r="V3769" s="386" t="s">
        <v>10751</v>
      </c>
      <c r="W3769" s="386"/>
      <c r="X3769" s="1083">
        <v>42152</v>
      </c>
      <c r="Y3769" s="318" t="s">
        <v>12034</v>
      </c>
      <c r="Z3769" s="1086">
        <v>134086</v>
      </c>
      <c r="AA3769" s="1095">
        <v>42177</v>
      </c>
      <c r="AB3769" s="386" t="s">
        <v>12035</v>
      </c>
      <c r="AD3769" s="386" t="s">
        <v>12036</v>
      </c>
      <c r="AE3769" s="1110">
        <v>158081</v>
      </c>
      <c r="AF3769" s="386" t="s">
        <v>12037</v>
      </c>
      <c r="AG3769" s="1088">
        <v>5103.46</v>
      </c>
    </row>
    <row r="3770" spans="1:33" ht="15.75" customHeight="1">
      <c r="A3770" s="755">
        <v>42087</v>
      </c>
      <c r="B3770" s="823" t="s">
        <v>53</v>
      </c>
      <c r="C3770" s="263" t="s">
        <v>12031</v>
      </c>
      <c r="D3770" s="318" t="s">
        <v>12038</v>
      </c>
      <c r="E3770" s="338" t="s">
        <v>4586</v>
      </c>
      <c r="F3770" s="752">
        <v>50</v>
      </c>
      <c r="G3770" s="386"/>
      <c r="H3770" s="386"/>
      <c r="I3770" s="263" t="s">
        <v>11987</v>
      </c>
      <c r="J3770" s="331" t="s">
        <v>89</v>
      </c>
      <c r="K3770" s="811">
        <v>42187</v>
      </c>
      <c r="L3770" s="1477"/>
      <c r="M3770" s="386"/>
      <c r="N3770" s="331" t="s">
        <v>89</v>
      </c>
      <c r="O3770" s="263" t="s">
        <v>12039</v>
      </c>
      <c r="Q3770" s="752">
        <v>4410</v>
      </c>
      <c r="R3770" s="464">
        <v>102.9</v>
      </c>
      <c r="S3770" s="464">
        <f>R3770*F3770</f>
        <v>5145</v>
      </c>
      <c r="U3770" s="386"/>
      <c r="V3770" s="318" t="s">
        <v>10751</v>
      </c>
      <c r="W3770" s="1090"/>
      <c r="X3770" s="1083">
        <v>42187</v>
      </c>
      <c r="Y3770" s="318" t="s">
        <v>12040</v>
      </c>
      <c r="Z3770" s="1086">
        <v>136093</v>
      </c>
      <c r="AA3770" s="1083">
        <v>42186</v>
      </c>
      <c r="AB3770" s="318" t="s">
        <v>12041</v>
      </c>
      <c r="AD3770" s="318" t="s">
        <v>12042</v>
      </c>
      <c r="AE3770" s="752">
        <v>160010</v>
      </c>
      <c r="AF3770" s="318" t="s">
        <v>12043</v>
      </c>
      <c r="AG3770" s="752">
        <v>5103.51</v>
      </c>
    </row>
    <row r="3771" spans="1:33" ht="15.75" customHeight="1">
      <c r="A3771" s="743">
        <v>42115</v>
      </c>
      <c r="B3771" s="823" t="s">
        <v>53</v>
      </c>
      <c r="C3771" s="970" t="s">
        <v>12044</v>
      </c>
      <c r="D3771" s="386" t="s">
        <v>12045</v>
      </c>
      <c r="E3771" s="338" t="s">
        <v>12023</v>
      </c>
      <c r="F3771" s="1088">
        <v>20</v>
      </c>
      <c r="G3771" s="386"/>
      <c r="H3771" s="386"/>
      <c r="I3771" s="263" t="s">
        <v>11987</v>
      </c>
      <c r="J3771" s="267" t="s">
        <v>89</v>
      </c>
      <c r="K3771" s="811">
        <v>42131</v>
      </c>
      <c r="L3771" s="1477"/>
      <c r="M3771" s="386"/>
      <c r="N3771" s="267" t="s">
        <v>89</v>
      </c>
      <c r="O3771" s="263" t="s">
        <v>12046</v>
      </c>
      <c r="Q3771" s="752">
        <v>12495</v>
      </c>
      <c r="R3771" s="1088">
        <v>766.5</v>
      </c>
      <c r="S3771" s="464">
        <f>R3771*F3771</f>
        <v>15330</v>
      </c>
      <c r="U3771" s="386"/>
      <c r="V3771" s="386" t="s">
        <v>10751</v>
      </c>
      <c r="W3771" s="1090"/>
      <c r="X3771" s="1095">
        <v>42131</v>
      </c>
      <c r="Y3771" s="386" t="s">
        <v>12047</v>
      </c>
      <c r="Z3771" s="824">
        <v>384721</v>
      </c>
      <c r="AA3771" s="1095">
        <v>42129</v>
      </c>
      <c r="AB3771" s="386" t="s">
        <v>12048</v>
      </c>
      <c r="AD3771" s="386" t="s">
        <v>12049</v>
      </c>
      <c r="AE3771" s="1110">
        <v>471444</v>
      </c>
      <c r="AF3771" s="386" t="s">
        <v>12013</v>
      </c>
      <c r="AG3771" s="1088">
        <v>20429.77</v>
      </c>
    </row>
    <row r="3772" spans="1:33" ht="15.75" customHeight="1">
      <c r="A3772" s="743">
        <v>42115</v>
      </c>
      <c r="B3772" s="823" t="s">
        <v>53</v>
      </c>
      <c r="C3772" s="970" t="s">
        <v>12050</v>
      </c>
      <c r="D3772" s="386" t="s">
        <v>12051</v>
      </c>
      <c r="E3772" s="338" t="s">
        <v>12023</v>
      </c>
      <c r="F3772" s="1088">
        <v>30</v>
      </c>
      <c r="G3772" s="386"/>
      <c r="H3772" s="386"/>
      <c r="I3772" s="263" t="s">
        <v>11987</v>
      </c>
      <c r="J3772" s="267" t="s">
        <v>89</v>
      </c>
      <c r="K3772" s="811">
        <v>42145</v>
      </c>
      <c r="L3772" s="1477"/>
      <c r="M3772" s="386"/>
      <c r="N3772" s="267" t="s">
        <v>89</v>
      </c>
      <c r="O3772" s="263" t="s">
        <v>12052</v>
      </c>
      <c r="Q3772" s="752">
        <v>18742.5</v>
      </c>
      <c r="R3772" s="1088">
        <v>766.5</v>
      </c>
      <c r="S3772" s="464">
        <f>R3772*F3772</f>
        <v>22995</v>
      </c>
      <c r="U3772" s="386"/>
      <c r="V3772" s="386" t="s">
        <v>10751</v>
      </c>
      <c r="W3772" s="1090"/>
      <c r="X3772" s="1083">
        <v>42145</v>
      </c>
      <c r="Y3772" s="318" t="s">
        <v>12053</v>
      </c>
      <c r="Z3772" s="1086">
        <v>569866</v>
      </c>
      <c r="AA3772" s="1095">
        <v>42146</v>
      </c>
      <c r="AB3772" s="318" t="s">
        <v>12054</v>
      </c>
      <c r="AD3772" s="386" t="s">
        <v>12055</v>
      </c>
      <c r="AE3772" s="1100">
        <v>709672</v>
      </c>
      <c r="AF3772" s="386" t="s">
        <v>12056</v>
      </c>
      <c r="AG3772" s="1088">
        <v>22948.53</v>
      </c>
    </row>
    <row r="3773" spans="1:33" ht="15.75" customHeight="1">
      <c r="A3773" s="743">
        <v>42125</v>
      </c>
      <c r="B3773" s="823" t="s">
        <v>53</v>
      </c>
      <c r="C3773" s="970" t="s">
        <v>12057</v>
      </c>
      <c r="D3773" s="386" t="s">
        <v>12058</v>
      </c>
      <c r="E3773" s="338" t="s">
        <v>4586</v>
      </c>
      <c r="F3773" s="1088">
        <v>50</v>
      </c>
      <c r="G3773" s="386"/>
      <c r="H3773" s="386"/>
      <c r="I3773" s="263" t="s">
        <v>8429</v>
      </c>
      <c r="J3773" s="267" t="s">
        <v>89</v>
      </c>
      <c r="K3773" s="811">
        <v>42268</v>
      </c>
      <c r="L3773" s="1477"/>
      <c r="M3773" s="386"/>
      <c r="N3773" s="267" t="s">
        <v>89</v>
      </c>
      <c r="O3773" s="970" t="s">
        <v>12059</v>
      </c>
      <c r="Q3773" s="752">
        <v>4410</v>
      </c>
      <c r="R3773" s="464">
        <v>102.9</v>
      </c>
      <c r="S3773" s="464">
        <f>R3773*F3773</f>
        <v>5145</v>
      </c>
      <c r="U3773" s="386"/>
      <c r="V3773" s="386" t="s">
        <v>10751</v>
      </c>
      <c r="W3773" s="386"/>
      <c r="X3773" s="1094">
        <v>42268</v>
      </c>
      <c r="Y3773" s="386" t="s">
        <v>12060</v>
      </c>
      <c r="Z3773" s="824">
        <v>143325</v>
      </c>
      <c r="AA3773" s="1095">
        <v>42263</v>
      </c>
      <c r="AB3773" s="386" t="s">
        <v>12061</v>
      </c>
      <c r="AD3773" s="386" t="s">
        <v>12062</v>
      </c>
      <c r="AE3773" s="1110">
        <v>168046</v>
      </c>
      <c r="AF3773" s="386"/>
      <c r="AG3773" s="386" t="s">
        <v>283</v>
      </c>
    </row>
    <row r="3774" spans="1:33" ht="15.75" customHeight="1">
      <c r="A3774" s="272">
        <v>42178</v>
      </c>
      <c r="B3774" s="823" t="s">
        <v>53</v>
      </c>
      <c r="C3774" s="1024" t="s">
        <v>12063</v>
      </c>
      <c r="D3774" s="836" t="s">
        <v>12064</v>
      </c>
      <c r="E3774" s="1178" t="s">
        <v>12065</v>
      </c>
      <c r="F3774" s="1179">
        <v>4</v>
      </c>
      <c r="G3774" s="1210">
        <v>8505</v>
      </c>
      <c r="H3774" s="1210">
        <f>G3774*F3774</f>
        <v>34020</v>
      </c>
      <c r="I3774" s="283" t="s">
        <v>8429</v>
      </c>
      <c r="J3774" s="763" t="s">
        <v>5882</v>
      </c>
      <c r="K3774" s="280" t="s">
        <v>11651</v>
      </c>
      <c r="L3774" s="1485"/>
      <c r="M3774" s="386"/>
      <c r="N3774" s="267"/>
      <c r="O3774" s="386"/>
      <c r="Q3774" s="386"/>
      <c r="R3774" s="1179">
        <v>257.73</v>
      </c>
      <c r="S3774" s="1209">
        <f>F3774*R3774</f>
        <v>1030.92</v>
      </c>
      <c r="U3774" s="386"/>
      <c r="V3774" s="386"/>
      <c r="W3774" s="386"/>
      <c r="X3774" s="386"/>
      <c r="Y3774" s="386"/>
      <c r="Z3774" s="386"/>
      <c r="AA3774" s="1090"/>
      <c r="AB3774" s="386"/>
      <c r="AD3774" s="386"/>
      <c r="AE3774" s="386"/>
      <c r="AF3774" s="386"/>
      <c r="AG3774" s="386"/>
    </row>
    <row r="3775" spans="1:33" ht="15.75" customHeight="1">
      <c r="A3775" s="743">
        <v>42024</v>
      </c>
      <c r="B3775" s="823" t="s">
        <v>12066</v>
      </c>
      <c r="C3775" s="970" t="s">
        <v>12067</v>
      </c>
      <c r="D3775" s="386" t="s">
        <v>12068</v>
      </c>
      <c r="E3775" s="592" t="s">
        <v>12069</v>
      </c>
      <c r="F3775" s="1088">
        <v>1</v>
      </c>
      <c r="G3775" s="323">
        <f>R3775*31.571</f>
        <v>17569.261500000001</v>
      </c>
      <c r="H3775" s="323">
        <f>G3775*F3775</f>
        <v>17569.261500000001</v>
      </c>
      <c r="I3775" s="263" t="s">
        <v>11643</v>
      </c>
      <c r="J3775" s="267" t="s">
        <v>12070</v>
      </c>
      <c r="K3775" s="811">
        <v>42026</v>
      </c>
      <c r="L3775" s="1477"/>
      <c r="M3775" s="386"/>
      <c r="N3775" s="267" t="s">
        <v>11420</v>
      </c>
      <c r="O3775" s="386"/>
      <c r="Q3775" s="1088">
        <v>429.47699999999998</v>
      </c>
      <c r="R3775" s="323">
        <v>556.5</v>
      </c>
      <c r="S3775" s="464">
        <f t="shared" ref="S3775:S3783" si="238">R3775*F3775</f>
        <v>556.5</v>
      </c>
      <c r="U3775" s="386"/>
      <c r="V3775" s="386"/>
      <c r="W3775" s="386"/>
      <c r="X3775" s="1211" t="s">
        <v>1734</v>
      </c>
      <c r="Y3775" s="1211" t="s">
        <v>1734</v>
      </c>
      <c r="Z3775" s="1212" t="s">
        <v>1734</v>
      </c>
      <c r="AA3775" s="970" t="s">
        <v>12071</v>
      </c>
      <c r="AB3775" s="386" t="s">
        <v>12072</v>
      </c>
      <c r="AD3775" s="970">
        <v>31.571000000000002</v>
      </c>
      <c r="AE3775" s="1110">
        <v>18776</v>
      </c>
      <c r="AF3775" s="386" t="s">
        <v>12073</v>
      </c>
      <c r="AG3775" s="386"/>
    </row>
    <row r="3776" spans="1:33" ht="15.75" customHeight="1">
      <c r="A3776" s="743">
        <v>42024</v>
      </c>
      <c r="B3776" s="823" t="s">
        <v>12066</v>
      </c>
      <c r="C3776" s="970" t="s">
        <v>12067</v>
      </c>
      <c r="D3776" s="386" t="s">
        <v>12068</v>
      </c>
      <c r="E3776" s="592" t="s">
        <v>12074</v>
      </c>
      <c r="F3776" s="1088">
        <v>1</v>
      </c>
      <c r="G3776" s="323">
        <f>R3776*31.571</f>
        <v>1206.6436200000001</v>
      </c>
      <c r="H3776" s="323">
        <f>G3776*F3776</f>
        <v>1206.6436200000001</v>
      </c>
      <c r="I3776" s="263" t="s">
        <v>11643</v>
      </c>
      <c r="J3776" s="267" t="s">
        <v>12070</v>
      </c>
      <c r="K3776" s="811">
        <v>42026</v>
      </c>
      <c r="L3776" s="1477"/>
      <c r="M3776" s="386"/>
      <c r="N3776" s="267" t="s">
        <v>12075</v>
      </c>
      <c r="O3776" s="386"/>
      <c r="Q3776" s="386"/>
      <c r="R3776" s="1088">
        <v>38.22</v>
      </c>
      <c r="S3776" s="464">
        <f t="shared" si="238"/>
        <v>38.22</v>
      </c>
      <c r="U3776" s="1088">
        <v>1050</v>
      </c>
      <c r="V3776" s="386"/>
      <c r="W3776" s="386"/>
      <c r="X3776" s="1211" t="s">
        <v>1734</v>
      </c>
      <c r="Y3776" s="1091" t="s">
        <v>12076</v>
      </c>
      <c r="Z3776" s="1212" t="s">
        <v>1734</v>
      </c>
      <c r="AA3776" s="970" t="s">
        <v>12071</v>
      </c>
      <c r="AB3776" s="386" t="s">
        <v>12072</v>
      </c>
      <c r="AD3776" s="970">
        <v>31.571000000000002</v>
      </c>
      <c r="AE3776" s="1110">
        <v>18776</v>
      </c>
      <c r="AF3776" s="386" t="s">
        <v>12073</v>
      </c>
      <c r="AG3776" s="386"/>
    </row>
    <row r="3777" spans="1:33" ht="15.75" customHeight="1">
      <c r="A3777" s="743">
        <v>42037</v>
      </c>
      <c r="B3777" s="823" t="s">
        <v>12066</v>
      </c>
      <c r="C3777" s="263" t="s">
        <v>12077</v>
      </c>
      <c r="D3777" s="318" t="s">
        <v>12078</v>
      </c>
      <c r="E3777" s="338" t="s">
        <v>12069</v>
      </c>
      <c r="F3777" s="752">
        <v>0</v>
      </c>
      <c r="G3777" s="464">
        <f>R3777*31.571</f>
        <v>17569.261500000001</v>
      </c>
      <c r="H3777" s="464">
        <f>G3777*F3777</f>
        <v>0</v>
      </c>
      <c r="I3777" s="263" t="s">
        <v>11643</v>
      </c>
      <c r="J3777" s="331" t="s">
        <v>5882</v>
      </c>
      <c r="K3777" s="811">
        <v>42088</v>
      </c>
      <c r="L3777" s="1477"/>
      <c r="M3777" s="254" t="s">
        <v>70</v>
      </c>
      <c r="N3777" s="331" t="s">
        <v>11420</v>
      </c>
      <c r="O3777" s="386"/>
      <c r="Q3777" s="386"/>
      <c r="R3777" s="464">
        <v>556.5</v>
      </c>
      <c r="S3777" s="464">
        <f t="shared" si="238"/>
        <v>0</v>
      </c>
      <c r="U3777" s="752">
        <f>450.95*31.571</f>
        <v>14236.94245</v>
      </c>
      <c r="V3777" s="386"/>
      <c r="W3777" s="386"/>
      <c r="X3777" s="386"/>
      <c r="Y3777" s="386"/>
      <c r="Z3777" s="386"/>
      <c r="AA3777" s="386"/>
      <c r="AB3777" s="386"/>
      <c r="AD3777" s="386"/>
      <c r="AE3777" s="386"/>
      <c r="AF3777" s="386"/>
      <c r="AG3777" s="386"/>
    </row>
    <row r="3778" spans="1:33" ht="15.75" customHeight="1">
      <c r="A3778" s="743">
        <v>42037</v>
      </c>
      <c r="B3778" s="823" t="s">
        <v>12066</v>
      </c>
      <c r="C3778" s="263" t="s">
        <v>12077</v>
      </c>
      <c r="D3778" s="318" t="s">
        <v>12078</v>
      </c>
      <c r="E3778" s="338" t="s">
        <v>12074</v>
      </c>
      <c r="F3778" s="752">
        <v>0</v>
      </c>
      <c r="G3778" s="464">
        <f>R3778*31.571</f>
        <v>1206.6436200000001</v>
      </c>
      <c r="H3778" s="464">
        <f>G3778*F3778</f>
        <v>0</v>
      </c>
      <c r="I3778" s="263" t="s">
        <v>11643</v>
      </c>
      <c r="J3778" s="331" t="s">
        <v>5882</v>
      </c>
      <c r="K3778" s="811">
        <v>42088</v>
      </c>
      <c r="L3778" s="1477"/>
      <c r="M3778" s="811">
        <v>42053</v>
      </c>
      <c r="N3778" s="331" t="s">
        <v>11886</v>
      </c>
      <c r="O3778" s="386"/>
      <c r="Q3778" s="386"/>
      <c r="R3778" s="752">
        <v>38.22</v>
      </c>
      <c r="S3778" s="464">
        <f t="shared" si="238"/>
        <v>0</v>
      </c>
      <c r="U3778" s="752">
        <v>945</v>
      </c>
      <c r="V3778" s="386"/>
      <c r="W3778" s="386"/>
      <c r="X3778" s="386"/>
      <c r="Y3778" s="386"/>
      <c r="Z3778" s="386"/>
      <c r="AA3778" s="386"/>
      <c r="AB3778" s="386"/>
      <c r="AD3778" s="386"/>
      <c r="AE3778" s="386"/>
      <c r="AF3778" s="386"/>
      <c r="AG3778" s="386"/>
    </row>
    <row r="3779" spans="1:33" ht="15.75" customHeight="1">
      <c r="A3779" s="755">
        <v>42024</v>
      </c>
      <c r="B3779" s="823" t="s">
        <v>629</v>
      </c>
      <c r="C3779" s="263" t="s">
        <v>12079</v>
      </c>
      <c r="D3779" s="318" t="s">
        <v>12080</v>
      </c>
      <c r="E3779" s="338" t="s">
        <v>12081</v>
      </c>
      <c r="F3779" s="752">
        <v>30</v>
      </c>
      <c r="G3779" s="386"/>
      <c r="H3779" s="386"/>
      <c r="I3779" s="263" t="s">
        <v>11643</v>
      </c>
      <c r="J3779" s="331" t="s">
        <v>89</v>
      </c>
      <c r="K3779" s="811">
        <v>42061</v>
      </c>
      <c r="L3779" s="1477"/>
      <c r="M3779" s="386"/>
      <c r="N3779" s="331" t="s">
        <v>89</v>
      </c>
      <c r="O3779" s="263" t="s">
        <v>12082</v>
      </c>
      <c r="Q3779" s="752">
        <v>2299.5</v>
      </c>
      <c r="R3779" s="752">
        <v>88.2</v>
      </c>
      <c r="S3779" s="464">
        <f t="shared" si="238"/>
        <v>2646</v>
      </c>
      <c r="U3779" s="386"/>
      <c r="V3779" s="318" t="s">
        <v>10751</v>
      </c>
      <c r="W3779" s="1090"/>
      <c r="X3779" s="1083">
        <v>42061</v>
      </c>
      <c r="Y3779" s="263" t="s">
        <v>12083</v>
      </c>
      <c r="Z3779" s="1086">
        <v>72135</v>
      </c>
      <c r="AA3779" s="1083">
        <v>42074</v>
      </c>
      <c r="AB3779" s="318" t="s">
        <v>12084</v>
      </c>
      <c r="AD3779" s="318" t="s">
        <v>12085</v>
      </c>
      <c r="AE3779" s="1100">
        <v>92813</v>
      </c>
      <c r="AF3779" s="318" t="s">
        <v>12086</v>
      </c>
      <c r="AG3779" s="386"/>
    </row>
    <row r="3780" spans="1:33" ht="15.75" customHeight="1">
      <c r="A3780" s="755">
        <v>42024</v>
      </c>
      <c r="B3780" s="823" t="s">
        <v>629</v>
      </c>
      <c r="C3780" s="263" t="s">
        <v>12079</v>
      </c>
      <c r="D3780" s="318" t="s">
        <v>12080</v>
      </c>
      <c r="E3780" s="338" t="s">
        <v>12087</v>
      </c>
      <c r="F3780" s="752">
        <v>9</v>
      </c>
      <c r="G3780" s="386"/>
      <c r="H3780" s="386"/>
      <c r="I3780" s="263" t="s">
        <v>11643</v>
      </c>
      <c r="J3780" s="331" t="s">
        <v>5882</v>
      </c>
      <c r="K3780" s="811">
        <v>42061</v>
      </c>
      <c r="L3780" s="1477"/>
      <c r="M3780" s="811">
        <v>42048</v>
      </c>
      <c r="N3780" s="331" t="s">
        <v>89</v>
      </c>
      <c r="O3780" s="263">
        <v>20150100141419</v>
      </c>
      <c r="Q3780" s="752">
        <v>103.95</v>
      </c>
      <c r="R3780" s="752">
        <v>10.5</v>
      </c>
      <c r="S3780" s="464">
        <f t="shared" si="238"/>
        <v>94.5</v>
      </c>
      <c r="U3780" s="386"/>
      <c r="V3780" s="318" t="s">
        <v>10751</v>
      </c>
      <c r="W3780" s="1090"/>
      <c r="X3780" s="1083">
        <v>42048</v>
      </c>
      <c r="Y3780" s="263" t="s">
        <v>12088</v>
      </c>
      <c r="Z3780" s="1086">
        <v>3267</v>
      </c>
      <c r="AA3780" s="1083">
        <v>42074</v>
      </c>
      <c r="AB3780" s="318" t="s">
        <v>12084</v>
      </c>
      <c r="AD3780" s="318" t="s">
        <v>12085</v>
      </c>
      <c r="AE3780" s="1100" t="s">
        <v>12089</v>
      </c>
      <c r="AF3780" s="318" t="s">
        <v>12086</v>
      </c>
      <c r="AG3780" s="386"/>
    </row>
    <row r="3781" spans="1:33" ht="15.75" customHeight="1">
      <c r="A3781" s="755">
        <v>42024</v>
      </c>
      <c r="B3781" s="823" t="s">
        <v>629</v>
      </c>
      <c r="C3781" s="263" t="s">
        <v>12079</v>
      </c>
      <c r="D3781" s="318" t="s">
        <v>12080</v>
      </c>
      <c r="E3781" s="338" t="s">
        <v>12087</v>
      </c>
      <c r="F3781" s="752">
        <v>21</v>
      </c>
      <c r="G3781" s="386"/>
      <c r="H3781" s="386"/>
      <c r="I3781" s="263" t="s">
        <v>11643</v>
      </c>
      <c r="J3781" s="331" t="s">
        <v>5882</v>
      </c>
      <c r="K3781" s="811">
        <v>42061</v>
      </c>
      <c r="L3781" s="1477"/>
      <c r="M3781" s="811">
        <v>42048</v>
      </c>
      <c r="N3781" s="331" t="s">
        <v>104</v>
      </c>
      <c r="O3781" s="263" t="s">
        <v>12090</v>
      </c>
      <c r="Q3781" s="386"/>
      <c r="R3781" s="752">
        <v>10.5</v>
      </c>
      <c r="S3781" s="464">
        <f t="shared" si="238"/>
        <v>220.5</v>
      </c>
      <c r="U3781" s="752">
        <v>3969</v>
      </c>
      <c r="V3781" s="318" t="s">
        <v>12091</v>
      </c>
      <c r="W3781" s="1090"/>
      <c r="X3781" s="1083">
        <v>42037</v>
      </c>
      <c r="Y3781" s="263" t="s">
        <v>12092</v>
      </c>
      <c r="Z3781" s="1086">
        <v>3969</v>
      </c>
      <c r="AA3781" s="1083">
        <v>42090</v>
      </c>
      <c r="AB3781" s="318" t="s">
        <v>12084</v>
      </c>
      <c r="AD3781" s="318" t="s">
        <v>12085</v>
      </c>
      <c r="AE3781" s="1100" t="s">
        <v>12089</v>
      </c>
      <c r="AF3781" s="318" t="s">
        <v>12086</v>
      </c>
      <c r="AG3781" s="386"/>
    </row>
    <row r="3782" spans="1:33" ht="15.75" customHeight="1">
      <c r="A3782" s="755">
        <v>42041</v>
      </c>
      <c r="B3782" s="823" t="s">
        <v>629</v>
      </c>
      <c r="C3782" s="263" t="s">
        <v>12093</v>
      </c>
      <c r="D3782" s="318" t="s">
        <v>12094</v>
      </c>
      <c r="E3782" s="338" t="s">
        <v>6470</v>
      </c>
      <c r="F3782" s="752">
        <v>3</v>
      </c>
      <c r="G3782" s="386"/>
      <c r="H3782" s="386"/>
      <c r="I3782" s="263" t="s">
        <v>11643</v>
      </c>
      <c r="J3782" s="331" t="s">
        <v>89</v>
      </c>
      <c r="K3782" s="811">
        <v>42061</v>
      </c>
      <c r="L3782" s="1477"/>
      <c r="M3782" s="386"/>
      <c r="N3782" s="331" t="s">
        <v>89</v>
      </c>
      <c r="O3782" s="263" t="s">
        <v>12095</v>
      </c>
      <c r="Q3782" s="752">
        <v>226.8</v>
      </c>
      <c r="R3782" s="752">
        <v>86.1</v>
      </c>
      <c r="S3782" s="464">
        <f t="shared" si="238"/>
        <v>258.29999999999995</v>
      </c>
      <c r="U3782" s="386"/>
      <c r="V3782" s="318" t="s">
        <v>10751</v>
      </c>
      <c r="W3782" s="1090"/>
      <c r="X3782" s="1083">
        <v>42061</v>
      </c>
      <c r="Y3782" s="263" t="s">
        <v>12096</v>
      </c>
      <c r="Z3782" s="1086">
        <v>7115</v>
      </c>
      <c r="AA3782" s="1083">
        <v>42074</v>
      </c>
      <c r="AB3782" s="318" t="s">
        <v>12097</v>
      </c>
      <c r="AD3782" s="318" t="s">
        <v>12085</v>
      </c>
      <c r="AE3782" s="1100">
        <v>8097</v>
      </c>
      <c r="AF3782" s="318" t="s">
        <v>12086</v>
      </c>
      <c r="AG3782" s="386"/>
    </row>
    <row r="3783" spans="1:33" ht="15.75" customHeight="1">
      <c r="A3783" s="755">
        <v>42041</v>
      </c>
      <c r="B3783" s="823" t="s">
        <v>629</v>
      </c>
      <c r="C3783" s="263" t="s">
        <v>12093</v>
      </c>
      <c r="D3783" s="318" t="s">
        <v>12098</v>
      </c>
      <c r="E3783" s="338" t="s">
        <v>8586</v>
      </c>
      <c r="F3783" s="752">
        <v>3</v>
      </c>
      <c r="G3783" s="464">
        <f>H3783/3</f>
        <v>5854.333333333333</v>
      </c>
      <c r="H3783" s="1100">
        <v>17563</v>
      </c>
      <c r="I3783" s="263" t="s">
        <v>11643</v>
      </c>
      <c r="J3783" s="331" t="s">
        <v>89</v>
      </c>
      <c r="K3783" s="811">
        <v>42047</v>
      </c>
      <c r="L3783" s="1477"/>
      <c r="M3783" s="386"/>
      <c r="N3783" s="331" t="s">
        <v>89</v>
      </c>
      <c r="O3783" s="263" t="s">
        <v>12099</v>
      </c>
      <c r="Q3783" s="752">
        <v>450.45</v>
      </c>
      <c r="R3783" s="752">
        <v>185.85</v>
      </c>
      <c r="S3783" s="464">
        <f t="shared" si="238"/>
        <v>557.54999999999995</v>
      </c>
      <c r="U3783" s="386"/>
      <c r="V3783" s="318" t="s">
        <v>10751</v>
      </c>
      <c r="W3783" s="1090"/>
      <c r="X3783" s="1083">
        <v>42047</v>
      </c>
      <c r="Y3783" s="318" t="s">
        <v>12100</v>
      </c>
      <c r="Z3783" s="1086">
        <v>14155</v>
      </c>
      <c r="AA3783" s="1083">
        <v>42074</v>
      </c>
      <c r="AB3783" s="318" t="s">
        <v>12101</v>
      </c>
      <c r="AD3783" s="318" t="s">
        <v>12102</v>
      </c>
      <c r="AE3783" s="1100">
        <v>17563</v>
      </c>
      <c r="AF3783" s="318" t="s">
        <v>12103</v>
      </c>
      <c r="AG3783" s="386"/>
    </row>
    <row r="3784" spans="1:33" ht="15.75" customHeight="1">
      <c r="A3784" s="743">
        <v>42213</v>
      </c>
      <c r="B3784" s="823" t="s">
        <v>629</v>
      </c>
      <c r="C3784" s="386" t="s">
        <v>12104</v>
      </c>
      <c r="D3784" s="386" t="s">
        <v>12105</v>
      </c>
      <c r="E3784" s="592" t="s">
        <v>12106</v>
      </c>
      <c r="F3784" s="1088">
        <v>4</v>
      </c>
      <c r="G3784" s="386"/>
      <c r="H3784" s="386"/>
      <c r="I3784" s="263" t="s">
        <v>10900</v>
      </c>
      <c r="J3784" s="267" t="s">
        <v>89</v>
      </c>
      <c r="K3784" s="811">
        <v>42219</v>
      </c>
      <c r="L3784" s="1477"/>
      <c r="M3784" s="386"/>
      <c r="N3784" s="267" t="s">
        <v>89</v>
      </c>
      <c r="O3784" s="263" t="s">
        <v>12107</v>
      </c>
      <c r="Q3784" s="752">
        <v>667.8</v>
      </c>
      <c r="R3784" s="1088">
        <v>180.6</v>
      </c>
      <c r="S3784" s="1098">
        <f t="shared" ref="S3784:S3791" si="239">F3784*R3784</f>
        <v>722.4</v>
      </c>
      <c r="U3784" s="386"/>
      <c r="V3784" s="386" t="s">
        <v>10751</v>
      </c>
      <c r="W3784" s="1095">
        <v>42248</v>
      </c>
      <c r="X3784" s="1094">
        <v>42219</v>
      </c>
      <c r="Y3784" s="386" t="s">
        <v>12108</v>
      </c>
      <c r="Z3784" s="824">
        <v>20929</v>
      </c>
      <c r="AA3784" s="1095">
        <v>42220</v>
      </c>
      <c r="AB3784" s="386" t="s">
        <v>12109</v>
      </c>
      <c r="AD3784" s="386" t="s">
        <v>11446</v>
      </c>
      <c r="AE3784" s="1110">
        <v>22813</v>
      </c>
      <c r="AF3784" s="386" t="s">
        <v>12110</v>
      </c>
      <c r="AG3784" s="386"/>
    </row>
    <row r="3785" spans="1:33" ht="15.75" customHeight="1">
      <c r="A3785" s="743">
        <v>42297</v>
      </c>
      <c r="B3785" s="823" t="s">
        <v>629</v>
      </c>
      <c r="C3785" s="970" t="s">
        <v>12111</v>
      </c>
      <c r="D3785" s="386" t="s">
        <v>12112</v>
      </c>
      <c r="E3785" s="592" t="s">
        <v>6869</v>
      </c>
      <c r="F3785" s="1088">
        <v>10</v>
      </c>
      <c r="G3785" s="386"/>
      <c r="H3785" s="386"/>
      <c r="I3785" s="263" t="s">
        <v>10900</v>
      </c>
      <c r="J3785" s="267" t="s">
        <v>89</v>
      </c>
      <c r="K3785" s="811">
        <v>42306</v>
      </c>
      <c r="L3785" s="1477"/>
      <c r="M3785" s="386"/>
      <c r="N3785" s="267" t="s">
        <v>89</v>
      </c>
      <c r="O3785" s="263" t="s">
        <v>12113</v>
      </c>
      <c r="Q3785" s="752">
        <v>1669.5</v>
      </c>
      <c r="R3785" s="1088">
        <v>180.6</v>
      </c>
      <c r="S3785" s="1098">
        <f t="shared" si="239"/>
        <v>1806</v>
      </c>
      <c r="U3785" s="386"/>
      <c r="V3785" s="386" t="s">
        <v>10751</v>
      </c>
      <c r="W3785" s="386"/>
      <c r="X3785" s="1094">
        <v>42306</v>
      </c>
      <c r="Y3785" s="386" t="s">
        <v>12114</v>
      </c>
      <c r="Z3785" s="824">
        <v>53733</v>
      </c>
      <c r="AA3785" s="1090">
        <v>42321</v>
      </c>
      <c r="AB3785" s="386" t="s">
        <v>12115</v>
      </c>
      <c r="AD3785" s="386" t="s">
        <v>10920</v>
      </c>
      <c r="AE3785" s="1110">
        <v>58577</v>
      </c>
      <c r="AF3785" s="386" t="s">
        <v>10921</v>
      </c>
      <c r="AG3785" s="386"/>
    </row>
    <row r="3786" spans="1:33" ht="15.75" customHeight="1">
      <c r="A3786" s="743">
        <v>42310</v>
      </c>
      <c r="B3786" s="823" t="s">
        <v>629</v>
      </c>
      <c r="C3786" s="970" t="s">
        <v>12116</v>
      </c>
      <c r="D3786" s="386" t="s">
        <v>12117</v>
      </c>
      <c r="E3786" s="592" t="s">
        <v>5925</v>
      </c>
      <c r="F3786" s="1088">
        <v>50</v>
      </c>
      <c r="G3786" s="386">
        <f>R3786*32.61</f>
        <v>3561.0120000000002</v>
      </c>
      <c r="H3786" s="386">
        <f>G3786*F3786</f>
        <v>178050.6</v>
      </c>
      <c r="I3786" s="263" t="s">
        <v>10900</v>
      </c>
      <c r="J3786" s="267" t="s">
        <v>89</v>
      </c>
      <c r="K3786" s="811">
        <v>42338</v>
      </c>
      <c r="L3786" s="1477"/>
      <c r="M3786" s="802"/>
      <c r="N3786" s="267" t="s">
        <v>89</v>
      </c>
      <c r="O3786" s="263" t="s">
        <v>10677</v>
      </c>
      <c r="Q3786" s="752">
        <v>5118.75</v>
      </c>
      <c r="R3786" s="1088">
        <v>109.2</v>
      </c>
      <c r="S3786" s="1098">
        <f t="shared" si="239"/>
        <v>5460</v>
      </c>
      <c r="U3786" s="386"/>
      <c r="V3786" s="386" t="s">
        <v>10751</v>
      </c>
      <c r="W3786" s="386"/>
      <c r="X3786" s="1090">
        <v>42338</v>
      </c>
      <c r="Y3786" s="386" t="s">
        <v>12118</v>
      </c>
      <c r="Z3786" s="1097">
        <v>141394</v>
      </c>
      <c r="AA3786" s="1090">
        <v>42341</v>
      </c>
      <c r="AB3786" s="386" t="s">
        <v>12119</v>
      </c>
      <c r="AD3786" s="386" t="s">
        <v>12120</v>
      </c>
      <c r="AE3786" s="386">
        <v>178051</v>
      </c>
      <c r="AF3786" s="386" t="s">
        <v>12121</v>
      </c>
      <c r="AG3786" s="386"/>
    </row>
    <row r="3787" spans="1:33" ht="15.75" customHeight="1">
      <c r="A3787" s="743">
        <v>42310</v>
      </c>
      <c r="B3787" s="823" t="s">
        <v>629</v>
      </c>
      <c r="C3787" s="970" t="s">
        <v>12116</v>
      </c>
      <c r="D3787" s="386" t="s">
        <v>12122</v>
      </c>
      <c r="E3787" s="592" t="s">
        <v>12123</v>
      </c>
      <c r="F3787" s="1088">
        <v>150</v>
      </c>
      <c r="G3787" s="386"/>
      <c r="H3787" s="386"/>
      <c r="I3787" s="263" t="s">
        <v>10900</v>
      </c>
      <c r="J3787" s="267" t="s">
        <v>89</v>
      </c>
      <c r="K3787" s="811">
        <v>42367</v>
      </c>
      <c r="L3787" s="1477"/>
      <c r="M3787" s="802"/>
      <c r="N3787" s="267" t="s">
        <v>89</v>
      </c>
      <c r="O3787" s="263" t="s">
        <v>12124</v>
      </c>
      <c r="Q3787" s="752">
        <v>11302.2</v>
      </c>
      <c r="R3787" s="1088">
        <v>86.1</v>
      </c>
      <c r="S3787" s="1098">
        <f t="shared" si="239"/>
        <v>12915</v>
      </c>
      <c r="U3787" s="386"/>
      <c r="V3787" s="386" t="s">
        <v>10751</v>
      </c>
      <c r="W3787" s="386"/>
      <c r="X3787" s="1090">
        <v>42733</v>
      </c>
      <c r="Y3787" s="318" t="s">
        <v>12125</v>
      </c>
      <c r="Z3787" s="1054">
        <v>369978</v>
      </c>
      <c r="AA3787" s="1096">
        <v>42374</v>
      </c>
      <c r="AB3787" s="386" t="s">
        <v>12126</v>
      </c>
      <c r="AD3787" s="386" t="s">
        <v>12127</v>
      </c>
      <c r="AE3787" s="386">
        <v>423612</v>
      </c>
      <c r="AF3787" s="386" t="s">
        <v>12128</v>
      </c>
      <c r="AG3787" s="386"/>
    </row>
    <row r="3788" spans="1:33" ht="15.75" customHeight="1">
      <c r="A3788" s="743">
        <v>42310</v>
      </c>
      <c r="B3788" s="823" t="s">
        <v>629</v>
      </c>
      <c r="C3788" s="970" t="s">
        <v>12116</v>
      </c>
      <c r="D3788" s="386" t="s">
        <v>12122</v>
      </c>
      <c r="E3788" s="592" t="s">
        <v>12129</v>
      </c>
      <c r="F3788" s="1088">
        <v>150</v>
      </c>
      <c r="G3788" s="386">
        <f>R3788*32.815</f>
        <v>344.5575</v>
      </c>
      <c r="H3788" s="386">
        <f>G3788*F3788</f>
        <v>51683.625</v>
      </c>
      <c r="I3788" s="263" t="s">
        <v>10900</v>
      </c>
      <c r="J3788" s="267" t="s">
        <v>89</v>
      </c>
      <c r="K3788" s="811">
        <v>42348</v>
      </c>
      <c r="L3788" s="1477"/>
      <c r="M3788" s="811">
        <v>42342</v>
      </c>
      <c r="N3788" s="267" t="s">
        <v>2006</v>
      </c>
      <c r="O3788" s="386" t="s">
        <v>12130</v>
      </c>
      <c r="Q3788" s="386"/>
      <c r="R3788" s="1088">
        <v>10.5</v>
      </c>
      <c r="S3788" s="1098">
        <f t="shared" si="239"/>
        <v>1575</v>
      </c>
      <c r="U3788" s="318">
        <v>14490</v>
      </c>
      <c r="V3788" s="386" t="s">
        <v>2146</v>
      </c>
      <c r="W3788" s="1090">
        <v>42012</v>
      </c>
      <c r="X3788" s="1090">
        <v>42341</v>
      </c>
      <c r="Y3788" s="386" t="s">
        <v>12131</v>
      </c>
      <c r="Z3788" s="1097">
        <v>14490</v>
      </c>
      <c r="AA3788" s="1090">
        <v>42373</v>
      </c>
      <c r="AB3788" s="386" t="s">
        <v>12132</v>
      </c>
      <c r="AD3788" s="386" t="s">
        <v>12133</v>
      </c>
      <c r="AE3788" s="386">
        <v>51684</v>
      </c>
      <c r="AF3788" s="386" t="s">
        <v>11779</v>
      </c>
      <c r="AG3788" s="386"/>
    </row>
    <row r="3789" spans="1:33" ht="15.75" customHeight="1">
      <c r="A3789" s="743">
        <v>42283</v>
      </c>
      <c r="B3789" s="823" t="s">
        <v>4524</v>
      </c>
      <c r="C3789" s="386"/>
      <c r="D3789" s="386" t="s">
        <v>12134</v>
      </c>
      <c r="E3789" s="592" t="s">
        <v>4610</v>
      </c>
      <c r="F3789" s="1088">
        <v>14</v>
      </c>
      <c r="G3789" s="1088">
        <f>R3789*32.24</f>
        <v>10257.155999999999</v>
      </c>
      <c r="H3789" s="1108">
        <f>G3789*F3789</f>
        <v>143600.18399999998</v>
      </c>
      <c r="I3789" s="263" t="s">
        <v>12135</v>
      </c>
      <c r="J3789" s="267" t="s">
        <v>89</v>
      </c>
      <c r="K3789" s="811">
        <v>42299</v>
      </c>
      <c r="L3789" s="1477"/>
      <c r="M3789" s="1090"/>
      <c r="N3789" s="267" t="s">
        <v>89</v>
      </c>
      <c r="O3789" s="263">
        <v>20151000159708</v>
      </c>
      <c r="Q3789" s="752">
        <v>3998.4</v>
      </c>
      <c r="R3789" s="1088">
        <v>318.14999999999998</v>
      </c>
      <c r="S3789" s="1098">
        <f t="shared" si="239"/>
        <v>4454.0999999999995</v>
      </c>
      <c r="U3789" s="386"/>
      <c r="V3789" s="386" t="s">
        <v>10751</v>
      </c>
      <c r="W3789" s="386"/>
      <c r="X3789" s="1094">
        <v>42299</v>
      </c>
      <c r="Y3789" s="386" t="s">
        <v>12136</v>
      </c>
      <c r="Z3789" s="824">
        <v>108817</v>
      </c>
      <c r="AA3789" s="1095">
        <v>42321</v>
      </c>
      <c r="AB3789" s="386" t="s">
        <v>12137</v>
      </c>
      <c r="AD3789" s="386" t="s">
        <v>12138</v>
      </c>
      <c r="AE3789" s="1213">
        <v>216585</v>
      </c>
      <c r="AF3789" s="386" t="s">
        <v>12139</v>
      </c>
      <c r="AG3789" s="386"/>
    </row>
    <row r="3790" spans="1:33" ht="15.75" customHeight="1">
      <c r="A3790" s="743">
        <v>42283</v>
      </c>
      <c r="B3790" s="823" t="s">
        <v>4524</v>
      </c>
      <c r="C3790" s="386"/>
      <c r="D3790" s="386" t="s">
        <v>12134</v>
      </c>
      <c r="E3790" s="592" t="s">
        <v>12140</v>
      </c>
      <c r="F3790" s="1088">
        <v>28</v>
      </c>
      <c r="G3790" s="1088">
        <f>R3790*32.24</f>
        <v>2606.6039999999998</v>
      </c>
      <c r="H3790" s="1108">
        <f>G3790*F3790</f>
        <v>72984.911999999997</v>
      </c>
      <c r="I3790" s="263" t="s">
        <v>12135</v>
      </c>
      <c r="J3790" s="331" t="s">
        <v>11420</v>
      </c>
      <c r="K3790" s="811">
        <v>42299</v>
      </c>
      <c r="L3790" s="1477"/>
      <c r="M3790" s="811">
        <v>42296</v>
      </c>
      <c r="N3790" s="267" t="s">
        <v>6587</v>
      </c>
      <c r="O3790" s="970" t="s">
        <v>12141</v>
      </c>
      <c r="Q3790" s="386"/>
      <c r="R3790" s="1088">
        <v>80.849999999999994</v>
      </c>
      <c r="S3790" s="1098">
        <f t="shared" si="239"/>
        <v>2263.7999999999997</v>
      </c>
      <c r="U3790" s="752">
        <v>30286</v>
      </c>
      <c r="V3790" s="386" t="s">
        <v>4602</v>
      </c>
      <c r="W3790" s="1095">
        <v>42292</v>
      </c>
      <c r="X3790" s="1094">
        <v>42293</v>
      </c>
      <c r="Y3790" s="386" t="s">
        <v>12142</v>
      </c>
      <c r="Z3790" s="824">
        <v>20286</v>
      </c>
      <c r="AA3790" s="1095">
        <v>42292</v>
      </c>
      <c r="AB3790" s="386" t="s">
        <v>12137</v>
      </c>
      <c r="AD3790" s="386" t="s">
        <v>12138</v>
      </c>
      <c r="AE3790" s="386" t="s">
        <v>8588</v>
      </c>
      <c r="AF3790" s="386" t="s">
        <v>12139</v>
      </c>
      <c r="AG3790" s="386"/>
    </row>
    <row r="3791" spans="1:33" ht="15.75" customHeight="1">
      <c r="A3791" s="743">
        <v>42306</v>
      </c>
      <c r="B3791" s="823" t="s">
        <v>12143</v>
      </c>
      <c r="C3791" s="386"/>
      <c r="D3791" s="386" t="s">
        <v>12144</v>
      </c>
      <c r="E3791" s="592" t="s">
        <v>12145</v>
      </c>
      <c r="F3791" s="1088">
        <v>1</v>
      </c>
      <c r="G3791" s="386"/>
      <c r="H3791" s="386"/>
      <c r="I3791" s="263" t="s">
        <v>170</v>
      </c>
      <c r="J3791" s="331" t="s">
        <v>70</v>
      </c>
      <c r="K3791" s="811">
        <v>42328</v>
      </c>
      <c r="L3791" s="1477"/>
      <c r="M3791" s="811">
        <v>42327</v>
      </c>
      <c r="N3791" s="267" t="s">
        <v>5882</v>
      </c>
      <c r="O3791" s="970" t="s">
        <v>12146</v>
      </c>
      <c r="Q3791" s="386"/>
      <c r="R3791" s="1088">
        <v>1600</v>
      </c>
      <c r="S3791" s="1098">
        <f t="shared" si="239"/>
        <v>1600</v>
      </c>
      <c r="U3791" s="386">
        <v>42884</v>
      </c>
      <c r="V3791" s="386"/>
      <c r="W3791" s="386"/>
      <c r="X3791" s="1091" t="s">
        <v>12146</v>
      </c>
      <c r="Y3791" s="386" t="s">
        <v>12146</v>
      </c>
      <c r="Z3791" s="386" t="s">
        <v>12146</v>
      </c>
      <c r="AA3791" s="386"/>
      <c r="AB3791" s="386" t="s">
        <v>12147</v>
      </c>
      <c r="AD3791" s="386"/>
      <c r="AE3791" s="386"/>
      <c r="AF3791" s="386"/>
      <c r="AG3791" s="386" t="s">
        <v>283</v>
      </c>
    </row>
    <row r="3792" spans="1:33" ht="15.75" customHeight="1">
      <c r="A3792" s="743">
        <v>42047</v>
      </c>
      <c r="B3792" s="823" t="s">
        <v>12148</v>
      </c>
      <c r="C3792" s="386"/>
      <c r="D3792" s="386" t="s">
        <v>12149</v>
      </c>
      <c r="E3792" s="592" t="s">
        <v>12150</v>
      </c>
      <c r="F3792" s="1088">
        <v>20</v>
      </c>
      <c r="G3792" s="386"/>
      <c r="H3792" s="386"/>
      <c r="I3792" s="263" t="s">
        <v>11727</v>
      </c>
      <c r="J3792" s="267" t="s">
        <v>315</v>
      </c>
      <c r="K3792" s="811">
        <v>42089</v>
      </c>
      <c r="L3792" s="1477"/>
      <c r="M3792" s="811">
        <v>42086</v>
      </c>
      <c r="N3792" s="267" t="s">
        <v>12151</v>
      </c>
      <c r="O3792" s="386" t="s">
        <v>12152</v>
      </c>
      <c r="Q3792" s="386"/>
      <c r="R3792" s="1088">
        <v>300</v>
      </c>
      <c r="S3792" s="464">
        <f t="shared" ref="S3792:S3798" si="240">R3792*F3792</f>
        <v>6000</v>
      </c>
      <c r="U3792" s="464">
        <v>171990</v>
      </c>
      <c r="V3792" s="318" t="s">
        <v>1969</v>
      </c>
      <c r="W3792" s="1099"/>
      <c r="X3792" s="811">
        <v>42086</v>
      </c>
      <c r="Y3792" s="318" t="s">
        <v>12153</v>
      </c>
      <c r="Z3792" s="1086">
        <v>171990</v>
      </c>
      <c r="AA3792" s="1095">
        <v>42083</v>
      </c>
      <c r="AB3792" s="318" t="s">
        <v>12154</v>
      </c>
      <c r="AD3792" s="386"/>
      <c r="AE3792" s="386"/>
      <c r="AF3792" s="386"/>
      <c r="AG3792" s="386" t="s">
        <v>8415</v>
      </c>
    </row>
    <row r="3793" spans="1:33" ht="15.75" customHeight="1">
      <c r="A3793" s="743">
        <v>42047</v>
      </c>
      <c r="B3793" s="823" t="s">
        <v>12148</v>
      </c>
      <c r="C3793" s="386"/>
      <c r="D3793" s="386" t="s">
        <v>12155</v>
      </c>
      <c r="E3793" s="592" t="s">
        <v>12150</v>
      </c>
      <c r="F3793" s="1088">
        <v>15</v>
      </c>
      <c r="G3793" s="386"/>
      <c r="H3793" s="386"/>
      <c r="I3793" s="263" t="s">
        <v>11727</v>
      </c>
      <c r="J3793" s="267" t="s">
        <v>12156</v>
      </c>
      <c r="K3793" s="811">
        <v>42117</v>
      </c>
      <c r="L3793" s="1477"/>
      <c r="M3793" s="811">
        <v>42115</v>
      </c>
      <c r="N3793" s="267" t="s">
        <v>12151</v>
      </c>
      <c r="O3793" s="386" t="s">
        <v>12157</v>
      </c>
      <c r="Q3793" s="386"/>
      <c r="R3793" s="1088">
        <v>300</v>
      </c>
      <c r="S3793" s="464">
        <f t="shared" si="240"/>
        <v>4500</v>
      </c>
      <c r="U3793" s="464">
        <v>128092</v>
      </c>
      <c r="V3793" s="318" t="s">
        <v>1969</v>
      </c>
      <c r="W3793" s="1099"/>
      <c r="X3793" s="1099">
        <v>42114</v>
      </c>
      <c r="Y3793" s="386" t="s">
        <v>12158</v>
      </c>
      <c r="Z3793" s="1214">
        <v>128092</v>
      </c>
      <c r="AA3793" s="1095">
        <v>42108</v>
      </c>
      <c r="AB3793" s="318" t="s">
        <v>12159</v>
      </c>
      <c r="AD3793" s="386"/>
      <c r="AE3793" s="386"/>
      <c r="AF3793" s="386"/>
      <c r="AG3793" s="386" t="s">
        <v>283</v>
      </c>
    </row>
    <row r="3794" spans="1:33" ht="15.75" customHeight="1">
      <c r="A3794" s="743">
        <v>42088</v>
      </c>
      <c r="B3794" s="823" t="s">
        <v>12148</v>
      </c>
      <c r="C3794" s="386"/>
      <c r="D3794" s="386" t="s">
        <v>12160</v>
      </c>
      <c r="E3794" s="592" t="s">
        <v>10157</v>
      </c>
      <c r="F3794" s="1088">
        <v>30</v>
      </c>
      <c r="G3794" s="386"/>
      <c r="H3794" s="386"/>
      <c r="I3794" s="263" t="s">
        <v>11727</v>
      </c>
      <c r="J3794" s="267" t="s">
        <v>12156</v>
      </c>
      <c r="K3794" s="811">
        <v>42117</v>
      </c>
      <c r="L3794" s="1477"/>
      <c r="M3794" s="811">
        <v>42108</v>
      </c>
      <c r="N3794" s="267" t="s">
        <v>6101</v>
      </c>
      <c r="O3794" s="386" t="s">
        <v>12161</v>
      </c>
      <c r="Q3794" s="386"/>
      <c r="R3794" s="1088">
        <v>14</v>
      </c>
      <c r="S3794" s="464">
        <f t="shared" si="240"/>
        <v>420</v>
      </c>
      <c r="U3794" s="1100">
        <v>11831</v>
      </c>
      <c r="V3794" s="386" t="s">
        <v>2010</v>
      </c>
      <c r="W3794" s="1090"/>
      <c r="X3794" s="1083">
        <v>42108</v>
      </c>
      <c r="Y3794" s="386" t="s">
        <v>12162</v>
      </c>
      <c r="Z3794" s="824">
        <v>11831</v>
      </c>
      <c r="AA3794" s="1095">
        <v>42096</v>
      </c>
      <c r="AB3794" s="318" t="s">
        <v>12159</v>
      </c>
      <c r="AD3794" s="386"/>
      <c r="AE3794" s="386"/>
      <c r="AF3794" s="386"/>
      <c r="AG3794" s="386" t="s">
        <v>283</v>
      </c>
    </row>
    <row r="3795" spans="1:33" ht="15.75" customHeight="1">
      <c r="A3795" s="743">
        <v>42110</v>
      </c>
      <c r="B3795" s="823" t="s">
        <v>12148</v>
      </c>
      <c r="C3795" s="386"/>
      <c r="D3795" s="386" t="s">
        <v>12163</v>
      </c>
      <c r="E3795" s="592" t="s">
        <v>9327</v>
      </c>
      <c r="F3795" s="1088">
        <v>20</v>
      </c>
      <c r="G3795" s="386"/>
      <c r="H3795" s="386"/>
      <c r="I3795" s="263" t="s">
        <v>11727</v>
      </c>
      <c r="J3795" s="267" t="s">
        <v>315</v>
      </c>
      <c r="K3795" s="811">
        <v>42131</v>
      </c>
      <c r="L3795" s="1477"/>
      <c r="M3795" s="811">
        <v>42129</v>
      </c>
      <c r="N3795" s="267" t="s">
        <v>12151</v>
      </c>
      <c r="O3795" s="970" t="s">
        <v>12164</v>
      </c>
      <c r="Q3795" s="386"/>
      <c r="R3795" s="1088">
        <v>184</v>
      </c>
      <c r="S3795" s="464">
        <f t="shared" si="240"/>
        <v>3680</v>
      </c>
      <c r="U3795" s="323">
        <v>106410</v>
      </c>
      <c r="V3795" s="386" t="s">
        <v>12165</v>
      </c>
      <c r="W3795" s="585"/>
      <c r="X3795" s="1099">
        <v>42128</v>
      </c>
      <c r="Y3795" s="386" t="s">
        <v>12166</v>
      </c>
      <c r="Z3795" s="824">
        <v>106410</v>
      </c>
      <c r="AA3795" s="1095">
        <v>42160</v>
      </c>
      <c r="AB3795" s="318" t="s">
        <v>12167</v>
      </c>
      <c r="AD3795" s="386"/>
      <c r="AE3795" s="386"/>
      <c r="AF3795" s="386"/>
      <c r="AG3795" s="386" t="s">
        <v>8415</v>
      </c>
    </row>
    <row r="3796" spans="1:33" ht="15.75" customHeight="1">
      <c r="A3796" s="743">
        <v>42110</v>
      </c>
      <c r="B3796" s="823" t="s">
        <v>12148</v>
      </c>
      <c r="C3796" s="386"/>
      <c r="D3796" s="386" t="s">
        <v>12163</v>
      </c>
      <c r="E3796" s="592" t="s">
        <v>12168</v>
      </c>
      <c r="F3796" s="1088">
        <v>20</v>
      </c>
      <c r="G3796" s="386"/>
      <c r="H3796" s="386"/>
      <c r="I3796" s="263" t="s">
        <v>11727</v>
      </c>
      <c r="J3796" s="267" t="s">
        <v>315</v>
      </c>
      <c r="K3796" s="811">
        <v>42131</v>
      </c>
      <c r="L3796" s="1477"/>
      <c r="M3796" s="811">
        <v>42124</v>
      </c>
      <c r="N3796" s="267" t="s">
        <v>10734</v>
      </c>
      <c r="O3796" s="970" t="s">
        <v>12169</v>
      </c>
      <c r="Q3796" s="386"/>
      <c r="R3796" s="1088">
        <v>9.5</v>
      </c>
      <c r="S3796" s="464">
        <f t="shared" si="240"/>
        <v>190</v>
      </c>
      <c r="U3796" s="752">
        <v>3150</v>
      </c>
      <c r="V3796" s="386" t="s">
        <v>11720</v>
      </c>
      <c r="W3796" s="1090"/>
      <c r="X3796" s="1095">
        <v>42124</v>
      </c>
      <c r="Y3796" s="386" t="s">
        <v>12170</v>
      </c>
      <c r="Z3796" s="824">
        <v>3150</v>
      </c>
      <c r="AA3796" s="1095">
        <v>42129</v>
      </c>
      <c r="AB3796" s="318" t="s">
        <v>12167</v>
      </c>
      <c r="AD3796" s="386"/>
      <c r="AE3796" s="386"/>
      <c r="AF3796" s="386"/>
      <c r="AG3796" s="386" t="s">
        <v>8415</v>
      </c>
    </row>
    <row r="3797" spans="1:33" ht="15.75" customHeight="1">
      <c r="A3797" s="743">
        <v>42117</v>
      </c>
      <c r="B3797" s="823" t="s">
        <v>12148</v>
      </c>
      <c r="C3797" s="386"/>
      <c r="D3797" s="386" t="s">
        <v>12171</v>
      </c>
      <c r="E3797" s="592" t="s">
        <v>12172</v>
      </c>
      <c r="F3797" s="1088">
        <v>8</v>
      </c>
      <c r="G3797" s="386"/>
      <c r="H3797" s="386"/>
      <c r="I3797" s="263" t="s">
        <v>11727</v>
      </c>
      <c r="J3797" s="267" t="s">
        <v>315</v>
      </c>
      <c r="K3797" s="811">
        <v>42131</v>
      </c>
      <c r="L3797" s="1477"/>
      <c r="M3797" s="811">
        <v>42129</v>
      </c>
      <c r="N3797" s="267" t="s">
        <v>10722</v>
      </c>
      <c r="O3797" s="970" t="s">
        <v>12173</v>
      </c>
      <c r="Q3797" s="386"/>
      <c r="R3797" s="1088">
        <v>135</v>
      </c>
      <c r="S3797" s="464">
        <f t="shared" si="240"/>
        <v>1080</v>
      </c>
      <c r="U3797" s="752">
        <v>29877.119999999999</v>
      </c>
      <c r="V3797" s="386" t="s">
        <v>12174</v>
      </c>
      <c r="W3797" s="386"/>
      <c r="X3797" s="1095">
        <v>42128</v>
      </c>
      <c r="Y3797" s="386" t="s">
        <v>10725</v>
      </c>
      <c r="Z3797" s="585" t="s">
        <v>12175</v>
      </c>
      <c r="AA3797" s="1095">
        <v>42160</v>
      </c>
      <c r="AB3797" s="318" t="s">
        <v>12167</v>
      </c>
      <c r="AD3797" s="386"/>
      <c r="AE3797" s="1097"/>
      <c r="AF3797" s="1097"/>
      <c r="AG3797" s="1088">
        <v>1050.48</v>
      </c>
    </row>
    <row r="3798" spans="1:33" ht="15.75" customHeight="1">
      <c r="A3798" s="743">
        <v>42138</v>
      </c>
      <c r="B3798" s="823" t="s">
        <v>12148</v>
      </c>
      <c r="C3798" s="970">
        <v>182</v>
      </c>
      <c r="D3798" s="386" t="s">
        <v>12176</v>
      </c>
      <c r="E3798" s="592" t="s">
        <v>9500</v>
      </c>
      <c r="F3798" s="1088">
        <v>30</v>
      </c>
      <c r="G3798" s="386"/>
      <c r="H3798" s="386"/>
      <c r="I3798" s="263" t="s">
        <v>11834</v>
      </c>
      <c r="J3798" s="267" t="s">
        <v>315</v>
      </c>
      <c r="K3798" s="1099">
        <v>42149</v>
      </c>
      <c r="L3798" s="1484"/>
      <c r="M3798" s="811">
        <v>42149</v>
      </c>
      <c r="N3798" s="267" t="s">
        <v>12151</v>
      </c>
      <c r="O3798" s="970" t="s">
        <v>12177</v>
      </c>
      <c r="Q3798" s="386"/>
      <c r="R3798" s="1088">
        <v>300</v>
      </c>
      <c r="S3798" s="464">
        <f t="shared" si="240"/>
        <v>9000</v>
      </c>
      <c r="U3798" s="323">
        <v>249140</v>
      </c>
      <c r="V3798" s="386" t="s">
        <v>12165</v>
      </c>
      <c r="W3798" s="585"/>
      <c r="X3798" s="1099">
        <v>42146</v>
      </c>
      <c r="Y3798" s="386" t="s">
        <v>12178</v>
      </c>
      <c r="Z3798" s="824">
        <v>249140</v>
      </c>
      <c r="AA3798" s="1095">
        <v>42160</v>
      </c>
      <c r="AB3798" s="318" t="s">
        <v>12179</v>
      </c>
      <c r="AD3798" s="386"/>
      <c r="AE3798" s="386"/>
      <c r="AF3798" s="386"/>
      <c r="AG3798" s="1088">
        <v>8945.43</v>
      </c>
    </row>
    <row r="3799" spans="1:33" ht="15.75" customHeight="1">
      <c r="A3799" s="743">
        <v>42192</v>
      </c>
      <c r="B3799" s="823" t="s">
        <v>12148</v>
      </c>
      <c r="C3799" s="386"/>
      <c r="D3799" s="386" t="s">
        <v>12180</v>
      </c>
      <c r="E3799" s="592" t="s">
        <v>12181</v>
      </c>
      <c r="F3799" s="1088">
        <v>1</v>
      </c>
      <c r="G3799" s="386"/>
      <c r="H3799" s="386"/>
      <c r="I3799" s="263" t="s">
        <v>170</v>
      </c>
      <c r="J3799" s="267" t="s">
        <v>315</v>
      </c>
      <c r="K3799" s="811">
        <v>42205</v>
      </c>
      <c r="L3799" s="1477"/>
      <c r="M3799" s="811">
        <v>42199</v>
      </c>
      <c r="N3799" s="1198" t="s">
        <v>12182</v>
      </c>
      <c r="O3799" s="970" t="s">
        <v>12183</v>
      </c>
      <c r="Q3799" s="386"/>
      <c r="R3799" s="1088">
        <v>15</v>
      </c>
      <c r="S3799" s="1098">
        <f t="shared" ref="S3799:S3822" si="241">F3799*R3799</f>
        <v>15</v>
      </c>
      <c r="U3799" s="1215">
        <v>293</v>
      </c>
      <c r="V3799" s="1199" t="s">
        <v>12184</v>
      </c>
      <c r="W3799" s="386"/>
      <c r="X3799" s="1094">
        <v>42198</v>
      </c>
      <c r="Y3799" s="386" t="s">
        <v>12185</v>
      </c>
      <c r="Z3799" s="585">
        <v>293</v>
      </c>
      <c r="AA3799" s="1095">
        <v>42198</v>
      </c>
      <c r="AB3799" s="318" t="s">
        <v>12186</v>
      </c>
      <c r="AD3799" s="386"/>
      <c r="AE3799" s="386"/>
      <c r="AF3799" s="386"/>
      <c r="AG3799" s="1091" t="s">
        <v>283</v>
      </c>
    </row>
    <row r="3800" spans="1:33" ht="15.75" customHeight="1">
      <c r="A3800" s="743">
        <v>42198</v>
      </c>
      <c r="B3800" s="823" t="s">
        <v>12148</v>
      </c>
      <c r="C3800" s="386"/>
      <c r="D3800" s="386" t="s">
        <v>12187</v>
      </c>
      <c r="E3800" s="592" t="s">
        <v>10157</v>
      </c>
      <c r="F3800" s="1088">
        <v>30</v>
      </c>
      <c r="G3800" s="386"/>
      <c r="H3800" s="386"/>
      <c r="I3800" s="263" t="s">
        <v>170</v>
      </c>
      <c r="J3800" s="267" t="s">
        <v>12188</v>
      </c>
      <c r="K3800" s="811">
        <v>42205</v>
      </c>
      <c r="L3800" s="1477"/>
      <c r="M3800" s="811">
        <v>42201</v>
      </c>
      <c r="N3800" s="267" t="s">
        <v>6101</v>
      </c>
      <c r="O3800" s="970" t="s">
        <v>12189</v>
      </c>
      <c r="Q3800" s="386"/>
      <c r="R3800" s="1088">
        <v>14</v>
      </c>
      <c r="S3800" s="1098">
        <f t="shared" si="241"/>
        <v>420</v>
      </c>
      <c r="U3800" s="752">
        <v>11711</v>
      </c>
      <c r="V3800" s="386" t="s">
        <v>2010</v>
      </c>
      <c r="W3800" s="386"/>
      <c r="X3800" s="1094">
        <v>42200</v>
      </c>
      <c r="Y3800" s="386" t="s">
        <v>12190</v>
      </c>
      <c r="Z3800" s="824">
        <v>11711</v>
      </c>
      <c r="AA3800" s="1095">
        <v>42199</v>
      </c>
      <c r="AB3800" s="318" t="s">
        <v>12191</v>
      </c>
      <c r="AD3800" s="386"/>
      <c r="AE3800" s="386"/>
      <c r="AF3800" s="386"/>
      <c r="AG3800" s="1091" t="s">
        <v>283</v>
      </c>
    </row>
    <row r="3801" spans="1:33" ht="15.75" customHeight="1">
      <c r="A3801" s="743">
        <v>42209</v>
      </c>
      <c r="B3801" s="823" t="s">
        <v>12148</v>
      </c>
      <c r="C3801" s="386"/>
      <c r="D3801" s="386" t="s">
        <v>12192</v>
      </c>
      <c r="E3801" s="823" t="s">
        <v>12193</v>
      </c>
      <c r="F3801" s="1088">
        <v>100</v>
      </c>
      <c r="G3801" s="386"/>
      <c r="H3801" s="386"/>
      <c r="I3801" s="263" t="s">
        <v>170</v>
      </c>
      <c r="J3801" s="267" t="s">
        <v>315</v>
      </c>
      <c r="K3801" s="811">
        <v>42247</v>
      </c>
      <c r="L3801" s="1477"/>
      <c r="M3801" s="811">
        <v>42217</v>
      </c>
      <c r="N3801" s="267" t="s">
        <v>6101</v>
      </c>
      <c r="O3801" s="970" t="s">
        <v>12194</v>
      </c>
      <c r="Q3801" s="386"/>
      <c r="R3801" s="1088">
        <v>20</v>
      </c>
      <c r="S3801" s="1098">
        <f t="shared" si="241"/>
        <v>2000</v>
      </c>
      <c r="U3801" s="752">
        <v>57459</v>
      </c>
      <c r="V3801" s="386" t="s">
        <v>2010</v>
      </c>
      <c r="W3801" s="1095">
        <v>42216</v>
      </c>
      <c r="X3801" s="1094">
        <v>42216</v>
      </c>
      <c r="Y3801" s="386" t="s">
        <v>12195</v>
      </c>
      <c r="Z3801" s="824">
        <v>57459</v>
      </c>
      <c r="AA3801" s="1095">
        <v>42215</v>
      </c>
      <c r="AB3801" s="386" t="s">
        <v>12196</v>
      </c>
      <c r="AD3801" s="386"/>
      <c r="AE3801" s="386"/>
      <c r="AF3801" s="386"/>
      <c r="AG3801" s="1091" t="s">
        <v>283</v>
      </c>
    </row>
    <row r="3802" spans="1:33" ht="15.75" customHeight="1">
      <c r="A3802" s="743">
        <v>42212</v>
      </c>
      <c r="B3802" s="823" t="s">
        <v>12148</v>
      </c>
      <c r="C3802" s="970">
        <v>369</v>
      </c>
      <c r="D3802" s="386" t="s">
        <v>12197</v>
      </c>
      <c r="E3802" s="592" t="s">
        <v>12150</v>
      </c>
      <c r="F3802" s="1088">
        <v>20</v>
      </c>
      <c r="G3802" s="386"/>
      <c r="H3802" s="386"/>
      <c r="I3802" s="263" t="s">
        <v>170</v>
      </c>
      <c r="J3802" s="267" t="s">
        <v>315</v>
      </c>
      <c r="K3802" s="811">
        <v>42247</v>
      </c>
      <c r="L3802" s="1477"/>
      <c r="M3802" s="811">
        <v>42243</v>
      </c>
      <c r="N3802" s="267" t="s">
        <v>12151</v>
      </c>
      <c r="O3802" s="970" t="s">
        <v>12198</v>
      </c>
      <c r="Q3802" s="386"/>
      <c r="R3802" s="1088">
        <v>300</v>
      </c>
      <c r="S3802" s="1098">
        <f t="shared" si="241"/>
        <v>6000</v>
      </c>
      <c r="U3802" s="464">
        <f>5460*32.68</f>
        <v>178432.8</v>
      </c>
      <c r="V3802" s="386" t="s">
        <v>12165</v>
      </c>
      <c r="W3802" s="1099">
        <v>42282</v>
      </c>
      <c r="X3802" s="1099">
        <v>42242</v>
      </c>
      <c r="Y3802" s="386" t="s">
        <v>12199</v>
      </c>
      <c r="Z3802" s="824">
        <v>178433</v>
      </c>
      <c r="AA3802" s="1095">
        <v>42284</v>
      </c>
      <c r="AB3802" s="386" t="s">
        <v>12196</v>
      </c>
      <c r="AD3802" s="386"/>
      <c r="AE3802" s="386"/>
      <c r="AF3802" s="386"/>
      <c r="AG3802" s="1091" t="s">
        <v>283</v>
      </c>
    </row>
    <row r="3803" spans="1:33" ht="15.75" customHeight="1">
      <c r="A3803" s="743">
        <v>42222</v>
      </c>
      <c r="B3803" s="823" t="s">
        <v>12148</v>
      </c>
      <c r="C3803" s="970">
        <v>406</v>
      </c>
      <c r="D3803" s="386" t="s">
        <v>12200</v>
      </c>
      <c r="E3803" s="592" t="s">
        <v>12201</v>
      </c>
      <c r="F3803" s="1088">
        <v>1</v>
      </c>
      <c r="G3803" s="386"/>
      <c r="H3803" s="386"/>
      <c r="I3803" s="263" t="s">
        <v>170</v>
      </c>
      <c r="J3803" s="267" t="s">
        <v>315</v>
      </c>
      <c r="K3803" s="811">
        <v>42247</v>
      </c>
      <c r="L3803" s="1477"/>
      <c r="M3803" s="1192">
        <v>42230</v>
      </c>
      <c r="N3803" s="1198" t="s">
        <v>12202</v>
      </c>
      <c r="O3803" s="386"/>
      <c r="Q3803" s="386"/>
      <c r="R3803" s="1088">
        <v>34</v>
      </c>
      <c r="S3803" s="752">
        <f t="shared" si="241"/>
        <v>34</v>
      </c>
      <c r="U3803" s="752">
        <v>650</v>
      </c>
      <c r="V3803" s="1199" t="s">
        <v>12203</v>
      </c>
      <c r="W3803" s="1095">
        <v>42226</v>
      </c>
      <c r="X3803" s="1094">
        <v>42226</v>
      </c>
      <c r="Y3803" s="386" t="s">
        <v>12204</v>
      </c>
      <c r="Z3803" s="585">
        <v>650</v>
      </c>
      <c r="AA3803" s="1095">
        <v>42226</v>
      </c>
      <c r="AB3803" s="386" t="s">
        <v>12196</v>
      </c>
      <c r="AD3803" s="386"/>
      <c r="AE3803" s="386"/>
      <c r="AF3803" s="386"/>
      <c r="AG3803" s="1091" t="s">
        <v>283</v>
      </c>
    </row>
    <row r="3804" spans="1:33" ht="15.75" customHeight="1">
      <c r="A3804" s="775">
        <v>42255</v>
      </c>
      <c r="B3804" s="823" t="s">
        <v>12148</v>
      </c>
      <c r="C3804" s="762">
        <v>433</v>
      </c>
      <c r="D3804" s="779" t="s">
        <v>12205</v>
      </c>
      <c r="E3804" s="765" t="s">
        <v>12206</v>
      </c>
      <c r="F3804" s="909">
        <v>0</v>
      </c>
      <c r="G3804" s="386"/>
      <c r="H3804" s="386"/>
      <c r="I3804" s="762" t="s">
        <v>170</v>
      </c>
      <c r="J3804" s="763" t="s">
        <v>315</v>
      </c>
      <c r="K3804" s="280" t="s">
        <v>11651</v>
      </c>
      <c r="L3804" s="1485"/>
      <c r="M3804" s="814">
        <v>42258</v>
      </c>
      <c r="N3804" s="763" t="s">
        <v>6101</v>
      </c>
      <c r="O3804" s="1024" t="s">
        <v>12207</v>
      </c>
      <c r="Q3804" s="386"/>
      <c r="R3804" s="909">
        <v>37</v>
      </c>
      <c r="S3804" s="1216">
        <f t="shared" si="241"/>
        <v>0</v>
      </c>
      <c r="U3804" s="909">
        <v>1092</v>
      </c>
      <c r="V3804" s="836" t="s">
        <v>2010</v>
      </c>
      <c r="W3804" s="1217">
        <v>42271</v>
      </c>
      <c r="X3804" s="1218">
        <v>42257</v>
      </c>
      <c r="Y3804" s="836" t="s">
        <v>12208</v>
      </c>
      <c r="Z3804" s="1219">
        <v>1094</v>
      </c>
      <c r="AA3804" s="1217">
        <v>42279</v>
      </c>
      <c r="AB3804" s="1220"/>
      <c r="AD3804" s="386"/>
      <c r="AE3804" s="386"/>
      <c r="AF3804" s="386"/>
      <c r="AG3804" s="386"/>
    </row>
    <row r="3805" spans="1:33" ht="15.75" customHeight="1">
      <c r="A3805" s="743">
        <v>42299</v>
      </c>
      <c r="B3805" s="823" t="s">
        <v>12148</v>
      </c>
      <c r="C3805" s="970">
        <v>576</v>
      </c>
      <c r="D3805" s="386" t="s">
        <v>12209</v>
      </c>
      <c r="E3805" s="592" t="s">
        <v>10157</v>
      </c>
      <c r="F3805" s="1088">
        <v>50</v>
      </c>
      <c r="G3805" s="386"/>
      <c r="H3805" s="386"/>
      <c r="I3805" s="263" t="s">
        <v>170</v>
      </c>
      <c r="J3805" s="267" t="s">
        <v>315</v>
      </c>
      <c r="K3805" s="811">
        <v>42303</v>
      </c>
      <c r="L3805" s="1477"/>
      <c r="M3805" s="811">
        <v>42300</v>
      </c>
      <c r="N3805" s="267" t="s">
        <v>6101</v>
      </c>
      <c r="O3805" s="970" t="s">
        <v>12210</v>
      </c>
      <c r="Q3805" s="386"/>
      <c r="R3805" s="1088">
        <v>14</v>
      </c>
      <c r="S3805" s="1098">
        <f t="shared" si="241"/>
        <v>700</v>
      </c>
      <c r="U3805" s="752">
        <v>20418</v>
      </c>
      <c r="V3805" s="386" t="s">
        <v>2010</v>
      </c>
      <c r="W3805" s="1094">
        <v>42318</v>
      </c>
      <c r="X3805" s="1094">
        <v>42299</v>
      </c>
      <c r="Y3805" s="386" t="s">
        <v>12211</v>
      </c>
      <c r="Z3805" s="824">
        <v>20418</v>
      </c>
      <c r="AA3805" s="1094">
        <v>42320</v>
      </c>
      <c r="AB3805" s="386" t="s">
        <v>12212</v>
      </c>
      <c r="AD3805" s="386"/>
      <c r="AE3805" s="1097"/>
      <c r="AF3805" s="386"/>
      <c r="AG3805" s="386" t="s">
        <v>283</v>
      </c>
    </row>
    <row r="3806" spans="1:33" ht="15.75" customHeight="1">
      <c r="A3806" s="743">
        <v>42304</v>
      </c>
      <c r="B3806" s="823" t="s">
        <v>12148</v>
      </c>
      <c r="C3806" s="386"/>
      <c r="D3806" s="386" t="s">
        <v>12213</v>
      </c>
      <c r="E3806" s="592" t="s">
        <v>12214</v>
      </c>
      <c r="F3806" s="1088">
        <v>2</v>
      </c>
      <c r="G3806" s="386"/>
      <c r="H3806" s="386"/>
      <c r="I3806" s="263" t="s">
        <v>170</v>
      </c>
      <c r="J3806" s="592"/>
      <c r="K3806" s="811">
        <v>42340</v>
      </c>
      <c r="L3806" s="1477"/>
      <c r="M3806" s="811">
        <v>42327</v>
      </c>
      <c r="N3806" s="267" t="s">
        <v>2006</v>
      </c>
      <c r="O3806" s="386"/>
      <c r="Q3806" s="386"/>
      <c r="R3806" s="1088">
        <v>6.2</v>
      </c>
      <c r="S3806" s="1098">
        <f t="shared" si="241"/>
        <v>12.4</v>
      </c>
      <c r="U3806" s="1088">
        <v>0</v>
      </c>
      <c r="V3806" s="386"/>
      <c r="W3806" s="386"/>
      <c r="X3806" s="1088" t="s">
        <v>5529</v>
      </c>
      <c r="Y3806" s="386" t="s">
        <v>5529</v>
      </c>
      <c r="Z3806" s="386" t="s">
        <v>5529</v>
      </c>
      <c r="AA3806" s="386" t="s">
        <v>12215</v>
      </c>
      <c r="AB3806" s="386" t="s">
        <v>12216</v>
      </c>
      <c r="AD3806" s="386"/>
      <c r="AE3806" s="386"/>
      <c r="AF3806" s="386"/>
      <c r="AG3806" s="386"/>
    </row>
    <row r="3807" spans="1:33" ht="15.75" customHeight="1">
      <c r="A3807" s="743">
        <v>42304</v>
      </c>
      <c r="B3807" s="823" t="s">
        <v>12148</v>
      </c>
      <c r="C3807" s="386"/>
      <c r="D3807" s="386" t="s">
        <v>12213</v>
      </c>
      <c r="E3807" s="592" t="s">
        <v>12217</v>
      </c>
      <c r="F3807" s="1088">
        <v>2</v>
      </c>
      <c r="G3807" s="386"/>
      <c r="H3807" s="386"/>
      <c r="I3807" s="263" t="s">
        <v>170</v>
      </c>
      <c r="J3807" s="592"/>
      <c r="K3807" s="811">
        <v>42340</v>
      </c>
      <c r="L3807" s="1477"/>
      <c r="M3807" s="1192">
        <v>42340</v>
      </c>
      <c r="N3807" s="267" t="s">
        <v>2006</v>
      </c>
      <c r="O3807" s="386"/>
      <c r="Q3807" s="386"/>
      <c r="R3807" s="1088">
        <v>4</v>
      </c>
      <c r="S3807" s="1098">
        <f t="shared" si="241"/>
        <v>8</v>
      </c>
      <c r="U3807" s="1088">
        <v>0</v>
      </c>
      <c r="V3807" s="386"/>
      <c r="W3807" s="386"/>
      <c r="X3807" s="1088" t="s">
        <v>5529</v>
      </c>
      <c r="Y3807" s="386" t="s">
        <v>5529</v>
      </c>
      <c r="Z3807" s="386" t="s">
        <v>5529</v>
      </c>
      <c r="AA3807" s="386" t="s">
        <v>12215</v>
      </c>
      <c r="AB3807" s="386" t="s">
        <v>12216</v>
      </c>
      <c r="AD3807" s="386"/>
      <c r="AE3807" s="386"/>
      <c r="AF3807" s="386"/>
      <c r="AG3807" s="386"/>
    </row>
    <row r="3808" spans="1:33" ht="15.75" customHeight="1">
      <c r="A3808" s="743">
        <v>42307</v>
      </c>
      <c r="B3808" s="823" t="s">
        <v>12148</v>
      </c>
      <c r="C3808" s="970">
        <v>595</v>
      </c>
      <c r="D3808" s="386" t="s">
        <v>12218</v>
      </c>
      <c r="E3808" s="592" t="s">
        <v>12150</v>
      </c>
      <c r="F3808" s="1088">
        <v>30</v>
      </c>
      <c r="G3808" s="386"/>
      <c r="H3808" s="386"/>
      <c r="I3808" s="263" t="s">
        <v>170</v>
      </c>
      <c r="J3808" s="267" t="s">
        <v>315</v>
      </c>
      <c r="K3808" s="811">
        <v>42328</v>
      </c>
      <c r="L3808" s="1477"/>
      <c r="M3808" s="811">
        <v>42324</v>
      </c>
      <c r="N3808" s="267" t="s">
        <v>12151</v>
      </c>
      <c r="O3808" s="970" t="s">
        <v>12219</v>
      </c>
      <c r="Q3808" s="386"/>
      <c r="R3808" s="1088">
        <v>300</v>
      </c>
      <c r="S3808" s="1098">
        <f t="shared" si="241"/>
        <v>9000</v>
      </c>
      <c r="U3808" s="464">
        <v>268714</v>
      </c>
      <c r="V3808" s="386" t="s">
        <v>12165</v>
      </c>
      <c r="W3808" s="1099">
        <v>42354</v>
      </c>
      <c r="X3808" s="1099">
        <v>42324</v>
      </c>
      <c r="Y3808" s="386" t="s">
        <v>12220</v>
      </c>
      <c r="Z3808" s="824">
        <v>268714</v>
      </c>
      <c r="AA3808" s="1090">
        <v>42356</v>
      </c>
      <c r="AB3808" s="386" t="s">
        <v>12221</v>
      </c>
      <c r="AD3808" s="386"/>
      <c r="AE3808" s="386"/>
      <c r="AF3808" s="386"/>
      <c r="AG3808" s="386" t="s">
        <v>283</v>
      </c>
    </row>
    <row r="3809" spans="1:33" ht="15.75" customHeight="1">
      <c r="A3809" s="743">
        <v>42314</v>
      </c>
      <c r="B3809" s="823" t="s">
        <v>12148</v>
      </c>
      <c r="C3809" s="386">
        <v>627</v>
      </c>
      <c r="D3809" s="386" t="s">
        <v>12222</v>
      </c>
      <c r="E3809" s="592" t="s">
        <v>6445</v>
      </c>
      <c r="F3809" s="386">
        <v>2</v>
      </c>
      <c r="G3809" s="386"/>
      <c r="H3809" s="386"/>
      <c r="I3809" s="263" t="s">
        <v>170</v>
      </c>
      <c r="J3809" s="338" t="s">
        <v>12223</v>
      </c>
      <c r="K3809" s="811">
        <v>42320</v>
      </c>
      <c r="L3809" s="1477"/>
      <c r="M3809" s="1096">
        <v>42318</v>
      </c>
      <c r="N3809" s="267" t="s">
        <v>12224</v>
      </c>
      <c r="O3809" s="386" t="s">
        <v>12225</v>
      </c>
      <c r="Q3809" s="386"/>
      <c r="R3809" s="386">
        <v>100</v>
      </c>
      <c r="S3809" s="1098">
        <f t="shared" si="241"/>
        <v>200</v>
      </c>
      <c r="U3809" s="318">
        <v>5797</v>
      </c>
      <c r="V3809" s="386" t="s">
        <v>12226</v>
      </c>
      <c r="W3809" s="1094">
        <v>42317</v>
      </c>
      <c r="X3809" s="1090">
        <v>42318</v>
      </c>
      <c r="Y3809" s="386" t="s">
        <v>12227</v>
      </c>
      <c r="Z3809" s="1110">
        <v>5797</v>
      </c>
      <c r="AA3809" s="1090">
        <v>42317</v>
      </c>
      <c r="AB3809" s="386" t="s">
        <v>12228</v>
      </c>
      <c r="AD3809" s="386"/>
      <c r="AE3809" s="386"/>
      <c r="AF3809" s="386"/>
      <c r="AG3809" s="386" t="s">
        <v>283</v>
      </c>
    </row>
    <row r="3810" spans="1:33" ht="15.75" customHeight="1">
      <c r="A3810" s="743">
        <v>42314</v>
      </c>
      <c r="B3810" s="823" t="s">
        <v>12148</v>
      </c>
      <c r="C3810" s="386">
        <v>627</v>
      </c>
      <c r="D3810" s="386" t="s">
        <v>12222</v>
      </c>
      <c r="E3810" s="592" t="s">
        <v>8826</v>
      </c>
      <c r="F3810" s="386">
        <v>2</v>
      </c>
      <c r="G3810" s="386"/>
      <c r="H3810" s="386"/>
      <c r="I3810" s="263" t="s">
        <v>170</v>
      </c>
      <c r="J3810" s="338" t="s">
        <v>12223</v>
      </c>
      <c r="K3810" s="811">
        <v>42320</v>
      </c>
      <c r="L3810" s="1477"/>
      <c r="M3810" s="1096">
        <v>42319</v>
      </c>
      <c r="N3810" s="267" t="s">
        <v>12229</v>
      </c>
      <c r="O3810" s="386"/>
      <c r="Q3810" s="386"/>
      <c r="R3810" s="386">
        <v>0</v>
      </c>
      <c r="S3810" s="1098">
        <f t="shared" si="241"/>
        <v>0</v>
      </c>
      <c r="U3810" s="386">
        <v>0</v>
      </c>
      <c r="V3810" s="386"/>
      <c r="W3810" s="386"/>
      <c r="X3810" s="1088" t="s">
        <v>5529</v>
      </c>
      <c r="Y3810" s="1088" t="s">
        <v>5529</v>
      </c>
      <c r="Z3810" s="1088" t="s">
        <v>5529</v>
      </c>
      <c r="AA3810" s="386" t="s">
        <v>12215</v>
      </c>
      <c r="AB3810" s="386" t="s">
        <v>12228</v>
      </c>
      <c r="AD3810" s="386"/>
      <c r="AE3810" s="386"/>
      <c r="AF3810" s="386"/>
      <c r="AG3810" s="386" t="s">
        <v>283</v>
      </c>
    </row>
    <row r="3811" spans="1:33" ht="15.75" customHeight="1">
      <c r="A3811" s="743">
        <v>42314</v>
      </c>
      <c r="B3811" s="823" t="s">
        <v>12148</v>
      </c>
      <c r="C3811" s="386">
        <v>627</v>
      </c>
      <c r="D3811" s="386" t="s">
        <v>12222</v>
      </c>
      <c r="E3811" s="592" t="s">
        <v>12230</v>
      </c>
      <c r="F3811" s="386">
        <v>2</v>
      </c>
      <c r="G3811" s="386"/>
      <c r="H3811" s="386"/>
      <c r="I3811" s="263" t="s">
        <v>170</v>
      </c>
      <c r="J3811" s="338" t="s">
        <v>12223</v>
      </c>
      <c r="K3811" s="811">
        <v>42320</v>
      </c>
      <c r="L3811" s="1477"/>
      <c r="M3811" s="1096">
        <v>42319</v>
      </c>
      <c r="N3811" s="267" t="s">
        <v>12229</v>
      </c>
      <c r="O3811" s="386"/>
      <c r="Q3811" s="386"/>
      <c r="R3811" s="386">
        <v>0</v>
      </c>
      <c r="S3811" s="1098">
        <f t="shared" si="241"/>
        <v>0</v>
      </c>
      <c r="U3811" s="386">
        <v>0</v>
      </c>
      <c r="V3811" s="386"/>
      <c r="W3811" s="386"/>
      <c r="X3811" s="1088" t="s">
        <v>5529</v>
      </c>
      <c r="Y3811" s="1088" t="s">
        <v>5529</v>
      </c>
      <c r="Z3811" s="1088" t="s">
        <v>5529</v>
      </c>
      <c r="AA3811" s="386" t="s">
        <v>12215</v>
      </c>
      <c r="AB3811" s="386" t="s">
        <v>12228</v>
      </c>
      <c r="AD3811" s="386"/>
      <c r="AE3811" s="386"/>
      <c r="AF3811" s="386"/>
      <c r="AG3811" s="386" t="s">
        <v>283</v>
      </c>
    </row>
    <row r="3812" spans="1:33" ht="15.75" customHeight="1">
      <c r="A3812" s="743">
        <v>42319</v>
      </c>
      <c r="B3812" s="823" t="s">
        <v>12148</v>
      </c>
      <c r="C3812" s="386"/>
      <c r="D3812" s="386" t="s">
        <v>12231</v>
      </c>
      <c r="E3812" s="386" t="s">
        <v>8828</v>
      </c>
      <c r="F3812" s="386">
        <v>2</v>
      </c>
      <c r="G3812" s="386"/>
      <c r="H3812" s="386"/>
      <c r="I3812" s="263" t="s">
        <v>170</v>
      </c>
      <c r="J3812" s="338" t="s">
        <v>12223</v>
      </c>
      <c r="K3812" s="811">
        <v>42320</v>
      </c>
      <c r="L3812" s="1477"/>
      <c r="M3812" s="1096">
        <v>42320</v>
      </c>
      <c r="N3812" s="267" t="s">
        <v>12229</v>
      </c>
      <c r="O3812" s="657"/>
      <c r="Q3812" s="657"/>
      <c r="R3812" s="386">
        <v>7.5</v>
      </c>
      <c r="S3812" s="1098">
        <f t="shared" si="241"/>
        <v>15</v>
      </c>
      <c r="U3812" s="318">
        <v>399</v>
      </c>
      <c r="V3812" s="386" t="s">
        <v>185</v>
      </c>
      <c r="W3812" s="1185">
        <v>42319</v>
      </c>
      <c r="X3812" s="1090">
        <v>42320</v>
      </c>
      <c r="Y3812" s="386" t="s">
        <v>12232</v>
      </c>
      <c r="Z3812" s="1097">
        <v>521</v>
      </c>
      <c r="AA3812" s="1090">
        <v>42319</v>
      </c>
      <c r="AB3812" s="386" t="s">
        <v>12228</v>
      </c>
      <c r="AD3812" s="386"/>
      <c r="AE3812" s="386"/>
      <c r="AF3812" s="386"/>
      <c r="AG3812" s="386" t="s">
        <v>283</v>
      </c>
    </row>
    <row r="3813" spans="1:33" ht="15.75" customHeight="1">
      <c r="A3813" s="743">
        <v>42319</v>
      </c>
      <c r="B3813" s="823" t="s">
        <v>12148</v>
      </c>
      <c r="C3813" s="386"/>
      <c r="D3813" s="386" t="s">
        <v>12231</v>
      </c>
      <c r="E3813" s="386" t="s">
        <v>6452</v>
      </c>
      <c r="F3813" s="386">
        <v>2</v>
      </c>
      <c r="G3813" s="386"/>
      <c r="H3813" s="386"/>
      <c r="I3813" s="263" t="s">
        <v>170</v>
      </c>
      <c r="J3813" s="338" t="s">
        <v>12223</v>
      </c>
      <c r="K3813" s="811">
        <v>42320</v>
      </c>
      <c r="L3813" s="1477"/>
      <c r="M3813" s="1096">
        <v>42320</v>
      </c>
      <c r="N3813" s="267" t="s">
        <v>12229</v>
      </c>
      <c r="O3813" s="657"/>
      <c r="Q3813" s="657"/>
      <c r="R3813" s="386">
        <v>0</v>
      </c>
      <c r="S3813" s="1098">
        <f t="shared" si="241"/>
        <v>0</v>
      </c>
      <c r="U3813" s="318">
        <v>122</v>
      </c>
      <c r="V3813" s="386" t="s">
        <v>185</v>
      </c>
      <c r="W3813" s="1185">
        <v>42319</v>
      </c>
      <c r="X3813" s="1090">
        <v>42320</v>
      </c>
      <c r="Y3813" s="386" t="s">
        <v>12232</v>
      </c>
      <c r="Z3813" s="1088" t="s">
        <v>8588</v>
      </c>
      <c r="AA3813" s="1090">
        <v>42319</v>
      </c>
      <c r="AB3813" s="386" t="s">
        <v>12228</v>
      </c>
      <c r="AD3813" s="386"/>
      <c r="AE3813" s="386"/>
      <c r="AF3813" s="386"/>
      <c r="AG3813" s="386" t="s">
        <v>283</v>
      </c>
    </row>
    <row r="3814" spans="1:33" ht="15.75" customHeight="1">
      <c r="A3814" s="743">
        <v>42319</v>
      </c>
      <c r="B3814" s="823" t="s">
        <v>12148</v>
      </c>
      <c r="C3814" s="386"/>
      <c r="D3814" s="386" t="s">
        <v>12231</v>
      </c>
      <c r="E3814" s="386" t="s">
        <v>12233</v>
      </c>
      <c r="F3814" s="386">
        <v>1</v>
      </c>
      <c r="G3814" s="386"/>
      <c r="H3814" s="386"/>
      <c r="I3814" s="263" t="s">
        <v>170</v>
      </c>
      <c r="J3814" s="338" t="s">
        <v>12223</v>
      </c>
      <c r="K3814" s="811">
        <v>42320</v>
      </c>
      <c r="L3814" s="1477"/>
      <c r="M3814" s="1090">
        <v>42320</v>
      </c>
      <c r="N3814" s="267" t="s">
        <v>12229</v>
      </c>
      <c r="O3814" s="386"/>
      <c r="Q3814" s="386"/>
      <c r="R3814" s="386">
        <v>0</v>
      </c>
      <c r="S3814" s="1098">
        <f t="shared" si="241"/>
        <v>0</v>
      </c>
      <c r="U3814" s="386">
        <v>0</v>
      </c>
      <c r="V3814" s="386" t="s">
        <v>185</v>
      </c>
      <c r="W3814" s="1090"/>
      <c r="X3814" s="1090"/>
      <c r="Y3814" s="386" t="s">
        <v>12234</v>
      </c>
      <c r="Z3814" s="386" t="s">
        <v>12234</v>
      </c>
      <c r="AA3814" s="386" t="s">
        <v>12234</v>
      </c>
      <c r="AB3814" s="386" t="s">
        <v>12228</v>
      </c>
      <c r="AD3814" s="386"/>
      <c r="AE3814" s="386"/>
      <c r="AF3814" s="386"/>
      <c r="AG3814" s="386" t="s">
        <v>283</v>
      </c>
    </row>
    <row r="3815" spans="1:33" ht="15.75" customHeight="1">
      <c r="A3815" s="743">
        <v>42327</v>
      </c>
      <c r="B3815" s="823" t="s">
        <v>12148</v>
      </c>
      <c r="C3815" s="386">
        <v>663</v>
      </c>
      <c r="D3815" s="386" t="s">
        <v>12235</v>
      </c>
      <c r="E3815" s="592" t="s">
        <v>12236</v>
      </c>
      <c r="F3815" s="386">
        <v>3</v>
      </c>
      <c r="G3815" s="386"/>
      <c r="H3815" s="386"/>
      <c r="I3815" s="263" t="s">
        <v>170</v>
      </c>
      <c r="J3815" s="592" t="s">
        <v>8447</v>
      </c>
      <c r="K3815" s="811">
        <v>42340</v>
      </c>
      <c r="L3815" s="1477"/>
      <c r="M3815" s="811">
        <v>42335</v>
      </c>
      <c r="N3815" s="267" t="s">
        <v>12229</v>
      </c>
      <c r="O3815" s="386" t="s">
        <v>12237</v>
      </c>
      <c r="Q3815" s="386"/>
      <c r="R3815" s="386">
        <v>1.9</v>
      </c>
      <c r="S3815" s="1098">
        <f t="shared" si="241"/>
        <v>5.6999999999999993</v>
      </c>
      <c r="U3815" s="318">
        <f>159*1.05</f>
        <v>166.95000000000002</v>
      </c>
      <c r="V3815" s="386" t="s">
        <v>185</v>
      </c>
      <c r="W3815" s="1094">
        <v>42333</v>
      </c>
      <c r="X3815" s="1090">
        <v>42334</v>
      </c>
      <c r="Y3815" s="386" t="s">
        <v>12238</v>
      </c>
      <c r="Z3815" s="824">
        <v>5333</v>
      </c>
      <c r="AA3815" s="1090">
        <v>42333</v>
      </c>
      <c r="AB3815" s="386" t="s">
        <v>12216</v>
      </c>
      <c r="AD3815" s="386"/>
      <c r="AE3815" s="386"/>
      <c r="AF3815" s="386"/>
      <c r="AG3815" s="386" t="s">
        <v>283</v>
      </c>
    </row>
    <row r="3816" spans="1:33" ht="15.75" customHeight="1">
      <c r="A3816" s="743">
        <v>42327</v>
      </c>
      <c r="B3816" s="823" t="s">
        <v>12148</v>
      </c>
      <c r="C3816" s="386">
        <v>663</v>
      </c>
      <c r="D3816" s="386" t="s">
        <v>12235</v>
      </c>
      <c r="E3816" s="592" t="s">
        <v>12239</v>
      </c>
      <c r="F3816" s="386">
        <v>30</v>
      </c>
      <c r="G3816" s="386"/>
      <c r="H3816" s="386"/>
      <c r="I3816" s="263" t="s">
        <v>170</v>
      </c>
      <c r="J3816" s="592" t="s">
        <v>8447</v>
      </c>
      <c r="K3816" s="811">
        <v>42340</v>
      </c>
      <c r="L3816" s="1477"/>
      <c r="M3816" s="811">
        <v>42335</v>
      </c>
      <c r="N3816" s="267" t="s">
        <v>12229</v>
      </c>
      <c r="O3816" s="386" t="s">
        <v>12237</v>
      </c>
      <c r="Q3816" s="386"/>
      <c r="R3816" s="386">
        <v>2</v>
      </c>
      <c r="S3816" s="1098">
        <f t="shared" si="241"/>
        <v>60</v>
      </c>
      <c r="U3816" s="318">
        <f>1860*1.05</f>
        <v>1953</v>
      </c>
      <c r="V3816" s="386" t="s">
        <v>185</v>
      </c>
      <c r="W3816" s="1094">
        <v>42333</v>
      </c>
      <c r="X3816" s="1090">
        <v>42334</v>
      </c>
      <c r="Y3816" s="386" t="s">
        <v>12238</v>
      </c>
      <c r="Z3816" s="585" t="s">
        <v>12240</v>
      </c>
      <c r="AA3816" s="1090">
        <v>42333</v>
      </c>
      <c r="AB3816" s="386" t="s">
        <v>12216</v>
      </c>
      <c r="AD3816" s="386"/>
      <c r="AE3816" s="386"/>
      <c r="AF3816" s="386"/>
      <c r="AG3816" s="386" t="s">
        <v>283</v>
      </c>
    </row>
    <row r="3817" spans="1:33" ht="15.75" customHeight="1">
      <c r="A3817" s="743">
        <v>42328</v>
      </c>
      <c r="B3817" s="823" t="s">
        <v>12148</v>
      </c>
      <c r="C3817" s="386">
        <v>669</v>
      </c>
      <c r="D3817" s="386" t="s">
        <v>12241</v>
      </c>
      <c r="E3817" s="386" t="s">
        <v>6452</v>
      </c>
      <c r="F3817" s="386">
        <v>60</v>
      </c>
      <c r="G3817" s="386"/>
      <c r="H3817" s="386"/>
      <c r="I3817" s="263" t="s">
        <v>170</v>
      </c>
      <c r="J3817" s="592" t="s">
        <v>8447</v>
      </c>
      <c r="K3817" s="811">
        <v>42340</v>
      </c>
      <c r="L3817" s="1477"/>
      <c r="M3817" s="811">
        <v>42335</v>
      </c>
      <c r="N3817" s="267" t="s">
        <v>12229</v>
      </c>
      <c r="O3817" s="386" t="s">
        <v>12242</v>
      </c>
      <c r="Q3817" s="386"/>
      <c r="R3817" s="386">
        <v>2</v>
      </c>
      <c r="S3817" s="1098">
        <f t="shared" si="241"/>
        <v>120</v>
      </c>
      <c r="U3817" s="318">
        <v>3213</v>
      </c>
      <c r="V3817" s="386" t="s">
        <v>185</v>
      </c>
      <c r="W3817" s="1094">
        <v>42405</v>
      </c>
      <c r="X3817" s="1090">
        <v>42334</v>
      </c>
      <c r="Y3817" s="386" t="s">
        <v>12238</v>
      </c>
      <c r="Z3817" s="585" t="s">
        <v>12240</v>
      </c>
      <c r="AA3817" s="1090">
        <v>42397</v>
      </c>
      <c r="AB3817" s="386" t="s">
        <v>12216</v>
      </c>
      <c r="AD3817" s="386"/>
      <c r="AE3817" s="386"/>
      <c r="AF3817" s="386"/>
      <c r="AG3817" s="386" t="s">
        <v>283</v>
      </c>
    </row>
    <row r="3818" spans="1:33" ht="15.75" customHeight="1">
      <c r="A3818" s="743">
        <v>42335</v>
      </c>
      <c r="B3818" s="823" t="s">
        <v>12148</v>
      </c>
      <c r="C3818" s="386">
        <v>690</v>
      </c>
      <c r="D3818" s="318" t="s">
        <v>12243</v>
      </c>
      <c r="E3818" s="571" t="s">
        <v>6445</v>
      </c>
      <c r="F3818" s="386">
        <v>30</v>
      </c>
      <c r="G3818" s="386"/>
      <c r="H3818" s="386"/>
      <c r="I3818" s="263" t="s">
        <v>170</v>
      </c>
      <c r="J3818" s="592" t="s">
        <v>8447</v>
      </c>
      <c r="K3818" s="811">
        <v>42340</v>
      </c>
      <c r="L3818" s="1477"/>
      <c r="M3818" s="811">
        <v>42340</v>
      </c>
      <c r="N3818" s="267" t="s">
        <v>12224</v>
      </c>
      <c r="O3818" s="386" t="s">
        <v>8452</v>
      </c>
      <c r="Q3818" s="386"/>
      <c r="R3818" s="386">
        <v>86</v>
      </c>
      <c r="S3818" s="1098">
        <f t="shared" si="241"/>
        <v>2580</v>
      </c>
      <c r="U3818" s="1054">
        <v>82001</v>
      </c>
      <c r="V3818" s="386" t="s">
        <v>8453</v>
      </c>
      <c r="W3818" s="1094">
        <v>42338</v>
      </c>
      <c r="X3818" s="1090">
        <v>42340</v>
      </c>
      <c r="Y3818" s="386" t="s">
        <v>12244</v>
      </c>
      <c r="Z3818" s="824">
        <v>82001</v>
      </c>
      <c r="AA3818" s="1090">
        <v>42338</v>
      </c>
      <c r="AB3818" s="386" t="s">
        <v>12216</v>
      </c>
      <c r="AD3818" s="386"/>
      <c r="AE3818" s="386"/>
      <c r="AF3818" s="386"/>
      <c r="AG3818" s="386" t="s">
        <v>283</v>
      </c>
    </row>
    <row r="3819" spans="1:33" ht="15.75" customHeight="1">
      <c r="A3819" s="743">
        <v>42335</v>
      </c>
      <c r="B3819" s="823" t="s">
        <v>12148</v>
      </c>
      <c r="C3819" s="386">
        <v>690</v>
      </c>
      <c r="D3819" s="318" t="s">
        <v>12243</v>
      </c>
      <c r="E3819" s="308" t="s">
        <v>6452</v>
      </c>
      <c r="F3819" s="386">
        <v>60</v>
      </c>
      <c r="G3819" s="386"/>
      <c r="H3819" s="386"/>
      <c r="I3819" s="263" t="s">
        <v>170</v>
      </c>
      <c r="J3819" s="592" t="s">
        <v>8447</v>
      </c>
      <c r="K3819" s="811">
        <v>42340</v>
      </c>
      <c r="L3819" s="1477"/>
      <c r="M3819" s="811">
        <v>42340</v>
      </c>
      <c r="N3819" s="267" t="s">
        <v>12229</v>
      </c>
      <c r="O3819" s="386" t="s">
        <v>8448</v>
      </c>
      <c r="Q3819" s="386"/>
      <c r="R3819" s="386">
        <v>2</v>
      </c>
      <c r="S3819" s="1098">
        <f t="shared" si="241"/>
        <v>120</v>
      </c>
      <c r="U3819" s="318">
        <v>3213</v>
      </c>
      <c r="V3819" s="386" t="s">
        <v>185</v>
      </c>
      <c r="W3819" s="1094">
        <v>42405</v>
      </c>
      <c r="X3819" s="1090">
        <v>42705</v>
      </c>
      <c r="Y3819" s="386" t="s">
        <v>12245</v>
      </c>
      <c r="Z3819" s="824">
        <v>5261</v>
      </c>
      <c r="AA3819" s="1090">
        <v>42397</v>
      </c>
      <c r="AB3819" s="386" t="s">
        <v>12216</v>
      </c>
      <c r="AD3819" s="386"/>
      <c r="AE3819" s="386"/>
      <c r="AF3819" s="386"/>
      <c r="AG3819" s="386" t="s">
        <v>283</v>
      </c>
    </row>
    <row r="3820" spans="1:33" ht="15.75" customHeight="1">
      <c r="A3820" s="743">
        <v>42335</v>
      </c>
      <c r="B3820" s="823" t="s">
        <v>12148</v>
      </c>
      <c r="C3820" s="386">
        <v>690</v>
      </c>
      <c r="D3820" s="318" t="s">
        <v>12243</v>
      </c>
      <c r="E3820" s="571" t="s">
        <v>8826</v>
      </c>
      <c r="F3820" s="386">
        <v>30</v>
      </c>
      <c r="G3820" s="386"/>
      <c r="H3820" s="386"/>
      <c r="I3820" s="263" t="s">
        <v>170</v>
      </c>
      <c r="J3820" s="592" t="s">
        <v>8447</v>
      </c>
      <c r="K3820" s="811">
        <v>42340</v>
      </c>
      <c r="L3820" s="1477"/>
      <c r="M3820" s="811">
        <v>42340</v>
      </c>
      <c r="N3820" s="267" t="s">
        <v>12229</v>
      </c>
      <c r="O3820" s="386" t="s">
        <v>8448</v>
      </c>
      <c r="Q3820" s="386"/>
      <c r="R3820" s="386">
        <v>2.25</v>
      </c>
      <c r="S3820" s="1098">
        <f t="shared" si="241"/>
        <v>67.5</v>
      </c>
      <c r="U3820" s="318">
        <v>2048</v>
      </c>
      <c r="V3820" s="386" t="s">
        <v>185</v>
      </c>
      <c r="W3820" s="1094">
        <v>42405</v>
      </c>
      <c r="X3820" s="1090">
        <v>42705</v>
      </c>
      <c r="Y3820" s="386" t="s">
        <v>12245</v>
      </c>
      <c r="Z3820" s="585" t="s">
        <v>12246</v>
      </c>
      <c r="AA3820" s="1090">
        <v>42397</v>
      </c>
      <c r="AB3820" s="386" t="s">
        <v>12216</v>
      </c>
      <c r="AD3820" s="386"/>
      <c r="AE3820" s="386"/>
      <c r="AF3820" s="386"/>
      <c r="AG3820" s="386" t="s">
        <v>283</v>
      </c>
    </row>
    <row r="3821" spans="1:33" ht="15.75" customHeight="1">
      <c r="A3821" s="743">
        <v>42339</v>
      </c>
      <c r="B3821" s="823" t="s">
        <v>12148</v>
      </c>
      <c r="C3821" s="386">
        <v>707</v>
      </c>
      <c r="D3821" s="386" t="s">
        <v>12247</v>
      </c>
      <c r="E3821" s="597" t="s">
        <v>8828</v>
      </c>
      <c r="F3821" s="386">
        <v>32</v>
      </c>
      <c r="G3821" s="386"/>
      <c r="H3821" s="386"/>
      <c r="I3821" s="263" t="s">
        <v>170</v>
      </c>
      <c r="J3821" s="592" t="s">
        <v>8447</v>
      </c>
      <c r="K3821" s="811">
        <v>42340</v>
      </c>
      <c r="L3821" s="1477"/>
      <c r="M3821" s="811">
        <v>42340</v>
      </c>
      <c r="N3821" s="267" t="s">
        <v>12229</v>
      </c>
      <c r="O3821" s="386" t="s">
        <v>12248</v>
      </c>
      <c r="Q3821" s="386"/>
      <c r="R3821" s="386">
        <v>6.85</v>
      </c>
      <c r="S3821" s="1098">
        <f t="shared" si="241"/>
        <v>219.2</v>
      </c>
      <c r="U3821" s="318">
        <v>5880</v>
      </c>
      <c r="V3821" s="386" t="s">
        <v>185</v>
      </c>
      <c r="W3821" s="1094">
        <v>42405</v>
      </c>
      <c r="X3821" s="1090">
        <v>42339</v>
      </c>
      <c r="Y3821" s="386" t="s">
        <v>12249</v>
      </c>
      <c r="Z3821" s="824">
        <v>5880</v>
      </c>
      <c r="AA3821" s="1090">
        <v>42397</v>
      </c>
      <c r="AB3821" s="386" t="s">
        <v>12216</v>
      </c>
      <c r="AD3821" s="386"/>
      <c r="AE3821" s="386"/>
      <c r="AF3821" s="386"/>
      <c r="AG3821" s="1091" t="s">
        <v>283</v>
      </c>
    </row>
    <row r="3822" spans="1:33" ht="15.75" customHeight="1">
      <c r="A3822" s="755">
        <v>42167</v>
      </c>
      <c r="B3822" s="823" t="s">
        <v>228</v>
      </c>
      <c r="C3822" s="386"/>
      <c r="D3822" s="318" t="s">
        <v>12250</v>
      </c>
      <c r="E3822" s="571" t="s">
        <v>3604</v>
      </c>
      <c r="F3822" s="752">
        <v>5</v>
      </c>
      <c r="G3822" s="1183">
        <f>R3822*30.7</f>
        <v>10315.199999999999</v>
      </c>
      <c r="H3822" s="1100">
        <f>F3822*G3822</f>
        <v>51575.999999999993</v>
      </c>
      <c r="I3822" s="263" t="s">
        <v>170</v>
      </c>
      <c r="J3822" s="331" t="s">
        <v>89</v>
      </c>
      <c r="K3822" s="811">
        <v>42187</v>
      </c>
      <c r="L3822" s="1477"/>
      <c r="M3822" s="386"/>
      <c r="N3822" s="331" t="s">
        <v>89</v>
      </c>
      <c r="O3822" s="263" t="s">
        <v>12251</v>
      </c>
      <c r="Q3822" s="752">
        <v>1506.75</v>
      </c>
      <c r="R3822" s="1183">
        <f>320*1.05</f>
        <v>336</v>
      </c>
      <c r="S3822" s="1195">
        <f t="shared" si="241"/>
        <v>1680</v>
      </c>
      <c r="U3822" s="386"/>
      <c r="V3822" s="318" t="s">
        <v>10751</v>
      </c>
      <c r="W3822" s="386"/>
      <c r="X3822" s="1101">
        <v>42187</v>
      </c>
      <c r="Y3822" s="318" t="s">
        <v>12252</v>
      </c>
      <c r="Z3822" s="1086">
        <v>46498</v>
      </c>
      <c r="AA3822" s="1083">
        <v>42201</v>
      </c>
      <c r="AB3822" s="318" t="s">
        <v>12253</v>
      </c>
      <c r="AD3822" s="318" t="s">
        <v>12254</v>
      </c>
      <c r="AE3822" s="1100">
        <v>481913</v>
      </c>
      <c r="AF3822" s="318" t="s">
        <v>12043</v>
      </c>
      <c r="AG3822" s="386"/>
    </row>
    <row r="3823" spans="1:33" ht="15.75" customHeight="1">
      <c r="A3823" s="272">
        <v>42167</v>
      </c>
      <c r="B3823" s="823" t="s">
        <v>228</v>
      </c>
      <c r="C3823" s="386"/>
      <c r="D3823" s="836" t="s">
        <v>12255</v>
      </c>
      <c r="E3823" s="1221" t="s">
        <v>10785</v>
      </c>
      <c r="F3823" s="1179">
        <v>30</v>
      </c>
      <c r="G3823" s="386"/>
      <c r="H3823" s="1097"/>
      <c r="I3823" s="762" t="s">
        <v>170</v>
      </c>
      <c r="J3823" s="763" t="s">
        <v>89</v>
      </c>
      <c r="K3823" s="814">
        <v>42187</v>
      </c>
      <c r="L3823" s="1478"/>
      <c r="M3823" s="386"/>
      <c r="N3823" s="763" t="s">
        <v>89</v>
      </c>
      <c r="O3823" s="762" t="s">
        <v>12251</v>
      </c>
      <c r="Q3823" s="909"/>
      <c r="R3823" s="1222">
        <f>445*1.05</f>
        <v>467.25</v>
      </c>
      <c r="S3823" s="1223"/>
      <c r="U3823" s="386"/>
      <c r="V3823" s="836" t="s">
        <v>10751</v>
      </c>
      <c r="W3823" s="386"/>
      <c r="X3823" s="1224">
        <v>42187</v>
      </c>
      <c r="Y3823" s="1124" t="s">
        <v>12252</v>
      </c>
      <c r="Z3823" s="1225" t="s">
        <v>8588</v>
      </c>
      <c r="AA3823" s="1217">
        <v>42201</v>
      </c>
      <c r="AB3823" s="1124" t="s">
        <v>12253</v>
      </c>
      <c r="AD3823" s="1124" t="s">
        <v>12254</v>
      </c>
      <c r="AE3823" s="1226" t="s">
        <v>8588</v>
      </c>
      <c r="AF3823" s="1124" t="s">
        <v>12043</v>
      </c>
      <c r="AG3823" s="386"/>
    </row>
    <row r="3824" spans="1:33" ht="15.75" customHeight="1">
      <c r="A3824" s="272">
        <v>42184</v>
      </c>
      <c r="B3824" s="823" t="s">
        <v>228</v>
      </c>
      <c r="C3824" s="386"/>
      <c r="D3824" s="836" t="s">
        <v>12256</v>
      </c>
      <c r="E3824" s="1221" t="s">
        <v>3604</v>
      </c>
      <c r="F3824" s="1179">
        <v>8</v>
      </c>
      <c r="G3824" s="386"/>
      <c r="H3824" s="1097"/>
      <c r="I3824" s="762" t="s">
        <v>170</v>
      </c>
      <c r="J3824" s="763" t="s">
        <v>89</v>
      </c>
      <c r="K3824" s="814">
        <v>42205</v>
      </c>
      <c r="L3824" s="1478"/>
      <c r="M3824" s="386"/>
      <c r="N3824" s="763" t="s">
        <v>89</v>
      </c>
      <c r="O3824" s="762" t="s">
        <v>12257</v>
      </c>
      <c r="Q3824" s="386"/>
      <c r="R3824" s="1222">
        <f>320*1.05</f>
        <v>336</v>
      </c>
      <c r="S3824" s="1227"/>
      <c r="U3824" s="386"/>
      <c r="V3824" s="836" t="s">
        <v>10751</v>
      </c>
      <c r="W3824" s="386"/>
      <c r="X3824" s="386"/>
      <c r="Y3824" s="386"/>
      <c r="Z3824" s="386"/>
      <c r="AA3824" s="386"/>
      <c r="AB3824" s="386"/>
      <c r="AD3824" s="386"/>
      <c r="AE3824" s="386"/>
      <c r="AF3824" s="386"/>
      <c r="AG3824" s="386"/>
    </row>
    <row r="3825" spans="1:33" ht="15.75" customHeight="1">
      <c r="A3825" s="272">
        <v>42184</v>
      </c>
      <c r="B3825" s="823" t="s">
        <v>228</v>
      </c>
      <c r="C3825" s="386"/>
      <c r="D3825" s="836" t="s">
        <v>12256</v>
      </c>
      <c r="E3825" s="1178" t="s">
        <v>10785</v>
      </c>
      <c r="F3825" s="1179">
        <v>30</v>
      </c>
      <c r="G3825" s="386"/>
      <c r="H3825" s="1097"/>
      <c r="I3825" s="762" t="s">
        <v>170</v>
      </c>
      <c r="J3825" s="763" t="s">
        <v>89</v>
      </c>
      <c r="K3825" s="814">
        <v>42205</v>
      </c>
      <c r="L3825" s="1478"/>
      <c r="M3825" s="386"/>
      <c r="N3825" s="763" t="s">
        <v>89</v>
      </c>
      <c r="O3825" s="762" t="s">
        <v>12258</v>
      </c>
      <c r="Q3825" s="386"/>
      <c r="R3825" s="1222">
        <v>467</v>
      </c>
      <c r="S3825" s="1227"/>
      <c r="U3825" s="386"/>
      <c r="V3825" s="386"/>
      <c r="W3825" s="386"/>
      <c r="X3825" s="386"/>
      <c r="Y3825" s="386"/>
      <c r="Z3825" s="386"/>
      <c r="AA3825" s="386"/>
      <c r="AB3825" s="386"/>
      <c r="AD3825" s="386"/>
      <c r="AE3825" s="386"/>
      <c r="AF3825" s="386"/>
      <c r="AG3825" s="386"/>
    </row>
    <row r="3826" spans="1:33" ht="15.75" customHeight="1">
      <c r="A3826" s="743">
        <v>42199</v>
      </c>
      <c r="B3826" s="823" t="s">
        <v>228</v>
      </c>
      <c r="C3826" s="386"/>
      <c r="D3826" s="386" t="s">
        <v>12259</v>
      </c>
      <c r="E3826" s="592" t="s">
        <v>461</v>
      </c>
      <c r="F3826" s="1088">
        <v>43</v>
      </c>
      <c r="G3826" s="1207">
        <f>R3826*31.3</f>
        <v>14296.275</v>
      </c>
      <c r="H3826" s="1183">
        <f t="shared" ref="H3826:H3831" si="242">G3826*F3826</f>
        <v>614739.82499999995</v>
      </c>
      <c r="I3826" s="263" t="s">
        <v>170</v>
      </c>
      <c r="J3826" s="267" t="s">
        <v>89</v>
      </c>
      <c r="K3826" s="811">
        <v>42222</v>
      </c>
      <c r="L3826" s="1477"/>
      <c r="M3826" s="386"/>
      <c r="N3826" s="267" t="s">
        <v>89</v>
      </c>
      <c r="O3826" s="263" t="s">
        <v>12260</v>
      </c>
      <c r="Q3826" s="752">
        <v>17473.05</v>
      </c>
      <c r="R3826" s="1207">
        <v>456.75</v>
      </c>
      <c r="S3826" s="1098">
        <f t="shared" ref="S3826:S3857" si="243">F3826*R3826</f>
        <v>19640.25</v>
      </c>
      <c r="U3826" s="386"/>
      <c r="V3826" s="386" t="s">
        <v>10751</v>
      </c>
      <c r="W3826" s="386"/>
      <c r="X3826" s="1094">
        <v>42222</v>
      </c>
      <c r="Y3826" s="386" t="s">
        <v>12261</v>
      </c>
      <c r="Z3826" s="824">
        <v>594827</v>
      </c>
      <c r="AA3826" s="1095">
        <v>42220</v>
      </c>
      <c r="AB3826" s="386" t="s">
        <v>12262</v>
      </c>
      <c r="AD3826" s="386" t="s">
        <v>12263</v>
      </c>
      <c r="AE3826" s="1110">
        <v>614740</v>
      </c>
      <c r="AF3826" s="386" t="s">
        <v>12110</v>
      </c>
      <c r="AG3826" s="386"/>
    </row>
    <row r="3827" spans="1:33" ht="15.75" customHeight="1">
      <c r="A3827" s="743">
        <v>42199</v>
      </c>
      <c r="B3827" s="823" t="s">
        <v>228</v>
      </c>
      <c r="C3827" s="386"/>
      <c r="D3827" s="386" t="s">
        <v>12259</v>
      </c>
      <c r="E3827" s="592" t="s">
        <v>3604</v>
      </c>
      <c r="F3827" s="1088">
        <v>5</v>
      </c>
      <c r="G3827" s="1207">
        <f>R3827*31.3</f>
        <v>10516.800000000001</v>
      </c>
      <c r="H3827" s="1183">
        <f t="shared" si="242"/>
        <v>52584.000000000007</v>
      </c>
      <c r="I3827" s="263" t="s">
        <v>170</v>
      </c>
      <c r="J3827" s="267" t="s">
        <v>89</v>
      </c>
      <c r="K3827" s="811">
        <v>42222</v>
      </c>
      <c r="L3827" s="1477"/>
      <c r="M3827" s="386"/>
      <c r="N3827" s="267" t="s">
        <v>89</v>
      </c>
      <c r="O3827" s="263" t="s">
        <v>12260</v>
      </c>
      <c r="Q3827" s="752">
        <v>1506.75</v>
      </c>
      <c r="R3827" s="1207">
        <f>320*1.05</f>
        <v>336</v>
      </c>
      <c r="S3827" s="1098">
        <f t="shared" si="243"/>
        <v>1680</v>
      </c>
      <c r="U3827" s="386"/>
      <c r="V3827" s="386" t="s">
        <v>10751</v>
      </c>
      <c r="W3827" s="386"/>
      <c r="X3827" s="1094">
        <v>42222</v>
      </c>
      <c r="Y3827" s="386" t="s">
        <v>12261</v>
      </c>
      <c r="Z3827" s="585" t="s">
        <v>8588</v>
      </c>
      <c r="AA3827" s="1095">
        <v>42220</v>
      </c>
      <c r="AB3827" s="386" t="s">
        <v>12262</v>
      </c>
      <c r="AD3827" s="386" t="s">
        <v>12263</v>
      </c>
      <c r="AE3827" s="1110">
        <v>52584.000000000007</v>
      </c>
      <c r="AF3827" s="386" t="s">
        <v>12110</v>
      </c>
      <c r="AG3827" s="386"/>
    </row>
    <row r="3828" spans="1:33" ht="15.75" customHeight="1">
      <c r="A3828" s="743">
        <v>42206</v>
      </c>
      <c r="B3828" s="823" t="s">
        <v>228</v>
      </c>
      <c r="C3828" s="386"/>
      <c r="D3828" s="386" t="s">
        <v>12264</v>
      </c>
      <c r="E3828" s="592" t="s">
        <v>461</v>
      </c>
      <c r="F3828" s="1088">
        <v>30</v>
      </c>
      <c r="G3828" s="1207">
        <f>R3828*31.3</f>
        <v>14296.275</v>
      </c>
      <c r="H3828" s="1183">
        <f t="shared" si="242"/>
        <v>428888.25</v>
      </c>
      <c r="I3828" s="263" t="s">
        <v>170</v>
      </c>
      <c r="J3828" s="267" t="s">
        <v>89</v>
      </c>
      <c r="K3828" s="811">
        <v>42215</v>
      </c>
      <c r="L3828" s="1477"/>
      <c r="M3828" s="386"/>
      <c r="N3828" s="267" t="s">
        <v>89</v>
      </c>
      <c r="O3828" s="263" t="s">
        <v>12265</v>
      </c>
      <c r="Q3828" s="752">
        <v>12190.5</v>
      </c>
      <c r="R3828" s="1207">
        <v>456.75</v>
      </c>
      <c r="S3828" s="1098">
        <f t="shared" si="243"/>
        <v>13702.5</v>
      </c>
      <c r="U3828" s="386"/>
      <c r="V3828" s="386" t="s">
        <v>10751</v>
      </c>
      <c r="W3828" s="386"/>
      <c r="X3828" s="1084">
        <v>42215</v>
      </c>
      <c r="Y3828" s="263" t="s">
        <v>12266</v>
      </c>
      <c r="Z3828" s="1086">
        <v>377540</v>
      </c>
      <c r="AA3828" s="1095">
        <v>42213</v>
      </c>
      <c r="AB3828" s="386" t="s">
        <v>12267</v>
      </c>
      <c r="AD3828" s="386" t="s">
        <v>12268</v>
      </c>
      <c r="AE3828" s="1110">
        <v>428888</v>
      </c>
      <c r="AF3828" s="386" t="s">
        <v>12269</v>
      </c>
      <c r="AG3828" s="386"/>
    </row>
    <row r="3829" spans="1:33" ht="15.75" customHeight="1">
      <c r="A3829" s="743">
        <v>42206</v>
      </c>
      <c r="B3829" s="823" t="s">
        <v>228</v>
      </c>
      <c r="C3829" s="386"/>
      <c r="D3829" s="386" t="s">
        <v>12270</v>
      </c>
      <c r="E3829" s="823" t="s">
        <v>12271</v>
      </c>
      <c r="F3829" s="1088">
        <v>1</v>
      </c>
      <c r="G3829" s="1191">
        <f>R3829*31.3</f>
        <v>65776.95</v>
      </c>
      <c r="H3829" s="1194">
        <f t="shared" si="242"/>
        <v>65776.95</v>
      </c>
      <c r="I3829" s="263" t="s">
        <v>170</v>
      </c>
      <c r="J3829" s="331" t="s">
        <v>6130</v>
      </c>
      <c r="K3829" s="811">
        <v>42219</v>
      </c>
      <c r="L3829" s="1477"/>
      <c r="M3829" s="386"/>
      <c r="N3829" s="267"/>
      <c r="O3829" s="386"/>
      <c r="Q3829" s="386"/>
      <c r="R3829" s="1191">
        <v>2101.5</v>
      </c>
      <c r="S3829" s="1098">
        <f t="shared" si="243"/>
        <v>2101.5</v>
      </c>
      <c r="U3829" s="386"/>
      <c r="V3829" s="386"/>
      <c r="W3829" s="386"/>
      <c r="X3829" s="386"/>
      <c r="Y3829" s="386"/>
      <c r="Z3829" s="386"/>
      <c r="AA3829" s="970" t="s">
        <v>12272</v>
      </c>
      <c r="AB3829" s="386"/>
      <c r="AD3829" s="386"/>
      <c r="AE3829" s="386"/>
      <c r="AF3829" s="386"/>
      <c r="AG3829" s="386"/>
    </row>
    <row r="3830" spans="1:33" ht="15.75" customHeight="1">
      <c r="A3830" s="743">
        <v>42233</v>
      </c>
      <c r="B3830" s="823" t="s">
        <v>228</v>
      </c>
      <c r="C3830" s="386"/>
      <c r="D3830" s="386" t="s">
        <v>12273</v>
      </c>
      <c r="E3830" s="592" t="s">
        <v>461</v>
      </c>
      <c r="F3830" s="1088">
        <v>35</v>
      </c>
      <c r="G3830" s="1088">
        <f>R3830*B5612</f>
        <v>0</v>
      </c>
      <c r="H3830" s="1197">
        <f t="shared" si="242"/>
        <v>0</v>
      </c>
      <c r="I3830" s="263" t="s">
        <v>170</v>
      </c>
      <c r="J3830" s="267" t="s">
        <v>89</v>
      </c>
      <c r="K3830" s="811">
        <v>42265</v>
      </c>
      <c r="L3830" s="1477"/>
      <c r="M3830" s="386"/>
      <c r="N3830" s="267" t="s">
        <v>89</v>
      </c>
      <c r="O3830" s="970" t="s">
        <v>10670</v>
      </c>
      <c r="Q3830" s="752">
        <v>14222.25</v>
      </c>
      <c r="R3830" s="1088">
        <v>449.4</v>
      </c>
      <c r="S3830" s="752">
        <f t="shared" si="243"/>
        <v>15729</v>
      </c>
      <c r="U3830" s="386"/>
      <c r="V3830" s="386" t="s">
        <v>10751</v>
      </c>
      <c r="W3830" s="386"/>
      <c r="X3830" s="1094">
        <v>42264</v>
      </c>
      <c r="Y3830" s="386" t="s">
        <v>12274</v>
      </c>
      <c r="Z3830" s="824">
        <v>579272</v>
      </c>
      <c r="AA3830" s="1095">
        <v>42263</v>
      </c>
      <c r="AB3830" s="386" t="s">
        <v>12275</v>
      </c>
      <c r="AD3830" s="386" t="s">
        <v>12276</v>
      </c>
      <c r="AE3830" s="1110">
        <v>674993</v>
      </c>
      <c r="AF3830" s="386" t="s">
        <v>12277</v>
      </c>
      <c r="AG3830" s="386"/>
    </row>
    <row r="3831" spans="1:33" ht="15.75" customHeight="1">
      <c r="A3831" s="743">
        <v>42233</v>
      </c>
      <c r="B3831" s="823" t="s">
        <v>228</v>
      </c>
      <c r="C3831" s="386"/>
      <c r="D3831" s="386" t="s">
        <v>12273</v>
      </c>
      <c r="E3831" s="592" t="s">
        <v>3604</v>
      </c>
      <c r="F3831" s="1088">
        <v>15</v>
      </c>
      <c r="G3831" s="1088">
        <f>R3831*B5612</f>
        <v>0</v>
      </c>
      <c r="H3831" s="1197">
        <f t="shared" si="242"/>
        <v>0</v>
      </c>
      <c r="I3831" s="263" t="s">
        <v>170</v>
      </c>
      <c r="J3831" s="267" t="s">
        <v>89</v>
      </c>
      <c r="K3831" s="811">
        <v>42265</v>
      </c>
      <c r="L3831" s="1477"/>
      <c r="M3831" s="386"/>
      <c r="N3831" s="267" t="s">
        <v>89</v>
      </c>
      <c r="O3831" s="970" t="s">
        <v>10670</v>
      </c>
      <c r="Q3831" s="752">
        <v>4520.25</v>
      </c>
      <c r="R3831" s="1088">
        <v>336</v>
      </c>
      <c r="S3831" s="752">
        <f t="shared" si="243"/>
        <v>5040</v>
      </c>
      <c r="U3831" s="386"/>
      <c r="V3831" s="386" t="s">
        <v>10751</v>
      </c>
      <c r="W3831" s="386"/>
      <c r="X3831" s="1094">
        <v>42264</v>
      </c>
      <c r="Y3831" s="386" t="s">
        <v>12274</v>
      </c>
      <c r="Z3831" s="585" t="s">
        <v>8588</v>
      </c>
      <c r="AA3831" s="1095">
        <v>42263</v>
      </c>
      <c r="AB3831" s="386" t="s">
        <v>12275</v>
      </c>
      <c r="AD3831" s="386" t="s">
        <v>12276</v>
      </c>
      <c r="AE3831" s="1088" t="s">
        <v>8588</v>
      </c>
      <c r="AF3831" s="386" t="s">
        <v>12277</v>
      </c>
      <c r="AG3831" s="386"/>
    </row>
    <row r="3832" spans="1:33" ht="15.75" customHeight="1">
      <c r="A3832" s="743">
        <v>42313</v>
      </c>
      <c r="B3832" s="823" t="s">
        <v>228</v>
      </c>
      <c r="C3832" s="386"/>
      <c r="D3832" s="386" t="s">
        <v>12278</v>
      </c>
      <c r="E3832" s="592" t="s">
        <v>461</v>
      </c>
      <c r="F3832" s="1088">
        <v>40</v>
      </c>
      <c r="G3832" s="386">
        <f>R3832*32.6</f>
        <v>14650.44</v>
      </c>
      <c r="H3832" s="386">
        <f>S3832*32.6</f>
        <v>586017.6</v>
      </c>
      <c r="I3832" s="263" t="s">
        <v>170</v>
      </c>
      <c r="J3832" s="267" t="s">
        <v>89</v>
      </c>
      <c r="K3832" s="811">
        <v>42327</v>
      </c>
      <c r="L3832" s="1477"/>
      <c r="M3832" s="386"/>
      <c r="N3832" s="267" t="s">
        <v>89</v>
      </c>
      <c r="O3832" s="318" t="s">
        <v>10679</v>
      </c>
      <c r="Q3832" s="752">
        <v>16254</v>
      </c>
      <c r="R3832" s="752">
        <v>449.4</v>
      </c>
      <c r="S3832" s="1098">
        <f t="shared" si="243"/>
        <v>17976</v>
      </c>
      <c r="U3832" s="386"/>
      <c r="V3832" s="386" t="s">
        <v>10751</v>
      </c>
      <c r="W3832" s="386"/>
      <c r="X3832" s="1090">
        <v>42327</v>
      </c>
      <c r="Y3832" s="386" t="s">
        <v>12279</v>
      </c>
      <c r="Z3832" s="1097">
        <v>592916</v>
      </c>
      <c r="AA3832" s="1090">
        <v>42341</v>
      </c>
      <c r="AB3832" s="386" t="s">
        <v>12280</v>
      </c>
      <c r="AD3832" s="386">
        <v>32.6</v>
      </c>
      <c r="AE3832" s="1097">
        <v>695554</v>
      </c>
      <c r="AF3832" s="386" t="s">
        <v>12281</v>
      </c>
      <c r="AG3832" s="386"/>
    </row>
    <row r="3833" spans="1:33" ht="15.75" customHeight="1">
      <c r="A3833" s="743">
        <v>42313</v>
      </c>
      <c r="B3833" s="823" t="s">
        <v>228</v>
      </c>
      <c r="C3833" s="386"/>
      <c r="D3833" s="386" t="s">
        <v>12278</v>
      </c>
      <c r="E3833" s="592" t="s">
        <v>3604</v>
      </c>
      <c r="F3833" s="1088">
        <v>10</v>
      </c>
      <c r="G3833" s="386">
        <f>R3833*32.6</f>
        <v>10953.6</v>
      </c>
      <c r="H3833" s="386">
        <f>S3833*32.6</f>
        <v>109536</v>
      </c>
      <c r="I3833" s="263" t="s">
        <v>170</v>
      </c>
      <c r="J3833" s="267" t="s">
        <v>89</v>
      </c>
      <c r="K3833" s="811">
        <v>42327</v>
      </c>
      <c r="L3833" s="1477"/>
      <c r="M3833" s="386"/>
      <c r="N3833" s="267" t="s">
        <v>89</v>
      </c>
      <c r="O3833" s="318" t="s">
        <v>10679</v>
      </c>
      <c r="Q3833" s="752">
        <v>3013.5</v>
      </c>
      <c r="R3833" s="752">
        <v>336</v>
      </c>
      <c r="S3833" s="1098">
        <f t="shared" si="243"/>
        <v>3360</v>
      </c>
      <c r="U3833" s="386"/>
      <c r="V3833" s="386" t="s">
        <v>10751</v>
      </c>
      <c r="W3833" s="386"/>
      <c r="X3833" s="1090">
        <v>42327</v>
      </c>
      <c r="Y3833" s="386" t="s">
        <v>12279</v>
      </c>
      <c r="Z3833" s="1088" t="s">
        <v>8588</v>
      </c>
      <c r="AA3833" s="1090">
        <v>42341</v>
      </c>
      <c r="AB3833" s="386" t="s">
        <v>12280</v>
      </c>
      <c r="AD3833" s="386">
        <v>32.6</v>
      </c>
      <c r="AE3833" s="1088" t="s">
        <v>8588</v>
      </c>
      <c r="AF3833" s="386" t="s">
        <v>12281</v>
      </c>
      <c r="AG3833" s="386"/>
    </row>
    <row r="3834" spans="1:33" ht="15.75" customHeight="1">
      <c r="A3834" s="743">
        <v>42313</v>
      </c>
      <c r="B3834" s="823" t="s">
        <v>228</v>
      </c>
      <c r="C3834" s="386"/>
      <c r="D3834" s="386" t="s">
        <v>12278</v>
      </c>
      <c r="E3834" s="592" t="s">
        <v>12282</v>
      </c>
      <c r="F3834" s="386">
        <v>8</v>
      </c>
      <c r="G3834" s="386"/>
      <c r="H3834" s="386"/>
      <c r="I3834" s="263" t="s">
        <v>170</v>
      </c>
      <c r="J3834" s="267" t="s">
        <v>89</v>
      </c>
      <c r="K3834" s="811">
        <v>42327</v>
      </c>
      <c r="L3834" s="1477"/>
      <c r="M3834" s="386"/>
      <c r="N3834" s="267" t="s">
        <v>89</v>
      </c>
      <c r="O3834" s="318" t="s">
        <v>10679</v>
      </c>
      <c r="Q3834" s="386">
        <v>0</v>
      </c>
      <c r="R3834" s="386">
        <v>0</v>
      </c>
      <c r="S3834" s="1098">
        <f t="shared" si="243"/>
        <v>0</v>
      </c>
      <c r="U3834" s="386"/>
      <c r="V3834" s="386" t="s">
        <v>10751</v>
      </c>
      <c r="W3834" s="386"/>
      <c r="X3834" s="1088" t="s">
        <v>5529</v>
      </c>
      <c r="Y3834" s="1088" t="s">
        <v>5529</v>
      </c>
      <c r="Z3834" s="1088" t="s">
        <v>5529</v>
      </c>
      <c r="AA3834" s="1088"/>
      <c r="AB3834" s="970" t="s">
        <v>5529</v>
      </c>
      <c r="AD3834" s="386"/>
      <c r="AE3834" s="386"/>
      <c r="AF3834" s="386"/>
      <c r="AG3834" s="386"/>
    </row>
    <row r="3835" spans="1:33" ht="15.75" customHeight="1">
      <c r="A3835" s="743">
        <v>42313</v>
      </c>
      <c r="B3835" s="823" t="s">
        <v>228</v>
      </c>
      <c r="C3835" s="386"/>
      <c r="D3835" s="386" t="s">
        <v>12278</v>
      </c>
      <c r="E3835" s="592" t="s">
        <v>12283</v>
      </c>
      <c r="F3835" s="386">
        <v>8</v>
      </c>
      <c r="G3835" s="386"/>
      <c r="H3835" s="386"/>
      <c r="I3835" s="263" t="s">
        <v>170</v>
      </c>
      <c r="J3835" s="267" t="s">
        <v>89</v>
      </c>
      <c r="K3835" s="811">
        <v>42327</v>
      </c>
      <c r="L3835" s="1477"/>
      <c r="M3835" s="386"/>
      <c r="N3835" s="267" t="s">
        <v>89</v>
      </c>
      <c r="O3835" s="318" t="s">
        <v>10679</v>
      </c>
      <c r="Q3835" s="386">
        <v>0</v>
      </c>
      <c r="R3835" s="386">
        <v>0</v>
      </c>
      <c r="S3835" s="1098">
        <f t="shared" si="243"/>
        <v>0</v>
      </c>
      <c r="U3835" s="386"/>
      <c r="V3835" s="386" t="s">
        <v>10751</v>
      </c>
      <c r="W3835" s="386"/>
      <c r="X3835" s="1088" t="s">
        <v>5529</v>
      </c>
      <c r="Y3835" s="1088" t="s">
        <v>5529</v>
      </c>
      <c r="Z3835" s="1088" t="s">
        <v>5529</v>
      </c>
      <c r="AA3835" s="1088"/>
      <c r="AB3835" s="970" t="s">
        <v>5529</v>
      </c>
      <c r="AD3835" s="386"/>
      <c r="AE3835" s="386"/>
      <c r="AF3835" s="386"/>
      <c r="AG3835" s="386"/>
    </row>
    <row r="3836" spans="1:33" ht="15.75" customHeight="1">
      <c r="A3836" s="743">
        <v>42335</v>
      </c>
      <c r="B3836" s="823" t="s">
        <v>228</v>
      </c>
      <c r="C3836" s="386"/>
      <c r="D3836" s="386" t="s">
        <v>12284</v>
      </c>
      <c r="E3836" s="592" t="s">
        <v>461</v>
      </c>
      <c r="F3836" s="1088">
        <v>35</v>
      </c>
      <c r="G3836" s="318">
        <f>R3836*32.77</f>
        <v>14726.838000000002</v>
      </c>
      <c r="H3836" s="318">
        <f>G3836*F3836</f>
        <v>515439.33000000007</v>
      </c>
      <c r="I3836" s="263" t="s">
        <v>170</v>
      </c>
      <c r="J3836" s="267" t="s">
        <v>89</v>
      </c>
      <c r="K3836" s="811">
        <v>42355</v>
      </c>
      <c r="L3836" s="1477"/>
      <c r="M3836" s="585"/>
      <c r="N3836" s="267" t="s">
        <v>89</v>
      </c>
      <c r="O3836" s="318" t="s">
        <v>10682</v>
      </c>
      <c r="Q3836" s="752">
        <v>14222.25</v>
      </c>
      <c r="R3836" s="752">
        <v>449.4</v>
      </c>
      <c r="S3836" s="1098">
        <f t="shared" si="243"/>
        <v>15729</v>
      </c>
      <c r="U3836" s="386"/>
      <c r="V3836" s="386" t="s">
        <v>10751</v>
      </c>
      <c r="W3836" s="1088"/>
      <c r="X3836" s="1090">
        <v>42355</v>
      </c>
      <c r="Y3836" s="386" t="s">
        <v>12285</v>
      </c>
      <c r="Z3836" s="824">
        <v>441288</v>
      </c>
      <c r="AA3836" s="1090">
        <v>42361</v>
      </c>
      <c r="AB3836" s="1228" t="s">
        <v>12286</v>
      </c>
      <c r="AD3836" s="386" t="s">
        <v>12287</v>
      </c>
      <c r="AE3836" s="1097">
        <v>751069</v>
      </c>
      <c r="AF3836" s="386" t="s">
        <v>12288</v>
      </c>
      <c r="AG3836" s="386"/>
    </row>
    <row r="3837" spans="1:33" ht="15.75" customHeight="1">
      <c r="A3837" s="743">
        <v>42345</v>
      </c>
      <c r="B3837" s="823" t="s">
        <v>228</v>
      </c>
      <c r="C3837" s="386"/>
      <c r="D3837" s="386" t="s">
        <v>12289</v>
      </c>
      <c r="E3837" s="592" t="s">
        <v>461</v>
      </c>
      <c r="F3837" s="1088">
        <v>16</v>
      </c>
      <c r="G3837" s="318">
        <f>R3837*32.77</f>
        <v>14726.838000000002</v>
      </c>
      <c r="H3837" s="318">
        <f>G3837*F3837</f>
        <v>235629.40800000002</v>
      </c>
      <c r="I3837" s="263" t="s">
        <v>170</v>
      </c>
      <c r="J3837" s="267" t="s">
        <v>89</v>
      </c>
      <c r="K3837" s="811">
        <v>42355</v>
      </c>
      <c r="L3837" s="1477"/>
      <c r="M3837" s="585"/>
      <c r="N3837" s="267" t="s">
        <v>89</v>
      </c>
      <c r="O3837" s="318" t="s">
        <v>10684</v>
      </c>
      <c r="Q3837" s="752">
        <v>6501.6</v>
      </c>
      <c r="R3837" s="752">
        <v>449.4</v>
      </c>
      <c r="S3837" s="1098">
        <f t="shared" si="243"/>
        <v>7190.4</v>
      </c>
      <c r="U3837" s="386"/>
      <c r="V3837" s="318" t="s">
        <v>10751</v>
      </c>
      <c r="W3837" s="1088"/>
      <c r="X3837" s="1090">
        <v>42355</v>
      </c>
      <c r="Y3837" s="386" t="s">
        <v>12290</v>
      </c>
      <c r="Z3837" s="824">
        <v>201732</v>
      </c>
      <c r="AA3837" s="1090">
        <v>42398</v>
      </c>
      <c r="AB3837" s="1228" t="s">
        <v>12286</v>
      </c>
      <c r="AD3837" s="1228" t="s">
        <v>12287</v>
      </c>
      <c r="AE3837" s="1229" t="s">
        <v>12291</v>
      </c>
      <c r="AF3837" s="386" t="s">
        <v>12288</v>
      </c>
      <c r="AG3837" s="386"/>
    </row>
    <row r="3838" spans="1:33" ht="15.75" customHeight="1">
      <c r="A3838" s="743">
        <v>42307</v>
      </c>
      <c r="B3838" s="823" t="s">
        <v>100</v>
      </c>
      <c r="C3838" s="970" t="s">
        <v>12292</v>
      </c>
      <c r="D3838" s="386" t="s">
        <v>12293</v>
      </c>
      <c r="E3838" s="823" t="s">
        <v>8747</v>
      </c>
      <c r="F3838" s="1088">
        <v>10</v>
      </c>
      <c r="G3838" s="318"/>
      <c r="H3838" s="386"/>
      <c r="I3838" s="263" t="s">
        <v>170</v>
      </c>
      <c r="J3838" s="331" t="s">
        <v>8461</v>
      </c>
      <c r="K3838" s="811">
        <v>42338</v>
      </c>
      <c r="L3838" s="1477"/>
      <c r="M3838" s="811">
        <v>42328</v>
      </c>
      <c r="N3838" s="267" t="s">
        <v>2001</v>
      </c>
      <c r="O3838" s="386" t="s">
        <v>12294</v>
      </c>
      <c r="Q3838" s="386"/>
      <c r="R3838" s="1088">
        <v>357</v>
      </c>
      <c r="S3838" s="1098">
        <f t="shared" si="243"/>
        <v>3570</v>
      </c>
      <c r="U3838" s="464">
        <v>115500</v>
      </c>
      <c r="V3838" s="386" t="s">
        <v>5901</v>
      </c>
      <c r="W3838" s="1090">
        <v>42377</v>
      </c>
      <c r="X3838" s="1090">
        <v>42327</v>
      </c>
      <c r="Y3838" s="386" t="s">
        <v>12295</v>
      </c>
      <c r="Z3838" s="1097">
        <v>115500</v>
      </c>
      <c r="AA3838" s="1090">
        <v>42374</v>
      </c>
      <c r="AB3838" s="386" t="s">
        <v>12296</v>
      </c>
      <c r="AD3838" s="386"/>
      <c r="AE3838" s="386"/>
      <c r="AF3838" s="386"/>
      <c r="AG3838" s="386"/>
    </row>
    <row r="3839" spans="1:33" ht="15.75" customHeight="1">
      <c r="A3839" s="743">
        <v>42307</v>
      </c>
      <c r="B3839" s="823" t="s">
        <v>100</v>
      </c>
      <c r="C3839" s="970" t="s">
        <v>12292</v>
      </c>
      <c r="D3839" s="386" t="s">
        <v>12293</v>
      </c>
      <c r="E3839" s="823" t="s">
        <v>12297</v>
      </c>
      <c r="F3839" s="1088">
        <v>10</v>
      </c>
      <c r="G3839" s="318"/>
      <c r="H3839" s="386"/>
      <c r="I3839" s="263" t="s">
        <v>170</v>
      </c>
      <c r="J3839" s="331" t="s">
        <v>8461</v>
      </c>
      <c r="K3839" s="811">
        <v>42338</v>
      </c>
      <c r="L3839" s="1477"/>
      <c r="M3839" s="811">
        <v>42334</v>
      </c>
      <c r="N3839" s="267" t="s">
        <v>12298</v>
      </c>
      <c r="O3839" s="970" t="s">
        <v>12299</v>
      </c>
      <c r="Q3839" s="386"/>
      <c r="R3839" s="1088">
        <v>130</v>
      </c>
      <c r="S3839" s="1098">
        <f t="shared" si="243"/>
        <v>1300</v>
      </c>
      <c r="U3839" s="1108">
        <v>44218</v>
      </c>
      <c r="V3839" s="386" t="s">
        <v>8443</v>
      </c>
      <c r="W3839" s="1090">
        <v>42439</v>
      </c>
      <c r="X3839" s="1090">
        <v>42334</v>
      </c>
      <c r="Y3839" s="386" t="s">
        <v>12300</v>
      </c>
      <c r="Z3839" s="1097">
        <v>44218</v>
      </c>
      <c r="AA3839" s="1090">
        <v>42436</v>
      </c>
      <c r="AB3839" s="386" t="s">
        <v>12296</v>
      </c>
      <c r="AD3839" s="386"/>
      <c r="AE3839" s="386"/>
      <c r="AF3839" s="386"/>
      <c r="AG3839" s="386"/>
    </row>
    <row r="3840" spans="1:33" ht="15.75" customHeight="1">
      <c r="A3840" s="743">
        <v>42307</v>
      </c>
      <c r="B3840" s="823" t="s">
        <v>100</v>
      </c>
      <c r="C3840" s="970" t="s">
        <v>12292</v>
      </c>
      <c r="D3840" s="386" t="s">
        <v>12293</v>
      </c>
      <c r="E3840" s="823" t="s">
        <v>12301</v>
      </c>
      <c r="F3840" s="1088">
        <v>1</v>
      </c>
      <c r="G3840" s="318"/>
      <c r="H3840" s="386"/>
      <c r="I3840" s="263" t="s">
        <v>170</v>
      </c>
      <c r="J3840" s="331" t="s">
        <v>8461</v>
      </c>
      <c r="K3840" s="811">
        <v>42338</v>
      </c>
      <c r="L3840" s="1477"/>
      <c r="M3840" s="585"/>
      <c r="N3840" s="267" t="s">
        <v>10943</v>
      </c>
      <c r="O3840" s="386"/>
      <c r="Q3840" s="386"/>
      <c r="R3840" s="1088">
        <v>190</v>
      </c>
      <c r="S3840" s="1098">
        <f t="shared" si="243"/>
        <v>190</v>
      </c>
      <c r="U3840" s="318">
        <v>4268</v>
      </c>
      <c r="V3840" s="386" t="s">
        <v>10944</v>
      </c>
      <c r="W3840" s="1090">
        <v>42376</v>
      </c>
      <c r="X3840" s="1094">
        <v>42349</v>
      </c>
      <c r="Y3840" s="970" t="s">
        <v>10945</v>
      </c>
      <c r="Z3840" s="1088">
        <v>47219</v>
      </c>
      <c r="AA3840" s="1090">
        <v>42373</v>
      </c>
      <c r="AB3840" s="386" t="s">
        <v>12296</v>
      </c>
      <c r="AD3840" s="386"/>
      <c r="AE3840" s="386">
        <v>47219</v>
      </c>
      <c r="AF3840" s="386"/>
      <c r="AG3840" s="386"/>
    </row>
    <row r="3841" spans="1:33" ht="15.75" customHeight="1">
      <c r="A3841" s="743">
        <v>42320</v>
      </c>
      <c r="B3841" s="823" t="s">
        <v>100</v>
      </c>
      <c r="C3841" s="386" t="s">
        <v>12302</v>
      </c>
      <c r="D3841" s="386" t="s">
        <v>12303</v>
      </c>
      <c r="E3841" s="592" t="s">
        <v>3407</v>
      </c>
      <c r="F3841" s="386">
        <v>5</v>
      </c>
      <c r="G3841" s="318"/>
      <c r="H3841" s="386"/>
      <c r="I3841" s="263" t="s">
        <v>170</v>
      </c>
      <c r="J3841" s="331" t="s">
        <v>8461</v>
      </c>
      <c r="K3841" s="811">
        <v>42338</v>
      </c>
      <c r="L3841" s="1477"/>
      <c r="M3841" s="811">
        <v>42335</v>
      </c>
      <c r="N3841" s="267" t="s">
        <v>2001</v>
      </c>
      <c r="O3841" s="386" t="s">
        <v>12304</v>
      </c>
      <c r="Q3841" s="386"/>
      <c r="R3841" s="386">
        <v>80</v>
      </c>
      <c r="S3841" s="1098">
        <f t="shared" si="243"/>
        <v>400</v>
      </c>
      <c r="U3841" s="1052">
        <f>12000*1.05</f>
        <v>12600</v>
      </c>
      <c r="V3841" s="386" t="s">
        <v>5901</v>
      </c>
      <c r="W3841" s="1090">
        <v>42405</v>
      </c>
      <c r="X3841" s="1090">
        <v>42335</v>
      </c>
      <c r="Y3841" s="970" t="s">
        <v>12305</v>
      </c>
      <c r="Z3841" s="1110">
        <v>81638</v>
      </c>
      <c r="AA3841" s="1090">
        <v>42397</v>
      </c>
      <c r="AB3841" s="386" t="s">
        <v>12296</v>
      </c>
      <c r="AD3841" s="386"/>
      <c r="AE3841" s="386"/>
      <c r="AF3841" s="386"/>
      <c r="AG3841" s="386"/>
    </row>
    <row r="3842" spans="1:33" ht="15.75" customHeight="1">
      <c r="A3842" s="743">
        <v>42320</v>
      </c>
      <c r="B3842" s="823" t="s">
        <v>100</v>
      </c>
      <c r="C3842" s="386" t="s">
        <v>12302</v>
      </c>
      <c r="D3842" s="386" t="s">
        <v>12303</v>
      </c>
      <c r="E3842" s="592" t="s">
        <v>3413</v>
      </c>
      <c r="F3842" s="386">
        <v>5</v>
      </c>
      <c r="G3842" s="318"/>
      <c r="H3842" s="386"/>
      <c r="I3842" s="263" t="s">
        <v>170</v>
      </c>
      <c r="J3842" s="331" t="s">
        <v>8461</v>
      </c>
      <c r="K3842" s="811">
        <v>42338</v>
      </c>
      <c r="L3842" s="1477"/>
      <c r="M3842" s="811">
        <v>42335</v>
      </c>
      <c r="N3842" s="267" t="s">
        <v>2001</v>
      </c>
      <c r="O3842" s="386" t="s">
        <v>12304</v>
      </c>
      <c r="Q3842" s="386"/>
      <c r="R3842" s="386">
        <v>60</v>
      </c>
      <c r="S3842" s="1098">
        <f t="shared" si="243"/>
        <v>300</v>
      </c>
      <c r="U3842" s="1052">
        <f>9000*1.05</f>
        <v>9450</v>
      </c>
      <c r="V3842" s="386" t="s">
        <v>5901</v>
      </c>
      <c r="W3842" s="1090">
        <v>42405</v>
      </c>
      <c r="X3842" s="1090">
        <v>42335</v>
      </c>
      <c r="Y3842" s="970" t="s">
        <v>12305</v>
      </c>
      <c r="Z3842" s="1088" t="s">
        <v>12306</v>
      </c>
      <c r="AA3842" s="1090">
        <v>42397</v>
      </c>
      <c r="AB3842" s="386" t="s">
        <v>12296</v>
      </c>
      <c r="AD3842" s="386"/>
      <c r="AE3842" s="386"/>
      <c r="AF3842" s="386"/>
      <c r="AG3842" s="386"/>
    </row>
    <row r="3843" spans="1:33" ht="15.75" customHeight="1">
      <c r="A3843" s="743">
        <v>42320</v>
      </c>
      <c r="B3843" s="823" t="s">
        <v>100</v>
      </c>
      <c r="C3843" s="386" t="s">
        <v>12302</v>
      </c>
      <c r="D3843" s="386" t="s">
        <v>12303</v>
      </c>
      <c r="E3843" s="592" t="s">
        <v>3415</v>
      </c>
      <c r="F3843" s="386">
        <v>5</v>
      </c>
      <c r="G3843" s="318"/>
      <c r="H3843" s="386"/>
      <c r="I3843" s="263" t="s">
        <v>170</v>
      </c>
      <c r="J3843" s="331" t="s">
        <v>8461</v>
      </c>
      <c r="K3843" s="811">
        <v>42338</v>
      </c>
      <c r="L3843" s="1477"/>
      <c r="M3843" s="811">
        <v>42335</v>
      </c>
      <c r="N3843" s="267" t="s">
        <v>2001</v>
      </c>
      <c r="O3843" s="386" t="s">
        <v>12304</v>
      </c>
      <c r="Q3843" s="386"/>
      <c r="R3843" s="386">
        <v>116</v>
      </c>
      <c r="S3843" s="1098">
        <f t="shared" si="243"/>
        <v>580</v>
      </c>
      <c r="U3843" s="1052">
        <f>17500*1.05</f>
        <v>18375</v>
      </c>
      <c r="V3843" s="386" t="s">
        <v>5901</v>
      </c>
      <c r="W3843" s="1090">
        <v>42405</v>
      </c>
      <c r="X3843" s="1090">
        <v>42335</v>
      </c>
      <c r="Y3843" s="970" t="s">
        <v>12305</v>
      </c>
      <c r="Z3843" s="1088" t="s">
        <v>12306</v>
      </c>
      <c r="AA3843" s="1090">
        <v>42397</v>
      </c>
      <c r="AB3843" s="386" t="s">
        <v>12296</v>
      </c>
      <c r="AD3843" s="386"/>
      <c r="AE3843" s="386"/>
      <c r="AF3843" s="386"/>
      <c r="AG3843" s="386"/>
    </row>
    <row r="3844" spans="1:33" ht="15.75" customHeight="1">
      <c r="A3844" s="743">
        <v>42320</v>
      </c>
      <c r="B3844" s="823" t="s">
        <v>100</v>
      </c>
      <c r="C3844" s="386" t="s">
        <v>12302</v>
      </c>
      <c r="D3844" s="386" t="s">
        <v>12303</v>
      </c>
      <c r="E3844" s="597" t="s">
        <v>3416</v>
      </c>
      <c r="F3844" s="386">
        <v>5</v>
      </c>
      <c r="G3844" s="318"/>
      <c r="H3844" s="386"/>
      <c r="I3844" s="263" t="s">
        <v>170</v>
      </c>
      <c r="J3844" s="331" t="s">
        <v>8461</v>
      </c>
      <c r="K3844" s="811">
        <v>42338</v>
      </c>
      <c r="L3844" s="1477"/>
      <c r="M3844" s="811">
        <v>42328</v>
      </c>
      <c r="N3844" s="267" t="s">
        <v>12307</v>
      </c>
      <c r="O3844" s="386" t="s">
        <v>12308</v>
      </c>
      <c r="Q3844" s="386"/>
      <c r="R3844" s="386">
        <v>2</v>
      </c>
      <c r="S3844" s="1098">
        <f t="shared" si="243"/>
        <v>10</v>
      </c>
      <c r="U3844" s="318">
        <f>60*5</f>
        <v>300</v>
      </c>
      <c r="V3844" s="386" t="s">
        <v>12309</v>
      </c>
      <c r="W3844" s="1094">
        <v>42327</v>
      </c>
      <c r="X3844" s="1090">
        <v>42327</v>
      </c>
      <c r="Y3844" s="386" t="s">
        <v>12310</v>
      </c>
      <c r="Z3844" s="1110">
        <v>3850</v>
      </c>
      <c r="AA3844" s="1090">
        <v>42327</v>
      </c>
      <c r="AB3844" s="386" t="s">
        <v>12296</v>
      </c>
      <c r="AD3844" s="386"/>
      <c r="AE3844" s="386"/>
      <c r="AF3844" s="386"/>
      <c r="AG3844" s="386"/>
    </row>
    <row r="3845" spans="1:33" ht="15.75" customHeight="1">
      <c r="A3845" s="743">
        <v>42320</v>
      </c>
      <c r="B3845" s="823" t="s">
        <v>100</v>
      </c>
      <c r="C3845" s="386" t="s">
        <v>12302</v>
      </c>
      <c r="D3845" s="386" t="s">
        <v>12303</v>
      </c>
      <c r="E3845" s="862" t="s">
        <v>3418</v>
      </c>
      <c r="F3845" s="386">
        <v>5</v>
      </c>
      <c r="G3845" s="318"/>
      <c r="H3845" s="386"/>
      <c r="I3845" s="263" t="s">
        <v>170</v>
      </c>
      <c r="J3845" s="331" t="s">
        <v>8461</v>
      </c>
      <c r="K3845" s="811">
        <v>42338</v>
      </c>
      <c r="L3845" s="1477"/>
      <c r="M3845" s="811">
        <v>42328</v>
      </c>
      <c r="N3845" s="267" t="s">
        <v>12307</v>
      </c>
      <c r="O3845" s="386" t="s">
        <v>12308</v>
      </c>
      <c r="Q3845" s="386"/>
      <c r="R3845" s="386">
        <v>2.5</v>
      </c>
      <c r="S3845" s="1098">
        <f t="shared" si="243"/>
        <v>12.5</v>
      </c>
      <c r="U3845" s="318">
        <f>75*5</f>
        <v>375</v>
      </c>
      <c r="V3845" s="386" t="s">
        <v>12309</v>
      </c>
      <c r="W3845" s="1094">
        <v>42327</v>
      </c>
      <c r="X3845" s="1090">
        <v>42327</v>
      </c>
      <c r="Y3845" s="386" t="s">
        <v>12310</v>
      </c>
      <c r="Z3845" s="1088" t="s">
        <v>12311</v>
      </c>
      <c r="AA3845" s="1090">
        <v>42327</v>
      </c>
      <c r="AB3845" s="386" t="s">
        <v>12296</v>
      </c>
      <c r="AD3845" s="386"/>
      <c r="AE3845" s="386"/>
      <c r="AF3845" s="386"/>
      <c r="AG3845" s="386"/>
    </row>
    <row r="3846" spans="1:33" ht="15.75" customHeight="1">
      <c r="A3846" s="743">
        <v>42320</v>
      </c>
      <c r="B3846" s="823" t="s">
        <v>100</v>
      </c>
      <c r="C3846" s="386" t="s">
        <v>12302</v>
      </c>
      <c r="D3846" s="386" t="s">
        <v>12303</v>
      </c>
      <c r="E3846" s="592" t="s">
        <v>3420</v>
      </c>
      <c r="F3846" s="386">
        <v>5</v>
      </c>
      <c r="G3846" s="318"/>
      <c r="H3846" s="386"/>
      <c r="I3846" s="263" t="s">
        <v>170</v>
      </c>
      <c r="J3846" s="331" t="s">
        <v>8461</v>
      </c>
      <c r="K3846" s="811">
        <v>42338</v>
      </c>
      <c r="L3846" s="1477"/>
      <c r="M3846" s="811">
        <v>42335</v>
      </c>
      <c r="N3846" s="267" t="s">
        <v>2001</v>
      </c>
      <c r="O3846" s="386" t="s">
        <v>12304</v>
      </c>
      <c r="Q3846" s="386"/>
      <c r="R3846" s="386">
        <v>4</v>
      </c>
      <c r="S3846" s="1098">
        <f t="shared" si="243"/>
        <v>20</v>
      </c>
      <c r="U3846" s="1052">
        <f>375*1.05</f>
        <v>393.75</v>
      </c>
      <c r="V3846" s="386" t="s">
        <v>5901</v>
      </c>
      <c r="W3846" s="1090">
        <v>42405</v>
      </c>
      <c r="X3846" s="1090">
        <v>42335</v>
      </c>
      <c r="Y3846" s="970" t="s">
        <v>12305</v>
      </c>
      <c r="Z3846" s="1088" t="s">
        <v>12306</v>
      </c>
      <c r="AA3846" s="1090">
        <v>42397</v>
      </c>
      <c r="AB3846" s="386" t="s">
        <v>12296</v>
      </c>
      <c r="AD3846" s="386"/>
      <c r="AE3846" s="386"/>
      <c r="AF3846" s="386"/>
      <c r="AG3846" s="386"/>
    </row>
    <row r="3847" spans="1:33" ht="15.75" customHeight="1">
      <c r="A3847" s="743">
        <v>42320</v>
      </c>
      <c r="B3847" s="823" t="s">
        <v>100</v>
      </c>
      <c r="C3847" s="386" t="s">
        <v>12302</v>
      </c>
      <c r="D3847" s="328" t="s">
        <v>12303</v>
      </c>
      <c r="E3847" s="597" t="s">
        <v>3421</v>
      </c>
      <c r="F3847" s="328">
        <v>5</v>
      </c>
      <c r="G3847" s="318"/>
      <c r="H3847" s="386"/>
      <c r="I3847" s="263" t="s">
        <v>170</v>
      </c>
      <c r="J3847" s="331" t="s">
        <v>8461</v>
      </c>
      <c r="K3847" s="811">
        <v>42338</v>
      </c>
      <c r="L3847" s="1477"/>
      <c r="M3847" s="811">
        <v>42335</v>
      </c>
      <c r="N3847" s="267" t="s">
        <v>12312</v>
      </c>
      <c r="O3847" s="386"/>
      <c r="Q3847" s="386"/>
      <c r="R3847" s="386">
        <v>8</v>
      </c>
      <c r="S3847" s="1098">
        <f t="shared" si="243"/>
        <v>40</v>
      </c>
      <c r="U3847" s="386">
        <v>750</v>
      </c>
      <c r="V3847" s="386"/>
      <c r="W3847" s="1088"/>
      <c r="X3847" s="1088" t="s">
        <v>5529</v>
      </c>
      <c r="Y3847" s="1088" t="s">
        <v>5529</v>
      </c>
      <c r="Z3847" s="1088" t="s">
        <v>5529</v>
      </c>
      <c r="AA3847" s="1090">
        <v>42335</v>
      </c>
      <c r="AB3847" s="386" t="s">
        <v>12296</v>
      </c>
      <c r="AD3847" s="386"/>
      <c r="AE3847" s="386"/>
      <c r="AF3847" s="386"/>
      <c r="AG3847" s="386"/>
    </row>
    <row r="3848" spans="1:33" ht="15.75" customHeight="1">
      <c r="A3848" s="743">
        <v>42320</v>
      </c>
      <c r="B3848" s="823" t="s">
        <v>100</v>
      </c>
      <c r="C3848" s="386" t="s">
        <v>12302</v>
      </c>
      <c r="D3848" s="328" t="s">
        <v>12303</v>
      </c>
      <c r="E3848" s="595" t="s">
        <v>12313</v>
      </c>
      <c r="F3848" s="328">
        <v>1</v>
      </c>
      <c r="G3848" s="318"/>
      <c r="H3848" s="386"/>
      <c r="I3848" s="263" t="s">
        <v>170</v>
      </c>
      <c r="J3848" s="331" t="s">
        <v>8461</v>
      </c>
      <c r="K3848" s="811">
        <v>42338</v>
      </c>
      <c r="L3848" s="1477"/>
      <c r="M3848" s="331"/>
      <c r="N3848" s="367" t="s">
        <v>10943</v>
      </c>
      <c r="O3848" s="386"/>
      <c r="Q3848" s="386"/>
      <c r="R3848" s="386">
        <v>608</v>
      </c>
      <c r="S3848" s="1098">
        <f t="shared" si="243"/>
        <v>608</v>
      </c>
      <c r="U3848" s="1054">
        <v>16005</v>
      </c>
      <c r="V3848" s="386" t="s">
        <v>10944</v>
      </c>
      <c r="W3848" s="1090">
        <v>42376</v>
      </c>
      <c r="X3848" s="1206">
        <v>42349</v>
      </c>
      <c r="Y3848" s="970" t="s">
        <v>10945</v>
      </c>
      <c r="Z3848" s="1088" t="s">
        <v>12314</v>
      </c>
      <c r="AA3848" s="1090">
        <v>42373</v>
      </c>
      <c r="AB3848" s="386" t="s">
        <v>12296</v>
      </c>
      <c r="AD3848" s="386"/>
      <c r="AE3848" s="386" t="s">
        <v>12315</v>
      </c>
      <c r="AF3848" s="386"/>
      <c r="AG3848" s="386"/>
    </row>
    <row r="3849" spans="1:33" ht="15.75" customHeight="1">
      <c r="A3849" s="743">
        <v>42320</v>
      </c>
      <c r="B3849" s="823" t="s">
        <v>100</v>
      </c>
      <c r="C3849" s="386" t="s">
        <v>12302</v>
      </c>
      <c r="D3849" s="328" t="s">
        <v>12316</v>
      </c>
      <c r="E3849" s="597" t="s">
        <v>3407</v>
      </c>
      <c r="F3849" s="328">
        <v>5</v>
      </c>
      <c r="G3849" s="386"/>
      <c r="H3849" s="386"/>
      <c r="I3849" s="263" t="s">
        <v>170</v>
      </c>
      <c r="J3849" s="331" t="s">
        <v>8461</v>
      </c>
      <c r="K3849" s="811">
        <v>42345</v>
      </c>
      <c r="L3849" s="1477"/>
      <c r="M3849" s="811">
        <v>42335</v>
      </c>
      <c r="N3849" s="367" t="s">
        <v>2001</v>
      </c>
      <c r="O3849" s="386" t="s">
        <v>12304</v>
      </c>
      <c r="Q3849" s="386"/>
      <c r="R3849" s="386">
        <v>80</v>
      </c>
      <c r="S3849" s="1098">
        <f t="shared" si="243"/>
        <v>400</v>
      </c>
      <c r="U3849" s="1052">
        <f>12000*1.05</f>
        <v>12600</v>
      </c>
      <c r="V3849" s="386" t="s">
        <v>5901</v>
      </c>
      <c r="W3849" s="1090">
        <v>42405</v>
      </c>
      <c r="X3849" s="1090">
        <v>42335</v>
      </c>
      <c r="Y3849" s="386" t="s">
        <v>12305</v>
      </c>
      <c r="Z3849" s="1088" t="s">
        <v>12306</v>
      </c>
      <c r="AA3849" s="1090">
        <v>42397</v>
      </c>
      <c r="AB3849" s="1091" t="s">
        <v>12317</v>
      </c>
      <c r="AD3849" s="386"/>
      <c r="AE3849" s="386"/>
      <c r="AF3849" s="386"/>
      <c r="AG3849" s="1091" t="s">
        <v>283</v>
      </c>
    </row>
    <row r="3850" spans="1:33" ht="15.75" customHeight="1">
      <c r="A3850" s="743">
        <v>42320</v>
      </c>
      <c r="B3850" s="823" t="s">
        <v>100</v>
      </c>
      <c r="C3850" s="386" t="s">
        <v>12302</v>
      </c>
      <c r="D3850" s="328" t="s">
        <v>12316</v>
      </c>
      <c r="E3850" s="597" t="s">
        <v>3413</v>
      </c>
      <c r="F3850" s="328">
        <v>5</v>
      </c>
      <c r="G3850" s="386"/>
      <c r="H3850" s="386"/>
      <c r="I3850" s="263" t="s">
        <v>170</v>
      </c>
      <c r="J3850" s="331" t="s">
        <v>8461</v>
      </c>
      <c r="K3850" s="811">
        <v>42345</v>
      </c>
      <c r="L3850" s="1477"/>
      <c r="M3850" s="811">
        <v>42335</v>
      </c>
      <c r="N3850" s="367" t="s">
        <v>2001</v>
      </c>
      <c r="O3850" s="386" t="s">
        <v>12304</v>
      </c>
      <c r="Q3850" s="386"/>
      <c r="R3850" s="386">
        <v>60</v>
      </c>
      <c r="S3850" s="1098">
        <f t="shared" si="243"/>
        <v>300</v>
      </c>
      <c r="U3850" s="1052">
        <f>9000*1.05</f>
        <v>9450</v>
      </c>
      <c r="V3850" s="386" t="s">
        <v>5901</v>
      </c>
      <c r="W3850" s="1090">
        <v>42405</v>
      </c>
      <c r="X3850" s="1090">
        <v>42335</v>
      </c>
      <c r="Y3850" s="386" t="s">
        <v>12305</v>
      </c>
      <c r="Z3850" s="1088" t="s">
        <v>12306</v>
      </c>
      <c r="AA3850" s="1090">
        <v>42397</v>
      </c>
      <c r="AB3850" s="1091" t="s">
        <v>12317</v>
      </c>
      <c r="AD3850" s="386"/>
      <c r="AE3850" s="386"/>
      <c r="AF3850" s="386"/>
      <c r="AG3850" s="1091" t="s">
        <v>283</v>
      </c>
    </row>
    <row r="3851" spans="1:33" ht="15.75" customHeight="1">
      <c r="A3851" s="743">
        <v>42320</v>
      </c>
      <c r="B3851" s="823" t="s">
        <v>100</v>
      </c>
      <c r="C3851" s="386" t="s">
        <v>12302</v>
      </c>
      <c r="D3851" s="328" t="s">
        <v>12316</v>
      </c>
      <c r="E3851" s="597" t="s">
        <v>3415</v>
      </c>
      <c r="F3851" s="328">
        <v>5</v>
      </c>
      <c r="G3851" s="386"/>
      <c r="H3851" s="386"/>
      <c r="I3851" s="263" t="s">
        <v>170</v>
      </c>
      <c r="J3851" s="331" t="s">
        <v>8461</v>
      </c>
      <c r="K3851" s="811">
        <v>42345</v>
      </c>
      <c r="L3851" s="1477"/>
      <c r="M3851" s="811">
        <v>42335</v>
      </c>
      <c r="N3851" s="367" t="s">
        <v>2001</v>
      </c>
      <c r="O3851" s="386" t="s">
        <v>12304</v>
      </c>
      <c r="Q3851" s="386"/>
      <c r="R3851" s="386">
        <v>116</v>
      </c>
      <c r="S3851" s="1098">
        <f t="shared" si="243"/>
        <v>580</v>
      </c>
      <c r="U3851" s="1052">
        <f>17500*1.05</f>
        <v>18375</v>
      </c>
      <c r="V3851" s="386" t="s">
        <v>5901</v>
      </c>
      <c r="W3851" s="1090">
        <v>42405</v>
      </c>
      <c r="X3851" s="1090">
        <v>42335</v>
      </c>
      <c r="Y3851" s="386" t="s">
        <v>12305</v>
      </c>
      <c r="Z3851" s="1088" t="s">
        <v>12306</v>
      </c>
      <c r="AA3851" s="1090">
        <v>42397</v>
      </c>
      <c r="AB3851" s="1091" t="s">
        <v>12317</v>
      </c>
      <c r="AD3851" s="386"/>
      <c r="AE3851" s="386"/>
      <c r="AF3851" s="386"/>
      <c r="AG3851" s="1091" t="s">
        <v>283</v>
      </c>
    </row>
    <row r="3852" spans="1:33" ht="15.75" customHeight="1">
      <c r="A3852" s="743">
        <v>42320</v>
      </c>
      <c r="B3852" s="823" t="s">
        <v>100</v>
      </c>
      <c r="C3852" s="386" t="s">
        <v>12302</v>
      </c>
      <c r="D3852" s="328" t="s">
        <v>12316</v>
      </c>
      <c r="E3852" s="597" t="s">
        <v>3416</v>
      </c>
      <c r="F3852" s="328">
        <v>5</v>
      </c>
      <c r="G3852" s="386"/>
      <c r="H3852" s="386"/>
      <c r="I3852" s="263" t="s">
        <v>170</v>
      </c>
      <c r="J3852" s="331" t="s">
        <v>8461</v>
      </c>
      <c r="K3852" s="811">
        <v>42345</v>
      </c>
      <c r="L3852" s="1477"/>
      <c r="M3852" s="811">
        <v>42328</v>
      </c>
      <c r="N3852" s="367" t="s">
        <v>12307</v>
      </c>
      <c r="O3852" s="386" t="s">
        <v>12308</v>
      </c>
      <c r="Q3852" s="386"/>
      <c r="R3852" s="386">
        <v>2</v>
      </c>
      <c r="S3852" s="1098">
        <f t="shared" si="243"/>
        <v>10</v>
      </c>
      <c r="U3852" s="318">
        <f>60*5</f>
        <v>300</v>
      </c>
      <c r="V3852" s="386" t="s">
        <v>12309</v>
      </c>
      <c r="W3852" s="1094">
        <v>42327</v>
      </c>
      <c r="X3852" s="1090">
        <v>42327</v>
      </c>
      <c r="Y3852" s="386" t="s">
        <v>12310</v>
      </c>
      <c r="Z3852" s="1088" t="s">
        <v>12318</v>
      </c>
      <c r="AA3852" s="1090">
        <v>42327</v>
      </c>
      <c r="AB3852" s="1091" t="s">
        <v>12317</v>
      </c>
      <c r="AD3852" s="386"/>
      <c r="AE3852" s="386"/>
      <c r="AF3852" s="386"/>
      <c r="AG3852" s="1091" t="s">
        <v>283</v>
      </c>
    </row>
    <row r="3853" spans="1:33" ht="15.75" customHeight="1">
      <c r="A3853" s="743">
        <v>42320</v>
      </c>
      <c r="B3853" s="823" t="s">
        <v>100</v>
      </c>
      <c r="C3853" s="386" t="s">
        <v>12302</v>
      </c>
      <c r="D3853" s="328" t="s">
        <v>12316</v>
      </c>
      <c r="E3853" s="597" t="s">
        <v>3418</v>
      </c>
      <c r="F3853" s="328">
        <v>5</v>
      </c>
      <c r="G3853" s="386"/>
      <c r="H3853" s="386"/>
      <c r="I3853" s="263" t="s">
        <v>170</v>
      </c>
      <c r="J3853" s="331" t="s">
        <v>8461</v>
      </c>
      <c r="K3853" s="811">
        <v>42345</v>
      </c>
      <c r="L3853" s="1477"/>
      <c r="M3853" s="811">
        <v>42328</v>
      </c>
      <c r="N3853" s="367" t="s">
        <v>12307</v>
      </c>
      <c r="O3853" s="386" t="s">
        <v>12308</v>
      </c>
      <c r="Q3853" s="386"/>
      <c r="R3853" s="386">
        <v>2.5</v>
      </c>
      <c r="S3853" s="1098">
        <f t="shared" si="243"/>
        <v>12.5</v>
      </c>
      <c r="U3853" s="318">
        <f>75*5</f>
        <v>375</v>
      </c>
      <c r="V3853" s="386" t="s">
        <v>12309</v>
      </c>
      <c r="W3853" s="1094">
        <v>42327</v>
      </c>
      <c r="X3853" s="1090">
        <v>42327</v>
      </c>
      <c r="Y3853" s="386" t="s">
        <v>12310</v>
      </c>
      <c r="Z3853" s="1088" t="s">
        <v>12318</v>
      </c>
      <c r="AA3853" s="1090">
        <v>42327</v>
      </c>
      <c r="AB3853" s="1091" t="s">
        <v>12317</v>
      </c>
      <c r="AD3853" s="386"/>
      <c r="AE3853" s="386"/>
      <c r="AF3853" s="386"/>
      <c r="AG3853" s="1091" t="s">
        <v>283</v>
      </c>
    </row>
    <row r="3854" spans="1:33" ht="15.75" customHeight="1">
      <c r="A3854" s="743">
        <v>42320</v>
      </c>
      <c r="B3854" s="823" t="s">
        <v>100</v>
      </c>
      <c r="C3854" s="386" t="s">
        <v>12302</v>
      </c>
      <c r="D3854" s="328" t="s">
        <v>12316</v>
      </c>
      <c r="E3854" s="592" t="s">
        <v>3420</v>
      </c>
      <c r="F3854" s="328">
        <v>5</v>
      </c>
      <c r="G3854" s="386"/>
      <c r="H3854" s="386"/>
      <c r="I3854" s="263" t="s">
        <v>170</v>
      </c>
      <c r="J3854" s="331" t="s">
        <v>8461</v>
      </c>
      <c r="K3854" s="811">
        <v>42345</v>
      </c>
      <c r="L3854" s="1477"/>
      <c r="M3854" s="811">
        <v>42335</v>
      </c>
      <c r="N3854" s="267" t="s">
        <v>2001</v>
      </c>
      <c r="O3854" s="386" t="s">
        <v>12304</v>
      </c>
      <c r="Q3854" s="386"/>
      <c r="R3854" s="386">
        <v>4</v>
      </c>
      <c r="S3854" s="1098">
        <f t="shared" si="243"/>
        <v>20</v>
      </c>
      <c r="U3854" s="1052">
        <f>375*1.05</f>
        <v>393.75</v>
      </c>
      <c r="V3854" s="386" t="s">
        <v>5901</v>
      </c>
      <c r="W3854" s="1090">
        <v>42405</v>
      </c>
      <c r="X3854" s="1090">
        <v>42335</v>
      </c>
      <c r="Y3854" s="386" t="s">
        <v>12305</v>
      </c>
      <c r="Z3854" s="1088" t="s">
        <v>12306</v>
      </c>
      <c r="AA3854" s="1090">
        <v>42397</v>
      </c>
      <c r="AB3854" s="1091" t="s">
        <v>12317</v>
      </c>
      <c r="AD3854" s="386"/>
      <c r="AE3854" s="386"/>
      <c r="AF3854" s="386"/>
      <c r="AG3854" s="1091" t="s">
        <v>283</v>
      </c>
    </row>
    <row r="3855" spans="1:33" ht="15.75" customHeight="1">
      <c r="A3855" s="743">
        <v>42320</v>
      </c>
      <c r="B3855" s="823" t="s">
        <v>100</v>
      </c>
      <c r="C3855" s="386" t="s">
        <v>12302</v>
      </c>
      <c r="D3855" s="328" t="s">
        <v>12316</v>
      </c>
      <c r="E3855" s="597" t="s">
        <v>3421</v>
      </c>
      <c r="F3855" s="328">
        <v>5</v>
      </c>
      <c r="G3855" s="386"/>
      <c r="H3855" s="386"/>
      <c r="I3855" s="263" t="s">
        <v>170</v>
      </c>
      <c r="J3855" s="331" t="s">
        <v>8461</v>
      </c>
      <c r="K3855" s="811">
        <v>42345</v>
      </c>
      <c r="L3855" s="1477"/>
      <c r="M3855" s="811">
        <v>42342</v>
      </c>
      <c r="N3855" s="267" t="s">
        <v>12312</v>
      </c>
      <c r="O3855" s="386"/>
      <c r="Q3855" s="386"/>
      <c r="R3855" s="386">
        <v>8</v>
      </c>
      <c r="S3855" s="1098">
        <f t="shared" si="243"/>
        <v>40</v>
      </c>
      <c r="U3855" s="386">
        <v>750</v>
      </c>
      <c r="V3855" s="386"/>
      <c r="W3855" s="1088"/>
      <c r="X3855" s="1091"/>
      <c r="Y3855" s="1091"/>
      <c r="Z3855" s="1187"/>
      <c r="AA3855" s="1090">
        <v>42335</v>
      </c>
      <c r="AB3855" s="1091" t="s">
        <v>12317</v>
      </c>
      <c r="AD3855" s="386"/>
      <c r="AE3855" s="386"/>
      <c r="AF3855" s="386"/>
      <c r="AG3855" s="1091" t="s">
        <v>283</v>
      </c>
    </row>
    <row r="3856" spans="1:33" ht="15.75" customHeight="1">
      <c r="A3856" s="743">
        <v>42320</v>
      </c>
      <c r="B3856" s="823" t="s">
        <v>100</v>
      </c>
      <c r="C3856" s="386" t="s">
        <v>12302</v>
      </c>
      <c r="D3856" s="386" t="s">
        <v>12303</v>
      </c>
      <c r="E3856" s="592" t="s">
        <v>12319</v>
      </c>
      <c r="F3856" s="386">
        <v>1</v>
      </c>
      <c r="G3856" s="386"/>
      <c r="H3856" s="386"/>
      <c r="I3856" s="263" t="s">
        <v>170</v>
      </c>
      <c r="J3856" s="331" t="s">
        <v>8461</v>
      </c>
      <c r="K3856" s="811">
        <v>42345</v>
      </c>
      <c r="L3856" s="1477"/>
      <c r="M3856" s="1093"/>
      <c r="N3856" s="267" t="s">
        <v>10943</v>
      </c>
      <c r="O3856" s="386"/>
      <c r="Q3856" s="386"/>
      <c r="R3856" s="386">
        <v>608</v>
      </c>
      <c r="S3856" s="1098">
        <f t="shared" si="243"/>
        <v>608</v>
      </c>
      <c r="U3856" s="1089">
        <v>18412</v>
      </c>
      <c r="V3856" s="386" t="s">
        <v>10944</v>
      </c>
      <c r="W3856" s="1090">
        <v>42376</v>
      </c>
      <c r="X3856" s="1090">
        <v>42349</v>
      </c>
      <c r="Y3856" s="386" t="s">
        <v>10945</v>
      </c>
      <c r="Z3856" s="1088" t="s">
        <v>12314</v>
      </c>
      <c r="AA3856" s="1090">
        <v>42373</v>
      </c>
      <c r="AB3856" s="1091" t="s">
        <v>12317</v>
      </c>
      <c r="AD3856" s="386"/>
      <c r="AE3856" s="386" t="s">
        <v>12315</v>
      </c>
      <c r="AF3856" s="386"/>
      <c r="AG3856" s="1091" t="s">
        <v>283</v>
      </c>
    </row>
    <row r="3857" spans="1:33" ht="15.75" customHeight="1">
      <c r="A3857" s="743">
        <v>42326</v>
      </c>
      <c r="B3857" s="823" t="s">
        <v>100</v>
      </c>
      <c r="C3857" s="386" t="s">
        <v>12320</v>
      </c>
      <c r="D3857" s="386" t="s">
        <v>12321</v>
      </c>
      <c r="E3857" s="592" t="s">
        <v>9356</v>
      </c>
      <c r="F3857" s="386">
        <v>8</v>
      </c>
      <c r="G3857" s="318"/>
      <c r="H3857" s="386"/>
      <c r="I3857" s="263" t="s">
        <v>170</v>
      </c>
      <c r="J3857" s="331" t="s">
        <v>8461</v>
      </c>
      <c r="K3857" s="811">
        <v>42338</v>
      </c>
      <c r="L3857" s="1477"/>
      <c r="M3857" s="811">
        <v>42335</v>
      </c>
      <c r="N3857" s="267" t="s">
        <v>2001</v>
      </c>
      <c r="O3857" s="386" t="s">
        <v>12322</v>
      </c>
      <c r="Q3857" s="386"/>
      <c r="R3857" s="386">
        <v>1166</v>
      </c>
      <c r="S3857" s="1098">
        <f t="shared" si="243"/>
        <v>9328</v>
      </c>
      <c r="U3857" s="1054">
        <v>303240</v>
      </c>
      <c r="V3857" s="386" t="s">
        <v>5901</v>
      </c>
      <c r="W3857" s="1090">
        <v>42405</v>
      </c>
      <c r="X3857" s="1090">
        <v>42335</v>
      </c>
      <c r="Y3857" s="386" t="s">
        <v>12323</v>
      </c>
      <c r="Z3857" s="1110">
        <v>303240</v>
      </c>
      <c r="AA3857" s="1090">
        <v>42397</v>
      </c>
      <c r="AB3857" s="386" t="s">
        <v>12296</v>
      </c>
      <c r="AD3857" s="386"/>
      <c r="AE3857" s="386"/>
      <c r="AF3857" s="386"/>
      <c r="AG3857" s="386"/>
    </row>
    <row r="3858" spans="1:33" ht="15.75" customHeight="1">
      <c r="A3858" s="743">
        <v>42326</v>
      </c>
      <c r="B3858" s="823" t="s">
        <v>100</v>
      </c>
      <c r="C3858" s="386" t="s">
        <v>12320</v>
      </c>
      <c r="D3858" s="386" t="s">
        <v>12321</v>
      </c>
      <c r="E3858" s="597" t="s">
        <v>12324</v>
      </c>
      <c r="F3858" s="386">
        <v>1</v>
      </c>
      <c r="G3858" s="318"/>
      <c r="H3858" s="386"/>
      <c r="I3858" s="263" t="s">
        <v>170</v>
      </c>
      <c r="J3858" s="331" t="s">
        <v>8461</v>
      </c>
      <c r="K3858" s="811">
        <v>42338</v>
      </c>
      <c r="L3858" s="1477"/>
      <c r="M3858" s="585"/>
      <c r="N3858" s="267" t="s">
        <v>10943</v>
      </c>
      <c r="O3858" s="386"/>
      <c r="Q3858" s="386"/>
      <c r="R3858" s="386">
        <v>235</v>
      </c>
      <c r="S3858" s="1098">
        <f t="shared" ref="S3858:S3874" si="244">F3858*R3858</f>
        <v>235</v>
      </c>
      <c r="U3858" s="1054">
        <v>5495</v>
      </c>
      <c r="V3858" s="386" t="s">
        <v>10944</v>
      </c>
      <c r="W3858" s="1090">
        <v>42376</v>
      </c>
      <c r="X3858" s="1206">
        <v>42349</v>
      </c>
      <c r="Y3858" s="970" t="s">
        <v>10945</v>
      </c>
      <c r="Z3858" s="1088" t="s">
        <v>12314</v>
      </c>
      <c r="AA3858" s="1090">
        <v>42373</v>
      </c>
      <c r="AB3858" s="386" t="s">
        <v>12296</v>
      </c>
      <c r="AD3858" s="386"/>
      <c r="AE3858" s="386" t="s">
        <v>12315</v>
      </c>
      <c r="AF3858" s="386"/>
      <c r="AG3858" s="386"/>
    </row>
    <row r="3859" spans="1:33" ht="15.75" customHeight="1">
      <c r="A3859" s="743">
        <v>42328</v>
      </c>
      <c r="B3859" s="823" t="s">
        <v>100</v>
      </c>
      <c r="C3859" s="386" t="s">
        <v>12325</v>
      </c>
      <c r="D3859" s="386" t="s">
        <v>12326</v>
      </c>
      <c r="E3859" s="318" t="s">
        <v>12327</v>
      </c>
      <c r="F3859" s="386">
        <v>1</v>
      </c>
      <c r="G3859" s="318"/>
      <c r="H3859" s="386"/>
      <c r="I3859" s="263" t="s">
        <v>170</v>
      </c>
      <c r="J3859" s="331" t="s">
        <v>8461</v>
      </c>
      <c r="K3859" s="811">
        <v>42338</v>
      </c>
      <c r="L3859" s="1477"/>
      <c r="M3859" s="811">
        <v>42338</v>
      </c>
      <c r="N3859" s="254" t="s">
        <v>1414</v>
      </c>
      <c r="O3859" s="386" t="s">
        <v>12328</v>
      </c>
      <c r="Q3859" s="386"/>
      <c r="R3859" s="386">
        <v>575</v>
      </c>
      <c r="S3859" s="1098">
        <f t="shared" si="244"/>
        <v>575</v>
      </c>
      <c r="U3859" s="318">
        <f>520*32.575*1.05</f>
        <v>17785.95</v>
      </c>
      <c r="V3859" s="386" t="s">
        <v>8467</v>
      </c>
      <c r="W3859" s="1094">
        <v>42334</v>
      </c>
      <c r="X3859" s="1090">
        <v>42338</v>
      </c>
      <c r="Y3859" s="386" t="s">
        <v>12329</v>
      </c>
      <c r="Z3859" s="1110">
        <v>20864</v>
      </c>
      <c r="AA3859" s="1090">
        <v>42334</v>
      </c>
      <c r="AB3859" s="386" t="s">
        <v>12296</v>
      </c>
      <c r="AD3859" s="386"/>
      <c r="AE3859" s="386"/>
      <c r="AF3859" s="386"/>
      <c r="AG3859" s="1091" t="s">
        <v>283</v>
      </c>
    </row>
    <row r="3860" spans="1:33" ht="15.75" customHeight="1">
      <c r="A3860" s="743">
        <v>42328</v>
      </c>
      <c r="B3860" s="823" t="s">
        <v>100</v>
      </c>
      <c r="C3860" s="386" t="s">
        <v>12325</v>
      </c>
      <c r="D3860" s="386" t="s">
        <v>12326</v>
      </c>
      <c r="E3860" s="318" t="s">
        <v>9519</v>
      </c>
      <c r="F3860" s="386">
        <v>1</v>
      </c>
      <c r="G3860" s="318"/>
      <c r="H3860" s="386"/>
      <c r="I3860" s="263" t="s">
        <v>170</v>
      </c>
      <c r="J3860" s="331" t="s">
        <v>8461</v>
      </c>
      <c r="K3860" s="811">
        <v>42338</v>
      </c>
      <c r="L3860" s="1477"/>
      <c r="M3860" s="811">
        <v>42338</v>
      </c>
      <c r="N3860" s="267" t="s">
        <v>12330</v>
      </c>
      <c r="O3860" s="386" t="s">
        <v>12331</v>
      </c>
      <c r="Q3860" s="386"/>
      <c r="R3860" s="386">
        <v>380</v>
      </c>
      <c r="S3860" s="1098">
        <f t="shared" si="244"/>
        <v>380</v>
      </c>
      <c r="U3860" s="1089">
        <f>372.75*32.555</f>
        <v>12134.876249999999</v>
      </c>
      <c r="V3860" s="386" t="s">
        <v>12332</v>
      </c>
      <c r="W3860" s="1094">
        <v>42332</v>
      </c>
      <c r="X3860" s="1090">
        <v>42332</v>
      </c>
      <c r="Y3860" s="386" t="s">
        <v>12333</v>
      </c>
      <c r="Z3860" s="1110">
        <v>12135</v>
      </c>
      <c r="AA3860" s="1090">
        <v>42332</v>
      </c>
      <c r="AB3860" s="386" t="s">
        <v>12296</v>
      </c>
      <c r="AD3860" s="386"/>
      <c r="AE3860" s="386"/>
      <c r="AF3860" s="386"/>
      <c r="AG3860" s="1091" t="s">
        <v>283</v>
      </c>
    </row>
    <row r="3861" spans="1:33" ht="15.75" customHeight="1">
      <c r="A3861" s="743">
        <v>42328</v>
      </c>
      <c r="B3861" s="823" t="s">
        <v>100</v>
      </c>
      <c r="C3861" s="386" t="s">
        <v>12325</v>
      </c>
      <c r="D3861" s="386" t="s">
        <v>12326</v>
      </c>
      <c r="E3861" s="318" t="s">
        <v>8722</v>
      </c>
      <c r="F3861" s="386">
        <v>1</v>
      </c>
      <c r="G3861" s="318"/>
      <c r="H3861" s="386"/>
      <c r="I3861" s="263" t="s">
        <v>170</v>
      </c>
      <c r="J3861" s="331" t="s">
        <v>8461</v>
      </c>
      <c r="K3861" s="811">
        <v>42338</v>
      </c>
      <c r="L3861" s="1477"/>
      <c r="M3861" s="811">
        <v>42338</v>
      </c>
      <c r="N3861" s="267" t="s">
        <v>12334</v>
      </c>
      <c r="O3861" s="386" t="s">
        <v>12335</v>
      </c>
      <c r="Q3861" s="386"/>
      <c r="R3861" s="386">
        <v>62</v>
      </c>
      <c r="S3861" s="1098">
        <f t="shared" si="244"/>
        <v>62</v>
      </c>
      <c r="U3861" s="318">
        <v>1278</v>
      </c>
      <c r="V3861" s="386" t="s">
        <v>12336</v>
      </c>
      <c r="W3861" s="1094">
        <v>42332</v>
      </c>
      <c r="X3861" s="1090">
        <v>42333</v>
      </c>
      <c r="Y3861" s="386" t="s">
        <v>12337</v>
      </c>
      <c r="Z3861" s="1110">
        <v>1278</v>
      </c>
      <c r="AA3861" s="1090">
        <v>42332</v>
      </c>
      <c r="AB3861" s="386" t="s">
        <v>12296</v>
      </c>
      <c r="AD3861" s="386"/>
      <c r="AE3861" s="386"/>
      <c r="AF3861" s="386"/>
      <c r="AG3861" s="1091" t="s">
        <v>283</v>
      </c>
    </row>
    <row r="3862" spans="1:33" ht="15.75" customHeight="1">
      <c r="A3862" s="743">
        <v>42328</v>
      </c>
      <c r="B3862" s="823" t="s">
        <v>100</v>
      </c>
      <c r="C3862" s="386" t="s">
        <v>12325</v>
      </c>
      <c r="D3862" s="386" t="s">
        <v>12326</v>
      </c>
      <c r="E3862" s="308" t="s">
        <v>6109</v>
      </c>
      <c r="F3862" s="386">
        <v>1</v>
      </c>
      <c r="G3862" s="318"/>
      <c r="H3862" s="386"/>
      <c r="I3862" s="263" t="s">
        <v>170</v>
      </c>
      <c r="J3862" s="331" t="s">
        <v>8461</v>
      </c>
      <c r="K3862" s="811">
        <v>42338</v>
      </c>
      <c r="L3862" s="1477"/>
      <c r="M3862" s="811">
        <v>42338</v>
      </c>
      <c r="N3862" s="254" t="s">
        <v>1414</v>
      </c>
      <c r="O3862" s="386" t="s">
        <v>12328</v>
      </c>
      <c r="Q3862" s="386"/>
      <c r="R3862" s="386">
        <v>38</v>
      </c>
      <c r="S3862" s="1098">
        <f t="shared" si="244"/>
        <v>38</v>
      </c>
      <c r="U3862" s="318">
        <f>35*1.05*32.575</f>
        <v>1197.1312500000001</v>
      </c>
      <c r="V3862" s="386" t="s">
        <v>8467</v>
      </c>
      <c r="W3862" s="1094">
        <v>42334</v>
      </c>
      <c r="X3862" s="1090">
        <v>42338</v>
      </c>
      <c r="Y3862" s="386" t="s">
        <v>12329</v>
      </c>
      <c r="Z3862" s="1088" t="s">
        <v>12338</v>
      </c>
      <c r="AA3862" s="1090">
        <v>42334</v>
      </c>
      <c r="AB3862" s="386" t="s">
        <v>12296</v>
      </c>
      <c r="AD3862" s="386"/>
      <c r="AE3862" s="386"/>
      <c r="AF3862" s="386"/>
      <c r="AG3862" s="1091" t="s">
        <v>283</v>
      </c>
    </row>
    <row r="3863" spans="1:33" ht="15.75" customHeight="1">
      <c r="A3863" s="743">
        <v>42328</v>
      </c>
      <c r="B3863" s="823" t="s">
        <v>100</v>
      </c>
      <c r="C3863" s="386" t="s">
        <v>12325</v>
      </c>
      <c r="D3863" s="386" t="s">
        <v>12326</v>
      </c>
      <c r="E3863" s="308" t="s">
        <v>8726</v>
      </c>
      <c r="F3863" s="386">
        <v>1</v>
      </c>
      <c r="G3863" s="318"/>
      <c r="H3863" s="386"/>
      <c r="I3863" s="263" t="s">
        <v>170</v>
      </c>
      <c r="J3863" s="331" t="s">
        <v>8461</v>
      </c>
      <c r="K3863" s="811">
        <v>42338</v>
      </c>
      <c r="L3863" s="1477"/>
      <c r="M3863" s="811">
        <v>42338</v>
      </c>
      <c r="N3863" s="254" t="s">
        <v>1414</v>
      </c>
      <c r="O3863" s="386" t="s">
        <v>12328</v>
      </c>
      <c r="Q3863" s="386"/>
      <c r="R3863" s="386">
        <v>30</v>
      </c>
      <c r="S3863" s="1098">
        <f t="shared" si="244"/>
        <v>30</v>
      </c>
      <c r="U3863" s="318">
        <f>25*1.05*32.575</f>
        <v>855.09375000000011</v>
      </c>
      <c r="V3863" s="386" t="s">
        <v>8467</v>
      </c>
      <c r="W3863" s="1094">
        <v>42334</v>
      </c>
      <c r="X3863" s="1090">
        <v>42338</v>
      </c>
      <c r="Y3863" s="386" t="s">
        <v>12329</v>
      </c>
      <c r="Z3863" s="1088" t="s">
        <v>12338</v>
      </c>
      <c r="AA3863" s="1090">
        <v>42334</v>
      </c>
      <c r="AB3863" s="386" t="s">
        <v>12296</v>
      </c>
      <c r="AD3863" s="386"/>
      <c r="AE3863" s="386"/>
      <c r="AF3863" s="386"/>
      <c r="AG3863" s="1091" t="s">
        <v>283</v>
      </c>
    </row>
    <row r="3864" spans="1:33" ht="15.75" customHeight="1">
      <c r="A3864" s="743">
        <v>42328</v>
      </c>
      <c r="B3864" s="823" t="s">
        <v>100</v>
      </c>
      <c r="C3864" s="386" t="s">
        <v>12325</v>
      </c>
      <c r="D3864" s="386" t="s">
        <v>12326</v>
      </c>
      <c r="E3864" s="318" t="s">
        <v>8727</v>
      </c>
      <c r="F3864" s="386">
        <v>1</v>
      </c>
      <c r="G3864" s="308"/>
      <c r="H3864" s="328"/>
      <c r="I3864" s="263" t="s">
        <v>170</v>
      </c>
      <c r="J3864" s="331" t="s">
        <v>8461</v>
      </c>
      <c r="K3864" s="811">
        <v>42338</v>
      </c>
      <c r="L3864" s="1477"/>
      <c r="M3864" s="811">
        <v>42338</v>
      </c>
      <c r="N3864" s="254" t="s">
        <v>1414</v>
      </c>
      <c r="O3864" s="386" t="s">
        <v>12328</v>
      </c>
      <c r="Q3864" s="386"/>
      <c r="R3864" s="386">
        <v>30</v>
      </c>
      <c r="S3864" s="1098">
        <f t="shared" si="244"/>
        <v>30</v>
      </c>
      <c r="U3864" s="318">
        <f>30*1.05*32.575</f>
        <v>1026.1125000000002</v>
      </c>
      <c r="V3864" s="386" t="s">
        <v>8467</v>
      </c>
      <c r="W3864" s="1094">
        <v>42334</v>
      </c>
      <c r="X3864" s="1090">
        <v>42338</v>
      </c>
      <c r="Y3864" s="386" t="s">
        <v>12329</v>
      </c>
      <c r="Z3864" s="1088" t="s">
        <v>12338</v>
      </c>
      <c r="AA3864" s="1090">
        <v>42334</v>
      </c>
      <c r="AB3864" s="328" t="s">
        <v>12296</v>
      </c>
      <c r="AD3864" s="386"/>
      <c r="AE3864" s="386"/>
      <c r="AF3864" s="386"/>
      <c r="AG3864" s="1091" t="s">
        <v>283</v>
      </c>
    </row>
    <row r="3865" spans="1:33" ht="15.75" customHeight="1">
      <c r="A3865" s="743">
        <v>42328</v>
      </c>
      <c r="B3865" s="823" t="s">
        <v>100</v>
      </c>
      <c r="C3865" s="386" t="s">
        <v>12325</v>
      </c>
      <c r="D3865" s="386" t="s">
        <v>12326</v>
      </c>
      <c r="E3865" s="823" t="s">
        <v>12339</v>
      </c>
      <c r="F3865" s="386">
        <v>1</v>
      </c>
      <c r="G3865" s="308"/>
      <c r="H3865" s="328"/>
      <c r="I3865" s="263" t="s">
        <v>170</v>
      </c>
      <c r="J3865" s="331" t="s">
        <v>8461</v>
      </c>
      <c r="K3865" s="811">
        <v>42338</v>
      </c>
      <c r="L3865" s="1477"/>
      <c r="M3865" s="802"/>
      <c r="N3865" s="267" t="s">
        <v>10943</v>
      </c>
      <c r="O3865" s="386"/>
      <c r="Q3865" s="386"/>
      <c r="R3865" s="386">
        <v>68</v>
      </c>
      <c r="S3865" s="1098">
        <f t="shared" si="244"/>
        <v>68</v>
      </c>
      <c r="U3865" s="318">
        <v>906</v>
      </c>
      <c r="V3865" s="386" t="s">
        <v>10944</v>
      </c>
      <c r="W3865" s="1090">
        <v>42376</v>
      </c>
      <c r="X3865" s="1206">
        <v>42349</v>
      </c>
      <c r="Y3865" s="970" t="s">
        <v>10945</v>
      </c>
      <c r="Z3865" s="1088" t="s">
        <v>12314</v>
      </c>
      <c r="AA3865" s="1090">
        <v>42373</v>
      </c>
      <c r="AB3865" s="386" t="s">
        <v>12296</v>
      </c>
      <c r="AD3865" s="386"/>
      <c r="AE3865" s="386" t="s">
        <v>12315</v>
      </c>
      <c r="AF3865" s="386"/>
      <c r="AG3865" s="1091" t="s">
        <v>283</v>
      </c>
    </row>
    <row r="3866" spans="1:33" ht="15.75" customHeight="1">
      <c r="A3866" s="755">
        <v>42182</v>
      </c>
      <c r="B3866" s="823" t="s">
        <v>3347</v>
      </c>
      <c r="C3866" s="386"/>
      <c r="D3866" s="338" t="s">
        <v>12340</v>
      </c>
      <c r="E3866" s="338" t="s">
        <v>10664</v>
      </c>
      <c r="F3866" s="752">
        <v>50</v>
      </c>
      <c r="G3866" s="328"/>
      <c r="H3866" s="328"/>
      <c r="I3866" s="263" t="s">
        <v>170</v>
      </c>
      <c r="J3866" s="331" t="s">
        <v>3350</v>
      </c>
      <c r="K3866" s="811">
        <v>42243</v>
      </c>
      <c r="L3866" s="1477"/>
      <c r="M3866" s="811">
        <v>42230</v>
      </c>
      <c r="N3866" s="331" t="s">
        <v>89</v>
      </c>
      <c r="O3866" s="263" t="s">
        <v>10663</v>
      </c>
      <c r="Q3866" s="752">
        <v>32130</v>
      </c>
      <c r="R3866" s="752">
        <v>732</v>
      </c>
      <c r="S3866" s="1098">
        <f t="shared" si="244"/>
        <v>36600</v>
      </c>
      <c r="U3866" s="386"/>
      <c r="V3866" s="318" t="s">
        <v>10751</v>
      </c>
      <c r="W3866" s="386"/>
      <c r="X3866" s="1230">
        <v>42229</v>
      </c>
      <c r="Y3866" s="1054" t="s">
        <v>12341</v>
      </c>
      <c r="Z3866" s="1086">
        <v>1207666</v>
      </c>
      <c r="AA3866" s="1083">
        <v>42227</v>
      </c>
      <c r="AB3866" s="318" t="s">
        <v>12342</v>
      </c>
      <c r="AD3866" s="386"/>
      <c r="AE3866" s="386"/>
      <c r="AF3866" s="386"/>
      <c r="AG3866" s="386" t="s">
        <v>12343</v>
      </c>
    </row>
    <row r="3867" spans="1:33" ht="15.75" customHeight="1">
      <c r="A3867" s="755">
        <v>42183</v>
      </c>
      <c r="B3867" s="823" t="s">
        <v>3347</v>
      </c>
      <c r="C3867" s="386"/>
      <c r="D3867" s="338" t="s">
        <v>12340</v>
      </c>
      <c r="E3867" s="420" t="s">
        <v>10665</v>
      </c>
      <c r="F3867" s="752">
        <v>10</v>
      </c>
      <c r="G3867" s="328"/>
      <c r="H3867" s="328"/>
      <c r="I3867" s="263" t="s">
        <v>170</v>
      </c>
      <c r="J3867" s="331" t="s">
        <v>3350</v>
      </c>
      <c r="K3867" s="811">
        <v>42243</v>
      </c>
      <c r="L3867" s="1477"/>
      <c r="M3867" s="811">
        <v>42230</v>
      </c>
      <c r="N3867" s="331" t="s">
        <v>89</v>
      </c>
      <c r="O3867" s="263" t="s">
        <v>10663</v>
      </c>
      <c r="Q3867" s="752">
        <v>2469.6</v>
      </c>
      <c r="R3867" s="752">
        <v>277</v>
      </c>
      <c r="S3867" s="1098">
        <f t="shared" si="244"/>
        <v>2770</v>
      </c>
      <c r="U3867" s="386"/>
      <c r="V3867" s="318" t="s">
        <v>10751</v>
      </c>
      <c r="W3867" s="386"/>
      <c r="X3867" s="1230">
        <v>42229</v>
      </c>
      <c r="Y3867" s="1054" t="s">
        <v>12341</v>
      </c>
      <c r="Z3867" s="1086" t="s">
        <v>8588</v>
      </c>
      <c r="AA3867" s="1083">
        <v>42263</v>
      </c>
      <c r="AB3867" s="318" t="s">
        <v>12342</v>
      </c>
      <c r="AD3867" s="386"/>
      <c r="AE3867" s="386"/>
      <c r="AF3867" s="386"/>
      <c r="AG3867" s="386"/>
    </row>
    <row r="3868" spans="1:33" ht="15.75" customHeight="1">
      <c r="A3868" s="755">
        <v>42184</v>
      </c>
      <c r="B3868" s="823" t="s">
        <v>3347</v>
      </c>
      <c r="C3868" s="328"/>
      <c r="D3868" s="571" t="s">
        <v>12340</v>
      </c>
      <c r="E3868" s="571" t="s">
        <v>10666</v>
      </c>
      <c r="F3868" s="574">
        <v>10</v>
      </c>
      <c r="G3868" s="328"/>
      <c r="H3868" s="328"/>
      <c r="I3868" s="263" t="s">
        <v>170</v>
      </c>
      <c r="J3868" s="331" t="s">
        <v>3350</v>
      </c>
      <c r="K3868" s="811">
        <v>42243</v>
      </c>
      <c r="L3868" s="1477"/>
      <c r="M3868" s="811">
        <v>42230</v>
      </c>
      <c r="N3868" s="331" t="s">
        <v>89</v>
      </c>
      <c r="O3868" s="263" t="s">
        <v>10663</v>
      </c>
      <c r="Q3868" s="752">
        <v>3654</v>
      </c>
      <c r="R3868" s="574">
        <v>391</v>
      </c>
      <c r="S3868" s="1098">
        <f t="shared" si="244"/>
        <v>3910</v>
      </c>
      <c r="U3868" s="386"/>
      <c r="V3868" s="318" t="s">
        <v>10751</v>
      </c>
      <c r="W3868" s="386"/>
      <c r="X3868" s="1230">
        <v>42229</v>
      </c>
      <c r="Y3868" s="1054" t="s">
        <v>12341</v>
      </c>
      <c r="Z3868" s="1086" t="s">
        <v>8588</v>
      </c>
      <c r="AA3868" s="1083">
        <v>42263</v>
      </c>
      <c r="AB3868" s="308" t="s">
        <v>12342</v>
      </c>
      <c r="AD3868" s="386"/>
      <c r="AE3868" s="328"/>
      <c r="AF3868" s="386"/>
      <c r="AG3868" s="386"/>
    </row>
    <row r="3869" spans="1:33" ht="15.75" customHeight="1">
      <c r="A3869" s="755">
        <v>42181</v>
      </c>
      <c r="B3869" s="823" t="s">
        <v>3347</v>
      </c>
      <c r="C3869" s="328"/>
      <c r="D3869" s="571" t="s">
        <v>12344</v>
      </c>
      <c r="E3869" s="571" t="s">
        <v>12345</v>
      </c>
      <c r="F3869" s="574">
        <v>50</v>
      </c>
      <c r="G3869" s="328"/>
      <c r="H3869" s="328"/>
      <c r="I3869" s="263" t="s">
        <v>170</v>
      </c>
      <c r="J3869" s="331" t="s">
        <v>3350</v>
      </c>
      <c r="K3869" s="811">
        <v>42243</v>
      </c>
      <c r="L3869" s="1477"/>
      <c r="M3869" s="811">
        <v>42230</v>
      </c>
      <c r="N3869" s="331" t="s">
        <v>89</v>
      </c>
      <c r="O3869" s="263" t="s">
        <v>10667</v>
      </c>
      <c r="Q3869" s="752">
        <v>9213.75</v>
      </c>
      <c r="R3869" s="574">
        <v>197</v>
      </c>
      <c r="S3869" s="1098">
        <f t="shared" si="244"/>
        <v>9850</v>
      </c>
      <c r="U3869" s="386"/>
      <c r="V3869" s="318" t="s">
        <v>10751</v>
      </c>
      <c r="W3869" s="386"/>
      <c r="X3869" s="1084">
        <v>42229</v>
      </c>
      <c r="Y3869" s="318" t="s">
        <v>12346</v>
      </c>
      <c r="Z3869" s="1086">
        <v>290878</v>
      </c>
      <c r="AA3869" s="1083">
        <v>42263</v>
      </c>
      <c r="AB3869" s="318" t="s">
        <v>12342</v>
      </c>
      <c r="AD3869" s="386"/>
      <c r="AE3869" s="386"/>
      <c r="AF3869" s="386"/>
      <c r="AG3869" s="386"/>
    </row>
    <row r="3870" spans="1:33" ht="15.75" customHeight="1">
      <c r="A3870" s="755">
        <v>42205</v>
      </c>
      <c r="B3870" s="823" t="s">
        <v>3347</v>
      </c>
      <c r="C3870" s="328"/>
      <c r="D3870" s="308" t="s">
        <v>12347</v>
      </c>
      <c r="E3870" s="571" t="s">
        <v>12345</v>
      </c>
      <c r="F3870" s="574">
        <v>50</v>
      </c>
      <c r="G3870" s="386"/>
      <c r="H3870" s="386"/>
      <c r="I3870" s="263" t="s">
        <v>170</v>
      </c>
      <c r="J3870" s="331" t="s">
        <v>3350</v>
      </c>
      <c r="K3870" s="811">
        <v>42243</v>
      </c>
      <c r="L3870" s="1477"/>
      <c r="M3870" s="811">
        <v>42230</v>
      </c>
      <c r="N3870" s="331" t="s">
        <v>89</v>
      </c>
      <c r="O3870" s="263" t="s">
        <v>10669</v>
      </c>
      <c r="Q3870" s="752">
        <v>9213.75</v>
      </c>
      <c r="R3870" s="574">
        <v>197</v>
      </c>
      <c r="S3870" s="1098">
        <f t="shared" si="244"/>
        <v>9850</v>
      </c>
      <c r="U3870" s="386"/>
      <c r="V3870" s="318" t="s">
        <v>10751</v>
      </c>
      <c r="W3870" s="386"/>
      <c r="X3870" s="1084">
        <v>42229</v>
      </c>
      <c r="Y3870" s="318" t="s">
        <v>12348</v>
      </c>
      <c r="Z3870" s="1086">
        <v>290878</v>
      </c>
      <c r="AA3870" s="1083">
        <v>42263</v>
      </c>
      <c r="AB3870" s="318" t="s">
        <v>12342</v>
      </c>
      <c r="AD3870" s="386"/>
      <c r="AE3870" s="386"/>
      <c r="AF3870" s="386"/>
      <c r="AG3870" s="386"/>
    </row>
    <row r="3871" spans="1:33" ht="15.75" customHeight="1">
      <c r="A3871" s="743">
        <v>42338</v>
      </c>
      <c r="B3871" s="823" t="s">
        <v>3347</v>
      </c>
      <c r="C3871" s="328" t="s">
        <v>12349</v>
      </c>
      <c r="D3871" s="571" t="s">
        <v>12350</v>
      </c>
      <c r="E3871" s="571" t="s">
        <v>12345</v>
      </c>
      <c r="F3871" s="574">
        <v>105</v>
      </c>
      <c r="G3871" s="386"/>
      <c r="H3871" s="386"/>
      <c r="I3871" s="263" t="s">
        <v>170</v>
      </c>
      <c r="J3871" s="592" t="s">
        <v>3350</v>
      </c>
      <c r="K3871" s="811">
        <v>42366</v>
      </c>
      <c r="L3871" s="1477"/>
      <c r="M3871" s="811">
        <v>42354</v>
      </c>
      <c r="N3871" s="267" t="s">
        <v>89</v>
      </c>
      <c r="O3871" s="318" t="s">
        <v>10683</v>
      </c>
      <c r="Q3871" s="752">
        <v>19348.875</v>
      </c>
      <c r="R3871" s="574">
        <v>197</v>
      </c>
      <c r="S3871" s="1098">
        <f t="shared" si="244"/>
        <v>20685</v>
      </c>
      <c r="U3871" s="386"/>
      <c r="V3871" s="318" t="s">
        <v>10751</v>
      </c>
      <c r="W3871" s="1088"/>
      <c r="X3871" s="1090">
        <v>42354</v>
      </c>
      <c r="Y3871" s="386" t="s">
        <v>12351</v>
      </c>
      <c r="Z3871" s="824">
        <v>597178</v>
      </c>
      <c r="AA3871" s="1095">
        <v>42398</v>
      </c>
      <c r="AB3871" s="386" t="s">
        <v>12352</v>
      </c>
      <c r="AD3871" s="386"/>
      <c r="AE3871" s="386"/>
      <c r="AF3871" s="386"/>
      <c r="AG3871" s="386" t="s">
        <v>283</v>
      </c>
    </row>
    <row r="3872" spans="1:33" ht="15.75" customHeight="1">
      <c r="A3872" s="755">
        <v>42143</v>
      </c>
      <c r="B3872" s="823" t="s">
        <v>12353</v>
      </c>
      <c r="C3872" s="263" t="s">
        <v>12354</v>
      </c>
      <c r="D3872" s="250" t="s">
        <v>12355</v>
      </c>
      <c r="E3872" s="338" t="s">
        <v>12356</v>
      </c>
      <c r="F3872" s="752">
        <v>1</v>
      </c>
      <c r="G3872" s="386"/>
      <c r="H3872" s="386"/>
      <c r="I3872" s="263" t="s">
        <v>11717</v>
      </c>
      <c r="J3872" s="331" t="s">
        <v>11782</v>
      </c>
      <c r="K3872" s="811">
        <v>42143</v>
      </c>
      <c r="L3872" s="1477"/>
      <c r="M3872" s="386"/>
      <c r="N3872" s="267"/>
      <c r="O3872" s="386"/>
      <c r="Q3872" s="386"/>
      <c r="R3872" s="752">
        <v>0</v>
      </c>
      <c r="S3872" s="752">
        <f t="shared" si="244"/>
        <v>0</v>
      </c>
      <c r="U3872" s="386"/>
      <c r="V3872" s="386"/>
      <c r="W3872" s="386"/>
      <c r="X3872" s="386"/>
      <c r="Y3872" s="386"/>
      <c r="Z3872" s="386"/>
      <c r="AA3872" s="386"/>
      <c r="AB3872" s="318" t="s">
        <v>5529</v>
      </c>
      <c r="AD3872" s="386"/>
      <c r="AE3872" s="386"/>
      <c r="AF3872" s="386"/>
      <c r="AG3872" s="386"/>
    </row>
    <row r="3873" spans="1:33" ht="15.75" customHeight="1">
      <c r="A3873" s="755">
        <v>42143</v>
      </c>
      <c r="B3873" s="823" t="s">
        <v>12353</v>
      </c>
      <c r="C3873" s="263" t="s">
        <v>12354</v>
      </c>
      <c r="D3873" s="263" t="s">
        <v>12355</v>
      </c>
      <c r="E3873" s="338" t="s">
        <v>12357</v>
      </c>
      <c r="F3873" s="752">
        <v>1</v>
      </c>
      <c r="G3873" s="386"/>
      <c r="H3873" s="386"/>
      <c r="I3873" s="263" t="s">
        <v>11834</v>
      </c>
      <c r="J3873" s="331" t="s">
        <v>11782</v>
      </c>
      <c r="K3873" s="811">
        <v>42143</v>
      </c>
      <c r="L3873" s="1477"/>
      <c r="M3873" s="386"/>
      <c r="N3873" s="267"/>
      <c r="O3873" s="386"/>
      <c r="Q3873" s="386"/>
      <c r="R3873" s="752">
        <v>0</v>
      </c>
      <c r="S3873" s="752">
        <f t="shared" si="244"/>
        <v>0</v>
      </c>
      <c r="U3873" s="386"/>
      <c r="V3873" s="386"/>
      <c r="W3873" s="386"/>
      <c r="X3873" s="386"/>
      <c r="Y3873" s="386"/>
      <c r="Z3873" s="386"/>
      <c r="AA3873" s="386"/>
      <c r="AB3873" s="318" t="s">
        <v>5529</v>
      </c>
      <c r="AD3873" s="386"/>
      <c r="AE3873" s="386"/>
      <c r="AF3873" s="386"/>
      <c r="AG3873" s="386"/>
    </row>
    <row r="3874" spans="1:33" ht="15.75" customHeight="1">
      <c r="A3874" s="755">
        <v>41970</v>
      </c>
      <c r="B3874" s="1231"/>
      <c r="C3874" s="263" t="s">
        <v>12358</v>
      </c>
      <c r="D3874" s="318" t="s">
        <v>12359</v>
      </c>
      <c r="E3874" s="338" t="s">
        <v>12360</v>
      </c>
      <c r="F3874" s="752">
        <v>6</v>
      </c>
      <c r="G3874" s="464">
        <v>1980.3</v>
      </c>
      <c r="H3874" s="1100">
        <f>F3874*G3874</f>
        <v>11881.8</v>
      </c>
      <c r="I3874" s="263" t="s">
        <v>10831</v>
      </c>
      <c r="J3874" s="331" t="s">
        <v>11420</v>
      </c>
      <c r="K3874" s="811">
        <v>42017</v>
      </c>
      <c r="L3874" s="1477"/>
      <c r="M3874" s="811">
        <v>42017</v>
      </c>
      <c r="N3874" s="331" t="s">
        <v>10778</v>
      </c>
      <c r="O3874" s="263" t="s">
        <v>12361</v>
      </c>
      <c r="Q3874" s="772"/>
      <c r="R3874" s="464">
        <v>66.010000000000005</v>
      </c>
      <c r="S3874" s="464">
        <f t="shared" si="244"/>
        <v>396.06000000000006</v>
      </c>
      <c r="U3874" s="1100">
        <v>11409</v>
      </c>
      <c r="V3874" s="318" t="s">
        <v>8443</v>
      </c>
      <c r="W3874" s="1090"/>
      <c r="X3874" s="1083">
        <v>42012</v>
      </c>
      <c r="Y3874" s="263" t="s">
        <v>12362</v>
      </c>
      <c r="Z3874" s="1086">
        <v>11409</v>
      </c>
      <c r="AA3874" s="1083">
        <v>42040</v>
      </c>
      <c r="AB3874" s="318" t="s">
        <v>12363</v>
      </c>
      <c r="AD3874" s="386"/>
      <c r="AE3874" s="1100">
        <v>11882</v>
      </c>
      <c r="AF3874" s="318" t="s">
        <v>12364</v>
      </c>
      <c r="AG3874" s="386"/>
    </row>
    <row r="3875" spans="1:33" ht="15.75" customHeight="1">
      <c r="A3875" s="1235">
        <v>41605</v>
      </c>
      <c r="B3875" s="592" t="s">
        <v>53</v>
      </c>
      <c r="C3875" s="970" t="s">
        <v>12370</v>
      </c>
      <c r="D3875" s="386" t="s">
        <v>12371</v>
      </c>
      <c r="E3875" s="338" t="s">
        <v>4586</v>
      </c>
      <c r="F3875" s="1088">
        <v>100</v>
      </c>
      <c r="G3875" s="772"/>
      <c r="H3875" s="772"/>
      <c r="I3875" s="254" t="s">
        <v>8429</v>
      </c>
      <c r="J3875" s="585" t="s">
        <v>12372</v>
      </c>
      <c r="K3875" s="811">
        <v>41652</v>
      </c>
      <c r="L3875" s="585" t="s">
        <v>89</v>
      </c>
      <c r="M3875" s="386"/>
      <c r="N3875" s="386" t="s">
        <v>89</v>
      </c>
      <c r="O3875" s="752">
        <v>20131100103404</v>
      </c>
      <c r="Q3875" s="1236">
        <v>13230</v>
      </c>
      <c r="R3875" s="323">
        <v>100.8</v>
      </c>
      <c r="S3875" s="464">
        <f t="shared" ref="S3875:S3885" si="245">R3875*F3875</f>
        <v>10080</v>
      </c>
      <c r="U3875" s="772"/>
      <c r="V3875" s="386" t="s">
        <v>5896</v>
      </c>
      <c r="X3875" s="1237">
        <v>41652</v>
      </c>
      <c r="Z3875" s="1238">
        <v>395577</v>
      </c>
      <c r="AA3875" s="1094">
        <v>41642</v>
      </c>
      <c r="AB3875" s="1239" t="s">
        <v>12373</v>
      </c>
      <c r="AF3875" s="386"/>
    </row>
    <row r="3876" spans="1:33" ht="15.75" customHeight="1">
      <c r="A3876" s="1235">
        <v>41613</v>
      </c>
      <c r="B3876" s="592" t="s">
        <v>53</v>
      </c>
      <c r="C3876" s="970" t="s">
        <v>12374</v>
      </c>
      <c r="D3876" s="386" t="s">
        <v>12375</v>
      </c>
      <c r="E3876" s="338" t="s">
        <v>4586</v>
      </c>
      <c r="F3876" s="1088">
        <v>50</v>
      </c>
      <c r="G3876" s="772"/>
      <c r="H3876" s="772"/>
      <c r="I3876" s="254" t="s">
        <v>8429</v>
      </c>
      <c r="J3876" s="585" t="s">
        <v>12372</v>
      </c>
      <c r="K3876" s="811">
        <v>41652</v>
      </c>
      <c r="L3876" s="585" t="s">
        <v>89</v>
      </c>
      <c r="M3876" s="386"/>
      <c r="N3876" s="386" t="s">
        <v>89</v>
      </c>
      <c r="O3876" s="752">
        <v>20131200105685</v>
      </c>
      <c r="Q3876" s="464"/>
      <c r="R3876" s="323">
        <v>100.8</v>
      </c>
      <c r="S3876" s="464">
        <f t="shared" si="245"/>
        <v>5040</v>
      </c>
      <c r="U3876" s="772"/>
      <c r="V3876" s="386" t="s">
        <v>5896</v>
      </c>
      <c r="X3876" s="1084"/>
      <c r="Z3876" s="1100"/>
      <c r="AA3876" s="1094">
        <v>41642</v>
      </c>
      <c r="AB3876" s="318"/>
      <c r="AF3876" s="386"/>
    </row>
    <row r="3877" spans="1:33" ht="15.75" customHeight="1">
      <c r="A3877" s="1235">
        <v>41583</v>
      </c>
      <c r="B3877" s="592" t="s">
        <v>1189</v>
      </c>
      <c r="C3877" s="970" t="s">
        <v>12376</v>
      </c>
      <c r="D3877" s="386" t="s">
        <v>12377</v>
      </c>
      <c r="E3877" s="338" t="s">
        <v>12378</v>
      </c>
      <c r="F3877" s="1088">
        <v>1</v>
      </c>
      <c r="G3877" s="772"/>
      <c r="H3877" s="772"/>
      <c r="I3877" s="254" t="s">
        <v>86</v>
      </c>
      <c r="J3877" s="318" t="s">
        <v>11835</v>
      </c>
      <c r="K3877" s="811">
        <v>41642</v>
      </c>
      <c r="L3877" s="585" t="s">
        <v>12379</v>
      </c>
      <c r="M3877" s="811">
        <v>41626</v>
      </c>
      <c r="N3877" s="386" t="s">
        <v>10959</v>
      </c>
      <c r="O3877" s="386"/>
      <c r="Q3877" s="772"/>
      <c r="R3877" s="323">
        <v>553</v>
      </c>
      <c r="S3877" s="464">
        <f t="shared" si="245"/>
        <v>553</v>
      </c>
      <c r="U3877" s="323">
        <v>14700</v>
      </c>
      <c r="V3877" s="386"/>
      <c r="X3877" s="1094">
        <v>41625</v>
      </c>
      <c r="Z3877" s="1110">
        <v>14700</v>
      </c>
      <c r="AA3877" s="1094">
        <v>41625</v>
      </c>
      <c r="AB3877" s="1240" t="s">
        <v>12380</v>
      </c>
      <c r="AF3877" s="386"/>
    </row>
    <row r="3878" spans="1:33" ht="15.75" customHeight="1">
      <c r="A3878" s="1235">
        <v>41583</v>
      </c>
      <c r="B3878" s="592" t="s">
        <v>1189</v>
      </c>
      <c r="C3878" s="970" t="s">
        <v>12376</v>
      </c>
      <c r="D3878" s="386" t="s">
        <v>12377</v>
      </c>
      <c r="E3878" s="338" t="s">
        <v>12381</v>
      </c>
      <c r="F3878" s="1088">
        <v>4</v>
      </c>
      <c r="G3878" s="772"/>
      <c r="H3878" s="772"/>
      <c r="I3878" s="254" t="s">
        <v>86</v>
      </c>
      <c r="J3878" s="318" t="s">
        <v>11835</v>
      </c>
      <c r="K3878" s="811">
        <v>41642</v>
      </c>
      <c r="L3878" s="585" t="s">
        <v>12379</v>
      </c>
      <c r="M3878" s="811">
        <v>41626</v>
      </c>
      <c r="N3878" s="386" t="s">
        <v>89</v>
      </c>
      <c r="O3878" s="752">
        <v>20131100102330</v>
      </c>
      <c r="Q3878" s="464">
        <v>613.20000000000005</v>
      </c>
      <c r="R3878" s="323">
        <v>177</v>
      </c>
      <c r="S3878" s="464">
        <f t="shared" si="245"/>
        <v>708</v>
      </c>
      <c r="U3878" s="772"/>
      <c r="V3878" s="386" t="s">
        <v>5896</v>
      </c>
      <c r="X3878" s="1094">
        <v>41590</v>
      </c>
      <c r="Z3878" s="1110">
        <v>17994</v>
      </c>
      <c r="AA3878" s="1094">
        <v>41621</v>
      </c>
      <c r="AB3878" s="1240"/>
      <c r="AF3878" s="386"/>
    </row>
    <row r="3879" spans="1:33" ht="15.75" customHeight="1">
      <c r="A3879" s="1235">
        <v>41628</v>
      </c>
      <c r="B3879" s="592" t="s">
        <v>1189</v>
      </c>
      <c r="C3879" s="970" t="s">
        <v>12376</v>
      </c>
      <c r="D3879" s="386" t="s">
        <v>12382</v>
      </c>
      <c r="E3879" s="338" t="s">
        <v>12383</v>
      </c>
      <c r="F3879" s="1088">
        <v>1</v>
      </c>
      <c r="G3879" s="772"/>
      <c r="H3879" s="772"/>
      <c r="I3879" s="254" t="s">
        <v>86</v>
      </c>
      <c r="J3879" s="318" t="s">
        <v>11835</v>
      </c>
      <c r="K3879" s="811">
        <v>41642</v>
      </c>
      <c r="L3879" s="585" t="s">
        <v>12379</v>
      </c>
      <c r="M3879" s="811">
        <v>41639</v>
      </c>
      <c r="N3879" s="386" t="s">
        <v>12384</v>
      </c>
      <c r="O3879" s="386"/>
      <c r="Q3879" s="772"/>
      <c r="R3879" s="323">
        <v>43</v>
      </c>
      <c r="S3879" s="464">
        <f t="shared" si="245"/>
        <v>43</v>
      </c>
      <c r="U3879" s="1241">
        <v>2526</v>
      </c>
      <c r="V3879" s="386"/>
      <c r="X3879" s="1237">
        <v>41639</v>
      </c>
      <c r="Z3879" s="1238">
        <v>2625</v>
      </c>
      <c r="AA3879" s="1094">
        <v>41639</v>
      </c>
      <c r="AB3879" s="1240"/>
      <c r="AF3879" s="386"/>
    </row>
    <row r="3880" spans="1:33" ht="15.75" customHeight="1">
      <c r="A3880" s="1235">
        <v>41628</v>
      </c>
      <c r="B3880" s="592" t="s">
        <v>1189</v>
      </c>
      <c r="C3880" s="970" t="s">
        <v>12376</v>
      </c>
      <c r="D3880" s="386" t="s">
        <v>12382</v>
      </c>
      <c r="E3880" s="338" t="s">
        <v>12385</v>
      </c>
      <c r="F3880" s="1088">
        <v>1</v>
      </c>
      <c r="G3880" s="772"/>
      <c r="H3880" s="772"/>
      <c r="I3880" s="254" t="s">
        <v>86</v>
      </c>
      <c r="J3880" s="811">
        <v>41642</v>
      </c>
      <c r="K3880" s="386"/>
      <c r="L3880" s="585" t="s">
        <v>12379</v>
      </c>
      <c r="M3880" s="811">
        <v>41639</v>
      </c>
      <c r="N3880" s="386" t="s">
        <v>12384</v>
      </c>
      <c r="O3880" s="386"/>
      <c r="Q3880" s="772"/>
      <c r="R3880" s="323">
        <v>40</v>
      </c>
      <c r="S3880" s="464">
        <f t="shared" si="245"/>
        <v>40</v>
      </c>
      <c r="U3880" s="323"/>
      <c r="V3880" s="386"/>
      <c r="X3880" s="1084"/>
      <c r="Z3880" s="1100"/>
      <c r="AA3880" s="1094">
        <v>41639</v>
      </c>
      <c r="AB3880" s="752"/>
      <c r="AF3880" s="386"/>
    </row>
    <row r="3881" spans="1:33" ht="15.75" customHeight="1">
      <c r="A3881" s="1235">
        <v>41618</v>
      </c>
      <c r="B3881" s="592" t="s">
        <v>1189</v>
      </c>
      <c r="C3881" s="970" t="s">
        <v>12386</v>
      </c>
      <c r="D3881" s="386"/>
      <c r="E3881" s="338" t="s">
        <v>12387</v>
      </c>
      <c r="F3881" s="1088">
        <v>100</v>
      </c>
      <c r="G3881" s="772"/>
      <c r="H3881" s="772"/>
      <c r="I3881" s="254" t="s">
        <v>86</v>
      </c>
      <c r="J3881" s="318" t="s">
        <v>11835</v>
      </c>
      <c r="K3881" s="811">
        <v>41662</v>
      </c>
      <c r="L3881" s="585" t="s">
        <v>12388</v>
      </c>
      <c r="M3881" s="811">
        <v>41659</v>
      </c>
      <c r="N3881" s="386" t="s">
        <v>12389</v>
      </c>
      <c r="O3881" s="386"/>
      <c r="Q3881" s="772"/>
      <c r="R3881" s="323">
        <v>37.5</v>
      </c>
      <c r="S3881" s="464">
        <f t="shared" si="245"/>
        <v>3750</v>
      </c>
      <c r="U3881" s="323">
        <v>105000</v>
      </c>
      <c r="V3881" s="263" t="s">
        <v>2413</v>
      </c>
      <c r="X3881" s="1094">
        <v>41656</v>
      </c>
      <c r="Z3881" s="1110">
        <v>10500</v>
      </c>
      <c r="AA3881" s="1094">
        <v>41690</v>
      </c>
      <c r="AB3881" s="752" t="s">
        <v>12390</v>
      </c>
      <c r="AF3881" s="386"/>
    </row>
    <row r="3882" spans="1:33" ht="15.75" customHeight="1">
      <c r="A3882" s="1235">
        <v>41618</v>
      </c>
      <c r="B3882" s="592" t="s">
        <v>1189</v>
      </c>
      <c r="C3882" s="970" t="s">
        <v>12391</v>
      </c>
      <c r="D3882" s="386" t="s">
        <v>12392</v>
      </c>
      <c r="E3882" s="338" t="s">
        <v>12387</v>
      </c>
      <c r="F3882" s="1088">
        <v>100</v>
      </c>
      <c r="G3882" s="772"/>
      <c r="H3882" s="772"/>
      <c r="I3882" s="254" t="s">
        <v>86</v>
      </c>
      <c r="J3882" s="318" t="s">
        <v>11835</v>
      </c>
      <c r="K3882" s="811">
        <v>41694</v>
      </c>
      <c r="L3882" s="585" t="s">
        <v>12388</v>
      </c>
      <c r="M3882" s="811">
        <v>41691</v>
      </c>
      <c r="N3882" s="386" t="s">
        <v>12389</v>
      </c>
      <c r="O3882" s="386"/>
      <c r="Q3882" s="772"/>
      <c r="R3882" s="323">
        <v>37.5</v>
      </c>
      <c r="S3882" s="464">
        <f t="shared" si="245"/>
        <v>3750</v>
      </c>
      <c r="U3882" s="323">
        <v>105000</v>
      </c>
      <c r="V3882" s="263" t="s">
        <v>2413</v>
      </c>
      <c r="X3882" s="1094">
        <v>41690</v>
      </c>
      <c r="Z3882" s="1110">
        <v>10500</v>
      </c>
      <c r="AA3882" s="1094">
        <v>41730</v>
      </c>
      <c r="AB3882" s="752" t="s">
        <v>12393</v>
      </c>
      <c r="AF3882" s="386"/>
    </row>
    <row r="3883" spans="1:33" ht="15.75" customHeight="1">
      <c r="A3883" s="1235">
        <v>41621</v>
      </c>
      <c r="B3883" s="592" t="s">
        <v>12394</v>
      </c>
      <c r="C3883" s="970" t="s">
        <v>12395</v>
      </c>
      <c r="D3883" s="386" t="s">
        <v>12396</v>
      </c>
      <c r="E3883" s="338" t="s">
        <v>12397</v>
      </c>
      <c r="F3883" s="1088">
        <v>80</v>
      </c>
      <c r="G3883" s="772"/>
      <c r="H3883" s="772"/>
      <c r="I3883" s="254" t="s">
        <v>11743</v>
      </c>
      <c r="J3883" s="585" t="s">
        <v>12398</v>
      </c>
      <c r="K3883" s="811">
        <v>41648</v>
      </c>
      <c r="L3883" s="585" t="s">
        <v>89</v>
      </c>
      <c r="M3883" s="386"/>
      <c r="N3883" s="386" t="s">
        <v>89</v>
      </c>
      <c r="O3883" s="752">
        <v>20131200112246</v>
      </c>
      <c r="Q3883" s="323">
        <v>11592</v>
      </c>
      <c r="R3883" s="323">
        <f>152*1.05</f>
        <v>159.6</v>
      </c>
      <c r="S3883" s="464">
        <f t="shared" si="245"/>
        <v>12768</v>
      </c>
      <c r="U3883" s="772"/>
      <c r="V3883" s="386" t="s">
        <v>5896</v>
      </c>
      <c r="X3883" s="1084">
        <v>41648</v>
      </c>
      <c r="Z3883" s="1100">
        <v>346949</v>
      </c>
      <c r="AA3883" s="1094">
        <v>41690</v>
      </c>
      <c r="AB3883" s="1242" t="s">
        <v>12373</v>
      </c>
      <c r="AF3883" s="386"/>
    </row>
    <row r="3884" spans="1:33" ht="15.75" customHeight="1">
      <c r="A3884" s="1235">
        <v>41628</v>
      </c>
      <c r="B3884" s="592" t="s">
        <v>12394</v>
      </c>
      <c r="C3884" s="970" t="s">
        <v>12399</v>
      </c>
      <c r="D3884" s="386" t="s">
        <v>12400</v>
      </c>
      <c r="E3884" s="338" t="s">
        <v>12401</v>
      </c>
      <c r="F3884" s="1088">
        <v>20</v>
      </c>
      <c r="G3884" s="772"/>
      <c r="H3884" s="772"/>
      <c r="I3884" s="585" t="s">
        <v>11743</v>
      </c>
      <c r="J3884" s="585" t="s">
        <v>12398</v>
      </c>
      <c r="K3884" s="811">
        <v>41648</v>
      </c>
      <c r="L3884" s="585" t="s">
        <v>89</v>
      </c>
      <c r="M3884" s="386"/>
      <c r="N3884" s="386" t="s">
        <v>89</v>
      </c>
      <c r="O3884" s="752">
        <v>20131200112486</v>
      </c>
      <c r="Q3884" s="1241">
        <v>2520</v>
      </c>
      <c r="R3884" s="323">
        <f>130.5*1.05</f>
        <v>137.02500000000001</v>
      </c>
      <c r="S3884" s="464">
        <f t="shared" si="245"/>
        <v>2740.5</v>
      </c>
      <c r="U3884" s="772"/>
      <c r="V3884" s="1242" t="s">
        <v>5896</v>
      </c>
      <c r="X3884" s="1237">
        <v>41648</v>
      </c>
      <c r="Z3884" s="1238">
        <v>75424</v>
      </c>
      <c r="AA3884" s="1094">
        <v>41690</v>
      </c>
      <c r="AB3884" s="1242"/>
      <c r="AF3884" s="386"/>
    </row>
    <row r="3885" spans="1:33" ht="15.75" customHeight="1">
      <c r="A3885" s="1235">
        <v>41628</v>
      </c>
      <c r="B3885" s="592" t="s">
        <v>12394</v>
      </c>
      <c r="C3885" s="970" t="s">
        <v>12399</v>
      </c>
      <c r="D3885" s="386" t="s">
        <v>12400</v>
      </c>
      <c r="E3885" s="338" t="s">
        <v>4644</v>
      </c>
      <c r="F3885" s="1088">
        <v>20</v>
      </c>
      <c r="G3885" s="772"/>
      <c r="H3885" s="772"/>
      <c r="I3885" s="585" t="s">
        <v>11743</v>
      </c>
      <c r="J3885" s="585" t="s">
        <v>12398</v>
      </c>
      <c r="K3885" s="811">
        <v>41648</v>
      </c>
      <c r="L3885" s="585" t="s">
        <v>89</v>
      </c>
      <c r="M3885" s="386"/>
      <c r="N3885" s="386" t="s">
        <v>89</v>
      </c>
      <c r="O3885" s="752">
        <v>20131200112486</v>
      </c>
      <c r="Q3885" s="323"/>
      <c r="R3885" s="323">
        <f>3.5*1.05</f>
        <v>3.6750000000000003</v>
      </c>
      <c r="S3885" s="464">
        <f t="shared" si="245"/>
        <v>73.5</v>
      </c>
      <c r="U3885" s="772"/>
      <c r="V3885" s="386"/>
      <c r="X3885" s="1084"/>
      <c r="Z3885" s="1100"/>
      <c r="AA3885" s="1094">
        <v>41690</v>
      </c>
      <c r="AB3885" s="386"/>
      <c r="AF3885" s="386"/>
    </row>
    <row r="3886" spans="1:33" ht="15.75" customHeight="1">
      <c r="A3886" s="1235">
        <v>41632</v>
      </c>
      <c r="B3886" s="592" t="s">
        <v>12402</v>
      </c>
      <c r="C3886" s="386"/>
      <c r="D3886" s="386" t="s">
        <v>12403</v>
      </c>
      <c r="E3886" s="338" t="s">
        <v>12404</v>
      </c>
      <c r="F3886" s="1088">
        <v>1</v>
      </c>
      <c r="G3886" s="772"/>
      <c r="H3886" s="772"/>
      <c r="I3886" s="254" t="s">
        <v>3712</v>
      </c>
      <c r="J3886" s="585" t="s">
        <v>12405</v>
      </c>
      <c r="K3886" s="811">
        <v>41648</v>
      </c>
      <c r="L3886" s="585" t="s">
        <v>12379</v>
      </c>
      <c r="M3886" s="811">
        <v>41634</v>
      </c>
      <c r="N3886" s="386" t="s">
        <v>12406</v>
      </c>
      <c r="O3886" s="386"/>
      <c r="Q3886" s="772"/>
      <c r="R3886" s="323">
        <v>270</v>
      </c>
      <c r="S3886" s="464">
        <v>270</v>
      </c>
      <c r="U3886" s="323">
        <v>7980</v>
      </c>
      <c r="V3886" s="386" t="s">
        <v>8443</v>
      </c>
      <c r="X3886" s="1094">
        <v>41634</v>
      </c>
      <c r="Z3886" s="1110">
        <v>7980</v>
      </c>
      <c r="AA3886" s="1094">
        <v>41690</v>
      </c>
      <c r="AB3886" s="752" t="s">
        <v>12407</v>
      </c>
      <c r="AF3886" s="386"/>
    </row>
    <row r="3887" spans="1:33" ht="15.75" customHeight="1">
      <c r="A3887" s="1235">
        <v>41638</v>
      </c>
      <c r="B3887" s="592" t="s">
        <v>12394</v>
      </c>
      <c r="C3887" s="970" t="s">
        <v>12408</v>
      </c>
      <c r="D3887" s="386" t="s">
        <v>12409</v>
      </c>
      <c r="E3887" s="338" t="s">
        <v>12410</v>
      </c>
      <c r="F3887" s="1088">
        <v>7</v>
      </c>
      <c r="G3887" s="772"/>
      <c r="H3887" s="772"/>
      <c r="I3887" s="254" t="s">
        <v>11743</v>
      </c>
      <c r="J3887" s="585" t="s">
        <v>12398</v>
      </c>
      <c r="K3887" s="811">
        <v>41648</v>
      </c>
      <c r="L3887" s="585" t="s">
        <v>89</v>
      </c>
      <c r="M3887" s="386"/>
      <c r="N3887" s="386" t="s">
        <v>89</v>
      </c>
      <c r="O3887" s="752">
        <v>20131200112540</v>
      </c>
      <c r="Q3887" s="323">
        <v>242.55</v>
      </c>
      <c r="R3887" s="323">
        <f>39*1.05</f>
        <v>40.950000000000003</v>
      </c>
      <c r="S3887" s="464">
        <f t="shared" ref="S3887:S3895" si="246">R3887*F3887</f>
        <v>286.65000000000003</v>
      </c>
      <c r="U3887" s="772"/>
      <c r="V3887" s="386" t="s">
        <v>5896</v>
      </c>
      <c r="X3887" s="1084">
        <v>41648</v>
      </c>
      <c r="Z3887" s="1100">
        <v>7260</v>
      </c>
      <c r="AA3887" s="386"/>
      <c r="AB3887" s="386" t="s">
        <v>12373</v>
      </c>
      <c r="AF3887" s="386"/>
    </row>
    <row r="3888" spans="1:33" ht="15.75" customHeight="1">
      <c r="A3888" s="1235">
        <v>41653</v>
      </c>
      <c r="B3888" s="592" t="s">
        <v>6395</v>
      </c>
      <c r="C3888" s="970">
        <v>14000010</v>
      </c>
      <c r="D3888" s="386" t="s">
        <v>12411</v>
      </c>
      <c r="E3888" s="338" t="s">
        <v>12412</v>
      </c>
      <c r="F3888" s="1088">
        <v>1</v>
      </c>
      <c r="G3888" s="772"/>
      <c r="H3888" s="772"/>
      <c r="I3888" s="254" t="s">
        <v>8429</v>
      </c>
      <c r="J3888" s="267" t="s">
        <v>6399</v>
      </c>
      <c r="K3888" s="811">
        <v>41687</v>
      </c>
      <c r="L3888" s="585" t="s">
        <v>12413</v>
      </c>
      <c r="M3888" s="386"/>
      <c r="N3888" s="386" t="s">
        <v>12414</v>
      </c>
      <c r="O3888" s="386"/>
      <c r="Q3888" s="772"/>
      <c r="R3888" s="323">
        <v>1142</v>
      </c>
      <c r="S3888" s="464">
        <f t="shared" si="246"/>
        <v>1142</v>
      </c>
      <c r="U3888" s="1241">
        <v>165866</v>
      </c>
      <c r="V3888" s="386" t="s">
        <v>10995</v>
      </c>
      <c r="X3888" s="1237">
        <v>41322</v>
      </c>
      <c r="Z3888" s="1238">
        <v>165756</v>
      </c>
      <c r="AA3888" s="1094">
        <v>41682</v>
      </c>
      <c r="AB3888" s="752" t="s">
        <v>12415</v>
      </c>
      <c r="AF3888" s="386"/>
    </row>
    <row r="3889" spans="1:32" ht="15.75" customHeight="1">
      <c r="A3889" s="1235">
        <v>41653</v>
      </c>
      <c r="B3889" s="592" t="s">
        <v>6395</v>
      </c>
      <c r="C3889" s="970">
        <v>14000010</v>
      </c>
      <c r="D3889" s="386" t="s">
        <v>12411</v>
      </c>
      <c r="E3889" s="338" t="s">
        <v>12416</v>
      </c>
      <c r="F3889" s="1088">
        <v>5</v>
      </c>
      <c r="G3889" s="772"/>
      <c r="H3889" s="772"/>
      <c r="I3889" s="254" t="s">
        <v>8429</v>
      </c>
      <c r="J3889" s="585" t="s">
        <v>6399</v>
      </c>
      <c r="K3889" s="811">
        <v>41687</v>
      </c>
      <c r="L3889" s="585" t="s">
        <v>12413</v>
      </c>
      <c r="M3889" s="386"/>
      <c r="N3889" s="386" t="s">
        <v>12414</v>
      </c>
      <c r="O3889" s="386"/>
      <c r="Q3889" s="772"/>
      <c r="R3889" s="323">
        <v>772</v>
      </c>
      <c r="S3889" s="464">
        <f t="shared" si="246"/>
        <v>3860</v>
      </c>
      <c r="U3889" s="1241"/>
      <c r="V3889" s="386" t="s">
        <v>2274</v>
      </c>
      <c r="X3889" s="1237"/>
      <c r="Z3889" s="1238"/>
      <c r="AA3889" s="1094">
        <v>41682</v>
      </c>
      <c r="AB3889" s="752" t="s">
        <v>12415</v>
      </c>
      <c r="AF3889" s="386"/>
    </row>
    <row r="3890" spans="1:32" ht="15.75" customHeight="1">
      <c r="A3890" s="1235">
        <v>41653</v>
      </c>
      <c r="B3890" s="592" t="s">
        <v>6395</v>
      </c>
      <c r="C3890" s="970">
        <v>14000010</v>
      </c>
      <c r="D3890" s="386" t="s">
        <v>12411</v>
      </c>
      <c r="E3890" s="338" t="s">
        <v>12417</v>
      </c>
      <c r="F3890" s="1088">
        <v>1</v>
      </c>
      <c r="G3890" s="772"/>
      <c r="H3890" s="772"/>
      <c r="I3890" s="254" t="s">
        <v>8429</v>
      </c>
      <c r="J3890" s="585" t="s">
        <v>6399</v>
      </c>
      <c r="K3890" s="811">
        <v>41687</v>
      </c>
      <c r="L3890" s="585" t="s">
        <v>12413</v>
      </c>
      <c r="M3890" s="386"/>
      <c r="N3890" s="386" t="s">
        <v>12414</v>
      </c>
      <c r="O3890" s="386"/>
      <c r="Q3890" s="772"/>
      <c r="R3890" s="323">
        <v>835</v>
      </c>
      <c r="S3890" s="464">
        <f t="shared" si="246"/>
        <v>835</v>
      </c>
      <c r="U3890" s="323"/>
      <c r="V3890" s="386" t="s">
        <v>2274</v>
      </c>
      <c r="X3890" s="1084"/>
      <c r="Z3890" s="1100"/>
      <c r="AA3890" s="1094">
        <v>41682</v>
      </c>
      <c r="AB3890" s="752" t="s">
        <v>12415</v>
      </c>
      <c r="AF3890" s="386"/>
    </row>
    <row r="3891" spans="1:32" ht="15.75" customHeight="1">
      <c r="A3891" s="1235">
        <v>41660</v>
      </c>
      <c r="B3891" s="592" t="s">
        <v>12394</v>
      </c>
      <c r="C3891" s="970" t="s">
        <v>12418</v>
      </c>
      <c r="D3891" s="386" t="s">
        <v>12419</v>
      </c>
      <c r="E3891" s="338" t="s">
        <v>12420</v>
      </c>
      <c r="F3891" s="1088">
        <v>2</v>
      </c>
      <c r="G3891" s="772"/>
      <c r="H3891" s="772"/>
      <c r="I3891" s="254" t="s">
        <v>11743</v>
      </c>
      <c r="J3891" s="585" t="s">
        <v>12398</v>
      </c>
      <c r="K3891" s="811">
        <v>41666</v>
      </c>
      <c r="L3891" s="585" t="s">
        <v>89</v>
      </c>
      <c r="M3891" s="386"/>
      <c r="N3891" s="386" t="s">
        <v>89</v>
      </c>
      <c r="O3891" s="752">
        <v>20140100114637</v>
      </c>
      <c r="Q3891" s="464">
        <v>560.70000000000005</v>
      </c>
      <c r="R3891" s="323">
        <f>297*1.05</f>
        <v>311.85000000000002</v>
      </c>
      <c r="S3891" s="464">
        <f t="shared" si="246"/>
        <v>623.70000000000005</v>
      </c>
      <c r="U3891" s="772"/>
      <c r="V3891" s="386" t="s">
        <v>5896</v>
      </c>
      <c r="X3891" s="1084">
        <v>41666</v>
      </c>
      <c r="Z3891" s="1100">
        <v>16835</v>
      </c>
      <c r="AA3891" s="1094">
        <v>41712</v>
      </c>
      <c r="AB3891" s="318" t="s">
        <v>12421</v>
      </c>
      <c r="AF3891" s="386"/>
    </row>
    <row r="3892" spans="1:32" ht="15.75" customHeight="1">
      <c r="A3892" s="1235">
        <v>41667</v>
      </c>
      <c r="B3892" s="592" t="s">
        <v>12394</v>
      </c>
      <c r="C3892" s="970" t="s">
        <v>12422</v>
      </c>
      <c r="D3892" s="386" t="s">
        <v>12423</v>
      </c>
      <c r="E3892" s="338" t="s">
        <v>12424</v>
      </c>
      <c r="F3892" s="1088">
        <v>5</v>
      </c>
      <c r="G3892" s="772"/>
      <c r="H3892" s="772"/>
      <c r="I3892" s="254" t="s">
        <v>11743</v>
      </c>
      <c r="J3892" s="585" t="s">
        <v>12398</v>
      </c>
      <c r="K3892" s="811">
        <v>41680</v>
      </c>
      <c r="L3892" s="585" t="s">
        <v>89</v>
      </c>
      <c r="M3892" s="386"/>
      <c r="N3892" s="386" t="s">
        <v>89</v>
      </c>
      <c r="O3892" s="752">
        <v>20140100115109</v>
      </c>
      <c r="Q3892" s="464">
        <v>546</v>
      </c>
      <c r="R3892" s="323">
        <v>121.8</v>
      </c>
      <c r="S3892" s="464">
        <f t="shared" si="246"/>
        <v>609</v>
      </c>
      <c r="U3892" s="772"/>
      <c r="V3892" s="386" t="s">
        <v>5896</v>
      </c>
      <c r="X3892" s="1084">
        <v>41680</v>
      </c>
      <c r="Z3892" s="1100">
        <v>16465</v>
      </c>
      <c r="AA3892" s="1094">
        <v>41712</v>
      </c>
      <c r="AB3892" s="386" t="s">
        <v>12421</v>
      </c>
      <c r="AF3892" s="386"/>
    </row>
    <row r="3893" spans="1:32" ht="15.75" customHeight="1">
      <c r="A3893" s="1235">
        <v>41676</v>
      </c>
      <c r="B3893" s="592" t="s">
        <v>12425</v>
      </c>
      <c r="C3893" s="970">
        <v>14000027</v>
      </c>
      <c r="D3893" s="386" t="s">
        <v>12426</v>
      </c>
      <c r="E3893" s="338" t="s">
        <v>12427</v>
      </c>
      <c r="F3893" s="1088">
        <v>2</v>
      </c>
      <c r="G3893" s="772"/>
      <c r="H3893" s="772"/>
      <c r="I3893" s="254" t="s">
        <v>8429</v>
      </c>
      <c r="J3893" s="1243" t="s">
        <v>12428</v>
      </c>
      <c r="K3893" s="811">
        <v>41704</v>
      </c>
      <c r="L3893" s="585" t="s">
        <v>12379</v>
      </c>
      <c r="M3893" s="811">
        <v>41702</v>
      </c>
      <c r="N3893" s="386" t="s">
        <v>12429</v>
      </c>
      <c r="O3893" s="752" t="s">
        <v>12430</v>
      </c>
      <c r="Q3893" s="772"/>
      <c r="R3893" s="323">
        <v>478</v>
      </c>
      <c r="S3893" s="464">
        <f t="shared" si="246"/>
        <v>956</v>
      </c>
      <c r="U3893" s="1241">
        <v>28379</v>
      </c>
      <c r="V3893" s="386" t="s">
        <v>12431</v>
      </c>
      <c r="X3893" s="1244">
        <v>41701</v>
      </c>
      <c r="Z3893" s="1245">
        <v>28379</v>
      </c>
      <c r="AA3893" s="1244">
        <v>41695</v>
      </c>
      <c r="AB3893" s="1239" t="s">
        <v>12432</v>
      </c>
      <c r="AF3893" s="386"/>
    </row>
    <row r="3894" spans="1:32" ht="15.75" customHeight="1">
      <c r="A3894" s="1235">
        <v>41676</v>
      </c>
      <c r="B3894" s="592" t="s">
        <v>12425</v>
      </c>
      <c r="C3894" s="970">
        <v>14000027</v>
      </c>
      <c r="D3894" s="386" t="s">
        <v>12426</v>
      </c>
      <c r="E3894" s="338" t="s">
        <v>12433</v>
      </c>
      <c r="F3894" s="1088">
        <v>2</v>
      </c>
      <c r="G3894" s="772"/>
      <c r="H3894" s="772"/>
      <c r="I3894" s="254" t="s">
        <v>8429</v>
      </c>
      <c r="J3894" s="585"/>
      <c r="K3894" s="811">
        <v>41704</v>
      </c>
      <c r="L3894" s="585" t="s">
        <v>12379</v>
      </c>
      <c r="M3894" s="811">
        <v>41702</v>
      </c>
      <c r="N3894" s="386" t="s">
        <v>12429</v>
      </c>
      <c r="O3894" s="752" t="s">
        <v>12430</v>
      </c>
      <c r="Q3894" s="772"/>
      <c r="R3894" s="323">
        <v>25</v>
      </c>
      <c r="S3894" s="464">
        <f t="shared" si="246"/>
        <v>50</v>
      </c>
      <c r="U3894" s="323"/>
      <c r="V3894" s="386" t="s">
        <v>12431</v>
      </c>
      <c r="X3894" s="1094"/>
      <c r="Z3894" s="1110"/>
      <c r="AA3894" s="1094"/>
      <c r="AB3894" s="318"/>
      <c r="AF3894" s="386"/>
    </row>
    <row r="3895" spans="1:32" ht="15.75" customHeight="1">
      <c r="A3895" s="1235">
        <v>41681</v>
      </c>
      <c r="B3895" s="592" t="s">
        <v>10783</v>
      </c>
      <c r="C3895" s="386"/>
      <c r="D3895" s="386" t="s">
        <v>12434</v>
      </c>
      <c r="E3895" s="338" t="s">
        <v>10754</v>
      </c>
      <c r="F3895" s="1088">
        <v>5</v>
      </c>
      <c r="G3895" s="772"/>
      <c r="H3895" s="772"/>
      <c r="I3895" s="254" t="s">
        <v>3712</v>
      </c>
      <c r="J3895" s="585" t="s">
        <v>12435</v>
      </c>
      <c r="K3895" s="811">
        <v>41726</v>
      </c>
      <c r="L3895" s="585" t="s">
        <v>89</v>
      </c>
      <c r="M3895" s="811">
        <v>41724</v>
      </c>
      <c r="N3895" s="386" t="s">
        <v>89</v>
      </c>
      <c r="O3895" s="752">
        <v>20140200115658</v>
      </c>
      <c r="Q3895" s="464">
        <v>315</v>
      </c>
      <c r="R3895" s="323">
        <v>70.599999999999994</v>
      </c>
      <c r="S3895" s="464">
        <f t="shared" si="246"/>
        <v>353</v>
      </c>
      <c r="U3895" s="772"/>
      <c r="V3895" s="386" t="s">
        <v>5896</v>
      </c>
      <c r="X3895" s="1084">
        <v>41724</v>
      </c>
      <c r="Z3895" s="1100">
        <v>9537</v>
      </c>
      <c r="AA3895" s="1094">
        <v>41712</v>
      </c>
      <c r="AB3895" s="318" t="s">
        <v>12436</v>
      </c>
      <c r="AF3895" s="386"/>
    </row>
    <row r="3896" spans="1:32" ht="15.75" customHeight="1">
      <c r="A3896" s="1235">
        <v>41681</v>
      </c>
      <c r="B3896" s="592" t="s">
        <v>10783</v>
      </c>
      <c r="C3896" s="386"/>
      <c r="D3896" s="386" t="s">
        <v>12434</v>
      </c>
      <c r="E3896" s="338" t="s">
        <v>12437</v>
      </c>
      <c r="F3896" s="1088">
        <v>1</v>
      </c>
      <c r="G3896" s="772"/>
      <c r="H3896" s="772"/>
      <c r="I3896" s="254" t="s">
        <v>3712</v>
      </c>
      <c r="J3896" s="585" t="s">
        <v>12438</v>
      </c>
      <c r="K3896" s="811">
        <v>41726</v>
      </c>
      <c r="L3896" s="585" t="s">
        <v>89</v>
      </c>
      <c r="M3896" s="811">
        <v>41724</v>
      </c>
      <c r="N3896" s="386" t="s">
        <v>89</v>
      </c>
      <c r="O3896" s="752">
        <v>20140300117288</v>
      </c>
      <c r="Q3896" s="464">
        <v>109.2</v>
      </c>
      <c r="R3896" s="323">
        <v>118</v>
      </c>
      <c r="S3896" s="464">
        <v>118</v>
      </c>
      <c r="U3896" s="772"/>
      <c r="V3896" s="386" t="s">
        <v>5896</v>
      </c>
      <c r="X3896" s="1084">
        <v>41724</v>
      </c>
      <c r="Z3896" s="1100">
        <v>3306</v>
      </c>
      <c r="AA3896" s="1094">
        <v>41712</v>
      </c>
      <c r="AB3896" s="318" t="s">
        <v>12436</v>
      </c>
      <c r="AF3896" s="386"/>
    </row>
    <row r="3897" spans="1:32" ht="15.75" customHeight="1">
      <c r="A3897" s="1235">
        <v>41682</v>
      </c>
      <c r="B3897" s="592" t="s">
        <v>10738</v>
      </c>
      <c r="C3897" s="386"/>
      <c r="D3897" s="386" t="s">
        <v>12439</v>
      </c>
      <c r="E3897" s="338" t="s">
        <v>12440</v>
      </c>
      <c r="F3897" s="1088">
        <v>4</v>
      </c>
      <c r="G3897" s="386"/>
      <c r="H3897" s="386"/>
      <c r="I3897" s="254" t="s">
        <v>3712</v>
      </c>
      <c r="J3897" s="1243" t="s">
        <v>12441</v>
      </c>
      <c r="K3897" s="811">
        <v>41716</v>
      </c>
      <c r="L3897" s="585" t="s">
        <v>12442</v>
      </c>
      <c r="M3897" s="386"/>
      <c r="N3897" s="386" t="s">
        <v>12443</v>
      </c>
      <c r="O3897" s="386"/>
      <c r="Q3897" s="1246"/>
      <c r="R3897" s="1190">
        <v>166.3</v>
      </c>
      <c r="S3897" s="1195">
        <v>665.2</v>
      </c>
      <c r="U3897" s="1241">
        <v>33046</v>
      </c>
      <c r="V3897" s="386" t="s">
        <v>12444</v>
      </c>
      <c r="X3897" s="1237">
        <v>41715</v>
      </c>
      <c r="Z3897" s="1238">
        <v>33044</v>
      </c>
      <c r="AA3897" s="1094">
        <v>41704</v>
      </c>
      <c r="AB3897" s="1239" t="s">
        <v>12445</v>
      </c>
      <c r="AF3897" s="386"/>
    </row>
    <row r="3898" spans="1:32" ht="15.75" customHeight="1">
      <c r="A3898" s="1235">
        <v>41682</v>
      </c>
      <c r="B3898" s="592" t="s">
        <v>10738</v>
      </c>
      <c r="C3898" s="386"/>
      <c r="D3898" s="386" t="s">
        <v>12439</v>
      </c>
      <c r="E3898" s="338" t="s">
        <v>12446</v>
      </c>
      <c r="F3898" s="1088">
        <v>2</v>
      </c>
      <c r="G3898" s="386"/>
      <c r="H3898" s="386"/>
      <c r="I3898" s="254" t="s">
        <v>3712</v>
      </c>
      <c r="J3898" s="1243"/>
      <c r="K3898" s="811">
        <v>41716</v>
      </c>
      <c r="L3898" s="585" t="s">
        <v>12442</v>
      </c>
      <c r="M3898" s="386"/>
      <c r="N3898" s="386" t="s">
        <v>12443</v>
      </c>
      <c r="O3898" s="386"/>
      <c r="Q3898" s="1246"/>
      <c r="R3898" s="1190">
        <v>157.6</v>
      </c>
      <c r="S3898" s="1195">
        <v>315.2</v>
      </c>
      <c r="U3898" s="1241"/>
      <c r="V3898" s="386" t="s">
        <v>12444</v>
      </c>
      <c r="X3898" s="1237"/>
      <c r="Z3898" s="1238"/>
      <c r="AA3898" s="1094">
        <v>41704</v>
      </c>
      <c r="AB3898" s="1239"/>
      <c r="AF3898" s="386"/>
    </row>
    <row r="3899" spans="1:32" ht="15.75" customHeight="1">
      <c r="A3899" s="1235">
        <v>41682</v>
      </c>
      <c r="B3899" s="592" t="s">
        <v>10738</v>
      </c>
      <c r="C3899" s="386"/>
      <c r="D3899" s="386" t="s">
        <v>12439</v>
      </c>
      <c r="E3899" s="338" t="s">
        <v>12447</v>
      </c>
      <c r="F3899" s="1088">
        <v>1</v>
      </c>
      <c r="G3899" s="386"/>
      <c r="H3899" s="386"/>
      <c r="I3899" s="254" t="s">
        <v>3712</v>
      </c>
      <c r="J3899" s="585"/>
      <c r="K3899" s="811">
        <v>41716</v>
      </c>
      <c r="L3899" s="585" t="s">
        <v>12442</v>
      </c>
      <c r="M3899" s="386"/>
      <c r="N3899" s="386" t="s">
        <v>12443</v>
      </c>
      <c r="O3899" s="386"/>
      <c r="Q3899" s="1246"/>
      <c r="R3899" s="1207">
        <v>149</v>
      </c>
      <c r="S3899" s="1183">
        <v>149</v>
      </c>
      <c r="U3899" s="323"/>
      <c r="V3899" s="386" t="s">
        <v>12444</v>
      </c>
      <c r="X3899" s="1084"/>
      <c r="Z3899" s="1100"/>
      <c r="AA3899" s="1094">
        <v>41704</v>
      </c>
      <c r="AB3899" s="318"/>
      <c r="AF3899" s="386"/>
    </row>
    <row r="3900" spans="1:32" ht="15.75" customHeight="1">
      <c r="A3900" s="1235">
        <v>41687</v>
      </c>
      <c r="B3900" s="592" t="s">
        <v>12448</v>
      </c>
      <c r="C3900" s="970" t="s">
        <v>12449</v>
      </c>
      <c r="D3900" s="386" t="s">
        <v>12450</v>
      </c>
      <c r="E3900" s="338" t="s">
        <v>7098</v>
      </c>
      <c r="F3900" s="1088">
        <v>1</v>
      </c>
      <c r="G3900" s="772"/>
      <c r="H3900" s="772"/>
      <c r="I3900" s="254" t="s">
        <v>86</v>
      </c>
      <c r="J3900" s="585" t="s">
        <v>12451</v>
      </c>
      <c r="K3900" s="811">
        <v>41708</v>
      </c>
      <c r="L3900" s="585" t="s">
        <v>89</v>
      </c>
      <c r="M3900" s="386"/>
      <c r="N3900" s="386" t="s">
        <v>89</v>
      </c>
      <c r="O3900" s="752">
        <v>20140200115969</v>
      </c>
      <c r="Q3900" s="1236">
        <v>359.1</v>
      </c>
      <c r="R3900" s="323">
        <v>33.33</v>
      </c>
      <c r="S3900" s="464">
        <f t="shared" ref="S3900:S3923" si="247">R3900*F3900</f>
        <v>33.33</v>
      </c>
      <c r="U3900" s="772"/>
      <c r="V3900" s="386" t="s">
        <v>5896</v>
      </c>
      <c r="X3900" s="1244">
        <v>41708</v>
      </c>
      <c r="Z3900" s="1245">
        <v>10877</v>
      </c>
      <c r="AA3900" s="1094">
        <v>41712</v>
      </c>
      <c r="AB3900" s="1239" t="s">
        <v>12452</v>
      </c>
      <c r="AF3900" s="386"/>
    </row>
    <row r="3901" spans="1:32" ht="15.75" customHeight="1">
      <c r="A3901" s="1235">
        <v>41687</v>
      </c>
      <c r="B3901" s="592" t="s">
        <v>6060</v>
      </c>
      <c r="C3901" s="970" t="s">
        <v>12449</v>
      </c>
      <c r="D3901" s="386" t="s">
        <v>12450</v>
      </c>
      <c r="E3901" s="338" t="s">
        <v>12453</v>
      </c>
      <c r="F3901" s="1088">
        <v>1</v>
      </c>
      <c r="G3901" s="772"/>
      <c r="H3901" s="772"/>
      <c r="I3901" s="254" t="s">
        <v>86</v>
      </c>
      <c r="J3901" s="585" t="s">
        <v>12451</v>
      </c>
      <c r="K3901" s="811">
        <v>41708</v>
      </c>
      <c r="L3901" s="585" t="s">
        <v>89</v>
      </c>
      <c r="M3901" s="386"/>
      <c r="N3901" s="386" t="s">
        <v>89</v>
      </c>
      <c r="O3901" s="752">
        <v>20140200115969</v>
      </c>
      <c r="Q3901" s="464"/>
      <c r="R3901" s="323">
        <v>346.67</v>
      </c>
      <c r="S3901" s="464">
        <f t="shared" si="247"/>
        <v>346.67</v>
      </c>
      <c r="U3901" s="772"/>
      <c r="V3901" s="386" t="s">
        <v>5896</v>
      </c>
      <c r="X3901" s="1094"/>
      <c r="Z3901" s="1110"/>
      <c r="AA3901" s="1094">
        <v>41712</v>
      </c>
      <c r="AB3901" s="318"/>
      <c r="AF3901" s="386"/>
    </row>
    <row r="3902" spans="1:32" ht="15.75" customHeight="1">
      <c r="A3902" s="1235">
        <v>41689</v>
      </c>
      <c r="B3902" s="592" t="s">
        <v>12394</v>
      </c>
      <c r="C3902" s="970" t="s">
        <v>12454</v>
      </c>
      <c r="D3902" s="386" t="s">
        <v>12455</v>
      </c>
      <c r="E3902" s="338" t="s">
        <v>12456</v>
      </c>
      <c r="F3902" s="1088">
        <v>2</v>
      </c>
      <c r="G3902" s="772"/>
      <c r="H3902" s="772"/>
      <c r="I3902" s="254" t="s">
        <v>11743</v>
      </c>
      <c r="J3902" s="585" t="s">
        <v>12398</v>
      </c>
      <c r="K3902" s="811">
        <v>41704</v>
      </c>
      <c r="L3902" s="585" t="s">
        <v>89</v>
      </c>
      <c r="M3902" s="386"/>
      <c r="N3902" s="386" t="s">
        <v>89</v>
      </c>
      <c r="O3902" s="752">
        <v>20140200116083</v>
      </c>
      <c r="Q3902" s="1236">
        <v>1665.3</v>
      </c>
      <c r="R3902" s="323">
        <f>361*1.05</f>
        <v>379.05</v>
      </c>
      <c r="S3902" s="464">
        <f t="shared" si="247"/>
        <v>758.1</v>
      </c>
      <c r="U3902" s="772"/>
      <c r="V3902" s="386" t="s">
        <v>5896</v>
      </c>
      <c r="X3902" s="1237">
        <v>41704</v>
      </c>
      <c r="Z3902" s="1238">
        <v>50442</v>
      </c>
      <c r="AA3902" s="1094">
        <v>41712</v>
      </c>
      <c r="AB3902" s="1242" t="s">
        <v>12457</v>
      </c>
      <c r="AF3902" s="386"/>
    </row>
    <row r="3903" spans="1:32" ht="15.75" customHeight="1">
      <c r="A3903" s="1235">
        <v>41689</v>
      </c>
      <c r="B3903" s="592" t="s">
        <v>12394</v>
      </c>
      <c r="C3903" s="970" t="s">
        <v>12458</v>
      </c>
      <c r="D3903" s="386" t="s">
        <v>12459</v>
      </c>
      <c r="E3903" s="338" t="s">
        <v>12460</v>
      </c>
      <c r="F3903" s="1088">
        <v>4</v>
      </c>
      <c r="G3903" s="772"/>
      <c r="H3903" s="772"/>
      <c r="I3903" s="254" t="s">
        <v>11743</v>
      </c>
      <c r="J3903" s="585" t="s">
        <v>12398</v>
      </c>
      <c r="K3903" s="811">
        <v>41704</v>
      </c>
      <c r="L3903" s="585" t="s">
        <v>89</v>
      </c>
      <c r="M3903" s="386"/>
      <c r="N3903" s="386" t="s">
        <v>89</v>
      </c>
      <c r="O3903" s="752">
        <v>20140200116083</v>
      </c>
      <c r="Q3903" s="464"/>
      <c r="R3903" s="323">
        <f>263*1.05</f>
        <v>276.15000000000003</v>
      </c>
      <c r="S3903" s="464">
        <f t="shared" si="247"/>
        <v>1104.6000000000001</v>
      </c>
      <c r="U3903" s="772"/>
      <c r="V3903" s="386" t="s">
        <v>5896</v>
      </c>
      <c r="X3903" s="1084"/>
      <c r="Z3903" s="1100"/>
      <c r="AA3903" s="1094">
        <v>41712</v>
      </c>
      <c r="AB3903" s="386"/>
      <c r="AF3903" s="386"/>
    </row>
    <row r="3904" spans="1:32" ht="15.75" customHeight="1">
      <c r="A3904" s="1235">
        <v>41689</v>
      </c>
      <c r="B3904" s="592" t="s">
        <v>53</v>
      </c>
      <c r="C3904" s="263" t="s">
        <v>12461</v>
      </c>
      <c r="D3904" s="318" t="s">
        <v>12462</v>
      </c>
      <c r="E3904" s="338" t="s">
        <v>12065</v>
      </c>
      <c r="F3904" s="1088">
        <v>4</v>
      </c>
      <c r="G3904" s="772"/>
      <c r="H3904" s="772"/>
      <c r="I3904" s="254" t="s">
        <v>8429</v>
      </c>
      <c r="J3904" s="585" t="s">
        <v>12463</v>
      </c>
      <c r="K3904" s="811">
        <v>41708</v>
      </c>
      <c r="L3904" s="585" t="s">
        <v>12379</v>
      </c>
      <c r="M3904" s="811">
        <v>41696</v>
      </c>
      <c r="N3904" s="386" t="s">
        <v>12406</v>
      </c>
      <c r="O3904" s="752" t="s">
        <v>12464</v>
      </c>
      <c r="Q3904" s="772"/>
      <c r="R3904" s="323">
        <v>283.5</v>
      </c>
      <c r="S3904" s="464">
        <f t="shared" si="247"/>
        <v>1134</v>
      </c>
      <c r="U3904" s="323">
        <v>28896</v>
      </c>
      <c r="V3904" s="386" t="s">
        <v>8443</v>
      </c>
      <c r="X3904" s="1094">
        <v>41696</v>
      </c>
      <c r="Z3904" s="1110">
        <v>28896</v>
      </c>
      <c r="AA3904" s="1094">
        <v>41704</v>
      </c>
      <c r="AB3904" s="386" t="s">
        <v>12465</v>
      </c>
      <c r="AF3904" s="386"/>
    </row>
    <row r="3905" spans="1:32" ht="15.75" customHeight="1">
      <c r="A3905" s="1235">
        <v>41689</v>
      </c>
      <c r="B3905" s="592" t="s">
        <v>12394</v>
      </c>
      <c r="C3905" s="263" t="s">
        <v>12466</v>
      </c>
      <c r="D3905" s="318" t="s">
        <v>12467</v>
      </c>
      <c r="E3905" s="338" t="s">
        <v>12468</v>
      </c>
      <c r="F3905" s="1088">
        <v>10</v>
      </c>
      <c r="G3905" s="772"/>
      <c r="H3905" s="772"/>
      <c r="I3905" s="254" t="s">
        <v>11743</v>
      </c>
      <c r="J3905" s="585" t="s">
        <v>12398</v>
      </c>
      <c r="K3905" s="811">
        <v>41704</v>
      </c>
      <c r="L3905" s="585" t="s">
        <v>89</v>
      </c>
      <c r="M3905" s="386"/>
      <c r="N3905" s="386" t="s">
        <v>89</v>
      </c>
      <c r="O3905" s="752">
        <v>20140200116136</v>
      </c>
      <c r="Q3905" s="1236">
        <v>2352</v>
      </c>
      <c r="R3905" s="323">
        <f>137*1.05</f>
        <v>143.85</v>
      </c>
      <c r="S3905" s="464">
        <f t="shared" si="247"/>
        <v>1438.5</v>
      </c>
      <c r="U3905" s="772"/>
      <c r="V3905" s="386" t="s">
        <v>5896</v>
      </c>
      <c r="X3905" s="1237">
        <v>41704</v>
      </c>
      <c r="Z3905" s="1238">
        <v>71242</v>
      </c>
      <c r="AA3905" s="1094">
        <v>41712</v>
      </c>
      <c r="AB3905" s="1242" t="s">
        <v>12457</v>
      </c>
      <c r="AF3905" s="386"/>
    </row>
    <row r="3906" spans="1:32" ht="15.75" customHeight="1">
      <c r="A3906" s="1235">
        <v>41690</v>
      </c>
      <c r="B3906" s="592" t="s">
        <v>12394</v>
      </c>
      <c r="C3906" s="263" t="s">
        <v>12469</v>
      </c>
      <c r="D3906" s="318" t="s">
        <v>12470</v>
      </c>
      <c r="E3906" s="338" t="s">
        <v>12437</v>
      </c>
      <c r="F3906" s="1088">
        <v>10</v>
      </c>
      <c r="G3906" s="772"/>
      <c r="H3906" s="772"/>
      <c r="I3906" s="254" t="s">
        <v>11743</v>
      </c>
      <c r="J3906" s="585" t="s">
        <v>12398</v>
      </c>
      <c r="K3906" s="811">
        <v>41704</v>
      </c>
      <c r="L3906" s="585" t="s">
        <v>89</v>
      </c>
      <c r="M3906" s="386"/>
      <c r="N3906" s="386" t="s">
        <v>89</v>
      </c>
      <c r="O3906" s="752">
        <v>20140200116136</v>
      </c>
      <c r="Q3906" s="464"/>
      <c r="R3906" s="323">
        <f>116*1.05</f>
        <v>121.80000000000001</v>
      </c>
      <c r="S3906" s="464">
        <f t="shared" si="247"/>
        <v>1218</v>
      </c>
      <c r="U3906" s="772"/>
      <c r="V3906" s="386" t="s">
        <v>5896</v>
      </c>
      <c r="X3906" s="1084"/>
      <c r="Z3906" s="1100"/>
      <c r="AA3906" s="1094">
        <v>41712</v>
      </c>
      <c r="AB3906" s="386"/>
      <c r="AF3906" s="386"/>
    </row>
    <row r="3907" spans="1:32" ht="15.75" customHeight="1">
      <c r="A3907" s="1235">
        <v>41690</v>
      </c>
      <c r="B3907" s="592" t="s">
        <v>53</v>
      </c>
      <c r="C3907" s="263" t="s">
        <v>12471</v>
      </c>
      <c r="D3907" s="318" t="s">
        <v>12472</v>
      </c>
      <c r="E3907" s="338" t="s">
        <v>4586</v>
      </c>
      <c r="F3907" s="1088">
        <v>150</v>
      </c>
      <c r="G3907" s="772"/>
      <c r="H3907" s="772"/>
      <c r="I3907" s="254" t="s">
        <v>8429</v>
      </c>
      <c r="J3907" s="585" t="s">
        <v>12398</v>
      </c>
      <c r="K3907" s="811">
        <v>41711</v>
      </c>
      <c r="L3907" s="585" t="s">
        <v>89</v>
      </c>
      <c r="M3907" s="386"/>
      <c r="N3907" s="386" t="s">
        <v>89</v>
      </c>
      <c r="O3907" s="752">
        <v>20140200116137</v>
      </c>
      <c r="Q3907" s="464">
        <v>13230</v>
      </c>
      <c r="R3907" s="323">
        <v>103.95</v>
      </c>
      <c r="S3907" s="464">
        <f t="shared" si="247"/>
        <v>15592.5</v>
      </c>
      <c r="U3907" s="772"/>
      <c r="V3907" s="386" t="s">
        <v>12473</v>
      </c>
      <c r="X3907" s="1084">
        <v>41346</v>
      </c>
      <c r="Z3907" s="1100">
        <v>400009</v>
      </c>
      <c r="AA3907" s="1094">
        <v>41701</v>
      </c>
      <c r="AB3907" s="386" t="s">
        <v>12474</v>
      </c>
      <c r="AF3907" s="386"/>
    </row>
    <row r="3908" spans="1:32" ht="15.75" customHeight="1">
      <c r="A3908" s="1235">
        <v>41691</v>
      </c>
      <c r="B3908" s="592" t="s">
        <v>12394</v>
      </c>
      <c r="C3908" s="970" t="s">
        <v>12475</v>
      </c>
      <c r="D3908" s="386" t="s">
        <v>12476</v>
      </c>
      <c r="E3908" s="338" t="s">
        <v>12477</v>
      </c>
      <c r="F3908" s="1088">
        <v>1</v>
      </c>
      <c r="G3908" s="772"/>
      <c r="H3908" s="772"/>
      <c r="I3908" s="254" t="s">
        <v>11743</v>
      </c>
      <c r="J3908" s="585" t="s">
        <v>12398</v>
      </c>
      <c r="K3908" s="811">
        <v>41704</v>
      </c>
      <c r="L3908" s="585" t="s">
        <v>89</v>
      </c>
      <c r="M3908" s="386"/>
      <c r="N3908" s="386" t="s">
        <v>89</v>
      </c>
      <c r="O3908" s="752">
        <v>20140200116271</v>
      </c>
      <c r="Q3908" s="464">
        <v>996.45</v>
      </c>
      <c r="R3908" s="323">
        <f>998*1.05</f>
        <v>1047.9000000000001</v>
      </c>
      <c r="S3908" s="464">
        <f t="shared" si="247"/>
        <v>1047.9000000000001</v>
      </c>
      <c r="U3908" s="772"/>
      <c r="V3908" s="386" t="s">
        <v>5896</v>
      </c>
      <c r="X3908" s="1084">
        <v>41704</v>
      </c>
      <c r="Z3908" s="1100">
        <v>30182</v>
      </c>
      <c r="AA3908" s="1094">
        <v>41712</v>
      </c>
      <c r="AB3908" s="386" t="s">
        <v>12457</v>
      </c>
      <c r="AF3908" s="386"/>
    </row>
    <row r="3909" spans="1:32" ht="15.75" customHeight="1">
      <c r="A3909" s="1235">
        <v>41696</v>
      </c>
      <c r="B3909" s="592" t="s">
        <v>12425</v>
      </c>
      <c r="C3909" s="970">
        <v>14000039</v>
      </c>
      <c r="D3909" s="386" t="s">
        <v>12478</v>
      </c>
      <c r="E3909" s="338" t="s">
        <v>12479</v>
      </c>
      <c r="F3909" s="1088">
        <v>14</v>
      </c>
      <c r="G3909" s="772"/>
      <c r="H3909" s="772"/>
      <c r="I3909" s="254" t="s">
        <v>8429</v>
      </c>
      <c r="J3909" s="585" t="s">
        <v>12480</v>
      </c>
      <c r="K3909" s="811">
        <v>41737</v>
      </c>
      <c r="L3909" s="585" t="s">
        <v>12379</v>
      </c>
      <c r="M3909" s="811">
        <v>41722</v>
      </c>
      <c r="N3909" s="386" t="s">
        <v>89</v>
      </c>
      <c r="O3909" s="752">
        <v>20140300116694</v>
      </c>
      <c r="Q3909" s="464">
        <v>5953.5</v>
      </c>
      <c r="R3909" s="323">
        <v>466</v>
      </c>
      <c r="S3909" s="464">
        <f t="shared" si="247"/>
        <v>6524</v>
      </c>
      <c r="U3909" s="772"/>
      <c r="V3909" s="386" t="s">
        <v>5896</v>
      </c>
      <c r="X3909" s="1084">
        <v>41722</v>
      </c>
      <c r="Z3909" s="1100">
        <v>180242</v>
      </c>
      <c r="AA3909" s="1094">
        <v>41740</v>
      </c>
      <c r="AB3909" s="318" t="s">
        <v>12481</v>
      </c>
      <c r="AF3909" s="386"/>
    </row>
    <row r="3910" spans="1:32" ht="15.75" customHeight="1">
      <c r="A3910" s="1235">
        <v>41696</v>
      </c>
      <c r="B3910" s="592" t="s">
        <v>12448</v>
      </c>
      <c r="C3910" s="386"/>
      <c r="D3910" s="386" t="s">
        <v>12482</v>
      </c>
      <c r="E3910" s="338" t="s">
        <v>12483</v>
      </c>
      <c r="F3910" s="1088">
        <v>4</v>
      </c>
      <c r="G3910" s="772"/>
      <c r="H3910" s="772"/>
      <c r="I3910" s="254" t="s">
        <v>86</v>
      </c>
      <c r="J3910" s="585" t="s">
        <v>12451</v>
      </c>
      <c r="K3910" s="811">
        <v>41708</v>
      </c>
      <c r="L3910" s="585" t="s">
        <v>89</v>
      </c>
      <c r="M3910" s="386"/>
      <c r="N3910" s="386" t="s">
        <v>89</v>
      </c>
      <c r="O3910" s="752">
        <v>20140200116477</v>
      </c>
      <c r="Q3910" s="464">
        <v>1255.8</v>
      </c>
      <c r="R3910" s="323">
        <v>335</v>
      </c>
      <c r="S3910" s="464">
        <f t="shared" si="247"/>
        <v>1340</v>
      </c>
      <c r="U3910" s="772"/>
      <c r="V3910" s="386" t="s">
        <v>5896</v>
      </c>
      <c r="X3910" s="1094">
        <v>41708</v>
      </c>
      <c r="Z3910" s="1110">
        <v>38038</v>
      </c>
      <c r="AA3910" s="1094">
        <v>41712</v>
      </c>
      <c r="AB3910" s="318" t="s">
        <v>12452</v>
      </c>
      <c r="AF3910" s="386"/>
    </row>
    <row r="3911" spans="1:32" ht="15.75" customHeight="1">
      <c r="A3911" s="1235">
        <v>41704</v>
      </c>
      <c r="B3911" s="592" t="s">
        <v>6060</v>
      </c>
      <c r="C3911" s="970" t="s">
        <v>12484</v>
      </c>
      <c r="D3911" s="386" t="s">
        <v>12485</v>
      </c>
      <c r="E3911" s="338" t="s">
        <v>12453</v>
      </c>
      <c r="F3911" s="1088">
        <v>2</v>
      </c>
      <c r="G3911" s="772"/>
      <c r="H3911" s="772"/>
      <c r="I3911" s="254" t="s">
        <v>86</v>
      </c>
      <c r="J3911" s="585" t="s">
        <v>12451</v>
      </c>
      <c r="K3911" s="811">
        <v>41725</v>
      </c>
      <c r="L3911" s="585" t="s">
        <v>12379</v>
      </c>
      <c r="M3911" s="811">
        <v>41724</v>
      </c>
      <c r="N3911" s="386" t="s">
        <v>89</v>
      </c>
      <c r="O3911" s="1240">
        <v>20140300117015</v>
      </c>
      <c r="Q3911" s="1241">
        <v>718.2</v>
      </c>
      <c r="R3911" s="323">
        <v>346.67</v>
      </c>
      <c r="S3911" s="464">
        <f t="shared" si="247"/>
        <v>693.34</v>
      </c>
      <c r="U3911" s="772"/>
      <c r="V3911" s="386" t="s">
        <v>5896</v>
      </c>
      <c r="X3911" s="1237">
        <v>41724</v>
      </c>
      <c r="Z3911" s="1238">
        <v>21744</v>
      </c>
      <c r="AA3911" s="1094">
        <v>41731</v>
      </c>
      <c r="AB3911" s="1247" t="s">
        <v>12486</v>
      </c>
      <c r="AF3911" s="386"/>
    </row>
    <row r="3912" spans="1:32" ht="15.75" customHeight="1">
      <c r="A3912" s="1235">
        <v>41704</v>
      </c>
      <c r="B3912" s="592" t="s">
        <v>6060</v>
      </c>
      <c r="C3912" s="970" t="s">
        <v>12484</v>
      </c>
      <c r="D3912" s="386" t="s">
        <v>12485</v>
      </c>
      <c r="E3912" s="338" t="s">
        <v>7098</v>
      </c>
      <c r="F3912" s="1088">
        <v>2</v>
      </c>
      <c r="G3912" s="772"/>
      <c r="H3912" s="772"/>
      <c r="I3912" s="254" t="s">
        <v>86</v>
      </c>
      <c r="J3912" s="254" t="s">
        <v>12451</v>
      </c>
      <c r="K3912" s="811">
        <v>41725</v>
      </c>
      <c r="L3912" s="585" t="s">
        <v>12379</v>
      </c>
      <c r="M3912" s="811">
        <v>41724</v>
      </c>
      <c r="N3912" s="386" t="s">
        <v>89</v>
      </c>
      <c r="O3912" s="752"/>
      <c r="Q3912" s="323"/>
      <c r="R3912" s="323">
        <v>33.33</v>
      </c>
      <c r="S3912" s="464">
        <f t="shared" si="247"/>
        <v>66.66</v>
      </c>
      <c r="U3912" s="772"/>
      <c r="V3912" s="386" t="s">
        <v>5896</v>
      </c>
      <c r="X3912" s="1084"/>
      <c r="Z3912" s="1100"/>
      <c r="AA3912" s="1094">
        <v>41731</v>
      </c>
      <c r="AB3912" s="263"/>
      <c r="AF3912" s="386"/>
    </row>
    <row r="3913" spans="1:32" ht="15.75" customHeight="1">
      <c r="A3913" s="1235">
        <v>41710</v>
      </c>
      <c r="B3913" s="592" t="s">
        <v>12394</v>
      </c>
      <c r="C3913" s="970" t="s">
        <v>12487</v>
      </c>
      <c r="D3913" s="386" t="s">
        <v>12488</v>
      </c>
      <c r="E3913" s="338" t="s">
        <v>11613</v>
      </c>
      <c r="F3913" s="1088">
        <v>10</v>
      </c>
      <c r="G3913" s="772"/>
      <c r="H3913" s="772"/>
      <c r="I3913" s="254" t="s">
        <v>11743</v>
      </c>
      <c r="J3913" s="254" t="s">
        <v>12398</v>
      </c>
      <c r="K3913" s="811">
        <v>41722</v>
      </c>
      <c r="L3913" s="585" t="s">
        <v>89</v>
      </c>
      <c r="M3913" s="386"/>
      <c r="N3913" s="386" t="s">
        <v>89</v>
      </c>
      <c r="O3913" s="752">
        <v>20140300117248</v>
      </c>
      <c r="Q3913" s="1241">
        <v>1260</v>
      </c>
      <c r="R3913" s="323">
        <f>130.5*1.05</f>
        <v>137.02500000000001</v>
      </c>
      <c r="S3913" s="464">
        <f t="shared" si="247"/>
        <v>1370.25</v>
      </c>
      <c r="U3913" s="772"/>
      <c r="V3913" s="386" t="s">
        <v>5896</v>
      </c>
      <c r="X3913" s="1237">
        <v>41722</v>
      </c>
      <c r="Z3913" s="1238">
        <v>38147</v>
      </c>
      <c r="AA3913" s="1094">
        <v>41731</v>
      </c>
      <c r="AB3913" s="1242" t="s">
        <v>12489</v>
      </c>
      <c r="AF3913" s="386"/>
    </row>
    <row r="3914" spans="1:32" ht="15.75" customHeight="1">
      <c r="A3914" s="1235">
        <v>41710</v>
      </c>
      <c r="B3914" s="592" t="s">
        <v>12394</v>
      </c>
      <c r="C3914" s="970" t="s">
        <v>12487</v>
      </c>
      <c r="D3914" s="386" t="s">
        <v>12488</v>
      </c>
      <c r="E3914" s="338" t="s">
        <v>12490</v>
      </c>
      <c r="F3914" s="1088">
        <v>10</v>
      </c>
      <c r="G3914" s="772"/>
      <c r="H3914" s="772"/>
      <c r="I3914" s="254" t="s">
        <v>11743</v>
      </c>
      <c r="J3914" s="254" t="s">
        <v>12398</v>
      </c>
      <c r="K3914" s="811">
        <v>41722</v>
      </c>
      <c r="L3914" s="585" t="s">
        <v>89</v>
      </c>
      <c r="M3914" s="386"/>
      <c r="N3914" s="386" t="s">
        <v>89</v>
      </c>
      <c r="O3914" s="752">
        <v>20140300117248</v>
      </c>
      <c r="Q3914" s="323"/>
      <c r="R3914" s="323">
        <f>3.5*1.05</f>
        <v>3.6750000000000003</v>
      </c>
      <c r="S3914" s="464">
        <f t="shared" si="247"/>
        <v>36.75</v>
      </c>
      <c r="U3914" s="772"/>
      <c r="V3914" s="386" t="s">
        <v>5896</v>
      </c>
      <c r="X3914" s="1084"/>
      <c r="Z3914" s="1100"/>
      <c r="AA3914" s="1094">
        <v>41731</v>
      </c>
      <c r="AB3914" s="1242"/>
      <c r="AF3914" s="386"/>
    </row>
    <row r="3915" spans="1:32" ht="15.75" customHeight="1">
      <c r="A3915" s="1235">
        <v>41710</v>
      </c>
      <c r="B3915" s="592" t="s">
        <v>12394</v>
      </c>
      <c r="C3915" s="970" t="s">
        <v>12491</v>
      </c>
      <c r="D3915" s="386" t="s">
        <v>12492</v>
      </c>
      <c r="E3915" s="338" t="s">
        <v>12424</v>
      </c>
      <c r="F3915" s="1088">
        <v>15</v>
      </c>
      <c r="G3915" s="772"/>
      <c r="H3915" s="772"/>
      <c r="I3915" s="254" t="s">
        <v>11743</v>
      </c>
      <c r="J3915" s="254" t="s">
        <v>12398</v>
      </c>
      <c r="K3915" s="811">
        <v>41722</v>
      </c>
      <c r="L3915" s="585" t="s">
        <v>89</v>
      </c>
      <c r="M3915" s="386"/>
      <c r="N3915" s="386" t="s">
        <v>89</v>
      </c>
      <c r="O3915" s="752">
        <v>20140300117289</v>
      </c>
      <c r="Q3915" s="323">
        <v>1638</v>
      </c>
      <c r="R3915" s="323">
        <f>116*1.05</f>
        <v>121.80000000000001</v>
      </c>
      <c r="S3915" s="464">
        <f t="shared" si="247"/>
        <v>1827.0000000000002</v>
      </c>
      <c r="U3915" s="772"/>
      <c r="V3915" s="386" t="s">
        <v>5896</v>
      </c>
      <c r="X3915" s="1084">
        <v>41722</v>
      </c>
      <c r="Z3915" s="1100">
        <v>49590</v>
      </c>
      <c r="AA3915" s="1094">
        <v>41731</v>
      </c>
      <c r="AB3915" s="386"/>
      <c r="AF3915" s="386"/>
    </row>
    <row r="3916" spans="1:32" ht="15.75" customHeight="1">
      <c r="A3916" s="1235">
        <v>41708</v>
      </c>
      <c r="B3916" s="592" t="s">
        <v>1189</v>
      </c>
      <c r="C3916" s="386"/>
      <c r="D3916" s="386" t="s">
        <v>12493</v>
      </c>
      <c r="E3916" s="338" t="s">
        <v>10173</v>
      </c>
      <c r="F3916" s="1088">
        <v>20</v>
      </c>
      <c r="G3916" s="772"/>
      <c r="H3916" s="772"/>
      <c r="I3916" s="254" t="s">
        <v>86</v>
      </c>
      <c r="J3916" s="318" t="s">
        <v>11835</v>
      </c>
      <c r="K3916" s="811">
        <v>41725</v>
      </c>
      <c r="L3916" s="585" t="s">
        <v>12379</v>
      </c>
      <c r="M3916" s="1099">
        <v>41722</v>
      </c>
      <c r="N3916" s="386" t="s">
        <v>89</v>
      </c>
      <c r="O3916" s="752">
        <v>20140300117140</v>
      </c>
      <c r="Q3916" s="323">
        <v>3066</v>
      </c>
      <c r="R3916" s="323">
        <v>177</v>
      </c>
      <c r="S3916" s="464">
        <f t="shared" si="247"/>
        <v>3540</v>
      </c>
      <c r="U3916" s="772"/>
      <c r="V3916" s="386" t="s">
        <v>5896</v>
      </c>
      <c r="X3916" s="1094">
        <v>41722</v>
      </c>
      <c r="Z3916" s="1110">
        <v>92823</v>
      </c>
      <c r="AA3916" s="1094">
        <v>41731</v>
      </c>
      <c r="AB3916" s="1239" t="s">
        <v>12494</v>
      </c>
      <c r="AF3916" s="386"/>
    </row>
    <row r="3917" spans="1:32" ht="15.75" customHeight="1">
      <c r="A3917" s="1235">
        <v>41708</v>
      </c>
      <c r="B3917" s="592" t="s">
        <v>1189</v>
      </c>
      <c r="C3917" s="386"/>
      <c r="D3917" s="386" t="s">
        <v>12493</v>
      </c>
      <c r="E3917" s="338" t="s">
        <v>12378</v>
      </c>
      <c r="F3917" s="1088">
        <v>7</v>
      </c>
      <c r="G3917" s="772"/>
      <c r="H3917" s="772"/>
      <c r="I3917" s="254" t="s">
        <v>86</v>
      </c>
      <c r="J3917" s="318" t="s">
        <v>11835</v>
      </c>
      <c r="K3917" s="811">
        <v>41725</v>
      </c>
      <c r="L3917" s="585" t="s">
        <v>12379</v>
      </c>
      <c r="M3917" s="811">
        <v>41723</v>
      </c>
      <c r="N3917" s="386" t="s">
        <v>10959</v>
      </c>
      <c r="O3917" s="386"/>
      <c r="Q3917" s="772"/>
      <c r="R3917" s="323">
        <v>553</v>
      </c>
      <c r="S3917" s="464">
        <f t="shared" si="247"/>
        <v>3871</v>
      </c>
      <c r="U3917" s="323">
        <v>102900</v>
      </c>
      <c r="V3917" s="386" t="s">
        <v>12495</v>
      </c>
      <c r="X3917" s="1094">
        <v>41717</v>
      </c>
      <c r="Z3917" s="1110">
        <v>102900</v>
      </c>
      <c r="AA3917" s="1094">
        <v>41723</v>
      </c>
      <c r="AB3917" s="1239"/>
      <c r="AF3917" s="386"/>
    </row>
    <row r="3918" spans="1:32" ht="15.75" customHeight="1">
      <c r="A3918" s="1235">
        <v>41708</v>
      </c>
      <c r="B3918" s="592" t="s">
        <v>1189</v>
      </c>
      <c r="C3918" s="386"/>
      <c r="D3918" s="386" t="s">
        <v>12493</v>
      </c>
      <c r="E3918" s="338" t="s">
        <v>9182</v>
      </c>
      <c r="F3918" s="1088">
        <v>7</v>
      </c>
      <c r="G3918" s="772"/>
      <c r="H3918" s="772"/>
      <c r="I3918" s="254" t="s">
        <v>86</v>
      </c>
      <c r="J3918" s="318" t="s">
        <v>11835</v>
      </c>
      <c r="K3918" s="811">
        <v>41725</v>
      </c>
      <c r="L3918" s="585" t="s">
        <v>12379</v>
      </c>
      <c r="M3918" s="811">
        <v>41724</v>
      </c>
      <c r="N3918" s="386" t="s">
        <v>12384</v>
      </c>
      <c r="O3918" s="386"/>
      <c r="Q3918" s="772"/>
      <c r="R3918" s="323">
        <v>38</v>
      </c>
      <c r="S3918" s="464">
        <f t="shared" si="247"/>
        <v>266</v>
      </c>
      <c r="U3918" s="1241">
        <v>15780</v>
      </c>
      <c r="V3918" s="386" t="s">
        <v>12496</v>
      </c>
      <c r="X3918" s="1237">
        <v>41726</v>
      </c>
      <c r="Z3918" s="1238">
        <v>15780</v>
      </c>
      <c r="AA3918" s="1094">
        <v>41718</v>
      </c>
      <c r="AB3918" s="1239"/>
      <c r="AF3918" s="386"/>
    </row>
    <row r="3919" spans="1:32" ht="15.75" customHeight="1">
      <c r="A3919" s="1235">
        <v>41708</v>
      </c>
      <c r="B3919" s="592" t="s">
        <v>1189</v>
      </c>
      <c r="C3919" s="386"/>
      <c r="D3919" s="386" t="s">
        <v>12493</v>
      </c>
      <c r="E3919" s="338" t="s">
        <v>9185</v>
      </c>
      <c r="F3919" s="1088">
        <v>7</v>
      </c>
      <c r="G3919" s="772"/>
      <c r="H3919" s="772"/>
      <c r="I3919" s="254" t="s">
        <v>86</v>
      </c>
      <c r="J3919" s="318" t="s">
        <v>11835</v>
      </c>
      <c r="K3919" s="811">
        <v>41725</v>
      </c>
      <c r="L3919" s="585" t="s">
        <v>12379</v>
      </c>
      <c r="M3919" s="811">
        <v>41724</v>
      </c>
      <c r="N3919" s="386" t="s">
        <v>12384</v>
      </c>
      <c r="O3919" s="386"/>
      <c r="Q3919" s="772"/>
      <c r="R3919" s="323">
        <v>40</v>
      </c>
      <c r="S3919" s="464">
        <f t="shared" si="247"/>
        <v>280</v>
      </c>
      <c r="U3919" s="323"/>
      <c r="V3919" s="386" t="s">
        <v>12496</v>
      </c>
      <c r="X3919" s="1084"/>
      <c r="Z3919" s="1100"/>
      <c r="AA3919" s="1094">
        <v>41718</v>
      </c>
      <c r="AB3919" s="318"/>
      <c r="AF3919" s="386"/>
    </row>
    <row r="3920" spans="1:32" ht="15.75" customHeight="1">
      <c r="A3920" s="1235">
        <v>41715</v>
      </c>
      <c r="B3920" s="592" t="s">
        <v>10783</v>
      </c>
      <c r="C3920" s="386"/>
      <c r="D3920" s="386" t="s">
        <v>12497</v>
      </c>
      <c r="E3920" s="338" t="s">
        <v>12498</v>
      </c>
      <c r="F3920" s="1088">
        <v>1</v>
      </c>
      <c r="G3920" s="772"/>
      <c r="H3920" s="772"/>
      <c r="I3920" s="254" t="s">
        <v>3712</v>
      </c>
      <c r="J3920" s="318" t="s">
        <v>12499</v>
      </c>
      <c r="K3920" s="811">
        <v>41726</v>
      </c>
      <c r="L3920" s="585" t="s">
        <v>89</v>
      </c>
      <c r="M3920" s="811">
        <v>41724</v>
      </c>
      <c r="N3920" s="386" t="s">
        <v>89</v>
      </c>
      <c r="O3920" s="752">
        <v>20140200116570</v>
      </c>
      <c r="Q3920" s="323">
        <v>445.2</v>
      </c>
      <c r="R3920" s="323">
        <v>481</v>
      </c>
      <c r="S3920" s="464">
        <f t="shared" si="247"/>
        <v>481</v>
      </c>
      <c r="U3920" s="772"/>
      <c r="V3920" s="386" t="s">
        <v>5896</v>
      </c>
      <c r="X3920" s="1084">
        <v>41724</v>
      </c>
      <c r="Z3920" s="1100">
        <v>13478</v>
      </c>
      <c r="AA3920" s="1094">
        <v>41731</v>
      </c>
      <c r="AB3920" s="318" t="s">
        <v>12436</v>
      </c>
      <c r="AF3920" s="386"/>
    </row>
    <row r="3921" spans="1:32" ht="15.75" customHeight="1">
      <c r="A3921" s="1235">
        <v>41716</v>
      </c>
      <c r="B3921" s="592" t="s">
        <v>6060</v>
      </c>
      <c r="C3921" s="386"/>
      <c r="D3921" s="386" t="s">
        <v>12500</v>
      </c>
      <c r="E3921" s="338" t="s">
        <v>12501</v>
      </c>
      <c r="F3921" s="1088">
        <v>2</v>
      </c>
      <c r="G3921" s="772"/>
      <c r="H3921" s="772"/>
      <c r="I3921" s="254" t="s">
        <v>86</v>
      </c>
      <c r="J3921" s="254" t="s">
        <v>12451</v>
      </c>
      <c r="K3921" s="811">
        <v>41725</v>
      </c>
      <c r="L3921" s="585" t="s">
        <v>12379</v>
      </c>
      <c r="M3921" s="811">
        <v>41724</v>
      </c>
      <c r="N3921" s="386" t="s">
        <v>89</v>
      </c>
      <c r="O3921" s="752">
        <v>20140300117798</v>
      </c>
      <c r="Q3921" s="323">
        <v>205.8</v>
      </c>
      <c r="R3921" s="323">
        <v>115</v>
      </c>
      <c r="S3921" s="464">
        <f t="shared" si="247"/>
        <v>230</v>
      </c>
      <c r="U3921" s="772"/>
      <c r="V3921" s="386" t="s">
        <v>5896</v>
      </c>
      <c r="X3921" s="1084">
        <v>41724</v>
      </c>
      <c r="Z3921" s="1100">
        <v>6231</v>
      </c>
      <c r="AA3921" s="1094">
        <v>41731</v>
      </c>
      <c r="AB3921" s="263" t="s">
        <v>12486</v>
      </c>
      <c r="AF3921" s="386"/>
    </row>
    <row r="3922" spans="1:32" ht="15.75" customHeight="1">
      <c r="A3922" s="1235">
        <v>41717</v>
      </c>
      <c r="B3922" s="592" t="s">
        <v>12394</v>
      </c>
      <c r="C3922" s="970" t="s">
        <v>12502</v>
      </c>
      <c r="D3922" s="386" t="s">
        <v>12503</v>
      </c>
      <c r="E3922" s="338" t="s">
        <v>11613</v>
      </c>
      <c r="F3922" s="1088">
        <v>20</v>
      </c>
      <c r="G3922" s="772"/>
      <c r="H3922" s="772"/>
      <c r="I3922" s="254" t="s">
        <v>11743</v>
      </c>
      <c r="J3922" s="254" t="s">
        <v>12398</v>
      </c>
      <c r="K3922" s="811">
        <v>41729</v>
      </c>
      <c r="L3922" s="585" t="s">
        <v>89</v>
      </c>
      <c r="M3922" s="386"/>
      <c r="N3922" s="386" t="s">
        <v>89</v>
      </c>
      <c r="O3922" s="1240">
        <v>20140300117515</v>
      </c>
      <c r="Q3922" s="1241">
        <v>2520</v>
      </c>
      <c r="R3922" s="323">
        <f>130.5*1.05</f>
        <v>137.02500000000001</v>
      </c>
      <c r="S3922" s="464">
        <f t="shared" si="247"/>
        <v>2740.5</v>
      </c>
      <c r="U3922" s="772"/>
      <c r="V3922" s="386" t="s">
        <v>5896</v>
      </c>
      <c r="X3922" s="1237">
        <v>41729</v>
      </c>
      <c r="Z3922" s="1238">
        <v>76293</v>
      </c>
      <c r="AA3922" s="1094">
        <v>41731</v>
      </c>
      <c r="AB3922" s="1242" t="s">
        <v>12504</v>
      </c>
      <c r="AF3922" s="386"/>
    </row>
    <row r="3923" spans="1:32" ht="15.75" customHeight="1">
      <c r="A3923" s="1235">
        <v>41717</v>
      </c>
      <c r="B3923" s="592" t="s">
        <v>12394</v>
      </c>
      <c r="C3923" s="970" t="s">
        <v>12502</v>
      </c>
      <c r="D3923" s="386" t="s">
        <v>12503</v>
      </c>
      <c r="E3923" s="338" t="s">
        <v>12490</v>
      </c>
      <c r="F3923" s="1088">
        <v>20</v>
      </c>
      <c r="G3923" s="772"/>
      <c r="H3923" s="772"/>
      <c r="I3923" s="254" t="s">
        <v>11743</v>
      </c>
      <c r="J3923" s="585" t="s">
        <v>12398</v>
      </c>
      <c r="K3923" s="811">
        <v>41729</v>
      </c>
      <c r="L3923" s="585" t="s">
        <v>89</v>
      </c>
      <c r="M3923" s="386"/>
      <c r="N3923" s="386" t="s">
        <v>89</v>
      </c>
      <c r="O3923" s="752"/>
      <c r="Q3923" s="323"/>
      <c r="R3923" s="323">
        <f>3.5*1.05</f>
        <v>3.6750000000000003</v>
      </c>
      <c r="S3923" s="464">
        <f t="shared" si="247"/>
        <v>73.5</v>
      </c>
      <c r="U3923" s="772"/>
      <c r="V3923" s="386" t="s">
        <v>5896</v>
      </c>
      <c r="X3923" s="1084"/>
      <c r="Z3923" s="1100"/>
      <c r="AA3923" s="1094">
        <v>41731</v>
      </c>
      <c r="AB3923" s="386"/>
      <c r="AF3923" s="386"/>
    </row>
    <row r="3924" spans="1:32" ht="15.75" customHeight="1">
      <c r="A3924" s="1235">
        <v>41729</v>
      </c>
      <c r="B3924" s="592" t="s">
        <v>10783</v>
      </c>
      <c r="C3924" s="386"/>
      <c r="D3924" s="386" t="s">
        <v>12505</v>
      </c>
      <c r="E3924" s="338" t="s">
        <v>7094</v>
      </c>
      <c r="F3924" s="1088">
        <v>1</v>
      </c>
      <c r="G3924" s="772"/>
      <c r="H3924" s="772"/>
      <c r="I3924" s="254" t="s">
        <v>3712</v>
      </c>
      <c r="J3924" s="585" t="s">
        <v>12435</v>
      </c>
      <c r="K3924" s="811">
        <v>41745</v>
      </c>
      <c r="L3924" s="585" t="s">
        <v>89</v>
      </c>
      <c r="M3924" s="811">
        <v>41744</v>
      </c>
      <c r="N3924" s="386" t="s">
        <v>89</v>
      </c>
      <c r="O3924" s="1240">
        <v>20140400120316</v>
      </c>
      <c r="Q3924" s="1236">
        <v>441</v>
      </c>
      <c r="R3924" s="323">
        <v>443</v>
      </c>
      <c r="S3924" s="464">
        <v>443</v>
      </c>
      <c r="U3924" s="772"/>
      <c r="V3924" s="386" t="s">
        <v>5896</v>
      </c>
      <c r="X3924" s="1244">
        <v>41744</v>
      </c>
      <c r="Z3924" s="1245">
        <v>13334</v>
      </c>
      <c r="AA3924" s="1094">
        <v>41780</v>
      </c>
      <c r="AB3924" s="1239" t="s">
        <v>12506</v>
      </c>
      <c r="AF3924" s="386"/>
    </row>
    <row r="3925" spans="1:32" ht="15.75" customHeight="1">
      <c r="A3925" s="1235">
        <v>41729</v>
      </c>
      <c r="B3925" s="592" t="s">
        <v>10783</v>
      </c>
      <c r="C3925" s="386"/>
      <c r="D3925" s="386" t="s">
        <v>12505</v>
      </c>
      <c r="E3925" s="338" t="s">
        <v>7098</v>
      </c>
      <c r="F3925" s="1088">
        <v>1</v>
      </c>
      <c r="G3925" s="772"/>
      <c r="H3925" s="772"/>
      <c r="I3925" s="254" t="s">
        <v>3712</v>
      </c>
      <c r="J3925" s="585" t="s">
        <v>12435</v>
      </c>
      <c r="K3925" s="811">
        <v>41745</v>
      </c>
      <c r="L3925" s="585" t="s">
        <v>89</v>
      </c>
      <c r="M3925" s="811">
        <v>41744</v>
      </c>
      <c r="N3925" s="386" t="s">
        <v>89</v>
      </c>
      <c r="O3925" s="752"/>
      <c r="Q3925" s="464"/>
      <c r="R3925" s="323">
        <v>35</v>
      </c>
      <c r="S3925" s="464">
        <v>35</v>
      </c>
      <c r="U3925" s="772"/>
      <c r="V3925" s="386" t="s">
        <v>5896</v>
      </c>
      <c r="X3925" s="1094"/>
      <c r="Z3925" s="1110"/>
      <c r="AA3925" s="1094">
        <v>41780</v>
      </c>
      <c r="AB3925" s="318"/>
      <c r="AF3925" s="386"/>
    </row>
    <row r="3926" spans="1:32" ht="15.75" customHeight="1">
      <c r="A3926" s="1235">
        <v>41731</v>
      </c>
      <c r="B3926" s="592" t="s">
        <v>12394</v>
      </c>
      <c r="C3926" s="970" t="s">
        <v>12507</v>
      </c>
      <c r="D3926" s="386" t="s">
        <v>12508</v>
      </c>
      <c r="E3926" s="338" t="s">
        <v>12509</v>
      </c>
      <c r="F3926" s="1088">
        <v>40</v>
      </c>
      <c r="G3926" s="772"/>
      <c r="H3926" s="772"/>
      <c r="I3926" s="254" t="s">
        <v>11743</v>
      </c>
      <c r="J3926" s="585" t="s">
        <v>12398</v>
      </c>
      <c r="K3926" s="811">
        <v>41754</v>
      </c>
      <c r="L3926" s="585" t="s">
        <v>89</v>
      </c>
      <c r="M3926" s="386"/>
      <c r="N3926" s="386" t="s">
        <v>89</v>
      </c>
      <c r="O3926" s="752">
        <v>20140300119240</v>
      </c>
      <c r="Q3926" s="323">
        <v>12936</v>
      </c>
      <c r="R3926" s="323">
        <f>350*1.05</f>
        <v>367.5</v>
      </c>
      <c r="S3926" s="464">
        <f t="shared" ref="S3926:S3931" si="248">R3926*F3926</f>
        <v>14700</v>
      </c>
      <c r="U3926" s="772"/>
      <c r="V3926" s="386" t="s">
        <v>5896</v>
      </c>
      <c r="X3926" s="1084">
        <v>41754</v>
      </c>
      <c r="Z3926" s="1100">
        <v>389374</v>
      </c>
      <c r="AA3926" s="1094">
        <v>41757</v>
      </c>
      <c r="AB3926" s="386" t="s">
        <v>12510</v>
      </c>
      <c r="AF3926" s="386"/>
    </row>
    <row r="3927" spans="1:32" ht="15.75" customHeight="1">
      <c r="A3927" s="1235">
        <v>41732</v>
      </c>
      <c r="B3927" s="592" t="s">
        <v>12394</v>
      </c>
      <c r="C3927" s="970" t="s">
        <v>12511</v>
      </c>
      <c r="D3927" s="386" t="s">
        <v>12512</v>
      </c>
      <c r="E3927" s="338" t="s">
        <v>12513</v>
      </c>
      <c r="F3927" s="1088">
        <v>1</v>
      </c>
      <c r="G3927" s="772"/>
      <c r="H3927" s="772"/>
      <c r="I3927" s="254" t="s">
        <v>11743</v>
      </c>
      <c r="J3927" s="585" t="s">
        <v>12398</v>
      </c>
      <c r="K3927" s="811">
        <v>41743</v>
      </c>
      <c r="L3927" s="585" t="s">
        <v>89</v>
      </c>
      <c r="M3927" s="386"/>
      <c r="N3927" s="386" t="s">
        <v>89</v>
      </c>
      <c r="O3927" s="1240">
        <v>20140400119997</v>
      </c>
      <c r="Q3927" s="1236">
        <v>1672.65</v>
      </c>
      <c r="R3927" s="323">
        <f>965*1.05</f>
        <v>1013.25</v>
      </c>
      <c r="S3927" s="464">
        <f t="shared" si="248"/>
        <v>1013.25</v>
      </c>
      <c r="U3927" s="772"/>
      <c r="V3927" s="1242" t="s">
        <v>10751</v>
      </c>
      <c r="X3927" s="1237">
        <v>41743</v>
      </c>
      <c r="Z3927" s="1238">
        <v>50573</v>
      </c>
      <c r="AA3927" s="1244">
        <v>41780</v>
      </c>
      <c r="AB3927" s="1242" t="s">
        <v>12514</v>
      </c>
      <c r="AF3927" s="386"/>
    </row>
    <row r="3928" spans="1:32" ht="15.75" customHeight="1">
      <c r="A3928" s="1235">
        <v>41732</v>
      </c>
      <c r="B3928" s="592" t="s">
        <v>12394</v>
      </c>
      <c r="C3928" s="970" t="s">
        <v>12511</v>
      </c>
      <c r="D3928" s="386" t="s">
        <v>12512</v>
      </c>
      <c r="E3928" s="338" t="s">
        <v>12515</v>
      </c>
      <c r="F3928" s="1088">
        <v>1</v>
      </c>
      <c r="G3928" s="772"/>
      <c r="H3928" s="772"/>
      <c r="I3928" s="254" t="s">
        <v>11743</v>
      </c>
      <c r="J3928" s="585" t="s">
        <v>12398</v>
      </c>
      <c r="K3928" s="811">
        <v>41743</v>
      </c>
      <c r="L3928" s="585" t="s">
        <v>89</v>
      </c>
      <c r="M3928" s="386"/>
      <c r="N3928" s="386" t="s">
        <v>89</v>
      </c>
      <c r="O3928" s="752"/>
      <c r="Q3928" s="464"/>
      <c r="R3928" s="323">
        <f>773*1.05</f>
        <v>811.65000000000009</v>
      </c>
      <c r="S3928" s="464">
        <f t="shared" si="248"/>
        <v>811.65000000000009</v>
      </c>
      <c r="U3928" s="772"/>
      <c r="V3928" s="386"/>
      <c r="X3928" s="1084"/>
      <c r="Z3928" s="1100"/>
      <c r="AA3928" s="1094"/>
      <c r="AB3928" s="386"/>
      <c r="AF3928" s="386"/>
    </row>
    <row r="3929" spans="1:32" ht="15.75" customHeight="1">
      <c r="A3929" s="1235">
        <v>41730</v>
      </c>
      <c r="B3929" s="592" t="s">
        <v>665</v>
      </c>
      <c r="C3929" s="386"/>
      <c r="D3929" s="386" t="s">
        <v>12516</v>
      </c>
      <c r="E3929" s="338" t="s">
        <v>12517</v>
      </c>
      <c r="F3929" s="1088">
        <v>1</v>
      </c>
      <c r="G3929" s="772"/>
      <c r="H3929" s="772"/>
      <c r="I3929" s="254" t="s">
        <v>12518</v>
      </c>
      <c r="J3929" s="585" t="s">
        <v>12519</v>
      </c>
      <c r="K3929" s="811">
        <v>41766</v>
      </c>
      <c r="L3929" s="585" t="s">
        <v>12379</v>
      </c>
      <c r="M3929" s="811">
        <v>41764</v>
      </c>
      <c r="N3929" s="386" t="s">
        <v>12406</v>
      </c>
      <c r="O3929" s="752" t="s">
        <v>12520</v>
      </c>
      <c r="Q3929" s="772"/>
      <c r="R3929" s="323">
        <v>650</v>
      </c>
      <c r="S3929" s="464">
        <f t="shared" si="248"/>
        <v>650</v>
      </c>
      <c r="U3929" s="323">
        <v>18900</v>
      </c>
      <c r="V3929" s="386" t="s">
        <v>8443</v>
      </c>
      <c r="X3929" s="1244">
        <v>41761</v>
      </c>
      <c r="Z3929" s="1245">
        <v>19478</v>
      </c>
      <c r="AA3929" s="1094">
        <v>41771</v>
      </c>
      <c r="AB3929" s="1247" t="s">
        <v>12521</v>
      </c>
      <c r="AF3929" s="386"/>
    </row>
    <row r="3930" spans="1:32" ht="15.75" customHeight="1">
      <c r="A3930" s="1235">
        <v>41730</v>
      </c>
      <c r="B3930" s="592" t="s">
        <v>665</v>
      </c>
      <c r="C3930" s="386"/>
      <c r="D3930" s="386" t="s">
        <v>12516</v>
      </c>
      <c r="E3930" s="1248" t="s">
        <v>12522</v>
      </c>
      <c r="F3930" s="1088">
        <v>1</v>
      </c>
      <c r="G3930" s="772"/>
      <c r="H3930" s="772"/>
      <c r="I3930" s="254" t="s">
        <v>12518</v>
      </c>
      <c r="J3930" s="585" t="s">
        <v>12519</v>
      </c>
      <c r="K3930" s="811">
        <v>41766</v>
      </c>
      <c r="L3930" s="585" t="s">
        <v>12379</v>
      </c>
      <c r="M3930" s="811">
        <v>41764</v>
      </c>
      <c r="N3930" s="386" t="s">
        <v>12406</v>
      </c>
      <c r="O3930" s="752" t="s">
        <v>12520</v>
      </c>
      <c r="Q3930" s="772"/>
      <c r="R3930" s="323">
        <v>22</v>
      </c>
      <c r="S3930" s="464">
        <f t="shared" si="248"/>
        <v>22</v>
      </c>
      <c r="U3930" s="323">
        <f>504+73.5</f>
        <v>577.5</v>
      </c>
      <c r="V3930" s="386" t="s">
        <v>8443</v>
      </c>
      <c r="X3930" s="1094"/>
      <c r="Z3930" s="1110"/>
      <c r="AA3930" s="1094">
        <v>41771</v>
      </c>
      <c r="AB3930" s="263"/>
      <c r="AF3930" s="386"/>
    </row>
    <row r="3931" spans="1:32" ht="15.75" customHeight="1">
      <c r="A3931" s="1235">
        <v>41736</v>
      </c>
      <c r="B3931" s="592" t="s">
        <v>1189</v>
      </c>
      <c r="C3931" s="386"/>
      <c r="D3931" s="386" t="s">
        <v>12523</v>
      </c>
      <c r="E3931" s="338" t="s">
        <v>12387</v>
      </c>
      <c r="F3931" s="1088">
        <v>108</v>
      </c>
      <c r="G3931" s="772"/>
      <c r="H3931" s="772"/>
      <c r="I3931" s="254" t="s">
        <v>86</v>
      </c>
      <c r="J3931" s="585" t="s">
        <v>12524</v>
      </c>
      <c r="K3931" s="811">
        <v>41767</v>
      </c>
      <c r="L3931" s="585" t="s">
        <v>12379</v>
      </c>
      <c r="M3931" s="811">
        <v>41753</v>
      </c>
      <c r="N3931" s="386" t="s">
        <v>12388</v>
      </c>
      <c r="O3931" s="386"/>
      <c r="Q3931" s="772"/>
      <c r="R3931" s="323">
        <v>37.5</v>
      </c>
      <c r="S3931" s="464">
        <f t="shared" si="248"/>
        <v>4050</v>
      </c>
      <c r="U3931" s="323">
        <v>113400</v>
      </c>
      <c r="V3931" s="263" t="s">
        <v>2413</v>
      </c>
      <c r="X3931" s="1094">
        <v>41752</v>
      </c>
      <c r="Z3931" s="1110">
        <v>113400</v>
      </c>
      <c r="AA3931" s="1094">
        <v>41803</v>
      </c>
      <c r="AB3931" s="318" t="s">
        <v>12525</v>
      </c>
      <c r="AF3931" s="386"/>
    </row>
    <row r="3932" spans="1:32" ht="15.75" customHeight="1">
      <c r="A3932" s="1235">
        <v>41736</v>
      </c>
      <c r="B3932" s="592" t="s">
        <v>1189</v>
      </c>
      <c r="C3932" s="386"/>
      <c r="D3932" s="386" t="s">
        <v>12526</v>
      </c>
      <c r="E3932" s="338" t="s">
        <v>12387</v>
      </c>
      <c r="F3932" s="1088">
        <v>72</v>
      </c>
      <c r="G3932" s="772"/>
      <c r="H3932" s="772"/>
      <c r="I3932" s="254" t="s">
        <v>86</v>
      </c>
      <c r="J3932" s="386"/>
      <c r="K3932" s="802" t="s">
        <v>12527</v>
      </c>
      <c r="L3932" s="585" t="s">
        <v>12379</v>
      </c>
      <c r="M3932" s="802" t="s">
        <v>12527</v>
      </c>
      <c r="N3932" s="386" t="s">
        <v>12388</v>
      </c>
      <c r="O3932" s="386"/>
      <c r="Q3932" s="772"/>
      <c r="R3932" s="323">
        <v>37.5</v>
      </c>
      <c r="S3932" s="772"/>
      <c r="U3932" s="772"/>
      <c r="V3932" s="263" t="s">
        <v>2413</v>
      </c>
      <c r="X3932" s="386"/>
      <c r="Z3932" s="386"/>
      <c r="AA3932" s="386"/>
      <c r="AB3932" s="386"/>
      <c r="AF3932" s="386"/>
    </row>
    <row r="3933" spans="1:32" ht="15.75" customHeight="1">
      <c r="A3933" s="1235">
        <v>41736</v>
      </c>
      <c r="B3933" s="592" t="s">
        <v>6060</v>
      </c>
      <c r="C3933" s="386"/>
      <c r="D3933" s="386" t="s">
        <v>12528</v>
      </c>
      <c r="E3933" s="338" t="s">
        <v>12501</v>
      </c>
      <c r="F3933" s="1088">
        <v>8</v>
      </c>
      <c r="G3933" s="772"/>
      <c r="H3933" s="772"/>
      <c r="I3933" s="254" t="s">
        <v>86</v>
      </c>
      <c r="J3933" s="1243" t="s">
        <v>12451</v>
      </c>
      <c r="K3933" s="811">
        <v>41745</v>
      </c>
      <c r="L3933" s="585" t="s">
        <v>89</v>
      </c>
      <c r="M3933" s="1249">
        <v>41744</v>
      </c>
      <c r="N3933" s="386" t="s">
        <v>89</v>
      </c>
      <c r="O3933" s="1240">
        <v>20140400120223</v>
      </c>
      <c r="Q3933" s="1236">
        <v>1325.1</v>
      </c>
      <c r="R3933" s="323">
        <v>115</v>
      </c>
      <c r="S3933" s="464">
        <f>R3933*F3933</f>
        <v>920</v>
      </c>
      <c r="U3933" s="772"/>
      <c r="V3933" s="1242" t="s">
        <v>5896</v>
      </c>
      <c r="X3933" s="1237">
        <v>41744</v>
      </c>
      <c r="Z3933" s="1238">
        <v>40064</v>
      </c>
      <c r="AA3933" s="1094">
        <v>41780</v>
      </c>
      <c r="AB3933" s="1239" t="s">
        <v>12529</v>
      </c>
      <c r="AF3933" s="386"/>
    </row>
    <row r="3934" spans="1:32" ht="15.75" customHeight="1">
      <c r="A3934" s="1235">
        <v>41736</v>
      </c>
      <c r="B3934" s="592" t="s">
        <v>6060</v>
      </c>
      <c r="C3934" s="386"/>
      <c r="D3934" s="386" t="s">
        <v>12528</v>
      </c>
      <c r="E3934" s="338" t="s">
        <v>6437</v>
      </c>
      <c r="F3934" s="1088">
        <v>2</v>
      </c>
      <c r="G3934" s="772"/>
      <c r="H3934" s="772"/>
      <c r="I3934" s="254" t="s">
        <v>86</v>
      </c>
      <c r="J3934" s="1243"/>
      <c r="K3934" s="811">
        <v>41745</v>
      </c>
      <c r="L3934" s="585" t="s">
        <v>89</v>
      </c>
      <c r="M3934" s="1249"/>
      <c r="N3934" s="386" t="s">
        <v>89</v>
      </c>
      <c r="O3934" s="752"/>
      <c r="Q3934" s="464"/>
      <c r="R3934" s="323">
        <v>270</v>
      </c>
      <c r="S3934" s="464">
        <f>R3934*F3934</f>
        <v>540</v>
      </c>
      <c r="U3934" s="772"/>
      <c r="V3934" s="1242"/>
      <c r="X3934" s="1084"/>
      <c r="Z3934" s="1100"/>
      <c r="AA3934" s="1094">
        <v>41780</v>
      </c>
      <c r="AB3934" s="1239"/>
      <c r="AF3934" s="386"/>
    </row>
    <row r="3935" spans="1:32" ht="15.75" customHeight="1">
      <c r="A3935" s="1235">
        <v>41736</v>
      </c>
      <c r="B3935" s="592" t="s">
        <v>6060</v>
      </c>
      <c r="C3935" s="386"/>
      <c r="D3935" s="386" t="s">
        <v>12528</v>
      </c>
      <c r="E3935" s="338" t="s">
        <v>6063</v>
      </c>
      <c r="F3935" s="1088">
        <v>2</v>
      </c>
      <c r="G3935" s="772"/>
      <c r="H3935" s="772"/>
      <c r="I3935" s="254" t="s">
        <v>86</v>
      </c>
      <c r="J3935" s="585"/>
      <c r="K3935" s="811">
        <v>41745</v>
      </c>
      <c r="L3935" s="585" t="s">
        <v>89</v>
      </c>
      <c r="M3935" s="811"/>
      <c r="N3935" s="386" t="s">
        <v>89</v>
      </c>
      <c r="O3935" s="752">
        <v>20140400120231</v>
      </c>
      <c r="Q3935" s="464">
        <v>109.2</v>
      </c>
      <c r="R3935" s="323">
        <v>60</v>
      </c>
      <c r="S3935" s="464">
        <f>R3935*F3935</f>
        <v>120</v>
      </c>
      <c r="U3935" s="772"/>
      <c r="V3935" s="386"/>
      <c r="X3935" s="1084">
        <v>41744</v>
      </c>
      <c r="Z3935" s="1100">
        <v>3302</v>
      </c>
      <c r="AA3935" s="1094">
        <v>41780</v>
      </c>
      <c r="AB3935" s="318"/>
      <c r="AF3935" s="386"/>
    </row>
    <row r="3936" spans="1:32" ht="15.75" customHeight="1">
      <c r="A3936" s="1235">
        <v>41736</v>
      </c>
      <c r="B3936" s="592" t="s">
        <v>10673</v>
      </c>
      <c r="C3936" s="970" t="s">
        <v>12530</v>
      </c>
      <c r="D3936" s="386" t="s">
        <v>12531</v>
      </c>
      <c r="E3936" s="338" t="s">
        <v>12532</v>
      </c>
      <c r="F3936" s="1088">
        <v>2</v>
      </c>
      <c r="G3936" s="772"/>
      <c r="H3936" s="772"/>
      <c r="I3936" s="254" t="s">
        <v>12533</v>
      </c>
      <c r="J3936" s="585" t="s">
        <v>12398</v>
      </c>
      <c r="K3936" s="811">
        <v>41743</v>
      </c>
      <c r="L3936" s="585" t="s">
        <v>89</v>
      </c>
      <c r="M3936" s="386"/>
      <c r="N3936" s="386" t="s">
        <v>89</v>
      </c>
      <c r="O3936" s="752">
        <v>20140400120222</v>
      </c>
      <c r="Q3936" s="464">
        <v>819</v>
      </c>
      <c r="R3936" s="323">
        <f>414*1.05</f>
        <v>434.70000000000005</v>
      </c>
      <c r="S3936" s="464">
        <f>R3936*F3936</f>
        <v>869.40000000000009</v>
      </c>
      <c r="U3936" s="772"/>
      <c r="V3936" s="386" t="s">
        <v>5896</v>
      </c>
      <c r="X3936" s="1084">
        <v>41743</v>
      </c>
      <c r="Z3936" s="1100">
        <v>24762</v>
      </c>
      <c r="AA3936" s="1094">
        <v>41780</v>
      </c>
      <c r="AB3936" s="386" t="s">
        <v>12534</v>
      </c>
      <c r="AF3936" s="386"/>
    </row>
    <row r="3937" spans="1:32" ht="15.75" customHeight="1">
      <c r="A3937" s="1235">
        <v>41738</v>
      </c>
      <c r="B3937" s="592" t="s">
        <v>10673</v>
      </c>
      <c r="C3937" s="970" t="s">
        <v>12535</v>
      </c>
      <c r="D3937" s="386" t="s">
        <v>12536</v>
      </c>
      <c r="E3937" s="338" t="s">
        <v>12537</v>
      </c>
      <c r="F3937" s="1088">
        <v>3</v>
      </c>
      <c r="G3937" s="772"/>
      <c r="H3937" s="772"/>
      <c r="I3937" s="254" t="s">
        <v>12533</v>
      </c>
      <c r="J3937" s="254" t="s">
        <v>12538</v>
      </c>
      <c r="K3937" s="811">
        <v>41743</v>
      </c>
      <c r="L3937" s="585" t="s">
        <v>12406</v>
      </c>
      <c r="M3937" s="811">
        <v>41739</v>
      </c>
      <c r="N3937" s="386" t="s">
        <v>12406</v>
      </c>
      <c r="O3937" s="752" t="s">
        <v>12539</v>
      </c>
      <c r="Q3937" s="772"/>
      <c r="R3937" s="323">
        <f>2996/30*1.05</f>
        <v>104.86</v>
      </c>
      <c r="S3937" s="464">
        <f>R3937*F3937</f>
        <v>314.58</v>
      </c>
      <c r="U3937" s="323">
        <v>8681</v>
      </c>
      <c r="V3937" s="386" t="s">
        <v>8443</v>
      </c>
      <c r="X3937" s="1094">
        <v>41738</v>
      </c>
      <c r="Z3937" s="1110">
        <v>8681</v>
      </c>
      <c r="AA3937" s="1094">
        <v>41771</v>
      </c>
      <c r="AB3937" s="386" t="s">
        <v>12540</v>
      </c>
      <c r="AF3937" s="386"/>
    </row>
    <row r="3938" spans="1:32" ht="15.75" customHeight="1">
      <c r="A3938" s="1235">
        <v>41746</v>
      </c>
      <c r="B3938" s="592" t="s">
        <v>10673</v>
      </c>
      <c r="C3938" s="970" t="s">
        <v>12541</v>
      </c>
      <c r="D3938" s="386" t="s">
        <v>12542</v>
      </c>
      <c r="E3938" s="338" t="s">
        <v>12543</v>
      </c>
      <c r="F3938" s="1088">
        <v>30</v>
      </c>
      <c r="G3938" s="772"/>
      <c r="H3938" s="772"/>
      <c r="I3938" s="254" t="s">
        <v>12533</v>
      </c>
      <c r="J3938" s="585" t="s">
        <v>12398</v>
      </c>
      <c r="K3938" s="811">
        <v>41757</v>
      </c>
      <c r="L3938" s="585" t="s">
        <v>89</v>
      </c>
      <c r="M3938" s="386"/>
      <c r="N3938" s="386" t="s">
        <v>89</v>
      </c>
      <c r="O3938" s="752">
        <v>20140400120884</v>
      </c>
      <c r="Q3938" s="464">
        <v>1701</v>
      </c>
      <c r="R3938" s="323">
        <f>61.5*1.05</f>
        <v>64.575000000000003</v>
      </c>
      <c r="S3938" s="464">
        <f>F3938*R3938</f>
        <v>1937.25</v>
      </c>
      <c r="U3938" s="772"/>
      <c r="V3938" s="386" t="s">
        <v>5896</v>
      </c>
      <c r="X3938" s="1084">
        <v>41758</v>
      </c>
      <c r="Z3938" s="1100">
        <v>51200</v>
      </c>
      <c r="AA3938" s="1094">
        <v>41780</v>
      </c>
      <c r="AB3938" s="386" t="s">
        <v>12544</v>
      </c>
      <c r="AF3938" s="386"/>
    </row>
    <row r="3939" spans="1:32" ht="15.75" customHeight="1">
      <c r="A3939" s="1235">
        <v>41748</v>
      </c>
      <c r="B3939" s="592" t="s">
        <v>6060</v>
      </c>
      <c r="C3939" s="386"/>
      <c r="D3939" s="386" t="s">
        <v>12545</v>
      </c>
      <c r="E3939" s="338" t="s">
        <v>12501</v>
      </c>
      <c r="F3939" s="1088">
        <v>8</v>
      </c>
      <c r="G3939" s="772"/>
      <c r="H3939" s="772"/>
      <c r="I3939" s="254" t="s">
        <v>86</v>
      </c>
      <c r="J3939" s="254" t="s">
        <v>12546</v>
      </c>
      <c r="K3939" s="811">
        <v>41767</v>
      </c>
      <c r="L3939" s="585" t="s">
        <v>89</v>
      </c>
      <c r="M3939" s="811">
        <v>41759</v>
      </c>
      <c r="N3939" s="386" t="s">
        <v>89</v>
      </c>
      <c r="O3939" s="752">
        <v>20140400120923</v>
      </c>
      <c r="Q3939" s="464">
        <v>823.2</v>
      </c>
      <c r="R3939" s="323">
        <v>115</v>
      </c>
      <c r="S3939" s="464">
        <f>R3939*F3939</f>
        <v>920</v>
      </c>
      <c r="U3939" s="772"/>
      <c r="V3939" s="386" t="s">
        <v>5896</v>
      </c>
      <c r="X3939" s="1094">
        <v>41759</v>
      </c>
      <c r="Z3939" s="1110">
        <v>24778</v>
      </c>
      <c r="AA3939" s="1094">
        <v>41780</v>
      </c>
      <c r="AB3939" s="263" t="s">
        <v>12547</v>
      </c>
      <c r="AF3939" s="386"/>
    </row>
    <row r="3940" spans="1:32" ht="15.75" customHeight="1">
      <c r="A3940" s="1235">
        <v>41750</v>
      </c>
      <c r="B3940" s="592" t="s">
        <v>8502</v>
      </c>
      <c r="C3940" s="970" t="s">
        <v>12548</v>
      </c>
      <c r="D3940" s="386" t="s">
        <v>12549</v>
      </c>
      <c r="E3940" s="338" t="s">
        <v>12550</v>
      </c>
      <c r="F3940" s="1088">
        <v>1</v>
      </c>
      <c r="G3940" s="772"/>
      <c r="H3940" s="772"/>
      <c r="I3940" s="254" t="s">
        <v>10831</v>
      </c>
      <c r="J3940" s="585" t="s">
        <v>12398</v>
      </c>
      <c r="K3940" s="811">
        <v>41757</v>
      </c>
      <c r="L3940" s="585" t="s">
        <v>89</v>
      </c>
      <c r="M3940" s="386"/>
      <c r="N3940" s="386" t="s">
        <v>89</v>
      </c>
      <c r="O3940" s="752">
        <v>20140400120857</v>
      </c>
      <c r="Q3940" s="464">
        <v>54.6</v>
      </c>
      <c r="R3940" s="323">
        <v>61.95</v>
      </c>
      <c r="S3940" s="464">
        <f>R3940*F3940</f>
        <v>61.95</v>
      </c>
      <c r="U3940" s="772"/>
      <c r="V3940" s="386" t="s">
        <v>5896</v>
      </c>
      <c r="X3940" s="1084">
        <v>41758</v>
      </c>
      <c r="Z3940" s="1100">
        <v>1643</v>
      </c>
      <c r="AA3940" s="1094">
        <v>41780</v>
      </c>
      <c r="AB3940" s="386" t="s">
        <v>12544</v>
      </c>
      <c r="AF3940" s="386"/>
    </row>
    <row r="3941" spans="1:32" ht="15.75" customHeight="1">
      <c r="A3941" s="1235">
        <v>41750</v>
      </c>
      <c r="B3941" s="592" t="s">
        <v>12394</v>
      </c>
      <c r="C3941" s="970" t="s">
        <v>12551</v>
      </c>
      <c r="D3941" s="386" t="s">
        <v>12552</v>
      </c>
      <c r="E3941" s="338" t="s">
        <v>12553</v>
      </c>
      <c r="F3941" s="1088">
        <v>27</v>
      </c>
      <c r="G3941" s="772"/>
      <c r="H3941" s="772"/>
      <c r="I3941" s="254" t="s">
        <v>11743</v>
      </c>
      <c r="J3941" s="585" t="s">
        <v>12398</v>
      </c>
      <c r="K3941" s="811">
        <v>41757</v>
      </c>
      <c r="L3941" s="585" t="s">
        <v>89</v>
      </c>
      <c r="M3941" s="386"/>
      <c r="N3941" s="386" t="s">
        <v>89</v>
      </c>
      <c r="O3941" s="1240">
        <v>20140400120854</v>
      </c>
      <c r="Q3941" s="1241">
        <v>6322.05</v>
      </c>
      <c r="R3941" s="323">
        <f>177*1.05</f>
        <v>185.85</v>
      </c>
      <c r="S3941" s="464">
        <f>R3941*F3941</f>
        <v>5017.95</v>
      </c>
      <c r="U3941" s="772"/>
      <c r="V3941" s="1242" t="s">
        <v>5896</v>
      </c>
      <c r="X3941" s="1237">
        <v>41757</v>
      </c>
      <c r="Z3941" s="1238">
        <v>190294</v>
      </c>
      <c r="AA3941" s="1244">
        <v>41753</v>
      </c>
      <c r="AB3941" s="1242" t="s">
        <v>12544</v>
      </c>
      <c r="AF3941" s="386"/>
    </row>
    <row r="3942" spans="1:32" ht="15.75" customHeight="1">
      <c r="A3942" s="1235">
        <v>41750</v>
      </c>
      <c r="B3942" s="592" t="s">
        <v>12394</v>
      </c>
      <c r="C3942" s="970" t="s">
        <v>12551</v>
      </c>
      <c r="D3942" s="386" t="s">
        <v>12552</v>
      </c>
      <c r="E3942" s="338" t="s">
        <v>12554</v>
      </c>
      <c r="F3942" s="1088">
        <v>27</v>
      </c>
      <c r="G3942" s="772"/>
      <c r="H3942" s="772"/>
      <c r="I3942" s="254" t="s">
        <v>11743</v>
      </c>
      <c r="J3942" s="585" t="s">
        <v>12398</v>
      </c>
      <c r="K3942" s="811">
        <v>41757</v>
      </c>
      <c r="L3942" s="585" t="s">
        <v>89</v>
      </c>
      <c r="M3942" s="386"/>
      <c r="N3942" s="386" t="s">
        <v>89</v>
      </c>
      <c r="O3942" s="752"/>
      <c r="Q3942" s="323"/>
      <c r="R3942" s="323">
        <f>70*1.05</f>
        <v>73.5</v>
      </c>
      <c r="S3942" s="464">
        <f>R3942*F3942</f>
        <v>1984.5</v>
      </c>
      <c r="U3942" s="772"/>
      <c r="V3942" s="386"/>
      <c r="X3942" s="1084"/>
      <c r="Z3942" s="1100"/>
      <c r="AA3942" s="1094"/>
      <c r="AB3942" s="386"/>
      <c r="AF3942" s="386"/>
    </row>
    <row r="3943" spans="1:32" ht="15.75" customHeight="1">
      <c r="A3943" s="1235">
        <v>41751</v>
      </c>
      <c r="B3943" s="592" t="s">
        <v>12394</v>
      </c>
      <c r="C3943" s="970" t="s">
        <v>12555</v>
      </c>
      <c r="D3943" s="386" t="s">
        <v>12556</v>
      </c>
      <c r="E3943" s="338" t="s">
        <v>12557</v>
      </c>
      <c r="F3943" s="1088">
        <v>1</v>
      </c>
      <c r="G3943" s="772"/>
      <c r="H3943" s="772"/>
      <c r="I3943" s="254" t="s">
        <v>11743</v>
      </c>
      <c r="J3943" s="585" t="s">
        <v>12398</v>
      </c>
      <c r="K3943" s="811">
        <v>41764</v>
      </c>
      <c r="L3943" s="585" t="s">
        <v>89</v>
      </c>
      <c r="M3943" s="386"/>
      <c r="N3943" s="386" t="s">
        <v>89</v>
      </c>
      <c r="O3943" s="752">
        <v>20140400121600</v>
      </c>
      <c r="Q3943" s="464">
        <v>924</v>
      </c>
      <c r="R3943" s="323">
        <f>998*1.05</f>
        <v>1047.9000000000001</v>
      </c>
      <c r="S3943" s="464">
        <f>R3943*F3943</f>
        <v>1047.9000000000001</v>
      </c>
      <c r="U3943" s="772"/>
      <c r="V3943" s="386" t="s">
        <v>5896</v>
      </c>
      <c r="X3943" s="1084">
        <v>41764</v>
      </c>
      <c r="Z3943" s="1100">
        <v>27923</v>
      </c>
      <c r="AA3943" s="1094">
        <v>41780</v>
      </c>
      <c r="AB3943" s="386" t="s">
        <v>12558</v>
      </c>
      <c r="AF3943" s="386"/>
    </row>
    <row r="3944" spans="1:32" ht="15.75" customHeight="1">
      <c r="A3944" s="1235">
        <v>41751</v>
      </c>
      <c r="B3944" s="592" t="s">
        <v>3709</v>
      </c>
      <c r="C3944" s="386"/>
      <c r="D3944" s="386" t="s">
        <v>12559</v>
      </c>
      <c r="E3944" s="338" t="s">
        <v>12560</v>
      </c>
      <c r="F3944" s="1088">
        <v>1</v>
      </c>
      <c r="G3944" s="772"/>
      <c r="H3944" s="772"/>
      <c r="I3944" s="254" t="s">
        <v>12561</v>
      </c>
      <c r="J3944" s="585" t="s">
        <v>12562</v>
      </c>
      <c r="K3944" s="811">
        <v>41774</v>
      </c>
      <c r="L3944" s="585" t="s">
        <v>89</v>
      </c>
      <c r="M3944" s="811">
        <v>41761</v>
      </c>
      <c r="N3944" s="386" t="s">
        <v>89</v>
      </c>
      <c r="O3944" s="752">
        <v>20140400121566</v>
      </c>
      <c r="Q3944" s="464">
        <v>226.8</v>
      </c>
      <c r="R3944" s="323">
        <v>248</v>
      </c>
      <c r="S3944" s="464">
        <v>248</v>
      </c>
      <c r="U3944" s="772"/>
      <c r="V3944" s="386" t="s">
        <v>5896</v>
      </c>
      <c r="X3944" s="1094">
        <v>41761</v>
      </c>
      <c r="Z3944" s="1110">
        <v>6854</v>
      </c>
      <c r="AA3944" s="1094">
        <v>41780</v>
      </c>
      <c r="AB3944" s="318" t="s">
        <v>12563</v>
      </c>
      <c r="AF3944" s="386"/>
    </row>
    <row r="3945" spans="1:32" ht="15.75" customHeight="1">
      <c r="A3945" s="1235">
        <v>41759</v>
      </c>
      <c r="B3945" s="592" t="s">
        <v>12402</v>
      </c>
      <c r="C3945" s="386"/>
      <c r="D3945" s="386" t="s">
        <v>12564</v>
      </c>
      <c r="E3945" s="338" t="s">
        <v>12565</v>
      </c>
      <c r="F3945" s="1088">
        <v>2</v>
      </c>
      <c r="G3945" s="772"/>
      <c r="H3945" s="772"/>
      <c r="I3945" s="254" t="s">
        <v>3712</v>
      </c>
      <c r="J3945" s="254" t="s">
        <v>12566</v>
      </c>
      <c r="K3945" s="811">
        <v>41788</v>
      </c>
      <c r="L3945" s="585" t="s">
        <v>11420</v>
      </c>
      <c r="M3945" s="811">
        <v>41785</v>
      </c>
      <c r="N3945" s="386" t="s">
        <v>89</v>
      </c>
      <c r="O3945" s="752">
        <v>20140400122017</v>
      </c>
      <c r="Q3945" s="464">
        <v>793.8</v>
      </c>
      <c r="R3945" s="323">
        <v>427</v>
      </c>
      <c r="S3945" s="464">
        <f>F3945*R3945</f>
        <v>854</v>
      </c>
      <c r="U3945" s="772"/>
      <c r="V3945" s="386" t="s">
        <v>5896</v>
      </c>
      <c r="X3945" s="1084">
        <v>41785</v>
      </c>
      <c r="Z3945" s="1238">
        <v>23909</v>
      </c>
      <c r="AA3945" s="1094">
        <v>41785</v>
      </c>
      <c r="AB3945" s="318" t="s">
        <v>12567</v>
      </c>
      <c r="AF3945" s="386"/>
    </row>
    <row r="3946" spans="1:32" ht="15.75" customHeight="1">
      <c r="A3946" s="1235">
        <v>41764</v>
      </c>
      <c r="B3946" s="592" t="s">
        <v>3709</v>
      </c>
      <c r="C3946" s="386"/>
      <c r="D3946" s="386" t="s">
        <v>12568</v>
      </c>
      <c r="E3946" s="338" t="s">
        <v>12569</v>
      </c>
      <c r="F3946" s="1088">
        <v>2</v>
      </c>
      <c r="G3946" s="772"/>
      <c r="H3946" s="772"/>
      <c r="I3946" s="254" t="s">
        <v>12561</v>
      </c>
      <c r="J3946" s="386" t="s">
        <v>12562</v>
      </c>
      <c r="K3946" s="811">
        <v>41774</v>
      </c>
      <c r="L3946" s="1243" t="s">
        <v>89</v>
      </c>
      <c r="M3946" s="1250">
        <v>41771</v>
      </c>
      <c r="N3946" s="1242" t="s">
        <v>89</v>
      </c>
      <c r="O3946" s="1240">
        <v>20140500122450</v>
      </c>
      <c r="Q3946" s="1236">
        <v>417.9</v>
      </c>
      <c r="R3946" s="323">
        <v>133</v>
      </c>
      <c r="S3946" s="464">
        <f>F3946*R3946</f>
        <v>266</v>
      </c>
      <c r="U3946" s="772"/>
      <c r="V3946" s="386" t="s">
        <v>5896</v>
      </c>
      <c r="X3946" s="1237">
        <v>41771</v>
      </c>
      <c r="Z3946" s="1238">
        <v>12556</v>
      </c>
      <c r="AA3946" s="1094">
        <v>41780</v>
      </c>
      <c r="AB3946" s="1239" t="s">
        <v>12563</v>
      </c>
      <c r="AF3946" s="386"/>
    </row>
    <row r="3947" spans="1:32" ht="15.75" customHeight="1">
      <c r="A3947" s="1235">
        <v>41764</v>
      </c>
      <c r="B3947" s="592" t="s">
        <v>3709</v>
      </c>
      <c r="C3947" s="386"/>
      <c r="D3947" s="386" t="s">
        <v>12568</v>
      </c>
      <c r="E3947" s="338" t="s">
        <v>11803</v>
      </c>
      <c r="F3947" s="1088">
        <v>2</v>
      </c>
      <c r="G3947" s="772"/>
      <c r="H3947" s="772"/>
      <c r="I3947" s="254" t="s">
        <v>12570</v>
      </c>
      <c r="J3947" s="386" t="s">
        <v>12562</v>
      </c>
      <c r="K3947" s="811">
        <v>41774</v>
      </c>
      <c r="L3947" s="585"/>
      <c r="M3947" s="1099"/>
      <c r="N3947" s="386"/>
      <c r="O3947" s="752"/>
      <c r="Q3947" s="464"/>
      <c r="R3947" s="323">
        <v>97</v>
      </c>
      <c r="S3947" s="464">
        <f>F3947*R3947</f>
        <v>194</v>
      </c>
      <c r="U3947" s="772"/>
      <c r="V3947" s="386" t="s">
        <v>5896</v>
      </c>
      <c r="X3947" s="1084"/>
      <c r="Z3947" s="1100"/>
      <c r="AA3947" s="1094">
        <v>41780</v>
      </c>
      <c r="AB3947" s="318"/>
      <c r="AF3947" s="386"/>
    </row>
    <row r="3948" spans="1:32" ht="15.75" customHeight="1">
      <c r="A3948" s="1235">
        <v>41764</v>
      </c>
      <c r="B3948" s="592" t="s">
        <v>12571</v>
      </c>
      <c r="C3948" s="386"/>
      <c r="D3948" s="386" t="s">
        <v>12572</v>
      </c>
      <c r="E3948" s="592" t="s">
        <v>12573</v>
      </c>
      <c r="F3948" s="1088">
        <v>2</v>
      </c>
      <c r="G3948" s="772"/>
      <c r="H3948" s="772"/>
      <c r="I3948" s="254" t="s">
        <v>11834</v>
      </c>
      <c r="J3948" s="254" t="s">
        <v>12566</v>
      </c>
      <c r="K3948" s="811">
        <v>41786</v>
      </c>
      <c r="L3948" s="585" t="s">
        <v>11420</v>
      </c>
      <c r="M3948" s="811">
        <v>41780</v>
      </c>
      <c r="N3948" s="386" t="s">
        <v>12574</v>
      </c>
      <c r="O3948" s="386"/>
      <c r="Q3948" s="772"/>
      <c r="R3948" s="323">
        <v>170</v>
      </c>
      <c r="S3948" s="464">
        <f>F3948*R3948</f>
        <v>340</v>
      </c>
      <c r="U3948" s="323">
        <v>6072</v>
      </c>
      <c r="V3948" s="386" t="s">
        <v>12575</v>
      </c>
      <c r="X3948" s="1094">
        <v>41779</v>
      </c>
      <c r="Z3948" s="1110">
        <v>6072</v>
      </c>
      <c r="AA3948" s="1094">
        <v>41780</v>
      </c>
      <c r="AB3948" s="318" t="s">
        <v>12576</v>
      </c>
      <c r="AF3948" s="386"/>
    </row>
    <row r="3949" spans="1:32" ht="15.75" customHeight="1">
      <c r="A3949" s="1235">
        <v>41766</v>
      </c>
      <c r="B3949" s="592" t="s">
        <v>10673</v>
      </c>
      <c r="C3949" s="970" t="s">
        <v>12577</v>
      </c>
      <c r="D3949" s="386" t="s">
        <v>12578</v>
      </c>
      <c r="E3949" s="338" t="s">
        <v>12579</v>
      </c>
      <c r="F3949" s="1088">
        <v>5</v>
      </c>
      <c r="G3949" s="772"/>
      <c r="H3949" s="772"/>
      <c r="I3949" s="254" t="s">
        <v>12533</v>
      </c>
      <c r="J3949" s="585" t="s">
        <v>12398</v>
      </c>
      <c r="K3949" s="811">
        <v>41771</v>
      </c>
      <c r="L3949" s="585" t="s">
        <v>89</v>
      </c>
      <c r="M3949" s="386"/>
      <c r="N3949" s="386" t="s">
        <v>962</v>
      </c>
      <c r="O3949" s="752">
        <v>20140500122614</v>
      </c>
      <c r="Q3949" s="464">
        <v>273</v>
      </c>
      <c r="R3949" s="323">
        <f>56*1.05</f>
        <v>58.800000000000004</v>
      </c>
      <c r="S3949" s="464">
        <f>F3949*R3949</f>
        <v>294</v>
      </c>
      <c r="U3949" s="772"/>
      <c r="V3949" s="386" t="s">
        <v>5896</v>
      </c>
      <c r="X3949" s="1084">
        <v>41771</v>
      </c>
      <c r="Z3949" s="1100">
        <v>8202</v>
      </c>
      <c r="AA3949" s="1094">
        <v>41780</v>
      </c>
      <c r="AB3949" s="386" t="s">
        <v>12580</v>
      </c>
      <c r="AF3949" s="386"/>
    </row>
    <row r="3950" spans="1:32" ht="15.75" customHeight="1">
      <c r="A3950" s="1235">
        <v>41771</v>
      </c>
      <c r="B3950" s="592" t="s">
        <v>12425</v>
      </c>
      <c r="C3950" s="970">
        <v>14000067</v>
      </c>
      <c r="D3950" s="386" t="s">
        <v>12581</v>
      </c>
      <c r="E3950" s="338" t="s">
        <v>11324</v>
      </c>
      <c r="F3950" s="1088">
        <v>4</v>
      </c>
      <c r="G3950" s="772"/>
      <c r="H3950" s="772"/>
      <c r="I3950" s="254" t="s">
        <v>8429</v>
      </c>
      <c r="J3950" s="585" t="s">
        <v>12582</v>
      </c>
      <c r="K3950" s="811">
        <v>41788</v>
      </c>
      <c r="L3950" s="585" t="s">
        <v>5882</v>
      </c>
      <c r="M3950" s="811">
        <v>41782</v>
      </c>
      <c r="N3950" s="386" t="s">
        <v>962</v>
      </c>
      <c r="O3950" s="752">
        <v>20140500122969</v>
      </c>
      <c r="Q3950" s="464">
        <v>320.67</v>
      </c>
      <c r="R3950" s="323">
        <v>84.5</v>
      </c>
      <c r="S3950" s="464">
        <f>R3950*F3950</f>
        <v>338</v>
      </c>
      <c r="U3950" s="772"/>
      <c r="V3950" s="386" t="s">
        <v>5896</v>
      </c>
      <c r="X3950" s="1094">
        <v>41782</v>
      </c>
      <c r="Z3950" s="1110">
        <v>9659</v>
      </c>
      <c r="AA3950" s="1094">
        <v>41782</v>
      </c>
      <c r="AB3950" s="1239" t="s">
        <v>12583</v>
      </c>
      <c r="AF3950" s="386"/>
    </row>
    <row r="3951" spans="1:32" ht="15.75" customHeight="1">
      <c r="A3951" s="1235">
        <v>41771</v>
      </c>
      <c r="B3951" s="592" t="s">
        <v>12425</v>
      </c>
      <c r="C3951" s="970">
        <v>14000067</v>
      </c>
      <c r="D3951" s="386" t="s">
        <v>12581</v>
      </c>
      <c r="E3951" s="338" t="s">
        <v>12584</v>
      </c>
      <c r="F3951" s="1088">
        <v>4</v>
      </c>
      <c r="G3951" s="772"/>
      <c r="H3951" s="772"/>
      <c r="I3951" s="254" t="s">
        <v>8429</v>
      </c>
      <c r="J3951" s="585" t="s">
        <v>12582</v>
      </c>
      <c r="K3951" s="811">
        <v>41788</v>
      </c>
      <c r="L3951" s="585" t="s">
        <v>5882</v>
      </c>
      <c r="M3951" s="811">
        <v>41779</v>
      </c>
      <c r="N3951" s="386" t="s">
        <v>302</v>
      </c>
      <c r="O3951" s="386"/>
      <c r="Q3951" s="772"/>
      <c r="R3951" s="323">
        <v>25</v>
      </c>
      <c r="S3951" s="464">
        <f>R3951*F3951</f>
        <v>100</v>
      </c>
      <c r="U3951" s="464">
        <v>2394</v>
      </c>
      <c r="V3951" s="318" t="s">
        <v>12091</v>
      </c>
      <c r="X3951" s="1094">
        <v>41778</v>
      </c>
      <c r="Z3951" s="1110">
        <v>2394</v>
      </c>
      <c r="AA3951" s="1094">
        <v>41788</v>
      </c>
      <c r="AB3951" s="318"/>
      <c r="AF3951" s="386"/>
    </row>
    <row r="3952" spans="1:32" ht="15.75" customHeight="1">
      <c r="A3952" s="1235">
        <v>41772</v>
      </c>
      <c r="B3952" s="592" t="s">
        <v>12585</v>
      </c>
      <c r="C3952" s="386"/>
      <c r="D3952" s="386" t="s">
        <v>12586</v>
      </c>
      <c r="E3952" s="338" t="s">
        <v>12587</v>
      </c>
      <c r="F3952" s="1088">
        <v>1</v>
      </c>
      <c r="G3952" s="772"/>
      <c r="H3952" s="772"/>
      <c r="I3952" s="254" t="s">
        <v>8429</v>
      </c>
      <c r="J3952" s="585" t="s">
        <v>12588</v>
      </c>
      <c r="K3952" s="811">
        <v>41802</v>
      </c>
      <c r="L3952" s="254" t="s">
        <v>8892</v>
      </c>
      <c r="M3952" s="811">
        <v>41796</v>
      </c>
      <c r="N3952" s="386" t="s">
        <v>12589</v>
      </c>
      <c r="O3952" s="386"/>
      <c r="Q3952" s="772"/>
      <c r="R3952" s="323">
        <v>189</v>
      </c>
      <c r="S3952" s="464">
        <f>R3952*F3952</f>
        <v>189</v>
      </c>
      <c r="U3952" s="323">
        <v>4305</v>
      </c>
      <c r="V3952" s="386" t="s">
        <v>12590</v>
      </c>
      <c r="X3952" s="1094">
        <v>41795</v>
      </c>
      <c r="Z3952" s="1110">
        <v>4305</v>
      </c>
      <c r="AA3952" s="1094">
        <v>41774</v>
      </c>
      <c r="AB3952" s="1242" t="s">
        <v>12591</v>
      </c>
      <c r="AF3952" s="386"/>
    </row>
    <row r="3953" spans="1:32" ht="15.75" customHeight="1">
      <c r="A3953" s="1235">
        <v>41772</v>
      </c>
      <c r="B3953" s="592" t="s">
        <v>12585</v>
      </c>
      <c r="C3953" s="386"/>
      <c r="D3953" s="386" t="s">
        <v>12586</v>
      </c>
      <c r="E3953" s="338" t="s">
        <v>12592</v>
      </c>
      <c r="F3953" s="1088">
        <v>1</v>
      </c>
      <c r="G3953" s="772"/>
      <c r="H3953" s="772"/>
      <c r="I3953" s="254" t="s">
        <v>8429</v>
      </c>
      <c r="J3953" s="585" t="s">
        <v>12588</v>
      </c>
      <c r="K3953" s="811">
        <v>41802</v>
      </c>
      <c r="L3953" s="585" t="s">
        <v>8892</v>
      </c>
      <c r="M3953" s="811">
        <v>41775</v>
      </c>
      <c r="N3953" s="386" t="s">
        <v>12406</v>
      </c>
      <c r="O3953" s="752">
        <v>1135650</v>
      </c>
      <c r="Q3953" s="772"/>
      <c r="R3953" s="323">
        <v>329</v>
      </c>
      <c r="S3953" s="464">
        <f>R3953*F3953</f>
        <v>329</v>
      </c>
      <c r="U3953" s="464">
        <v>8348</v>
      </c>
      <c r="V3953" s="318" t="s">
        <v>8443</v>
      </c>
      <c r="X3953" s="1094">
        <v>41774</v>
      </c>
      <c r="Z3953" s="1110">
        <v>8348</v>
      </c>
      <c r="AA3953" s="1084">
        <v>41823</v>
      </c>
      <c r="AB3953" s="386"/>
      <c r="AF3953" s="386"/>
    </row>
    <row r="3954" spans="1:32" ht="15.75" customHeight="1">
      <c r="A3954" s="1235">
        <v>41773</v>
      </c>
      <c r="B3954" s="592" t="s">
        <v>10673</v>
      </c>
      <c r="C3954" s="970" t="s">
        <v>12593</v>
      </c>
      <c r="D3954" s="386" t="s">
        <v>12594</v>
      </c>
      <c r="E3954" s="338" t="s">
        <v>11090</v>
      </c>
      <c r="F3954" s="1088">
        <v>20</v>
      </c>
      <c r="G3954" s="772"/>
      <c r="H3954" s="772"/>
      <c r="I3954" s="254" t="s">
        <v>12533</v>
      </c>
      <c r="J3954" s="585" t="s">
        <v>12398</v>
      </c>
      <c r="K3954" s="811">
        <v>41785</v>
      </c>
      <c r="L3954" s="585" t="s">
        <v>89</v>
      </c>
      <c r="M3954" s="386"/>
      <c r="N3954" s="386" t="s">
        <v>89</v>
      </c>
      <c r="O3954" s="752">
        <v>20140500123120</v>
      </c>
      <c r="Q3954" s="464">
        <v>1134</v>
      </c>
      <c r="R3954" s="323">
        <v>64.599999999999994</v>
      </c>
      <c r="S3954" s="464">
        <f>F3954*R3954</f>
        <v>1292</v>
      </c>
      <c r="U3954" s="772"/>
      <c r="V3954" s="386" t="s">
        <v>10751</v>
      </c>
      <c r="X3954" s="1084">
        <v>41785</v>
      </c>
      <c r="Z3954" s="1100">
        <v>34156</v>
      </c>
      <c r="AA3954" s="1094">
        <v>41785</v>
      </c>
      <c r="AB3954" s="386" t="s">
        <v>12595</v>
      </c>
      <c r="AF3954" s="386"/>
    </row>
    <row r="3955" spans="1:32" ht="15.75" customHeight="1">
      <c r="A3955" s="1235">
        <v>41773</v>
      </c>
      <c r="B3955" s="592" t="s">
        <v>12596</v>
      </c>
      <c r="C3955" s="970">
        <v>6972</v>
      </c>
      <c r="D3955" s="386" t="s">
        <v>12597</v>
      </c>
      <c r="E3955" s="338" t="s">
        <v>12598</v>
      </c>
      <c r="F3955" s="1088">
        <v>1</v>
      </c>
      <c r="G3955" s="772"/>
      <c r="H3955" s="772"/>
      <c r="I3955" s="254" t="s">
        <v>86</v>
      </c>
      <c r="J3955" s="254" t="s">
        <v>12599</v>
      </c>
      <c r="K3955" s="811">
        <v>41824</v>
      </c>
      <c r="L3955" s="585" t="s">
        <v>5882</v>
      </c>
      <c r="M3955" s="811">
        <v>41822</v>
      </c>
      <c r="N3955" s="386" t="s">
        <v>12414</v>
      </c>
      <c r="O3955" s="386"/>
      <c r="Q3955" s="772"/>
      <c r="R3955" s="323">
        <v>1188</v>
      </c>
      <c r="S3955" s="464">
        <v>1188</v>
      </c>
      <c r="U3955" s="323">
        <v>19429</v>
      </c>
      <c r="V3955" s="386" t="s">
        <v>10995</v>
      </c>
      <c r="X3955" s="1094">
        <v>41821</v>
      </c>
      <c r="Z3955" s="1110">
        <v>19429</v>
      </c>
      <c r="AA3955" s="1094">
        <v>41821</v>
      </c>
      <c r="AB3955" s="318" t="s">
        <v>12600</v>
      </c>
      <c r="AF3955" s="386"/>
    </row>
    <row r="3956" spans="1:32" ht="15.75" customHeight="1">
      <c r="A3956" s="1235">
        <v>41774</v>
      </c>
      <c r="B3956" s="592" t="s">
        <v>53</v>
      </c>
      <c r="C3956" s="386"/>
      <c r="D3956" s="386" t="s">
        <v>12601</v>
      </c>
      <c r="E3956" s="338" t="s">
        <v>12602</v>
      </c>
      <c r="F3956" s="1088">
        <v>50</v>
      </c>
      <c r="G3956" s="772"/>
      <c r="H3956" s="772"/>
      <c r="I3956" s="254" t="s">
        <v>8429</v>
      </c>
      <c r="J3956" s="585" t="s">
        <v>12398</v>
      </c>
      <c r="K3956" s="811">
        <v>41788</v>
      </c>
      <c r="L3956" s="585" t="s">
        <v>89</v>
      </c>
      <c r="M3956" s="386"/>
      <c r="N3956" s="386" t="s">
        <v>89</v>
      </c>
      <c r="O3956" s="752">
        <v>20140500123239</v>
      </c>
      <c r="Q3956" s="464">
        <v>6720</v>
      </c>
      <c r="R3956" s="323">
        <v>150.15</v>
      </c>
      <c r="S3956" s="464">
        <f>R3956*F3956</f>
        <v>7507.5</v>
      </c>
      <c r="U3956" s="772"/>
      <c r="V3956" s="386" t="s">
        <v>5896</v>
      </c>
      <c r="X3956" s="1084">
        <v>41788</v>
      </c>
      <c r="Z3956" s="1100">
        <v>202406</v>
      </c>
      <c r="AA3956" s="1094">
        <v>41788</v>
      </c>
      <c r="AB3956" s="386" t="s">
        <v>12603</v>
      </c>
      <c r="AF3956" s="386"/>
    </row>
    <row r="3957" spans="1:32" ht="15.75" customHeight="1">
      <c r="A3957" s="1235">
        <v>41775</v>
      </c>
      <c r="B3957" s="592" t="s">
        <v>629</v>
      </c>
      <c r="C3957" s="970" t="s">
        <v>12604</v>
      </c>
      <c r="D3957" s="386" t="s">
        <v>12605</v>
      </c>
      <c r="E3957" s="338" t="s">
        <v>12606</v>
      </c>
      <c r="F3957" s="1088">
        <v>1</v>
      </c>
      <c r="G3957" s="772"/>
      <c r="H3957" s="772"/>
      <c r="I3957" s="254" t="s">
        <v>12607</v>
      </c>
      <c r="J3957" s="585" t="s">
        <v>12398</v>
      </c>
      <c r="K3957" s="811">
        <v>41781</v>
      </c>
      <c r="L3957" s="585" t="s">
        <v>89</v>
      </c>
      <c r="M3957" s="386"/>
      <c r="N3957" s="386" t="s">
        <v>89</v>
      </c>
      <c r="O3957" s="752">
        <v>20140500123183</v>
      </c>
      <c r="Q3957" s="464">
        <v>119.7</v>
      </c>
      <c r="R3957" s="323">
        <f>130*1.05</f>
        <v>136.5</v>
      </c>
      <c r="S3957" s="464">
        <f t="shared" ref="S3957:S3962" si="249">F3957*R3957</f>
        <v>136.5</v>
      </c>
      <c r="U3957" s="772"/>
      <c r="V3957" s="386" t="s">
        <v>5896</v>
      </c>
      <c r="X3957" s="1084">
        <v>41781</v>
      </c>
      <c r="Z3957" s="1100">
        <v>3605</v>
      </c>
      <c r="AA3957" s="1094">
        <v>41788</v>
      </c>
      <c r="AB3957" s="386" t="s">
        <v>12608</v>
      </c>
      <c r="AF3957" s="386" t="s">
        <v>12609</v>
      </c>
    </row>
    <row r="3958" spans="1:32" ht="15.75" customHeight="1">
      <c r="A3958" s="1235">
        <v>41775</v>
      </c>
      <c r="B3958" s="592" t="s">
        <v>12394</v>
      </c>
      <c r="C3958" s="970" t="s">
        <v>12610</v>
      </c>
      <c r="D3958" s="386" t="s">
        <v>12611</v>
      </c>
      <c r="E3958" s="338" t="s">
        <v>12612</v>
      </c>
      <c r="F3958" s="1088">
        <v>7</v>
      </c>
      <c r="G3958" s="772"/>
      <c r="H3958" s="772"/>
      <c r="I3958" s="254" t="s">
        <v>12607</v>
      </c>
      <c r="J3958" s="585" t="s">
        <v>12398</v>
      </c>
      <c r="K3958" s="811">
        <v>41785</v>
      </c>
      <c r="L3958" s="585" t="s">
        <v>5882</v>
      </c>
      <c r="M3958" s="811">
        <v>41778</v>
      </c>
      <c r="N3958" s="386" t="s">
        <v>89</v>
      </c>
      <c r="O3958" s="1240">
        <v>20140500123012</v>
      </c>
      <c r="Q3958" s="1236">
        <v>9355.5</v>
      </c>
      <c r="R3958" s="323">
        <f t="shared" ref="R3958:R3959" si="250">897*1.05</f>
        <v>941.85</v>
      </c>
      <c r="S3958" s="464">
        <f t="shared" si="249"/>
        <v>6592.95</v>
      </c>
      <c r="U3958" s="772"/>
      <c r="V3958" s="1242" t="s">
        <v>5896</v>
      </c>
      <c r="X3958" s="1084">
        <v>41778</v>
      </c>
      <c r="Z3958" s="1100">
        <v>178873</v>
      </c>
      <c r="AA3958" s="1244">
        <v>41786</v>
      </c>
      <c r="AB3958" s="386" t="s">
        <v>12613</v>
      </c>
      <c r="AF3958" s="386"/>
    </row>
    <row r="3959" spans="1:32" ht="15.75" customHeight="1">
      <c r="A3959" s="1235">
        <v>41775</v>
      </c>
      <c r="B3959" s="592" t="s">
        <v>12394</v>
      </c>
      <c r="C3959" s="970" t="s">
        <v>12610</v>
      </c>
      <c r="D3959" s="386" t="s">
        <v>12611</v>
      </c>
      <c r="E3959" s="338" t="s">
        <v>12612</v>
      </c>
      <c r="F3959" s="1088">
        <v>4</v>
      </c>
      <c r="G3959" s="772"/>
      <c r="H3959" s="772"/>
      <c r="I3959" s="254" t="s">
        <v>12607</v>
      </c>
      <c r="J3959" s="585" t="s">
        <v>12398</v>
      </c>
      <c r="K3959" s="811">
        <v>41802</v>
      </c>
      <c r="L3959" s="585" t="s">
        <v>89</v>
      </c>
      <c r="M3959" s="386"/>
      <c r="N3959" s="386" t="s">
        <v>89</v>
      </c>
      <c r="O3959" s="752"/>
      <c r="Q3959" s="464"/>
      <c r="R3959" s="323">
        <f t="shared" si="250"/>
        <v>941.85</v>
      </c>
      <c r="S3959" s="464">
        <f t="shared" si="249"/>
        <v>3767.4</v>
      </c>
      <c r="U3959" s="772"/>
      <c r="V3959" s="386"/>
      <c r="X3959" s="1084">
        <v>41802</v>
      </c>
      <c r="Z3959" s="1100">
        <v>101992</v>
      </c>
      <c r="AA3959" s="1094"/>
      <c r="AB3959" s="386" t="s">
        <v>12614</v>
      </c>
      <c r="AF3959" s="386"/>
    </row>
    <row r="3960" spans="1:32" ht="15.75" customHeight="1">
      <c r="A3960" s="1235">
        <v>41779</v>
      </c>
      <c r="B3960" s="592" t="s">
        <v>11740</v>
      </c>
      <c r="C3960" s="386"/>
      <c r="D3960" s="386" t="s">
        <v>12615</v>
      </c>
      <c r="E3960" s="338" t="s">
        <v>12616</v>
      </c>
      <c r="F3960" s="1088">
        <v>1</v>
      </c>
      <c r="G3960" s="772"/>
      <c r="H3960" s="772"/>
      <c r="I3960" s="254" t="s">
        <v>11743</v>
      </c>
      <c r="J3960" s="585" t="s">
        <v>12617</v>
      </c>
      <c r="K3960" s="811">
        <v>41809</v>
      </c>
      <c r="L3960" s="585" t="s">
        <v>5882</v>
      </c>
      <c r="M3960" s="1099">
        <v>41699</v>
      </c>
      <c r="N3960" s="386" t="s">
        <v>12618</v>
      </c>
      <c r="O3960" s="386"/>
      <c r="Q3960" s="464">
        <v>110</v>
      </c>
      <c r="R3960" s="323">
        <v>135</v>
      </c>
      <c r="S3960" s="464">
        <f t="shared" si="249"/>
        <v>135</v>
      </c>
      <c r="U3960" s="772"/>
      <c r="V3960" s="386" t="s">
        <v>12619</v>
      </c>
      <c r="X3960" s="1088" t="s">
        <v>5529</v>
      </c>
      <c r="Z3960" s="1088" t="s">
        <v>5529</v>
      </c>
      <c r="AA3960" s="1094">
        <v>41699</v>
      </c>
      <c r="AB3960" s="1239" t="s">
        <v>12620</v>
      </c>
      <c r="AF3960" s="386"/>
    </row>
    <row r="3961" spans="1:32" ht="15.75" customHeight="1">
      <c r="A3961" s="1235">
        <v>41779</v>
      </c>
      <c r="B3961" s="592" t="s">
        <v>11740</v>
      </c>
      <c r="C3961" s="386"/>
      <c r="D3961" s="386" t="s">
        <v>12615</v>
      </c>
      <c r="E3961" s="338" t="s">
        <v>3697</v>
      </c>
      <c r="F3961" s="1088">
        <v>1</v>
      </c>
      <c r="G3961" s="772"/>
      <c r="H3961" s="772"/>
      <c r="I3961" s="254" t="s">
        <v>11743</v>
      </c>
      <c r="J3961" s="585" t="s">
        <v>12617</v>
      </c>
      <c r="K3961" s="811">
        <v>41809</v>
      </c>
      <c r="L3961" s="585" t="s">
        <v>5882</v>
      </c>
      <c r="M3961" s="1250">
        <v>41782</v>
      </c>
      <c r="N3961" s="1242" t="s">
        <v>12384</v>
      </c>
      <c r="O3961" s="386"/>
      <c r="Q3961" s="772"/>
      <c r="R3961" s="323">
        <v>46</v>
      </c>
      <c r="S3961" s="464">
        <f t="shared" si="249"/>
        <v>46</v>
      </c>
      <c r="U3961" s="1236">
        <v>2709</v>
      </c>
      <c r="V3961" s="1242" t="s">
        <v>12621</v>
      </c>
      <c r="X3961" s="1244">
        <v>41799</v>
      </c>
      <c r="Z3961" s="1245">
        <v>2709</v>
      </c>
      <c r="AA3961" s="1244">
        <v>41781</v>
      </c>
      <c r="AB3961" s="1239"/>
      <c r="AF3961" s="386"/>
    </row>
    <row r="3962" spans="1:32" ht="15.75" customHeight="1">
      <c r="A3962" s="1235">
        <v>41779</v>
      </c>
      <c r="B3962" s="592" t="s">
        <v>11740</v>
      </c>
      <c r="C3962" s="386"/>
      <c r="D3962" s="386" t="s">
        <v>12615</v>
      </c>
      <c r="E3962" s="338" t="s">
        <v>12622</v>
      </c>
      <c r="F3962" s="1088">
        <v>1</v>
      </c>
      <c r="G3962" s="772"/>
      <c r="H3962" s="772"/>
      <c r="I3962" s="254" t="s">
        <v>11743</v>
      </c>
      <c r="J3962" s="585" t="s">
        <v>12617</v>
      </c>
      <c r="K3962" s="811">
        <v>41809</v>
      </c>
      <c r="L3962" s="585" t="s">
        <v>5882</v>
      </c>
      <c r="M3962" s="1099"/>
      <c r="N3962" s="386"/>
      <c r="O3962" s="386"/>
      <c r="Q3962" s="772"/>
      <c r="R3962" s="323">
        <v>51</v>
      </c>
      <c r="S3962" s="464">
        <f t="shared" si="249"/>
        <v>51</v>
      </c>
      <c r="U3962" s="464"/>
      <c r="V3962" s="386"/>
      <c r="X3962" s="1094"/>
      <c r="Z3962" s="1110"/>
      <c r="AA3962" s="1094"/>
      <c r="AB3962" s="1239"/>
      <c r="AF3962" s="386"/>
    </row>
    <row r="3963" spans="1:32" ht="15.75" customHeight="1">
      <c r="A3963" s="1235">
        <v>41779</v>
      </c>
      <c r="B3963" s="592" t="s">
        <v>11740</v>
      </c>
      <c r="C3963" s="386"/>
      <c r="D3963" s="386" t="s">
        <v>12615</v>
      </c>
      <c r="E3963" s="338" t="s">
        <v>12623</v>
      </c>
      <c r="F3963" s="1088">
        <v>1</v>
      </c>
      <c r="G3963" s="772"/>
      <c r="H3963" s="772"/>
      <c r="I3963" s="254" t="s">
        <v>11743</v>
      </c>
      <c r="J3963" s="585" t="s">
        <v>12617</v>
      </c>
      <c r="K3963" s="811">
        <v>41809</v>
      </c>
      <c r="L3963" s="585" t="s">
        <v>5882</v>
      </c>
      <c r="M3963" s="1099">
        <v>41794</v>
      </c>
      <c r="N3963" s="386" t="s">
        <v>12624</v>
      </c>
      <c r="O3963" s="386"/>
      <c r="Q3963" s="772"/>
      <c r="R3963" s="323">
        <v>130</v>
      </c>
      <c r="S3963" s="464">
        <f t="shared" ref="S3963:S3991" si="251">R3963*F3963</f>
        <v>130</v>
      </c>
      <c r="U3963" s="464">
        <v>3612</v>
      </c>
      <c r="V3963" s="386" t="s">
        <v>12625</v>
      </c>
      <c r="X3963" s="1094">
        <v>41799</v>
      </c>
      <c r="Z3963" s="1110">
        <v>3612</v>
      </c>
      <c r="AA3963" s="1094">
        <v>41793</v>
      </c>
      <c r="AB3963" s="318"/>
      <c r="AF3963" s="386"/>
    </row>
    <row r="3964" spans="1:32" ht="15.75" customHeight="1">
      <c r="A3964" s="1235">
        <v>41781</v>
      </c>
      <c r="B3964" s="592" t="s">
        <v>3709</v>
      </c>
      <c r="C3964" s="386"/>
      <c r="D3964" s="386" t="s">
        <v>12626</v>
      </c>
      <c r="E3964" s="338" t="s">
        <v>3715</v>
      </c>
      <c r="F3964" s="1088">
        <v>20</v>
      </c>
      <c r="G3964" s="772"/>
      <c r="H3964" s="772"/>
      <c r="I3964" s="254" t="s">
        <v>3712</v>
      </c>
      <c r="J3964" s="386" t="s">
        <v>12562</v>
      </c>
      <c r="K3964" s="811">
        <v>41795</v>
      </c>
      <c r="L3964" s="585" t="s">
        <v>5882</v>
      </c>
      <c r="M3964" s="811">
        <v>41794</v>
      </c>
      <c r="N3964" s="386" t="s">
        <v>89</v>
      </c>
      <c r="O3964" s="752">
        <v>20140500124281</v>
      </c>
      <c r="Q3964" s="464">
        <v>2163</v>
      </c>
      <c r="R3964" s="323">
        <v>147</v>
      </c>
      <c r="S3964" s="464">
        <f t="shared" si="251"/>
        <v>2940</v>
      </c>
      <c r="U3964" s="772"/>
      <c r="V3964" s="386" t="s">
        <v>5896</v>
      </c>
      <c r="X3964" s="1094">
        <v>41794</v>
      </c>
      <c r="Z3964" s="1110">
        <v>65020</v>
      </c>
      <c r="AA3964" s="1094">
        <v>41788</v>
      </c>
      <c r="AB3964" s="318" t="s">
        <v>12627</v>
      </c>
      <c r="AF3964" s="386"/>
    </row>
    <row r="3965" spans="1:32" ht="15.75" customHeight="1">
      <c r="A3965" s="1235">
        <v>41781</v>
      </c>
      <c r="B3965" s="592" t="s">
        <v>8502</v>
      </c>
      <c r="C3965" s="970" t="s">
        <v>12628</v>
      </c>
      <c r="D3965" s="386" t="s">
        <v>12629</v>
      </c>
      <c r="E3965" s="338" t="s">
        <v>12630</v>
      </c>
      <c r="F3965" s="1088">
        <v>1</v>
      </c>
      <c r="G3965" s="772"/>
      <c r="H3965" s="772"/>
      <c r="I3965" s="254" t="s">
        <v>12631</v>
      </c>
      <c r="J3965" s="585" t="s">
        <v>12398</v>
      </c>
      <c r="K3965" s="811">
        <v>41788</v>
      </c>
      <c r="L3965" s="585" t="s">
        <v>89</v>
      </c>
      <c r="M3965" s="386"/>
      <c r="N3965" s="386" t="s">
        <v>89</v>
      </c>
      <c r="O3965" s="1240">
        <v>20140500123980</v>
      </c>
      <c r="Q3965" s="1236">
        <v>92.4</v>
      </c>
      <c r="R3965" s="323">
        <v>101.85</v>
      </c>
      <c r="S3965" s="464">
        <f t="shared" si="251"/>
        <v>101.85</v>
      </c>
      <c r="U3965" s="772"/>
      <c r="V3965" s="1242" t="s">
        <v>5896</v>
      </c>
      <c r="X3965" s="1237">
        <v>41788</v>
      </c>
      <c r="Z3965" s="1238">
        <v>2783</v>
      </c>
      <c r="AA3965" s="1244">
        <v>41782</v>
      </c>
      <c r="AB3965" s="1242" t="s">
        <v>12603</v>
      </c>
      <c r="AF3965" s="386"/>
    </row>
    <row r="3966" spans="1:32" ht="15.75" customHeight="1">
      <c r="A3966" s="1235">
        <v>41781</v>
      </c>
      <c r="B3966" s="592" t="s">
        <v>8502</v>
      </c>
      <c r="C3966" s="970" t="s">
        <v>12628</v>
      </c>
      <c r="D3966" s="386" t="s">
        <v>12629</v>
      </c>
      <c r="E3966" s="338" t="s">
        <v>12490</v>
      </c>
      <c r="F3966" s="1088">
        <v>1</v>
      </c>
      <c r="G3966" s="772"/>
      <c r="H3966" s="772"/>
      <c r="I3966" s="254" t="s">
        <v>12631</v>
      </c>
      <c r="J3966" s="585" t="s">
        <v>12398</v>
      </c>
      <c r="K3966" s="811">
        <v>41788</v>
      </c>
      <c r="L3966" s="585" t="s">
        <v>89</v>
      </c>
      <c r="M3966" s="386"/>
      <c r="N3966" s="386" t="s">
        <v>89</v>
      </c>
      <c r="O3966" s="752"/>
      <c r="Q3966" s="464"/>
      <c r="R3966" s="323">
        <v>3.8849999999999998</v>
      </c>
      <c r="S3966" s="464">
        <f t="shared" si="251"/>
        <v>3.8849999999999998</v>
      </c>
      <c r="U3966" s="772"/>
      <c r="V3966" s="386"/>
      <c r="X3966" s="1084"/>
      <c r="Z3966" s="1100"/>
      <c r="AA3966" s="1094"/>
      <c r="AB3966" s="386"/>
      <c r="AF3966" s="386"/>
    </row>
    <row r="3967" spans="1:32" ht="15.75" customHeight="1">
      <c r="A3967" s="1235">
        <v>41786</v>
      </c>
      <c r="B3967" s="592" t="s">
        <v>10673</v>
      </c>
      <c r="C3967" s="970" t="s">
        <v>12632</v>
      </c>
      <c r="D3967" s="386" t="s">
        <v>12633</v>
      </c>
      <c r="E3967" s="338" t="s">
        <v>12634</v>
      </c>
      <c r="F3967" s="1088">
        <v>30</v>
      </c>
      <c r="G3967" s="772"/>
      <c r="H3967" s="772"/>
      <c r="I3967" s="254" t="s">
        <v>10831</v>
      </c>
      <c r="J3967" s="585" t="s">
        <v>12398</v>
      </c>
      <c r="K3967" s="811">
        <v>41793</v>
      </c>
      <c r="L3967" s="585" t="s">
        <v>89</v>
      </c>
      <c r="M3967" s="386"/>
      <c r="N3967" s="386" t="s">
        <v>89</v>
      </c>
      <c r="O3967" s="752">
        <v>20140500124389</v>
      </c>
      <c r="Q3967" s="464">
        <v>1701</v>
      </c>
      <c r="R3967" s="323">
        <v>64.575000000000003</v>
      </c>
      <c r="S3967" s="464">
        <f t="shared" si="251"/>
        <v>1937.25</v>
      </c>
      <c r="U3967" s="772"/>
      <c r="V3967" s="386" t="s">
        <v>5896</v>
      </c>
      <c r="X3967" s="1084">
        <v>41793</v>
      </c>
      <c r="Z3967" s="1100">
        <v>51132</v>
      </c>
      <c r="AA3967" s="1094">
        <v>41823</v>
      </c>
      <c r="AB3967" s="318" t="s">
        <v>12635</v>
      </c>
      <c r="AF3967" s="386"/>
    </row>
    <row r="3968" spans="1:32" ht="15.75" customHeight="1">
      <c r="A3968" s="1235">
        <v>41787</v>
      </c>
      <c r="B3968" s="592" t="s">
        <v>3709</v>
      </c>
      <c r="C3968" s="970" t="s">
        <v>12636</v>
      </c>
      <c r="D3968" s="386" t="s">
        <v>12637</v>
      </c>
      <c r="E3968" s="338" t="s">
        <v>11803</v>
      </c>
      <c r="F3968" s="1088">
        <v>15</v>
      </c>
      <c r="G3968" s="772"/>
      <c r="H3968" s="772"/>
      <c r="I3968" s="254" t="s">
        <v>3712</v>
      </c>
      <c r="J3968" s="386" t="s">
        <v>12562</v>
      </c>
      <c r="K3968" s="811">
        <v>41806</v>
      </c>
      <c r="L3968" s="585" t="s">
        <v>5882</v>
      </c>
      <c r="M3968" s="811">
        <v>41803</v>
      </c>
      <c r="N3968" s="386" t="s">
        <v>89</v>
      </c>
      <c r="O3968" s="1240">
        <v>20140600125122</v>
      </c>
      <c r="Q3968" s="1236">
        <v>2714.25</v>
      </c>
      <c r="R3968" s="323">
        <v>97</v>
      </c>
      <c r="S3968" s="464">
        <f t="shared" si="251"/>
        <v>1455</v>
      </c>
      <c r="U3968" s="772"/>
      <c r="V3968" s="1242" t="s">
        <v>10751</v>
      </c>
      <c r="X3968" s="1244">
        <v>41803</v>
      </c>
      <c r="Z3968" s="1245">
        <v>81373</v>
      </c>
      <c r="AA3968" s="1094">
        <v>41810</v>
      </c>
      <c r="AB3968" s="1239" t="s">
        <v>12638</v>
      </c>
      <c r="AF3968" s="386"/>
    </row>
    <row r="3969" spans="1:32" ht="15.75" customHeight="1">
      <c r="A3969" s="1235">
        <v>41787</v>
      </c>
      <c r="B3969" s="592" t="s">
        <v>3709</v>
      </c>
      <c r="C3969" s="970" t="s">
        <v>12636</v>
      </c>
      <c r="D3969" s="386" t="s">
        <v>12637</v>
      </c>
      <c r="E3969" s="338" t="s">
        <v>12639</v>
      </c>
      <c r="F3969" s="1088">
        <v>4</v>
      </c>
      <c r="G3969" s="772"/>
      <c r="H3969" s="772"/>
      <c r="I3969" s="254" t="s">
        <v>3712</v>
      </c>
      <c r="J3969" s="386" t="s">
        <v>12562</v>
      </c>
      <c r="K3969" s="811">
        <v>41806</v>
      </c>
      <c r="L3969" s="585" t="s">
        <v>5882</v>
      </c>
      <c r="M3969" s="811">
        <v>41803</v>
      </c>
      <c r="N3969" s="386" t="s">
        <v>89</v>
      </c>
      <c r="O3969" s="1240"/>
      <c r="Q3969" s="1236"/>
      <c r="R3969" s="323">
        <v>362</v>
      </c>
      <c r="S3969" s="464">
        <f t="shared" si="251"/>
        <v>1448</v>
      </c>
      <c r="U3969" s="772"/>
      <c r="V3969" s="1242"/>
      <c r="X3969" s="1244"/>
      <c r="Z3969" s="1245"/>
      <c r="AA3969" s="1094">
        <v>41810</v>
      </c>
      <c r="AB3969" s="1239"/>
      <c r="AF3969" s="386"/>
    </row>
    <row r="3970" spans="1:32" ht="15.75" customHeight="1">
      <c r="A3970" s="1235">
        <v>41787</v>
      </c>
      <c r="B3970" s="592" t="s">
        <v>3709</v>
      </c>
      <c r="C3970" s="970" t="s">
        <v>12636</v>
      </c>
      <c r="D3970" s="386" t="s">
        <v>12637</v>
      </c>
      <c r="E3970" s="338" t="s">
        <v>4616</v>
      </c>
      <c r="F3970" s="1088">
        <v>1</v>
      </c>
      <c r="G3970" s="772"/>
      <c r="H3970" s="772"/>
      <c r="I3970" s="254" t="s">
        <v>3712</v>
      </c>
      <c r="J3970" s="386" t="s">
        <v>12562</v>
      </c>
      <c r="K3970" s="811">
        <v>41806</v>
      </c>
      <c r="L3970" s="585" t="s">
        <v>5882</v>
      </c>
      <c r="M3970" s="811">
        <v>41803</v>
      </c>
      <c r="N3970" s="386" t="s">
        <v>89</v>
      </c>
      <c r="O3970" s="752"/>
      <c r="Q3970" s="464"/>
      <c r="R3970" s="323">
        <v>93</v>
      </c>
      <c r="S3970" s="464">
        <f t="shared" si="251"/>
        <v>93</v>
      </c>
      <c r="U3970" s="772"/>
      <c r="V3970" s="386"/>
      <c r="X3970" s="1094"/>
      <c r="Z3970" s="1110"/>
      <c r="AA3970" s="1094">
        <v>41810</v>
      </c>
      <c r="AB3970" s="318"/>
      <c r="AF3970" s="386"/>
    </row>
    <row r="3971" spans="1:32" ht="15.75" customHeight="1">
      <c r="A3971" s="1235">
        <v>41788</v>
      </c>
      <c r="B3971" s="592" t="s">
        <v>12394</v>
      </c>
      <c r="C3971" s="970" t="s">
        <v>12640</v>
      </c>
      <c r="D3971" s="386" t="s">
        <v>12641</v>
      </c>
      <c r="E3971" s="338" t="s">
        <v>12642</v>
      </c>
      <c r="F3971" s="1088">
        <v>10</v>
      </c>
      <c r="G3971" s="772"/>
      <c r="H3971" s="772"/>
      <c r="I3971" s="254" t="s">
        <v>11743</v>
      </c>
      <c r="J3971" s="585" t="s">
        <v>12398</v>
      </c>
      <c r="K3971" s="811">
        <v>41802</v>
      </c>
      <c r="L3971" s="585" t="s">
        <v>89</v>
      </c>
      <c r="M3971" s="386"/>
      <c r="N3971" s="386" t="s">
        <v>89</v>
      </c>
      <c r="O3971" s="752">
        <v>20140500123979</v>
      </c>
      <c r="Q3971" s="464">
        <v>955.5</v>
      </c>
      <c r="R3971" s="323">
        <f>100*1.05</f>
        <v>105</v>
      </c>
      <c r="S3971" s="464">
        <f t="shared" si="251"/>
        <v>1050</v>
      </c>
      <c r="U3971" s="772"/>
      <c r="V3971" s="386" t="s">
        <v>5896</v>
      </c>
      <c r="X3971" s="1084">
        <v>41802</v>
      </c>
      <c r="Z3971" s="1100">
        <v>28646</v>
      </c>
      <c r="AA3971" s="1094">
        <v>41810</v>
      </c>
      <c r="AB3971" s="386" t="s">
        <v>12614</v>
      </c>
      <c r="AF3971" s="386"/>
    </row>
    <row r="3972" spans="1:32" ht="15.75" customHeight="1">
      <c r="A3972" s="1235">
        <v>41799</v>
      </c>
      <c r="B3972" s="592" t="s">
        <v>8502</v>
      </c>
      <c r="C3972" s="386"/>
      <c r="D3972" s="386" t="s">
        <v>12643</v>
      </c>
      <c r="E3972" s="338" t="s">
        <v>4404</v>
      </c>
      <c r="F3972" s="1088">
        <v>1</v>
      </c>
      <c r="G3972" s="772"/>
      <c r="H3972" s="772"/>
      <c r="I3972" s="254" t="s">
        <v>10831</v>
      </c>
      <c r="J3972" s="585" t="s">
        <v>12398</v>
      </c>
      <c r="K3972" s="811">
        <v>41806</v>
      </c>
      <c r="L3972" s="585" t="s">
        <v>89</v>
      </c>
      <c r="M3972" s="386"/>
      <c r="N3972" s="386" t="s">
        <v>89</v>
      </c>
      <c r="O3972" s="752">
        <v>20140600125562</v>
      </c>
      <c r="Q3972" s="464">
        <v>60.9</v>
      </c>
      <c r="R3972" s="464">
        <v>69.3</v>
      </c>
      <c r="S3972" s="464">
        <f t="shared" si="251"/>
        <v>69.3</v>
      </c>
      <c r="U3972" s="772"/>
      <c r="V3972" s="386" t="s">
        <v>5896</v>
      </c>
      <c r="X3972" s="1084">
        <v>41806</v>
      </c>
      <c r="Z3972" s="1100">
        <v>1826</v>
      </c>
      <c r="AA3972" s="1094">
        <v>41810</v>
      </c>
      <c r="AB3972" s="386" t="s">
        <v>12644</v>
      </c>
      <c r="AF3972" s="386"/>
    </row>
    <row r="3973" spans="1:32" ht="15.75" customHeight="1">
      <c r="A3973" s="1235">
        <v>41800</v>
      </c>
      <c r="B3973" s="592" t="s">
        <v>10783</v>
      </c>
      <c r="C3973" s="386"/>
      <c r="D3973" s="386" t="s">
        <v>12645</v>
      </c>
      <c r="E3973" s="338" t="s">
        <v>10958</v>
      </c>
      <c r="F3973" s="1088">
        <v>5</v>
      </c>
      <c r="G3973" s="772"/>
      <c r="H3973" s="772"/>
      <c r="I3973" s="254" t="s">
        <v>3712</v>
      </c>
      <c r="J3973" s="585" t="s">
        <v>12646</v>
      </c>
      <c r="K3973" s="811">
        <v>41811</v>
      </c>
      <c r="L3973" s="585" t="s">
        <v>5882</v>
      </c>
      <c r="M3973" s="811">
        <v>41810</v>
      </c>
      <c r="N3973" s="386" t="s">
        <v>89</v>
      </c>
      <c r="O3973" s="752">
        <v>20140600125566</v>
      </c>
      <c r="Q3973" s="464">
        <v>682.5</v>
      </c>
      <c r="R3973" s="323">
        <v>149</v>
      </c>
      <c r="S3973" s="464">
        <f t="shared" si="251"/>
        <v>745</v>
      </c>
      <c r="U3973" s="772"/>
      <c r="V3973" s="386" t="s">
        <v>5896</v>
      </c>
      <c r="X3973" s="1094">
        <v>41810</v>
      </c>
      <c r="Z3973" s="1110">
        <v>20461</v>
      </c>
      <c r="AA3973" s="1094">
        <v>41810</v>
      </c>
      <c r="AB3973" s="318" t="s">
        <v>12647</v>
      </c>
      <c r="AF3973" s="386"/>
    </row>
    <row r="3974" spans="1:32" ht="15.75" customHeight="1">
      <c r="A3974" s="1235">
        <v>41800</v>
      </c>
      <c r="B3974" s="592" t="s">
        <v>10673</v>
      </c>
      <c r="C3974" s="386"/>
      <c r="D3974" s="386" t="s">
        <v>12648</v>
      </c>
      <c r="E3974" s="338" t="s">
        <v>12649</v>
      </c>
      <c r="F3974" s="1088">
        <v>1</v>
      </c>
      <c r="G3974" s="772"/>
      <c r="H3974" s="772"/>
      <c r="I3974" s="254" t="s">
        <v>10831</v>
      </c>
      <c r="J3974" s="585" t="s">
        <v>11420</v>
      </c>
      <c r="K3974" s="811">
        <v>41802</v>
      </c>
      <c r="L3974" s="585" t="s">
        <v>11420</v>
      </c>
      <c r="M3974" s="811">
        <v>41802</v>
      </c>
      <c r="N3974" s="386" t="s">
        <v>10778</v>
      </c>
      <c r="O3974" s="752" t="s">
        <v>12650</v>
      </c>
      <c r="Q3974" s="772"/>
      <c r="R3974" s="323">
        <v>105.6</v>
      </c>
      <c r="S3974" s="464">
        <f t="shared" si="251"/>
        <v>105.6</v>
      </c>
      <c r="U3974" s="464">
        <v>2894</v>
      </c>
      <c r="V3974" s="318" t="s">
        <v>8443</v>
      </c>
      <c r="X3974" s="1094">
        <v>41801</v>
      </c>
      <c r="Z3974" s="1110">
        <v>2894</v>
      </c>
      <c r="AA3974" s="1084">
        <v>41823</v>
      </c>
      <c r="AB3974" s="386" t="s">
        <v>12591</v>
      </c>
      <c r="AF3974" s="386"/>
    </row>
    <row r="3975" spans="1:32" ht="15.75" customHeight="1">
      <c r="A3975" s="1235">
        <v>41802</v>
      </c>
      <c r="B3975" s="592" t="s">
        <v>10673</v>
      </c>
      <c r="C3975" s="970" t="s">
        <v>12651</v>
      </c>
      <c r="D3975" s="386" t="s">
        <v>12652</v>
      </c>
      <c r="E3975" s="338" t="s">
        <v>11090</v>
      </c>
      <c r="F3975" s="1088">
        <v>40</v>
      </c>
      <c r="G3975" s="772"/>
      <c r="H3975" s="772"/>
      <c r="I3975" s="254" t="s">
        <v>10831</v>
      </c>
      <c r="J3975" s="585" t="s">
        <v>12398</v>
      </c>
      <c r="K3975" s="811">
        <v>41809</v>
      </c>
      <c r="L3975" s="585" t="s">
        <v>89</v>
      </c>
      <c r="M3975" s="386"/>
      <c r="N3975" s="386" t="s">
        <v>89</v>
      </c>
      <c r="O3975" s="752">
        <v>20140600125777</v>
      </c>
      <c r="Q3975" s="464">
        <v>2268</v>
      </c>
      <c r="R3975" s="323">
        <v>64.05</v>
      </c>
      <c r="S3975" s="323">
        <f t="shared" si="251"/>
        <v>2562</v>
      </c>
      <c r="U3975" s="772"/>
      <c r="V3975" s="386" t="s">
        <v>5896</v>
      </c>
      <c r="X3975" s="1084">
        <v>41809</v>
      </c>
      <c r="Z3975" s="1100">
        <v>67995</v>
      </c>
      <c r="AA3975" s="1094">
        <v>41810</v>
      </c>
      <c r="AB3975" s="386" t="s">
        <v>12653</v>
      </c>
      <c r="AF3975" s="386"/>
    </row>
    <row r="3976" spans="1:32" ht="15.75" customHeight="1">
      <c r="A3976" s="1235">
        <v>41803</v>
      </c>
      <c r="B3976" s="592" t="s">
        <v>629</v>
      </c>
      <c r="C3976" s="970" t="s">
        <v>12654</v>
      </c>
      <c r="D3976" s="386" t="s">
        <v>12655</v>
      </c>
      <c r="E3976" s="338" t="s">
        <v>12656</v>
      </c>
      <c r="F3976" s="1088">
        <v>30</v>
      </c>
      <c r="G3976" s="772"/>
      <c r="H3976" s="772"/>
      <c r="I3976" s="254" t="s">
        <v>11743</v>
      </c>
      <c r="J3976" s="585" t="s">
        <v>12398</v>
      </c>
      <c r="K3976" s="811">
        <v>41830</v>
      </c>
      <c r="L3976" s="585" t="s">
        <v>89</v>
      </c>
      <c r="M3976" s="386"/>
      <c r="N3976" s="386" t="s">
        <v>89</v>
      </c>
      <c r="O3976" s="1240">
        <v>20140600125914</v>
      </c>
      <c r="Q3976" s="1236">
        <v>5748.75</v>
      </c>
      <c r="R3976" s="323">
        <f t="shared" ref="R3976:R3977" si="252">84*1.05</f>
        <v>88.2</v>
      </c>
      <c r="S3976" s="464">
        <f t="shared" si="251"/>
        <v>2646</v>
      </c>
      <c r="U3976" s="772"/>
      <c r="V3976" s="386" t="s">
        <v>5896</v>
      </c>
      <c r="X3976" s="1084">
        <v>41835</v>
      </c>
      <c r="Z3976" s="1100">
        <v>68583</v>
      </c>
      <c r="AA3976" s="1088">
        <v>20140715</v>
      </c>
      <c r="AB3976" s="386" t="s">
        <v>12657</v>
      </c>
      <c r="AF3976" s="386" t="s">
        <v>12658</v>
      </c>
    </row>
    <row r="3977" spans="1:32" ht="15.75" customHeight="1">
      <c r="A3977" s="1235">
        <v>41803</v>
      </c>
      <c r="B3977" s="592" t="s">
        <v>629</v>
      </c>
      <c r="C3977" s="970" t="s">
        <v>12654</v>
      </c>
      <c r="D3977" s="386" t="s">
        <v>12655</v>
      </c>
      <c r="E3977" s="338" t="s">
        <v>12656</v>
      </c>
      <c r="F3977" s="1088">
        <v>45</v>
      </c>
      <c r="G3977" s="772"/>
      <c r="H3977" s="772"/>
      <c r="I3977" s="254" t="s">
        <v>11743</v>
      </c>
      <c r="J3977" s="585" t="s">
        <v>12398</v>
      </c>
      <c r="K3977" s="811">
        <v>41844</v>
      </c>
      <c r="L3977" s="585" t="s">
        <v>89</v>
      </c>
      <c r="M3977" s="386"/>
      <c r="N3977" s="386" t="s">
        <v>89</v>
      </c>
      <c r="O3977" s="752"/>
      <c r="Q3977" s="464"/>
      <c r="R3977" s="323">
        <f t="shared" si="252"/>
        <v>88.2</v>
      </c>
      <c r="S3977" s="464">
        <f t="shared" si="251"/>
        <v>3969</v>
      </c>
      <c r="U3977" s="772"/>
      <c r="V3977" s="386" t="s">
        <v>5896</v>
      </c>
      <c r="X3977" s="1084">
        <v>41844</v>
      </c>
      <c r="Z3977" s="1100">
        <v>103253</v>
      </c>
      <c r="AA3977" s="1088">
        <v>20140715</v>
      </c>
      <c r="AB3977" s="386" t="s">
        <v>12659</v>
      </c>
      <c r="AF3977" s="386" t="s">
        <v>12660</v>
      </c>
    </row>
    <row r="3978" spans="1:32" ht="15.75" customHeight="1">
      <c r="A3978" s="1235">
        <v>41803</v>
      </c>
      <c r="B3978" s="592" t="s">
        <v>629</v>
      </c>
      <c r="C3978" s="970" t="s">
        <v>12654</v>
      </c>
      <c r="D3978" s="386" t="s">
        <v>12655</v>
      </c>
      <c r="E3978" s="338" t="s">
        <v>12087</v>
      </c>
      <c r="F3978" s="1088">
        <v>30</v>
      </c>
      <c r="G3978" s="772"/>
      <c r="H3978" s="772"/>
      <c r="I3978" s="254" t="s">
        <v>11743</v>
      </c>
      <c r="J3978" s="585" t="s">
        <v>12463</v>
      </c>
      <c r="K3978" s="811">
        <v>41830</v>
      </c>
      <c r="L3978" s="585" t="s">
        <v>12661</v>
      </c>
      <c r="M3978" s="811">
        <v>41816</v>
      </c>
      <c r="N3978" s="386" t="s">
        <v>302</v>
      </c>
      <c r="O3978" s="752" t="s">
        <v>12662</v>
      </c>
      <c r="Q3978" s="772"/>
      <c r="R3978" s="323">
        <f t="shared" ref="R3978:R3979" si="253">10*1.05</f>
        <v>10.5</v>
      </c>
      <c r="S3978" s="464">
        <f t="shared" si="251"/>
        <v>315</v>
      </c>
      <c r="U3978" s="464">
        <v>5670</v>
      </c>
      <c r="V3978" s="386" t="s">
        <v>12663</v>
      </c>
      <c r="X3978" s="1244">
        <v>41821</v>
      </c>
      <c r="Z3978" s="1245">
        <v>14175</v>
      </c>
      <c r="AA3978" s="1094">
        <v>41862</v>
      </c>
      <c r="AB3978" s="386" t="s">
        <v>12657</v>
      </c>
      <c r="AF3978" s="386" t="s">
        <v>12658</v>
      </c>
    </row>
    <row r="3979" spans="1:32" ht="15.75" customHeight="1">
      <c r="A3979" s="1235">
        <v>41803</v>
      </c>
      <c r="B3979" s="592" t="s">
        <v>629</v>
      </c>
      <c r="C3979" s="970" t="s">
        <v>12654</v>
      </c>
      <c r="D3979" s="386" t="s">
        <v>12655</v>
      </c>
      <c r="E3979" s="338" t="s">
        <v>12087</v>
      </c>
      <c r="F3979" s="1088">
        <v>45</v>
      </c>
      <c r="G3979" s="772"/>
      <c r="H3979" s="772"/>
      <c r="I3979" s="254" t="s">
        <v>11743</v>
      </c>
      <c r="J3979" s="585" t="s">
        <v>12463</v>
      </c>
      <c r="K3979" s="811">
        <v>41844</v>
      </c>
      <c r="L3979" s="585" t="s">
        <v>12661</v>
      </c>
      <c r="M3979" s="811">
        <v>41816</v>
      </c>
      <c r="N3979" s="386" t="s">
        <v>302</v>
      </c>
      <c r="O3979" s="752" t="s">
        <v>12662</v>
      </c>
      <c r="Q3979" s="772"/>
      <c r="R3979" s="323">
        <f t="shared" si="253"/>
        <v>10.5</v>
      </c>
      <c r="S3979" s="464">
        <f t="shared" si="251"/>
        <v>472.5</v>
      </c>
      <c r="U3979" s="464">
        <v>8505</v>
      </c>
      <c r="V3979" s="386" t="s">
        <v>12663</v>
      </c>
      <c r="X3979" s="1094"/>
      <c r="Z3979" s="1110"/>
      <c r="AA3979" s="1094">
        <v>41862</v>
      </c>
      <c r="AB3979" s="386" t="s">
        <v>12659</v>
      </c>
      <c r="AF3979" s="386" t="s">
        <v>12660</v>
      </c>
    </row>
    <row r="3980" spans="1:32" ht="15.75" customHeight="1">
      <c r="A3980" s="1235">
        <v>41807</v>
      </c>
      <c r="B3980" s="592" t="s">
        <v>12394</v>
      </c>
      <c r="C3980" s="970" t="s">
        <v>12664</v>
      </c>
      <c r="D3980" s="386" t="s">
        <v>12665</v>
      </c>
      <c r="E3980" s="338" t="s">
        <v>12666</v>
      </c>
      <c r="F3980" s="1088">
        <v>20</v>
      </c>
      <c r="G3980" s="772"/>
      <c r="H3980" s="772"/>
      <c r="I3980" s="254" t="s">
        <v>11743</v>
      </c>
      <c r="J3980" s="585" t="s">
        <v>12398</v>
      </c>
      <c r="K3980" s="811">
        <v>41841</v>
      </c>
      <c r="L3980" s="585" t="s">
        <v>89</v>
      </c>
      <c r="M3980" s="386"/>
      <c r="N3980" s="386" t="s">
        <v>89</v>
      </c>
      <c r="O3980" s="752">
        <v>20140600125821</v>
      </c>
      <c r="Q3980" s="1236">
        <v>4300.8</v>
      </c>
      <c r="R3980" s="1251">
        <f>144*1.05</f>
        <v>151.20000000000002</v>
      </c>
      <c r="S3980" s="1252">
        <f t="shared" si="251"/>
        <v>3024.0000000000005</v>
      </c>
      <c r="U3980" s="772"/>
      <c r="V3980" s="1242" t="s">
        <v>5896</v>
      </c>
      <c r="X3980" s="1084">
        <v>41841</v>
      </c>
      <c r="Z3980" s="1100">
        <v>86752</v>
      </c>
      <c r="AA3980" s="1094">
        <v>41858</v>
      </c>
      <c r="AB3980" s="386" t="s">
        <v>12667</v>
      </c>
      <c r="AF3980" s="386" t="s">
        <v>12668</v>
      </c>
    </row>
    <row r="3981" spans="1:32" ht="15.75" customHeight="1">
      <c r="A3981" s="1235">
        <v>41807</v>
      </c>
      <c r="B3981" s="592" t="s">
        <v>12394</v>
      </c>
      <c r="C3981" s="970" t="s">
        <v>12664</v>
      </c>
      <c r="D3981" s="386" t="s">
        <v>12665</v>
      </c>
      <c r="E3981" s="338" t="s">
        <v>12669</v>
      </c>
      <c r="F3981" s="1088">
        <v>2</v>
      </c>
      <c r="G3981" s="772"/>
      <c r="H3981" s="772"/>
      <c r="I3981" s="254" t="s">
        <v>11743</v>
      </c>
      <c r="J3981" s="585" t="s">
        <v>12398</v>
      </c>
      <c r="K3981" s="811">
        <v>41820</v>
      </c>
      <c r="L3981" s="585" t="s">
        <v>89</v>
      </c>
      <c r="M3981" s="386"/>
      <c r="N3981" s="386" t="s">
        <v>89</v>
      </c>
      <c r="O3981" s="752">
        <v>20140600125821</v>
      </c>
      <c r="Q3981" s="1236"/>
      <c r="R3981" s="323">
        <f>253*1.05</f>
        <v>265.65000000000003</v>
      </c>
      <c r="S3981" s="464">
        <f t="shared" si="251"/>
        <v>531.30000000000007</v>
      </c>
      <c r="U3981" s="772"/>
      <c r="V3981" s="1242"/>
      <c r="X3981" s="1237">
        <v>41820</v>
      </c>
      <c r="Z3981" s="1238">
        <v>42007</v>
      </c>
      <c r="AA3981" s="1094">
        <v>41858</v>
      </c>
      <c r="AB3981" s="1242" t="s">
        <v>12670</v>
      </c>
      <c r="AF3981" s="1242" t="s">
        <v>12671</v>
      </c>
    </row>
    <row r="3982" spans="1:32" ht="15.75" customHeight="1">
      <c r="A3982" s="1235">
        <v>41807</v>
      </c>
      <c r="B3982" s="592" t="s">
        <v>12394</v>
      </c>
      <c r="C3982" s="970" t="s">
        <v>12672</v>
      </c>
      <c r="D3982" s="386" t="s">
        <v>12673</v>
      </c>
      <c r="E3982" s="338" t="s">
        <v>12674</v>
      </c>
      <c r="F3982" s="1088">
        <v>1</v>
      </c>
      <c r="G3982" s="772"/>
      <c r="H3982" s="772"/>
      <c r="I3982" s="254" t="s">
        <v>11743</v>
      </c>
      <c r="J3982" s="585" t="s">
        <v>12398</v>
      </c>
      <c r="K3982" s="811">
        <v>41820</v>
      </c>
      <c r="L3982" s="585" t="s">
        <v>89</v>
      </c>
      <c r="M3982" s="386"/>
      <c r="N3982" s="386" t="s">
        <v>89</v>
      </c>
      <c r="O3982" s="752">
        <v>20140600125821</v>
      </c>
      <c r="Q3982" s="464"/>
      <c r="R3982" s="323">
        <f>998*1.05</f>
        <v>1047.9000000000001</v>
      </c>
      <c r="S3982" s="464">
        <f t="shared" si="251"/>
        <v>1047.9000000000001</v>
      </c>
      <c r="U3982" s="772"/>
      <c r="V3982" s="386"/>
      <c r="X3982" s="1084"/>
      <c r="Z3982" s="1100"/>
      <c r="AA3982" s="1094">
        <v>41858</v>
      </c>
      <c r="AB3982" s="386"/>
      <c r="AF3982" s="386"/>
    </row>
    <row r="3983" spans="1:32" ht="15.75" customHeight="1">
      <c r="A3983" s="1235">
        <v>41807</v>
      </c>
      <c r="B3983" s="592" t="s">
        <v>10673</v>
      </c>
      <c r="C3983" s="970" t="s">
        <v>12675</v>
      </c>
      <c r="D3983" s="386" t="s">
        <v>12676</v>
      </c>
      <c r="E3983" s="338" t="s">
        <v>11090</v>
      </c>
      <c r="F3983" s="1088">
        <v>20</v>
      </c>
      <c r="G3983" s="772"/>
      <c r="H3983" s="772"/>
      <c r="I3983" s="254" t="s">
        <v>10831</v>
      </c>
      <c r="J3983" s="585" t="s">
        <v>12398</v>
      </c>
      <c r="K3983" s="811">
        <v>41809</v>
      </c>
      <c r="L3983" s="585" t="s">
        <v>89</v>
      </c>
      <c r="M3983" s="386"/>
      <c r="N3983" s="386" t="s">
        <v>89</v>
      </c>
      <c r="O3983" s="752" t="s">
        <v>12677</v>
      </c>
      <c r="Q3983" s="464">
        <v>1134</v>
      </c>
      <c r="R3983" s="323">
        <v>64.05</v>
      </c>
      <c r="S3983" s="464">
        <f t="shared" si="251"/>
        <v>1281</v>
      </c>
      <c r="U3983" s="772"/>
      <c r="V3983" s="386" t="s">
        <v>5896</v>
      </c>
      <c r="X3983" s="1084">
        <v>41809</v>
      </c>
      <c r="Z3983" s="1100">
        <v>33997</v>
      </c>
      <c r="AA3983" s="1088">
        <v>20140715</v>
      </c>
      <c r="AB3983" s="386" t="s">
        <v>12653</v>
      </c>
      <c r="AF3983" s="386"/>
    </row>
    <row r="3984" spans="1:32" ht="15.75" customHeight="1">
      <c r="A3984" s="1235">
        <v>41807</v>
      </c>
      <c r="B3984" s="592" t="s">
        <v>10673</v>
      </c>
      <c r="C3984" s="970" t="s">
        <v>12678</v>
      </c>
      <c r="D3984" s="386" t="s">
        <v>12679</v>
      </c>
      <c r="E3984" s="338" t="s">
        <v>3515</v>
      </c>
      <c r="F3984" s="1088">
        <v>5</v>
      </c>
      <c r="G3984" s="772"/>
      <c r="H3984" s="772"/>
      <c r="I3984" s="254" t="s">
        <v>10831</v>
      </c>
      <c r="J3984" s="585" t="s">
        <v>11420</v>
      </c>
      <c r="K3984" s="811">
        <v>41810</v>
      </c>
      <c r="L3984" s="585" t="s">
        <v>12661</v>
      </c>
      <c r="M3984" s="811">
        <v>41808</v>
      </c>
      <c r="N3984" s="386" t="s">
        <v>10778</v>
      </c>
      <c r="O3984" s="752" t="s">
        <v>12680</v>
      </c>
      <c r="Q3984" s="772"/>
      <c r="R3984" s="323">
        <v>45</v>
      </c>
      <c r="S3984" s="464">
        <f t="shared" si="251"/>
        <v>225</v>
      </c>
      <c r="U3984" s="464">
        <v>6489</v>
      </c>
      <c r="V3984" s="318" t="s">
        <v>8443</v>
      </c>
      <c r="X3984" s="1094">
        <v>41807</v>
      </c>
      <c r="Z3984" s="1110">
        <v>6489</v>
      </c>
      <c r="AA3984" s="752">
        <v>20140703</v>
      </c>
      <c r="AB3984" s="386" t="s">
        <v>12653</v>
      </c>
      <c r="AF3984" s="386"/>
    </row>
    <row r="3985" spans="1:32" ht="15.75" customHeight="1">
      <c r="A3985" s="1235">
        <v>41808</v>
      </c>
      <c r="B3985" s="592" t="s">
        <v>10412</v>
      </c>
      <c r="C3985" s="970" t="s">
        <v>12681</v>
      </c>
      <c r="D3985" s="386" t="s">
        <v>12682</v>
      </c>
      <c r="E3985" s="338" t="s">
        <v>12683</v>
      </c>
      <c r="F3985" s="1088">
        <v>32</v>
      </c>
      <c r="G3985" s="772"/>
      <c r="H3985" s="772"/>
      <c r="I3985" s="254" t="s">
        <v>86</v>
      </c>
      <c r="J3985" s="1243" t="s">
        <v>12684</v>
      </c>
      <c r="K3985" s="811">
        <v>41858</v>
      </c>
      <c r="L3985" s="1243" t="s">
        <v>89</v>
      </c>
      <c r="M3985" s="386"/>
      <c r="N3985" s="1242" t="s">
        <v>89</v>
      </c>
      <c r="O3985" s="1240" t="s">
        <v>12677</v>
      </c>
      <c r="Q3985" s="464">
        <v>45763.199999999997</v>
      </c>
      <c r="R3985" s="323">
        <v>1477</v>
      </c>
      <c r="S3985" s="1252">
        <f t="shared" si="251"/>
        <v>47264</v>
      </c>
      <c r="U3985" s="772"/>
      <c r="V3985" s="1242" t="s">
        <v>5896</v>
      </c>
      <c r="X3985" s="1237">
        <v>41851</v>
      </c>
      <c r="Z3985" s="1238">
        <v>1392049</v>
      </c>
      <c r="AA3985" s="1088">
        <v>20140807</v>
      </c>
      <c r="AB3985" s="1239" t="s">
        <v>12685</v>
      </c>
      <c r="AF3985" s="1242"/>
    </row>
    <row r="3986" spans="1:32" ht="15.75" customHeight="1">
      <c r="A3986" s="1235">
        <v>41808</v>
      </c>
      <c r="B3986" s="592" t="s">
        <v>10412</v>
      </c>
      <c r="C3986" s="970" t="s">
        <v>12681</v>
      </c>
      <c r="D3986" s="386" t="s">
        <v>12682</v>
      </c>
      <c r="E3986" s="338" t="s">
        <v>12686</v>
      </c>
      <c r="F3986" s="1088">
        <v>32</v>
      </c>
      <c r="G3986" s="772"/>
      <c r="H3986" s="772"/>
      <c r="I3986" s="254" t="s">
        <v>86</v>
      </c>
      <c r="J3986" s="1243"/>
      <c r="K3986" s="811">
        <v>41858</v>
      </c>
      <c r="L3986" s="1243"/>
      <c r="M3986" s="386"/>
      <c r="N3986" s="1242"/>
      <c r="O3986" s="1240"/>
      <c r="Q3986" s="464">
        <v>369.6</v>
      </c>
      <c r="R3986" s="323">
        <v>12</v>
      </c>
      <c r="S3986" s="1252">
        <f t="shared" si="251"/>
        <v>384</v>
      </c>
      <c r="U3986" s="772"/>
      <c r="V3986" s="1242"/>
      <c r="X3986" s="1237"/>
      <c r="Z3986" s="1238"/>
      <c r="AA3986" s="1088">
        <v>20140807</v>
      </c>
      <c r="AB3986" s="1239"/>
      <c r="AF3986" s="1242"/>
    </row>
    <row r="3987" spans="1:32" ht="15.75" customHeight="1">
      <c r="A3987" s="1235">
        <v>41808</v>
      </c>
      <c r="B3987" s="592" t="s">
        <v>10412</v>
      </c>
      <c r="C3987" s="970" t="s">
        <v>12681</v>
      </c>
      <c r="D3987" s="386" t="s">
        <v>12682</v>
      </c>
      <c r="E3987" s="338" t="s">
        <v>12687</v>
      </c>
      <c r="F3987" s="1088">
        <v>32</v>
      </c>
      <c r="G3987" s="772"/>
      <c r="H3987" s="772"/>
      <c r="I3987" s="254" t="s">
        <v>86</v>
      </c>
      <c r="J3987" s="585"/>
      <c r="K3987" s="811">
        <v>41858</v>
      </c>
      <c r="L3987" s="585"/>
      <c r="M3987" s="386"/>
      <c r="N3987" s="386"/>
      <c r="O3987" s="752"/>
      <c r="Q3987" s="464">
        <v>369.6</v>
      </c>
      <c r="R3987" s="323">
        <v>12</v>
      </c>
      <c r="S3987" s="1252">
        <f t="shared" si="251"/>
        <v>384</v>
      </c>
      <c r="U3987" s="772"/>
      <c r="V3987" s="386"/>
      <c r="X3987" s="1084"/>
      <c r="Z3987" s="1100"/>
      <c r="AA3987" s="1088">
        <v>20140807</v>
      </c>
      <c r="AB3987" s="318"/>
      <c r="AF3987" s="386"/>
    </row>
    <row r="3988" spans="1:32" ht="15.75" customHeight="1">
      <c r="A3988" s="1235">
        <v>41808</v>
      </c>
      <c r="B3988" s="592" t="s">
        <v>12688</v>
      </c>
      <c r="C3988" s="386"/>
      <c r="D3988" s="386" t="s">
        <v>12689</v>
      </c>
      <c r="E3988" s="338" t="s">
        <v>12690</v>
      </c>
      <c r="F3988" s="1088">
        <v>1</v>
      </c>
      <c r="G3988" s="772"/>
      <c r="H3988" s="772"/>
      <c r="I3988" s="254" t="s">
        <v>10831</v>
      </c>
      <c r="J3988" s="585" t="s">
        <v>11420</v>
      </c>
      <c r="K3988" s="811">
        <v>41810</v>
      </c>
      <c r="L3988" s="585" t="s">
        <v>5882</v>
      </c>
      <c r="M3988" s="811">
        <v>41809</v>
      </c>
      <c r="N3988" s="386" t="s">
        <v>12406</v>
      </c>
      <c r="O3988" s="752" t="s">
        <v>12691</v>
      </c>
      <c r="Q3988" s="772"/>
      <c r="R3988" s="323">
        <v>311</v>
      </c>
      <c r="S3988" s="464">
        <f t="shared" si="251"/>
        <v>311</v>
      </c>
      <c r="U3988" s="464">
        <v>8247</v>
      </c>
      <c r="V3988" s="318" t="s">
        <v>8443</v>
      </c>
      <c r="X3988" s="1084">
        <v>41808</v>
      </c>
      <c r="Z3988" s="1110">
        <v>8247</v>
      </c>
      <c r="AA3988" s="752">
        <v>20140703</v>
      </c>
      <c r="AB3988" s="318" t="s">
        <v>12692</v>
      </c>
      <c r="AF3988" s="386" t="s">
        <v>12693</v>
      </c>
    </row>
    <row r="3989" spans="1:32" ht="15.75" customHeight="1">
      <c r="A3989" s="1235">
        <v>41808</v>
      </c>
      <c r="B3989" s="592" t="s">
        <v>12394</v>
      </c>
      <c r="C3989" s="970" t="s">
        <v>12694</v>
      </c>
      <c r="D3989" s="386" t="s">
        <v>12695</v>
      </c>
      <c r="E3989" s="338" t="s">
        <v>12674</v>
      </c>
      <c r="F3989" s="1088">
        <v>1</v>
      </c>
      <c r="G3989" s="772"/>
      <c r="H3989" s="772"/>
      <c r="I3989" s="254" t="s">
        <v>11743</v>
      </c>
      <c r="J3989" s="585" t="s">
        <v>12398</v>
      </c>
      <c r="K3989" s="811">
        <v>41820</v>
      </c>
      <c r="L3989" s="585" t="s">
        <v>89</v>
      </c>
      <c r="M3989" s="386"/>
      <c r="N3989" s="386" t="s">
        <v>89</v>
      </c>
      <c r="O3989" s="752">
        <v>20140600126131</v>
      </c>
      <c r="Q3989" s="464">
        <v>924</v>
      </c>
      <c r="R3989" s="323">
        <f>998*1.05</f>
        <v>1047.9000000000001</v>
      </c>
      <c r="S3989" s="464">
        <f t="shared" si="251"/>
        <v>1047.9000000000001</v>
      </c>
      <c r="U3989" s="772"/>
      <c r="V3989" s="386" t="s">
        <v>5896</v>
      </c>
      <c r="X3989" s="1084">
        <v>41820</v>
      </c>
      <c r="Z3989" s="1100">
        <v>27669</v>
      </c>
      <c r="AA3989" s="1088">
        <v>20140703</v>
      </c>
      <c r="AB3989" s="386" t="s">
        <v>12670</v>
      </c>
      <c r="AF3989" s="386" t="s">
        <v>12671</v>
      </c>
    </row>
    <row r="3990" spans="1:32" ht="15.75" customHeight="1">
      <c r="A3990" s="1235">
        <v>41808</v>
      </c>
      <c r="B3990" s="592" t="s">
        <v>6395</v>
      </c>
      <c r="C3990" s="386"/>
      <c r="D3990" s="386" t="s">
        <v>12696</v>
      </c>
      <c r="E3990" s="338" t="s">
        <v>12416</v>
      </c>
      <c r="F3990" s="1088">
        <v>5</v>
      </c>
      <c r="G3990" s="772"/>
      <c r="H3990" s="772"/>
      <c r="I3990" s="254" t="s">
        <v>8429</v>
      </c>
      <c r="J3990" s="585" t="s">
        <v>6399</v>
      </c>
      <c r="K3990" s="811">
        <v>41829</v>
      </c>
      <c r="L3990" s="585" t="s">
        <v>12413</v>
      </c>
      <c r="M3990" s="386"/>
      <c r="N3990" s="386" t="s">
        <v>12413</v>
      </c>
      <c r="O3990" s="752" t="s">
        <v>12697</v>
      </c>
      <c r="Q3990" s="772"/>
      <c r="R3990" s="323">
        <v>772</v>
      </c>
      <c r="S3990" s="464">
        <f t="shared" si="251"/>
        <v>3860</v>
      </c>
      <c r="U3990" s="464">
        <v>109662</v>
      </c>
      <c r="V3990" s="386" t="s">
        <v>10995</v>
      </c>
      <c r="X3990" s="1084">
        <v>41829</v>
      </c>
      <c r="Z3990" s="1100">
        <v>109662</v>
      </c>
      <c r="AA3990" s="1088">
        <v>20140707</v>
      </c>
      <c r="AB3990" s="318" t="s">
        <v>12698</v>
      </c>
      <c r="AF3990" s="386"/>
    </row>
    <row r="3991" spans="1:32" ht="15.75" customHeight="1">
      <c r="A3991" s="1235">
        <v>41809</v>
      </c>
      <c r="B3991" s="592" t="s">
        <v>8502</v>
      </c>
      <c r="C3991" s="970" t="s">
        <v>12699</v>
      </c>
      <c r="D3991" s="386" t="s">
        <v>12700</v>
      </c>
      <c r="E3991" s="338" t="s">
        <v>12701</v>
      </c>
      <c r="F3991" s="1088">
        <v>400</v>
      </c>
      <c r="G3991" s="772"/>
      <c r="H3991" s="772"/>
      <c r="I3991" s="254" t="s">
        <v>10831</v>
      </c>
      <c r="J3991" s="585" t="s">
        <v>11420</v>
      </c>
      <c r="K3991" s="811">
        <v>41813</v>
      </c>
      <c r="L3991" s="585" t="s">
        <v>5882</v>
      </c>
      <c r="M3991" s="811">
        <v>41810</v>
      </c>
      <c r="N3991" s="386" t="s">
        <v>12702</v>
      </c>
      <c r="O3991" s="752" t="s">
        <v>12691</v>
      </c>
      <c r="Q3991" s="772"/>
      <c r="R3991" s="323">
        <v>0.77</v>
      </c>
      <c r="S3991" s="464">
        <f t="shared" si="251"/>
        <v>308</v>
      </c>
      <c r="U3991" s="464">
        <v>6930</v>
      </c>
      <c r="V3991" s="386" t="s">
        <v>5813</v>
      </c>
      <c r="X3991" s="1084">
        <v>41810</v>
      </c>
      <c r="Z3991" s="1100">
        <v>6930</v>
      </c>
      <c r="AA3991" s="1088">
        <v>20140619</v>
      </c>
      <c r="AB3991" s="386" t="s">
        <v>12703</v>
      </c>
      <c r="AF3991" s="386"/>
    </row>
    <row r="3992" spans="1:32" ht="15.75" customHeight="1">
      <c r="A3992" s="1235">
        <v>41813</v>
      </c>
      <c r="B3992" s="592" t="s">
        <v>7204</v>
      </c>
      <c r="C3992" s="970" t="s">
        <v>12704</v>
      </c>
      <c r="D3992" s="386" t="s">
        <v>12705</v>
      </c>
      <c r="E3992" s="338" t="s">
        <v>7207</v>
      </c>
      <c r="F3992" s="1088">
        <v>15</v>
      </c>
      <c r="G3992" s="772"/>
      <c r="H3992" s="772"/>
      <c r="I3992" s="254" t="s">
        <v>11834</v>
      </c>
      <c r="J3992" s="585" t="s">
        <v>12706</v>
      </c>
      <c r="K3992" s="811">
        <v>41827</v>
      </c>
      <c r="L3992" s="585" t="s">
        <v>5882</v>
      </c>
      <c r="M3992" s="811">
        <v>41824</v>
      </c>
      <c r="N3992" s="386" t="s">
        <v>89</v>
      </c>
      <c r="O3992" s="752">
        <v>20140600126530</v>
      </c>
      <c r="Q3992" s="464">
        <v>2677.5</v>
      </c>
      <c r="R3992" s="323">
        <v>240</v>
      </c>
      <c r="S3992" s="1252">
        <f t="shared" ref="S3992:S4032" si="254">F3992*R3992</f>
        <v>3600</v>
      </c>
      <c r="U3992" s="772"/>
      <c r="V3992" s="386" t="s">
        <v>5896</v>
      </c>
      <c r="X3992" s="1084">
        <v>41824</v>
      </c>
      <c r="Z3992" s="1100">
        <v>80124</v>
      </c>
      <c r="AA3992" s="1088">
        <v>20140703</v>
      </c>
      <c r="AB3992" s="263" t="s">
        <v>12707</v>
      </c>
      <c r="AF3992" s="386"/>
    </row>
    <row r="3993" spans="1:32" ht="15.75" customHeight="1">
      <c r="A3993" s="1235">
        <v>41813</v>
      </c>
      <c r="B3993" s="592" t="s">
        <v>10673</v>
      </c>
      <c r="C3993" s="970" t="s">
        <v>12708</v>
      </c>
      <c r="D3993" s="386" t="s">
        <v>12709</v>
      </c>
      <c r="E3993" s="338" t="s">
        <v>11317</v>
      </c>
      <c r="F3993" s="1088">
        <v>7</v>
      </c>
      <c r="G3993" s="772"/>
      <c r="H3993" s="464">
        <v>38147</v>
      </c>
      <c r="I3993" s="254" t="s">
        <v>10831</v>
      </c>
      <c r="J3993" s="585" t="s">
        <v>11420</v>
      </c>
      <c r="K3993" s="811">
        <v>41823</v>
      </c>
      <c r="L3993" s="585" t="s">
        <v>5882</v>
      </c>
      <c r="M3993" s="811">
        <v>41822</v>
      </c>
      <c r="N3993" s="386" t="s">
        <v>12406</v>
      </c>
      <c r="O3993" s="752" t="s">
        <v>12710</v>
      </c>
      <c r="Q3993" s="772"/>
      <c r="R3993" s="323">
        <v>181.65</v>
      </c>
      <c r="S3993" s="464">
        <f t="shared" si="254"/>
        <v>1271.55</v>
      </c>
      <c r="U3993" s="464">
        <v>36515</v>
      </c>
      <c r="V3993" s="386" t="s">
        <v>8443</v>
      </c>
      <c r="X3993" s="1094">
        <v>41821</v>
      </c>
      <c r="Z3993" s="1110">
        <v>36515</v>
      </c>
      <c r="AA3993" s="1094">
        <v>41862</v>
      </c>
      <c r="AB3993" s="386" t="s">
        <v>12711</v>
      </c>
      <c r="AF3993" s="386" t="s">
        <v>12712</v>
      </c>
    </row>
    <row r="3994" spans="1:32" ht="15.75" customHeight="1">
      <c r="A3994" s="1235">
        <v>41813</v>
      </c>
      <c r="B3994" s="592" t="s">
        <v>10673</v>
      </c>
      <c r="C3994" s="970" t="s">
        <v>12708</v>
      </c>
      <c r="D3994" s="386" t="s">
        <v>12709</v>
      </c>
      <c r="E3994" s="338" t="s">
        <v>11317</v>
      </c>
      <c r="F3994" s="1088">
        <v>3</v>
      </c>
      <c r="G3994" s="772"/>
      <c r="H3994" s="464">
        <v>16349</v>
      </c>
      <c r="I3994" s="254" t="s">
        <v>10831</v>
      </c>
      <c r="J3994" s="585" t="s">
        <v>11420</v>
      </c>
      <c r="K3994" s="811">
        <v>41852</v>
      </c>
      <c r="L3994" s="585" t="s">
        <v>5882</v>
      </c>
      <c r="M3994" s="811">
        <v>41851</v>
      </c>
      <c r="N3994" s="386" t="s">
        <v>12406</v>
      </c>
      <c r="O3994" s="752" t="s">
        <v>12710</v>
      </c>
      <c r="Q3994" s="772"/>
      <c r="R3994" s="323">
        <v>181.65</v>
      </c>
      <c r="S3994" s="464">
        <f t="shared" si="254"/>
        <v>544.95000000000005</v>
      </c>
      <c r="U3994" s="464">
        <v>15649</v>
      </c>
      <c r="V3994" s="386" t="s">
        <v>8443</v>
      </c>
      <c r="X3994" s="1094">
        <v>41850</v>
      </c>
      <c r="Z3994" s="1110">
        <v>15649</v>
      </c>
      <c r="AA3994" s="1094">
        <v>41879</v>
      </c>
      <c r="AB3994" s="386" t="s">
        <v>12713</v>
      </c>
      <c r="AF3994" s="386" t="s">
        <v>12714</v>
      </c>
    </row>
    <row r="3995" spans="1:32" ht="15.75" customHeight="1">
      <c r="A3995" s="1253">
        <v>41823</v>
      </c>
      <c r="B3995" s="338" t="s">
        <v>1189</v>
      </c>
      <c r="C3995" s="263" t="s">
        <v>12715</v>
      </c>
      <c r="D3995" s="318" t="s">
        <v>12716</v>
      </c>
      <c r="E3995" s="338" t="s">
        <v>12717</v>
      </c>
      <c r="F3995" s="752">
        <v>50</v>
      </c>
      <c r="G3995" s="772"/>
      <c r="H3995" s="772"/>
      <c r="I3995" s="254" t="s">
        <v>11834</v>
      </c>
      <c r="J3995" s="318" t="s">
        <v>11835</v>
      </c>
      <c r="K3995" s="811">
        <v>41872</v>
      </c>
      <c r="L3995" s="254" t="s">
        <v>5882</v>
      </c>
      <c r="M3995" s="811">
        <v>41871</v>
      </c>
      <c r="N3995" s="318" t="s">
        <v>12718</v>
      </c>
      <c r="O3995" s="752" t="s">
        <v>12719</v>
      </c>
      <c r="Q3995" s="772"/>
      <c r="R3995" s="464">
        <v>8.4</v>
      </c>
      <c r="S3995" s="464">
        <f t="shared" si="254"/>
        <v>420</v>
      </c>
      <c r="U3995" s="464">
        <v>11025</v>
      </c>
      <c r="V3995" s="263" t="s">
        <v>2413</v>
      </c>
      <c r="X3995" s="1237">
        <v>41870</v>
      </c>
      <c r="Z3995" s="1238">
        <v>53025</v>
      </c>
      <c r="AA3995" s="1084">
        <v>41912</v>
      </c>
      <c r="AB3995" s="1239" t="s">
        <v>12720</v>
      </c>
      <c r="AF3995" s="386"/>
    </row>
    <row r="3996" spans="1:32" ht="15.75" customHeight="1">
      <c r="A3996" s="1253">
        <v>41823</v>
      </c>
      <c r="B3996" s="338" t="s">
        <v>1189</v>
      </c>
      <c r="C3996" s="263" t="s">
        <v>12715</v>
      </c>
      <c r="D3996" s="318" t="s">
        <v>12716</v>
      </c>
      <c r="E3996" s="338" t="s">
        <v>4325</v>
      </c>
      <c r="F3996" s="752">
        <v>200</v>
      </c>
      <c r="G3996" s="772"/>
      <c r="H3996" s="772"/>
      <c r="I3996" s="254" t="s">
        <v>11834</v>
      </c>
      <c r="J3996" s="318" t="s">
        <v>11835</v>
      </c>
      <c r="K3996" s="811">
        <v>41872</v>
      </c>
      <c r="L3996" s="254" t="s">
        <v>5882</v>
      </c>
      <c r="M3996" s="811">
        <v>41871</v>
      </c>
      <c r="N3996" s="318" t="s">
        <v>12718</v>
      </c>
      <c r="O3996" s="752" t="s">
        <v>12719</v>
      </c>
      <c r="Q3996" s="772"/>
      <c r="R3996" s="464">
        <v>7.9</v>
      </c>
      <c r="S3996" s="464">
        <f t="shared" si="254"/>
        <v>1580</v>
      </c>
      <c r="U3996" s="464">
        <v>42000</v>
      </c>
      <c r="V3996" s="263" t="s">
        <v>2413</v>
      </c>
      <c r="X3996" s="1084"/>
      <c r="Z3996" s="1100"/>
      <c r="AA3996" s="1084">
        <v>41912</v>
      </c>
      <c r="AB3996" s="318"/>
      <c r="AF3996" s="386"/>
    </row>
    <row r="3997" spans="1:32" ht="15.75" customHeight="1">
      <c r="A3997" s="1235">
        <v>41823</v>
      </c>
      <c r="B3997" s="592" t="s">
        <v>1189</v>
      </c>
      <c r="C3997" s="970" t="s">
        <v>12721</v>
      </c>
      <c r="D3997" s="386" t="s">
        <v>12722</v>
      </c>
      <c r="E3997" s="338" t="s">
        <v>9189</v>
      </c>
      <c r="F3997" s="1088">
        <v>9</v>
      </c>
      <c r="G3997" s="772"/>
      <c r="H3997" s="772"/>
      <c r="I3997" s="254" t="s">
        <v>11834</v>
      </c>
      <c r="J3997" s="318" t="s">
        <v>11835</v>
      </c>
      <c r="K3997" s="811">
        <v>41841</v>
      </c>
      <c r="L3997" s="585" t="s">
        <v>5882</v>
      </c>
      <c r="M3997" s="811">
        <v>41835</v>
      </c>
      <c r="N3997" s="386" t="s">
        <v>89</v>
      </c>
      <c r="O3997" s="1088">
        <v>20140700127804</v>
      </c>
      <c r="Q3997" s="464">
        <v>1379.7</v>
      </c>
      <c r="R3997" s="323">
        <v>177</v>
      </c>
      <c r="S3997" s="1252">
        <f t="shared" si="254"/>
        <v>1593</v>
      </c>
      <c r="U3997" s="772"/>
      <c r="V3997" s="386" t="s">
        <v>5896</v>
      </c>
      <c r="X3997" s="1094">
        <v>41836</v>
      </c>
      <c r="Z3997" s="1110">
        <v>41150</v>
      </c>
      <c r="AA3997" s="1094">
        <v>41891</v>
      </c>
      <c r="AB3997" s="1239" t="s">
        <v>12723</v>
      </c>
      <c r="AF3997" s="386"/>
    </row>
    <row r="3998" spans="1:32" ht="15.75" customHeight="1">
      <c r="A3998" s="1235">
        <v>41823</v>
      </c>
      <c r="B3998" s="592" t="s">
        <v>1189</v>
      </c>
      <c r="C3998" s="970" t="s">
        <v>12724</v>
      </c>
      <c r="D3998" s="386" t="s">
        <v>12722</v>
      </c>
      <c r="E3998" s="338" t="s">
        <v>11879</v>
      </c>
      <c r="F3998" s="1088">
        <v>3</v>
      </c>
      <c r="G3998" s="772"/>
      <c r="H3998" s="772"/>
      <c r="I3998" s="254" t="s">
        <v>11834</v>
      </c>
      <c r="J3998" s="318" t="s">
        <v>11835</v>
      </c>
      <c r="K3998" s="811">
        <v>41841</v>
      </c>
      <c r="L3998" s="585" t="s">
        <v>5882</v>
      </c>
      <c r="M3998" s="811">
        <v>41838</v>
      </c>
      <c r="N3998" s="386" t="s">
        <v>10959</v>
      </c>
      <c r="O3998" s="1088" t="s">
        <v>12725</v>
      </c>
      <c r="Q3998" s="772"/>
      <c r="R3998" s="323">
        <v>553</v>
      </c>
      <c r="S3998" s="1252">
        <f t="shared" si="254"/>
        <v>1659</v>
      </c>
      <c r="U3998" s="464">
        <v>44100</v>
      </c>
      <c r="V3998" s="386" t="s">
        <v>12726</v>
      </c>
      <c r="X3998" s="1094">
        <v>41838</v>
      </c>
      <c r="Z3998" s="1110">
        <v>44100</v>
      </c>
      <c r="AA3998" s="1094">
        <v>41885</v>
      </c>
      <c r="AB3998" s="318"/>
      <c r="AF3998" s="386"/>
    </row>
    <row r="3999" spans="1:32" ht="15.75" customHeight="1">
      <c r="A3999" s="1235">
        <v>41827</v>
      </c>
      <c r="B3999" s="592" t="s">
        <v>8502</v>
      </c>
      <c r="C3999" s="970" t="s">
        <v>12727</v>
      </c>
      <c r="D3999" s="386" t="s">
        <v>12728</v>
      </c>
      <c r="E3999" s="338" t="s">
        <v>4404</v>
      </c>
      <c r="F3999" s="1088">
        <v>1</v>
      </c>
      <c r="G3999" s="772"/>
      <c r="H3999" s="772"/>
      <c r="I3999" s="254" t="s">
        <v>10831</v>
      </c>
      <c r="J3999" s="585" t="s">
        <v>12398</v>
      </c>
      <c r="K3999" s="811">
        <v>41851</v>
      </c>
      <c r="L3999" s="585" t="s">
        <v>89</v>
      </c>
      <c r="M3999" s="386"/>
      <c r="N3999" s="386" t="s">
        <v>89</v>
      </c>
      <c r="O3999" s="1254">
        <v>20140700127950</v>
      </c>
      <c r="Q3999" s="1236">
        <v>121.8</v>
      </c>
      <c r="R3999" s="323">
        <v>69.3</v>
      </c>
      <c r="S3999" s="464">
        <f t="shared" si="254"/>
        <v>69.3</v>
      </c>
      <c r="U3999" s="772"/>
      <c r="V3999" s="1242" t="s">
        <v>5896</v>
      </c>
      <c r="X3999" s="1237">
        <v>41851</v>
      </c>
      <c r="Z3999" s="1238">
        <v>3646</v>
      </c>
      <c r="AA3999" s="386"/>
      <c r="AB3999" s="1242" t="s">
        <v>12729</v>
      </c>
      <c r="AF3999" s="1242" t="s">
        <v>12730</v>
      </c>
    </row>
    <row r="4000" spans="1:32" ht="15.75" customHeight="1">
      <c r="A4000" s="1235">
        <v>41827</v>
      </c>
      <c r="B4000" s="592" t="s">
        <v>8502</v>
      </c>
      <c r="C4000" s="970" t="s">
        <v>12731</v>
      </c>
      <c r="D4000" s="386" t="s">
        <v>12732</v>
      </c>
      <c r="E4000" s="338" t="s">
        <v>4404</v>
      </c>
      <c r="F4000" s="1088">
        <v>1</v>
      </c>
      <c r="G4000" s="772"/>
      <c r="H4000" s="772"/>
      <c r="I4000" s="254" t="s">
        <v>10831</v>
      </c>
      <c r="J4000" s="585" t="s">
        <v>12398</v>
      </c>
      <c r="K4000" s="811">
        <v>41851</v>
      </c>
      <c r="L4000" s="585" t="s">
        <v>89</v>
      </c>
      <c r="M4000" s="386"/>
      <c r="N4000" s="386" t="s">
        <v>89</v>
      </c>
      <c r="O4000" s="1088"/>
      <c r="Q4000" s="464"/>
      <c r="R4000" s="323">
        <v>69.3</v>
      </c>
      <c r="S4000" s="464">
        <f t="shared" si="254"/>
        <v>69.3</v>
      </c>
      <c r="U4000" s="772"/>
      <c r="V4000" s="386"/>
      <c r="X4000" s="1084"/>
      <c r="Z4000" s="1100"/>
      <c r="AA4000" s="386"/>
      <c r="AB4000" s="386"/>
      <c r="AF4000" s="386"/>
    </row>
    <row r="4001" spans="1:32" ht="15.75" customHeight="1">
      <c r="A4001" s="1235">
        <v>41828</v>
      </c>
      <c r="B4001" s="592" t="s">
        <v>8502</v>
      </c>
      <c r="C4001" s="970" t="s">
        <v>12733</v>
      </c>
      <c r="D4001" s="386" t="s">
        <v>12734</v>
      </c>
      <c r="E4001" s="338" t="s">
        <v>4144</v>
      </c>
      <c r="F4001" s="1088">
        <v>3</v>
      </c>
      <c r="G4001" s="772"/>
      <c r="H4001" s="772"/>
      <c r="I4001" s="254" t="s">
        <v>10831</v>
      </c>
      <c r="J4001" s="585" t="s">
        <v>12398</v>
      </c>
      <c r="K4001" s="811">
        <v>41834</v>
      </c>
      <c r="L4001" s="585" t="s">
        <v>89</v>
      </c>
      <c r="M4001" s="386"/>
      <c r="N4001" s="318" t="s">
        <v>89</v>
      </c>
      <c r="O4001" s="752">
        <v>20140700128161</v>
      </c>
      <c r="Q4001" s="464">
        <v>245.7</v>
      </c>
      <c r="R4001" s="323">
        <v>88.7</v>
      </c>
      <c r="S4001" s="464">
        <f t="shared" si="254"/>
        <v>266.10000000000002</v>
      </c>
      <c r="U4001" s="772"/>
      <c r="V4001" s="318" t="s">
        <v>5896</v>
      </c>
      <c r="X4001" s="1084">
        <v>41834</v>
      </c>
      <c r="Z4001" s="1100">
        <v>7328</v>
      </c>
      <c r="AA4001" s="1088">
        <v>20140715</v>
      </c>
      <c r="AB4001" s="386" t="s">
        <v>12735</v>
      </c>
      <c r="AF4001" s="386" t="s">
        <v>12736</v>
      </c>
    </row>
    <row r="4002" spans="1:32" ht="15.75" customHeight="1">
      <c r="A4002" s="1235">
        <v>41831</v>
      </c>
      <c r="B4002" s="592" t="s">
        <v>12394</v>
      </c>
      <c r="C4002" s="970" t="s">
        <v>12737</v>
      </c>
      <c r="D4002" s="386" t="s">
        <v>12738</v>
      </c>
      <c r="E4002" s="338" t="s">
        <v>12739</v>
      </c>
      <c r="F4002" s="1088">
        <v>10</v>
      </c>
      <c r="G4002" s="772"/>
      <c r="H4002" s="772"/>
      <c r="I4002" s="254" t="s">
        <v>11743</v>
      </c>
      <c r="J4002" s="585" t="s">
        <v>12398</v>
      </c>
      <c r="K4002" s="811">
        <v>41837</v>
      </c>
      <c r="L4002" s="585" t="s">
        <v>89</v>
      </c>
      <c r="M4002" s="386"/>
      <c r="N4002" s="386" t="s">
        <v>89</v>
      </c>
      <c r="O4002" s="752">
        <v>20140700128384</v>
      </c>
      <c r="Q4002" s="464">
        <v>1501.5</v>
      </c>
      <c r="R4002" s="323">
        <f>173*1.05</f>
        <v>181.65</v>
      </c>
      <c r="S4002" s="464">
        <f t="shared" si="254"/>
        <v>1816.5</v>
      </c>
      <c r="U4002" s="772"/>
      <c r="V4002" s="386" t="s">
        <v>5896</v>
      </c>
      <c r="X4002" s="1094">
        <v>41837</v>
      </c>
      <c r="Z4002" s="1110">
        <v>44782</v>
      </c>
      <c r="AA4002" s="1094">
        <v>41870</v>
      </c>
      <c r="AB4002" s="386" t="s">
        <v>12740</v>
      </c>
      <c r="AF4002" s="386" t="s">
        <v>12668</v>
      </c>
    </row>
    <row r="4003" spans="1:32" ht="15.75" customHeight="1">
      <c r="A4003" s="1235">
        <v>41834</v>
      </c>
      <c r="B4003" s="592" t="s">
        <v>10691</v>
      </c>
      <c r="C4003" s="386"/>
      <c r="D4003" s="386" t="s">
        <v>12741</v>
      </c>
      <c r="E4003" s="338" t="s">
        <v>12742</v>
      </c>
      <c r="F4003" s="1088">
        <v>3</v>
      </c>
      <c r="G4003" s="772"/>
      <c r="H4003" s="464">
        <v>3780</v>
      </c>
      <c r="I4003" s="254" t="s">
        <v>11643</v>
      </c>
      <c r="J4003" s="585" t="s">
        <v>12743</v>
      </c>
      <c r="K4003" s="811">
        <v>41835</v>
      </c>
      <c r="L4003" s="585" t="s">
        <v>5882</v>
      </c>
      <c r="M4003" s="811">
        <v>41836</v>
      </c>
      <c r="N4003" s="386" t="s">
        <v>10673</v>
      </c>
      <c r="O4003" s="1088" t="s">
        <v>12744</v>
      </c>
      <c r="Q4003" s="464">
        <v>100.8</v>
      </c>
      <c r="R4003" s="323">
        <v>42</v>
      </c>
      <c r="S4003" s="464">
        <f t="shared" si="254"/>
        <v>126</v>
      </c>
      <c r="U4003" s="323">
        <v>3024</v>
      </c>
      <c r="V4003" s="386" t="s">
        <v>12174</v>
      </c>
      <c r="X4003" s="1084">
        <v>41835</v>
      </c>
      <c r="Z4003" s="1100">
        <v>3024</v>
      </c>
      <c r="AA4003" s="1094">
        <v>41835</v>
      </c>
      <c r="AB4003" s="386" t="s">
        <v>12745</v>
      </c>
      <c r="AF4003" s="386" t="s">
        <v>12746</v>
      </c>
    </row>
    <row r="4004" spans="1:32" ht="15.75" customHeight="1">
      <c r="A4004" s="1235">
        <v>41835</v>
      </c>
      <c r="B4004" s="592" t="s">
        <v>10783</v>
      </c>
      <c r="C4004" s="386"/>
      <c r="D4004" s="386" t="s">
        <v>12747</v>
      </c>
      <c r="E4004" s="338" t="s">
        <v>12748</v>
      </c>
      <c r="F4004" s="1088">
        <v>1</v>
      </c>
      <c r="G4004" s="772"/>
      <c r="H4004" s="772"/>
      <c r="I4004" s="254" t="s">
        <v>3712</v>
      </c>
      <c r="J4004" s="585" t="s">
        <v>12646</v>
      </c>
      <c r="K4004" s="811">
        <v>41870</v>
      </c>
      <c r="L4004" s="585" t="s">
        <v>5882</v>
      </c>
      <c r="M4004" s="811">
        <v>41869</v>
      </c>
      <c r="N4004" s="386" t="s">
        <v>89</v>
      </c>
      <c r="O4004" s="752">
        <v>20140700128485</v>
      </c>
      <c r="Q4004" s="464">
        <v>682.5</v>
      </c>
      <c r="R4004" s="323">
        <v>720</v>
      </c>
      <c r="S4004" s="1252">
        <f t="shared" si="254"/>
        <v>720</v>
      </c>
      <c r="U4004" s="772"/>
      <c r="V4004" s="386" t="s">
        <v>5896</v>
      </c>
      <c r="X4004" s="1084">
        <v>41869</v>
      </c>
      <c r="Z4004" s="1100">
        <v>20427</v>
      </c>
      <c r="AA4004" s="1094">
        <v>41912</v>
      </c>
      <c r="AB4004" s="318" t="s">
        <v>12749</v>
      </c>
      <c r="AF4004" s="386"/>
    </row>
    <row r="4005" spans="1:32" ht="15.75" customHeight="1">
      <c r="A4005" s="1235">
        <v>41835</v>
      </c>
      <c r="B4005" s="592" t="s">
        <v>3709</v>
      </c>
      <c r="C4005" s="970" t="s">
        <v>12750</v>
      </c>
      <c r="D4005" s="386" t="s">
        <v>12751</v>
      </c>
      <c r="E4005" s="338" t="s">
        <v>11803</v>
      </c>
      <c r="F4005" s="1088">
        <v>8</v>
      </c>
      <c r="G4005" s="772"/>
      <c r="H4005" s="772"/>
      <c r="I4005" s="254" t="s">
        <v>3712</v>
      </c>
      <c r="J4005" s="1243" t="s">
        <v>11804</v>
      </c>
      <c r="K4005" s="811">
        <v>41844</v>
      </c>
      <c r="L4005" s="1243" t="s">
        <v>5882</v>
      </c>
      <c r="M4005" s="1249">
        <v>41841</v>
      </c>
      <c r="N4005" s="1242" t="s">
        <v>89</v>
      </c>
      <c r="O4005" s="1240">
        <v>20140700128544</v>
      </c>
      <c r="Q4005" s="1236">
        <v>934.5</v>
      </c>
      <c r="R4005" s="323">
        <v>97</v>
      </c>
      <c r="S4005" s="1252">
        <f t="shared" si="254"/>
        <v>776</v>
      </c>
      <c r="U4005" s="772"/>
      <c r="V4005" s="1242" t="s">
        <v>5896</v>
      </c>
      <c r="X4005" s="1237">
        <v>41841</v>
      </c>
      <c r="Z4005" s="1238">
        <v>27974</v>
      </c>
      <c r="AA4005" s="1094">
        <v>41858</v>
      </c>
      <c r="AB4005" s="1239" t="s">
        <v>12752</v>
      </c>
      <c r="AF4005" s="386"/>
    </row>
    <row r="4006" spans="1:32" ht="15.75" customHeight="1">
      <c r="A4006" s="1235">
        <v>41835</v>
      </c>
      <c r="B4006" s="592" t="s">
        <v>3709</v>
      </c>
      <c r="C4006" s="970" t="s">
        <v>12750</v>
      </c>
      <c r="D4006" s="386" t="s">
        <v>12751</v>
      </c>
      <c r="E4006" s="338" t="s">
        <v>10807</v>
      </c>
      <c r="F4006" s="1088">
        <v>2</v>
      </c>
      <c r="G4006" s="772"/>
      <c r="H4006" s="772"/>
      <c r="I4006" s="254" t="s">
        <v>3712</v>
      </c>
      <c r="J4006" s="585"/>
      <c r="K4006" s="811">
        <v>41844</v>
      </c>
      <c r="L4006" s="585"/>
      <c r="M4006" s="811"/>
      <c r="N4006" s="386"/>
      <c r="O4006" s="752"/>
      <c r="Q4006" s="464"/>
      <c r="R4006" s="323">
        <v>137</v>
      </c>
      <c r="S4006" s="1252">
        <f t="shared" si="254"/>
        <v>274</v>
      </c>
      <c r="U4006" s="772"/>
      <c r="V4006" s="386"/>
      <c r="X4006" s="1084"/>
      <c r="Z4006" s="1100"/>
      <c r="AA4006" s="1094">
        <v>41858</v>
      </c>
      <c r="AB4006" s="318"/>
      <c r="AF4006" s="386"/>
    </row>
    <row r="4007" spans="1:32" ht="15.75" customHeight="1">
      <c r="A4007" s="1235">
        <v>41836</v>
      </c>
      <c r="B4007" s="592" t="s">
        <v>12394</v>
      </c>
      <c r="C4007" s="970" t="s">
        <v>12753</v>
      </c>
      <c r="D4007" s="386" t="s">
        <v>12754</v>
      </c>
      <c r="E4007" s="338" t="s">
        <v>12755</v>
      </c>
      <c r="F4007" s="1088">
        <v>2</v>
      </c>
      <c r="G4007" s="772"/>
      <c r="H4007" s="772"/>
      <c r="I4007" s="254" t="s">
        <v>11743</v>
      </c>
      <c r="J4007" s="585" t="s">
        <v>12398</v>
      </c>
      <c r="K4007" s="811">
        <v>41844</v>
      </c>
      <c r="L4007" s="585" t="s">
        <v>89</v>
      </c>
      <c r="M4007" s="386"/>
      <c r="N4007" s="386" t="s">
        <v>89</v>
      </c>
      <c r="O4007" s="752">
        <v>20140700128623</v>
      </c>
      <c r="Q4007" s="464">
        <v>357</v>
      </c>
      <c r="R4007" s="323">
        <f>189*1.05</f>
        <v>198.45000000000002</v>
      </c>
      <c r="S4007" s="464">
        <f t="shared" si="254"/>
        <v>396.90000000000003</v>
      </c>
      <c r="U4007" s="772"/>
      <c r="V4007" s="386" t="s">
        <v>5896</v>
      </c>
      <c r="X4007" s="1084">
        <v>41844</v>
      </c>
      <c r="Z4007" s="1100">
        <v>10687</v>
      </c>
      <c r="AA4007" s="1088">
        <v>20140909</v>
      </c>
      <c r="AB4007" s="386" t="s">
        <v>12756</v>
      </c>
      <c r="AF4007" s="386" t="s">
        <v>12757</v>
      </c>
    </row>
    <row r="4008" spans="1:32" ht="15.75" customHeight="1">
      <c r="A4008" s="1235">
        <v>41837</v>
      </c>
      <c r="B4008" s="592" t="s">
        <v>629</v>
      </c>
      <c r="C4008" s="970" t="s">
        <v>12758</v>
      </c>
      <c r="D4008" s="386" t="s">
        <v>12759</v>
      </c>
      <c r="E4008" s="338" t="s">
        <v>12606</v>
      </c>
      <c r="F4008" s="1088">
        <v>20</v>
      </c>
      <c r="G4008" s="772"/>
      <c r="H4008" s="464">
        <f>S4008*29.4</f>
        <v>77175</v>
      </c>
      <c r="I4008" s="254" t="s">
        <v>11743</v>
      </c>
      <c r="J4008" s="585" t="s">
        <v>12398</v>
      </c>
      <c r="K4008" s="811">
        <v>41865</v>
      </c>
      <c r="L4008" s="585" t="s">
        <v>89</v>
      </c>
      <c r="M4008" s="386"/>
      <c r="N4008" s="386" t="s">
        <v>89</v>
      </c>
      <c r="O4008" s="752" t="s">
        <v>12760</v>
      </c>
      <c r="Q4008" s="464">
        <v>2394</v>
      </c>
      <c r="R4008" s="323">
        <f>125*1.05</f>
        <v>131.25</v>
      </c>
      <c r="S4008" s="464">
        <f t="shared" si="254"/>
        <v>2625</v>
      </c>
      <c r="U4008" s="772"/>
      <c r="V4008" s="386" t="s">
        <v>5896</v>
      </c>
      <c r="X4008" s="752" t="s">
        <v>12761</v>
      </c>
      <c r="Z4008" s="752" t="s">
        <v>12762</v>
      </c>
      <c r="AA4008" s="1094">
        <v>41870</v>
      </c>
      <c r="AB4008" s="386" t="s">
        <v>12763</v>
      </c>
      <c r="AF4008" s="386" t="s">
        <v>12764</v>
      </c>
    </row>
    <row r="4009" spans="1:32" ht="15.75" customHeight="1">
      <c r="A4009" s="1235">
        <v>41837</v>
      </c>
      <c r="B4009" s="592" t="s">
        <v>629</v>
      </c>
      <c r="C4009" s="970" t="s">
        <v>12758</v>
      </c>
      <c r="D4009" s="386" t="s">
        <v>12759</v>
      </c>
      <c r="E4009" s="338" t="s">
        <v>6869</v>
      </c>
      <c r="F4009" s="1088">
        <v>3</v>
      </c>
      <c r="G4009" s="772"/>
      <c r="H4009" s="464">
        <v>16240</v>
      </c>
      <c r="I4009" s="254" t="s">
        <v>11743</v>
      </c>
      <c r="J4009" s="585" t="s">
        <v>12398</v>
      </c>
      <c r="K4009" s="811">
        <v>41848</v>
      </c>
      <c r="L4009" s="585" t="s">
        <v>89</v>
      </c>
      <c r="M4009" s="386"/>
      <c r="N4009" s="386" t="s">
        <v>89</v>
      </c>
      <c r="O4009" s="752">
        <v>20140700128679</v>
      </c>
      <c r="Q4009" s="464">
        <v>500.85</v>
      </c>
      <c r="R4009" s="323">
        <f>172*1.05</f>
        <v>180.6</v>
      </c>
      <c r="S4009" s="464">
        <f t="shared" si="254"/>
        <v>541.79999999999995</v>
      </c>
      <c r="U4009" s="772"/>
      <c r="V4009" s="386" t="s">
        <v>5896</v>
      </c>
      <c r="X4009" s="1084">
        <v>41848</v>
      </c>
      <c r="Z4009" s="1100">
        <v>14993</v>
      </c>
      <c r="AA4009" s="1094">
        <v>41858</v>
      </c>
      <c r="AB4009" s="318" t="s">
        <v>12765</v>
      </c>
      <c r="AF4009" s="386" t="s">
        <v>12766</v>
      </c>
    </row>
    <row r="4010" spans="1:32" ht="15.75" customHeight="1">
      <c r="A4010" s="1235">
        <v>41838</v>
      </c>
      <c r="B4010" s="592" t="s">
        <v>10673</v>
      </c>
      <c r="C4010" s="970" t="s">
        <v>12767</v>
      </c>
      <c r="D4010" s="386" t="s">
        <v>12768</v>
      </c>
      <c r="E4010" s="823" t="s">
        <v>12769</v>
      </c>
      <c r="F4010" s="1088">
        <v>3</v>
      </c>
      <c r="G4010" s="772"/>
      <c r="H4010" s="1255">
        <v>11182.5</v>
      </c>
      <c r="I4010" s="254" t="s">
        <v>10831</v>
      </c>
      <c r="J4010" s="585" t="s">
        <v>11420</v>
      </c>
      <c r="K4010" s="811">
        <v>41844</v>
      </c>
      <c r="L4010" s="585" t="s">
        <v>12661</v>
      </c>
      <c r="M4010" s="811">
        <v>41842</v>
      </c>
      <c r="N4010" s="386" t="s">
        <v>12406</v>
      </c>
      <c r="O4010" s="1088" t="s">
        <v>12770</v>
      </c>
      <c r="Q4010" s="772"/>
      <c r="R4010" s="323">
        <v>124.25</v>
      </c>
      <c r="S4010" s="464">
        <f t="shared" si="254"/>
        <v>372.75</v>
      </c>
      <c r="U4010" s="464">
        <v>11065.95</v>
      </c>
      <c r="V4010" s="386" t="s">
        <v>8443</v>
      </c>
      <c r="X4010" s="1244">
        <v>41842</v>
      </c>
      <c r="Z4010" s="1245">
        <v>22928</v>
      </c>
      <c r="AA4010" s="1094">
        <v>41862</v>
      </c>
      <c r="AB4010" s="1242" t="s">
        <v>12771</v>
      </c>
      <c r="AF4010" s="1242" t="s">
        <v>12660</v>
      </c>
    </row>
    <row r="4011" spans="1:32" ht="15.75" customHeight="1">
      <c r="A4011" s="1235">
        <v>41838</v>
      </c>
      <c r="B4011" s="592" t="s">
        <v>10673</v>
      </c>
      <c r="C4011" s="970" t="s">
        <v>12767</v>
      </c>
      <c r="D4011" s="386" t="s">
        <v>12768</v>
      </c>
      <c r="E4011" s="823" t="s">
        <v>12772</v>
      </c>
      <c r="F4011" s="1088">
        <v>2</v>
      </c>
      <c r="G4011" s="772"/>
      <c r="H4011" s="1255">
        <v>5621.7</v>
      </c>
      <c r="I4011" s="254" t="s">
        <v>10831</v>
      </c>
      <c r="J4011" s="585" t="s">
        <v>11420</v>
      </c>
      <c r="K4011" s="811">
        <v>41844</v>
      </c>
      <c r="L4011" s="585" t="s">
        <v>12661</v>
      </c>
      <c r="M4011" s="811">
        <v>41842</v>
      </c>
      <c r="N4011" s="386" t="s">
        <v>12406</v>
      </c>
      <c r="O4011" s="1088" t="s">
        <v>12770</v>
      </c>
      <c r="Q4011" s="772"/>
      <c r="R4011" s="323">
        <v>93.694999999999993</v>
      </c>
      <c r="S4011" s="464">
        <f t="shared" si="254"/>
        <v>187.39</v>
      </c>
      <c r="U4011" s="464">
        <v>5367.6</v>
      </c>
      <c r="V4011" s="386" t="s">
        <v>8443</v>
      </c>
      <c r="X4011" s="1244"/>
      <c r="Z4011" s="1245"/>
      <c r="AA4011" s="1094">
        <v>41862</v>
      </c>
      <c r="AB4011" s="1242"/>
      <c r="AF4011" s="1242"/>
    </row>
    <row r="4012" spans="1:32" ht="15.75" customHeight="1">
      <c r="A4012" s="1235">
        <v>41838</v>
      </c>
      <c r="B4012" s="592" t="s">
        <v>10673</v>
      </c>
      <c r="C4012" s="970" t="s">
        <v>12773</v>
      </c>
      <c r="D4012" s="386" t="s">
        <v>12774</v>
      </c>
      <c r="E4012" s="823" t="s">
        <v>12775</v>
      </c>
      <c r="F4012" s="1088">
        <v>5</v>
      </c>
      <c r="G4012" s="772"/>
      <c r="H4012" s="1255">
        <v>6762</v>
      </c>
      <c r="I4012" s="254" t="s">
        <v>10831</v>
      </c>
      <c r="J4012" s="585" t="s">
        <v>11420</v>
      </c>
      <c r="K4012" s="811">
        <v>41844</v>
      </c>
      <c r="L4012" s="585" t="s">
        <v>12661</v>
      </c>
      <c r="M4012" s="811">
        <v>41842</v>
      </c>
      <c r="N4012" s="386" t="s">
        <v>12406</v>
      </c>
      <c r="O4012" s="1088" t="s">
        <v>12776</v>
      </c>
      <c r="Q4012" s="772"/>
      <c r="R4012" s="323">
        <v>45.08</v>
      </c>
      <c r="S4012" s="464">
        <f t="shared" si="254"/>
        <v>225.39999999999998</v>
      </c>
      <c r="U4012" s="464">
        <v>6494</v>
      </c>
      <c r="V4012" s="386" t="s">
        <v>8443</v>
      </c>
      <c r="X4012" s="1094"/>
      <c r="Z4012" s="1110"/>
      <c r="AA4012" s="1094">
        <v>41862</v>
      </c>
      <c r="AB4012" s="386"/>
      <c r="AF4012" s="386"/>
    </row>
    <row r="4013" spans="1:32" ht="15.75" customHeight="1">
      <c r="A4013" s="1235">
        <v>41841</v>
      </c>
      <c r="B4013" s="592" t="s">
        <v>12777</v>
      </c>
      <c r="C4013" s="970" t="s">
        <v>12778</v>
      </c>
      <c r="D4013" s="386" t="s">
        <v>12779</v>
      </c>
      <c r="E4013" s="338" t="s">
        <v>12780</v>
      </c>
      <c r="F4013" s="1088">
        <v>100</v>
      </c>
      <c r="G4013" s="772"/>
      <c r="H4013" s="772"/>
      <c r="I4013" s="254" t="s">
        <v>11834</v>
      </c>
      <c r="J4013" s="585" t="s">
        <v>262</v>
      </c>
      <c r="K4013" s="811">
        <v>41848</v>
      </c>
      <c r="L4013" s="585" t="s">
        <v>5882</v>
      </c>
      <c r="M4013" s="811">
        <v>41845</v>
      </c>
      <c r="N4013" s="386" t="s">
        <v>10722</v>
      </c>
      <c r="O4013" s="1088" t="s">
        <v>12781</v>
      </c>
      <c r="Q4013" s="772"/>
      <c r="R4013" s="323">
        <v>36</v>
      </c>
      <c r="S4013" s="1252">
        <f t="shared" si="254"/>
        <v>3600</v>
      </c>
      <c r="U4013" s="464">
        <v>94437</v>
      </c>
      <c r="V4013" s="386" t="s">
        <v>12782</v>
      </c>
      <c r="X4013" s="1094">
        <v>41844</v>
      </c>
      <c r="Z4013" s="1110">
        <v>94437</v>
      </c>
      <c r="AA4013" s="1094">
        <v>41862</v>
      </c>
      <c r="AB4013" s="318" t="s">
        <v>12783</v>
      </c>
      <c r="AF4013" s="386"/>
    </row>
    <row r="4014" spans="1:32" ht="15.75" customHeight="1">
      <c r="A4014" s="1235">
        <v>41842</v>
      </c>
      <c r="B4014" s="592" t="s">
        <v>10673</v>
      </c>
      <c r="C4014" s="970" t="s">
        <v>12784</v>
      </c>
      <c r="D4014" s="386" t="s">
        <v>12785</v>
      </c>
      <c r="E4014" s="338" t="s">
        <v>12786</v>
      </c>
      <c r="F4014" s="1088">
        <v>1</v>
      </c>
      <c r="G4014" s="772"/>
      <c r="H4014" s="464">
        <v>3329.55</v>
      </c>
      <c r="I4014" s="254" t="s">
        <v>10831</v>
      </c>
      <c r="J4014" s="585" t="s">
        <v>11420</v>
      </c>
      <c r="K4014" s="811">
        <v>41848</v>
      </c>
      <c r="L4014" s="585" t="s">
        <v>12787</v>
      </c>
      <c r="M4014" s="811">
        <v>41845</v>
      </c>
      <c r="N4014" s="386" t="s">
        <v>12406</v>
      </c>
      <c r="O4014" s="1088" t="s">
        <v>12788</v>
      </c>
      <c r="Q4014" s="772"/>
      <c r="R4014" s="323">
        <v>110.985</v>
      </c>
      <c r="S4014" s="464">
        <f t="shared" si="254"/>
        <v>110.985</v>
      </c>
      <c r="U4014" s="464">
        <v>3192</v>
      </c>
      <c r="V4014" s="386" t="s">
        <v>8443</v>
      </c>
      <c r="X4014" s="1094">
        <v>41848</v>
      </c>
      <c r="Z4014" s="1110">
        <v>3192</v>
      </c>
      <c r="AA4014" s="1094">
        <v>41862</v>
      </c>
      <c r="AB4014" s="386" t="s">
        <v>12789</v>
      </c>
      <c r="AF4014" s="386" t="s">
        <v>12790</v>
      </c>
    </row>
    <row r="4015" spans="1:32" ht="15.75" customHeight="1">
      <c r="A4015" s="1235">
        <v>41844</v>
      </c>
      <c r="B4015" s="592" t="s">
        <v>10673</v>
      </c>
      <c r="C4015" s="970" t="s">
        <v>12791</v>
      </c>
      <c r="D4015" s="386" t="s">
        <v>12792</v>
      </c>
      <c r="E4015" s="338" t="s">
        <v>12793</v>
      </c>
      <c r="F4015" s="1088">
        <v>10</v>
      </c>
      <c r="G4015" s="772"/>
      <c r="H4015" s="464">
        <v>54495</v>
      </c>
      <c r="I4015" s="254" t="s">
        <v>10831</v>
      </c>
      <c r="J4015" s="585" t="s">
        <v>11420</v>
      </c>
      <c r="K4015" s="811">
        <v>41864</v>
      </c>
      <c r="L4015" s="585" t="s">
        <v>12661</v>
      </c>
      <c r="M4015" s="811">
        <v>41858</v>
      </c>
      <c r="N4015" s="386" t="s">
        <v>12406</v>
      </c>
      <c r="O4015" s="1088" t="s">
        <v>12794</v>
      </c>
      <c r="Q4015" s="772"/>
      <c r="R4015" s="323">
        <v>181.65</v>
      </c>
      <c r="S4015" s="464">
        <f t="shared" si="254"/>
        <v>1816.5</v>
      </c>
      <c r="U4015" s="464">
        <v>52164</v>
      </c>
      <c r="V4015" s="386" t="s">
        <v>8443</v>
      </c>
      <c r="X4015" s="1094">
        <v>41858</v>
      </c>
      <c r="Z4015" s="1110">
        <v>52164</v>
      </c>
      <c r="AA4015" s="1094">
        <v>41879</v>
      </c>
      <c r="AB4015" s="386" t="s">
        <v>12795</v>
      </c>
      <c r="AF4015" s="386" t="s">
        <v>12796</v>
      </c>
    </row>
    <row r="4016" spans="1:32" ht="15.75" customHeight="1">
      <c r="A4016" s="1235">
        <v>41844</v>
      </c>
      <c r="B4016" s="592" t="s">
        <v>10673</v>
      </c>
      <c r="C4016" s="970" t="s">
        <v>12797</v>
      </c>
      <c r="D4016" s="386" t="s">
        <v>12798</v>
      </c>
      <c r="E4016" s="338" t="s">
        <v>12799</v>
      </c>
      <c r="F4016" s="1088">
        <v>19</v>
      </c>
      <c r="G4016" s="772"/>
      <c r="H4016" s="464">
        <v>67431</v>
      </c>
      <c r="I4016" s="254" t="s">
        <v>10831</v>
      </c>
      <c r="J4016" s="585" t="s">
        <v>11420</v>
      </c>
      <c r="K4016" s="811">
        <v>41852</v>
      </c>
      <c r="L4016" s="585" t="s">
        <v>5882</v>
      </c>
      <c r="M4016" s="1099">
        <v>41850</v>
      </c>
      <c r="N4016" s="386" t="s">
        <v>12406</v>
      </c>
      <c r="O4016" s="1088" t="s">
        <v>12800</v>
      </c>
      <c r="Q4016" s="772"/>
      <c r="R4016" s="323">
        <v>118.3</v>
      </c>
      <c r="S4016" s="464">
        <f t="shared" si="254"/>
        <v>2247.6999999999998</v>
      </c>
      <c r="U4016" s="464">
        <v>64638</v>
      </c>
      <c r="V4016" s="386" t="s">
        <v>8443</v>
      </c>
      <c r="X4016" s="1094">
        <v>41849</v>
      </c>
      <c r="Z4016" s="1110">
        <v>64638</v>
      </c>
      <c r="AA4016" s="1094">
        <v>41879</v>
      </c>
      <c r="AB4016" s="386" t="s">
        <v>12713</v>
      </c>
      <c r="AF4016" s="386" t="s">
        <v>12714</v>
      </c>
    </row>
    <row r="4017" spans="1:32" ht="15.75" customHeight="1">
      <c r="A4017" s="1235">
        <v>41848</v>
      </c>
      <c r="B4017" s="592" t="s">
        <v>10673</v>
      </c>
      <c r="C4017" s="970" t="s">
        <v>12801</v>
      </c>
      <c r="D4017" s="386" t="s">
        <v>12802</v>
      </c>
      <c r="E4017" s="338" t="s">
        <v>12769</v>
      </c>
      <c r="F4017" s="1088">
        <v>5</v>
      </c>
      <c r="G4017" s="772"/>
      <c r="H4017" s="464">
        <v>18637.5</v>
      </c>
      <c r="I4017" s="254" t="s">
        <v>10831</v>
      </c>
      <c r="J4017" s="585" t="s">
        <v>11420</v>
      </c>
      <c r="K4017" s="811">
        <v>41852</v>
      </c>
      <c r="L4017" s="585" t="s">
        <v>5882</v>
      </c>
      <c r="M4017" s="1099">
        <v>41850</v>
      </c>
      <c r="N4017" s="386" t="s">
        <v>12406</v>
      </c>
      <c r="O4017" s="1088" t="s">
        <v>12803</v>
      </c>
      <c r="Q4017" s="772"/>
      <c r="R4017" s="323">
        <v>124.25</v>
      </c>
      <c r="S4017" s="464">
        <f t="shared" si="254"/>
        <v>621.25</v>
      </c>
      <c r="U4017" s="464">
        <v>18443.25</v>
      </c>
      <c r="V4017" s="386" t="s">
        <v>8443</v>
      </c>
      <c r="X4017" s="1244">
        <v>41849</v>
      </c>
      <c r="Z4017" s="1245">
        <v>75968</v>
      </c>
      <c r="AA4017" s="1094">
        <v>41879</v>
      </c>
      <c r="AB4017" s="1242" t="s">
        <v>12713</v>
      </c>
      <c r="AF4017" s="1242" t="s">
        <v>12714</v>
      </c>
    </row>
    <row r="4018" spans="1:32" ht="15.75" customHeight="1">
      <c r="A4018" s="1235">
        <v>41848</v>
      </c>
      <c r="B4018" s="592" t="s">
        <v>10673</v>
      </c>
      <c r="C4018" s="970" t="s">
        <v>12801</v>
      </c>
      <c r="D4018" s="386" t="s">
        <v>12802</v>
      </c>
      <c r="E4018" s="338" t="s">
        <v>12804</v>
      </c>
      <c r="F4018" s="1088">
        <v>5</v>
      </c>
      <c r="G4018" s="772"/>
      <c r="H4018" s="464">
        <v>6762</v>
      </c>
      <c r="I4018" s="254" t="s">
        <v>10831</v>
      </c>
      <c r="J4018" s="585" t="s">
        <v>11420</v>
      </c>
      <c r="K4018" s="811">
        <v>41852</v>
      </c>
      <c r="L4018" s="585" t="s">
        <v>5882</v>
      </c>
      <c r="M4018" s="1099">
        <v>41850</v>
      </c>
      <c r="N4018" s="386" t="s">
        <v>12406</v>
      </c>
      <c r="O4018" s="1088" t="s">
        <v>12803</v>
      </c>
      <c r="Q4018" s="772"/>
      <c r="R4018" s="323">
        <v>45.08</v>
      </c>
      <c r="S4018" s="464">
        <f t="shared" si="254"/>
        <v>225.39999999999998</v>
      </c>
      <c r="U4018" s="464">
        <v>6489</v>
      </c>
      <c r="V4018" s="386" t="s">
        <v>8443</v>
      </c>
      <c r="X4018" s="1244"/>
      <c r="Z4018" s="1245"/>
      <c r="AA4018" s="1094">
        <v>41879</v>
      </c>
      <c r="AB4018" s="1242"/>
      <c r="AF4018" s="1242"/>
    </row>
    <row r="4019" spans="1:32" ht="15.75" customHeight="1">
      <c r="A4019" s="1235">
        <v>41848</v>
      </c>
      <c r="B4019" s="592" t="s">
        <v>10673</v>
      </c>
      <c r="C4019" s="970" t="s">
        <v>12801</v>
      </c>
      <c r="D4019" s="386" t="s">
        <v>12802</v>
      </c>
      <c r="E4019" s="338" t="s">
        <v>12805</v>
      </c>
      <c r="F4019" s="1088">
        <v>15</v>
      </c>
      <c r="G4019" s="772"/>
      <c r="H4019" s="464">
        <v>53235</v>
      </c>
      <c r="I4019" s="254" t="s">
        <v>10831</v>
      </c>
      <c r="J4019" s="585" t="s">
        <v>11420</v>
      </c>
      <c r="K4019" s="811">
        <v>41852</v>
      </c>
      <c r="L4019" s="585" t="s">
        <v>5882</v>
      </c>
      <c r="M4019" s="1099">
        <v>41850</v>
      </c>
      <c r="N4019" s="386" t="s">
        <v>12406</v>
      </c>
      <c r="O4019" s="1088" t="s">
        <v>12803</v>
      </c>
      <c r="Q4019" s="772"/>
      <c r="R4019" s="323">
        <v>118.3</v>
      </c>
      <c r="S4019" s="464">
        <f t="shared" si="254"/>
        <v>1774.5</v>
      </c>
      <c r="U4019" s="464">
        <v>51030</v>
      </c>
      <c r="V4019" s="386" t="s">
        <v>8443</v>
      </c>
      <c r="X4019" s="1094"/>
      <c r="Z4019" s="1110"/>
      <c r="AA4019" s="1094">
        <v>41879</v>
      </c>
      <c r="AB4019" s="386"/>
      <c r="AF4019" s="386"/>
    </row>
    <row r="4020" spans="1:32" ht="15.75" customHeight="1">
      <c r="A4020" s="1235">
        <v>41848</v>
      </c>
      <c r="B4020" s="592" t="s">
        <v>10738</v>
      </c>
      <c r="C4020" s="386"/>
      <c r="D4020" s="386" t="s">
        <v>12806</v>
      </c>
      <c r="E4020" s="338" t="s">
        <v>12807</v>
      </c>
      <c r="F4020" s="1088">
        <v>16</v>
      </c>
      <c r="G4020" s="386"/>
      <c r="H4020" s="386"/>
      <c r="I4020" s="254" t="s">
        <v>3712</v>
      </c>
      <c r="J4020" s="585" t="s">
        <v>12808</v>
      </c>
      <c r="K4020" s="811">
        <v>41863</v>
      </c>
      <c r="L4020" s="585" t="s">
        <v>5882</v>
      </c>
      <c r="M4020" s="811">
        <v>41862</v>
      </c>
      <c r="N4020" s="386" t="s">
        <v>89</v>
      </c>
      <c r="O4020" s="1240">
        <v>20140800130387</v>
      </c>
      <c r="Q4020" s="1256">
        <v>3794.7</v>
      </c>
      <c r="R4020" s="1088">
        <v>216</v>
      </c>
      <c r="S4020" s="1252">
        <f t="shared" si="254"/>
        <v>3456</v>
      </c>
      <c r="U4020" s="772"/>
      <c r="V4020" s="1242" t="s">
        <v>5896</v>
      </c>
      <c r="X4020" s="1237">
        <v>41862</v>
      </c>
      <c r="Z4020" s="1238">
        <v>113575</v>
      </c>
      <c r="AA4020" s="1094">
        <v>41870</v>
      </c>
      <c r="AB4020" s="263" t="s">
        <v>12809</v>
      </c>
      <c r="AF4020" s="386"/>
    </row>
    <row r="4021" spans="1:32" ht="15.75" customHeight="1">
      <c r="A4021" s="1235">
        <v>41848</v>
      </c>
      <c r="B4021" s="592" t="s">
        <v>10738</v>
      </c>
      <c r="C4021" s="386"/>
      <c r="D4021" s="386" t="s">
        <v>12806</v>
      </c>
      <c r="E4021" s="338" t="s">
        <v>7564</v>
      </c>
      <c r="F4021" s="1088">
        <v>26</v>
      </c>
      <c r="G4021" s="386"/>
      <c r="H4021" s="386"/>
      <c r="I4021" s="254" t="s">
        <v>3712</v>
      </c>
      <c r="J4021" s="585" t="s">
        <v>12810</v>
      </c>
      <c r="K4021" s="811">
        <v>41863</v>
      </c>
      <c r="L4021" s="585" t="s">
        <v>5882</v>
      </c>
      <c r="M4021" s="811">
        <v>41862</v>
      </c>
      <c r="N4021" s="386" t="s">
        <v>89</v>
      </c>
      <c r="O4021" s="752"/>
      <c r="Q4021" s="1208"/>
      <c r="R4021" s="1088">
        <v>22</v>
      </c>
      <c r="S4021" s="1252">
        <f t="shared" si="254"/>
        <v>572</v>
      </c>
      <c r="U4021" s="772"/>
      <c r="V4021" s="386"/>
      <c r="X4021" s="1084"/>
      <c r="Z4021" s="1100"/>
      <c r="AA4021" s="1094">
        <v>41870</v>
      </c>
      <c r="AB4021" s="263" t="s">
        <v>12811</v>
      </c>
      <c r="AF4021" s="386"/>
    </row>
    <row r="4022" spans="1:32" ht="15.75" customHeight="1">
      <c r="A4022" s="1235">
        <v>41849</v>
      </c>
      <c r="B4022" s="592" t="s">
        <v>10673</v>
      </c>
      <c r="C4022" s="970" t="s">
        <v>12812</v>
      </c>
      <c r="D4022" s="386" t="s">
        <v>12813</v>
      </c>
      <c r="E4022" s="338" t="s">
        <v>11008</v>
      </c>
      <c r="F4022" s="1088">
        <v>6</v>
      </c>
      <c r="G4022" s="772"/>
      <c r="H4022" s="464">
        <v>18113</v>
      </c>
      <c r="I4022" s="254" t="s">
        <v>10831</v>
      </c>
      <c r="J4022" s="585" t="s">
        <v>11420</v>
      </c>
      <c r="K4022" s="811">
        <v>41872</v>
      </c>
      <c r="L4022" s="585" t="s">
        <v>12814</v>
      </c>
      <c r="M4022" s="811">
        <v>41870</v>
      </c>
      <c r="N4022" s="386" t="s">
        <v>10778</v>
      </c>
      <c r="O4022" s="1088" t="s">
        <v>12815</v>
      </c>
      <c r="Q4022" s="772"/>
      <c r="R4022" s="323">
        <v>100.625</v>
      </c>
      <c r="S4022" s="464">
        <f t="shared" si="254"/>
        <v>603.75</v>
      </c>
      <c r="U4022" s="464">
        <v>17362.8</v>
      </c>
      <c r="V4022" s="386" t="s">
        <v>8443</v>
      </c>
      <c r="X4022" s="1094">
        <v>41869</v>
      </c>
      <c r="Z4022" s="1110">
        <v>17363</v>
      </c>
      <c r="AA4022" s="1094">
        <v>41879</v>
      </c>
      <c r="AB4022" s="386" t="s">
        <v>12816</v>
      </c>
      <c r="AF4022" s="386" t="s">
        <v>12817</v>
      </c>
    </row>
    <row r="4023" spans="1:32" ht="15.75" customHeight="1">
      <c r="A4023" s="1235">
        <v>41849</v>
      </c>
      <c r="B4023" s="592" t="s">
        <v>8502</v>
      </c>
      <c r="C4023" s="970" t="s">
        <v>12818</v>
      </c>
      <c r="D4023" s="386" t="s">
        <v>12819</v>
      </c>
      <c r="E4023" s="338" t="s">
        <v>12820</v>
      </c>
      <c r="F4023" s="1088">
        <v>500</v>
      </c>
      <c r="G4023" s="772"/>
      <c r="H4023" s="464">
        <v>11550</v>
      </c>
      <c r="I4023" s="254" t="s">
        <v>10831</v>
      </c>
      <c r="J4023" s="585" t="s">
        <v>11420</v>
      </c>
      <c r="K4023" s="811">
        <v>41884</v>
      </c>
      <c r="L4023" s="585" t="s">
        <v>12814</v>
      </c>
      <c r="M4023" s="811">
        <v>41883</v>
      </c>
      <c r="N4023" s="386" t="s">
        <v>12821</v>
      </c>
      <c r="O4023" s="1088" t="s">
        <v>12822</v>
      </c>
      <c r="Q4023" s="464">
        <v>288.75</v>
      </c>
      <c r="R4023" s="323">
        <v>0.77</v>
      </c>
      <c r="S4023" s="464">
        <f t="shared" si="254"/>
        <v>385</v>
      </c>
      <c r="U4023" s="464">
        <v>8662.5</v>
      </c>
      <c r="V4023" s="386" t="s">
        <v>5813</v>
      </c>
      <c r="X4023" s="1094">
        <v>41880</v>
      </c>
      <c r="Z4023" s="1110">
        <v>8663</v>
      </c>
      <c r="AA4023" s="1094">
        <v>41852</v>
      </c>
      <c r="AB4023" s="386" t="s">
        <v>12823</v>
      </c>
      <c r="AF4023" s="386" t="s">
        <v>12824</v>
      </c>
    </row>
    <row r="4024" spans="1:32" ht="15.75" customHeight="1">
      <c r="A4024" s="1235">
        <v>41850</v>
      </c>
      <c r="B4024" s="592" t="s">
        <v>629</v>
      </c>
      <c r="C4024" s="970" t="s">
        <v>12825</v>
      </c>
      <c r="D4024" s="386" t="s">
        <v>12826</v>
      </c>
      <c r="E4024" s="338" t="s">
        <v>12827</v>
      </c>
      <c r="F4024" s="1088">
        <v>12</v>
      </c>
      <c r="G4024" s="772"/>
      <c r="H4024" s="464">
        <f>S4024*29.4</f>
        <v>35932.68</v>
      </c>
      <c r="I4024" s="254" t="s">
        <v>11743</v>
      </c>
      <c r="J4024" s="585" t="s">
        <v>12398</v>
      </c>
      <c r="K4024" s="811">
        <v>41865</v>
      </c>
      <c r="L4024" s="585" t="s">
        <v>89</v>
      </c>
      <c r="M4024" s="386"/>
      <c r="N4024" s="386" t="s">
        <v>89</v>
      </c>
      <c r="O4024" s="752">
        <v>20140700130117</v>
      </c>
      <c r="Q4024" s="464">
        <v>1134</v>
      </c>
      <c r="R4024" s="323">
        <f>97*1.05</f>
        <v>101.85000000000001</v>
      </c>
      <c r="S4024" s="464">
        <f t="shared" si="254"/>
        <v>1222.2</v>
      </c>
      <c r="U4024" s="772"/>
      <c r="V4024" s="386" t="s">
        <v>5896</v>
      </c>
      <c r="X4024" s="1084">
        <v>41865</v>
      </c>
      <c r="Z4024" s="1100">
        <v>33941</v>
      </c>
      <c r="AA4024" s="1094">
        <v>41870</v>
      </c>
      <c r="AB4024" s="386" t="s">
        <v>12763</v>
      </c>
      <c r="AF4024" s="386" t="s">
        <v>12764</v>
      </c>
    </row>
    <row r="4025" spans="1:32" ht="15.75" customHeight="1">
      <c r="A4025" s="1235">
        <v>41851</v>
      </c>
      <c r="B4025" s="592" t="s">
        <v>10673</v>
      </c>
      <c r="C4025" s="970" t="s">
        <v>12828</v>
      </c>
      <c r="D4025" s="386" t="s">
        <v>12829</v>
      </c>
      <c r="E4025" s="338" t="s">
        <v>12769</v>
      </c>
      <c r="F4025" s="1088">
        <v>5</v>
      </c>
      <c r="G4025" s="772"/>
      <c r="H4025" s="464">
        <v>18637.5</v>
      </c>
      <c r="I4025" s="254" t="s">
        <v>10831</v>
      </c>
      <c r="J4025" s="585" t="s">
        <v>11420</v>
      </c>
      <c r="K4025" s="811">
        <v>41859</v>
      </c>
      <c r="L4025" s="585" t="s">
        <v>12787</v>
      </c>
      <c r="M4025" s="811">
        <v>41858</v>
      </c>
      <c r="N4025" s="386" t="s">
        <v>10778</v>
      </c>
      <c r="O4025" s="1088" t="s">
        <v>12830</v>
      </c>
      <c r="Q4025" s="772"/>
      <c r="R4025" s="323">
        <v>124.25</v>
      </c>
      <c r="S4025" s="464">
        <f t="shared" si="254"/>
        <v>621.25</v>
      </c>
      <c r="U4025" s="464">
        <v>18443.25</v>
      </c>
      <c r="V4025" s="386" t="s">
        <v>8443</v>
      </c>
      <c r="X4025" s="1237">
        <v>41857</v>
      </c>
      <c r="Z4025" s="1238">
        <v>24938</v>
      </c>
      <c r="AA4025" s="1094">
        <v>41879</v>
      </c>
      <c r="AB4025" s="1242" t="s">
        <v>12831</v>
      </c>
      <c r="AF4025" s="1242" t="s">
        <v>12832</v>
      </c>
    </row>
    <row r="4026" spans="1:32" ht="15.75" customHeight="1">
      <c r="A4026" s="1235">
        <v>41851</v>
      </c>
      <c r="B4026" s="592" t="s">
        <v>10673</v>
      </c>
      <c r="C4026" s="970" t="s">
        <v>12828</v>
      </c>
      <c r="D4026" s="386" t="s">
        <v>12829</v>
      </c>
      <c r="E4026" s="338" t="s">
        <v>12804</v>
      </c>
      <c r="F4026" s="1088">
        <v>5</v>
      </c>
      <c r="G4026" s="772"/>
      <c r="H4026" s="464">
        <v>6762</v>
      </c>
      <c r="I4026" s="254" t="s">
        <v>10831</v>
      </c>
      <c r="J4026" s="585" t="s">
        <v>11420</v>
      </c>
      <c r="K4026" s="811">
        <v>41859</v>
      </c>
      <c r="L4026" s="585" t="s">
        <v>12787</v>
      </c>
      <c r="M4026" s="811">
        <v>41858</v>
      </c>
      <c r="N4026" s="386" t="s">
        <v>10778</v>
      </c>
      <c r="O4026" s="1088" t="s">
        <v>12830</v>
      </c>
      <c r="Q4026" s="772"/>
      <c r="R4026" s="323">
        <v>45.08</v>
      </c>
      <c r="S4026" s="464">
        <f t="shared" si="254"/>
        <v>225.39999999999998</v>
      </c>
      <c r="U4026" s="464">
        <v>6489</v>
      </c>
      <c r="V4026" s="386" t="s">
        <v>8443</v>
      </c>
      <c r="X4026" s="1084"/>
      <c r="Z4026" s="1100"/>
      <c r="AA4026" s="1094">
        <v>41879</v>
      </c>
      <c r="AB4026" s="386"/>
      <c r="AF4026" s="386"/>
    </row>
    <row r="4027" spans="1:32" ht="15.75" customHeight="1">
      <c r="A4027" s="1235">
        <v>41851</v>
      </c>
      <c r="B4027" s="592" t="s">
        <v>10691</v>
      </c>
      <c r="C4027" s="386"/>
      <c r="D4027" s="386" t="s">
        <v>12833</v>
      </c>
      <c r="E4027" s="338" t="s">
        <v>12834</v>
      </c>
      <c r="F4027" s="1088">
        <v>1</v>
      </c>
      <c r="G4027" s="772"/>
      <c r="H4027" s="464">
        <v>4410</v>
      </c>
      <c r="I4027" s="254" t="s">
        <v>11643</v>
      </c>
      <c r="J4027" s="585" t="s">
        <v>10695</v>
      </c>
      <c r="K4027" s="811">
        <v>41850</v>
      </c>
      <c r="L4027" s="386"/>
      <c r="M4027" s="1099">
        <v>41850</v>
      </c>
      <c r="N4027" s="386" t="s">
        <v>10695</v>
      </c>
      <c r="O4027" s="386"/>
      <c r="Q4027" s="464">
        <v>126</v>
      </c>
      <c r="R4027" s="323">
        <v>147</v>
      </c>
      <c r="S4027" s="464">
        <f t="shared" si="254"/>
        <v>147</v>
      </c>
      <c r="U4027" s="323">
        <v>3772</v>
      </c>
      <c r="V4027" s="386" t="s">
        <v>10698</v>
      </c>
      <c r="X4027" s="1084">
        <v>41851</v>
      </c>
      <c r="Z4027" s="1100">
        <v>3772</v>
      </c>
      <c r="AA4027" s="1094">
        <v>41850</v>
      </c>
      <c r="AB4027" s="386" t="s">
        <v>12835</v>
      </c>
      <c r="AF4027" s="386" t="s">
        <v>12836</v>
      </c>
    </row>
    <row r="4028" spans="1:32" ht="15.75" customHeight="1">
      <c r="A4028" s="1235">
        <v>41856</v>
      </c>
      <c r="B4028" s="592" t="s">
        <v>10783</v>
      </c>
      <c r="C4028" s="386"/>
      <c r="D4028" s="386" t="s">
        <v>12837</v>
      </c>
      <c r="E4028" s="338" t="s">
        <v>10948</v>
      </c>
      <c r="F4028" s="1088">
        <v>5</v>
      </c>
      <c r="G4028" s="772"/>
      <c r="H4028" s="772"/>
      <c r="I4028" s="254" t="s">
        <v>3712</v>
      </c>
      <c r="J4028" s="585" t="s">
        <v>12838</v>
      </c>
      <c r="K4028" s="811">
        <v>41880</v>
      </c>
      <c r="L4028" s="1243" t="s">
        <v>89</v>
      </c>
      <c r="M4028" s="386"/>
      <c r="N4028" s="386" t="s">
        <v>89</v>
      </c>
      <c r="O4028" s="1240">
        <v>20140800131410</v>
      </c>
      <c r="Q4028" s="464">
        <v>231</v>
      </c>
      <c r="R4028" s="323">
        <v>52</v>
      </c>
      <c r="S4028" s="1252">
        <f t="shared" si="254"/>
        <v>260</v>
      </c>
      <c r="U4028" s="772"/>
      <c r="V4028" s="1242" t="s">
        <v>5896</v>
      </c>
      <c r="X4028" s="1237">
        <v>41880</v>
      </c>
      <c r="Z4028" s="1238">
        <v>621829</v>
      </c>
      <c r="AA4028" s="1094">
        <v>41876</v>
      </c>
      <c r="AB4028" s="1239" t="s">
        <v>12839</v>
      </c>
      <c r="AF4028" s="386"/>
    </row>
    <row r="4029" spans="1:32" ht="15.75" customHeight="1">
      <c r="A4029" s="1235">
        <v>41856</v>
      </c>
      <c r="B4029" s="592" t="s">
        <v>10783</v>
      </c>
      <c r="C4029" s="386"/>
      <c r="D4029" s="386" t="s">
        <v>12837</v>
      </c>
      <c r="E4029" s="338" t="s">
        <v>12840</v>
      </c>
      <c r="F4029" s="1088">
        <v>5</v>
      </c>
      <c r="G4029" s="772"/>
      <c r="H4029" s="772"/>
      <c r="I4029" s="254" t="s">
        <v>3712</v>
      </c>
      <c r="J4029" s="585" t="s">
        <v>12838</v>
      </c>
      <c r="K4029" s="811">
        <v>41880</v>
      </c>
      <c r="L4029" s="585"/>
      <c r="M4029" s="386"/>
      <c r="N4029" s="386" t="s">
        <v>89</v>
      </c>
      <c r="O4029" s="752"/>
      <c r="Q4029" s="464">
        <v>446.25</v>
      </c>
      <c r="R4029" s="323">
        <v>101</v>
      </c>
      <c r="S4029" s="1252">
        <f t="shared" si="254"/>
        <v>505</v>
      </c>
      <c r="U4029" s="772"/>
      <c r="V4029" s="386"/>
      <c r="X4029" s="1084"/>
      <c r="Z4029" s="1100"/>
      <c r="AA4029" s="1094">
        <v>41876</v>
      </c>
      <c r="AB4029" s="318"/>
      <c r="AF4029" s="386"/>
    </row>
    <row r="4030" spans="1:32" ht="15.75" customHeight="1">
      <c r="A4030" s="1235">
        <v>41857</v>
      </c>
      <c r="B4030" s="592" t="s">
        <v>10673</v>
      </c>
      <c r="C4030" s="970" t="s">
        <v>12841</v>
      </c>
      <c r="D4030" s="386" t="s">
        <v>12842</v>
      </c>
      <c r="E4030" s="338" t="s">
        <v>11008</v>
      </c>
      <c r="F4030" s="1088">
        <v>9</v>
      </c>
      <c r="G4030" s="772"/>
      <c r="H4030" s="464">
        <v>27169</v>
      </c>
      <c r="I4030" s="254" t="s">
        <v>10831</v>
      </c>
      <c r="J4030" s="585" t="s">
        <v>11420</v>
      </c>
      <c r="K4030" s="811">
        <v>41872</v>
      </c>
      <c r="L4030" s="585" t="s">
        <v>12814</v>
      </c>
      <c r="M4030" s="811">
        <v>41871</v>
      </c>
      <c r="N4030" s="386" t="s">
        <v>10778</v>
      </c>
      <c r="O4030" s="1088" t="s">
        <v>12843</v>
      </c>
      <c r="Q4030" s="772"/>
      <c r="R4030" s="323">
        <v>100.625</v>
      </c>
      <c r="S4030" s="464">
        <f t="shared" si="254"/>
        <v>905.625</v>
      </c>
      <c r="U4030" s="464">
        <v>26044</v>
      </c>
      <c r="V4030" s="386" t="s">
        <v>8443</v>
      </c>
      <c r="X4030" s="1094">
        <v>41869</v>
      </c>
      <c r="Z4030" s="1110">
        <v>26044</v>
      </c>
      <c r="AA4030" s="1094">
        <v>41879</v>
      </c>
      <c r="AB4030" s="386" t="s">
        <v>12816</v>
      </c>
      <c r="AF4030" s="386" t="s">
        <v>12817</v>
      </c>
    </row>
    <row r="4031" spans="1:32" ht="15.75" customHeight="1">
      <c r="A4031" s="1235">
        <v>41857</v>
      </c>
      <c r="B4031" s="592" t="s">
        <v>8502</v>
      </c>
      <c r="C4031" s="970" t="s">
        <v>12844</v>
      </c>
      <c r="D4031" s="386" t="s">
        <v>12845</v>
      </c>
      <c r="E4031" s="338" t="s">
        <v>12846</v>
      </c>
      <c r="F4031" s="1088">
        <v>1</v>
      </c>
      <c r="G4031" s="772"/>
      <c r="H4031" s="464">
        <v>6615</v>
      </c>
      <c r="I4031" s="254" t="s">
        <v>10831</v>
      </c>
      <c r="J4031" s="585" t="s">
        <v>11420</v>
      </c>
      <c r="K4031" s="811">
        <v>41872</v>
      </c>
      <c r="L4031" s="585" t="s">
        <v>12814</v>
      </c>
      <c r="M4031" s="811">
        <v>41872</v>
      </c>
      <c r="N4031" s="386" t="s">
        <v>12847</v>
      </c>
      <c r="O4031" s="1088" t="s">
        <v>12848</v>
      </c>
      <c r="Q4031" s="464">
        <v>199.5</v>
      </c>
      <c r="R4031" s="323">
        <v>220.5</v>
      </c>
      <c r="S4031" s="464">
        <f t="shared" si="254"/>
        <v>220.5</v>
      </c>
      <c r="U4031" s="464">
        <v>5985</v>
      </c>
      <c r="V4031" s="386" t="s">
        <v>2003</v>
      </c>
      <c r="X4031" s="1094">
        <v>41870</v>
      </c>
      <c r="Z4031" s="1110">
        <v>5985</v>
      </c>
      <c r="AA4031" s="1094">
        <v>41862</v>
      </c>
      <c r="AB4031" s="386" t="s">
        <v>12849</v>
      </c>
      <c r="AF4031" s="386" t="s">
        <v>12817</v>
      </c>
    </row>
    <row r="4032" spans="1:32" ht="15.75" customHeight="1">
      <c r="A4032" s="1253">
        <v>41858</v>
      </c>
      <c r="B4032" s="592" t="s">
        <v>10673</v>
      </c>
      <c r="C4032" s="263" t="s">
        <v>12850</v>
      </c>
      <c r="D4032" s="318" t="s">
        <v>12851</v>
      </c>
      <c r="E4032" s="338" t="s">
        <v>12793</v>
      </c>
      <c r="F4032" s="752">
        <v>10</v>
      </c>
      <c r="G4032" s="772"/>
      <c r="H4032" s="464">
        <v>54495</v>
      </c>
      <c r="I4032" s="254" t="s">
        <v>10831</v>
      </c>
      <c r="J4032" s="254" t="s">
        <v>11420</v>
      </c>
      <c r="K4032" s="811">
        <v>41891</v>
      </c>
      <c r="L4032" s="254" t="s">
        <v>10120</v>
      </c>
      <c r="M4032" s="811">
        <v>41887</v>
      </c>
      <c r="N4032" s="318" t="s">
        <v>10778</v>
      </c>
      <c r="O4032" s="752" t="s">
        <v>12852</v>
      </c>
      <c r="Q4032" s="772"/>
      <c r="R4032" s="464">
        <v>181.65</v>
      </c>
      <c r="S4032" s="464">
        <f t="shared" si="254"/>
        <v>1816.5</v>
      </c>
      <c r="U4032" s="464">
        <v>52164</v>
      </c>
      <c r="V4032" s="318" t="s">
        <v>8443</v>
      </c>
      <c r="X4032" s="1084">
        <v>41886</v>
      </c>
      <c r="Z4032" s="1100">
        <v>52164</v>
      </c>
      <c r="AA4032" s="1084">
        <v>41911</v>
      </c>
      <c r="AB4032" s="318" t="s">
        <v>12853</v>
      </c>
      <c r="AF4032" s="318" t="s">
        <v>12854</v>
      </c>
    </row>
    <row r="4033" spans="1:32" ht="15.75" customHeight="1">
      <c r="A4033" s="1253">
        <v>41863</v>
      </c>
      <c r="B4033" s="592" t="s">
        <v>629</v>
      </c>
      <c r="C4033" s="263" t="s">
        <v>12855</v>
      </c>
      <c r="D4033" s="318" t="s">
        <v>12856</v>
      </c>
      <c r="E4033" s="338" t="s">
        <v>12857</v>
      </c>
      <c r="F4033" s="752">
        <v>2</v>
      </c>
      <c r="G4033" s="772"/>
      <c r="H4033" s="464">
        <f>S4033*29.4</f>
        <v>10925.04</v>
      </c>
      <c r="I4033" s="254" t="s">
        <v>11643</v>
      </c>
      <c r="J4033" s="254" t="s">
        <v>89</v>
      </c>
      <c r="K4033" s="811">
        <v>41872</v>
      </c>
      <c r="L4033" s="1257" t="s">
        <v>89</v>
      </c>
      <c r="M4033" s="386"/>
      <c r="N4033" s="1239" t="s">
        <v>89</v>
      </c>
      <c r="O4033" s="1240">
        <v>20140800131328</v>
      </c>
      <c r="Q4033" s="1236">
        <v>451.5</v>
      </c>
      <c r="R4033" s="464">
        <v>177</v>
      </c>
      <c r="S4033" s="464">
        <v>371.6</v>
      </c>
      <c r="U4033" s="772"/>
      <c r="V4033" s="1239" t="s">
        <v>5896</v>
      </c>
      <c r="X4033" s="1237">
        <v>41872</v>
      </c>
      <c r="Z4033" s="1238">
        <v>13504</v>
      </c>
      <c r="AA4033" s="1237">
        <v>41912</v>
      </c>
      <c r="AB4033" s="1239" t="s">
        <v>12858</v>
      </c>
      <c r="AF4033" s="1239" t="s">
        <v>12859</v>
      </c>
    </row>
    <row r="4034" spans="1:32" ht="15.75" customHeight="1">
      <c r="A4034" s="1253">
        <v>41863</v>
      </c>
      <c r="B4034" s="592" t="s">
        <v>629</v>
      </c>
      <c r="C4034" s="263" t="s">
        <v>12855</v>
      </c>
      <c r="D4034" s="318" t="s">
        <v>12856</v>
      </c>
      <c r="E4034" s="338" t="s">
        <v>12860</v>
      </c>
      <c r="F4034" s="752">
        <v>2</v>
      </c>
      <c r="G4034" s="772"/>
      <c r="H4034" s="464">
        <f>S4034*29.4</f>
        <v>5062.6799999999994</v>
      </c>
      <c r="I4034" s="254" t="s">
        <v>11643</v>
      </c>
      <c r="J4034" s="254" t="s">
        <v>89</v>
      </c>
      <c r="K4034" s="811">
        <v>41872</v>
      </c>
      <c r="L4034" s="254"/>
      <c r="M4034" s="386"/>
      <c r="N4034" s="318"/>
      <c r="O4034" s="752"/>
      <c r="Q4034" s="464"/>
      <c r="R4034" s="464">
        <v>82</v>
      </c>
      <c r="S4034" s="464">
        <v>172.2</v>
      </c>
      <c r="U4034" s="772"/>
      <c r="V4034" s="318"/>
      <c r="X4034" s="1084"/>
      <c r="Z4034" s="1100"/>
      <c r="AA4034" s="1084"/>
      <c r="AB4034" s="318"/>
      <c r="AF4034" s="318"/>
    </row>
    <row r="4035" spans="1:32" ht="15.75" customHeight="1">
      <c r="A4035" s="1235">
        <v>41864</v>
      </c>
      <c r="B4035" s="592" t="s">
        <v>10783</v>
      </c>
      <c r="C4035" s="386"/>
      <c r="D4035" s="386" t="s">
        <v>12861</v>
      </c>
      <c r="E4035" s="823" t="s">
        <v>7052</v>
      </c>
      <c r="F4035" s="1088">
        <v>70</v>
      </c>
      <c r="G4035" s="772"/>
      <c r="H4035" s="772"/>
      <c r="I4035" s="254" t="s">
        <v>3712</v>
      </c>
      <c r="J4035" s="585" t="s">
        <v>12838</v>
      </c>
      <c r="K4035" s="811">
        <v>41880</v>
      </c>
      <c r="L4035" s="1243" t="s">
        <v>89</v>
      </c>
      <c r="M4035" s="1242"/>
      <c r="N4035" s="1242" t="s">
        <v>89</v>
      </c>
      <c r="O4035" s="1240">
        <v>20140800131410</v>
      </c>
      <c r="Q4035" s="464">
        <v>5733</v>
      </c>
      <c r="R4035" s="323">
        <v>90</v>
      </c>
      <c r="S4035" s="1252">
        <f>F4035*R4035</f>
        <v>6300</v>
      </c>
      <c r="U4035" s="772"/>
      <c r="V4035" s="1242" t="s">
        <v>12862</v>
      </c>
      <c r="X4035" s="1237">
        <v>41880</v>
      </c>
      <c r="Z4035" s="1238">
        <v>621829</v>
      </c>
      <c r="AA4035" s="1244">
        <v>41876</v>
      </c>
      <c r="AB4035" s="1239" t="s">
        <v>12839</v>
      </c>
      <c r="AF4035" s="386"/>
    </row>
    <row r="4036" spans="1:32" ht="15.75" customHeight="1">
      <c r="A4036" s="1235">
        <v>41864</v>
      </c>
      <c r="B4036" s="592" t="s">
        <v>10783</v>
      </c>
      <c r="C4036" s="386"/>
      <c r="D4036" s="386" t="s">
        <v>12861</v>
      </c>
      <c r="E4036" s="592" t="s">
        <v>12863</v>
      </c>
      <c r="F4036" s="1088">
        <v>30</v>
      </c>
      <c r="G4036" s="772"/>
      <c r="H4036" s="772"/>
      <c r="I4036" s="254" t="s">
        <v>3712</v>
      </c>
      <c r="J4036" s="585" t="s">
        <v>12838</v>
      </c>
      <c r="K4036" s="811">
        <v>41880</v>
      </c>
      <c r="L4036" s="1243"/>
      <c r="M4036" s="1242"/>
      <c r="N4036" s="1242"/>
      <c r="O4036" s="1240"/>
      <c r="Q4036" s="464">
        <v>8505</v>
      </c>
      <c r="R4036" s="323">
        <v>325</v>
      </c>
      <c r="S4036" s="1252">
        <f>F4036*R4036</f>
        <v>9750</v>
      </c>
      <c r="U4036" s="772"/>
      <c r="V4036" s="1242"/>
      <c r="X4036" s="1237"/>
      <c r="Z4036" s="1238"/>
      <c r="AA4036" s="1244"/>
      <c r="AB4036" s="1239"/>
      <c r="AF4036" s="386"/>
    </row>
    <row r="4037" spans="1:32" ht="15.75" customHeight="1">
      <c r="A4037" s="1235">
        <v>41864</v>
      </c>
      <c r="B4037" s="592" t="s">
        <v>10783</v>
      </c>
      <c r="C4037" s="386"/>
      <c r="D4037" s="386" t="s">
        <v>12861</v>
      </c>
      <c r="E4037" s="592" t="s">
        <v>12864</v>
      </c>
      <c r="F4037" s="1088">
        <v>5</v>
      </c>
      <c r="G4037" s="772"/>
      <c r="H4037" s="772"/>
      <c r="I4037" s="254" t="s">
        <v>3712</v>
      </c>
      <c r="J4037" s="585" t="s">
        <v>12838</v>
      </c>
      <c r="K4037" s="811">
        <v>41880</v>
      </c>
      <c r="L4037" s="1243"/>
      <c r="M4037" s="1242"/>
      <c r="N4037" s="1242"/>
      <c r="O4037" s="1240"/>
      <c r="Q4037" s="464">
        <v>2357.25</v>
      </c>
      <c r="R4037" s="323">
        <v>505</v>
      </c>
      <c r="S4037" s="1252">
        <f>F4037*R4037</f>
        <v>2525</v>
      </c>
      <c r="U4037" s="772"/>
      <c r="V4037" s="1242"/>
      <c r="X4037" s="1237"/>
      <c r="Z4037" s="1238"/>
      <c r="AA4037" s="1244"/>
      <c r="AB4037" s="1239"/>
      <c r="AF4037" s="386"/>
    </row>
    <row r="4038" spans="1:32" ht="15.75" customHeight="1">
      <c r="A4038" s="1235">
        <v>41864</v>
      </c>
      <c r="B4038" s="592" t="s">
        <v>10783</v>
      </c>
      <c r="C4038" s="386"/>
      <c r="D4038" s="386" t="s">
        <v>12861</v>
      </c>
      <c r="E4038" s="592" t="s">
        <v>12865</v>
      </c>
      <c r="F4038" s="1088">
        <v>1</v>
      </c>
      <c r="G4038" s="772"/>
      <c r="H4038" s="772"/>
      <c r="I4038" s="254" t="s">
        <v>3712</v>
      </c>
      <c r="J4038" s="585" t="s">
        <v>12838</v>
      </c>
      <c r="K4038" s="811">
        <v>41880</v>
      </c>
      <c r="L4038" s="1243"/>
      <c r="M4038" s="1242"/>
      <c r="N4038" s="1242"/>
      <c r="O4038" s="1240"/>
      <c r="Q4038" s="464">
        <v>614.25</v>
      </c>
      <c r="R4038" s="323">
        <v>660</v>
      </c>
      <c r="S4038" s="1252">
        <f>F4038*R4038</f>
        <v>660</v>
      </c>
      <c r="U4038" s="772"/>
      <c r="V4038" s="1242"/>
      <c r="X4038" s="1237"/>
      <c r="Z4038" s="1238"/>
      <c r="AA4038" s="1244"/>
      <c r="AB4038" s="1239"/>
      <c r="AF4038" s="386"/>
    </row>
    <row r="4039" spans="1:32" ht="15.75" customHeight="1">
      <c r="A4039" s="1235">
        <v>41864</v>
      </c>
      <c r="B4039" s="592" t="s">
        <v>10783</v>
      </c>
      <c r="C4039" s="386"/>
      <c r="D4039" s="386" t="s">
        <v>12861</v>
      </c>
      <c r="E4039" s="592" t="s">
        <v>4616</v>
      </c>
      <c r="F4039" s="1088">
        <v>35</v>
      </c>
      <c r="G4039" s="772"/>
      <c r="H4039" s="772"/>
      <c r="I4039" s="254" t="s">
        <v>3712</v>
      </c>
      <c r="J4039" s="585" t="s">
        <v>12838</v>
      </c>
      <c r="K4039" s="811">
        <v>41880</v>
      </c>
      <c r="L4039" s="585"/>
      <c r="M4039" s="386"/>
      <c r="N4039" s="386"/>
      <c r="O4039" s="752"/>
      <c r="Q4039" s="464">
        <v>2903.25</v>
      </c>
      <c r="R4039" s="323">
        <v>88</v>
      </c>
      <c r="S4039" s="1252">
        <f>F4039*R4039</f>
        <v>3080</v>
      </c>
      <c r="U4039" s="772"/>
      <c r="V4039" s="386"/>
      <c r="X4039" s="1084"/>
      <c r="Z4039" s="1100"/>
      <c r="AA4039" s="1094"/>
      <c r="AB4039" s="318"/>
      <c r="AF4039" s="386"/>
    </row>
    <row r="4040" spans="1:32" ht="15.75" customHeight="1">
      <c r="A4040" s="1253">
        <v>41864</v>
      </c>
      <c r="B4040" s="592" t="s">
        <v>53</v>
      </c>
      <c r="C4040" s="263" t="s">
        <v>12866</v>
      </c>
      <c r="D4040" s="318" t="s">
        <v>12867</v>
      </c>
      <c r="E4040" s="338" t="s">
        <v>8805</v>
      </c>
      <c r="F4040" s="752">
        <v>20</v>
      </c>
      <c r="G4040" s="772"/>
      <c r="H4040" s="772"/>
      <c r="I4040" s="254" t="s">
        <v>8429</v>
      </c>
      <c r="J4040" s="254" t="s">
        <v>89</v>
      </c>
      <c r="K4040" s="811">
        <v>41877</v>
      </c>
      <c r="L4040" s="254" t="s">
        <v>89</v>
      </c>
      <c r="M4040" s="386"/>
      <c r="N4040" s="318" t="s">
        <v>89</v>
      </c>
      <c r="O4040" s="752">
        <v>20140800131151</v>
      </c>
      <c r="Q4040" s="464">
        <v>2688</v>
      </c>
      <c r="R4040" s="464">
        <v>150.15</v>
      </c>
      <c r="S4040" s="1252">
        <f>R4040*F4040</f>
        <v>3003</v>
      </c>
      <c r="U4040" s="772"/>
      <c r="V4040" s="1239" t="s">
        <v>5896</v>
      </c>
      <c r="X4040" s="1084">
        <v>41877</v>
      </c>
      <c r="Z4040" s="1100">
        <v>80398</v>
      </c>
      <c r="AA4040" s="1084">
        <v>41912</v>
      </c>
      <c r="AB4040" s="318" t="s">
        <v>12868</v>
      </c>
      <c r="AF4040" s="318" t="s">
        <v>12869</v>
      </c>
    </row>
    <row r="4041" spans="1:32" ht="15.75" customHeight="1">
      <c r="A4041" s="1253">
        <v>41864</v>
      </c>
      <c r="B4041" s="592" t="s">
        <v>53</v>
      </c>
      <c r="C4041" s="263" t="s">
        <v>12866</v>
      </c>
      <c r="D4041" s="318" t="s">
        <v>12867</v>
      </c>
      <c r="E4041" s="338" t="s">
        <v>8805</v>
      </c>
      <c r="F4041" s="752">
        <v>30</v>
      </c>
      <c r="G4041" s="772"/>
      <c r="H4041" s="772"/>
      <c r="I4041" s="254" t="s">
        <v>8429</v>
      </c>
      <c r="J4041" s="254" t="s">
        <v>89</v>
      </c>
      <c r="K4041" s="811">
        <v>41908</v>
      </c>
      <c r="L4041" s="254" t="s">
        <v>89</v>
      </c>
      <c r="M4041" s="386"/>
      <c r="N4041" s="318" t="s">
        <v>89</v>
      </c>
      <c r="O4041" s="752">
        <v>20140800131151</v>
      </c>
      <c r="Q4041" s="464">
        <v>4032</v>
      </c>
      <c r="R4041" s="464">
        <v>150.15</v>
      </c>
      <c r="S4041" s="1252">
        <f>R4041*F4041</f>
        <v>4504.5</v>
      </c>
      <c r="U4041" s="772"/>
      <c r="V4041" s="318"/>
      <c r="X4041" s="1084">
        <v>41908</v>
      </c>
      <c r="Z4041" s="1100">
        <v>120960</v>
      </c>
      <c r="AA4041" s="1084">
        <v>41912</v>
      </c>
      <c r="AB4041" s="318" t="s">
        <v>12870</v>
      </c>
      <c r="AF4041" s="318" t="s">
        <v>12871</v>
      </c>
    </row>
    <row r="4042" spans="1:32" ht="15.75" customHeight="1">
      <c r="A4042" s="1253">
        <v>41865</v>
      </c>
      <c r="B4042" s="592" t="s">
        <v>10673</v>
      </c>
      <c r="C4042" s="263" t="s">
        <v>12872</v>
      </c>
      <c r="D4042" s="318" t="s">
        <v>12873</v>
      </c>
      <c r="E4042" s="338" t="s">
        <v>12874</v>
      </c>
      <c r="F4042" s="752">
        <v>1</v>
      </c>
      <c r="G4042" s="772"/>
      <c r="H4042" s="464">
        <v>3948</v>
      </c>
      <c r="I4042" s="254" t="s">
        <v>10831</v>
      </c>
      <c r="J4042" s="254" t="s">
        <v>11420</v>
      </c>
      <c r="K4042" s="811">
        <v>41884</v>
      </c>
      <c r="L4042" s="254" t="s">
        <v>12875</v>
      </c>
      <c r="M4042" s="811">
        <v>41883</v>
      </c>
      <c r="N4042" s="318" t="s">
        <v>10778</v>
      </c>
      <c r="O4042" s="752" t="s">
        <v>12876</v>
      </c>
      <c r="Q4042" s="772"/>
      <c r="R4042" s="464">
        <v>131.6</v>
      </c>
      <c r="S4042" s="464">
        <f t="shared" ref="S4042:S4047" si="255">F4042*R4042</f>
        <v>131.6</v>
      </c>
      <c r="U4042" s="464">
        <v>3776.85</v>
      </c>
      <c r="V4042" s="318" t="s">
        <v>8443</v>
      </c>
      <c r="X4042" s="1084">
        <v>41883</v>
      </c>
      <c r="Z4042" s="1100">
        <v>3777</v>
      </c>
      <c r="AA4042" s="1084">
        <v>41912</v>
      </c>
      <c r="AB4042" s="318" t="s">
        <v>12877</v>
      </c>
      <c r="AF4042" s="318" t="s">
        <v>12878</v>
      </c>
    </row>
    <row r="4043" spans="1:32" ht="15.75" customHeight="1">
      <c r="A4043" s="1235">
        <v>41865</v>
      </c>
      <c r="B4043" s="592" t="s">
        <v>10673</v>
      </c>
      <c r="C4043" s="970" t="s">
        <v>12872</v>
      </c>
      <c r="D4043" s="386" t="s">
        <v>12873</v>
      </c>
      <c r="E4043" s="338" t="s">
        <v>3510</v>
      </c>
      <c r="F4043" s="1088">
        <v>5</v>
      </c>
      <c r="G4043" s="772"/>
      <c r="H4043" s="464">
        <v>20764</v>
      </c>
      <c r="I4043" s="254" t="s">
        <v>10831</v>
      </c>
      <c r="J4043" s="585" t="s">
        <v>11420</v>
      </c>
      <c r="K4043" s="811">
        <v>41872</v>
      </c>
      <c r="L4043" s="585" t="s">
        <v>12814</v>
      </c>
      <c r="M4043" s="811">
        <v>41870</v>
      </c>
      <c r="N4043" s="386" t="s">
        <v>10778</v>
      </c>
      <c r="O4043" s="1088" t="s">
        <v>12876</v>
      </c>
      <c r="Q4043" s="772"/>
      <c r="R4043" s="323">
        <v>138.42500000000001</v>
      </c>
      <c r="S4043" s="464">
        <f t="shared" si="255"/>
        <v>692.125</v>
      </c>
      <c r="U4043" s="464">
        <v>19913.25</v>
      </c>
      <c r="V4043" s="386" t="s">
        <v>8443</v>
      </c>
      <c r="X4043" s="1094">
        <v>41866</v>
      </c>
      <c r="Z4043" s="1110">
        <v>19913</v>
      </c>
      <c r="AA4043" s="1094">
        <v>41879</v>
      </c>
      <c r="AB4043" s="386" t="s">
        <v>12879</v>
      </c>
      <c r="AF4043" s="386" t="s">
        <v>12817</v>
      </c>
    </row>
    <row r="4044" spans="1:32" ht="15.75" customHeight="1">
      <c r="A4044" s="1253">
        <v>41869</v>
      </c>
      <c r="B4044" s="338" t="s">
        <v>12402</v>
      </c>
      <c r="C4044" s="263" t="s">
        <v>12880</v>
      </c>
      <c r="D4044" s="318" t="s">
        <v>12881</v>
      </c>
      <c r="E4044" s="338" t="s">
        <v>12616</v>
      </c>
      <c r="F4044" s="752">
        <v>4</v>
      </c>
      <c r="G4044" s="772"/>
      <c r="H4044" s="772"/>
      <c r="I4044" s="254" t="s">
        <v>3712</v>
      </c>
      <c r="J4044" s="254" t="s">
        <v>12882</v>
      </c>
      <c r="K4044" s="811">
        <v>41899</v>
      </c>
      <c r="L4044" s="386"/>
      <c r="M4044" s="386"/>
      <c r="N4044" s="386"/>
      <c r="O4044" s="386"/>
      <c r="Q4044" s="464">
        <v>440</v>
      </c>
      <c r="R4044" s="464">
        <v>132</v>
      </c>
      <c r="S4044" s="464">
        <f t="shared" si="255"/>
        <v>528</v>
      </c>
      <c r="U4044" s="772"/>
      <c r="V4044" s="386"/>
      <c r="X4044" s="752" t="s">
        <v>5529</v>
      </c>
      <c r="Z4044" s="752" t="s">
        <v>5529</v>
      </c>
      <c r="AA4044" s="318" t="s">
        <v>12883</v>
      </c>
      <c r="AB4044" s="318" t="s">
        <v>12884</v>
      </c>
      <c r="AF4044" s="386"/>
    </row>
    <row r="4045" spans="1:32" ht="15.75" customHeight="1">
      <c r="A4045" s="1235">
        <v>41870</v>
      </c>
      <c r="B4045" s="592" t="s">
        <v>10673</v>
      </c>
      <c r="C4045" s="970" t="s">
        <v>12885</v>
      </c>
      <c r="D4045" s="386" t="s">
        <v>12886</v>
      </c>
      <c r="E4045" s="338" t="s">
        <v>9854</v>
      </c>
      <c r="F4045" s="1088">
        <v>7</v>
      </c>
      <c r="G4045" s="772"/>
      <c r="H4045" s="464">
        <v>27710</v>
      </c>
      <c r="I4045" s="254" t="s">
        <v>10831</v>
      </c>
      <c r="J4045" s="585" t="s">
        <v>11420</v>
      </c>
      <c r="K4045" s="811">
        <v>41872</v>
      </c>
      <c r="L4045" s="585" t="s">
        <v>11420</v>
      </c>
      <c r="M4045" s="811">
        <v>41871</v>
      </c>
      <c r="N4045" s="386" t="s">
        <v>10778</v>
      </c>
      <c r="O4045" s="1088" t="s">
        <v>12887</v>
      </c>
      <c r="Q4045" s="772"/>
      <c r="R4045" s="323">
        <v>131.94999999999999</v>
      </c>
      <c r="S4045" s="464">
        <f t="shared" si="255"/>
        <v>923.64999999999986</v>
      </c>
      <c r="U4045" s="464">
        <v>26534</v>
      </c>
      <c r="V4045" s="386" t="s">
        <v>8443</v>
      </c>
      <c r="X4045" s="1094">
        <v>41870</v>
      </c>
      <c r="Z4045" s="1110">
        <v>26534</v>
      </c>
      <c r="AA4045" s="1094">
        <v>41869</v>
      </c>
      <c r="AB4045" s="386" t="s">
        <v>12816</v>
      </c>
      <c r="AF4045" s="386" t="s">
        <v>12817</v>
      </c>
    </row>
    <row r="4046" spans="1:32" ht="15.75" customHeight="1">
      <c r="A4046" s="1235">
        <v>41871</v>
      </c>
      <c r="B4046" s="592" t="s">
        <v>10673</v>
      </c>
      <c r="C4046" s="970" t="s">
        <v>12888</v>
      </c>
      <c r="D4046" s="386" t="s">
        <v>12889</v>
      </c>
      <c r="E4046" s="338" t="s">
        <v>6004</v>
      </c>
      <c r="F4046" s="1088">
        <v>2</v>
      </c>
      <c r="G4046" s="772"/>
      <c r="H4046" s="464">
        <v>8505</v>
      </c>
      <c r="I4046" s="254" t="s">
        <v>10831</v>
      </c>
      <c r="J4046" s="585" t="s">
        <v>11420</v>
      </c>
      <c r="K4046" s="811">
        <v>41877</v>
      </c>
      <c r="L4046" s="585" t="s">
        <v>12875</v>
      </c>
      <c r="M4046" s="811">
        <v>41876</v>
      </c>
      <c r="N4046" s="386" t="s">
        <v>10778</v>
      </c>
      <c r="O4046" s="1088" t="s">
        <v>12890</v>
      </c>
      <c r="Q4046" s="772"/>
      <c r="R4046" s="323">
        <v>141.75</v>
      </c>
      <c r="S4046" s="464">
        <f t="shared" si="255"/>
        <v>283.5</v>
      </c>
      <c r="U4046" s="464">
        <v>8139.6</v>
      </c>
      <c r="V4046" s="386" t="s">
        <v>8443</v>
      </c>
      <c r="X4046" s="1244">
        <v>41872</v>
      </c>
      <c r="Z4046" s="1245">
        <v>14634</v>
      </c>
      <c r="AA4046" s="1094">
        <v>41879</v>
      </c>
      <c r="AB4046" s="1242" t="s">
        <v>12891</v>
      </c>
      <c r="AF4046" s="1242" t="s">
        <v>12892</v>
      </c>
    </row>
    <row r="4047" spans="1:32" ht="15.75" customHeight="1">
      <c r="A4047" s="1235">
        <v>41871</v>
      </c>
      <c r="B4047" s="592" t="s">
        <v>10673</v>
      </c>
      <c r="C4047" s="970" t="s">
        <v>12888</v>
      </c>
      <c r="D4047" s="386" t="s">
        <v>12889</v>
      </c>
      <c r="E4047" s="338" t="s">
        <v>12893</v>
      </c>
      <c r="F4047" s="1088">
        <v>5</v>
      </c>
      <c r="G4047" s="772"/>
      <c r="H4047" s="464">
        <v>6762</v>
      </c>
      <c r="I4047" s="254" t="s">
        <v>10831</v>
      </c>
      <c r="J4047" s="585" t="s">
        <v>11420</v>
      </c>
      <c r="K4047" s="811">
        <v>41877</v>
      </c>
      <c r="L4047" s="585" t="s">
        <v>12875</v>
      </c>
      <c r="M4047" s="811">
        <v>41876</v>
      </c>
      <c r="N4047" s="386" t="s">
        <v>10778</v>
      </c>
      <c r="O4047" s="1088" t="s">
        <v>12890</v>
      </c>
      <c r="Q4047" s="772"/>
      <c r="R4047" s="323">
        <v>45.08</v>
      </c>
      <c r="S4047" s="464">
        <f t="shared" si="255"/>
        <v>225.39999999999998</v>
      </c>
      <c r="U4047" s="464">
        <v>6494.25</v>
      </c>
      <c r="V4047" s="386" t="s">
        <v>8443</v>
      </c>
      <c r="X4047" s="1094"/>
      <c r="Z4047" s="1110"/>
      <c r="AA4047" s="1094">
        <v>41879</v>
      </c>
      <c r="AB4047" s="386"/>
      <c r="AF4047" s="386"/>
    </row>
    <row r="4048" spans="1:32" ht="15.75" customHeight="1">
      <c r="A4048" s="1235">
        <v>41872</v>
      </c>
      <c r="B4048" s="592" t="s">
        <v>629</v>
      </c>
      <c r="C4048" s="970" t="s">
        <v>12894</v>
      </c>
      <c r="D4048" s="386" t="s">
        <v>12895</v>
      </c>
      <c r="E4048" s="338" t="s">
        <v>12896</v>
      </c>
      <c r="F4048" s="1088">
        <v>10</v>
      </c>
      <c r="G4048" s="772"/>
      <c r="H4048" s="464">
        <v>44504</v>
      </c>
      <c r="I4048" s="254" t="s">
        <v>11643</v>
      </c>
      <c r="J4048" s="254" t="s">
        <v>89</v>
      </c>
      <c r="K4048" s="811">
        <v>41901</v>
      </c>
      <c r="L4048" s="585" t="s">
        <v>89</v>
      </c>
      <c r="M4048" s="386"/>
      <c r="N4048" s="318" t="s">
        <v>89</v>
      </c>
      <c r="O4048" s="752">
        <v>20140800131576</v>
      </c>
      <c r="Q4048" s="464">
        <v>1365</v>
      </c>
      <c r="R4048" s="323">
        <v>141</v>
      </c>
      <c r="S4048" s="464">
        <f>F4048*R4048*1.05</f>
        <v>1480.5</v>
      </c>
      <c r="U4048" s="772"/>
      <c r="V4048" s="386" t="s">
        <v>12862</v>
      </c>
      <c r="X4048" s="1084">
        <v>41901</v>
      </c>
      <c r="Z4048" s="1100">
        <v>40779</v>
      </c>
      <c r="AA4048" s="1094">
        <v>41912</v>
      </c>
      <c r="AB4048" s="1239" t="s">
        <v>12897</v>
      </c>
      <c r="AF4048" s="1242" t="s">
        <v>12898</v>
      </c>
    </row>
    <row r="4049" spans="1:32" ht="15.75" customHeight="1">
      <c r="A4049" s="1235">
        <v>41872</v>
      </c>
      <c r="B4049" s="592" t="s">
        <v>629</v>
      </c>
      <c r="C4049" s="970" t="s">
        <v>12894</v>
      </c>
      <c r="D4049" s="386" t="s">
        <v>12895</v>
      </c>
      <c r="E4049" s="338" t="s">
        <v>12899</v>
      </c>
      <c r="F4049" s="1088">
        <v>20</v>
      </c>
      <c r="G4049" s="772"/>
      <c r="H4049" s="464">
        <v>6944</v>
      </c>
      <c r="I4049" s="254" t="s">
        <v>11643</v>
      </c>
      <c r="J4049" s="585" t="s">
        <v>11420</v>
      </c>
      <c r="K4049" s="811">
        <v>41900</v>
      </c>
      <c r="L4049" s="585" t="s">
        <v>8971</v>
      </c>
      <c r="M4049" s="811">
        <v>41883</v>
      </c>
      <c r="N4049" s="386" t="s">
        <v>302</v>
      </c>
      <c r="O4049" s="752" t="s">
        <v>12900</v>
      </c>
      <c r="Q4049" s="772"/>
      <c r="R4049" s="323">
        <v>11</v>
      </c>
      <c r="S4049" s="464">
        <f>F4049*R4049*1.05</f>
        <v>231</v>
      </c>
      <c r="U4049" s="464">
        <v>3864</v>
      </c>
      <c r="V4049" s="386" t="s">
        <v>12091</v>
      </c>
      <c r="X4049" s="1084">
        <v>41883</v>
      </c>
      <c r="Z4049" s="1100">
        <v>3864</v>
      </c>
      <c r="AA4049" s="1094">
        <v>41912</v>
      </c>
      <c r="AB4049" s="318"/>
      <c r="AF4049" s="386"/>
    </row>
    <row r="4050" spans="1:32" ht="15.75" customHeight="1">
      <c r="A4050" s="1235">
        <v>41876</v>
      </c>
      <c r="B4050" s="592" t="s">
        <v>6060</v>
      </c>
      <c r="C4050" s="970">
        <v>13</v>
      </c>
      <c r="D4050" s="386" t="s">
        <v>12901</v>
      </c>
      <c r="E4050" s="338" t="s">
        <v>12902</v>
      </c>
      <c r="F4050" s="1088">
        <v>6</v>
      </c>
      <c r="G4050" s="772"/>
      <c r="H4050" s="772"/>
      <c r="I4050" s="254" t="s">
        <v>86</v>
      </c>
      <c r="J4050" s="1243" t="s">
        <v>12903</v>
      </c>
      <c r="K4050" s="1099">
        <v>41884</v>
      </c>
      <c r="L4050" s="1243" t="s">
        <v>5882</v>
      </c>
      <c r="M4050" s="1249">
        <v>41883</v>
      </c>
      <c r="N4050" s="1242" t="s">
        <v>89</v>
      </c>
      <c r="O4050" s="1240">
        <v>20140800132305</v>
      </c>
      <c r="Q4050" s="1236">
        <v>842.1</v>
      </c>
      <c r="R4050" s="323">
        <v>68</v>
      </c>
      <c r="S4050" s="1252">
        <f t="shared" ref="S4050:S4074" si="256">F4050*R4050</f>
        <v>408</v>
      </c>
      <c r="U4050" s="772"/>
      <c r="V4050" s="1242" t="s">
        <v>5896</v>
      </c>
      <c r="X4050" s="1237">
        <v>41883</v>
      </c>
      <c r="Z4050" s="1238">
        <v>25204</v>
      </c>
      <c r="AA4050" s="1094">
        <v>41912</v>
      </c>
      <c r="AB4050" s="1247" t="s">
        <v>12904</v>
      </c>
      <c r="AF4050" s="386"/>
    </row>
    <row r="4051" spans="1:32" ht="15.75" customHeight="1">
      <c r="A4051" s="1235">
        <v>41876</v>
      </c>
      <c r="B4051" s="592" t="s">
        <v>6060</v>
      </c>
      <c r="C4051" s="970">
        <v>13</v>
      </c>
      <c r="D4051" s="386" t="s">
        <v>12901</v>
      </c>
      <c r="E4051" s="338" t="s">
        <v>3593</v>
      </c>
      <c r="F4051" s="1088">
        <v>5</v>
      </c>
      <c r="G4051" s="772"/>
      <c r="H4051" s="772"/>
      <c r="I4051" s="254" t="s">
        <v>86</v>
      </c>
      <c r="J4051" s="1243"/>
      <c r="K4051" s="1099">
        <v>41884</v>
      </c>
      <c r="L4051" s="1243"/>
      <c r="M4051" s="1249"/>
      <c r="N4051" s="1242"/>
      <c r="O4051" s="1240"/>
      <c r="Q4051" s="1236"/>
      <c r="R4051" s="323">
        <v>53</v>
      </c>
      <c r="S4051" s="1252">
        <f t="shared" si="256"/>
        <v>265</v>
      </c>
      <c r="U4051" s="772"/>
      <c r="V4051" s="1242"/>
      <c r="X4051" s="1237"/>
      <c r="Z4051" s="1238"/>
      <c r="AA4051" s="1094">
        <v>41912</v>
      </c>
      <c r="AB4051" s="1247"/>
      <c r="AF4051" s="386"/>
    </row>
    <row r="4052" spans="1:32" ht="15.75" customHeight="1">
      <c r="A4052" s="1235">
        <v>41876</v>
      </c>
      <c r="B4052" s="592" t="s">
        <v>6060</v>
      </c>
      <c r="C4052" s="970">
        <v>13</v>
      </c>
      <c r="D4052" s="386" t="s">
        <v>12901</v>
      </c>
      <c r="E4052" s="338" t="s">
        <v>12550</v>
      </c>
      <c r="F4052" s="1088">
        <v>5</v>
      </c>
      <c r="G4052" s="772"/>
      <c r="H4052" s="772"/>
      <c r="I4052" s="254" t="s">
        <v>86</v>
      </c>
      <c r="J4052" s="585"/>
      <c r="K4052" s="1099">
        <v>41884</v>
      </c>
      <c r="L4052" s="585"/>
      <c r="M4052" s="811"/>
      <c r="N4052" s="386"/>
      <c r="O4052" s="752"/>
      <c r="Q4052" s="464"/>
      <c r="R4052" s="323">
        <v>60</v>
      </c>
      <c r="S4052" s="1252">
        <f t="shared" si="256"/>
        <v>300</v>
      </c>
      <c r="U4052" s="772"/>
      <c r="V4052" s="386"/>
      <c r="X4052" s="1084"/>
      <c r="Z4052" s="1100"/>
      <c r="AA4052" s="1094">
        <v>41912</v>
      </c>
      <c r="AB4052" s="263"/>
      <c r="AF4052" s="386"/>
    </row>
    <row r="4053" spans="1:32" ht="15.75" customHeight="1">
      <c r="A4053" s="1235">
        <v>41877</v>
      </c>
      <c r="B4053" s="592" t="s">
        <v>11516</v>
      </c>
      <c r="C4053" s="386"/>
      <c r="D4053" s="386" t="s">
        <v>12905</v>
      </c>
      <c r="E4053" s="338" t="s">
        <v>12906</v>
      </c>
      <c r="F4053" s="1088">
        <v>2</v>
      </c>
      <c r="G4053" s="772"/>
      <c r="H4053" s="323">
        <f>S4053*30.026</f>
        <v>16814.560000000001</v>
      </c>
      <c r="I4053" s="254" t="s">
        <v>11643</v>
      </c>
      <c r="J4053" s="585" t="s">
        <v>11519</v>
      </c>
      <c r="K4053" s="811">
        <v>41897</v>
      </c>
      <c r="L4053" s="585" t="s">
        <v>5882</v>
      </c>
      <c r="M4053" s="811">
        <v>41887</v>
      </c>
      <c r="N4053" s="386" t="s">
        <v>89</v>
      </c>
      <c r="O4053" s="752">
        <v>20140800132306</v>
      </c>
      <c r="Q4053" s="464">
        <v>518.70000000000005</v>
      </c>
      <c r="R4053" s="323">
        <v>280</v>
      </c>
      <c r="S4053" s="464">
        <f t="shared" si="256"/>
        <v>560</v>
      </c>
      <c r="U4053" s="772"/>
      <c r="V4053" s="386" t="s">
        <v>12862</v>
      </c>
      <c r="X4053" s="1084">
        <v>41887</v>
      </c>
      <c r="Z4053" s="1100">
        <v>15525</v>
      </c>
      <c r="AA4053" s="1094">
        <v>41912</v>
      </c>
      <c r="AB4053" s="318" t="s">
        <v>12907</v>
      </c>
      <c r="AF4053" s="386"/>
    </row>
    <row r="4054" spans="1:32" ht="15.75" customHeight="1">
      <c r="A4054" s="1235">
        <v>41878</v>
      </c>
      <c r="B4054" s="592" t="s">
        <v>10673</v>
      </c>
      <c r="C4054" s="970" t="s">
        <v>12908</v>
      </c>
      <c r="D4054" s="386" t="s">
        <v>12909</v>
      </c>
      <c r="E4054" s="338" t="s">
        <v>6404</v>
      </c>
      <c r="F4054" s="1088">
        <v>16</v>
      </c>
      <c r="G4054" s="772"/>
      <c r="H4054" s="464">
        <v>56784</v>
      </c>
      <c r="I4054" s="254" t="s">
        <v>10831</v>
      </c>
      <c r="J4054" s="585" t="s">
        <v>11420</v>
      </c>
      <c r="K4054" s="811">
        <v>41884</v>
      </c>
      <c r="L4054" s="585" t="s">
        <v>12875</v>
      </c>
      <c r="M4054" s="811">
        <v>41883</v>
      </c>
      <c r="N4054" s="386" t="s">
        <v>10778</v>
      </c>
      <c r="O4054" s="1088" t="s">
        <v>12910</v>
      </c>
      <c r="Q4054" s="772"/>
      <c r="R4054" s="323">
        <v>118.3</v>
      </c>
      <c r="S4054" s="464">
        <f t="shared" si="256"/>
        <v>1892.8</v>
      </c>
      <c r="U4054" s="464">
        <v>54432</v>
      </c>
      <c r="V4054" s="386" t="s">
        <v>8443</v>
      </c>
      <c r="X4054" s="1094">
        <v>41880</v>
      </c>
      <c r="Z4054" s="1110">
        <v>54432</v>
      </c>
      <c r="AA4054" s="1094">
        <v>41911</v>
      </c>
      <c r="AB4054" s="318" t="s">
        <v>12877</v>
      </c>
      <c r="AF4054" s="318" t="s">
        <v>12878</v>
      </c>
    </row>
    <row r="4055" spans="1:32" ht="15.75" customHeight="1">
      <c r="A4055" s="1235">
        <v>41883</v>
      </c>
      <c r="B4055" s="592" t="s">
        <v>11516</v>
      </c>
      <c r="C4055" s="386"/>
      <c r="D4055" s="386" t="s">
        <v>12911</v>
      </c>
      <c r="E4055" s="338" t="s">
        <v>12912</v>
      </c>
      <c r="F4055" s="1088">
        <v>6</v>
      </c>
      <c r="G4055" s="772"/>
      <c r="H4055" s="772"/>
      <c r="I4055" s="254" t="s">
        <v>11643</v>
      </c>
      <c r="J4055" s="585" t="s">
        <v>11519</v>
      </c>
      <c r="K4055" s="811">
        <v>41897</v>
      </c>
      <c r="L4055" s="1243" t="s">
        <v>5882</v>
      </c>
      <c r="M4055" s="1249">
        <v>41893</v>
      </c>
      <c r="N4055" s="1242" t="s">
        <v>89</v>
      </c>
      <c r="O4055" s="1240">
        <v>20140900132709</v>
      </c>
      <c r="Q4055" s="464">
        <v>1310.4000000000001</v>
      </c>
      <c r="R4055" s="323">
        <v>244</v>
      </c>
      <c r="S4055" s="464">
        <f t="shared" si="256"/>
        <v>1464</v>
      </c>
      <c r="U4055" s="772"/>
      <c r="V4055" s="1242" t="s">
        <v>12862</v>
      </c>
      <c r="X4055" s="1237">
        <v>41892</v>
      </c>
      <c r="Z4055" s="1238">
        <v>56033</v>
      </c>
      <c r="AA4055" s="1094">
        <v>41912</v>
      </c>
      <c r="AB4055" s="1239" t="s">
        <v>12907</v>
      </c>
      <c r="AF4055" s="386"/>
    </row>
    <row r="4056" spans="1:32" ht="15.75" customHeight="1">
      <c r="A4056" s="1235">
        <v>41883</v>
      </c>
      <c r="B4056" s="592" t="s">
        <v>11516</v>
      </c>
      <c r="C4056" s="386"/>
      <c r="D4056" s="386" t="s">
        <v>12913</v>
      </c>
      <c r="E4056" s="338" t="s">
        <v>12914</v>
      </c>
      <c r="F4056" s="1088">
        <v>1</v>
      </c>
      <c r="G4056" s="772"/>
      <c r="H4056" s="772"/>
      <c r="I4056" s="254" t="s">
        <v>11643</v>
      </c>
      <c r="J4056" s="585" t="s">
        <v>11519</v>
      </c>
      <c r="K4056" s="811">
        <v>41897</v>
      </c>
      <c r="L4056" s="1243"/>
      <c r="M4056" s="1249"/>
      <c r="N4056" s="1242"/>
      <c r="O4056" s="1240"/>
      <c r="Q4056" s="464">
        <v>472.5</v>
      </c>
      <c r="R4056" s="323">
        <v>511</v>
      </c>
      <c r="S4056" s="464">
        <f t="shared" si="256"/>
        <v>511</v>
      </c>
      <c r="U4056" s="772"/>
      <c r="V4056" s="1242"/>
      <c r="X4056" s="1237"/>
      <c r="Z4056" s="1238"/>
      <c r="AA4056" s="1094">
        <v>41912</v>
      </c>
      <c r="AB4056" s="1239"/>
      <c r="AF4056" s="386"/>
    </row>
    <row r="4057" spans="1:32" ht="15.75" customHeight="1">
      <c r="A4057" s="1235">
        <v>41883</v>
      </c>
      <c r="B4057" s="592" t="s">
        <v>11516</v>
      </c>
      <c r="C4057" s="386"/>
      <c r="D4057" s="386" t="s">
        <v>12913</v>
      </c>
      <c r="E4057" s="338" t="s">
        <v>12915</v>
      </c>
      <c r="F4057" s="1088">
        <v>1</v>
      </c>
      <c r="G4057" s="772"/>
      <c r="H4057" s="772"/>
      <c r="I4057" s="254" t="s">
        <v>11643</v>
      </c>
      <c r="J4057" s="585" t="s">
        <v>11519</v>
      </c>
      <c r="K4057" s="811">
        <v>41897</v>
      </c>
      <c r="L4057" s="1243"/>
      <c r="M4057" s="811"/>
      <c r="N4057" s="1242"/>
      <c r="O4057" s="752"/>
      <c r="Q4057" s="464">
        <v>89.25</v>
      </c>
      <c r="R4057" s="323">
        <v>96</v>
      </c>
      <c r="S4057" s="464">
        <f t="shared" si="256"/>
        <v>96</v>
      </c>
      <c r="U4057" s="772"/>
      <c r="V4057" s="1242"/>
      <c r="X4057" s="1084"/>
      <c r="Z4057" s="1100"/>
      <c r="AA4057" s="1094">
        <v>41912</v>
      </c>
      <c r="AB4057" s="318"/>
      <c r="AF4057" s="386"/>
    </row>
    <row r="4058" spans="1:32" ht="15.75" customHeight="1">
      <c r="A4058" s="1235">
        <v>41883</v>
      </c>
      <c r="B4058" s="592" t="s">
        <v>11516</v>
      </c>
      <c r="C4058" s="386"/>
      <c r="D4058" s="386" t="s">
        <v>12913</v>
      </c>
      <c r="E4058" s="338" t="s">
        <v>12916</v>
      </c>
      <c r="F4058" s="1088">
        <v>5</v>
      </c>
      <c r="G4058" s="772"/>
      <c r="H4058" s="772"/>
      <c r="I4058" s="254" t="s">
        <v>11643</v>
      </c>
      <c r="J4058" s="585" t="s">
        <v>11519</v>
      </c>
      <c r="K4058" s="811">
        <v>41911</v>
      </c>
      <c r="L4058" s="585"/>
      <c r="M4058" s="811">
        <v>41908</v>
      </c>
      <c r="N4058" s="386"/>
      <c r="O4058" s="752">
        <v>20140900132709</v>
      </c>
      <c r="Q4058" s="464">
        <v>1706.25</v>
      </c>
      <c r="R4058" s="323">
        <v>362</v>
      </c>
      <c r="S4058" s="464">
        <f t="shared" si="256"/>
        <v>1810</v>
      </c>
      <c r="U4058" s="772"/>
      <c r="V4058" s="386"/>
      <c r="X4058" s="1084">
        <v>41908</v>
      </c>
      <c r="Z4058" s="1100">
        <v>51188</v>
      </c>
      <c r="AA4058" s="1094">
        <v>41912</v>
      </c>
      <c r="AB4058" s="318" t="s">
        <v>12917</v>
      </c>
      <c r="AF4058" s="386"/>
    </row>
    <row r="4059" spans="1:32" ht="15.75" customHeight="1">
      <c r="A4059" s="1235">
        <v>41886</v>
      </c>
      <c r="B4059" s="592" t="s">
        <v>10673</v>
      </c>
      <c r="C4059" s="970" t="s">
        <v>12918</v>
      </c>
      <c r="D4059" s="386" t="s">
        <v>12919</v>
      </c>
      <c r="E4059" s="338" t="s">
        <v>11425</v>
      </c>
      <c r="F4059" s="1088">
        <v>1</v>
      </c>
      <c r="G4059" s="772"/>
      <c r="H4059" s="464">
        <v>8865</v>
      </c>
      <c r="I4059" s="254" t="s">
        <v>10831</v>
      </c>
      <c r="J4059" s="585" t="s">
        <v>11420</v>
      </c>
      <c r="K4059" s="811">
        <v>41891</v>
      </c>
      <c r="L4059" s="585" t="s">
        <v>10120</v>
      </c>
      <c r="M4059" s="811">
        <v>41888</v>
      </c>
      <c r="N4059" s="386" t="s">
        <v>10778</v>
      </c>
      <c r="O4059" s="1088" t="s">
        <v>12920</v>
      </c>
      <c r="Q4059" s="1246"/>
      <c r="R4059" s="464">
        <v>295.505</v>
      </c>
      <c r="S4059" s="464">
        <f t="shared" si="256"/>
        <v>295.505</v>
      </c>
      <c r="U4059" s="464">
        <v>8510.8799999999992</v>
      </c>
      <c r="V4059" s="386" t="s">
        <v>8443</v>
      </c>
      <c r="X4059" s="1244">
        <v>41887</v>
      </c>
      <c r="Z4059" s="1245">
        <v>66681</v>
      </c>
      <c r="AA4059" s="1094">
        <v>41911</v>
      </c>
      <c r="AB4059" s="1242" t="s">
        <v>12921</v>
      </c>
      <c r="AF4059" s="1242" t="s">
        <v>12922</v>
      </c>
    </row>
    <row r="4060" spans="1:32" ht="15.75" customHeight="1">
      <c r="A4060" s="1235">
        <v>41886</v>
      </c>
      <c r="B4060" s="592" t="s">
        <v>10673</v>
      </c>
      <c r="C4060" s="970" t="s">
        <v>12918</v>
      </c>
      <c r="D4060" s="386" t="s">
        <v>12919</v>
      </c>
      <c r="E4060" s="338" t="s">
        <v>6261</v>
      </c>
      <c r="F4060" s="1088">
        <v>10</v>
      </c>
      <c r="G4060" s="772"/>
      <c r="H4060" s="464">
        <v>37275</v>
      </c>
      <c r="I4060" s="254" t="s">
        <v>10831</v>
      </c>
      <c r="J4060" s="585" t="s">
        <v>11420</v>
      </c>
      <c r="K4060" s="811">
        <v>41891</v>
      </c>
      <c r="L4060" s="585" t="s">
        <v>10120</v>
      </c>
      <c r="M4060" s="811">
        <v>41888</v>
      </c>
      <c r="N4060" s="386" t="s">
        <v>10778</v>
      </c>
      <c r="O4060" s="1088" t="s">
        <v>12920</v>
      </c>
      <c r="Q4060" s="1246"/>
      <c r="R4060" s="464">
        <v>124.25</v>
      </c>
      <c r="S4060" s="464">
        <f t="shared" si="256"/>
        <v>1242.5</v>
      </c>
      <c r="U4060" s="464">
        <v>36886.5</v>
      </c>
      <c r="V4060" s="386" t="s">
        <v>8443</v>
      </c>
      <c r="X4060" s="1244"/>
      <c r="Z4060" s="1245"/>
      <c r="AA4060" s="1094">
        <v>41911</v>
      </c>
      <c r="AB4060" s="1242"/>
      <c r="AF4060" s="1242"/>
    </row>
    <row r="4061" spans="1:32" ht="15.75" customHeight="1">
      <c r="A4061" s="1235">
        <v>41886</v>
      </c>
      <c r="B4061" s="592" t="s">
        <v>10673</v>
      </c>
      <c r="C4061" s="970" t="s">
        <v>12918</v>
      </c>
      <c r="D4061" s="386" t="s">
        <v>12919</v>
      </c>
      <c r="E4061" s="338" t="s">
        <v>6004</v>
      </c>
      <c r="F4061" s="1088">
        <v>2</v>
      </c>
      <c r="G4061" s="772"/>
      <c r="H4061" s="464">
        <v>8505</v>
      </c>
      <c r="I4061" s="254" t="s">
        <v>10831</v>
      </c>
      <c r="J4061" s="585" t="s">
        <v>11420</v>
      </c>
      <c r="K4061" s="811">
        <v>41891</v>
      </c>
      <c r="L4061" s="585" t="s">
        <v>10120</v>
      </c>
      <c r="M4061" s="811">
        <v>41888</v>
      </c>
      <c r="N4061" s="386" t="s">
        <v>10778</v>
      </c>
      <c r="O4061" s="1088" t="s">
        <v>12920</v>
      </c>
      <c r="Q4061" s="1246"/>
      <c r="R4061" s="464">
        <v>141.75</v>
      </c>
      <c r="S4061" s="464">
        <f t="shared" si="256"/>
        <v>283.5</v>
      </c>
      <c r="U4061" s="464">
        <v>8138.76</v>
      </c>
      <c r="V4061" s="386" t="s">
        <v>8443</v>
      </c>
      <c r="X4061" s="1244"/>
      <c r="Z4061" s="1245"/>
      <c r="AA4061" s="1094">
        <v>41911</v>
      </c>
      <c r="AB4061" s="1242"/>
      <c r="AF4061" s="1242"/>
    </row>
    <row r="4062" spans="1:32" ht="15.75" customHeight="1">
      <c r="A4062" s="1235">
        <v>41886</v>
      </c>
      <c r="B4062" s="592" t="s">
        <v>10673</v>
      </c>
      <c r="C4062" s="970" t="s">
        <v>12918</v>
      </c>
      <c r="D4062" s="386" t="s">
        <v>12919</v>
      </c>
      <c r="E4062" s="338" t="s">
        <v>11081</v>
      </c>
      <c r="F4062" s="1088">
        <v>1</v>
      </c>
      <c r="G4062" s="772"/>
      <c r="H4062" s="464">
        <v>2165.1</v>
      </c>
      <c r="I4062" s="254" t="s">
        <v>10831</v>
      </c>
      <c r="J4062" s="585" t="s">
        <v>11420</v>
      </c>
      <c r="K4062" s="811">
        <v>41891</v>
      </c>
      <c r="L4062" s="585" t="s">
        <v>10120</v>
      </c>
      <c r="M4062" s="811">
        <v>41888</v>
      </c>
      <c r="N4062" s="386" t="s">
        <v>10778</v>
      </c>
      <c r="O4062" s="1088" t="s">
        <v>12920</v>
      </c>
      <c r="Q4062" s="1246"/>
      <c r="R4062" s="464">
        <v>72.17</v>
      </c>
      <c r="S4062" s="464">
        <f t="shared" si="256"/>
        <v>72.17</v>
      </c>
      <c r="U4062" s="464">
        <v>2077.9499999999998</v>
      </c>
      <c r="V4062" s="386" t="s">
        <v>8443</v>
      </c>
      <c r="X4062" s="1244"/>
      <c r="Z4062" s="1245"/>
      <c r="AA4062" s="1094">
        <v>41911</v>
      </c>
      <c r="AB4062" s="1242"/>
      <c r="AF4062" s="1242"/>
    </row>
    <row r="4063" spans="1:32" ht="15.75" customHeight="1">
      <c r="A4063" s="1235">
        <v>41886</v>
      </c>
      <c r="B4063" s="592" t="s">
        <v>10673</v>
      </c>
      <c r="C4063" s="970" t="s">
        <v>12918</v>
      </c>
      <c r="D4063" s="386" t="s">
        <v>12919</v>
      </c>
      <c r="E4063" s="338" t="s">
        <v>6992</v>
      </c>
      <c r="F4063" s="1088">
        <v>3</v>
      </c>
      <c r="G4063" s="772"/>
      <c r="H4063" s="464">
        <v>11525.85</v>
      </c>
      <c r="I4063" s="254" t="s">
        <v>10831</v>
      </c>
      <c r="J4063" s="585" t="s">
        <v>11420</v>
      </c>
      <c r="K4063" s="811">
        <v>41891</v>
      </c>
      <c r="L4063" s="585" t="s">
        <v>10120</v>
      </c>
      <c r="M4063" s="811">
        <v>41888</v>
      </c>
      <c r="N4063" s="386" t="s">
        <v>10778</v>
      </c>
      <c r="O4063" s="1088" t="s">
        <v>12920</v>
      </c>
      <c r="Q4063" s="1246"/>
      <c r="R4063" s="464">
        <v>128.065</v>
      </c>
      <c r="S4063" s="464">
        <f t="shared" si="256"/>
        <v>384.19499999999999</v>
      </c>
      <c r="U4063" s="464">
        <v>11065.95</v>
      </c>
      <c r="V4063" s="386" t="s">
        <v>8443</v>
      </c>
      <c r="X4063" s="1094"/>
      <c r="Z4063" s="1110"/>
      <c r="AA4063" s="1094">
        <v>41911</v>
      </c>
      <c r="AB4063" s="386"/>
      <c r="AF4063" s="1242"/>
    </row>
    <row r="4064" spans="1:32" ht="15.75" customHeight="1">
      <c r="A4064" s="1235">
        <v>41886</v>
      </c>
      <c r="B4064" s="592" t="s">
        <v>10673</v>
      </c>
      <c r="C4064" s="970" t="s">
        <v>12923</v>
      </c>
      <c r="D4064" s="386" t="s">
        <v>12924</v>
      </c>
      <c r="E4064" s="338" t="s">
        <v>11474</v>
      </c>
      <c r="F4064" s="1088">
        <v>2</v>
      </c>
      <c r="G4064" s="772"/>
      <c r="H4064" s="464">
        <v>15647</v>
      </c>
      <c r="I4064" s="254" t="s">
        <v>10831</v>
      </c>
      <c r="J4064" s="585" t="s">
        <v>11420</v>
      </c>
      <c r="K4064" s="811">
        <v>41891</v>
      </c>
      <c r="L4064" s="585" t="s">
        <v>10120</v>
      </c>
      <c r="M4064" s="811">
        <v>41888</v>
      </c>
      <c r="N4064" s="386" t="s">
        <v>10778</v>
      </c>
      <c r="O4064" s="1088" t="s">
        <v>12925</v>
      </c>
      <c r="Q4064" s="772"/>
      <c r="R4064" s="464">
        <v>260.78500000000003</v>
      </c>
      <c r="S4064" s="464">
        <f t="shared" si="256"/>
        <v>521.57000000000005</v>
      </c>
      <c r="U4064" s="464">
        <v>15026</v>
      </c>
      <c r="V4064" s="386" t="s">
        <v>8443</v>
      </c>
      <c r="X4064" s="1094">
        <v>41886</v>
      </c>
      <c r="Z4064" s="1110">
        <v>15026</v>
      </c>
      <c r="AA4064" s="1094">
        <v>41911</v>
      </c>
      <c r="AB4064" s="386" t="s">
        <v>12853</v>
      </c>
      <c r="AF4064" s="386"/>
    </row>
    <row r="4065" spans="1:32" ht="15.75" customHeight="1">
      <c r="A4065" s="1235">
        <v>41887</v>
      </c>
      <c r="B4065" s="592" t="s">
        <v>10673</v>
      </c>
      <c r="C4065" s="970" t="s">
        <v>12926</v>
      </c>
      <c r="D4065" s="386" t="s">
        <v>12927</v>
      </c>
      <c r="E4065" s="338" t="s">
        <v>6404</v>
      </c>
      <c r="F4065" s="1088">
        <v>10</v>
      </c>
      <c r="G4065" s="464">
        <v>3549</v>
      </c>
      <c r="H4065" s="464">
        <v>35490</v>
      </c>
      <c r="I4065" s="254" t="s">
        <v>10831</v>
      </c>
      <c r="J4065" s="585" t="s">
        <v>11420</v>
      </c>
      <c r="K4065" s="811">
        <v>41914</v>
      </c>
      <c r="L4065" s="585" t="s">
        <v>8971</v>
      </c>
      <c r="M4065" s="811">
        <v>41892</v>
      </c>
      <c r="N4065" s="386" t="s">
        <v>10778</v>
      </c>
      <c r="O4065" s="1088" t="s">
        <v>12928</v>
      </c>
      <c r="Q4065" s="772"/>
      <c r="R4065" s="464">
        <v>118.3</v>
      </c>
      <c r="S4065" s="464">
        <f t="shared" si="256"/>
        <v>1183</v>
      </c>
      <c r="U4065" s="464">
        <v>34020</v>
      </c>
      <c r="V4065" s="386" t="s">
        <v>8443</v>
      </c>
      <c r="X4065" s="1244">
        <v>41891</v>
      </c>
      <c r="Z4065" s="1245">
        <v>115931</v>
      </c>
      <c r="AA4065" s="1094">
        <v>41911</v>
      </c>
      <c r="AB4065" s="1239" t="s">
        <v>12929</v>
      </c>
      <c r="AF4065" s="1239" t="s">
        <v>12930</v>
      </c>
    </row>
    <row r="4066" spans="1:32" ht="15.75" customHeight="1">
      <c r="A4066" s="1235">
        <v>41887</v>
      </c>
      <c r="B4066" s="592" t="s">
        <v>10673</v>
      </c>
      <c r="C4066" s="970" t="s">
        <v>12926</v>
      </c>
      <c r="D4066" s="386" t="s">
        <v>12927</v>
      </c>
      <c r="E4066" s="338" t="s">
        <v>6261</v>
      </c>
      <c r="F4066" s="1088">
        <v>10</v>
      </c>
      <c r="G4066" s="464">
        <v>3727.5</v>
      </c>
      <c r="H4066" s="464">
        <v>37275</v>
      </c>
      <c r="I4066" s="254" t="s">
        <v>10831</v>
      </c>
      <c r="J4066" s="585" t="s">
        <v>11420</v>
      </c>
      <c r="K4066" s="811">
        <v>41914</v>
      </c>
      <c r="L4066" s="585" t="s">
        <v>8971</v>
      </c>
      <c r="M4066" s="811">
        <v>41892</v>
      </c>
      <c r="N4066" s="386" t="s">
        <v>10778</v>
      </c>
      <c r="O4066" s="1088" t="s">
        <v>12928</v>
      </c>
      <c r="Q4066" s="772"/>
      <c r="R4066" s="323">
        <v>124.25</v>
      </c>
      <c r="S4066" s="464">
        <f t="shared" si="256"/>
        <v>1242.5</v>
      </c>
      <c r="U4066" s="464">
        <v>36886.5</v>
      </c>
      <c r="V4066" s="386" t="s">
        <v>8443</v>
      </c>
      <c r="X4066" s="1244"/>
      <c r="Z4066" s="1245"/>
      <c r="AA4066" s="1094">
        <v>41911</v>
      </c>
      <c r="AB4066" s="1239"/>
      <c r="AF4066" s="1239"/>
    </row>
    <row r="4067" spans="1:32" ht="15.75" customHeight="1">
      <c r="A4067" s="1235">
        <v>41887</v>
      </c>
      <c r="B4067" s="592" t="s">
        <v>10673</v>
      </c>
      <c r="C4067" s="970" t="s">
        <v>12926</v>
      </c>
      <c r="D4067" s="386" t="s">
        <v>12927</v>
      </c>
      <c r="E4067" s="338" t="s">
        <v>3510</v>
      </c>
      <c r="F4067" s="1088">
        <v>5</v>
      </c>
      <c r="G4067" s="464">
        <v>4152.75</v>
      </c>
      <c r="H4067" s="464">
        <v>20764</v>
      </c>
      <c r="I4067" s="254" t="s">
        <v>10831</v>
      </c>
      <c r="J4067" s="585" t="s">
        <v>11420</v>
      </c>
      <c r="K4067" s="811">
        <v>41914</v>
      </c>
      <c r="L4067" s="585" t="s">
        <v>8971</v>
      </c>
      <c r="M4067" s="811">
        <v>41892</v>
      </c>
      <c r="N4067" s="386" t="s">
        <v>10778</v>
      </c>
      <c r="O4067" s="1088" t="s">
        <v>12928</v>
      </c>
      <c r="Q4067" s="772"/>
      <c r="R4067" s="323">
        <v>138.42500000000001</v>
      </c>
      <c r="S4067" s="464">
        <f t="shared" si="256"/>
        <v>692.125</v>
      </c>
      <c r="U4067" s="464">
        <v>19913.25</v>
      </c>
      <c r="V4067" s="386" t="s">
        <v>8443</v>
      </c>
      <c r="X4067" s="1244"/>
      <c r="Z4067" s="1245"/>
      <c r="AA4067" s="1094">
        <v>41911</v>
      </c>
      <c r="AB4067" s="1239"/>
      <c r="AF4067" s="1239"/>
    </row>
    <row r="4068" spans="1:32" ht="15.75" customHeight="1">
      <c r="A4068" s="1235">
        <v>41887</v>
      </c>
      <c r="B4068" s="592" t="s">
        <v>10673</v>
      </c>
      <c r="C4068" s="970" t="s">
        <v>12926</v>
      </c>
      <c r="D4068" s="386" t="s">
        <v>12927</v>
      </c>
      <c r="E4068" s="338" t="s">
        <v>6008</v>
      </c>
      <c r="F4068" s="1088">
        <v>5</v>
      </c>
      <c r="G4068" s="464">
        <v>2530.5</v>
      </c>
      <c r="H4068" s="464">
        <v>12653</v>
      </c>
      <c r="I4068" s="254" t="s">
        <v>10831</v>
      </c>
      <c r="J4068" s="585" t="s">
        <v>11420</v>
      </c>
      <c r="K4068" s="811">
        <v>41914</v>
      </c>
      <c r="L4068" s="585" t="s">
        <v>8971</v>
      </c>
      <c r="M4068" s="811">
        <v>41892</v>
      </c>
      <c r="N4068" s="386" t="s">
        <v>10778</v>
      </c>
      <c r="O4068" s="1088" t="s">
        <v>12928</v>
      </c>
      <c r="Q4068" s="772"/>
      <c r="R4068" s="323">
        <v>84.35</v>
      </c>
      <c r="S4068" s="464">
        <f t="shared" si="256"/>
        <v>421.75</v>
      </c>
      <c r="U4068" s="464">
        <v>12122.25</v>
      </c>
      <c r="V4068" s="386" t="s">
        <v>8443</v>
      </c>
      <c r="X4068" s="1244"/>
      <c r="Z4068" s="1245"/>
      <c r="AA4068" s="1094">
        <v>41911</v>
      </c>
      <c r="AB4068" s="1239"/>
      <c r="AF4068" s="1239"/>
    </row>
    <row r="4069" spans="1:32" ht="15.75" customHeight="1">
      <c r="A4069" s="1235">
        <v>41887</v>
      </c>
      <c r="B4069" s="592" t="s">
        <v>10673</v>
      </c>
      <c r="C4069" s="970" t="s">
        <v>12926</v>
      </c>
      <c r="D4069" s="386" t="s">
        <v>12927</v>
      </c>
      <c r="E4069" s="338" t="s">
        <v>3515</v>
      </c>
      <c r="F4069" s="1088">
        <v>10</v>
      </c>
      <c r="G4069" s="464">
        <v>1352.4</v>
      </c>
      <c r="H4069" s="464">
        <v>13524</v>
      </c>
      <c r="I4069" s="254" t="s">
        <v>10831</v>
      </c>
      <c r="J4069" s="585" t="s">
        <v>11420</v>
      </c>
      <c r="K4069" s="811">
        <v>41914</v>
      </c>
      <c r="L4069" s="585" t="s">
        <v>8971</v>
      </c>
      <c r="M4069" s="811">
        <v>41892</v>
      </c>
      <c r="N4069" s="386" t="s">
        <v>10778</v>
      </c>
      <c r="O4069" s="1088" t="s">
        <v>12928</v>
      </c>
      <c r="Q4069" s="772"/>
      <c r="R4069" s="323">
        <v>45.08</v>
      </c>
      <c r="S4069" s="464">
        <f t="shared" si="256"/>
        <v>450.79999999999995</v>
      </c>
      <c r="U4069" s="464">
        <v>12988.5</v>
      </c>
      <c r="V4069" s="386" t="s">
        <v>8443</v>
      </c>
      <c r="X4069" s="1094"/>
      <c r="Z4069" s="1110"/>
      <c r="AA4069" s="1094">
        <v>41911</v>
      </c>
      <c r="AB4069" s="318"/>
      <c r="AF4069" s="318"/>
    </row>
    <row r="4070" spans="1:32" ht="15.75" customHeight="1">
      <c r="A4070" s="1235">
        <v>41887</v>
      </c>
      <c r="B4070" s="592" t="s">
        <v>10673</v>
      </c>
      <c r="C4070" s="970" t="s">
        <v>12931</v>
      </c>
      <c r="D4070" s="386" t="s">
        <v>12932</v>
      </c>
      <c r="E4070" s="338" t="s">
        <v>6404</v>
      </c>
      <c r="F4070" s="1088">
        <v>5</v>
      </c>
      <c r="G4070" s="772"/>
      <c r="H4070" s="464">
        <v>17745</v>
      </c>
      <c r="I4070" s="254" t="s">
        <v>10831</v>
      </c>
      <c r="J4070" s="585" t="s">
        <v>11420</v>
      </c>
      <c r="K4070" s="811">
        <v>41898</v>
      </c>
      <c r="L4070" s="585" t="s">
        <v>12814</v>
      </c>
      <c r="M4070" s="811">
        <v>41892</v>
      </c>
      <c r="N4070" s="386" t="s">
        <v>10778</v>
      </c>
      <c r="O4070" s="1088" t="s">
        <v>12933</v>
      </c>
      <c r="Q4070" s="772"/>
      <c r="R4070" s="323">
        <v>118.3</v>
      </c>
      <c r="S4070" s="464">
        <f t="shared" si="256"/>
        <v>591.5</v>
      </c>
      <c r="U4070" s="464">
        <v>17010</v>
      </c>
      <c r="V4070" s="386" t="s">
        <v>8443</v>
      </c>
      <c r="X4070" s="1244">
        <v>41891</v>
      </c>
      <c r="Z4070" s="1245">
        <v>73983</v>
      </c>
      <c r="AA4070" s="1094">
        <v>41911</v>
      </c>
      <c r="AB4070" s="1242" t="s">
        <v>12934</v>
      </c>
      <c r="AF4070" s="1242" t="s">
        <v>12935</v>
      </c>
    </row>
    <row r="4071" spans="1:32" ht="15.75" customHeight="1">
      <c r="A4071" s="1235">
        <v>41887</v>
      </c>
      <c r="B4071" s="592" t="s">
        <v>10673</v>
      </c>
      <c r="C4071" s="970" t="s">
        <v>12931</v>
      </c>
      <c r="D4071" s="386" t="s">
        <v>12932</v>
      </c>
      <c r="E4071" s="338" t="s">
        <v>6261</v>
      </c>
      <c r="F4071" s="1088">
        <v>5</v>
      </c>
      <c r="G4071" s="772"/>
      <c r="H4071" s="464">
        <v>18638</v>
      </c>
      <c r="I4071" s="254" t="s">
        <v>10831</v>
      </c>
      <c r="J4071" s="585" t="s">
        <v>11420</v>
      </c>
      <c r="K4071" s="811">
        <v>41898</v>
      </c>
      <c r="L4071" s="585" t="s">
        <v>12814</v>
      </c>
      <c r="M4071" s="811">
        <v>41892</v>
      </c>
      <c r="N4071" s="386" t="s">
        <v>10778</v>
      </c>
      <c r="O4071" s="1088" t="s">
        <v>12933</v>
      </c>
      <c r="Q4071" s="772"/>
      <c r="R4071" s="323">
        <v>124.25</v>
      </c>
      <c r="S4071" s="464">
        <f t="shared" si="256"/>
        <v>621.25</v>
      </c>
      <c r="U4071" s="464">
        <v>18443.25</v>
      </c>
      <c r="V4071" s="386" t="s">
        <v>8443</v>
      </c>
      <c r="X4071" s="1244"/>
      <c r="Z4071" s="1245"/>
      <c r="AA4071" s="1094">
        <v>41911</v>
      </c>
      <c r="AB4071" s="1242"/>
      <c r="AF4071" s="1242"/>
    </row>
    <row r="4072" spans="1:32" ht="15.75" customHeight="1">
      <c r="A4072" s="1235">
        <v>41887</v>
      </c>
      <c r="B4072" s="592" t="s">
        <v>10673</v>
      </c>
      <c r="C4072" s="970" t="s">
        <v>12931</v>
      </c>
      <c r="D4072" s="386" t="s">
        <v>12932</v>
      </c>
      <c r="E4072" s="338" t="s">
        <v>3510</v>
      </c>
      <c r="F4072" s="1088">
        <v>5</v>
      </c>
      <c r="G4072" s="772"/>
      <c r="H4072" s="464">
        <v>20764</v>
      </c>
      <c r="I4072" s="254" t="s">
        <v>10831</v>
      </c>
      <c r="J4072" s="585" t="s">
        <v>11420</v>
      </c>
      <c r="K4072" s="811">
        <v>41898</v>
      </c>
      <c r="L4072" s="585" t="s">
        <v>12814</v>
      </c>
      <c r="M4072" s="811">
        <v>41892</v>
      </c>
      <c r="N4072" s="386" t="s">
        <v>10778</v>
      </c>
      <c r="O4072" s="1088" t="s">
        <v>12933</v>
      </c>
      <c r="Q4072" s="772"/>
      <c r="R4072" s="323">
        <v>138.42500000000001</v>
      </c>
      <c r="S4072" s="464">
        <f t="shared" si="256"/>
        <v>692.125</v>
      </c>
      <c r="U4072" s="464">
        <v>19913.25</v>
      </c>
      <c r="V4072" s="386" t="s">
        <v>8443</v>
      </c>
      <c r="X4072" s="1244"/>
      <c r="Z4072" s="1245"/>
      <c r="AA4072" s="1094">
        <v>41911</v>
      </c>
      <c r="AB4072" s="1242"/>
      <c r="AF4072" s="1242"/>
    </row>
    <row r="4073" spans="1:32" ht="15.75" customHeight="1">
      <c r="A4073" s="1235">
        <v>41887</v>
      </c>
      <c r="B4073" s="592" t="s">
        <v>10673</v>
      </c>
      <c r="C4073" s="970" t="s">
        <v>12931</v>
      </c>
      <c r="D4073" s="386" t="s">
        <v>12932</v>
      </c>
      <c r="E4073" s="338" t="s">
        <v>6008</v>
      </c>
      <c r="F4073" s="1088">
        <v>5</v>
      </c>
      <c r="G4073" s="772"/>
      <c r="H4073" s="464">
        <v>12653</v>
      </c>
      <c r="I4073" s="254" t="s">
        <v>10831</v>
      </c>
      <c r="J4073" s="585" t="s">
        <v>11420</v>
      </c>
      <c r="K4073" s="811">
        <v>41898</v>
      </c>
      <c r="L4073" s="585" t="s">
        <v>12814</v>
      </c>
      <c r="M4073" s="811">
        <v>41892</v>
      </c>
      <c r="N4073" s="386" t="s">
        <v>10778</v>
      </c>
      <c r="O4073" s="1088" t="s">
        <v>12933</v>
      </c>
      <c r="Q4073" s="772"/>
      <c r="R4073" s="323">
        <v>84.35</v>
      </c>
      <c r="S4073" s="464">
        <f t="shared" si="256"/>
        <v>421.75</v>
      </c>
      <c r="U4073" s="464">
        <v>12122.25</v>
      </c>
      <c r="V4073" s="386" t="s">
        <v>8443</v>
      </c>
      <c r="X4073" s="1244"/>
      <c r="Z4073" s="1245"/>
      <c r="AA4073" s="1094">
        <v>41911</v>
      </c>
      <c r="AB4073" s="1242"/>
      <c r="AF4073" s="1242"/>
    </row>
    <row r="4074" spans="1:32" ht="15.75" customHeight="1">
      <c r="A4074" s="1235">
        <v>41887</v>
      </c>
      <c r="B4074" s="592" t="s">
        <v>10673</v>
      </c>
      <c r="C4074" s="970" t="s">
        <v>12931</v>
      </c>
      <c r="D4074" s="386" t="s">
        <v>12932</v>
      </c>
      <c r="E4074" s="338" t="s">
        <v>3515</v>
      </c>
      <c r="F4074" s="1088">
        <v>5</v>
      </c>
      <c r="G4074" s="772"/>
      <c r="H4074" s="464">
        <v>6762</v>
      </c>
      <c r="I4074" s="254" t="s">
        <v>10831</v>
      </c>
      <c r="J4074" s="585" t="s">
        <v>11420</v>
      </c>
      <c r="K4074" s="811">
        <v>41898</v>
      </c>
      <c r="L4074" s="585" t="s">
        <v>12814</v>
      </c>
      <c r="M4074" s="811">
        <v>41892</v>
      </c>
      <c r="N4074" s="386" t="s">
        <v>10778</v>
      </c>
      <c r="O4074" s="1088" t="s">
        <v>12933</v>
      </c>
      <c r="Q4074" s="772"/>
      <c r="R4074" s="323">
        <v>45.08</v>
      </c>
      <c r="S4074" s="464">
        <f t="shared" si="256"/>
        <v>225.39999999999998</v>
      </c>
      <c r="U4074" s="464">
        <v>6494.25</v>
      </c>
      <c r="V4074" s="386" t="s">
        <v>8443</v>
      </c>
      <c r="X4074" s="1094"/>
      <c r="Z4074" s="1110"/>
      <c r="AA4074" s="1094">
        <v>41911</v>
      </c>
      <c r="AB4074" s="386"/>
      <c r="AF4074" s="386"/>
    </row>
    <row r="4075" spans="1:32" ht="15.75" customHeight="1">
      <c r="A4075" s="1235">
        <v>41891</v>
      </c>
      <c r="B4075" s="592" t="s">
        <v>6395</v>
      </c>
      <c r="C4075" s="386"/>
      <c r="D4075" s="386" t="s">
        <v>12936</v>
      </c>
      <c r="E4075" s="338" t="s">
        <v>12416</v>
      </c>
      <c r="F4075" s="1088">
        <v>3</v>
      </c>
      <c r="G4075" s="772"/>
      <c r="H4075" s="772"/>
      <c r="I4075" s="254" t="s">
        <v>8429</v>
      </c>
      <c r="J4075" s="585" t="s">
        <v>6399</v>
      </c>
      <c r="K4075" s="811">
        <v>41912</v>
      </c>
      <c r="L4075" s="585" t="s">
        <v>5882</v>
      </c>
      <c r="M4075" s="811">
        <v>41908</v>
      </c>
      <c r="N4075" s="386" t="s">
        <v>12937</v>
      </c>
      <c r="O4075" s="752" t="s">
        <v>12938</v>
      </c>
      <c r="Q4075" s="464">
        <v>2205</v>
      </c>
      <c r="R4075" s="323">
        <v>772</v>
      </c>
      <c r="S4075" s="464">
        <f>R4075*F4075</f>
        <v>2316</v>
      </c>
      <c r="U4075" s="464">
        <v>66481</v>
      </c>
      <c r="V4075" s="386" t="s">
        <v>10995</v>
      </c>
      <c r="X4075" s="1084">
        <v>41907</v>
      </c>
      <c r="Z4075" s="1100">
        <v>66723</v>
      </c>
      <c r="AA4075" s="1094">
        <v>41904</v>
      </c>
      <c r="AB4075" s="318" t="s">
        <v>12939</v>
      </c>
      <c r="AF4075" s="386"/>
    </row>
    <row r="4076" spans="1:32" ht="15.75" customHeight="1">
      <c r="A4076" s="1235">
        <v>41891</v>
      </c>
      <c r="B4076" s="592" t="s">
        <v>11516</v>
      </c>
      <c r="C4076" s="386"/>
      <c r="D4076" s="386" t="s">
        <v>12940</v>
      </c>
      <c r="E4076" s="338" t="s">
        <v>12914</v>
      </c>
      <c r="F4076" s="1088">
        <v>1</v>
      </c>
      <c r="G4076" s="772"/>
      <c r="H4076" s="772"/>
      <c r="I4076" s="254" t="s">
        <v>11643</v>
      </c>
      <c r="J4076" s="585" t="s">
        <v>11519</v>
      </c>
      <c r="K4076" s="811">
        <v>41897</v>
      </c>
      <c r="L4076" s="585" t="s">
        <v>5882</v>
      </c>
      <c r="M4076" s="811">
        <v>41894</v>
      </c>
      <c r="N4076" s="386" t="s">
        <v>89</v>
      </c>
      <c r="O4076" s="752">
        <v>20140900132993</v>
      </c>
      <c r="Q4076" s="464">
        <v>472.5</v>
      </c>
      <c r="R4076" s="323">
        <v>511</v>
      </c>
      <c r="S4076" s="464">
        <f t="shared" ref="S4076:S4090" si="257">F4076*R4076</f>
        <v>511</v>
      </c>
      <c r="U4076" s="772"/>
      <c r="V4076" s="386" t="s">
        <v>10751</v>
      </c>
      <c r="X4076" s="752" t="s">
        <v>12941</v>
      </c>
      <c r="Z4076" s="1100">
        <v>14116</v>
      </c>
      <c r="AA4076" s="1094">
        <v>41912</v>
      </c>
      <c r="AB4076" s="318" t="s">
        <v>12907</v>
      </c>
      <c r="AF4076" s="386"/>
    </row>
    <row r="4077" spans="1:32" ht="15.75" customHeight="1">
      <c r="A4077" s="1235">
        <v>41892</v>
      </c>
      <c r="B4077" s="592" t="s">
        <v>12066</v>
      </c>
      <c r="C4077" s="970" t="s">
        <v>12942</v>
      </c>
      <c r="D4077" s="386" t="s">
        <v>12943</v>
      </c>
      <c r="E4077" s="338" t="s">
        <v>12944</v>
      </c>
      <c r="F4077" s="1088">
        <v>12</v>
      </c>
      <c r="G4077" s="772"/>
      <c r="H4077" s="464">
        <v>78435</v>
      </c>
      <c r="I4077" s="254" t="s">
        <v>11987</v>
      </c>
      <c r="J4077" s="585" t="s">
        <v>89</v>
      </c>
      <c r="K4077" s="811">
        <v>41899</v>
      </c>
      <c r="L4077" s="585" t="s">
        <v>89</v>
      </c>
      <c r="M4077" s="386"/>
      <c r="N4077" s="386" t="s">
        <v>89</v>
      </c>
      <c r="O4077" s="752">
        <v>20140900133066</v>
      </c>
      <c r="Q4077" s="464">
        <v>2457</v>
      </c>
      <c r="R4077" s="323">
        <v>217.87</v>
      </c>
      <c r="S4077" s="464">
        <f t="shared" si="257"/>
        <v>2614.44</v>
      </c>
      <c r="U4077" s="772"/>
      <c r="V4077" s="386" t="s">
        <v>10751</v>
      </c>
      <c r="X4077" s="1084">
        <v>41899</v>
      </c>
      <c r="Z4077" s="1100">
        <v>73403</v>
      </c>
      <c r="AA4077" s="1094">
        <v>41912</v>
      </c>
      <c r="AB4077" s="386" t="s">
        <v>12945</v>
      </c>
      <c r="AF4077" s="386" t="s">
        <v>12946</v>
      </c>
    </row>
    <row r="4078" spans="1:32" ht="15.75" customHeight="1">
      <c r="A4078" s="1235">
        <v>41892</v>
      </c>
      <c r="B4078" s="592" t="s">
        <v>11516</v>
      </c>
      <c r="C4078" s="386"/>
      <c r="D4078" s="386" t="s">
        <v>12947</v>
      </c>
      <c r="E4078" s="338" t="s">
        <v>12857</v>
      </c>
      <c r="F4078" s="1088">
        <v>20</v>
      </c>
      <c r="G4078" s="772"/>
      <c r="H4078" s="772"/>
      <c r="I4078" s="254" t="s">
        <v>11643</v>
      </c>
      <c r="J4078" s="585" t="s">
        <v>11519</v>
      </c>
      <c r="K4078" s="811">
        <v>41911</v>
      </c>
      <c r="L4078" s="585" t="s">
        <v>5882</v>
      </c>
      <c r="M4078" s="811">
        <v>41908</v>
      </c>
      <c r="N4078" s="386" t="s">
        <v>89</v>
      </c>
      <c r="O4078" s="752">
        <v>20140900133219</v>
      </c>
      <c r="Q4078" s="464">
        <v>3003</v>
      </c>
      <c r="R4078" s="323">
        <v>173</v>
      </c>
      <c r="S4078" s="464">
        <f t="shared" si="257"/>
        <v>3460</v>
      </c>
      <c r="U4078" s="772"/>
      <c r="V4078" s="386" t="s">
        <v>10751</v>
      </c>
      <c r="X4078" s="1084">
        <v>41908</v>
      </c>
      <c r="Z4078" s="1100">
        <v>90090</v>
      </c>
      <c r="AA4078" s="1094">
        <v>41912</v>
      </c>
      <c r="AB4078" s="318" t="s">
        <v>12917</v>
      </c>
      <c r="AF4078" s="386"/>
    </row>
    <row r="4079" spans="1:32" ht="15.75" customHeight="1">
      <c r="A4079" s="1235">
        <v>41892</v>
      </c>
      <c r="B4079" s="592" t="s">
        <v>10673</v>
      </c>
      <c r="C4079" s="970" t="s">
        <v>12948</v>
      </c>
      <c r="D4079" s="386" t="s">
        <v>12949</v>
      </c>
      <c r="E4079" s="338" t="s">
        <v>12950</v>
      </c>
      <c r="F4079" s="1088">
        <v>2</v>
      </c>
      <c r="G4079" s="772"/>
      <c r="H4079" s="464">
        <v>7896</v>
      </c>
      <c r="I4079" s="254" t="s">
        <v>10831</v>
      </c>
      <c r="J4079" s="585" t="s">
        <v>11420</v>
      </c>
      <c r="K4079" s="1099">
        <v>41898</v>
      </c>
      <c r="L4079" s="585" t="s">
        <v>12814</v>
      </c>
      <c r="M4079" s="811">
        <v>41894</v>
      </c>
      <c r="N4079" s="386" t="s">
        <v>10778</v>
      </c>
      <c r="O4079" s="1088" t="s">
        <v>12951</v>
      </c>
      <c r="Q4079" s="772"/>
      <c r="R4079" s="323">
        <v>131.6</v>
      </c>
      <c r="S4079" s="464">
        <f t="shared" si="257"/>
        <v>263.2</v>
      </c>
      <c r="U4079" s="464">
        <v>7554</v>
      </c>
      <c r="V4079" s="386" t="s">
        <v>8443</v>
      </c>
      <c r="X4079" s="1244">
        <v>41893</v>
      </c>
      <c r="Z4079" s="1245">
        <v>34480</v>
      </c>
      <c r="AA4079" s="1094">
        <v>41911</v>
      </c>
      <c r="AB4079" s="1242" t="s">
        <v>12952</v>
      </c>
      <c r="AF4079" s="1242" t="s">
        <v>12935</v>
      </c>
    </row>
    <row r="4080" spans="1:32" ht="15.75" customHeight="1">
      <c r="A4080" s="1235">
        <v>41892</v>
      </c>
      <c r="B4080" s="592" t="s">
        <v>10673</v>
      </c>
      <c r="C4080" s="970" t="s">
        <v>12948</v>
      </c>
      <c r="D4080" s="386" t="s">
        <v>12949</v>
      </c>
      <c r="E4080" s="338" t="s">
        <v>7534</v>
      </c>
      <c r="F4080" s="1088">
        <v>1</v>
      </c>
      <c r="G4080" s="772"/>
      <c r="H4080" s="464">
        <v>5321</v>
      </c>
      <c r="I4080" s="254" t="s">
        <v>10831</v>
      </c>
      <c r="J4080" s="585" t="s">
        <v>11420</v>
      </c>
      <c r="K4080" s="1099">
        <v>41898</v>
      </c>
      <c r="L4080" s="585" t="s">
        <v>12814</v>
      </c>
      <c r="M4080" s="811">
        <v>41894</v>
      </c>
      <c r="N4080" s="386" t="s">
        <v>10778</v>
      </c>
      <c r="O4080" s="1088" t="s">
        <v>12951</v>
      </c>
      <c r="Q4080" s="772"/>
      <c r="R4080" s="323">
        <v>177.38</v>
      </c>
      <c r="S4080" s="464">
        <f t="shared" si="257"/>
        <v>177.38</v>
      </c>
      <c r="U4080" s="464">
        <v>5109</v>
      </c>
      <c r="V4080" s="386" t="s">
        <v>8443</v>
      </c>
      <c r="X4080" s="1244"/>
      <c r="Z4080" s="1245"/>
      <c r="AA4080" s="1094">
        <v>41911</v>
      </c>
      <c r="AB4080" s="1242"/>
      <c r="AF4080" s="1242"/>
    </row>
    <row r="4081" spans="1:32" ht="15.75" customHeight="1">
      <c r="A4081" s="1235">
        <v>41892</v>
      </c>
      <c r="B4081" s="592" t="s">
        <v>10673</v>
      </c>
      <c r="C4081" s="970" t="s">
        <v>12948</v>
      </c>
      <c r="D4081" s="386" t="s">
        <v>12949</v>
      </c>
      <c r="E4081" s="338" t="s">
        <v>6813</v>
      </c>
      <c r="F4081" s="1088">
        <v>6</v>
      </c>
      <c r="G4081" s="772"/>
      <c r="H4081" s="464">
        <v>9765</v>
      </c>
      <c r="I4081" s="254" t="s">
        <v>10831</v>
      </c>
      <c r="J4081" s="585" t="s">
        <v>11420</v>
      </c>
      <c r="K4081" s="1099">
        <v>41898</v>
      </c>
      <c r="L4081" s="585" t="s">
        <v>12814</v>
      </c>
      <c r="M4081" s="811">
        <v>41894</v>
      </c>
      <c r="N4081" s="386" t="s">
        <v>10778</v>
      </c>
      <c r="O4081" s="1088" t="s">
        <v>12951</v>
      </c>
      <c r="Q4081" s="772"/>
      <c r="R4081" s="323">
        <v>54.25</v>
      </c>
      <c r="S4081" s="464">
        <f t="shared" si="257"/>
        <v>325.5</v>
      </c>
      <c r="U4081" s="464">
        <v>9349</v>
      </c>
      <c r="V4081" s="386" t="s">
        <v>8443</v>
      </c>
      <c r="X4081" s="1244"/>
      <c r="Z4081" s="1245"/>
      <c r="AA4081" s="1094">
        <v>41911</v>
      </c>
      <c r="AB4081" s="1242"/>
      <c r="AF4081" s="1242"/>
    </row>
    <row r="4082" spans="1:32" ht="15.75" customHeight="1">
      <c r="A4082" s="1235">
        <v>41892</v>
      </c>
      <c r="B4082" s="592" t="s">
        <v>10673</v>
      </c>
      <c r="C4082" s="970" t="s">
        <v>12948</v>
      </c>
      <c r="D4082" s="386" t="s">
        <v>12949</v>
      </c>
      <c r="E4082" s="338" t="s">
        <v>11302</v>
      </c>
      <c r="F4082" s="1088">
        <v>5</v>
      </c>
      <c r="G4082" s="772"/>
      <c r="H4082" s="464">
        <v>10826</v>
      </c>
      <c r="I4082" s="254" t="s">
        <v>10831</v>
      </c>
      <c r="J4082" s="585" t="s">
        <v>11420</v>
      </c>
      <c r="K4082" s="1099">
        <v>41898</v>
      </c>
      <c r="L4082" s="585" t="s">
        <v>12814</v>
      </c>
      <c r="M4082" s="811">
        <v>41894</v>
      </c>
      <c r="N4082" s="386" t="s">
        <v>10778</v>
      </c>
      <c r="O4082" s="1088" t="s">
        <v>12951</v>
      </c>
      <c r="Q4082" s="772"/>
      <c r="R4082" s="323">
        <v>72.17</v>
      </c>
      <c r="S4082" s="464">
        <f t="shared" si="257"/>
        <v>360.85</v>
      </c>
      <c r="U4082" s="464">
        <v>10390</v>
      </c>
      <c r="V4082" s="386" t="s">
        <v>8443</v>
      </c>
      <c r="X4082" s="1244"/>
      <c r="Z4082" s="1245"/>
      <c r="AA4082" s="1094">
        <v>41911</v>
      </c>
      <c r="AB4082" s="1242"/>
      <c r="AF4082" s="1242"/>
    </row>
    <row r="4083" spans="1:32" ht="15.75" customHeight="1">
      <c r="A4083" s="1235">
        <v>41892</v>
      </c>
      <c r="B4083" s="592" t="s">
        <v>10673</v>
      </c>
      <c r="C4083" s="970" t="s">
        <v>12948</v>
      </c>
      <c r="D4083" s="386" t="s">
        <v>12949</v>
      </c>
      <c r="E4083" s="338" t="s">
        <v>11081</v>
      </c>
      <c r="F4083" s="1088">
        <v>1</v>
      </c>
      <c r="G4083" s="772"/>
      <c r="H4083" s="464">
        <v>2165</v>
      </c>
      <c r="I4083" s="254" t="s">
        <v>10831</v>
      </c>
      <c r="J4083" s="585" t="s">
        <v>11420</v>
      </c>
      <c r="K4083" s="1099">
        <v>41898</v>
      </c>
      <c r="L4083" s="585" t="s">
        <v>12814</v>
      </c>
      <c r="M4083" s="811">
        <v>41894</v>
      </c>
      <c r="N4083" s="386" t="s">
        <v>10778</v>
      </c>
      <c r="O4083" s="1088" t="s">
        <v>12951</v>
      </c>
      <c r="Q4083" s="772"/>
      <c r="R4083" s="323">
        <v>72.17</v>
      </c>
      <c r="S4083" s="464">
        <f t="shared" si="257"/>
        <v>72.17</v>
      </c>
      <c r="U4083" s="464">
        <v>2078</v>
      </c>
      <c r="V4083" s="386" t="s">
        <v>8443</v>
      </c>
      <c r="X4083" s="1094"/>
      <c r="Z4083" s="1110"/>
      <c r="AA4083" s="1094">
        <v>41911</v>
      </c>
      <c r="AB4083" s="386"/>
      <c r="AF4083" s="386"/>
    </row>
    <row r="4084" spans="1:32" ht="15.75" customHeight="1">
      <c r="A4084" s="1235">
        <v>41893</v>
      </c>
      <c r="B4084" s="592" t="s">
        <v>11516</v>
      </c>
      <c r="C4084" s="386"/>
      <c r="D4084" s="386" t="s">
        <v>12953</v>
      </c>
      <c r="E4084" s="338" t="s">
        <v>12954</v>
      </c>
      <c r="F4084" s="1088">
        <v>2</v>
      </c>
      <c r="G4084" s="772"/>
      <c r="H4084" s="772"/>
      <c r="I4084" s="254" t="s">
        <v>11643</v>
      </c>
      <c r="J4084" s="585" t="s">
        <v>11519</v>
      </c>
      <c r="K4084" s="811">
        <v>41911</v>
      </c>
      <c r="L4084" s="585" t="s">
        <v>5882</v>
      </c>
      <c r="M4084" s="811">
        <v>41908</v>
      </c>
      <c r="N4084" s="386" t="s">
        <v>89</v>
      </c>
      <c r="O4084" s="752">
        <v>20140900133217</v>
      </c>
      <c r="Q4084" s="464">
        <v>900.9</v>
      </c>
      <c r="R4084" s="323">
        <v>487</v>
      </c>
      <c r="S4084" s="464">
        <f t="shared" si="257"/>
        <v>974</v>
      </c>
      <c r="U4084" s="772"/>
      <c r="V4084" s="386" t="s">
        <v>10751</v>
      </c>
      <c r="X4084" s="1084">
        <v>41908</v>
      </c>
      <c r="Z4084" s="1100">
        <v>27027</v>
      </c>
      <c r="AA4084" s="1094">
        <v>41912</v>
      </c>
      <c r="AB4084" s="318" t="s">
        <v>12917</v>
      </c>
      <c r="AF4084" s="386"/>
    </row>
    <row r="4085" spans="1:32" ht="15.75" customHeight="1">
      <c r="A4085" s="1235">
        <v>41898</v>
      </c>
      <c r="B4085" s="592" t="s">
        <v>10673</v>
      </c>
      <c r="C4085" s="970" t="s">
        <v>12955</v>
      </c>
      <c r="D4085" s="386" t="s">
        <v>12956</v>
      </c>
      <c r="E4085" s="338" t="s">
        <v>11008</v>
      </c>
      <c r="F4085" s="1088">
        <v>7</v>
      </c>
      <c r="G4085" s="772"/>
      <c r="H4085" s="464">
        <v>21131</v>
      </c>
      <c r="I4085" s="254" t="s">
        <v>10831</v>
      </c>
      <c r="J4085" s="585" t="s">
        <v>11420</v>
      </c>
      <c r="K4085" s="811">
        <v>41900</v>
      </c>
      <c r="L4085" s="585" t="s">
        <v>8971</v>
      </c>
      <c r="M4085" s="811">
        <v>41899</v>
      </c>
      <c r="N4085" s="386" t="s">
        <v>10778</v>
      </c>
      <c r="O4085" s="1088" t="s">
        <v>12957</v>
      </c>
      <c r="Q4085" s="772"/>
      <c r="R4085" s="323">
        <v>100.625</v>
      </c>
      <c r="S4085" s="464">
        <f t="shared" si="257"/>
        <v>704.375</v>
      </c>
      <c r="U4085" s="464">
        <v>20257</v>
      </c>
      <c r="V4085" s="386" t="s">
        <v>8443</v>
      </c>
      <c r="X4085" s="1094">
        <v>41899</v>
      </c>
      <c r="Z4085" s="1110">
        <v>20257</v>
      </c>
      <c r="AA4085" s="1094">
        <v>41911</v>
      </c>
      <c r="AB4085" s="386" t="s">
        <v>12958</v>
      </c>
      <c r="AF4085" s="386" t="s">
        <v>12898</v>
      </c>
    </row>
    <row r="4086" spans="1:32" ht="15.75" customHeight="1">
      <c r="A4086" s="1235">
        <v>41899</v>
      </c>
      <c r="B4086" s="592" t="s">
        <v>11516</v>
      </c>
      <c r="C4086" s="386"/>
      <c r="D4086" s="386" t="s">
        <v>12959</v>
      </c>
      <c r="E4086" s="338" t="s">
        <v>12960</v>
      </c>
      <c r="F4086" s="1088">
        <v>6</v>
      </c>
      <c r="G4086" s="772"/>
      <c r="H4086" s="772"/>
      <c r="I4086" s="254" t="s">
        <v>11643</v>
      </c>
      <c r="J4086" s="585" t="s">
        <v>11519</v>
      </c>
      <c r="K4086" s="811">
        <v>41933</v>
      </c>
      <c r="L4086" s="1243" t="s">
        <v>5882</v>
      </c>
      <c r="M4086" s="811">
        <v>41929</v>
      </c>
      <c r="N4086" s="386" t="s">
        <v>89</v>
      </c>
      <c r="O4086" s="752">
        <v>20140900133602</v>
      </c>
      <c r="Q4086" s="464">
        <v>459.9</v>
      </c>
      <c r="R4086" s="323">
        <v>82</v>
      </c>
      <c r="S4086" s="464">
        <f t="shared" si="257"/>
        <v>492</v>
      </c>
      <c r="U4086" s="772"/>
      <c r="V4086" s="386" t="s">
        <v>10751</v>
      </c>
      <c r="X4086" s="1084">
        <v>41929</v>
      </c>
      <c r="Z4086" s="1100">
        <v>49259</v>
      </c>
      <c r="AA4086" s="1094">
        <v>41946</v>
      </c>
      <c r="AB4086" s="1239" t="s">
        <v>12961</v>
      </c>
      <c r="AF4086" s="386"/>
    </row>
    <row r="4087" spans="1:32" ht="15.75" customHeight="1">
      <c r="A4087" s="1235">
        <v>41899</v>
      </c>
      <c r="B4087" s="592" t="s">
        <v>11516</v>
      </c>
      <c r="C4087" s="386"/>
      <c r="D4087" s="386" t="s">
        <v>12959</v>
      </c>
      <c r="E4087" s="338" t="s">
        <v>12962</v>
      </c>
      <c r="F4087" s="1088">
        <v>2</v>
      </c>
      <c r="G4087" s="772"/>
      <c r="H4087" s="772"/>
      <c r="I4087" s="254" t="s">
        <v>11643</v>
      </c>
      <c r="J4087" s="585" t="s">
        <v>11519</v>
      </c>
      <c r="K4087" s="811">
        <v>41933</v>
      </c>
      <c r="L4087" s="1243"/>
      <c r="M4087" s="254" t="s">
        <v>12963</v>
      </c>
      <c r="N4087" s="386" t="s">
        <v>12442</v>
      </c>
      <c r="O4087" s="752">
        <v>227210</v>
      </c>
      <c r="Q4087" s="464">
        <v>134.4</v>
      </c>
      <c r="R4087" s="323">
        <v>52</v>
      </c>
      <c r="S4087" s="464">
        <f t="shared" si="257"/>
        <v>104</v>
      </c>
      <c r="U4087" s="464">
        <v>4097</v>
      </c>
      <c r="V4087" s="386" t="s">
        <v>2010</v>
      </c>
      <c r="X4087" s="1088" t="s">
        <v>12964</v>
      </c>
      <c r="Z4087" s="1100">
        <v>4097</v>
      </c>
      <c r="AA4087" s="1094">
        <v>41912</v>
      </c>
      <c r="AB4087" s="1239"/>
      <c r="AF4087" s="386"/>
    </row>
    <row r="4088" spans="1:32" ht="15.75" customHeight="1">
      <c r="A4088" s="1235">
        <v>41899</v>
      </c>
      <c r="B4088" s="592" t="s">
        <v>11516</v>
      </c>
      <c r="C4088" s="386"/>
      <c r="D4088" s="386" t="s">
        <v>12959</v>
      </c>
      <c r="E4088" s="338" t="s">
        <v>12962</v>
      </c>
      <c r="F4088" s="1088">
        <v>4</v>
      </c>
      <c r="G4088" s="772"/>
      <c r="H4088" s="772"/>
      <c r="I4088" s="254" t="s">
        <v>11643</v>
      </c>
      <c r="J4088" s="585" t="s">
        <v>11519</v>
      </c>
      <c r="K4088" s="811">
        <v>41933</v>
      </c>
      <c r="L4088" s="1243"/>
      <c r="M4088" s="811">
        <v>41929</v>
      </c>
      <c r="N4088" s="1239" t="s">
        <v>89</v>
      </c>
      <c r="O4088" s="1240">
        <v>20140900133602</v>
      </c>
      <c r="Q4088" s="464">
        <v>193.2</v>
      </c>
      <c r="R4088" s="323">
        <v>52</v>
      </c>
      <c r="S4088" s="464">
        <f t="shared" si="257"/>
        <v>208</v>
      </c>
      <c r="U4088" s="772"/>
      <c r="V4088" s="1242" t="s">
        <v>10751</v>
      </c>
      <c r="X4088" s="1237">
        <v>41929</v>
      </c>
      <c r="Z4088" s="1238">
        <v>49259</v>
      </c>
      <c r="AA4088" s="1094">
        <v>41946</v>
      </c>
      <c r="AB4088" s="1239"/>
      <c r="AF4088" s="386"/>
    </row>
    <row r="4089" spans="1:32" ht="15.75" customHeight="1">
      <c r="A4089" s="1235">
        <v>41899</v>
      </c>
      <c r="B4089" s="592" t="s">
        <v>11516</v>
      </c>
      <c r="C4089" s="386"/>
      <c r="D4089" s="386" t="s">
        <v>12959</v>
      </c>
      <c r="E4089" s="338" t="s">
        <v>12965</v>
      </c>
      <c r="F4089" s="1088">
        <v>3</v>
      </c>
      <c r="G4089" s="772"/>
      <c r="H4089" s="772"/>
      <c r="I4089" s="254" t="s">
        <v>11643</v>
      </c>
      <c r="J4089" s="585" t="s">
        <v>11519</v>
      </c>
      <c r="K4089" s="811">
        <v>41933</v>
      </c>
      <c r="L4089" s="1243"/>
      <c r="M4089" s="811">
        <v>41929</v>
      </c>
      <c r="N4089" s="1239"/>
      <c r="O4089" s="1240"/>
      <c r="Q4089" s="464">
        <v>693</v>
      </c>
      <c r="R4089" s="323">
        <v>268</v>
      </c>
      <c r="S4089" s="464">
        <f t="shared" si="257"/>
        <v>804</v>
      </c>
      <c r="U4089" s="772"/>
      <c r="V4089" s="1242"/>
      <c r="X4089" s="1237"/>
      <c r="Z4089" s="1238"/>
      <c r="AA4089" s="1094">
        <v>41946</v>
      </c>
      <c r="AB4089" s="1239"/>
      <c r="AF4089" s="386"/>
    </row>
    <row r="4090" spans="1:32" ht="15.75" customHeight="1">
      <c r="A4090" s="1235">
        <v>41899</v>
      </c>
      <c r="B4090" s="592" t="s">
        <v>11516</v>
      </c>
      <c r="C4090" s="386"/>
      <c r="D4090" s="386" t="s">
        <v>12959</v>
      </c>
      <c r="E4090" s="338" t="s">
        <v>12966</v>
      </c>
      <c r="F4090" s="1088">
        <v>3</v>
      </c>
      <c r="G4090" s="772"/>
      <c r="H4090" s="772"/>
      <c r="I4090" s="254" t="s">
        <v>11643</v>
      </c>
      <c r="J4090" s="585" t="s">
        <v>11519</v>
      </c>
      <c r="K4090" s="811">
        <v>41933</v>
      </c>
      <c r="L4090" s="585"/>
      <c r="M4090" s="811">
        <v>41929</v>
      </c>
      <c r="N4090" s="318"/>
      <c r="O4090" s="752"/>
      <c r="Q4090" s="464">
        <v>277.2</v>
      </c>
      <c r="R4090" s="323">
        <v>100</v>
      </c>
      <c r="S4090" s="464">
        <f t="shared" si="257"/>
        <v>300</v>
      </c>
      <c r="U4090" s="772"/>
      <c r="V4090" s="386"/>
      <c r="X4090" s="1084"/>
      <c r="Z4090" s="1100"/>
      <c r="AA4090" s="1094">
        <v>41946</v>
      </c>
      <c r="AB4090" s="318"/>
      <c r="AF4090" s="386"/>
    </row>
    <row r="4091" spans="1:32" ht="15.75" customHeight="1">
      <c r="A4091" s="1253">
        <v>41900</v>
      </c>
      <c r="B4091" s="592" t="s">
        <v>10673</v>
      </c>
      <c r="C4091" s="263" t="s">
        <v>12967</v>
      </c>
      <c r="D4091" s="318" t="s">
        <v>12968</v>
      </c>
      <c r="E4091" s="338" t="s">
        <v>9854</v>
      </c>
      <c r="F4091" s="752">
        <v>1</v>
      </c>
      <c r="G4091" s="464">
        <v>3959</v>
      </c>
      <c r="H4091" s="464">
        <v>3959</v>
      </c>
      <c r="I4091" s="254" t="s">
        <v>10831</v>
      </c>
      <c r="J4091" s="254" t="s">
        <v>12969</v>
      </c>
      <c r="K4091" s="811">
        <v>41904</v>
      </c>
      <c r="L4091" s="254" t="s">
        <v>8971</v>
      </c>
      <c r="M4091" s="811">
        <v>41901</v>
      </c>
      <c r="N4091" s="318" t="s">
        <v>10778</v>
      </c>
      <c r="O4091" s="752" t="s">
        <v>12970</v>
      </c>
      <c r="Q4091" s="772"/>
      <c r="R4091" s="464">
        <v>131.96</v>
      </c>
      <c r="S4091" s="464">
        <v>131.96</v>
      </c>
      <c r="U4091" s="464">
        <v>3791</v>
      </c>
      <c r="V4091" s="318" t="s">
        <v>8443</v>
      </c>
      <c r="X4091" s="1084">
        <v>41901</v>
      </c>
      <c r="Z4091" s="1100">
        <v>3791</v>
      </c>
      <c r="AA4091" s="1084">
        <v>41911</v>
      </c>
      <c r="AB4091" s="318" t="s">
        <v>12971</v>
      </c>
      <c r="AF4091" s="318" t="s">
        <v>12972</v>
      </c>
    </row>
    <row r="4092" spans="1:32" ht="15.75" customHeight="1">
      <c r="A4092" s="1235">
        <v>41901</v>
      </c>
      <c r="B4092" s="592" t="s">
        <v>10691</v>
      </c>
      <c r="C4092" s="386"/>
      <c r="D4092" s="386" t="s">
        <v>12973</v>
      </c>
      <c r="E4092" s="338" t="s">
        <v>12974</v>
      </c>
      <c r="F4092" s="1088">
        <v>2</v>
      </c>
      <c r="G4092" s="464">
        <v>30450</v>
      </c>
      <c r="H4092" s="464">
        <f>F4092*G4092</f>
        <v>60900</v>
      </c>
      <c r="I4092" s="254" t="s">
        <v>11643</v>
      </c>
      <c r="J4092" s="585" t="s">
        <v>12743</v>
      </c>
      <c r="K4092" s="811">
        <v>41947</v>
      </c>
      <c r="L4092" s="585" t="s">
        <v>5882</v>
      </c>
      <c r="M4092" s="811">
        <v>41946</v>
      </c>
      <c r="N4092" s="386" t="s">
        <v>10695</v>
      </c>
      <c r="O4092" s="386"/>
      <c r="Q4092" s="772"/>
      <c r="R4092" s="772"/>
      <c r="S4092" s="464">
        <f>H4092/30</f>
        <v>2030</v>
      </c>
      <c r="U4092" s="464">
        <v>0</v>
      </c>
      <c r="V4092" s="386" t="s">
        <v>10698</v>
      </c>
      <c r="X4092" s="1084">
        <v>41943</v>
      </c>
      <c r="Z4092" s="1100">
        <v>55440</v>
      </c>
      <c r="AA4092" s="386" t="s">
        <v>12975</v>
      </c>
      <c r="AB4092" s="386" t="s">
        <v>12976</v>
      </c>
      <c r="AF4092" s="386" t="s">
        <v>12977</v>
      </c>
    </row>
    <row r="4093" spans="1:32" ht="15.75" customHeight="1">
      <c r="A4093" s="1235">
        <v>41901</v>
      </c>
      <c r="B4093" s="592" t="s">
        <v>10691</v>
      </c>
      <c r="C4093" s="386"/>
      <c r="D4093" s="386" t="s">
        <v>12973</v>
      </c>
      <c r="E4093" s="338" t="s">
        <v>12974</v>
      </c>
      <c r="F4093" s="1088">
        <v>33</v>
      </c>
      <c r="G4093" s="464">
        <v>30450</v>
      </c>
      <c r="H4093" s="464">
        <f>F4093*G4093</f>
        <v>1004850</v>
      </c>
      <c r="I4093" s="254" t="s">
        <v>11643</v>
      </c>
      <c r="J4093" s="585" t="s">
        <v>5882</v>
      </c>
      <c r="K4093" s="811">
        <v>41960</v>
      </c>
      <c r="L4093" s="585" t="s">
        <v>12978</v>
      </c>
      <c r="M4093" s="811">
        <v>41955</v>
      </c>
      <c r="N4093" s="386" t="s">
        <v>10695</v>
      </c>
      <c r="O4093" s="1088" t="s">
        <v>12979</v>
      </c>
      <c r="Q4093" s="772"/>
      <c r="R4093" s="772"/>
      <c r="S4093" s="464">
        <f>H4093/30</f>
        <v>33495</v>
      </c>
      <c r="U4093" s="464">
        <v>970200</v>
      </c>
      <c r="V4093" s="386" t="s">
        <v>10698</v>
      </c>
      <c r="X4093" s="1094">
        <v>41955</v>
      </c>
      <c r="Z4093" s="1110">
        <v>914760</v>
      </c>
      <c r="AA4093" s="386" t="s">
        <v>12980</v>
      </c>
      <c r="AB4093" s="1239" t="s">
        <v>12981</v>
      </c>
      <c r="AF4093" s="1242" t="s">
        <v>12982</v>
      </c>
    </row>
    <row r="4094" spans="1:32" ht="15.75" customHeight="1">
      <c r="A4094" s="1235">
        <v>41901</v>
      </c>
      <c r="B4094" s="592" t="s">
        <v>10691</v>
      </c>
      <c r="C4094" s="386"/>
      <c r="D4094" s="386" t="s">
        <v>12973</v>
      </c>
      <c r="E4094" s="338" t="s">
        <v>12983</v>
      </c>
      <c r="F4094" s="1088">
        <v>3</v>
      </c>
      <c r="G4094" s="464">
        <v>32550</v>
      </c>
      <c r="H4094" s="464">
        <f>F4094*G4094</f>
        <v>97650</v>
      </c>
      <c r="I4094" s="254" t="s">
        <v>11643</v>
      </c>
      <c r="J4094" s="585" t="s">
        <v>5882</v>
      </c>
      <c r="K4094" s="811">
        <v>41960</v>
      </c>
      <c r="L4094" s="585" t="s">
        <v>12978</v>
      </c>
      <c r="M4094" s="811">
        <v>41955</v>
      </c>
      <c r="N4094" s="386" t="s">
        <v>10695</v>
      </c>
      <c r="O4094" s="1088" t="s">
        <v>12979</v>
      </c>
      <c r="Q4094" s="772"/>
      <c r="R4094" s="772"/>
      <c r="S4094" s="464">
        <f>H4094/30</f>
        <v>3255</v>
      </c>
      <c r="U4094" s="464">
        <v>89208</v>
      </c>
      <c r="V4094" s="386" t="s">
        <v>10698</v>
      </c>
      <c r="X4094" s="1244">
        <v>41957</v>
      </c>
      <c r="Z4094" s="1245">
        <v>225729</v>
      </c>
      <c r="AA4094" s="386" t="s">
        <v>12975</v>
      </c>
      <c r="AB4094" s="1239"/>
      <c r="AF4094" s="1242"/>
    </row>
    <row r="4095" spans="1:32" ht="15.75" customHeight="1">
      <c r="A4095" s="1235">
        <v>41901</v>
      </c>
      <c r="B4095" s="592" t="s">
        <v>10691</v>
      </c>
      <c r="C4095" s="386"/>
      <c r="D4095" s="386" t="s">
        <v>12973</v>
      </c>
      <c r="E4095" s="338" t="s">
        <v>12984</v>
      </c>
      <c r="F4095" s="1088">
        <v>4</v>
      </c>
      <c r="G4095" s="464">
        <v>37590</v>
      </c>
      <c r="H4095" s="464">
        <f>F4095*G4095</f>
        <v>150360</v>
      </c>
      <c r="I4095" s="254" t="s">
        <v>11643</v>
      </c>
      <c r="J4095" s="585" t="s">
        <v>5882</v>
      </c>
      <c r="K4095" s="811">
        <v>41960</v>
      </c>
      <c r="L4095" s="585" t="s">
        <v>12978</v>
      </c>
      <c r="M4095" s="811">
        <v>41957</v>
      </c>
      <c r="N4095" s="386" t="s">
        <v>10695</v>
      </c>
      <c r="O4095" s="386"/>
      <c r="Q4095" s="772"/>
      <c r="R4095" s="772"/>
      <c r="S4095" s="464">
        <f>H4095/30</f>
        <v>5012</v>
      </c>
      <c r="U4095" s="464">
        <v>135576</v>
      </c>
      <c r="V4095" s="386" t="s">
        <v>10698</v>
      </c>
      <c r="X4095" s="1244"/>
      <c r="Z4095" s="1245"/>
      <c r="AA4095" s="386" t="s">
        <v>12975</v>
      </c>
      <c r="AB4095" s="1239"/>
      <c r="AF4095" s="1242"/>
    </row>
    <row r="4096" spans="1:32" ht="15.75" customHeight="1">
      <c r="A4096" s="1235">
        <v>41921</v>
      </c>
      <c r="B4096" s="592" t="s">
        <v>10691</v>
      </c>
      <c r="C4096" s="386"/>
      <c r="D4096" s="386" t="s">
        <v>12985</v>
      </c>
      <c r="E4096" s="338" t="s">
        <v>12986</v>
      </c>
      <c r="F4096" s="1088">
        <v>1</v>
      </c>
      <c r="G4096" s="772"/>
      <c r="H4096" s="464">
        <f>F4096*G4096</f>
        <v>0</v>
      </c>
      <c r="I4096" s="254" t="s">
        <v>11643</v>
      </c>
      <c r="J4096" s="585" t="s">
        <v>5882</v>
      </c>
      <c r="K4096" s="811">
        <v>41960</v>
      </c>
      <c r="L4096" s="585" t="s">
        <v>12978</v>
      </c>
      <c r="M4096" s="811">
        <v>41957</v>
      </c>
      <c r="N4096" s="386" t="s">
        <v>10695</v>
      </c>
      <c r="O4096" s="752" t="s">
        <v>12987</v>
      </c>
      <c r="Q4096" s="772"/>
      <c r="R4096" s="323">
        <v>0</v>
      </c>
      <c r="S4096" s="464">
        <f>H4096/30</f>
        <v>0</v>
      </c>
      <c r="U4096" s="464">
        <v>945</v>
      </c>
      <c r="V4096" s="386" t="s">
        <v>10698</v>
      </c>
      <c r="X4096" s="1094"/>
      <c r="Z4096" s="1110"/>
      <c r="AA4096" s="386" t="s">
        <v>12975</v>
      </c>
      <c r="AB4096" s="318"/>
      <c r="AF4096" s="386"/>
    </row>
    <row r="4097" spans="1:32" ht="15.75" customHeight="1">
      <c r="A4097" s="1235">
        <v>41901</v>
      </c>
      <c r="B4097" s="592" t="s">
        <v>11516</v>
      </c>
      <c r="C4097" s="386"/>
      <c r="D4097" s="386" t="s">
        <v>12988</v>
      </c>
      <c r="E4097" s="338" t="s">
        <v>12553</v>
      </c>
      <c r="F4097" s="1088">
        <v>1</v>
      </c>
      <c r="G4097" s="772"/>
      <c r="H4097" s="772"/>
      <c r="I4097" s="254" t="s">
        <v>11643</v>
      </c>
      <c r="J4097" s="585" t="s">
        <v>11519</v>
      </c>
      <c r="K4097" s="811">
        <v>41933</v>
      </c>
      <c r="L4097" s="1243" t="s">
        <v>5882</v>
      </c>
      <c r="M4097" s="811">
        <v>41929</v>
      </c>
      <c r="N4097" s="1242" t="s">
        <v>89</v>
      </c>
      <c r="O4097" s="752">
        <v>20140900133894</v>
      </c>
      <c r="Q4097" s="464">
        <v>166.95</v>
      </c>
      <c r="R4097" s="323">
        <v>180</v>
      </c>
      <c r="S4097" s="464">
        <f t="shared" ref="S4097:S4112" si="258">F4097*R4097</f>
        <v>180</v>
      </c>
      <c r="U4097" s="772"/>
      <c r="V4097" s="1242" t="s">
        <v>5896</v>
      </c>
      <c r="X4097" s="1237">
        <v>41929</v>
      </c>
      <c r="Z4097" s="1238">
        <v>12936</v>
      </c>
      <c r="AA4097" s="1094">
        <v>41946</v>
      </c>
      <c r="AB4097" s="1239" t="s">
        <v>12961</v>
      </c>
      <c r="AF4097" s="386"/>
    </row>
    <row r="4098" spans="1:32" ht="15.75" customHeight="1">
      <c r="A4098" s="1235">
        <v>41901</v>
      </c>
      <c r="B4098" s="592" t="s">
        <v>11516</v>
      </c>
      <c r="C4098" s="386"/>
      <c r="D4098" s="386" t="s">
        <v>12988</v>
      </c>
      <c r="E4098" s="338" t="s">
        <v>12989</v>
      </c>
      <c r="F4098" s="1088">
        <v>1</v>
      </c>
      <c r="G4098" s="772"/>
      <c r="H4098" s="772"/>
      <c r="I4098" s="254" t="s">
        <v>11643</v>
      </c>
      <c r="J4098" s="585" t="s">
        <v>11519</v>
      </c>
      <c r="K4098" s="811">
        <v>41933</v>
      </c>
      <c r="L4098" s="585"/>
      <c r="M4098" s="811">
        <v>41929</v>
      </c>
      <c r="N4098" s="386"/>
      <c r="O4098" s="752">
        <v>20140900133894</v>
      </c>
      <c r="Q4098" s="464">
        <v>259.35000000000002</v>
      </c>
      <c r="R4098" s="323">
        <v>280</v>
      </c>
      <c r="S4098" s="464">
        <f t="shared" si="258"/>
        <v>280</v>
      </c>
      <c r="U4098" s="772"/>
      <c r="V4098" s="386"/>
      <c r="X4098" s="1084"/>
      <c r="Z4098" s="1100"/>
      <c r="AA4098" s="1094">
        <v>41946</v>
      </c>
      <c r="AB4098" s="318"/>
      <c r="AF4098" s="386"/>
    </row>
    <row r="4099" spans="1:32" ht="15.75" customHeight="1">
      <c r="A4099" s="1235">
        <v>41907</v>
      </c>
      <c r="B4099" s="592" t="s">
        <v>10673</v>
      </c>
      <c r="C4099" s="970" t="s">
        <v>12990</v>
      </c>
      <c r="D4099" s="386" t="s">
        <v>12991</v>
      </c>
      <c r="E4099" s="338" t="s">
        <v>12992</v>
      </c>
      <c r="F4099" s="1088">
        <v>9</v>
      </c>
      <c r="G4099" s="464">
        <v>543.9</v>
      </c>
      <c r="H4099" s="1100">
        <f t="shared" ref="H4099:H4112" si="259">F4099*G4099</f>
        <v>4895.0999999999995</v>
      </c>
      <c r="I4099" s="254" t="s">
        <v>10831</v>
      </c>
      <c r="J4099" s="585" t="s">
        <v>11420</v>
      </c>
      <c r="K4099" s="811">
        <v>41914</v>
      </c>
      <c r="L4099" s="1243" t="s">
        <v>8971</v>
      </c>
      <c r="M4099" s="811">
        <v>41912</v>
      </c>
      <c r="N4099" s="386" t="s">
        <v>10778</v>
      </c>
      <c r="O4099" s="1088" t="s">
        <v>12993</v>
      </c>
      <c r="Q4099" s="772"/>
      <c r="R4099" s="323">
        <v>18.13</v>
      </c>
      <c r="S4099" s="464">
        <f t="shared" si="258"/>
        <v>163.16999999999999</v>
      </c>
      <c r="U4099" s="464">
        <v>4697</v>
      </c>
      <c r="V4099" s="386" t="s">
        <v>8443</v>
      </c>
      <c r="X4099" s="1244">
        <v>41912</v>
      </c>
      <c r="Z4099" s="1245">
        <v>215455</v>
      </c>
      <c r="AA4099" s="1084">
        <v>41936</v>
      </c>
      <c r="AB4099" s="1239" t="s">
        <v>12994</v>
      </c>
      <c r="AF4099" s="1242" t="s">
        <v>12930</v>
      </c>
    </row>
    <row r="4100" spans="1:32" ht="15.75" customHeight="1">
      <c r="A4100" s="1235">
        <v>41907</v>
      </c>
      <c r="B4100" s="592" t="s">
        <v>10673</v>
      </c>
      <c r="C4100" s="970" t="s">
        <v>12990</v>
      </c>
      <c r="D4100" s="386" t="s">
        <v>12991</v>
      </c>
      <c r="E4100" s="338" t="s">
        <v>12874</v>
      </c>
      <c r="F4100" s="1088">
        <v>11</v>
      </c>
      <c r="G4100" s="464">
        <v>3933.3</v>
      </c>
      <c r="H4100" s="1100">
        <f t="shared" si="259"/>
        <v>43266.3</v>
      </c>
      <c r="I4100" s="254" t="s">
        <v>10831</v>
      </c>
      <c r="J4100" s="585" t="s">
        <v>11420</v>
      </c>
      <c r="K4100" s="811">
        <v>41914</v>
      </c>
      <c r="L4100" s="585"/>
      <c r="M4100" s="811">
        <v>41912</v>
      </c>
      <c r="N4100" s="386" t="s">
        <v>10778</v>
      </c>
      <c r="O4100" s="1088" t="s">
        <v>12993</v>
      </c>
      <c r="Q4100" s="772"/>
      <c r="R4100" s="323">
        <v>131.11000000000001</v>
      </c>
      <c r="S4100" s="464">
        <f t="shared" si="258"/>
        <v>1442.21</v>
      </c>
      <c r="U4100" s="464">
        <v>41545</v>
      </c>
      <c r="V4100" s="386" t="s">
        <v>8443</v>
      </c>
      <c r="X4100" s="1244"/>
      <c r="Z4100" s="1245"/>
      <c r="AA4100" s="1084">
        <v>41936</v>
      </c>
      <c r="AB4100" s="1239"/>
      <c r="AF4100" s="1242"/>
    </row>
    <row r="4101" spans="1:32" ht="15.75" customHeight="1">
      <c r="A4101" s="1235">
        <v>41907</v>
      </c>
      <c r="B4101" s="592" t="s">
        <v>10673</v>
      </c>
      <c r="C4101" s="970" t="s">
        <v>12990</v>
      </c>
      <c r="D4101" s="386" t="s">
        <v>12991</v>
      </c>
      <c r="E4101" s="338" t="s">
        <v>6004</v>
      </c>
      <c r="F4101" s="1088">
        <v>4</v>
      </c>
      <c r="G4101" s="464">
        <v>4238.8500000000004</v>
      </c>
      <c r="H4101" s="1100">
        <f t="shared" si="259"/>
        <v>16955.400000000001</v>
      </c>
      <c r="I4101" s="254" t="s">
        <v>10831</v>
      </c>
      <c r="J4101" s="585" t="s">
        <v>11420</v>
      </c>
      <c r="K4101" s="811">
        <v>41914</v>
      </c>
      <c r="L4101" s="1243" t="s">
        <v>8971</v>
      </c>
      <c r="M4101" s="811">
        <v>41912</v>
      </c>
      <c r="N4101" s="386" t="s">
        <v>10778</v>
      </c>
      <c r="O4101" s="1088" t="s">
        <v>12993</v>
      </c>
      <c r="Q4101" s="772"/>
      <c r="R4101" s="323">
        <v>141.29499999999999</v>
      </c>
      <c r="S4101" s="464">
        <f t="shared" si="258"/>
        <v>565.17999999999995</v>
      </c>
      <c r="U4101" s="464">
        <v>16279</v>
      </c>
      <c r="V4101" s="386" t="s">
        <v>8443</v>
      </c>
      <c r="X4101" s="1244"/>
      <c r="Z4101" s="1245"/>
      <c r="AA4101" s="1084">
        <v>41936</v>
      </c>
      <c r="AB4101" s="1239"/>
      <c r="AF4101" s="1242"/>
    </row>
    <row r="4102" spans="1:32" ht="15.75" customHeight="1">
      <c r="A4102" s="1235">
        <v>41907</v>
      </c>
      <c r="B4102" s="592" t="s">
        <v>10673</v>
      </c>
      <c r="C4102" s="970" t="s">
        <v>12990</v>
      </c>
      <c r="D4102" s="386" t="s">
        <v>12991</v>
      </c>
      <c r="E4102" s="338" t="s">
        <v>6813</v>
      </c>
      <c r="F4102" s="1088">
        <v>2</v>
      </c>
      <c r="G4102" s="464">
        <v>1623.3</v>
      </c>
      <c r="H4102" s="1100">
        <f t="shared" si="259"/>
        <v>3246.6</v>
      </c>
      <c r="I4102" s="254" t="s">
        <v>10831</v>
      </c>
      <c r="J4102" s="585" t="s">
        <v>11420</v>
      </c>
      <c r="K4102" s="811">
        <v>41914</v>
      </c>
      <c r="L4102" s="585"/>
      <c r="M4102" s="811">
        <v>41912</v>
      </c>
      <c r="N4102" s="386" t="s">
        <v>10778</v>
      </c>
      <c r="O4102" s="1088" t="s">
        <v>12993</v>
      </c>
      <c r="Q4102" s="772"/>
      <c r="R4102" s="323">
        <v>54.11</v>
      </c>
      <c r="S4102" s="464">
        <f t="shared" si="258"/>
        <v>108.22</v>
      </c>
      <c r="U4102" s="464">
        <v>3116</v>
      </c>
      <c r="V4102" s="386" t="s">
        <v>8443</v>
      </c>
      <c r="X4102" s="1244"/>
      <c r="Z4102" s="1245"/>
      <c r="AA4102" s="1084">
        <v>41936</v>
      </c>
      <c r="AB4102" s="1239"/>
      <c r="AF4102" s="1242"/>
    </row>
    <row r="4103" spans="1:32" ht="15.75" customHeight="1">
      <c r="A4103" s="1235">
        <v>41907</v>
      </c>
      <c r="B4103" s="592" t="s">
        <v>10673</v>
      </c>
      <c r="C4103" s="970" t="s">
        <v>12990</v>
      </c>
      <c r="D4103" s="386" t="s">
        <v>12991</v>
      </c>
      <c r="E4103" s="338" t="s">
        <v>6992</v>
      </c>
      <c r="F4103" s="1088">
        <v>4</v>
      </c>
      <c r="G4103" s="464">
        <v>3841.95</v>
      </c>
      <c r="H4103" s="1100">
        <f t="shared" si="259"/>
        <v>15367.8</v>
      </c>
      <c r="I4103" s="254" t="s">
        <v>10831</v>
      </c>
      <c r="J4103" s="585" t="s">
        <v>11420</v>
      </c>
      <c r="K4103" s="811">
        <v>41914</v>
      </c>
      <c r="L4103" s="1243" t="s">
        <v>8971</v>
      </c>
      <c r="M4103" s="811">
        <v>41912</v>
      </c>
      <c r="N4103" s="386" t="s">
        <v>10778</v>
      </c>
      <c r="O4103" s="1088" t="s">
        <v>12993</v>
      </c>
      <c r="Q4103" s="772"/>
      <c r="R4103" s="323">
        <v>128.065</v>
      </c>
      <c r="S4103" s="464">
        <f t="shared" si="258"/>
        <v>512.26</v>
      </c>
      <c r="U4103" s="464">
        <v>14755</v>
      </c>
      <c r="V4103" s="386" t="s">
        <v>8443</v>
      </c>
      <c r="X4103" s="1244"/>
      <c r="Z4103" s="1245"/>
      <c r="AA4103" s="1084">
        <v>41936</v>
      </c>
      <c r="AB4103" s="318"/>
      <c r="AF4103" s="1242"/>
    </row>
    <row r="4104" spans="1:32" ht="15.75" customHeight="1">
      <c r="A4104" s="1235">
        <v>41907</v>
      </c>
      <c r="B4104" s="592" t="s">
        <v>10673</v>
      </c>
      <c r="C4104" s="970" t="s">
        <v>12990</v>
      </c>
      <c r="D4104" s="386" t="s">
        <v>12991</v>
      </c>
      <c r="E4104" s="338" t="s">
        <v>4034</v>
      </c>
      <c r="F4104" s="1088">
        <v>7</v>
      </c>
      <c r="G4104" s="464">
        <v>2167.1999999999998</v>
      </c>
      <c r="H4104" s="1100">
        <f t="shared" si="259"/>
        <v>15170.399999999998</v>
      </c>
      <c r="I4104" s="254" t="s">
        <v>10831</v>
      </c>
      <c r="J4104" s="585" t="s">
        <v>11420</v>
      </c>
      <c r="K4104" s="811">
        <v>41914</v>
      </c>
      <c r="L4104" s="585"/>
      <c r="M4104" s="811">
        <v>41912</v>
      </c>
      <c r="N4104" s="386" t="s">
        <v>10778</v>
      </c>
      <c r="O4104" s="1088" t="s">
        <v>12993</v>
      </c>
      <c r="Q4104" s="772"/>
      <c r="R4104" s="323">
        <v>72.239999999999995</v>
      </c>
      <c r="S4104" s="464">
        <f t="shared" si="258"/>
        <v>505.67999999999995</v>
      </c>
      <c r="U4104" s="464">
        <v>14560</v>
      </c>
      <c r="V4104" s="386" t="s">
        <v>8443</v>
      </c>
      <c r="X4104" s="1244"/>
      <c r="Z4104" s="1245"/>
      <c r="AA4104" s="1084">
        <v>41936</v>
      </c>
      <c r="AB4104" s="1239" t="s">
        <v>12995</v>
      </c>
      <c r="AF4104" s="1242"/>
    </row>
    <row r="4105" spans="1:32" ht="15.75" customHeight="1">
      <c r="A4105" s="1235">
        <v>41907</v>
      </c>
      <c r="B4105" s="592" t="s">
        <v>10673</v>
      </c>
      <c r="C4105" s="970" t="s">
        <v>12990</v>
      </c>
      <c r="D4105" s="386" t="s">
        <v>12991</v>
      </c>
      <c r="E4105" s="338" t="s">
        <v>3927</v>
      </c>
      <c r="F4105" s="1088">
        <v>20</v>
      </c>
      <c r="G4105" s="464">
        <v>1519.35</v>
      </c>
      <c r="H4105" s="1100">
        <f t="shared" si="259"/>
        <v>30387</v>
      </c>
      <c r="I4105" s="254" t="s">
        <v>10831</v>
      </c>
      <c r="J4105" s="585" t="s">
        <v>11420</v>
      </c>
      <c r="K4105" s="811">
        <v>41914</v>
      </c>
      <c r="L4105" s="1243" t="s">
        <v>8971</v>
      </c>
      <c r="M4105" s="811">
        <v>41912</v>
      </c>
      <c r="N4105" s="386" t="s">
        <v>10778</v>
      </c>
      <c r="O4105" s="1088" t="s">
        <v>12993</v>
      </c>
      <c r="Q4105" s="772"/>
      <c r="R4105" s="323">
        <v>50.645000000000003</v>
      </c>
      <c r="S4105" s="464">
        <f t="shared" si="258"/>
        <v>1012.9000000000001</v>
      </c>
      <c r="U4105" s="464">
        <v>29169</v>
      </c>
      <c r="V4105" s="386" t="s">
        <v>8443</v>
      </c>
      <c r="X4105" s="1244"/>
      <c r="Z4105" s="1245"/>
      <c r="AA4105" s="1084">
        <v>41936</v>
      </c>
      <c r="AB4105" s="1239"/>
      <c r="AF4105" s="1242"/>
    </row>
    <row r="4106" spans="1:32" ht="15.75" customHeight="1">
      <c r="A4106" s="1235">
        <v>41907</v>
      </c>
      <c r="B4106" s="592" t="s">
        <v>10673</v>
      </c>
      <c r="C4106" s="970" t="s">
        <v>12990</v>
      </c>
      <c r="D4106" s="386" t="s">
        <v>12991</v>
      </c>
      <c r="E4106" s="338" t="s">
        <v>7533</v>
      </c>
      <c r="F4106" s="1088">
        <v>16</v>
      </c>
      <c r="G4106" s="464">
        <v>1372.35</v>
      </c>
      <c r="H4106" s="1100">
        <f t="shared" si="259"/>
        <v>21957.599999999999</v>
      </c>
      <c r="I4106" s="254" t="s">
        <v>10831</v>
      </c>
      <c r="J4106" s="585" t="s">
        <v>11420</v>
      </c>
      <c r="K4106" s="811">
        <v>41914</v>
      </c>
      <c r="L4106" s="585"/>
      <c r="M4106" s="811">
        <v>41912</v>
      </c>
      <c r="N4106" s="386" t="s">
        <v>10778</v>
      </c>
      <c r="O4106" s="1088" t="s">
        <v>12993</v>
      </c>
      <c r="Q4106" s="772"/>
      <c r="R4106" s="323">
        <v>45.744999999999997</v>
      </c>
      <c r="S4106" s="464">
        <f t="shared" si="258"/>
        <v>731.92</v>
      </c>
      <c r="U4106" s="464">
        <v>21084</v>
      </c>
      <c r="V4106" s="386" t="s">
        <v>8443</v>
      </c>
      <c r="X4106" s="1244"/>
      <c r="Z4106" s="1245"/>
      <c r="AA4106" s="1084">
        <v>41936</v>
      </c>
      <c r="AB4106" s="1239"/>
      <c r="AF4106" s="1242"/>
    </row>
    <row r="4107" spans="1:32" ht="15.75" customHeight="1">
      <c r="A4107" s="1235">
        <v>41907</v>
      </c>
      <c r="B4107" s="592" t="s">
        <v>10673</v>
      </c>
      <c r="C4107" s="970" t="s">
        <v>12990</v>
      </c>
      <c r="D4107" s="386" t="s">
        <v>12991</v>
      </c>
      <c r="E4107" s="338" t="s">
        <v>11165</v>
      </c>
      <c r="F4107" s="1088">
        <v>3</v>
      </c>
      <c r="G4107" s="464">
        <v>1548.75</v>
      </c>
      <c r="H4107" s="1100">
        <f t="shared" si="259"/>
        <v>4646.25</v>
      </c>
      <c r="I4107" s="254" t="s">
        <v>10831</v>
      </c>
      <c r="J4107" s="585" t="s">
        <v>11420</v>
      </c>
      <c r="K4107" s="811">
        <v>41914</v>
      </c>
      <c r="L4107" s="1243" t="s">
        <v>8971</v>
      </c>
      <c r="M4107" s="811">
        <v>41912</v>
      </c>
      <c r="N4107" s="386" t="s">
        <v>10778</v>
      </c>
      <c r="O4107" s="1088" t="s">
        <v>12993</v>
      </c>
      <c r="Q4107" s="772"/>
      <c r="R4107" s="323">
        <v>51.625</v>
      </c>
      <c r="S4107" s="464">
        <f t="shared" si="258"/>
        <v>154.875</v>
      </c>
      <c r="U4107" s="464">
        <v>4460</v>
      </c>
      <c r="V4107" s="386" t="s">
        <v>8443</v>
      </c>
      <c r="X4107" s="1244"/>
      <c r="Z4107" s="1245"/>
      <c r="AA4107" s="1084">
        <v>41936</v>
      </c>
      <c r="AB4107" s="1239"/>
      <c r="AF4107" s="1242"/>
    </row>
    <row r="4108" spans="1:32" ht="15.75" customHeight="1">
      <c r="A4108" s="1235">
        <v>41907</v>
      </c>
      <c r="B4108" s="592" t="s">
        <v>10673</v>
      </c>
      <c r="C4108" s="970" t="s">
        <v>12990</v>
      </c>
      <c r="D4108" s="386" t="s">
        <v>12991</v>
      </c>
      <c r="E4108" s="338" t="s">
        <v>11102</v>
      </c>
      <c r="F4108" s="1088">
        <v>5</v>
      </c>
      <c r="G4108" s="464">
        <v>8115.45</v>
      </c>
      <c r="H4108" s="1100">
        <f t="shared" si="259"/>
        <v>40577.25</v>
      </c>
      <c r="I4108" s="254" t="s">
        <v>10831</v>
      </c>
      <c r="J4108" s="585" t="s">
        <v>11420</v>
      </c>
      <c r="K4108" s="811">
        <v>41914</v>
      </c>
      <c r="L4108" s="585"/>
      <c r="M4108" s="811">
        <v>41912</v>
      </c>
      <c r="N4108" s="386" t="s">
        <v>10778</v>
      </c>
      <c r="O4108" s="1088" t="s">
        <v>12993</v>
      </c>
      <c r="Q4108" s="772"/>
      <c r="R4108" s="323">
        <v>270.51499999999999</v>
      </c>
      <c r="S4108" s="464">
        <f t="shared" si="258"/>
        <v>1352.5749999999998</v>
      </c>
      <c r="U4108" s="464">
        <v>38955</v>
      </c>
      <c r="V4108" s="386" t="s">
        <v>8443</v>
      </c>
      <c r="X4108" s="1244"/>
      <c r="Z4108" s="1245"/>
      <c r="AA4108" s="1084">
        <v>41936</v>
      </c>
      <c r="AB4108" s="318"/>
      <c r="AF4108" s="1242"/>
    </row>
    <row r="4109" spans="1:32" ht="15.75" customHeight="1">
      <c r="A4109" s="1235">
        <v>41907</v>
      </c>
      <c r="B4109" s="592" t="s">
        <v>10673</v>
      </c>
      <c r="C4109" s="970" t="s">
        <v>12990</v>
      </c>
      <c r="D4109" s="386" t="s">
        <v>12991</v>
      </c>
      <c r="E4109" s="338" t="s">
        <v>11166</v>
      </c>
      <c r="F4109" s="1088">
        <v>2</v>
      </c>
      <c r="G4109" s="464">
        <v>4112.8500000000004</v>
      </c>
      <c r="H4109" s="1100">
        <f t="shared" si="259"/>
        <v>8225.7000000000007</v>
      </c>
      <c r="I4109" s="254" t="s">
        <v>10831</v>
      </c>
      <c r="J4109" s="585" t="s">
        <v>11420</v>
      </c>
      <c r="K4109" s="811">
        <v>41914</v>
      </c>
      <c r="L4109" s="1243" t="s">
        <v>8971</v>
      </c>
      <c r="M4109" s="811">
        <v>41912</v>
      </c>
      <c r="N4109" s="386" t="s">
        <v>10778</v>
      </c>
      <c r="O4109" s="1088" t="s">
        <v>12993</v>
      </c>
      <c r="Q4109" s="772"/>
      <c r="R4109" s="323">
        <v>137.095</v>
      </c>
      <c r="S4109" s="464">
        <f t="shared" si="258"/>
        <v>274.19</v>
      </c>
      <c r="U4109" s="464">
        <v>7896</v>
      </c>
      <c r="V4109" s="386" t="s">
        <v>8443</v>
      </c>
      <c r="X4109" s="1244"/>
      <c r="Z4109" s="1245"/>
      <c r="AA4109" s="1084">
        <v>41936</v>
      </c>
      <c r="AB4109" s="1239" t="s">
        <v>12996</v>
      </c>
      <c r="AF4109" s="1242"/>
    </row>
    <row r="4110" spans="1:32" ht="15.75" customHeight="1">
      <c r="A4110" s="1235">
        <v>41907</v>
      </c>
      <c r="B4110" s="592" t="s">
        <v>10673</v>
      </c>
      <c r="C4110" s="970" t="s">
        <v>12990</v>
      </c>
      <c r="D4110" s="386" t="s">
        <v>12991</v>
      </c>
      <c r="E4110" s="338" t="s">
        <v>11167</v>
      </c>
      <c r="F4110" s="1088">
        <v>3</v>
      </c>
      <c r="G4110" s="464">
        <v>6576.15</v>
      </c>
      <c r="H4110" s="1100">
        <f t="shared" si="259"/>
        <v>19728.449999999997</v>
      </c>
      <c r="I4110" s="254" t="s">
        <v>10831</v>
      </c>
      <c r="J4110" s="585" t="s">
        <v>11420</v>
      </c>
      <c r="K4110" s="811">
        <v>41914</v>
      </c>
      <c r="L4110" s="585"/>
      <c r="M4110" s="811">
        <v>41912</v>
      </c>
      <c r="N4110" s="386" t="s">
        <v>10778</v>
      </c>
      <c r="O4110" s="1088" t="s">
        <v>12993</v>
      </c>
      <c r="Q4110" s="772"/>
      <c r="R4110" s="323">
        <v>219.20500000000001</v>
      </c>
      <c r="S4110" s="464">
        <f t="shared" si="258"/>
        <v>657.61500000000001</v>
      </c>
      <c r="U4110" s="464">
        <v>18938</v>
      </c>
      <c r="V4110" s="386" t="s">
        <v>8443</v>
      </c>
      <c r="X4110" s="1094"/>
      <c r="Z4110" s="1110"/>
      <c r="AA4110" s="1084">
        <v>41936</v>
      </c>
      <c r="AB4110" s="318"/>
      <c r="AF4110" s="386"/>
    </row>
    <row r="4111" spans="1:32" ht="15.75" customHeight="1">
      <c r="A4111" s="1235">
        <v>41907</v>
      </c>
      <c r="B4111" s="592" t="s">
        <v>10673</v>
      </c>
      <c r="C4111" s="970" t="s">
        <v>12990</v>
      </c>
      <c r="D4111" s="386" t="s">
        <v>12997</v>
      </c>
      <c r="E4111" s="338" t="s">
        <v>7533</v>
      </c>
      <c r="F4111" s="1088">
        <v>4</v>
      </c>
      <c r="G4111" s="464">
        <v>1372.35</v>
      </c>
      <c r="H4111" s="1100">
        <f t="shared" si="259"/>
        <v>5489.4</v>
      </c>
      <c r="I4111" s="254" t="s">
        <v>10831</v>
      </c>
      <c r="J4111" s="585" t="s">
        <v>12969</v>
      </c>
      <c r="K4111" s="811">
        <v>41925</v>
      </c>
      <c r="L4111" s="1243" t="s">
        <v>8971</v>
      </c>
      <c r="M4111" s="811">
        <v>41921</v>
      </c>
      <c r="N4111" s="386" t="s">
        <v>10778</v>
      </c>
      <c r="O4111" s="1088" t="s">
        <v>12993</v>
      </c>
      <c r="Q4111" s="772"/>
      <c r="R4111" s="323">
        <v>45.744999999999997</v>
      </c>
      <c r="S4111" s="464">
        <f t="shared" si="258"/>
        <v>182.98</v>
      </c>
      <c r="U4111" s="464">
        <v>5271</v>
      </c>
      <c r="V4111" s="386" t="s">
        <v>8443</v>
      </c>
      <c r="X4111" s="1237">
        <v>41926</v>
      </c>
      <c r="Z4111" s="1238">
        <v>9219</v>
      </c>
      <c r="AA4111" s="1084">
        <v>41936</v>
      </c>
      <c r="AB4111" s="386" t="s">
        <v>12998</v>
      </c>
      <c r="AF4111" s="386" t="s">
        <v>12999</v>
      </c>
    </row>
    <row r="4112" spans="1:32" ht="15.75" customHeight="1">
      <c r="A4112" s="1235">
        <v>41907</v>
      </c>
      <c r="B4112" s="592" t="s">
        <v>10673</v>
      </c>
      <c r="C4112" s="970" t="s">
        <v>12990</v>
      </c>
      <c r="D4112" s="386" t="s">
        <v>13000</v>
      </c>
      <c r="E4112" s="338" t="s">
        <v>11166</v>
      </c>
      <c r="F4112" s="1088">
        <v>1</v>
      </c>
      <c r="G4112" s="464">
        <v>4112.8500000000004</v>
      </c>
      <c r="H4112" s="1100">
        <f t="shared" si="259"/>
        <v>4112.8500000000004</v>
      </c>
      <c r="I4112" s="254" t="s">
        <v>10831</v>
      </c>
      <c r="J4112" s="585" t="s">
        <v>11420</v>
      </c>
      <c r="K4112" s="811">
        <v>41927</v>
      </c>
      <c r="L4112" s="585"/>
      <c r="M4112" s="811">
        <v>41926</v>
      </c>
      <c r="N4112" s="386" t="s">
        <v>10778</v>
      </c>
      <c r="O4112" s="1088" t="s">
        <v>12993</v>
      </c>
      <c r="Q4112" s="772"/>
      <c r="R4112" s="323">
        <v>137.095</v>
      </c>
      <c r="S4112" s="464">
        <f t="shared" si="258"/>
        <v>137.095</v>
      </c>
      <c r="U4112" s="464">
        <v>3948</v>
      </c>
      <c r="V4112" s="386" t="s">
        <v>8443</v>
      </c>
      <c r="X4112" s="1084"/>
      <c r="Z4112" s="1100"/>
      <c r="AA4112" s="1084">
        <v>41936</v>
      </c>
      <c r="AB4112" s="318" t="s">
        <v>13001</v>
      </c>
      <c r="AF4112" s="318" t="s">
        <v>13002</v>
      </c>
    </row>
    <row r="4113" spans="1:32" ht="15.75" customHeight="1">
      <c r="A4113" s="1235">
        <v>41908</v>
      </c>
      <c r="B4113" s="592" t="s">
        <v>53</v>
      </c>
      <c r="C4113" s="970" t="s">
        <v>13003</v>
      </c>
      <c r="D4113" s="386" t="s">
        <v>13004</v>
      </c>
      <c r="E4113" s="338" t="s">
        <v>4586</v>
      </c>
      <c r="F4113" s="1088">
        <v>50</v>
      </c>
      <c r="G4113" s="772"/>
      <c r="H4113" s="386"/>
      <c r="I4113" s="254" t="s">
        <v>8429</v>
      </c>
      <c r="J4113" s="585" t="s">
        <v>89</v>
      </c>
      <c r="K4113" s="811">
        <v>41919</v>
      </c>
      <c r="L4113" s="585" t="s">
        <v>89</v>
      </c>
      <c r="M4113" s="386"/>
      <c r="N4113" s="386" t="s">
        <v>89</v>
      </c>
      <c r="O4113" s="752">
        <v>20140900134216</v>
      </c>
      <c r="Q4113" s="464">
        <v>4410</v>
      </c>
      <c r="R4113" s="323">
        <v>103.95</v>
      </c>
      <c r="S4113" s="464">
        <f>R4113*F4113</f>
        <v>5197.5</v>
      </c>
      <c r="U4113" s="772"/>
      <c r="V4113" s="386" t="s">
        <v>5896</v>
      </c>
      <c r="X4113" s="1084">
        <v>41919</v>
      </c>
      <c r="Z4113" s="1100">
        <v>133336</v>
      </c>
      <c r="AA4113" s="1084">
        <v>41936</v>
      </c>
      <c r="AB4113" s="386" t="s">
        <v>13005</v>
      </c>
      <c r="AF4113" s="386" t="s">
        <v>13006</v>
      </c>
    </row>
    <row r="4114" spans="1:32" ht="15.75" customHeight="1">
      <c r="A4114" s="1253">
        <v>41908</v>
      </c>
      <c r="B4114" s="338" t="s">
        <v>1189</v>
      </c>
      <c r="C4114" s="263" t="s">
        <v>13007</v>
      </c>
      <c r="D4114" s="318" t="s">
        <v>13008</v>
      </c>
      <c r="E4114" s="338" t="s">
        <v>13009</v>
      </c>
      <c r="F4114" s="752">
        <v>6</v>
      </c>
      <c r="G4114" s="772"/>
      <c r="H4114" s="386"/>
      <c r="I4114" s="254" t="s">
        <v>11834</v>
      </c>
      <c r="J4114" s="254" t="s">
        <v>13010</v>
      </c>
      <c r="K4114" s="811">
        <v>41919</v>
      </c>
      <c r="L4114" s="254" t="s">
        <v>5882</v>
      </c>
      <c r="M4114" s="811">
        <v>41915</v>
      </c>
      <c r="N4114" s="318" t="s">
        <v>89</v>
      </c>
      <c r="O4114" s="752">
        <v>20140900133761</v>
      </c>
      <c r="Q4114" s="464">
        <v>1883.7</v>
      </c>
      <c r="R4114" s="464">
        <v>331</v>
      </c>
      <c r="S4114" s="464">
        <f>R4114*F4114</f>
        <v>1986</v>
      </c>
      <c r="U4114" s="772"/>
      <c r="V4114" s="318" t="s">
        <v>5896</v>
      </c>
      <c r="X4114" s="1084">
        <v>41915</v>
      </c>
      <c r="Z4114" s="1100">
        <v>56954</v>
      </c>
      <c r="AA4114" s="1084">
        <v>41946</v>
      </c>
      <c r="AB4114" s="318" t="s">
        <v>13011</v>
      </c>
      <c r="AF4114" s="386"/>
    </row>
    <row r="4115" spans="1:32" ht="15.75" customHeight="1">
      <c r="A4115" s="1253">
        <v>41908</v>
      </c>
      <c r="B4115" s="338" t="s">
        <v>1189</v>
      </c>
      <c r="C4115" s="263" t="s">
        <v>13007</v>
      </c>
      <c r="D4115" s="318" t="s">
        <v>13008</v>
      </c>
      <c r="E4115" s="338" t="s">
        <v>13009</v>
      </c>
      <c r="F4115" s="752">
        <v>34</v>
      </c>
      <c r="G4115" s="772"/>
      <c r="H4115" s="386"/>
      <c r="I4115" s="254" t="s">
        <v>11834</v>
      </c>
      <c r="J4115" s="254" t="s">
        <v>13010</v>
      </c>
      <c r="K4115" s="811">
        <v>41949</v>
      </c>
      <c r="L4115" s="254" t="s">
        <v>5882</v>
      </c>
      <c r="M4115" s="811">
        <v>41939</v>
      </c>
      <c r="N4115" s="318" t="s">
        <v>89</v>
      </c>
      <c r="O4115" s="752">
        <v>20140900133761</v>
      </c>
      <c r="Q4115" s="464">
        <v>10674.3</v>
      </c>
      <c r="R4115" s="464">
        <v>331</v>
      </c>
      <c r="S4115" s="464">
        <f>R4115*F4115</f>
        <v>11254</v>
      </c>
      <c r="U4115" s="772"/>
      <c r="V4115" s="318" t="s">
        <v>5896</v>
      </c>
      <c r="X4115" s="1084">
        <v>41939</v>
      </c>
      <c r="Z4115" s="1100">
        <v>323805</v>
      </c>
      <c r="AA4115" s="1084">
        <v>41950</v>
      </c>
      <c r="AB4115" s="263" t="s">
        <v>13012</v>
      </c>
      <c r="AF4115" s="386"/>
    </row>
    <row r="4116" spans="1:32" ht="15.75" customHeight="1">
      <c r="A4116" s="1235">
        <v>41908</v>
      </c>
      <c r="B4116" s="592" t="s">
        <v>10673</v>
      </c>
      <c r="C4116" s="970" t="s">
        <v>13013</v>
      </c>
      <c r="D4116" s="386" t="s">
        <v>13014</v>
      </c>
      <c r="E4116" s="338" t="s">
        <v>4034</v>
      </c>
      <c r="F4116" s="1088">
        <v>10</v>
      </c>
      <c r="G4116" s="464">
        <v>2167.1999999999998</v>
      </c>
      <c r="H4116" s="1100">
        <f>F4116*G4116</f>
        <v>21672</v>
      </c>
      <c r="I4116" s="254" t="s">
        <v>10831</v>
      </c>
      <c r="J4116" s="585" t="s">
        <v>11420</v>
      </c>
      <c r="K4116" s="811">
        <v>41914</v>
      </c>
      <c r="L4116" s="585" t="s">
        <v>8971</v>
      </c>
      <c r="M4116" s="811">
        <v>41912</v>
      </c>
      <c r="N4116" s="386" t="s">
        <v>10778</v>
      </c>
      <c r="O4116" s="1088" t="s">
        <v>13015</v>
      </c>
      <c r="Q4116" s="772"/>
      <c r="R4116" s="323">
        <v>72.239999999999995</v>
      </c>
      <c r="S4116" s="464">
        <f>R4116*F4116</f>
        <v>722.4</v>
      </c>
      <c r="U4116" s="464">
        <v>20801</v>
      </c>
      <c r="V4116" s="386" t="s">
        <v>8443</v>
      </c>
      <c r="X4116" s="1094">
        <v>41912</v>
      </c>
      <c r="Z4116" s="1110">
        <v>20801</v>
      </c>
      <c r="AA4116" s="1084">
        <v>41936</v>
      </c>
      <c r="AB4116" s="318" t="s">
        <v>13016</v>
      </c>
      <c r="AF4116" s="386" t="s">
        <v>12930</v>
      </c>
    </row>
    <row r="4117" spans="1:32" ht="15.75" customHeight="1">
      <c r="A4117" s="1235">
        <v>41908</v>
      </c>
      <c r="B4117" s="592" t="s">
        <v>10673</v>
      </c>
      <c r="C4117" s="970" t="s">
        <v>13017</v>
      </c>
      <c r="D4117" s="386" t="s">
        <v>13018</v>
      </c>
      <c r="E4117" s="338" t="s">
        <v>12360</v>
      </c>
      <c r="F4117" s="1088">
        <v>3</v>
      </c>
      <c r="G4117" s="464">
        <v>1980.3</v>
      </c>
      <c r="H4117" s="1100">
        <f>F4117*G4117</f>
        <v>5940.9</v>
      </c>
      <c r="I4117" s="254" t="s">
        <v>10831</v>
      </c>
      <c r="J4117" s="585" t="s">
        <v>11420</v>
      </c>
      <c r="K4117" s="811">
        <v>41935</v>
      </c>
      <c r="L4117" s="585" t="s">
        <v>10120</v>
      </c>
      <c r="M4117" s="811">
        <v>41934</v>
      </c>
      <c r="N4117" s="386" t="s">
        <v>10778</v>
      </c>
      <c r="O4117" s="1088" t="s">
        <v>13019</v>
      </c>
      <c r="Q4117" s="772"/>
      <c r="R4117" s="464">
        <v>66.010000000000005</v>
      </c>
      <c r="S4117" s="464">
        <f>R4117*F4117</f>
        <v>198.03000000000003</v>
      </c>
      <c r="U4117" s="464">
        <v>5705</v>
      </c>
      <c r="V4117" s="386" t="s">
        <v>8443</v>
      </c>
      <c r="X4117" s="1094">
        <v>41929</v>
      </c>
      <c r="Z4117" s="1110">
        <v>5705</v>
      </c>
      <c r="AA4117" s="1094">
        <v>41946</v>
      </c>
      <c r="AB4117" s="318" t="s">
        <v>13020</v>
      </c>
      <c r="AF4117" s="386" t="s">
        <v>13021</v>
      </c>
    </row>
    <row r="4118" spans="1:32" ht="15.75" customHeight="1">
      <c r="A4118" s="1235">
        <v>41912</v>
      </c>
      <c r="B4118" s="592" t="s">
        <v>11516</v>
      </c>
      <c r="C4118" s="386"/>
      <c r="D4118" s="386" t="s">
        <v>13022</v>
      </c>
      <c r="E4118" s="338" t="s">
        <v>13023</v>
      </c>
      <c r="F4118" s="1088">
        <v>5</v>
      </c>
      <c r="G4118" s="772"/>
      <c r="H4118" s="772"/>
      <c r="I4118" s="254" t="s">
        <v>11643</v>
      </c>
      <c r="J4118" s="585" t="s">
        <v>11519</v>
      </c>
      <c r="K4118" s="811">
        <v>41919</v>
      </c>
      <c r="L4118" s="585" t="s">
        <v>5882</v>
      </c>
      <c r="M4118" s="811">
        <v>41915</v>
      </c>
      <c r="N4118" s="386" t="s">
        <v>12718</v>
      </c>
      <c r="O4118" s="1088" t="s">
        <v>13024</v>
      </c>
      <c r="Q4118" s="772"/>
      <c r="R4118" s="323">
        <v>31.5</v>
      </c>
      <c r="S4118" s="464">
        <f t="shared" ref="S4118:S4128" si="260">F4118*R4118</f>
        <v>157.5</v>
      </c>
      <c r="U4118" s="464">
        <v>4253</v>
      </c>
      <c r="V4118" s="263" t="s">
        <v>2413</v>
      </c>
      <c r="X4118" s="1094">
        <v>41914</v>
      </c>
      <c r="Z4118" s="1110">
        <v>4253</v>
      </c>
      <c r="AA4118" s="1094">
        <v>41946</v>
      </c>
      <c r="AB4118" s="318" t="s">
        <v>13025</v>
      </c>
      <c r="AF4118" s="386"/>
    </row>
    <row r="4119" spans="1:32" ht="15.75" customHeight="1">
      <c r="A4119" s="1235">
        <v>41914</v>
      </c>
      <c r="B4119" s="592" t="s">
        <v>10673</v>
      </c>
      <c r="C4119" s="970" t="s">
        <v>13026</v>
      </c>
      <c r="D4119" s="386" t="s">
        <v>13027</v>
      </c>
      <c r="E4119" s="338" t="s">
        <v>6813</v>
      </c>
      <c r="F4119" s="1088">
        <v>2</v>
      </c>
      <c r="G4119" s="464">
        <v>1623.3</v>
      </c>
      <c r="H4119" s="1100">
        <f t="shared" ref="H4119:H4128" si="261">F4119*G4119</f>
        <v>3246.6</v>
      </c>
      <c r="I4119" s="254" t="s">
        <v>10831</v>
      </c>
      <c r="J4119" s="585" t="s">
        <v>11420</v>
      </c>
      <c r="K4119" s="811">
        <v>41925</v>
      </c>
      <c r="L4119" s="585" t="s">
        <v>5882</v>
      </c>
      <c r="M4119" s="811">
        <v>41920</v>
      </c>
      <c r="N4119" s="386" t="s">
        <v>10778</v>
      </c>
      <c r="O4119" s="1088" t="s">
        <v>13028</v>
      </c>
      <c r="Q4119" s="772"/>
      <c r="R4119" s="323">
        <v>54.11</v>
      </c>
      <c r="S4119" s="464">
        <f t="shared" si="260"/>
        <v>108.22</v>
      </c>
      <c r="U4119" s="464">
        <v>3116</v>
      </c>
      <c r="V4119" s="386" t="s">
        <v>8443</v>
      </c>
      <c r="X4119" s="1237">
        <v>41926</v>
      </c>
      <c r="Z4119" s="1238">
        <v>216737</v>
      </c>
      <c r="AA4119" s="1094">
        <v>41935</v>
      </c>
      <c r="AB4119" s="386" t="s">
        <v>13029</v>
      </c>
      <c r="AF4119" s="386" t="s">
        <v>12999</v>
      </c>
    </row>
    <row r="4120" spans="1:32" ht="15.75" customHeight="1">
      <c r="A4120" s="1235">
        <v>41914</v>
      </c>
      <c r="B4120" s="592" t="s">
        <v>10673</v>
      </c>
      <c r="C4120" s="970" t="s">
        <v>13026</v>
      </c>
      <c r="D4120" s="386" t="s">
        <v>13030</v>
      </c>
      <c r="E4120" s="338" t="s">
        <v>11081</v>
      </c>
      <c r="F4120" s="1088">
        <v>1</v>
      </c>
      <c r="G4120" s="464">
        <v>2165.1</v>
      </c>
      <c r="H4120" s="1100">
        <f t="shared" si="261"/>
        <v>2165.1</v>
      </c>
      <c r="I4120" s="254" t="s">
        <v>10831</v>
      </c>
      <c r="J4120" s="585" t="s">
        <v>11420</v>
      </c>
      <c r="K4120" s="811">
        <v>41927</v>
      </c>
      <c r="L4120" s="585" t="s">
        <v>8971</v>
      </c>
      <c r="M4120" s="811">
        <v>41926</v>
      </c>
      <c r="N4120" s="386" t="s">
        <v>10778</v>
      </c>
      <c r="O4120" s="1088" t="s">
        <v>13028</v>
      </c>
      <c r="Q4120" s="772"/>
      <c r="R4120" s="323">
        <v>72.17</v>
      </c>
      <c r="S4120" s="464">
        <f t="shared" si="260"/>
        <v>72.17</v>
      </c>
      <c r="U4120" s="464">
        <v>2078</v>
      </c>
      <c r="V4120" s="386" t="s">
        <v>8443</v>
      </c>
      <c r="X4120" s="1237"/>
      <c r="Z4120" s="1238"/>
      <c r="AA4120" s="1094">
        <v>41935</v>
      </c>
      <c r="AB4120" s="318" t="s">
        <v>13001</v>
      </c>
      <c r="AF4120" s="318" t="s">
        <v>13002</v>
      </c>
    </row>
    <row r="4121" spans="1:32" ht="15.75" customHeight="1">
      <c r="A4121" s="1235">
        <v>41914</v>
      </c>
      <c r="B4121" s="592" t="s">
        <v>10673</v>
      </c>
      <c r="C4121" s="970" t="s">
        <v>13026</v>
      </c>
      <c r="D4121" s="386" t="s">
        <v>13027</v>
      </c>
      <c r="E4121" s="338" t="s">
        <v>6992</v>
      </c>
      <c r="F4121" s="1088">
        <v>1</v>
      </c>
      <c r="G4121" s="464">
        <v>3841.95</v>
      </c>
      <c r="H4121" s="1100">
        <f t="shared" si="261"/>
        <v>3841.95</v>
      </c>
      <c r="I4121" s="254" t="s">
        <v>10831</v>
      </c>
      <c r="J4121" s="585" t="s">
        <v>11420</v>
      </c>
      <c r="K4121" s="811">
        <v>41925</v>
      </c>
      <c r="L4121" s="585" t="s">
        <v>5882</v>
      </c>
      <c r="M4121" s="811">
        <v>41920</v>
      </c>
      <c r="N4121" s="386" t="s">
        <v>10778</v>
      </c>
      <c r="O4121" s="1088" t="s">
        <v>13028</v>
      </c>
      <c r="Q4121" s="772"/>
      <c r="R4121" s="323">
        <v>128.065</v>
      </c>
      <c r="S4121" s="464">
        <f t="shared" si="260"/>
        <v>128.065</v>
      </c>
      <c r="U4121" s="464">
        <v>3689</v>
      </c>
      <c r="V4121" s="386" t="s">
        <v>8443</v>
      </c>
      <c r="X4121" s="1237"/>
      <c r="Z4121" s="1238"/>
      <c r="AA4121" s="1094">
        <v>41935</v>
      </c>
      <c r="AB4121" s="1242" t="s">
        <v>13029</v>
      </c>
      <c r="AF4121" s="1242" t="s">
        <v>12999</v>
      </c>
    </row>
    <row r="4122" spans="1:32" ht="15.75" customHeight="1">
      <c r="A4122" s="1235">
        <v>41914</v>
      </c>
      <c r="B4122" s="592" t="s">
        <v>10673</v>
      </c>
      <c r="C4122" s="970" t="s">
        <v>13026</v>
      </c>
      <c r="D4122" s="386" t="s">
        <v>13027</v>
      </c>
      <c r="E4122" s="338" t="s">
        <v>3927</v>
      </c>
      <c r="F4122" s="1088">
        <v>44</v>
      </c>
      <c r="G4122" s="464">
        <v>1519.35</v>
      </c>
      <c r="H4122" s="1100">
        <f t="shared" si="261"/>
        <v>66851.399999999994</v>
      </c>
      <c r="I4122" s="254" t="s">
        <v>10831</v>
      </c>
      <c r="J4122" s="585" t="s">
        <v>11420</v>
      </c>
      <c r="K4122" s="811">
        <v>41925</v>
      </c>
      <c r="L4122" s="585" t="s">
        <v>5882</v>
      </c>
      <c r="M4122" s="811">
        <v>41920</v>
      </c>
      <c r="N4122" s="386" t="s">
        <v>10778</v>
      </c>
      <c r="O4122" s="1088" t="s">
        <v>13028</v>
      </c>
      <c r="Q4122" s="772"/>
      <c r="R4122" s="323">
        <v>50.645000000000003</v>
      </c>
      <c r="S4122" s="464">
        <f t="shared" si="260"/>
        <v>2228.38</v>
      </c>
      <c r="U4122" s="464">
        <v>64172</v>
      </c>
      <c r="V4122" s="386" t="s">
        <v>8443</v>
      </c>
      <c r="X4122" s="1237"/>
      <c r="Z4122" s="1238"/>
      <c r="AA4122" s="1094">
        <v>41935</v>
      </c>
      <c r="AB4122" s="1242"/>
      <c r="AF4122" s="1242"/>
    </row>
    <row r="4123" spans="1:32" ht="15.75" customHeight="1">
      <c r="A4123" s="1235">
        <v>41914</v>
      </c>
      <c r="B4123" s="592" t="s">
        <v>10673</v>
      </c>
      <c r="C4123" s="970" t="s">
        <v>13026</v>
      </c>
      <c r="D4123" s="386" t="s">
        <v>13027</v>
      </c>
      <c r="E4123" s="338" t="s">
        <v>7533</v>
      </c>
      <c r="F4123" s="1088">
        <v>44</v>
      </c>
      <c r="G4123" s="464">
        <v>1372.35</v>
      </c>
      <c r="H4123" s="1100">
        <f t="shared" si="261"/>
        <v>60383.399999999994</v>
      </c>
      <c r="I4123" s="254" t="s">
        <v>10831</v>
      </c>
      <c r="J4123" s="585" t="s">
        <v>11420</v>
      </c>
      <c r="K4123" s="811">
        <v>41925</v>
      </c>
      <c r="L4123" s="585" t="s">
        <v>5882</v>
      </c>
      <c r="M4123" s="811">
        <v>41920</v>
      </c>
      <c r="N4123" s="386" t="s">
        <v>10778</v>
      </c>
      <c r="O4123" s="1088" t="s">
        <v>13028</v>
      </c>
      <c r="Q4123" s="772"/>
      <c r="R4123" s="323">
        <v>45.744999999999997</v>
      </c>
      <c r="S4123" s="464">
        <f t="shared" si="260"/>
        <v>2012.78</v>
      </c>
      <c r="U4123" s="464">
        <v>57981</v>
      </c>
      <c r="V4123" s="386" t="s">
        <v>8443</v>
      </c>
      <c r="X4123" s="1237"/>
      <c r="Z4123" s="1238"/>
      <c r="AA4123" s="1094">
        <v>41935</v>
      </c>
      <c r="AB4123" s="1242"/>
      <c r="AF4123" s="1242"/>
    </row>
    <row r="4124" spans="1:32" ht="15.75" customHeight="1">
      <c r="A4124" s="1235">
        <v>41914</v>
      </c>
      <c r="B4124" s="592" t="s">
        <v>10673</v>
      </c>
      <c r="C4124" s="970" t="s">
        <v>13026</v>
      </c>
      <c r="D4124" s="386" t="s">
        <v>13027</v>
      </c>
      <c r="E4124" s="338" t="s">
        <v>11102</v>
      </c>
      <c r="F4124" s="1088">
        <v>11</v>
      </c>
      <c r="G4124" s="464">
        <v>8115.45</v>
      </c>
      <c r="H4124" s="1100">
        <f t="shared" si="261"/>
        <v>89269.95</v>
      </c>
      <c r="I4124" s="254" t="s">
        <v>10831</v>
      </c>
      <c r="J4124" s="585" t="s">
        <v>11420</v>
      </c>
      <c r="K4124" s="811">
        <v>41925</v>
      </c>
      <c r="L4124" s="585" t="s">
        <v>5882</v>
      </c>
      <c r="M4124" s="811">
        <v>41920</v>
      </c>
      <c r="N4124" s="386" t="s">
        <v>10778</v>
      </c>
      <c r="O4124" s="1088" t="s">
        <v>13028</v>
      </c>
      <c r="Q4124" s="772"/>
      <c r="R4124" s="323">
        <v>270.51499999999999</v>
      </c>
      <c r="S4124" s="464">
        <f t="shared" si="260"/>
        <v>2975.665</v>
      </c>
      <c r="U4124" s="464">
        <v>85701</v>
      </c>
      <c r="V4124" s="386" t="s">
        <v>8443</v>
      </c>
      <c r="X4124" s="1084"/>
      <c r="Z4124" s="1100"/>
      <c r="AA4124" s="1094">
        <v>41935</v>
      </c>
      <c r="AB4124" s="386"/>
      <c r="AF4124" s="386"/>
    </row>
    <row r="4125" spans="1:32" ht="15.75" customHeight="1">
      <c r="A4125" s="1235">
        <v>41914</v>
      </c>
      <c r="B4125" s="592" t="s">
        <v>10673</v>
      </c>
      <c r="C4125" s="970" t="s">
        <v>13031</v>
      </c>
      <c r="D4125" s="386" t="s">
        <v>13032</v>
      </c>
      <c r="E4125" s="338" t="s">
        <v>13033</v>
      </c>
      <c r="F4125" s="1088">
        <v>1</v>
      </c>
      <c r="G4125" s="464">
        <v>411.6</v>
      </c>
      <c r="H4125" s="1100">
        <f t="shared" si="261"/>
        <v>411.6</v>
      </c>
      <c r="I4125" s="254" t="s">
        <v>10831</v>
      </c>
      <c r="J4125" s="585" t="s">
        <v>12969</v>
      </c>
      <c r="K4125" s="811">
        <v>41925</v>
      </c>
      <c r="L4125" s="585" t="s">
        <v>5882</v>
      </c>
      <c r="M4125" s="811">
        <v>41920</v>
      </c>
      <c r="N4125" s="386" t="s">
        <v>10778</v>
      </c>
      <c r="O4125" s="1088" t="s">
        <v>13034</v>
      </c>
      <c r="Q4125" s="772"/>
      <c r="R4125" s="323">
        <v>13.72</v>
      </c>
      <c r="S4125" s="464">
        <f t="shared" si="260"/>
        <v>13.72</v>
      </c>
      <c r="U4125" s="464">
        <v>396</v>
      </c>
      <c r="V4125" s="386" t="s">
        <v>8443</v>
      </c>
      <c r="X4125" s="1244">
        <v>41919</v>
      </c>
      <c r="Z4125" s="1245">
        <v>6472</v>
      </c>
      <c r="AA4125" s="1094">
        <v>41946</v>
      </c>
      <c r="AB4125" s="1242" t="s">
        <v>12998</v>
      </c>
      <c r="AF4125" s="1242" t="s">
        <v>12999</v>
      </c>
    </row>
    <row r="4126" spans="1:32" ht="15.75" customHeight="1">
      <c r="A4126" s="1235">
        <v>41914</v>
      </c>
      <c r="B4126" s="592" t="s">
        <v>10673</v>
      </c>
      <c r="C4126" s="970" t="s">
        <v>13031</v>
      </c>
      <c r="D4126" s="386" t="s">
        <v>13032</v>
      </c>
      <c r="E4126" s="338" t="s">
        <v>13035</v>
      </c>
      <c r="F4126" s="1088">
        <v>1</v>
      </c>
      <c r="G4126" s="464">
        <v>308.7</v>
      </c>
      <c r="H4126" s="1100">
        <f t="shared" si="261"/>
        <v>308.7</v>
      </c>
      <c r="I4126" s="254" t="s">
        <v>10831</v>
      </c>
      <c r="J4126" s="585" t="s">
        <v>12969</v>
      </c>
      <c r="K4126" s="811">
        <v>41925</v>
      </c>
      <c r="L4126" s="585" t="s">
        <v>5882</v>
      </c>
      <c r="M4126" s="811">
        <v>41920</v>
      </c>
      <c r="N4126" s="386" t="s">
        <v>10778</v>
      </c>
      <c r="O4126" s="1088" t="s">
        <v>13034</v>
      </c>
      <c r="Q4126" s="772"/>
      <c r="R4126" s="323">
        <v>10.29</v>
      </c>
      <c r="S4126" s="464">
        <f t="shared" si="260"/>
        <v>10.29</v>
      </c>
      <c r="U4126" s="464">
        <v>296</v>
      </c>
      <c r="V4126" s="386" t="s">
        <v>8443</v>
      </c>
      <c r="X4126" s="1244"/>
      <c r="Z4126" s="1245"/>
      <c r="AA4126" s="1094">
        <v>41946</v>
      </c>
      <c r="AB4126" s="1242"/>
      <c r="AF4126" s="1242"/>
    </row>
    <row r="4127" spans="1:32" ht="15.75" customHeight="1">
      <c r="A4127" s="1235">
        <v>41914</v>
      </c>
      <c r="B4127" s="592" t="s">
        <v>10673</v>
      </c>
      <c r="C4127" s="970" t="s">
        <v>13031</v>
      </c>
      <c r="D4127" s="386" t="s">
        <v>13032</v>
      </c>
      <c r="E4127" s="338" t="s">
        <v>6142</v>
      </c>
      <c r="F4127" s="1088">
        <v>1</v>
      </c>
      <c r="G4127" s="464">
        <v>4142.25</v>
      </c>
      <c r="H4127" s="1100">
        <f t="shared" si="261"/>
        <v>4142.25</v>
      </c>
      <c r="I4127" s="254" t="s">
        <v>10831</v>
      </c>
      <c r="J4127" s="585" t="s">
        <v>12969</v>
      </c>
      <c r="K4127" s="811">
        <v>41925</v>
      </c>
      <c r="L4127" s="585" t="s">
        <v>5882</v>
      </c>
      <c r="M4127" s="811">
        <v>41920</v>
      </c>
      <c r="N4127" s="386" t="s">
        <v>10778</v>
      </c>
      <c r="O4127" s="1088" t="s">
        <v>13034</v>
      </c>
      <c r="Q4127" s="772"/>
      <c r="R4127" s="323">
        <v>138.07499999999999</v>
      </c>
      <c r="S4127" s="464">
        <f t="shared" si="260"/>
        <v>138.07499999999999</v>
      </c>
      <c r="U4127" s="464">
        <v>3700</v>
      </c>
      <c r="V4127" s="386" t="s">
        <v>8443</v>
      </c>
      <c r="X4127" s="1244"/>
      <c r="Z4127" s="1245"/>
      <c r="AA4127" s="1094">
        <v>41946</v>
      </c>
      <c r="AB4127" s="1242"/>
      <c r="AF4127" s="1242"/>
    </row>
    <row r="4128" spans="1:32" ht="15.75" customHeight="1">
      <c r="A4128" s="1235">
        <v>41914</v>
      </c>
      <c r="B4128" s="592" t="s">
        <v>10673</v>
      </c>
      <c r="C4128" s="970" t="s">
        <v>13031</v>
      </c>
      <c r="D4128" s="386" t="s">
        <v>13032</v>
      </c>
      <c r="E4128" s="338" t="s">
        <v>4034</v>
      </c>
      <c r="F4128" s="1088">
        <v>1</v>
      </c>
      <c r="G4128" s="464">
        <v>2167.1999999999998</v>
      </c>
      <c r="H4128" s="1100">
        <f t="shared" si="261"/>
        <v>2167.1999999999998</v>
      </c>
      <c r="I4128" s="254" t="s">
        <v>10831</v>
      </c>
      <c r="J4128" s="585" t="s">
        <v>12969</v>
      </c>
      <c r="K4128" s="811">
        <v>41925</v>
      </c>
      <c r="L4128" s="585" t="s">
        <v>5882</v>
      </c>
      <c r="M4128" s="811">
        <v>41920</v>
      </c>
      <c r="N4128" s="386" t="s">
        <v>10778</v>
      </c>
      <c r="O4128" s="1088" t="s">
        <v>13034</v>
      </c>
      <c r="Q4128" s="772"/>
      <c r="R4128" s="323">
        <v>72.239999999999995</v>
      </c>
      <c r="S4128" s="464">
        <f t="shared" si="260"/>
        <v>72.239999999999995</v>
      </c>
      <c r="U4128" s="464">
        <v>2080</v>
      </c>
      <c r="V4128" s="386" t="s">
        <v>8443</v>
      </c>
      <c r="X4128" s="1094"/>
      <c r="Z4128" s="1110"/>
      <c r="AA4128" s="1094">
        <v>41946</v>
      </c>
      <c r="AB4128" s="386"/>
      <c r="AF4128" s="386"/>
    </row>
    <row r="4129" spans="1:32" ht="15.75" customHeight="1">
      <c r="A4129" s="1235">
        <v>41915</v>
      </c>
      <c r="B4129" s="592" t="s">
        <v>53</v>
      </c>
      <c r="C4129" s="970" t="s">
        <v>13036</v>
      </c>
      <c r="D4129" s="386" t="s">
        <v>13037</v>
      </c>
      <c r="E4129" s="338" t="s">
        <v>13038</v>
      </c>
      <c r="F4129" s="1088">
        <v>10</v>
      </c>
      <c r="G4129" s="772"/>
      <c r="H4129" s="386"/>
      <c r="I4129" s="254" t="s">
        <v>11987</v>
      </c>
      <c r="J4129" s="585" t="s">
        <v>89</v>
      </c>
      <c r="K4129" s="811">
        <v>41941</v>
      </c>
      <c r="L4129" s="585" t="s">
        <v>89</v>
      </c>
      <c r="M4129" s="386"/>
      <c r="N4129" s="386" t="s">
        <v>89</v>
      </c>
      <c r="O4129" s="752">
        <v>20141000134762</v>
      </c>
      <c r="Q4129" s="464">
        <v>1008</v>
      </c>
      <c r="R4129" s="323">
        <v>165.9</v>
      </c>
      <c r="S4129" s="464">
        <f>R4129*F4129</f>
        <v>1659</v>
      </c>
      <c r="U4129" s="772"/>
      <c r="V4129" s="386" t="s">
        <v>5896</v>
      </c>
      <c r="X4129" s="1084">
        <v>41941</v>
      </c>
      <c r="Z4129" s="1100">
        <v>30578</v>
      </c>
      <c r="AA4129" s="1094">
        <v>41936</v>
      </c>
      <c r="AB4129" s="386" t="s">
        <v>13039</v>
      </c>
      <c r="AF4129" s="386" t="s">
        <v>13040</v>
      </c>
    </row>
    <row r="4130" spans="1:32" ht="15.75" customHeight="1">
      <c r="A4130" s="1253">
        <v>41915</v>
      </c>
      <c r="B4130" s="592" t="s">
        <v>53</v>
      </c>
      <c r="C4130" s="263" t="s">
        <v>13036</v>
      </c>
      <c r="D4130" s="318" t="s">
        <v>13037</v>
      </c>
      <c r="E4130" s="338" t="s">
        <v>4586</v>
      </c>
      <c r="F4130" s="752">
        <v>50</v>
      </c>
      <c r="G4130" s="772"/>
      <c r="H4130" s="386"/>
      <c r="I4130" s="254" t="s">
        <v>11987</v>
      </c>
      <c r="J4130" s="254" t="s">
        <v>89</v>
      </c>
      <c r="K4130" s="811">
        <v>41969</v>
      </c>
      <c r="L4130" s="254" t="s">
        <v>89</v>
      </c>
      <c r="M4130" s="386"/>
      <c r="N4130" s="318" t="s">
        <v>89</v>
      </c>
      <c r="O4130" s="752">
        <v>20141000134746</v>
      </c>
      <c r="Q4130" s="464">
        <v>4410</v>
      </c>
      <c r="R4130" s="464">
        <v>103.95</v>
      </c>
      <c r="S4130" s="464">
        <f>R4130*F4130</f>
        <v>5197.5</v>
      </c>
      <c r="U4130" s="772"/>
      <c r="V4130" s="318" t="s">
        <v>10751</v>
      </c>
      <c r="X4130" s="1084">
        <v>41969</v>
      </c>
      <c r="Z4130" s="1238">
        <v>134946</v>
      </c>
      <c r="AA4130" s="1084">
        <v>41983</v>
      </c>
      <c r="AB4130" s="318" t="s">
        <v>13041</v>
      </c>
      <c r="AF4130" s="318" t="s">
        <v>13042</v>
      </c>
    </row>
    <row r="4131" spans="1:32" ht="15.75" customHeight="1">
      <c r="A4131" s="1235">
        <v>41918</v>
      </c>
      <c r="B4131" s="592" t="s">
        <v>11516</v>
      </c>
      <c r="C4131" s="386"/>
      <c r="D4131" s="386" t="s">
        <v>13043</v>
      </c>
      <c r="E4131" s="338" t="s">
        <v>13044</v>
      </c>
      <c r="F4131" s="1088">
        <v>9</v>
      </c>
      <c r="G4131" s="772"/>
      <c r="H4131" s="772"/>
      <c r="I4131" s="254" t="s">
        <v>11643</v>
      </c>
      <c r="J4131" s="585" t="s">
        <v>11519</v>
      </c>
      <c r="K4131" s="811">
        <v>41926</v>
      </c>
      <c r="L4131" s="585" t="s">
        <v>5882</v>
      </c>
      <c r="M4131" s="811">
        <v>41925</v>
      </c>
      <c r="N4131" s="386" t="s">
        <v>13045</v>
      </c>
      <c r="O4131" s="752">
        <v>20141000134834</v>
      </c>
      <c r="Q4131" s="464">
        <v>859.95</v>
      </c>
      <c r="R4131" s="323">
        <v>103</v>
      </c>
      <c r="S4131" s="464">
        <f t="shared" ref="S4131:S4162" si="262">F4131*R4131</f>
        <v>927</v>
      </c>
      <c r="U4131" s="772"/>
      <c r="V4131" s="386" t="s">
        <v>5896</v>
      </c>
      <c r="X4131" s="1084">
        <v>41925</v>
      </c>
      <c r="Z4131" s="1100">
        <v>26095</v>
      </c>
      <c r="AA4131" s="1094">
        <v>41946</v>
      </c>
      <c r="AB4131" s="318" t="s">
        <v>13046</v>
      </c>
      <c r="AF4131" s="386"/>
    </row>
    <row r="4132" spans="1:32" ht="15.75" customHeight="1">
      <c r="A4132" s="1235">
        <v>41918</v>
      </c>
      <c r="B4132" s="592" t="s">
        <v>10673</v>
      </c>
      <c r="C4132" s="970" t="s">
        <v>13047</v>
      </c>
      <c r="D4132" s="386" t="s">
        <v>13048</v>
      </c>
      <c r="E4132" s="338" t="s">
        <v>7376</v>
      </c>
      <c r="F4132" s="1088">
        <v>1</v>
      </c>
      <c r="G4132" s="464">
        <v>3559.5</v>
      </c>
      <c r="H4132" s="1100">
        <f>F4132*G4132</f>
        <v>3559.5</v>
      </c>
      <c r="I4132" s="254" t="s">
        <v>10831</v>
      </c>
      <c r="J4132" s="585" t="s">
        <v>11420</v>
      </c>
      <c r="K4132" s="811">
        <v>41926</v>
      </c>
      <c r="L4132" s="585" t="s">
        <v>5882</v>
      </c>
      <c r="M4132" s="811">
        <v>41920</v>
      </c>
      <c r="N4132" s="386" t="s">
        <v>10778</v>
      </c>
      <c r="O4132" s="1088" t="s">
        <v>13049</v>
      </c>
      <c r="Q4132" s="772"/>
      <c r="R4132" s="323">
        <v>118.65</v>
      </c>
      <c r="S4132" s="464">
        <f t="shared" si="262"/>
        <v>118.65</v>
      </c>
      <c r="U4132" s="464">
        <v>3401</v>
      </c>
      <c r="V4132" s="386" t="s">
        <v>8443</v>
      </c>
      <c r="X4132" s="1244">
        <v>41919</v>
      </c>
      <c r="Z4132" s="1245">
        <v>71441</v>
      </c>
      <c r="AA4132" s="1094">
        <v>41936</v>
      </c>
      <c r="AB4132" s="1242" t="s">
        <v>13050</v>
      </c>
      <c r="AF4132" s="1242" t="s">
        <v>12999</v>
      </c>
    </row>
    <row r="4133" spans="1:32" ht="15.75" customHeight="1">
      <c r="A4133" s="1235">
        <v>41918</v>
      </c>
      <c r="B4133" s="592" t="s">
        <v>10673</v>
      </c>
      <c r="C4133" s="970" t="s">
        <v>13047</v>
      </c>
      <c r="D4133" s="386" t="s">
        <v>13048</v>
      </c>
      <c r="E4133" s="338" t="s">
        <v>6404</v>
      </c>
      <c r="F4133" s="1088">
        <v>20</v>
      </c>
      <c r="G4133" s="464">
        <v>3549</v>
      </c>
      <c r="H4133" s="1100">
        <f>F4133*G4133</f>
        <v>70980</v>
      </c>
      <c r="I4133" s="254" t="s">
        <v>10831</v>
      </c>
      <c r="J4133" s="585" t="s">
        <v>11420</v>
      </c>
      <c r="K4133" s="811">
        <v>41926</v>
      </c>
      <c r="L4133" s="585" t="s">
        <v>5882</v>
      </c>
      <c r="M4133" s="811">
        <v>41920</v>
      </c>
      <c r="N4133" s="386" t="s">
        <v>10778</v>
      </c>
      <c r="O4133" s="1088" t="s">
        <v>13049</v>
      </c>
      <c r="Q4133" s="772"/>
      <c r="R4133" s="323">
        <v>118.3</v>
      </c>
      <c r="S4133" s="464">
        <f t="shared" si="262"/>
        <v>2366</v>
      </c>
      <c r="U4133" s="464">
        <v>68040</v>
      </c>
      <c r="V4133" s="386" t="s">
        <v>8443</v>
      </c>
      <c r="X4133" s="1094"/>
      <c r="Z4133" s="1110"/>
      <c r="AA4133" s="1094">
        <v>41936</v>
      </c>
      <c r="AB4133" s="386"/>
      <c r="AF4133" s="386"/>
    </row>
    <row r="4134" spans="1:32" ht="15.75" customHeight="1">
      <c r="A4134" s="1235">
        <v>41919</v>
      </c>
      <c r="B4134" s="592" t="s">
        <v>11516</v>
      </c>
      <c r="C4134" s="386"/>
      <c r="D4134" s="386" t="s">
        <v>13051</v>
      </c>
      <c r="E4134" s="338" t="s">
        <v>13052</v>
      </c>
      <c r="F4134" s="1088">
        <v>1</v>
      </c>
      <c r="G4134" s="772"/>
      <c r="H4134" s="772"/>
      <c r="I4134" s="254" t="s">
        <v>11643</v>
      </c>
      <c r="J4134" s="585" t="s">
        <v>11519</v>
      </c>
      <c r="K4134" s="811">
        <v>41926</v>
      </c>
      <c r="L4134" s="585" t="s">
        <v>5882</v>
      </c>
      <c r="M4134" s="811">
        <v>41925</v>
      </c>
      <c r="N4134" s="386" t="s">
        <v>89</v>
      </c>
      <c r="O4134" s="752">
        <v>20141000134890</v>
      </c>
      <c r="Q4134" s="464">
        <v>924</v>
      </c>
      <c r="R4134" s="323">
        <v>1070</v>
      </c>
      <c r="S4134" s="464">
        <f t="shared" si="262"/>
        <v>1070</v>
      </c>
      <c r="U4134" s="772"/>
      <c r="V4134" s="386" t="s">
        <v>5896</v>
      </c>
      <c r="X4134" s="1084">
        <v>41925</v>
      </c>
      <c r="Z4134" s="1100">
        <v>28039</v>
      </c>
      <c r="AA4134" s="1094">
        <v>41946</v>
      </c>
      <c r="AB4134" s="318" t="s">
        <v>13046</v>
      </c>
      <c r="AF4134" s="386"/>
    </row>
    <row r="4135" spans="1:32" ht="15.75" customHeight="1">
      <c r="A4135" s="1253">
        <v>41920</v>
      </c>
      <c r="B4135" s="338" t="s">
        <v>10783</v>
      </c>
      <c r="C4135" s="386"/>
      <c r="D4135" s="318" t="s">
        <v>13053</v>
      </c>
      <c r="E4135" s="338" t="s">
        <v>13054</v>
      </c>
      <c r="F4135" s="752">
        <v>1</v>
      </c>
      <c r="G4135" s="772"/>
      <c r="H4135" s="772"/>
      <c r="I4135" s="254" t="s">
        <v>3712</v>
      </c>
      <c r="J4135" s="254" t="s">
        <v>13055</v>
      </c>
      <c r="K4135" s="811">
        <v>41946</v>
      </c>
      <c r="L4135" s="254" t="s">
        <v>5882</v>
      </c>
      <c r="M4135" s="386"/>
      <c r="N4135" s="318" t="s">
        <v>13056</v>
      </c>
      <c r="O4135" s="752" t="s">
        <v>13057</v>
      </c>
      <c r="Q4135" s="772"/>
      <c r="R4135" s="464">
        <v>865</v>
      </c>
      <c r="S4135" s="464">
        <f t="shared" si="262"/>
        <v>865</v>
      </c>
      <c r="U4135" s="464">
        <v>23468</v>
      </c>
      <c r="V4135" s="318" t="s">
        <v>1969</v>
      </c>
      <c r="X4135" s="1084">
        <v>41939</v>
      </c>
      <c r="Z4135" s="1100">
        <v>23468</v>
      </c>
      <c r="AA4135" s="1084">
        <v>41936</v>
      </c>
      <c r="AB4135" s="1239" t="s">
        <v>13058</v>
      </c>
      <c r="AF4135" s="386"/>
    </row>
    <row r="4136" spans="1:32" ht="15.75" customHeight="1">
      <c r="A4136" s="1253">
        <v>41920</v>
      </c>
      <c r="B4136" s="338" t="s">
        <v>10783</v>
      </c>
      <c r="C4136" s="386"/>
      <c r="D4136" s="318" t="s">
        <v>13053</v>
      </c>
      <c r="E4136" s="338" t="s">
        <v>13059</v>
      </c>
      <c r="F4136" s="752">
        <v>1</v>
      </c>
      <c r="G4136" s="772"/>
      <c r="H4136" s="386"/>
      <c r="I4136" s="254" t="s">
        <v>3712</v>
      </c>
      <c r="J4136" s="254" t="s">
        <v>13055</v>
      </c>
      <c r="K4136" s="811">
        <v>41946</v>
      </c>
      <c r="L4136" s="386"/>
      <c r="M4136" s="811">
        <v>41941</v>
      </c>
      <c r="N4136" s="386"/>
      <c r="O4136" s="752" t="s">
        <v>13060</v>
      </c>
      <c r="Q4136" s="464">
        <v>420</v>
      </c>
      <c r="R4136" s="464">
        <v>540</v>
      </c>
      <c r="S4136" s="464">
        <f t="shared" si="262"/>
        <v>540</v>
      </c>
      <c r="U4136" s="772"/>
      <c r="V4136" s="386"/>
      <c r="X4136" s="752" t="s">
        <v>5529</v>
      </c>
      <c r="Z4136" s="752" t="s">
        <v>5529</v>
      </c>
      <c r="AA4136" s="1084">
        <v>41936</v>
      </c>
      <c r="AB4136" s="1239"/>
      <c r="AF4136" s="386"/>
    </row>
    <row r="4137" spans="1:32" ht="15.75" customHeight="1">
      <c r="A4137" s="1253">
        <v>41920</v>
      </c>
      <c r="B4137" s="338" t="s">
        <v>10783</v>
      </c>
      <c r="C4137" s="386"/>
      <c r="D4137" s="318" t="s">
        <v>13053</v>
      </c>
      <c r="E4137" s="338" t="s">
        <v>3457</v>
      </c>
      <c r="F4137" s="752">
        <v>20</v>
      </c>
      <c r="G4137" s="772"/>
      <c r="H4137" s="386"/>
      <c r="I4137" s="254" t="s">
        <v>3712</v>
      </c>
      <c r="J4137" s="254" t="s">
        <v>13055</v>
      </c>
      <c r="K4137" s="811">
        <v>41946</v>
      </c>
      <c r="L4137" s="254" t="s">
        <v>5882</v>
      </c>
      <c r="M4137" s="811">
        <v>41941</v>
      </c>
      <c r="N4137" s="318" t="s">
        <v>89</v>
      </c>
      <c r="O4137" s="752">
        <v>20141000135512</v>
      </c>
      <c r="Q4137" s="464">
        <v>2016</v>
      </c>
      <c r="R4137" s="464">
        <v>115</v>
      </c>
      <c r="S4137" s="464">
        <f t="shared" si="262"/>
        <v>2300</v>
      </c>
      <c r="U4137" s="772"/>
      <c r="V4137" s="318" t="s">
        <v>5896</v>
      </c>
      <c r="X4137" s="1084">
        <v>41941</v>
      </c>
      <c r="Z4137" s="1100">
        <v>61155</v>
      </c>
      <c r="AA4137" s="1084">
        <v>41936</v>
      </c>
      <c r="AB4137" s="318"/>
      <c r="AF4137" s="386"/>
    </row>
    <row r="4138" spans="1:32" ht="15.75" customHeight="1">
      <c r="A4138" s="1253">
        <v>41920</v>
      </c>
      <c r="B4138" s="592" t="s">
        <v>10673</v>
      </c>
      <c r="C4138" s="263" t="s">
        <v>13061</v>
      </c>
      <c r="D4138" s="318" t="s">
        <v>13062</v>
      </c>
      <c r="E4138" s="338" t="s">
        <v>13063</v>
      </c>
      <c r="F4138" s="752">
        <v>5</v>
      </c>
      <c r="G4138" s="772"/>
      <c r="H4138" s="386"/>
      <c r="I4138" s="254" t="s">
        <v>10831</v>
      </c>
      <c r="J4138" s="254" t="s">
        <v>89</v>
      </c>
      <c r="K4138" s="811">
        <v>41947</v>
      </c>
      <c r="L4138" s="254" t="s">
        <v>89</v>
      </c>
      <c r="M4138" s="386"/>
      <c r="N4138" s="318" t="s">
        <v>89</v>
      </c>
      <c r="O4138" s="752">
        <v>20141000134965</v>
      </c>
      <c r="Q4138" s="464">
        <v>152.25</v>
      </c>
      <c r="R4138" s="464">
        <v>30.45</v>
      </c>
      <c r="S4138" s="464">
        <f t="shared" si="262"/>
        <v>152.25</v>
      </c>
      <c r="U4138" s="772"/>
      <c r="V4138" s="318" t="s">
        <v>5896</v>
      </c>
      <c r="X4138" s="1237">
        <v>41947</v>
      </c>
      <c r="Z4138" s="1238">
        <v>31698</v>
      </c>
      <c r="AA4138" s="1084">
        <v>41976</v>
      </c>
      <c r="AB4138" s="1239" t="s">
        <v>13064</v>
      </c>
      <c r="AF4138" s="1239" t="s">
        <v>13065</v>
      </c>
    </row>
    <row r="4139" spans="1:32" ht="15.75" customHeight="1">
      <c r="A4139" s="1253">
        <v>41920</v>
      </c>
      <c r="B4139" s="592" t="s">
        <v>10673</v>
      </c>
      <c r="C4139" s="263" t="s">
        <v>13061</v>
      </c>
      <c r="D4139" s="318" t="s">
        <v>13062</v>
      </c>
      <c r="E4139" s="338" t="s">
        <v>7207</v>
      </c>
      <c r="F4139" s="752">
        <v>5</v>
      </c>
      <c r="G4139" s="772"/>
      <c r="H4139" s="386"/>
      <c r="I4139" s="254" t="s">
        <v>10831</v>
      </c>
      <c r="J4139" s="254" t="s">
        <v>89</v>
      </c>
      <c r="K4139" s="811">
        <v>41947</v>
      </c>
      <c r="L4139" s="254" t="s">
        <v>89</v>
      </c>
      <c r="M4139" s="386"/>
      <c r="N4139" s="318" t="s">
        <v>89</v>
      </c>
      <c r="O4139" s="752">
        <v>20141000134965</v>
      </c>
      <c r="Q4139" s="464">
        <v>892.5</v>
      </c>
      <c r="R4139" s="464">
        <v>204.75</v>
      </c>
      <c r="S4139" s="464">
        <f t="shared" si="262"/>
        <v>1023.75</v>
      </c>
      <c r="U4139" s="772"/>
      <c r="V4139" s="318" t="s">
        <v>5896</v>
      </c>
      <c r="X4139" s="1084"/>
      <c r="Z4139" s="1100"/>
      <c r="AA4139" s="1084">
        <v>41976</v>
      </c>
      <c r="AB4139" s="318"/>
      <c r="AF4139" s="318"/>
    </row>
    <row r="4140" spans="1:32" ht="15.75" customHeight="1">
      <c r="A4140" s="1235">
        <v>41925</v>
      </c>
      <c r="B4140" s="592" t="s">
        <v>10673</v>
      </c>
      <c r="C4140" s="970" t="s">
        <v>13066</v>
      </c>
      <c r="D4140" s="386" t="s">
        <v>13067</v>
      </c>
      <c r="E4140" s="338" t="s">
        <v>8344</v>
      </c>
      <c r="F4140" s="1088">
        <v>2</v>
      </c>
      <c r="G4140" s="464">
        <v>7106.4</v>
      </c>
      <c r="H4140" s="464">
        <f t="shared" ref="H4140:H4147" si="263">F4140*G4140</f>
        <v>14212.8</v>
      </c>
      <c r="I4140" s="254" t="s">
        <v>10831</v>
      </c>
      <c r="J4140" s="585" t="s">
        <v>11420</v>
      </c>
      <c r="K4140" s="811">
        <v>41927</v>
      </c>
      <c r="L4140" s="1243" t="s">
        <v>8971</v>
      </c>
      <c r="M4140" s="811">
        <v>41926</v>
      </c>
      <c r="N4140" s="386" t="s">
        <v>10778</v>
      </c>
      <c r="O4140" s="752" t="s">
        <v>13068</v>
      </c>
      <c r="Q4140" s="772"/>
      <c r="R4140" s="464">
        <v>236.88</v>
      </c>
      <c r="S4140" s="464">
        <f t="shared" si="262"/>
        <v>473.76</v>
      </c>
      <c r="U4140" s="464">
        <v>13644</v>
      </c>
      <c r="V4140" s="386" t="s">
        <v>8443</v>
      </c>
      <c r="X4140" s="1244">
        <v>41925</v>
      </c>
      <c r="Z4140" s="1245">
        <v>47950</v>
      </c>
      <c r="AA4140" s="1094">
        <v>41936</v>
      </c>
      <c r="AB4140" s="1242" t="s">
        <v>13069</v>
      </c>
      <c r="AF4140" s="1242" t="s">
        <v>13002</v>
      </c>
    </row>
    <row r="4141" spans="1:32" ht="15.75" customHeight="1">
      <c r="A4141" s="1235">
        <v>41925</v>
      </c>
      <c r="B4141" s="592" t="s">
        <v>10673</v>
      </c>
      <c r="C4141" s="970" t="s">
        <v>13066</v>
      </c>
      <c r="D4141" s="386" t="s">
        <v>13067</v>
      </c>
      <c r="E4141" s="338" t="s">
        <v>13070</v>
      </c>
      <c r="F4141" s="1088">
        <v>1</v>
      </c>
      <c r="G4141" s="464">
        <v>1482.6</v>
      </c>
      <c r="H4141" s="464">
        <f t="shared" si="263"/>
        <v>1482.6</v>
      </c>
      <c r="I4141" s="254" t="s">
        <v>10831</v>
      </c>
      <c r="J4141" s="585" t="s">
        <v>11420</v>
      </c>
      <c r="K4141" s="811">
        <v>41927</v>
      </c>
      <c r="L4141" s="1243" t="s">
        <v>8971</v>
      </c>
      <c r="M4141" s="811">
        <v>41926</v>
      </c>
      <c r="N4141" s="386" t="s">
        <v>10778</v>
      </c>
      <c r="O4141" s="752" t="s">
        <v>13068</v>
      </c>
      <c r="Q4141" s="772"/>
      <c r="R4141" s="464">
        <v>49.42</v>
      </c>
      <c r="S4141" s="464">
        <f t="shared" si="262"/>
        <v>49.42</v>
      </c>
      <c r="U4141" s="464">
        <v>1424</v>
      </c>
      <c r="V4141" s="386" t="s">
        <v>8443</v>
      </c>
      <c r="X4141" s="1244"/>
      <c r="Z4141" s="1245"/>
      <c r="AA4141" s="1094">
        <v>41936</v>
      </c>
      <c r="AB4141" s="1242"/>
      <c r="AF4141" s="1242"/>
    </row>
    <row r="4142" spans="1:32" ht="15.75" customHeight="1">
      <c r="A4142" s="1235">
        <v>41925</v>
      </c>
      <c r="B4142" s="592" t="s">
        <v>10673</v>
      </c>
      <c r="C4142" s="970" t="s">
        <v>13066</v>
      </c>
      <c r="D4142" s="386" t="s">
        <v>13067</v>
      </c>
      <c r="E4142" s="338" t="s">
        <v>13071</v>
      </c>
      <c r="F4142" s="1088">
        <v>4</v>
      </c>
      <c r="G4142" s="464">
        <v>308.7</v>
      </c>
      <c r="H4142" s="464">
        <f t="shared" si="263"/>
        <v>1234.8</v>
      </c>
      <c r="I4142" s="254" t="s">
        <v>10831</v>
      </c>
      <c r="J4142" s="585" t="s">
        <v>11420</v>
      </c>
      <c r="K4142" s="811">
        <v>41927</v>
      </c>
      <c r="L4142" s="1243" t="s">
        <v>8971</v>
      </c>
      <c r="M4142" s="811">
        <v>41926</v>
      </c>
      <c r="N4142" s="386" t="s">
        <v>10778</v>
      </c>
      <c r="O4142" s="752" t="s">
        <v>13068</v>
      </c>
      <c r="Q4142" s="772"/>
      <c r="R4142" s="464">
        <v>10.29</v>
      </c>
      <c r="S4142" s="464">
        <f t="shared" si="262"/>
        <v>41.16</v>
      </c>
      <c r="U4142" s="464">
        <v>1184</v>
      </c>
      <c r="V4142" s="386" t="s">
        <v>8443</v>
      </c>
      <c r="X4142" s="1244"/>
      <c r="Z4142" s="1245"/>
      <c r="AA4142" s="1094">
        <v>41936</v>
      </c>
      <c r="AB4142" s="1242"/>
      <c r="AF4142" s="1242"/>
    </row>
    <row r="4143" spans="1:32" ht="15.75" customHeight="1">
      <c r="A4143" s="1235">
        <v>41925</v>
      </c>
      <c r="B4143" s="592" t="s">
        <v>10673</v>
      </c>
      <c r="C4143" s="970" t="s">
        <v>13066</v>
      </c>
      <c r="D4143" s="386" t="s">
        <v>13067</v>
      </c>
      <c r="E4143" s="338" t="s">
        <v>13072</v>
      </c>
      <c r="F4143" s="1088">
        <v>1</v>
      </c>
      <c r="G4143" s="464">
        <v>4249.3500000000004</v>
      </c>
      <c r="H4143" s="464">
        <f t="shared" si="263"/>
        <v>4249.3500000000004</v>
      </c>
      <c r="I4143" s="254" t="s">
        <v>10831</v>
      </c>
      <c r="J4143" s="585" t="s">
        <v>11420</v>
      </c>
      <c r="K4143" s="811">
        <v>41927</v>
      </c>
      <c r="L4143" s="1243" t="s">
        <v>8971</v>
      </c>
      <c r="M4143" s="811">
        <v>41926</v>
      </c>
      <c r="N4143" s="386" t="s">
        <v>10778</v>
      </c>
      <c r="O4143" s="752" t="s">
        <v>13068</v>
      </c>
      <c r="Q4143" s="772"/>
      <c r="R4143" s="464">
        <v>141.64500000000001</v>
      </c>
      <c r="S4143" s="464">
        <f t="shared" si="262"/>
        <v>141.64500000000001</v>
      </c>
      <c r="U4143" s="464">
        <v>4079</v>
      </c>
      <c r="V4143" s="386" t="s">
        <v>8443</v>
      </c>
      <c r="X4143" s="1244"/>
      <c r="Z4143" s="1245"/>
      <c r="AA4143" s="1094">
        <v>41936</v>
      </c>
      <c r="AB4143" s="1242"/>
      <c r="AF4143" s="1242"/>
    </row>
    <row r="4144" spans="1:32" ht="15.75" customHeight="1">
      <c r="A4144" s="1235">
        <v>41925</v>
      </c>
      <c r="B4144" s="592" t="s">
        <v>10673</v>
      </c>
      <c r="C4144" s="970" t="s">
        <v>13066</v>
      </c>
      <c r="D4144" s="386" t="s">
        <v>13067</v>
      </c>
      <c r="E4144" s="338" t="s">
        <v>6004</v>
      </c>
      <c r="F4144" s="1088">
        <v>2</v>
      </c>
      <c r="G4144" s="464">
        <v>4238.8500000000004</v>
      </c>
      <c r="H4144" s="464">
        <f t="shared" si="263"/>
        <v>8477.7000000000007</v>
      </c>
      <c r="I4144" s="254" t="s">
        <v>10831</v>
      </c>
      <c r="J4144" s="585" t="s">
        <v>11420</v>
      </c>
      <c r="K4144" s="811">
        <v>41927</v>
      </c>
      <c r="L4144" s="1243" t="s">
        <v>8971</v>
      </c>
      <c r="M4144" s="811">
        <v>41926</v>
      </c>
      <c r="N4144" s="386" t="s">
        <v>10778</v>
      </c>
      <c r="O4144" s="752" t="s">
        <v>13068</v>
      </c>
      <c r="Q4144" s="772"/>
      <c r="R4144" s="464">
        <v>141.29499999999999</v>
      </c>
      <c r="S4144" s="464">
        <f t="shared" si="262"/>
        <v>282.58999999999997</v>
      </c>
      <c r="U4144" s="464">
        <v>8140</v>
      </c>
      <c r="V4144" s="386" t="s">
        <v>8443</v>
      </c>
      <c r="X4144" s="1244"/>
      <c r="Z4144" s="1245"/>
      <c r="AA4144" s="1094">
        <v>41936</v>
      </c>
      <c r="AB4144" s="386"/>
      <c r="AF4144" s="1242"/>
    </row>
    <row r="4145" spans="1:32" ht="15.75" customHeight="1">
      <c r="A4145" s="1235">
        <v>41925</v>
      </c>
      <c r="B4145" s="592" t="s">
        <v>10673</v>
      </c>
      <c r="C4145" s="970" t="s">
        <v>13066</v>
      </c>
      <c r="D4145" s="386" t="s">
        <v>13067</v>
      </c>
      <c r="E4145" s="338" t="s">
        <v>6142</v>
      </c>
      <c r="F4145" s="1088">
        <v>3</v>
      </c>
      <c r="G4145" s="464">
        <v>4142.25</v>
      </c>
      <c r="H4145" s="464">
        <f t="shared" si="263"/>
        <v>12426.75</v>
      </c>
      <c r="I4145" s="254" t="s">
        <v>10831</v>
      </c>
      <c r="J4145" s="585" t="s">
        <v>11420</v>
      </c>
      <c r="K4145" s="811">
        <v>41927</v>
      </c>
      <c r="L4145" s="1243" t="s">
        <v>8971</v>
      </c>
      <c r="M4145" s="811">
        <v>41926</v>
      </c>
      <c r="N4145" s="386" t="s">
        <v>10778</v>
      </c>
      <c r="O4145" s="752" t="s">
        <v>13068</v>
      </c>
      <c r="Q4145" s="772"/>
      <c r="R4145" s="464">
        <v>138.07499999999999</v>
      </c>
      <c r="S4145" s="464">
        <f t="shared" si="262"/>
        <v>414.22499999999997</v>
      </c>
      <c r="U4145" s="464">
        <v>11101</v>
      </c>
      <c r="V4145" s="386" t="s">
        <v>8443</v>
      </c>
      <c r="X4145" s="1244"/>
      <c r="Z4145" s="1245"/>
      <c r="AA4145" s="1094">
        <v>41936</v>
      </c>
      <c r="AB4145" s="1242" t="s">
        <v>13073</v>
      </c>
      <c r="AF4145" s="1242"/>
    </row>
    <row r="4146" spans="1:32" ht="15.75" customHeight="1">
      <c r="A4146" s="1235">
        <v>41925</v>
      </c>
      <c r="B4146" s="592" t="s">
        <v>10673</v>
      </c>
      <c r="C4146" s="970" t="s">
        <v>13066</v>
      </c>
      <c r="D4146" s="386" t="s">
        <v>13067</v>
      </c>
      <c r="E4146" s="338" t="s">
        <v>13074</v>
      </c>
      <c r="F4146" s="1088">
        <v>1</v>
      </c>
      <c r="G4146" s="464">
        <v>8728.65</v>
      </c>
      <c r="H4146" s="464">
        <f t="shared" si="263"/>
        <v>8728.65</v>
      </c>
      <c r="I4146" s="254" t="s">
        <v>10831</v>
      </c>
      <c r="J4146" s="585" t="s">
        <v>11420</v>
      </c>
      <c r="K4146" s="811">
        <v>41927</v>
      </c>
      <c r="L4146" s="1243" t="s">
        <v>8971</v>
      </c>
      <c r="M4146" s="811">
        <v>41926</v>
      </c>
      <c r="N4146" s="386" t="s">
        <v>10778</v>
      </c>
      <c r="O4146" s="752" t="s">
        <v>13068</v>
      </c>
      <c r="Q4146" s="772"/>
      <c r="R4146" s="464">
        <v>290.95499999999998</v>
      </c>
      <c r="S4146" s="464">
        <f t="shared" si="262"/>
        <v>290.95499999999998</v>
      </c>
      <c r="U4146" s="464">
        <v>8379</v>
      </c>
      <c r="V4146" s="386" t="s">
        <v>8443</v>
      </c>
      <c r="X4146" s="1094"/>
      <c r="Z4146" s="1110"/>
      <c r="AA4146" s="1094">
        <v>41936</v>
      </c>
      <c r="AB4146" s="386"/>
      <c r="AF4146" s="386"/>
    </row>
    <row r="4147" spans="1:32" ht="15.75" customHeight="1">
      <c r="A4147" s="1235">
        <v>41925</v>
      </c>
      <c r="B4147" s="592" t="s">
        <v>10673</v>
      </c>
      <c r="C4147" s="970" t="s">
        <v>13066</v>
      </c>
      <c r="D4147" s="386" t="s">
        <v>13075</v>
      </c>
      <c r="E4147" s="338" t="s">
        <v>11008</v>
      </c>
      <c r="F4147" s="1088">
        <v>1</v>
      </c>
      <c r="G4147" s="464">
        <v>3014.55</v>
      </c>
      <c r="H4147" s="464">
        <f t="shared" si="263"/>
        <v>3014.55</v>
      </c>
      <c r="I4147" s="254" t="s">
        <v>10831</v>
      </c>
      <c r="J4147" s="585" t="s">
        <v>13076</v>
      </c>
      <c r="K4147" s="811">
        <v>41942</v>
      </c>
      <c r="L4147" s="585" t="s">
        <v>5882</v>
      </c>
      <c r="M4147" s="811">
        <v>41942</v>
      </c>
      <c r="N4147" s="386" t="s">
        <v>10778</v>
      </c>
      <c r="O4147" s="752" t="s">
        <v>13068</v>
      </c>
      <c r="Q4147" s="772"/>
      <c r="R4147" s="464">
        <v>97.334999999999994</v>
      </c>
      <c r="S4147" s="464">
        <f t="shared" si="262"/>
        <v>97.334999999999994</v>
      </c>
      <c r="U4147" s="464">
        <v>2894</v>
      </c>
      <c r="V4147" s="386" t="s">
        <v>8443</v>
      </c>
      <c r="X4147" s="1094">
        <v>41941</v>
      </c>
      <c r="Z4147" s="1110">
        <v>2894</v>
      </c>
      <c r="AA4147" s="1094">
        <v>41946</v>
      </c>
      <c r="AB4147" s="386" t="s">
        <v>13077</v>
      </c>
      <c r="AF4147" s="386" t="s">
        <v>13078</v>
      </c>
    </row>
    <row r="4148" spans="1:32" ht="15.75" customHeight="1">
      <c r="A4148" s="1235">
        <v>41925</v>
      </c>
      <c r="B4148" s="592" t="s">
        <v>665</v>
      </c>
      <c r="C4148" s="386"/>
      <c r="D4148" s="386" t="s">
        <v>13079</v>
      </c>
      <c r="E4148" s="338" t="s">
        <v>3604</v>
      </c>
      <c r="F4148" s="1088">
        <v>1</v>
      </c>
      <c r="G4148" s="772"/>
      <c r="H4148" s="386"/>
      <c r="I4148" s="254" t="s">
        <v>11717</v>
      </c>
      <c r="J4148" s="585" t="s">
        <v>13080</v>
      </c>
      <c r="K4148" s="811">
        <v>41942</v>
      </c>
      <c r="L4148" s="585" t="s">
        <v>5882</v>
      </c>
      <c r="M4148" s="811">
        <v>41941</v>
      </c>
      <c r="N4148" s="386" t="s">
        <v>89</v>
      </c>
      <c r="O4148" s="752">
        <v>20141000135513</v>
      </c>
      <c r="Q4148" s="464">
        <v>334.95</v>
      </c>
      <c r="R4148" s="323">
        <v>366</v>
      </c>
      <c r="S4148" s="464">
        <f t="shared" si="262"/>
        <v>366</v>
      </c>
      <c r="U4148" s="772"/>
      <c r="V4148" s="386" t="s">
        <v>5896</v>
      </c>
      <c r="X4148" s="1084">
        <v>41941</v>
      </c>
      <c r="Z4148" s="1100">
        <v>10161</v>
      </c>
      <c r="AA4148" s="1094">
        <v>41936</v>
      </c>
      <c r="AB4148" s="263" t="s">
        <v>13081</v>
      </c>
      <c r="AF4148" s="386"/>
    </row>
    <row r="4149" spans="1:32" ht="15.75" customHeight="1">
      <c r="A4149" s="1235">
        <v>41925</v>
      </c>
      <c r="B4149" s="592" t="s">
        <v>1189</v>
      </c>
      <c r="C4149" s="970" t="s">
        <v>13082</v>
      </c>
      <c r="D4149" s="386" t="s">
        <v>13083</v>
      </c>
      <c r="E4149" s="338" t="s">
        <v>13084</v>
      </c>
      <c r="F4149" s="1088">
        <v>50</v>
      </c>
      <c r="G4149" s="772"/>
      <c r="H4149" s="386"/>
      <c r="I4149" s="254" t="s">
        <v>11717</v>
      </c>
      <c r="J4149" s="254" t="s">
        <v>13010</v>
      </c>
      <c r="K4149" s="811">
        <v>41988</v>
      </c>
      <c r="L4149" s="585" t="s">
        <v>5882</v>
      </c>
      <c r="M4149" s="811">
        <v>41974</v>
      </c>
      <c r="N4149" s="386" t="s">
        <v>12718</v>
      </c>
      <c r="O4149" s="1088" t="s">
        <v>13085</v>
      </c>
      <c r="Q4149" s="772"/>
      <c r="R4149" s="323">
        <v>19</v>
      </c>
      <c r="S4149" s="464">
        <f t="shared" si="262"/>
        <v>950</v>
      </c>
      <c r="U4149" s="464">
        <v>25725</v>
      </c>
      <c r="V4149" s="263" t="s">
        <v>2413</v>
      </c>
      <c r="X4149" s="1084">
        <v>41974</v>
      </c>
      <c r="Z4149" s="1100">
        <v>25725</v>
      </c>
      <c r="AA4149" s="1094">
        <v>42047</v>
      </c>
      <c r="AB4149" s="318" t="s">
        <v>13086</v>
      </c>
      <c r="AF4149" s="386"/>
    </row>
    <row r="4150" spans="1:32" ht="15.75" customHeight="1">
      <c r="A4150" s="1253">
        <v>41925</v>
      </c>
      <c r="B4150" s="338" t="s">
        <v>1189</v>
      </c>
      <c r="C4150" s="263" t="s">
        <v>13087</v>
      </c>
      <c r="D4150" s="318" t="s">
        <v>13083</v>
      </c>
      <c r="E4150" s="338" t="s">
        <v>13084</v>
      </c>
      <c r="F4150" s="752">
        <v>5</v>
      </c>
      <c r="G4150" s="772"/>
      <c r="H4150" s="386"/>
      <c r="I4150" s="254" t="s">
        <v>11717</v>
      </c>
      <c r="J4150" s="254" t="s">
        <v>13010</v>
      </c>
      <c r="K4150" s="811">
        <v>41928</v>
      </c>
      <c r="L4150" s="254" t="s">
        <v>5882</v>
      </c>
      <c r="M4150" s="811">
        <v>41927</v>
      </c>
      <c r="N4150" s="318" t="s">
        <v>12718</v>
      </c>
      <c r="O4150" s="752" t="s">
        <v>13085</v>
      </c>
      <c r="Q4150" s="772"/>
      <c r="R4150" s="464">
        <v>20.7</v>
      </c>
      <c r="S4150" s="464">
        <f t="shared" si="262"/>
        <v>103.5</v>
      </c>
      <c r="U4150" s="464">
        <v>2573</v>
      </c>
      <c r="V4150" s="263" t="s">
        <v>2413</v>
      </c>
      <c r="X4150" s="1084">
        <v>41926</v>
      </c>
      <c r="Z4150" s="1100">
        <v>2573</v>
      </c>
      <c r="AA4150" s="1084">
        <v>41946</v>
      </c>
      <c r="AB4150" s="318" t="s">
        <v>13088</v>
      </c>
      <c r="AF4150" s="386"/>
    </row>
    <row r="4151" spans="1:32" ht="15.75" customHeight="1">
      <c r="A4151" s="1235">
        <v>41926</v>
      </c>
      <c r="B4151" s="592" t="s">
        <v>10673</v>
      </c>
      <c r="C4151" s="970" t="s">
        <v>13089</v>
      </c>
      <c r="D4151" s="386" t="s">
        <v>13090</v>
      </c>
      <c r="E4151" s="823" t="s">
        <v>11324</v>
      </c>
      <c r="F4151" s="1088">
        <v>40</v>
      </c>
      <c r="G4151" s="772"/>
      <c r="H4151" s="386"/>
      <c r="I4151" s="254" t="s">
        <v>10831</v>
      </c>
      <c r="J4151" s="585" t="s">
        <v>89</v>
      </c>
      <c r="K4151" s="811">
        <v>41932</v>
      </c>
      <c r="L4151" s="585" t="s">
        <v>89</v>
      </c>
      <c r="M4151" s="386"/>
      <c r="N4151" s="386" t="s">
        <v>89</v>
      </c>
      <c r="O4151" s="1088">
        <v>20141000135110</v>
      </c>
      <c r="Q4151" s="464">
        <v>3206.7</v>
      </c>
      <c r="R4151" s="323">
        <v>89.25</v>
      </c>
      <c r="S4151" s="464">
        <f t="shared" si="262"/>
        <v>3570</v>
      </c>
      <c r="U4151" s="772"/>
      <c r="V4151" s="386" t="s">
        <v>5896</v>
      </c>
      <c r="X4151" s="1094">
        <v>41932</v>
      </c>
      <c r="Z4151" s="1110">
        <v>97307</v>
      </c>
      <c r="AA4151" s="1094">
        <v>41946</v>
      </c>
      <c r="AB4151" s="386" t="s">
        <v>13091</v>
      </c>
      <c r="AF4151" s="386" t="s">
        <v>13092</v>
      </c>
    </row>
    <row r="4152" spans="1:32" ht="15.75" customHeight="1">
      <c r="A4152" s="1253">
        <v>41926</v>
      </c>
      <c r="B4152" s="592" t="s">
        <v>10673</v>
      </c>
      <c r="C4152" s="263" t="s">
        <v>13089</v>
      </c>
      <c r="D4152" s="318" t="s">
        <v>13093</v>
      </c>
      <c r="E4152" s="590" t="s">
        <v>11324</v>
      </c>
      <c r="F4152" s="752">
        <v>41</v>
      </c>
      <c r="G4152" s="772"/>
      <c r="H4152" s="386"/>
      <c r="I4152" s="254" t="s">
        <v>10831</v>
      </c>
      <c r="J4152" s="254" t="s">
        <v>89</v>
      </c>
      <c r="K4152" s="811">
        <v>41953</v>
      </c>
      <c r="L4152" s="254" t="s">
        <v>89</v>
      </c>
      <c r="M4152" s="386"/>
      <c r="N4152" s="318" t="s">
        <v>89</v>
      </c>
      <c r="O4152" s="752">
        <v>20141000135100</v>
      </c>
      <c r="Q4152" s="464">
        <v>3286.87</v>
      </c>
      <c r="R4152" s="464">
        <v>89.25</v>
      </c>
      <c r="S4152" s="464">
        <f t="shared" si="262"/>
        <v>3659.25</v>
      </c>
      <c r="U4152" s="772"/>
      <c r="V4152" s="318" t="s">
        <v>5896</v>
      </c>
      <c r="X4152" s="1084">
        <v>41953</v>
      </c>
      <c r="Z4152" s="1100">
        <v>99724</v>
      </c>
      <c r="AA4152" s="1084">
        <v>41976</v>
      </c>
      <c r="AB4152" s="318" t="s">
        <v>13094</v>
      </c>
      <c r="AF4152" s="318" t="s">
        <v>13095</v>
      </c>
    </row>
    <row r="4153" spans="1:32" ht="15.75" customHeight="1">
      <c r="A4153" s="1235">
        <v>41927</v>
      </c>
      <c r="B4153" s="592" t="s">
        <v>11516</v>
      </c>
      <c r="C4153" s="386"/>
      <c r="D4153" s="386" t="s">
        <v>13096</v>
      </c>
      <c r="E4153" s="338" t="s">
        <v>13097</v>
      </c>
      <c r="F4153" s="1088">
        <v>8</v>
      </c>
      <c r="G4153" s="772"/>
      <c r="H4153" s="772"/>
      <c r="I4153" s="254" t="s">
        <v>11643</v>
      </c>
      <c r="J4153" s="585" t="s">
        <v>11519</v>
      </c>
      <c r="K4153" s="811">
        <v>41935</v>
      </c>
      <c r="L4153" s="585" t="s">
        <v>5882</v>
      </c>
      <c r="M4153" s="811">
        <v>41934</v>
      </c>
      <c r="N4153" s="386" t="s">
        <v>89</v>
      </c>
      <c r="O4153" s="752">
        <v>20141000135405</v>
      </c>
      <c r="Q4153" s="464">
        <v>218.4</v>
      </c>
      <c r="R4153" s="323">
        <v>29.5</v>
      </c>
      <c r="S4153" s="464">
        <f t="shared" si="262"/>
        <v>236</v>
      </c>
      <c r="U4153" s="772"/>
      <c r="V4153" s="386" t="s">
        <v>5896</v>
      </c>
      <c r="X4153" s="1084">
        <v>41934</v>
      </c>
      <c r="Z4153" s="1100">
        <v>6625</v>
      </c>
      <c r="AA4153" s="1094">
        <v>41946</v>
      </c>
      <c r="AB4153" s="1239" t="s">
        <v>13098</v>
      </c>
      <c r="AF4153" s="386"/>
    </row>
    <row r="4154" spans="1:32" ht="15.75" customHeight="1">
      <c r="A4154" s="1235">
        <v>41927</v>
      </c>
      <c r="B4154" s="592" t="s">
        <v>11516</v>
      </c>
      <c r="C4154" s="386"/>
      <c r="D4154" s="386" t="s">
        <v>13099</v>
      </c>
      <c r="E4154" s="338" t="s">
        <v>13100</v>
      </c>
      <c r="F4154" s="1088">
        <v>2</v>
      </c>
      <c r="G4154" s="772"/>
      <c r="H4154" s="772"/>
      <c r="I4154" s="254" t="s">
        <v>11643</v>
      </c>
      <c r="J4154" s="585" t="s">
        <v>11519</v>
      </c>
      <c r="K4154" s="811">
        <v>41935</v>
      </c>
      <c r="L4154" s="585" t="s">
        <v>5882</v>
      </c>
      <c r="M4154" s="811">
        <v>41934</v>
      </c>
      <c r="N4154" s="386" t="s">
        <v>89</v>
      </c>
      <c r="O4154" s="752">
        <v>20141000135403</v>
      </c>
      <c r="Q4154" s="464">
        <v>415.8</v>
      </c>
      <c r="R4154" s="323">
        <v>232</v>
      </c>
      <c r="S4154" s="464">
        <f t="shared" si="262"/>
        <v>464</v>
      </c>
      <c r="U4154" s="772"/>
      <c r="V4154" s="386" t="s">
        <v>5896</v>
      </c>
      <c r="X4154" s="1084">
        <v>41934</v>
      </c>
      <c r="Z4154" s="1100">
        <v>12613</v>
      </c>
      <c r="AA4154" s="1094">
        <v>41946</v>
      </c>
      <c r="AB4154" s="318"/>
      <c r="AF4154" s="386"/>
    </row>
    <row r="4155" spans="1:32" ht="15.75" customHeight="1">
      <c r="A4155" s="1235">
        <v>41929</v>
      </c>
      <c r="B4155" s="592" t="s">
        <v>8502</v>
      </c>
      <c r="C4155" s="970" t="s">
        <v>13101</v>
      </c>
      <c r="D4155" s="386" t="s">
        <v>13102</v>
      </c>
      <c r="E4155" s="338" t="s">
        <v>13103</v>
      </c>
      <c r="F4155" s="1088">
        <v>200</v>
      </c>
      <c r="G4155" s="464">
        <v>31.5</v>
      </c>
      <c r="H4155" s="464">
        <f>F4155*G4155</f>
        <v>6300</v>
      </c>
      <c r="I4155" s="254" t="s">
        <v>10831</v>
      </c>
      <c r="J4155" s="585" t="s">
        <v>11420</v>
      </c>
      <c r="K4155" s="811">
        <v>41949</v>
      </c>
      <c r="L4155" s="585" t="s">
        <v>10120</v>
      </c>
      <c r="M4155" s="811">
        <v>41947</v>
      </c>
      <c r="N4155" s="386" t="s">
        <v>10734</v>
      </c>
      <c r="O4155" s="1088" t="s">
        <v>13104</v>
      </c>
      <c r="Q4155" s="772"/>
      <c r="R4155" s="323">
        <v>1.05</v>
      </c>
      <c r="S4155" s="464">
        <f t="shared" si="262"/>
        <v>210</v>
      </c>
      <c r="U4155" s="464">
        <v>5250</v>
      </c>
      <c r="V4155" s="386" t="s">
        <v>11720</v>
      </c>
      <c r="X4155" s="1084">
        <v>41947</v>
      </c>
      <c r="Z4155" s="1100">
        <v>5250</v>
      </c>
      <c r="AA4155" s="1094">
        <v>41953</v>
      </c>
      <c r="AB4155" s="386" t="s">
        <v>13105</v>
      </c>
      <c r="AF4155" s="386" t="s">
        <v>13106</v>
      </c>
    </row>
    <row r="4156" spans="1:32" ht="15.75" customHeight="1">
      <c r="A4156" s="1235">
        <v>41929</v>
      </c>
      <c r="B4156" s="592" t="s">
        <v>10673</v>
      </c>
      <c r="C4156" s="970" t="s">
        <v>13107</v>
      </c>
      <c r="D4156" s="386" t="s">
        <v>13108</v>
      </c>
      <c r="E4156" s="338" t="s">
        <v>13109</v>
      </c>
      <c r="F4156" s="1088">
        <v>1</v>
      </c>
      <c r="G4156" s="464">
        <v>5527.2</v>
      </c>
      <c r="H4156" s="464">
        <f>F4156*G4156</f>
        <v>5527.2</v>
      </c>
      <c r="I4156" s="254" t="s">
        <v>10831</v>
      </c>
      <c r="J4156" s="585" t="s">
        <v>11420</v>
      </c>
      <c r="K4156" s="811">
        <v>41940</v>
      </c>
      <c r="L4156" s="585" t="s">
        <v>8971</v>
      </c>
      <c r="M4156" s="811">
        <v>41939</v>
      </c>
      <c r="N4156" s="386" t="s">
        <v>10778</v>
      </c>
      <c r="O4156" s="1088" t="s">
        <v>13110</v>
      </c>
      <c r="Q4156" s="772"/>
      <c r="R4156" s="464">
        <v>184.24</v>
      </c>
      <c r="S4156" s="464">
        <f t="shared" si="262"/>
        <v>184.24</v>
      </c>
      <c r="U4156" s="464">
        <v>5306</v>
      </c>
      <c r="V4156" s="386" t="s">
        <v>8443</v>
      </c>
      <c r="X4156" s="1244">
        <v>41935</v>
      </c>
      <c r="Z4156" s="1245">
        <v>212764</v>
      </c>
      <c r="AA4156" s="1094">
        <v>41936</v>
      </c>
      <c r="AB4156" s="1242" t="s">
        <v>13111</v>
      </c>
      <c r="AF4156" s="1242" t="s">
        <v>13112</v>
      </c>
    </row>
    <row r="4157" spans="1:32" ht="15.75" customHeight="1">
      <c r="A4157" s="1235">
        <v>41929</v>
      </c>
      <c r="B4157" s="592" t="s">
        <v>10673</v>
      </c>
      <c r="C4157" s="970" t="s">
        <v>13107</v>
      </c>
      <c r="D4157" s="386" t="s">
        <v>13108</v>
      </c>
      <c r="E4157" s="338" t="s">
        <v>7376</v>
      </c>
      <c r="F4157" s="1088">
        <v>61</v>
      </c>
      <c r="G4157" s="464">
        <v>3542.7</v>
      </c>
      <c r="H4157" s="464">
        <f>F4157*G4157</f>
        <v>216104.69999999998</v>
      </c>
      <c r="I4157" s="254" t="s">
        <v>10831</v>
      </c>
      <c r="J4157" s="585" t="s">
        <v>11420</v>
      </c>
      <c r="K4157" s="811">
        <v>41940</v>
      </c>
      <c r="L4157" s="585" t="s">
        <v>8971</v>
      </c>
      <c r="M4157" s="811">
        <v>41939</v>
      </c>
      <c r="N4157" s="386" t="s">
        <v>10778</v>
      </c>
      <c r="O4157" s="752" t="s">
        <v>13110</v>
      </c>
      <c r="Q4157" s="772"/>
      <c r="R4157" s="464">
        <v>118.09</v>
      </c>
      <c r="S4157" s="464">
        <f t="shared" si="262"/>
        <v>7203.49</v>
      </c>
      <c r="U4157" s="464">
        <v>207458</v>
      </c>
      <c r="V4157" s="386" t="s">
        <v>8443</v>
      </c>
      <c r="X4157" s="1094"/>
      <c r="Z4157" s="1110"/>
      <c r="AA4157" s="1094">
        <v>41936</v>
      </c>
      <c r="AB4157" s="386"/>
      <c r="AF4157" s="386"/>
    </row>
    <row r="4158" spans="1:32" ht="15.75" customHeight="1">
      <c r="A4158" s="1235">
        <v>41932</v>
      </c>
      <c r="B4158" s="592" t="s">
        <v>10673</v>
      </c>
      <c r="C4158" s="970" t="s">
        <v>13113</v>
      </c>
      <c r="D4158" s="386" t="s">
        <v>13114</v>
      </c>
      <c r="E4158" s="338" t="s">
        <v>9189</v>
      </c>
      <c r="F4158" s="1088">
        <v>28</v>
      </c>
      <c r="G4158" s="772"/>
      <c r="H4158" s="386"/>
      <c r="I4158" s="254" t="s">
        <v>10831</v>
      </c>
      <c r="J4158" s="585" t="s">
        <v>89</v>
      </c>
      <c r="K4158" s="811">
        <v>41940</v>
      </c>
      <c r="L4158" s="585" t="s">
        <v>89</v>
      </c>
      <c r="M4158" s="386"/>
      <c r="N4158" s="386" t="s">
        <v>89</v>
      </c>
      <c r="O4158" s="752">
        <v>20141000135529</v>
      </c>
      <c r="Q4158" s="464">
        <v>4292.3999999999996</v>
      </c>
      <c r="R4158" s="323">
        <v>180.6</v>
      </c>
      <c r="S4158" s="464">
        <f t="shared" si="262"/>
        <v>5056.8</v>
      </c>
      <c r="U4158" s="772"/>
      <c r="V4158" s="386" t="s">
        <v>5896</v>
      </c>
      <c r="X4158" s="1084">
        <v>41940</v>
      </c>
      <c r="Z4158" s="1100">
        <v>130210</v>
      </c>
      <c r="AA4158" s="1094">
        <v>41936</v>
      </c>
      <c r="AB4158" s="1239" t="s">
        <v>13115</v>
      </c>
      <c r="AF4158" s="1242" t="s">
        <v>13112</v>
      </c>
    </row>
    <row r="4159" spans="1:32" ht="15.75" customHeight="1">
      <c r="A4159" s="1235">
        <v>41932</v>
      </c>
      <c r="B4159" s="592" t="s">
        <v>10673</v>
      </c>
      <c r="C4159" s="970" t="s">
        <v>13113</v>
      </c>
      <c r="D4159" s="386" t="s">
        <v>13114</v>
      </c>
      <c r="E4159" s="338" t="s">
        <v>11389</v>
      </c>
      <c r="F4159" s="1088">
        <v>28</v>
      </c>
      <c r="G4159" s="772"/>
      <c r="H4159" s="386"/>
      <c r="I4159" s="254" t="s">
        <v>10831</v>
      </c>
      <c r="J4159" s="585" t="s">
        <v>89</v>
      </c>
      <c r="K4159" s="811">
        <v>41940</v>
      </c>
      <c r="L4159" s="585" t="s">
        <v>8971</v>
      </c>
      <c r="M4159" s="811">
        <v>41936</v>
      </c>
      <c r="N4159" s="386" t="s">
        <v>302</v>
      </c>
      <c r="O4159" s="752" t="s">
        <v>13116</v>
      </c>
      <c r="Q4159" s="772"/>
      <c r="R4159" s="323">
        <v>21</v>
      </c>
      <c r="S4159" s="464">
        <f t="shared" si="262"/>
        <v>588</v>
      </c>
      <c r="U4159" s="464">
        <v>13230</v>
      </c>
      <c r="V4159" s="386" t="s">
        <v>12091</v>
      </c>
      <c r="X4159" s="1084">
        <v>41934</v>
      </c>
      <c r="Z4159" s="1100">
        <v>13230</v>
      </c>
      <c r="AA4159" s="1094">
        <v>41976</v>
      </c>
      <c r="AB4159" s="318"/>
      <c r="AF4159" s="386"/>
    </row>
    <row r="4160" spans="1:32" ht="15.75" customHeight="1">
      <c r="A4160" s="1253">
        <v>41933</v>
      </c>
      <c r="B4160" s="592" t="s">
        <v>10673</v>
      </c>
      <c r="C4160" s="263" t="s">
        <v>13117</v>
      </c>
      <c r="D4160" s="318" t="s">
        <v>13118</v>
      </c>
      <c r="E4160" s="338" t="s">
        <v>11074</v>
      </c>
      <c r="F4160" s="752">
        <v>10</v>
      </c>
      <c r="G4160" s="464">
        <v>5449.5</v>
      </c>
      <c r="H4160" s="464">
        <f>F4160*G4160</f>
        <v>54495</v>
      </c>
      <c r="I4160" s="254" t="s">
        <v>10831</v>
      </c>
      <c r="J4160" s="254" t="s">
        <v>11420</v>
      </c>
      <c r="K4160" s="811">
        <v>41954</v>
      </c>
      <c r="L4160" s="254" t="s">
        <v>8971</v>
      </c>
      <c r="M4160" s="811">
        <v>41960</v>
      </c>
      <c r="N4160" s="318" t="s">
        <v>10778</v>
      </c>
      <c r="O4160" s="752" t="s">
        <v>13119</v>
      </c>
      <c r="Q4160" s="772"/>
      <c r="R4160" s="464">
        <v>181.65</v>
      </c>
      <c r="S4160" s="464">
        <f t="shared" si="262"/>
        <v>1816.5</v>
      </c>
      <c r="U4160" s="464">
        <v>52164</v>
      </c>
      <c r="V4160" s="318" t="s">
        <v>8443</v>
      </c>
      <c r="X4160" s="1084">
        <v>41950</v>
      </c>
      <c r="Z4160" s="1100">
        <v>52164</v>
      </c>
      <c r="AA4160" s="1084">
        <v>41976</v>
      </c>
      <c r="AB4160" s="318" t="s">
        <v>13120</v>
      </c>
      <c r="AF4160" s="318" t="s">
        <v>13121</v>
      </c>
    </row>
    <row r="4161" spans="1:32" ht="15.75" customHeight="1">
      <c r="A4161" s="1235">
        <v>41933</v>
      </c>
      <c r="B4161" s="592" t="s">
        <v>3709</v>
      </c>
      <c r="C4161" s="970" t="s">
        <v>13122</v>
      </c>
      <c r="D4161" s="386" t="s">
        <v>13123</v>
      </c>
      <c r="E4161" s="338" t="s">
        <v>12755</v>
      </c>
      <c r="F4161" s="1088">
        <v>4</v>
      </c>
      <c r="G4161" s="772"/>
      <c r="H4161" s="386"/>
      <c r="I4161" s="254" t="s">
        <v>3712</v>
      </c>
      <c r="J4161" s="585" t="s">
        <v>13124</v>
      </c>
      <c r="K4161" s="811">
        <v>41956</v>
      </c>
      <c r="L4161" s="585" t="s">
        <v>5882</v>
      </c>
      <c r="M4161" s="811">
        <v>41954</v>
      </c>
      <c r="N4161" s="386" t="s">
        <v>89</v>
      </c>
      <c r="O4161" s="752">
        <v>20141000135739</v>
      </c>
      <c r="Q4161" s="464">
        <v>714</v>
      </c>
      <c r="R4161" s="323">
        <v>193</v>
      </c>
      <c r="S4161" s="464">
        <f t="shared" si="262"/>
        <v>772</v>
      </c>
      <c r="U4161" s="772"/>
      <c r="V4161" s="386" t="s">
        <v>5896</v>
      </c>
      <c r="X4161" s="1237">
        <v>41954</v>
      </c>
      <c r="Z4161" s="1238">
        <v>115925</v>
      </c>
      <c r="AA4161" s="1094">
        <v>41976</v>
      </c>
      <c r="AB4161" s="1247" t="s">
        <v>13125</v>
      </c>
      <c r="AF4161" s="386"/>
    </row>
    <row r="4162" spans="1:32" ht="15.75" customHeight="1">
      <c r="A4162" s="1235">
        <v>41933</v>
      </c>
      <c r="B4162" s="592" t="s">
        <v>3709</v>
      </c>
      <c r="C4162" s="970" t="s">
        <v>13122</v>
      </c>
      <c r="D4162" s="386" t="s">
        <v>13123</v>
      </c>
      <c r="E4162" s="338" t="s">
        <v>6863</v>
      </c>
      <c r="F4162" s="1088">
        <v>23</v>
      </c>
      <c r="G4162" s="772"/>
      <c r="H4162" s="386"/>
      <c r="I4162" s="254" t="s">
        <v>3712</v>
      </c>
      <c r="J4162" s="585" t="s">
        <v>13124</v>
      </c>
      <c r="K4162" s="811">
        <v>41956</v>
      </c>
      <c r="L4162" s="585" t="s">
        <v>5882</v>
      </c>
      <c r="M4162" s="811">
        <v>41954</v>
      </c>
      <c r="N4162" s="386" t="s">
        <v>89</v>
      </c>
      <c r="O4162" s="752">
        <v>20141000135739</v>
      </c>
      <c r="Q4162" s="464">
        <v>3091.2</v>
      </c>
      <c r="R4162" s="323">
        <v>161</v>
      </c>
      <c r="S4162" s="464">
        <f t="shared" si="262"/>
        <v>3703</v>
      </c>
      <c r="U4162" s="772"/>
      <c r="V4162" s="386" t="s">
        <v>5896</v>
      </c>
      <c r="X4162" s="1084"/>
      <c r="Z4162" s="1100"/>
      <c r="AA4162" s="1094">
        <v>41976</v>
      </c>
      <c r="AB4162" s="263"/>
      <c r="AF4162" s="386"/>
    </row>
    <row r="4163" spans="1:32" ht="15.75" customHeight="1">
      <c r="A4163" s="1253">
        <v>41933</v>
      </c>
      <c r="B4163" s="338" t="s">
        <v>11697</v>
      </c>
      <c r="C4163" s="386"/>
      <c r="D4163" s="318" t="s">
        <v>13126</v>
      </c>
      <c r="E4163" s="338" t="s">
        <v>13127</v>
      </c>
      <c r="F4163" s="752">
        <v>1</v>
      </c>
      <c r="G4163" s="772"/>
      <c r="H4163" s="386"/>
      <c r="I4163" s="254" t="s">
        <v>11643</v>
      </c>
      <c r="J4163" s="254" t="s">
        <v>13128</v>
      </c>
      <c r="K4163" s="811">
        <v>41933</v>
      </c>
      <c r="L4163" s="386"/>
      <c r="M4163" s="386"/>
      <c r="N4163" s="386"/>
      <c r="O4163" s="386"/>
      <c r="Q4163" s="772"/>
      <c r="R4163" s="464">
        <v>0</v>
      </c>
      <c r="S4163" s="464">
        <v>0</v>
      </c>
      <c r="U4163" s="772"/>
      <c r="V4163" s="386"/>
      <c r="X4163" s="1258" t="s">
        <v>13129</v>
      </c>
      <c r="Z4163" s="1258" t="s">
        <v>13129</v>
      </c>
      <c r="AA4163" s="386"/>
      <c r="AB4163" s="1258" t="s">
        <v>13129</v>
      </c>
      <c r="AF4163" s="386"/>
    </row>
    <row r="4164" spans="1:32" ht="15.75" customHeight="1">
      <c r="A4164" s="1235">
        <v>41934</v>
      </c>
      <c r="B4164" s="592" t="s">
        <v>11516</v>
      </c>
      <c r="C4164" s="386"/>
      <c r="D4164" s="386" t="s">
        <v>13130</v>
      </c>
      <c r="E4164" s="338" t="s">
        <v>13131</v>
      </c>
      <c r="F4164" s="1088">
        <v>11</v>
      </c>
      <c r="G4164" s="772"/>
      <c r="H4164" s="772"/>
      <c r="I4164" s="254" t="s">
        <v>11643</v>
      </c>
      <c r="J4164" s="585" t="s">
        <v>11519</v>
      </c>
      <c r="K4164" s="811">
        <v>41974</v>
      </c>
      <c r="L4164" s="585" t="s">
        <v>5882</v>
      </c>
      <c r="M4164" s="811">
        <v>41971</v>
      </c>
      <c r="N4164" s="386" t="s">
        <v>89</v>
      </c>
      <c r="O4164" s="752">
        <v>20141000135824</v>
      </c>
      <c r="Q4164" s="464">
        <v>4539.1499999999996</v>
      </c>
      <c r="R4164" s="323">
        <v>446</v>
      </c>
      <c r="S4164" s="464">
        <f t="shared" ref="S4164:S4174" si="264">F4164*R4164</f>
        <v>4906</v>
      </c>
      <c r="U4164" s="772"/>
      <c r="V4164" s="386" t="s">
        <v>5896</v>
      </c>
      <c r="X4164" s="1237">
        <v>41971</v>
      </c>
      <c r="Z4164" s="1238">
        <v>210998</v>
      </c>
      <c r="AA4164" s="1094">
        <v>41983</v>
      </c>
      <c r="AB4164" s="1239" t="s">
        <v>13132</v>
      </c>
      <c r="AF4164" s="386"/>
    </row>
    <row r="4165" spans="1:32" ht="15.75" customHeight="1">
      <c r="A4165" s="1235">
        <v>41934</v>
      </c>
      <c r="B4165" s="592" t="s">
        <v>11516</v>
      </c>
      <c r="C4165" s="386"/>
      <c r="D4165" s="386" t="s">
        <v>13130</v>
      </c>
      <c r="E4165" s="338" t="s">
        <v>13133</v>
      </c>
      <c r="F4165" s="1088">
        <v>3</v>
      </c>
      <c r="G4165" s="772"/>
      <c r="H4165" s="772"/>
      <c r="I4165" s="254" t="s">
        <v>11643</v>
      </c>
      <c r="J4165" s="585" t="s">
        <v>11519</v>
      </c>
      <c r="K4165" s="811">
        <v>41974</v>
      </c>
      <c r="L4165" s="585" t="s">
        <v>5882</v>
      </c>
      <c r="M4165" s="811">
        <v>41971</v>
      </c>
      <c r="N4165" s="386" t="s">
        <v>89</v>
      </c>
      <c r="O4165" s="752">
        <v>20141000135824</v>
      </c>
      <c r="Q4165" s="464">
        <v>2356.1999999999998</v>
      </c>
      <c r="R4165" s="323">
        <v>845</v>
      </c>
      <c r="S4165" s="464">
        <f t="shared" si="264"/>
        <v>2535</v>
      </c>
      <c r="U4165" s="772"/>
      <c r="V4165" s="386" t="s">
        <v>5896</v>
      </c>
      <c r="X4165" s="1084"/>
      <c r="Z4165" s="1100"/>
      <c r="AA4165" s="1094">
        <v>41983</v>
      </c>
      <c r="AB4165" s="318"/>
      <c r="AF4165" s="386"/>
    </row>
    <row r="4166" spans="1:32" ht="15.75" customHeight="1">
      <c r="A4166" s="1235">
        <v>41934</v>
      </c>
      <c r="B4166" s="592" t="s">
        <v>53</v>
      </c>
      <c r="C4166" s="970" t="s">
        <v>13134</v>
      </c>
      <c r="D4166" s="386" t="s">
        <v>13135</v>
      </c>
      <c r="E4166" s="338" t="s">
        <v>8805</v>
      </c>
      <c r="F4166" s="1088">
        <v>50</v>
      </c>
      <c r="G4166" s="772"/>
      <c r="H4166" s="386"/>
      <c r="I4166" s="254" t="s">
        <v>11987</v>
      </c>
      <c r="J4166" s="585" t="s">
        <v>89</v>
      </c>
      <c r="K4166" s="811">
        <v>41969</v>
      </c>
      <c r="L4166" s="585" t="s">
        <v>89</v>
      </c>
      <c r="M4166" s="386"/>
      <c r="N4166" s="386" t="s">
        <v>89</v>
      </c>
      <c r="O4166" s="752">
        <v>20141000135822</v>
      </c>
      <c r="Q4166" s="464">
        <v>6720</v>
      </c>
      <c r="R4166" s="323">
        <v>150.15</v>
      </c>
      <c r="S4166" s="464">
        <f t="shared" si="264"/>
        <v>7507.5</v>
      </c>
      <c r="U4166" s="772"/>
      <c r="V4166" s="386" t="s">
        <v>5896</v>
      </c>
      <c r="X4166" s="1084">
        <v>41969</v>
      </c>
      <c r="Z4166" s="1100">
        <v>205632</v>
      </c>
      <c r="AA4166" s="1094">
        <v>41976</v>
      </c>
      <c r="AB4166" s="386" t="s">
        <v>13136</v>
      </c>
      <c r="AF4166" s="386" t="s">
        <v>13042</v>
      </c>
    </row>
    <row r="4167" spans="1:32" ht="15.75" customHeight="1">
      <c r="A4167" s="1253">
        <v>41934</v>
      </c>
      <c r="B4167" s="592" t="s">
        <v>12066</v>
      </c>
      <c r="C4167" s="263" t="s">
        <v>13137</v>
      </c>
      <c r="D4167" s="318" t="s">
        <v>13138</v>
      </c>
      <c r="E4167" s="338" t="s">
        <v>13139</v>
      </c>
      <c r="F4167" s="752">
        <v>56</v>
      </c>
      <c r="G4167" s="464">
        <v>6536.25</v>
      </c>
      <c r="H4167" s="464">
        <f>F4167*G4167</f>
        <v>366030</v>
      </c>
      <c r="I4167" s="254" t="s">
        <v>11987</v>
      </c>
      <c r="J4167" s="254" t="s">
        <v>89</v>
      </c>
      <c r="K4167" s="811">
        <v>41942</v>
      </c>
      <c r="L4167" s="254" t="s">
        <v>89</v>
      </c>
      <c r="M4167" s="386"/>
      <c r="N4167" s="318" t="s">
        <v>89</v>
      </c>
      <c r="O4167" s="752">
        <v>20141000136066</v>
      </c>
      <c r="Q4167" s="464">
        <v>10878</v>
      </c>
      <c r="R4167" s="464">
        <v>217.87</v>
      </c>
      <c r="S4167" s="464">
        <f t="shared" si="264"/>
        <v>12200.720000000001</v>
      </c>
      <c r="U4167" s="772"/>
      <c r="V4167" s="318" t="s">
        <v>5896</v>
      </c>
      <c r="X4167" s="1084">
        <v>41942</v>
      </c>
      <c r="Z4167" s="1100">
        <v>329984</v>
      </c>
      <c r="AA4167" s="1084">
        <v>41946</v>
      </c>
      <c r="AB4167" s="318" t="s">
        <v>13140</v>
      </c>
      <c r="AF4167" s="318" t="s">
        <v>13141</v>
      </c>
    </row>
    <row r="4168" spans="1:32" ht="15.75" customHeight="1">
      <c r="A4168" s="1235">
        <v>41934</v>
      </c>
      <c r="B4168" s="592" t="s">
        <v>8502</v>
      </c>
      <c r="C4168" s="970" t="s">
        <v>13142</v>
      </c>
      <c r="D4168" s="386" t="s">
        <v>13143</v>
      </c>
      <c r="E4168" s="338" t="s">
        <v>8167</v>
      </c>
      <c r="F4168" s="1088">
        <v>2</v>
      </c>
      <c r="G4168" s="772"/>
      <c r="H4168" s="386"/>
      <c r="I4168" s="254" t="s">
        <v>10831</v>
      </c>
      <c r="J4168" s="585" t="s">
        <v>89</v>
      </c>
      <c r="K4168" s="811">
        <v>41946</v>
      </c>
      <c r="L4168" s="585" t="s">
        <v>89</v>
      </c>
      <c r="M4168" s="386"/>
      <c r="N4168" s="386" t="s">
        <v>89</v>
      </c>
      <c r="O4168" s="752">
        <v>20141000135859</v>
      </c>
      <c r="Q4168" s="464">
        <v>100.8</v>
      </c>
      <c r="R4168" s="323">
        <v>57.3</v>
      </c>
      <c r="S4168" s="464">
        <f t="shared" si="264"/>
        <v>114.6</v>
      </c>
      <c r="U4168" s="772"/>
      <c r="V4168" s="386" t="s">
        <v>5896</v>
      </c>
      <c r="X4168" s="1084">
        <v>41946</v>
      </c>
      <c r="Z4168" s="1100">
        <v>3058</v>
      </c>
      <c r="AA4168" s="1094">
        <v>41946</v>
      </c>
      <c r="AB4168" s="318" t="s">
        <v>13144</v>
      </c>
      <c r="AF4168" s="318" t="s">
        <v>12977</v>
      </c>
    </row>
    <row r="4169" spans="1:32" ht="15.75" customHeight="1">
      <c r="A4169" s="1235">
        <v>41935</v>
      </c>
      <c r="B4169" s="592" t="s">
        <v>10673</v>
      </c>
      <c r="C4169" s="970" t="s">
        <v>13145</v>
      </c>
      <c r="D4169" s="386" t="s">
        <v>13146</v>
      </c>
      <c r="E4169" s="338" t="s">
        <v>6142</v>
      </c>
      <c r="F4169" s="1088">
        <v>1</v>
      </c>
      <c r="G4169" s="464">
        <v>4142.25</v>
      </c>
      <c r="H4169" s="752">
        <f t="shared" ref="H4169:H4174" si="265">F4169*G4169</f>
        <v>4142.25</v>
      </c>
      <c r="I4169" s="254" t="s">
        <v>10831</v>
      </c>
      <c r="J4169" s="585" t="s">
        <v>11420</v>
      </c>
      <c r="K4169" s="811">
        <v>41939</v>
      </c>
      <c r="L4169" s="585" t="s">
        <v>8971</v>
      </c>
      <c r="M4169" s="811">
        <v>41939</v>
      </c>
      <c r="N4169" s="386" t="s">
        <v>10778</v>
      </c>
      <c r="O4169" s="1088" t="s">
        <v>13147</v>
      </c>
      <c r="Q4169" s="772"/>
      <c r="R4169" s="323">
        <v>138.07499999999999</v>
      </c>
      <c r="S4169" s="464">
        <f t="shared" si="264"/>
        <v>138.07499999999999</v>
      </c>
      <c r="U4169" s="323">
        <v>3700.2</v>
      </c>
      <c r="V4169" s="386" t="s">
        <v>8443</v>
      </c>
      <c r="X4169" s="1237">
        <v>41939</v>
      </c>
      <c r="Z4169" s="1238">
        <v>37710</v>
      </c>
      <c r="AA4169" s="1094">
        <v>41946</v>
      </c>
      <c r="AB4169" s="1242" t="s">
        <v>13148</v>
      </c>
      <c r="AF4169" s="1242" t="s">
        <v>13149</v>
      </c>
    </row>
    <row r="4170" spans="1:32" ht="15.75" customHeight="1">
      <c r="A4170" s="1235">
        <v>41935</v>
      </c>
      <c r="B4170" s="592" t="s">
        <v>10673</v>
      </c>
      <c r="C4170" s="970" t="s">
        <v>13145</v>
      </c>
      <c r="D4170" s="386" t="s">
        <v>13146</v>
      </c>
      <c r="E4170" s="823" t="s">
        <v>7376</v>
      </c>
      <c r="F4170" s="1088">
        <v>10</v>
      </c>
      <c r="G4170" s="464">
        <v>3542.7</v>
      </c>
      <c r="H4170" s="752">
        <f t="shared" si="265"/>
        <v>35427</v>
      </c>
      <c r="I4170" s="254" t="s">
        <v>10831</v>
      </c>
      <c r="J4170" s="585" t="s">
        <v>11420</v>
      </c>
      <c r="K4170" s="811">
        <v>41939</v>
      </c>
      <c r="L4170" s="585" t="s">
        <v>8971</v>
      </c>
      <c r="M4170" s="811">
        <v>41939</v>
      </c>
      <c r="N4170" s="386" t="s">
        <v>10778</v>
      </c>
      <c r="O4170" s="1088" t="s">
        <v>13147</v>
      </c>
      <c r="Q4170" s="772"/>
      <c r="R4170" s="323">
        <v>118.09</v>
      </c>
      <c r="S4170" s="464">
        <f t="shared" si="264"/>
        <v>1180.9000000000001</v>
      </c>
      <c r="U4170" s="323">
        <v>34009.5</v>
      </c>
      <c r="V4170" s="386" t="s">
        <v>8443</v>
      </c>
      <c r="X4170" s="1084"/>
      <c r="Z4170" s="1100"/>
      <c r="AA4170" s="1094">
        <v>41946</v>
      </c>
      <c r="AB4170" s="386"/>
      <c r="AF4170" s="1242"/>
    </row>
    <row r="4171" spans="1:32" ht="15.75" customHeight="1">
      <c r="A4171" s="1235">
        <v>41935</v>
      </c>
      <c r="B4171" s="592" t="s">
        <v>10673</v>
      </c>
      <c r="C4171" s="970" t="s">
        <v>13150</v>
      </c>
      <c r="D4171" s="386" t="s">
        <v>13151</v>
      </c>
      <c r="E4171" s="592" t="s">
        <v>6004</v>
      </c>
      <c r="F4171" s="1088">
        <v>2</v>
      </c>
      <c r="G4171" s="464">
        <v>4238.8500000000004</v>
      </c>
      <c r="H4171" s="752">
        <f t="shared" si="265"/>
        <v>8477.7000000000007</v>
      </c>
      <c r="I4171" s="254" t="s">
        <v>10831</v>
      </c>
      <c r="J4171" s="585" t="s">
        <v>11420</v>
      </c>
      <c r="K4171" s="811">
        <v>41939</v>
      </c>
      <c r="L4171" s="585" t="s">
        <v>8971</v>
      </c>
      <c r="M4171" s="811">
        <v>41939</v>
      </c>
      <c r="N4171" s="386" t="s">
        <v>10778</v>
      </c>
      <c r="O4171" s="1088" t="s">
        <v>13152</v>
      </c>
      <c r="Q4171" s="772"/>
      <c r="R4171" s="323">
        <v>141.29499999999999</v>
      </c>
      <c r="S4171" s="464">
        <f t="shared" si="264"/>
        <v>282.58999999999997</v>
      </c>
      <c r="U4171" s="323">
        <v>8139.6</v>
      </c>
      <c r="V4171" s="386" t="s">
        <v>8443</v>
      </c>
      <c r="X4171" s="1237">
        <v>41939</v>
      </c>
      <c r="Z4171" s="1238">
        <v>25768</v>
      </c>
      <c r="AA4171" s="1094">
        <v>41946</v>
      </c>
      <c r="AB4171" s="1242" t="s">
        <v>13153</v>
      </c>
      <c r="AF4171" s="1242"/>
    </row>
    <row r="4172" spans="1:32" ht="15.75" customHeight="1">
      <c r="A4172" s="1235">
        <v>41935</v>
      </c>
      <c r="B4172" s="592" t="s">
        <v>10673</v>
      </c>
      <c r="C4172" s="970" t="s">
        <v>13150</v>
      </c>
      <c r="D4172" s="386" t="s">
        <v>13151</v>
      </c>
      <c r="E4172" s="592" t="s">
        <v>3513</v>
      </c>
      <c r="F4172" s="1088">
        <v>1</v>
      </c>
      <c r="G4172" s="464">
        <v>2074.8000000000002</v>
      </c>
      <c r="H4172" s="752">
        <f t="shared" si="265"/>
        <v>2074.8000000000002</v>
      </c>
      <c r="I4172" s="254" t="s">
        <v>10831</v>
      </c>
      <c r="J4172" s="585" t="s">
        <v>11420</v>
      </c>
      <c r="K4172" s="811">
        <v>41939</v>
      </c>
      <c r="L4172" s="585" t="s">
        <v>8971</v>
      </c>
      <c r="M4172" s="811">
        <v>41939</v>
      </c>
      <c r="N4172" s="386" t="s">
        <v>10778</v>
      </c>
      <c r="O4172" s="1088" t="s">
        <v>13152</v>
      </c>
      <c r="Q4172" s="772"/>
      <c r="R4172" s="323">
        <v>69.16</v>
      </c>
      <c r="S4172" s="464">
        <f t="shared" si="264"/>
        <v>69.16</v>
      </c>
      <c r="U4172" s="323">
        <v>1991.85</v>
      </c>
      <c r="V4172" s="386" t="s">
        <v>8443</v>
      </c>
      <c r="X4172" s="1237"/>
      <c r="Z4172" s="1238"/>
      <c r="AA4172" s="1094">
        <v>41946</v>
      </c>
      <c r="AB4172" s="1242"/>
      <c r="AF4172" s="1242"/>
    </row>
    <row r="4173" spans="1:32" ht="15.75" customHeight="1">
      <c r="A4173" s="1235">
        <v>41935</v>
      </c>
      <c r="B4173" s="592" t="s">
        <v>10673</v>
      </c>
      <c r="C4173" s="970" t="s">
        <v>13150</v>
      </c>
      <c r="D4173" s="386" t="s">
        <v>13151</v>
      </c>
      <c r="E4173" s="592" t="s">
        <v>6992</v>
      </c>
      <c r="F4173" s="1088">
        <v>1</v>
      </c>
      <c r="G4173" s="464">
        <v>3841.95</v>
      </c>
      <c r="H4173" s="752">
        <f t="shared" si="265"/>
        <v>3841.95</v>
      </c>
      <c r="I4173" s="254" t="s">
        <v>10831</v>
      </c>
      <c r="J4173" s="585" t="s">
        <v>11420</v>
      </c>
      <c r="K4173" s="811">
        <v>41939</v>
      </c>
      <c r="L4173" s="585" t="s">
        <v>8971</v>
      </c>
      <c r="M4173" s="811">
        <v>41939</v>
      </c>
      <c r="N4173" s="386" t="s">
        <v>10778</v>
      </c>
      <c r="O4173" s="1088" t="s">
        <v>13152</v>
      </c>
      <c r="Q4173" s="772"/>
      <c r="R4173" s="323">
        <v>128.065</v>
      </c>
      <c r="S4173" s="464">
        <f t="shared" si="264"/>
        <v>128.065</v>
      </c>
      <c r="U4173" s="323">
        <v>3688.65</v>
      </c>
      <c r="V4173" s="386" t="s">
        <v>8443</v>
      </c>
      <c r="X4173" s="1237"/>
      <c r="Z4173" s="1238"/>
      <c r="AA4173" s="1094">
        <v>41946</v>
      </c>
      <c r="AB4173" s="1242"/>
      <c r="AF4173" s="1242"/>
    </row>
    <row r="4174" spans="1:32" ht="15.75" customHeight="1">
      <c r="A4174" s="1235">
        <v>41935</v>
      </c>
      <c r="B4174" s="592" t="s">
        <v>10673</v>
      </c>
      <c r="C4174" s="970" t="s">
        <v>13150</v>
      </c>
      <c r="D4174" s="386" t="s">
        <v>13151</v>
      </c>
      <c r="E4174" s="592" t="s">
        <v>13154</v>
      </c>
      <c r="F4174" s="1088">
        <v>3</v>
      </c>
      <c r="G4174" s="464">
        <v>4148.55</v>
      </c>
      <c r="H4174" s="752">
        <f t="shared" si="265"/>
        <v>12445.650000000001</v>
      </c>
      <c r="I4174" s="254" t="s">
        <v>10831</v>
      </c>
      <c r="J4174" s="585" t="s">
        <v>11420</v>
      </c>
      <c r="K4174" s="811">
        <v>41939</v>
      </c>
      <c r="L4174" s="585" t="s">
        <v>8971</v>
      </c>
      <c r="M4174" s="811">
        <v>41939</v>
      </c>
      <c r="N4174" s="386" t="s">
        <v>10778</v>
      </c>
      <c r="O4174" s="1088" t="s">
        <v>13152</v>
      </c>
      <c r="Q4174" s="772"/>
      <c r="R4174" s="323">
        <v>138.285</v>
      </c>
      <c r="S4174" s="464">
        <f t="shared" si="264"/>
        <v>414.85500000000002</v>
      </c>
      <c r="U4174" s="323">
        <v>11947.95</v>
      </c>
      <c r="V4174" s="386" t="s">
        <v>8443</v>
      </c>
      <c r="X4174" s="1084"/>
      <c r="Z4174" s="1100"/>
      <c r="AA4174" s="1094">
        <v>41946</v>
      </c>
      <c r="AB4174" s="386"/>
      <c r="AF4174" s="386"/>
    </row>
    <row r="4175" spans="1:32" ht="15.75" customHeight="1">
      <c r="A4175" s="1235">
        <v>41936</v>
      </c>
      <c r="B4175" s="592" t="s">
        <v>12425</v>
      </c>
      <c r="C4175" s="970">
        <v>14000140</v>
      </c>
      <c r="D4175" s="386" t="s">
        <v>13155</v>
      </c>
      <c r="E4175" s="338" t="s">
        <v>12584</v>
      </c>
      <c r="F4175" s="1088">
        <v>9</v>
      </c>
      <c r="G4175" s="772"/>
      <c r="H4175" s="772"/>
      <c r="I4175" s="254" t="s">
        <v>8429</v>
      </c>
      <c r="J4175" s="585" t="s">
        <v>12582</v>
      </c>
      <c r="K4175" s="811">
        <v>41949</v>
      </c>
      <c r="L4175" s="585" t="s">
        <v>5882</v>
      </c>
      <c r="M4175" s="811">
        <v>41947</v>
      </c>
      <c r="N4175" s="386" t="s">
        <v>104</v>
      </c>
      <c r="O4175" s="752" t="s">
        <v>13156</v>
      </c>
      <c r="Q4175" s="772"/>
      <c r="R4175" s="323">
        <v>25</v>
      </c>
      <c r="S4175" s="464">
        <f>R4175*F4175</f>
        <v>225</v>
      </c>
      <c r="U4175" s="464">
        <v>5198</v>
      </c>
      <c r="V4175" s="386" t="s">
        <v>12091</v>
      </c>
      <c r="X4175" s="1084">
        <v>41946</v>
      </c>
      <c r="Z4175" s="1100">
        <v>5198</v>
      </c>
      <c r="AA4175" s="1094">
        <v>41976</v>
      </c>
      <c r="AB4175" s="318" t="s">
        <v>13157</v>
      </c>
      <c r="AF4175" s="386"/>
    </row>
    <row r="4176" spans="1:32" ht="15.75" customHeight="1">
      <c r="A4176" s="1235">
        <v>41939</v>
      </c>
      <c r="B4176" s="592" t="s">
        <v>11516</v>
      </c>
      <c r="C4176" s="386"/>
      <c r="D4176" s="386" t="s">
        <v>13158</v>
      </c>
      <c r="E4176" s="338" t="s">
        <v>13159</v>
      </c>
      <c r="F4176" s="1088">
        <v>1</v>
      </c>
      <c r="G4176" s="772"/>
      <c r="H4176" s="772"/>
      <c r="I4176" s="254" t="s">
        <v>11643</v>
      </c>
      <c r="J4176" s="585" t="s">
        <v>11519</v>
      </c>
      <c r="K4176" s="811">
        <v>41956</v>
      </c>
      <c r="L4176" s="585" t="s">
        <v>5882</v>
      </c>
      <c r="M4176" s="811">
        <v>41953</v>
      </c>
      <c r="N4176" s="386" t="s">
        <v>89</v>
      </c>
      <c r="O4176" s="752" t="s">
        <v>13160</v>
      </c>
      <c r="Q4176" s="464">
        <v>471.45</v>
      </c>
      <c r="R4176" s="323">
        <v>500</v>
      </c>
      <c r="S4176" s="464">
        <f t="shared" ref="S4176:S4191" si="266">F4176*R4176</f>
        <v>500</v>
      </c>
      <c r="U4176" s="772"/>
      <c r="V4176" s="386" t="s">
        <v>5896</v>
      </c>
      <c r="X4176" s="1084">
        <v>41953</v>
      </c>
      <c r="Z4176" s="1100">
        <v>14304</v>
      </c>
      <c r="AA4176" s="1094">
        <v>41976</v>
      </c>
      <c r="AB4176" s="263" t="s">
        <v>13161</v>
      </c>
      <c r="AF4176" s="386"/>
    </row>
    <row r="4177" spans="1:32" ht="15.75" customHeight="1">
      <c r="A4177" s="1235">
        <v>41939</v>
      </c>
      <c r="B4177" s="592" t="s">
        <v>8502</v>
      </c>
      <c r="C4177" s="970" t="s">
        <v>13162</v>
      </c>
      <c r="D4177" s="386" t="s">
        <v>13163</v>
      </c>
      <c r="E4177" s="592" t="s">
        <v>13164</v>
      </c>
      <c r="F4177" s="1088">
        <v>3</v>
      </c>
      <c r="G4177" s="772"/>
      <c r="H4177" s="772"/>
      <c r="I4177" s="254" t="s">
        <v>10831</v>
      </c>
      <c r="J4177" s="386"/>
      <c r="K4177" s="811">
        <v>41949</v>
      </c>
      <c r="L4177" s="585" t="s">
        <v>89</v>
      </c>
      <c r="M4177" s="386"/>
      <c r="N4177" s="386" t="s">
        <v>89</v>
      </c>
      <c r="O4177" s="752" t="s">
        <v>13165</v>
      </c>
      <c r="Q4177" s="464">
        <v>381.15</v>
      </c>
      <c r="R4177" s="323">
        <v>155.715</v>
      </c>
      <c r="S4177" s="464">
        <f t="shared" si="266"/>
        <v>467.14499999999998</v>
      </c>
      <c r="U4177" s="772"/>
      <c r="V4177" s="386" t="s">
        <v>5896</v>
      </c>
      <c r="X4177" s="1084">
        <v>41949</v>
      </c>
      <c r="Z4177" s="1100">
        <v>11564</v>
      </c>
      <c r="AA4177" s="1094">
        <v>41976</v>
      </c>
      <c r="AB4177" s="386" t="s">
        <v>13166</v>
      </c>
      <c r="AF4177" s="386" t="s">
        <v>13106</v>
      </c>
    </row>
    <row r="4178" spans="1:32" ht="15.75" customHeight="1">
      <c r="A4178" s="1235">
        <v>41940</v>
      </c>
      <c r="B4178" s="592" t="s">
        <v>10783</v>
      </c>
      <c r="C4178" s="386"/>
      <c r="D4178" s="386" t="s">
        <v>13167</v>
      </c>
      <c r="E4178" s="338" t="s">
        <v>3457</v>
      </c>
      <c r="F4178" s="1088">
        <v>10</v>
      </c>
      <c r="G4178" s="772"/>
      <c r="H4178" s="386"/>
      <c r="I4178" s="254" t="s">
        <v>3712</v>
      </c>
      <c r="J4178" s="585" t="s">
        <v>13055</v>
      </c>
      <c r="K4178" s="811">
        <v>41946</v>
      </c>
      <c r="L4178" s="585" t="s">
        <v>5882</v>
      </c>
      <c r="M4178" s="811">
        <v>41943</v>
      </c>
      <c r="N4178" s="386" t="s">
        <v>89</v>
      </c>
      <c r="O4178" s="752">
        <v>20141000136080</v>
      </c>
      <c r="Q4178" s="464">
        <v>1008</v>
      </c>
      <c r="R4178" s="323">
        <v>115</v>
      </c>
      <c r="S4178" s="464">
        <f t="shared" si="266"/>
        <v>1150</v>
      </c>
      <c r="U4178" s="772"/>
      <c r="V4178" s="386" t="s">
        <v>5896</v>
      </c>
      <c r="X4178" s="1084">
        <v>41943</v>
      </c>
      <c r="Z4178" s="1100">
        <v>30578</v>
      </c>
      <c r="AA4178" s="1094">
        <v>41946</v>
      </c>
      <c r="AB4178" s="263" t="s">
        <v>13058</v>
      </c>
      <c r="AF4178" s="386"/>
    </row>
    <row r="4179" spans="1:32" ht="15.75" customHeight="1">
      <c r="A4179" s="1253">
        <v>41940</v>
      </c>
      <c r="B4179" s="338" t="s">
        <v>11697</v>
      </c>
      <c r="C4179" s="386"/>
      <c r="D4179" s="318" t="s">
        <v>13168</v>
      </c>
      <c r="E4179" s="338" t="s">
        <v>13169</v>
      </c>
      <c r="F4179" s="752">
        <v>1</v>
      </c>
      <c r="G4179" s="772"/>
      <c r="H4179" s="772"/>
      <c r="I4179" s="254" t="s">
        <v>11643</v>
      </c>
      <c r="J4179" s="254" t="s">
        <v>13170</v>
      </c>
      <c r="K4179" s="811">
        <v>41977</v>
      </c>
      <c r="L4179" s="254" t="s">
        <v>13171</v>
      </c>
      <c r="M4179" s="811">
        <v>41971</v>
      </c>
      <c r="N4179" s="318" t="s">
        <v>13172</v>
      </c>
      <c r="O4179" s="386"/>
      <c r="Q4179" s="772"/>
      <c r="R4179" s="464">
        <v>2100</v>
      </c>
      <c r="S4179" s="464">
        <f t="shared" si="266"/>
        <v>2100</v>
      </c>
      <c r="U4179" s="1236">
        <v>42000</v>
      </c>
      <c r="V4179" s="318" t="s">
        <v>13173</v>
      </c>
      <c r="X4179" s="1084">
        <v>41971</v>
      </c>
      <c r="Z4179" s="1100">
        <v>42000</v>
      </c>
      <c r="AA4179" s="1084">
        <v>41953</v>
      </c>
      <c r="AB4179" s="318" t="s">
        <v>13174</v>
      </c>
      <c r="AF4179" s="1239" t="s">
        <v>13175</v>
      </c>
    </row>
    <row r="4180" spans="1:32" ht="15.75" customHeight="1">
      <c r="A4180" s="1253">
        <v>41940</v>
      </c>
      <c r="B4180" s="338" t="s">
        <v>11697</v>
      </c>
      <c r="C4180" s="386"/>
      <c r="D4180" s="318" t="s">
        <v>13168</v>
      </c>
      <c r="E4180" s="338" t="s">
        <v>13176</v>
      </c>
      <c r="F4180" s="752">
        <v>1</v>
      </c>
      <c r="G4180" s="772"/>
      <c r="H4180" s="772"/>
      <c r="I4180" s="254" t="s">
        <v>11643</v>
      </c>
      <c r="J4180" s="254" t="s">
        <v>13170</v>
      </c>
      <c r="K4180" s="811">
        <v>41977</v>
      </c>
      <c r="L4180" s="254" t="s">
        <v>13171</v>
      </c>
      <c r="M4180" s="811">
        <v>41971</v>
      </c>
      <c r="N4180" s="318" t="s">
        <v>13172</v>
      </c>
      <c r="O4180" s="386"/>
      <c r="Q4180" s="772"/>
      <c r="R4180" s="464">
        <v>0</v>
      </c>
      <c r="S4180" s="464">
        <f t="shared" si="266"/>
        <v>0</v>
      </c>
      <c r="U4180" s="464"/>
      <c r="V4180" s="318" t="s">
        <v>13173</v>
      </c>
      <c r="X4180" s="1084">
        <v>41971</v>
      </c>
      <c r="Z4180" s="752">
        <v>0</v>
      </c>
      <c r="AA4180" s="1084">
        <v>41953</v>
      </c>
      <c r="AB4180" s="318" t="s">
        <v>13174</v>
      </c>
      <c r="AF4180" s="318"/>
    </row>
    <row r="4181" spans="1:32" ht="15.75" customHeight="1">
      <c r="A4181" s="1235">
        <v>41941</v>
      </c>
      <c r="B4181" s="592" t="s">
        <v>10673</v>
      </c>
      <c r="C4181" s="970" t="s">
        <v>13177</v>
      </c>
      <c r="D4181" s="386" t="s">
        <v>13178</v>
      </c>
      <c r="E4181" s="338" t="s">
        <v>6404</v>
      </c>
      <c r="F4181" s="1088">
        <v>8</v>
      </c>
      <c r="G4181" s="464">
        <v>3549</v>
      </c>
      <c r="H4181" s="752">
        <f>F4181*G4181</f>
        <v>28392</v>
      </c>
      <c r="I4181" s="254" t="s">
        <v>10831</v>
      </c>
      <c r="J4181" s="1243" t="s">
        <v>12875</v>
      </c>
      <c r="K4181" s="811">
        <v>41946</v>
      </c>
      <c r="L4181" s="585" t="s">
        <v>5882</v>
      </c>
      <c r="M4181" s="811">
        <v>41943</v>
      </c>
      <c r="N4181" s="386" t="s">
        <v>10778</v>
      </c>
      <c r="O4181" s="1088" t="s">
        <v>13179</v>
      </c>
      <c r="Q4181" s="772"/>
      <c r="R4181" s="323">
        <v>118.3</v>
      </c>
      <c r="S4181" s="464">
        <f t="shared" si="266"/>
        <v>946.4</v>
      </c>
      <c r="U4181" s="464">
        <v>27216</v>
      </c>
      <c r="V4181" s="386" t="s">
        <v>8443</v>
      </c>
      <c r="X4181" s="1237">
        <v>41942</v>
      </c>
      <c r="Z4181" s="1238">
        <v>38663</v>
      </c>
      <c r="AA4181" s="1094">
        <v>41976</v>
      </c>
      <c r="AB4181" s="1239" t="s">
        <v>13180</v>
      </c>
      <c r="AF4181" s="1239" t="s">
        <v>12977</v>
      </c>
    </row>
    <row r="4182" spans="1:32" ht="15.75" customHeight="1">
      <c r="A4182" s="1235">
        <v>41941</v>
      </c>
      <c r="B4182" s="592" t="s">
        <v>10673</v>
      </c>
      <c r="C4182" s="970" t="s">
        <v>13177</v>
      </c>
      <c r="D4182" s="386" t="s">
        <v>13178</v>
      </c>
      <c r="E4182" s="338" t="s">
        <v>6004</v>
      </c>
      <c r="F4182" s="1088">
        <v>1</v>
      </c>
      <c r="G4182" s="464">
        <v>4238.8500000000004</v>
      </c>
      <c r="H4182" s="752">
        <f>F4182*G4182</f>
        <v>4238.8500000000004</v>
      </c>
      <c r="I4182" s="254" t="s">
        <v>10831</v>
      </c>
      <c r="J4182" s="1243"/>
      <c r="K4182" s="811">
        <v>41946</v>
      </c>
      <c r="L4182" s="585" t="s">
        <v>5882</v>
      </c>
      <c r="M4182" s="811">
        <v>41943</v>
      </c>
      <c r="N4182" s="386" t="s">
        <v>10778</v>
      </c>
      <c r="O4182" s="1088" t="s">
        <v>13179</v>
      </c>
      <c r="Q4182" s="772"/>
      <c r="R4182" s="323">
        <v>141.29499999999999</v>
      </c>
      <c r="S4182" s="464">
        <f t="shared" si="266"/>
        <v>141.29499999999999</v>
      </c>
      <c r="U4182" s="464">
        <v>4069.8</v>
      </c>
      <c r="V4182" s="386" t="s">
        <v>8443</v>
      </c>
      <c r="X4182" s="1237"/>
      <c r="Z4182" s="1238"/>
      <c r="AA4182" s="1094">
        <v>41976</v>
      </c>
      <c r="AB4182" s="1239"/>
      <c r="AF4182" s="1239"/>
    </row>
    <row r="4183" spans="1:32" ht="15.75" customHeight="1">
      <c r="A4183" s="1235">
        <v>41941</v>
      </c>
      <c r="B4183" s="592" t="s">
        <v>10673</v>
      </c>
      <c r="C4183" s="970" t="s">
        <v>13177</v>
      </c>
      <c r="D4183" s="386" t="s">
        <v>13178</v>
      </c>
      <c r="E4183" s="338" t="s">
        <v>6992</v>
      </c>
      <c r="F4183" s="1088">
        <v>2</v>
      </c>
      <c r="G4183" s="464">
        <v>3841.95</v>
      </c>
      <c r="H4183" s="752">
        <f>F4183*G4183</f>
        <v>7683.9</v>
      </c>
      <c r="I4183" s="254" t="s">
        <v>10831</v>
      </c>
      <c r="J4183" s="585"/>
      <c r="K4183" s="811">
        <v>41946</v>
      </c>
      <c r="L4183" s="585" t="s">
        <v>5882</v>
      </c>
      <c r="M4183" s="811">
        <v>41943</v>
      </c>
      <c r="N4183" s="386" t="s">
        <v>10778</v>
      </c>
      <c r="O4183" s="1088" t="s">
        <v>13179</v>
      </c>
      <c r="Q4183" s="772"/>
      <c r="R4183" s="323">
        <v>128.065</v>
      </c>
      <c r="S4183" s="464">
        <f t="shared" si="266"/>
        <v>256.13</v>
      </c>
      <c r="U4183" s="464">
        <v>7377.3</v>
      </c>
      <c r="V4183" s="386" t="s">
        <v>8443</v>
      </c>
      <c r="X4183" s="1084"/>
      <c r="Z4183" s="1100"/>
      <c r="AA4183" s="1094">
        <v>41976</v>
      </c>
      <c r="AB4183" s="318"/>
      <c r="AF4183" s="318"/>
    </row>
    <row r="4184" spans="1:32" ht="15.75" customHeight="1">
      <c r="A4184" s="1235">
        <v>41946</v>
      </c>
      <c r="B4184" s="592" t="s">
        <v>10959</v>
      </c>
      <c r="C4184" s="970">
        <v>3100044767</v>
      </c>
      <c r="D4184" s="386" t="s">
        <v>13181</v>
      </c>
      <c r="E4184" s="338" t="s">
        <v>13182</v>
      </c>
      <c r="F4184" s="1088">
        <v>2</v>
      </c>
      <c r="G4184" s="772"/>
      <c r="H4184" s="772"/>
      <c r="I4184" s="254" t="s">
        <v>11643</v>
      </c>
      <c r="J4184" s="585" t="s">
        <v>89</v>
      </c>
      <c r="K4184" s="811">
        <v>41953</v>
      </c>
      <c r="L4184" s="585" t="s">
        <v>89</v>
      </c>
      <c r="M4184" s="386"/>
      <c r="N4184" s="386" t="s">
        <v>89</v>
      </c>
      <c r="O4184" s="752" t="s">
        <v>13183</v>
      </c>
      <c r="Q4184" s="464">
        <v>184.8</v>
      </c>
      <c r="R4184" s="323">
        <v>116.55</v>
      </c>
      <c r="S4184" s="464">
        <f t="shared" si="266"/>
        <v>233.1</v>
      </c>
      <c r="U4184" s="772"/>
      <c r="V4184" s="386" t="s">
        <v>5896</v>
      </c>
      <c r="X4184" s="1084">
        <v>41953</v>
      </c>
      <c r="Z4184" s="1100">
        <v>5607</v>
      </c>
      <c r="AA4184" s="1094">
        <v>41976</v>
      </c>
      <c r="AB4184" s="386" t="s">
        <v>13184</v>
      </c>
      <c r="AF4184" s="386" t="s">
        <v>13095</v>
      </c>
    </row>
    <row r="4185" spans="1:32" ht="15.75" customHeight="1">
      <c r="A4185" s="1235">
        <v>41946</v>
      </c>
      <c r="B4185" s="592" t="s">
        <v>10959</v>
      </c>
      <c r="C4185" s="970">
        <v>3100044767</v>
      </c>
      <c r="D4185" s="386" t="s">
        <v>13181</v>
      </c>
      <c r="E4185" s="338" t="s">
        <v>13185</v>
      </c>
      <c r="F4185" s="1088">
        <v>3</v>
      </c>
      <c r="G4185" s="772"/>
      <c r="H4185" s="772"/>
      <c r="I4185" s="254" t="s">
        <v>11643</v>
      </c>
      <c r="J4185" s="585" t="s">
        <v>10120</v>
      </c>
      <c r="K4185" s="811">
        <v>41953</v>
      </c>
      <c r="L4185" s="585" t="s">
        <v>5882</v>
      </c>
      <c r="M4185" s="811">
        <v>41950</v>
      </c>
      <c r="N4185" s="386" t="s">
        <v>104</v>
      </c>
      <c r="O4185" s="752" t="s">
        <v>13186</v>
      </c>
      <c r="Q4185" s="772"/>
      <c r="R4185" s="323">
        <v>23.1</v>
      </c>
      <c r="S4185" s="464">
        <f t="shared" si="266"/>
        <v>69.300000000000011</v>
      </c>
      <c r="U4185" s="464">
        <v>1502</v>
      </c>
      <c r="V4185" s="386" t="s">
        <v>12091</v>
      </c>
      <c r="X4185" s="1094">
        <v>41948</v>
      </c>
      <c r="Z4185" s="1110">
        <v>1502</v>
      </c>
      <c r="AA4185" s="1094">
        <v>41976</v>
      </c>
      <c r="AB4185" s="386" t="s">
        <v>13184</v>
      </c>
      <c r="AF4185" s="386" t="s">
        <v>13095</v>
      </c>
    </row>
    <row r="4186" spans="1:32" ht="15.75" customHeight="1">
      <c r="A4186" s="1235">
        <v>41947</v>
      </c>
      <c r="B4186" s="592" t="s">
        <v>10673</v>
      </c>
      <c r="C4186" s="970" t="s">
        <v>13187</v>
      </c>
      <c r="D4186" s="386" t="s">
        <v>13188</v>
      </c>
      <c r="E4186" s="338" t="s">
        <v>7376</v>
      </c>
      <c r="F4186" s="1088">
        <v>2</v>
      </c>
      <c r="G4186" s="464">
        <v>3542.7</v>
      </c>
      <c r="H4186" s="752">
        <f>F4186*G4186</f>
        <v>7085.4</v>
      </c>
      <c r="I4186" s="254" t="s">
        <v>10831</v>
      </c>
      <c r="J4186" s="585" t="s">
        <v>10120</v>
      </c>
      <c r="K4186" s="811">
        <v>41953</v>
      </c>
      <c r="L4186" s="585" t="s">
        <v>5882</v>
      </c>
      <c r="M4186" s="811">
        <v>41949</v>
      </c>
      <c r="N4186" s="386" t="s">
        <v>10778</v>
      </c>
      <c r="O4186" s="752" t="s">
        <v>13189</v>
      </c>
      <c r="Q4186" s="772"/>
      <c r="R4186" s="323">
        <v>118.09</v>
      </c>
      <c r="S4186" s="464">
        <f t="shared" si="266"/>
        <v>236.18</v>
      </c>
      <c r="U4186" s="464">
        <v>6802</v>
      </c>
      <c r="V4186" s="386" t="s">
        <v>8443</v>
      </c>
      <c r="X4186" s="1094">
        <v>41947</v>
      </c>
      <c r="Z4186" s="1110">
        <v>6802</v>
      </c>
      <c r="AA4186" s="1094">
        <v>41976</v>
      </c>
      <c r="AB4186" s="386" t="s">
        <v>13190</v>
      </c>
      <c r="AF4186" s="386" t="s">
        <v>13095</v>
      </c>
    </row>
    <row r="4187" spans="1:32" ht="15.75" customHeight="1">
      <c r="A4187" s="1235">
        <v>41948</v>
      </c>
      <c r="B4187" s="592" t="s">
        <v>10673</v>
      </c>
      <c r="C4187" s="970" t="s">
        <v>13191</v>
      </c>
      <c r="D4187" s="386" t="s">
        <v>13192</v>
      </c>
      <c r="E4187" s="338" t="s">
        <v>13193</v>
      </c>
      <c r="F4187" s="1088">
        <v>20</v>
      </c>
      <c r="G4187" s="772"/>
      <c r="H4187" s="772"/>
      <c r="I4187" s="254" t="s">
        <v>10831</v>
      </c>
      <c r="J4187" s="585" t="s">
        <v>89</v>
      </c>
      <c r="K4187" s="811">
        <v>41988</v>
      </c>
      <c r="L4187" s="585" t="s">
        <v>89</v>
      </c>
      <c r="M4187" s="386"/>
      <c r="N4187" s="386" t="s">
        <v>89</v>
      </c>
      <c r="O4187" s="752">
        <v>20141100136715</v>
      </c>
      <c r="Q4187" s="464">
        <v>9828</v>
      </c>
      <c r="R4187" s="464">
        <v>533.4</v>
      </c>
      <c r="S4187" s="464">
        <f t="shared" si="266"/>
        <v>10668</v>
      </c>
      <c r="U4187" s="772"/>
      <c r="V4187" s="386" t="s">
        <v>5896</v>
      </c>
      <c r="X4187" s="1084">
        <v>41988</v>
      </c>
      <c r="Z4187" s="1100">
        <v>305405</v>
      </c>
      <c r="AA4187" s="1094">
        <v>41990</v>
      </c>
      <c r="AB4187" s="386" t="s">
        <v>13194</v>
      </c>
      <c r="AF4187" s="386" t="s">
        <v>13195</v>
      </c>
    </row>
    <row r="4188" spans="1:32" ht="15.75" customHeight="1">
      <c r="A4188" s="1235">
        <v>41949</v>
      </c>
      <c r="B4188" s="592" t="s">
        <v>10959</v>
      </c>
      <c r="C4188" s="970">
        <v>3100044811</v>
      </c>
      <c r="D4188" s="386" t="s">
        <v>13196</v>
      </c>
      <c r="E4188" s="338" t="s">
        <v>13182</v>
      </c>
      <c r="F4188" s="1088">
        <v>1</v>
      </c>
      <c r="G4188" s="772"/>
      <c r="H4188" s="772"/>
      <c r="I4188" s="254" t="s">
        <v>11643</v>
      </c>
      <c r="J4188" s="585" t="s">
        <v>89</v>
      </c>
      <c r="K4188" s="811">
        <v>41953</v>
      </c>
      <c r="L4188" s="585" t="s">
        <v>89</v>
      </c>
      <c r="M4188" s="386"/>
      <c r="N4188" s="386" t="s">
        <v>89</v>
      </c>
      <c r="O4188" s="752" t="s">
        <v>13197</v>
      </c>
      <c r="Q4188" s="464">
        <v>92.4</v>
      </c>
      <c r="R4188" s="323">
        <v>116.55</v>
      </c>
      <c r="S4188" s="464">
        <f t="shared" si="266"/>
        <v>116.55</v>
      </c>
      <c r="U4188" s="772"/>
      <c r="V4188" s="386" t="s">
        <v>5896</v>
      </c>
      <c r="X4188" s="1084">
        <v>41953</v>
      </c>
      <c r="Z4188" s="1100">
        <v>2803</v>
      </c>
      <c r="AA4188" s="1094">
        <v>41976</v>
      </c>
      <c r="AB4188" s="386" t="s">
        <v>13198</v>
      </c>
      <c r="AF4188" s="386" t="s">
        <v>13095</v>
      </c>
    </row>
    <row r="4189" spans="1:32" ht="15.75" customHeight="1">
      <c r="A4189" s="1253">
        <v>41949</v>
      </c>
      <c r="B4189" s="592" t="s">
        <v>10673</v>
      </c>
      <c r="C4189" s="263" t="s">
        <v>13199</v>
      </c>
      <c r="D4189" s="318" t="s">
        <v>13200</v>
      </c>
      <c r="E4189" s="338" t="s">
        <v>6261</v>
      </c>
      <c r="F4189" s="752">
        <v>5</v>
      </c>
      <c r="G4189" s="464">
        <v>3727.5</v>
      </c>
      <c r="H4189" s="752">
        <f>F4189*G4189</f>
        <v>18637.5</v>
      </c>
      <c r="I4189" s="254" t="s">
        <v>10831</v>
      </c>
      <c r="J4189" s="254" t="s">
        <v>11420</v>
      </c>
      <c r="K4189" s="811">
        <v>41954</v>
      </c>
      <c r="L4189" s="254" t="s">
        <v>8971</v>
      </c>
      <c r="M4189" s="811">
        <v>41953</v>
      </c>
      <c r="N4189" s="318" t="s">
        <v>10778</v>
      </c>
      <c r="O4189" s="318" t="s">
        <v>13201</v>
      </c>
      <c r="Q4189" s="772"/>
      <c r="R4189" s="464">
        <v>124.25</v>
      </c>
      <c r="S4189" s="464">
        <f t="shared" si="266"/>
        <v>621.25</v>
      </c>
      <c r="U4189" s="464">
        <v>18443</v>
      </c>
      <c r="V4189" s="318" t="s">
        <v>8443</v>
      </c>
      <c r="X4189" s="1237">
        <v>41950</v>
      </c>
      <c r="Z4189" s="1238">
        <v>38357</v>
      </c>
      <c r="AA4189" s="1084">
        <v>41976</v>
      </c>
      <c r="AB4189" s="1239" t="s">
        <v>13120</v>
      </c>
      <c r="AF4189" s="1239" t="s">
        <v>13121</v>
      </c>
    </row>
    <row r="4190" spans="1:32" ht="15.75" customHeight="1">
      <c r="A4190" s="1253">
        <v>41949</v>
      </c>
      <c r="B4190" s="592" t="s">
        <v>10673</v>
      </c>
      <c r="C4190" s="263" t="s">
        <v>13199</v>
      </c>
      <c r="D4190" s="318" t="s">
        <v>13200</v>
      </c>
      <c r="E4190" s="338" t="s">
        <v>3510</v>
      </c>
      <c r="F4190" s="752">
        <v>5</v>
      </c>
      <c r="G4190" s="464">
        <v>4152.75</v>
      </c>
      <c r="H4190" s="752">
        <f>F4190*G4190</f>
        <v>20763.75</v>
      </c>
      <c r="I4190" s="254" t="s">
        <v>10831</v>
      </c>
      <c r="J4190" s="254" t="s">
        <v>11420</v>
      </c>
      <c r="K4190" s="811">
        <v>41954</v>
      </c>
      <c r="L4190" s="254" t="s">
        <v>8971</v>
      </c>
      <c r="M4190" s="811">
        <v>41953</v>
      </c>
      <c r="N4190" s="318" t="s">
        <v>10778</v>
      </c>
      <c r="O4190" s="318" t="s">
        <v>13201</v>
      </c>
      <c r="Q4190" s="772"/>
      <c r="R4190" s="464">
        <v>138.42500000000001</v>
      </c>
      <c r="S4190" s="464">
        <f t="shared" si="266"/>
        <v>692.125</v>
      </c>
      <c r="U4190" s="464">
        <v>19913</v>
      </c>
      <c r="V4190" s="318" t="s">
        <v>8443</v>
      </c>
      <c r="X4190" s="1084"/>
      <c r="Z4190" s="1100"/>
      <c r="AA4190" s="1084">
        <v>41976</v>
      </c>
      <c r="AB4190" s="318"/>
      <c r="AF4190" s="1239"/>
    </row>
    <row r="4191" spans="1:32" ht="15.75" customHeight="1">
      <c r="A4191" s="1253">
        <v>41949</v>
      </c>
      <c r="B4191" s="592" t="s">
        <v>10673</v>
      </c>
      <c r="C4191" s="263" t="s">
        <v>13199</v>
      </c>
      <c r="D4191" s="318" t="s">
        <v>13202</v>
      </c>
      <c r="E4191" s="338" t="s">
        <v>13203</v>
      </c>
      <c r="F4191" s="752">
        <v>1</v>
      </c>
      <c r="G4191" s="464">
        <v>3056.55</v>
      </c>
      <c r="H4191" s="752">
        <f>F4191*G4191</f>
        <v>3056.55</v>
      </c>
      <c r="I4191" s="254" t="s">
        <v>10831</v>
      </c>
      <c r="J4191" s="254" t="s">
        <v>11420</v>
      </c>
      <c r="K4191" s="811">
        <v>41954</v>
      </c>
      <c r="L4191" s="254" t="s">
        <v>8971</v>
      </c>
      <c r="M4191" s="811">
        <v>41960</v>
      </c>
      <c r="N4191" s="318" t="s">
        <v>10778</v>
      </c>
      <c r="O4191" s="318" t="s">
        <v>13204</v>
      </c>
      <c r="Q4191" s="772"/>
      <c r="R4191" s="464">
        <v>101.88500000000001</v>
      </c>
      <c r="S4191" s="464">
        <f t="shared" si="266"/>
        <v>101.88500000000001</v>
      </c>
      <c r="U4191" s="464">
        <v>2934</v>
      </c>
      <c r="V4191" s="318" t="s">
        <v>8443</v>
      </c>
      <c r="X4191" s="1084">
        <v>41950</v>
      </c>
      <c r="Z4191" s="1100">
        <v>2934</v>
      </c>
      <c r="AA4191" s="1084">
        <v>41976</v>
      </c>
      <c r="AB4191" s="318" t="s">
        <v>13120</v>
      </c>
      <c r="AF4191" s="318"/>
    </row>
    <row r="4192" spans="1:32" ht="15.75" customHeight="1">
      <c r="A4192" s="1235">
        <v>41949</v>
      </c>
      <c r="B4192" s="592" t="s">
        <v>6395</v>
      </c>
      <c r="C4192" s="386"/>
      <c r="D4192" s="386" t="s">
        <v>13205</v>
      </c>
      <c r="E4192" s="338" t="s">
        <v>10992</v>
      </c>
      <c r="F4192" s="1088">
        <v>2</v>
      </c>
      <c r="G4192" s="772"/>
      <c r="H4192" s="772"/>
      <c r="I4192" s="254" t="s">
        <v>8429</v>
      </c>
      <c r="J4192" s="585" t="s">
        <v>6399</v>
      </c>
      <c r="K4192" s="811">
        <v>41991</v>
      </c>
      <c r="L4192" s="585" t="s">
        <v>5882</v>
      </c>
      <c r="M4192" s="811">
        <v>41972</v>
      </c>
      <c r="N4192" s="386" t="s">
        <v>12413</v>
      </c>
      <c r="O4192" s="263" t="s">
        <v>13206</v>
      </c>
      <c r="Q4192" s="464">
        <v>1438.5</v>
      </c>
      <c r="R4192" s="323">
        <v>772</v>
      </c>
      <c r="S4192" s="464">
        <f>R4192*F4192</f>
        <v>1544</v>
      </c>
      <c r="U4192" s="464">
        <v>44399</v>
      </c>
      <c r="V4192" s="386" t="s">
        <v>10995</v>
      </c>
      <c r="X4192" s="1084">
        <v>41970</v>
      </c>
      <c r="Z4192" s="1100">
        <v>44399</v>
      </c>
      <c r="AA4192" s="1094">
        <v>42009</v>
      </c>
      <c r="AB4192" s="1239" t="s">
        <v>13207</v>
      </c>
      <c r="AF4192" s="386"/>
    </row>
    <row r="4193" spans="1:32" ht="15.75" customHeight="1">
      <c r="A4193" s="1235">
        <v>41949</v>
      </c>
      <c r="B4193" s="592" t="s">
        <v>6395</v>
      </c>
      <c r="C4193" s="386"/>
      <c r="D4193" s="386" t="s">
        <v>13205</v>
      </c>
      <c r="E4193" s="338" t="s">
        <v>13208</v>
      </c>
      <c r="F4193" s="1088">
        <v>1</v>
      </c>
      <c r="G4193" s="772"/>
      <c r="H4193" s="772"/>
      <c r="I4193" s="254" t="s">
        <v>8429</v>
      </c>
      <c r="J4193" s="585" t="s">
        <v>6399</v>
      </c>
      <c r="K4193" s="811">
        <v>41991</v>
      </c>
      <c r="L4193" s="585" t="s">
        <v>5882</v>
      </c>
      <c r="M4193" s="811">
        <v>41954</v>
      </c>
      <c r="N4193" s="386" t="s">
        <v>13209</v>
      </c>
      <c r="O4193" s="386"/>
      <c r="Q4193" s="772"/>
      <c r="R4193" s="323">
        <v>0</v>
      </c>
      <c r="S4193" s="464">
        <v>0</v>
      </c>
      <c r="U4193" s="323">
        <v>1465</v>
      </c>
      <c r="V4193" s="386" t="s">
        <v>13210</v>
      </c>
      <c r="X4193" s="1094">
        <v>41954</v>
      </c>
      <c r="Z4193" s="1110">
        <v>1465</v>
      </c>
      <c r="AA4193" s="1094">
        <v>41953</v>
      </c>
      <c r="AB4193" s="318"/>
      <c r="AF4193" s="386"/>
    </row>
    <row r="4194" spans="1:32" ht="15.75" customHeight="1">
      <c r="A4194" s="1235">
        <v>41949</v>
      </c>
      <c r="B4194" s="592" t="s">
        <v>8502</v>
      </c>
      <c r="C4194" s="970" t="s">
        <v>13211</v>
      </c>
      <c r="D4194" s="386" t="s">
        <v>13212</v>
      </c>
      <c r="E4194" s="338" t="s">
        <v>8167</v>
      </c>
      <c r="F4194" s="1088">
        <v>1</v>
      </c>
      <c r="G4194" s="772"/>
      <c r="H4194" s="772"/>
      <c r="I4194" s="254" t="s">
        <v>10831</v>
      </c>
      <c r="J4194" s="585" t="s">
        <v>89</v>
      </c>
      <c r="K4194" s="811">
        <v>41956</v>
      </c>
      <c r="L4194" s="585" t="s">
        <v>89</v>
      </c>
      <c r="M4194" s="386"/>
      <c r="N4194" s="386" t="s">
        <v>89</v>
      </c>
      <c r="O4194" s="752" t="s">
        <v>13213</v>
      </c>
      <c r="Q4194" s="464">
        <v>50.4</v>
      </c>
      <c r="R4194" s="323">
        <v>54.6</v>
      </c>
      <c r="S4194" s="464">
        <f t="shared" ref="S4194:S4199" si="267">R4194*F4194</f>
        <v>54.6</v>
      </c>
      <c r="U4194" s="772"/>
      <c r="V4194" s="386" t="s">
        <v>10751</v>
      </c>
      <c r="X4194" s="1084">
        <v>41956</v>
      </c>
      <c r="Z4194" s="1100">
        <v>1535</v>
      </c>
      <c r="AA4194" s="1094">
        <v>41976</v>
      </c>
      <c r="AB4194" s="386" t="s">
        <v>13214</v>
      </c>
      <c r="AF4194" s="386" t="s">
        <v>13215</v>
      </c>
    </row>
    <row r="4195" spans="1:32" ht="15.75" customHeight="1">
      <c r="A4195" s="1235">
        <v>41950</v>
      </c>
      <c r="B4195" s="592" t="s">
        <v>11516</v>
      </c>
      <c r="C4195" s="386"/>
      <c r="D4195" s="386" t="s">
        <v>13216</v>
      </c>
      <c r="E4195" s="338" t="s">
        <v>13217</v>
      </c>
      <c r="F4195" s="1088">
        <v>2</v>
      </c>
      <c r="G4195" s="772"/>
      <c r="H4195" s="772"/>
      <c r="I4195" s="254" t="s">
        <v>10694</v>
      </c>
      <c r="J4195" s="585" t="s">
        <v>11519</v>
      </c>
      <c r="K4195" s="811">
        <v>41984</v>
      </c>
      <c r="L4195" s="585" t="s">
        <v>5882</v>
      </c>
      <c r="M4195" s="811">
        <v>41982</v>
      </c>
      <c r="N4195" s="386" t="s">
        <v>89</v>
      </c>
      <c r="O4195" s="752" t="s">
        <v>13218</v>
      </c>
      <c r="Q4195" s="464">
        <v>1419.6</v>
      </c>
      <c r="R4195" s="323">
        <v>768</v>
      </c>
      <c r="S4195" s="464">
        <f t="shared" si="267"/>
        <v>1536</v>
      </c>
      <c r="U4195" s="772"/>
      <c r="V4195" s="386" t="s">
        <v>10751</v>
      </c>
      <c r="X4195" s="1084">
        <v>41982</v>
      </c>
      <c r="Z4195" s="1100">
        <v>51366</v>
      </c>
      <c r="AA4195" s="1094">
        <v>42013</v>
      </c>
      <c r="AB4195" s="1239" t="s">
        <v>13219</v>
      </c>
      <c r="AF4195" s="386"/>
    </row>
    <row r="4196" spans="1:32" ht="15.75" customHeight="1">
      <c r="A4196" s="1235">
        <v>41950</v>
      </c>
      <c r="B4196" s="592" t="s">
        <v>11516</v>
      </c>
      <c r="C4196" s="386"/>
      <c r="D4196" s="386" t="s">
        <v>13216</v>
      </c>
      <c r="E4196" s="338" t="s">
        <v>13220</v>
      </c>
      <c r="F4196" s="1088">
        <v>1</v>
      </c>
      <c r="G4196" s="772"/>
      <c r="H4196" s="772"/>
      <c r="I4196" s="254" t="s">
        <v>10694</v>
      </c>
      <c r="J4196" s="585" t="s">
        <v>11519</v>
      </c>
      <c r="K4196" s="811">
        <v>41984</v>
      </c>
      <c r="L4196" s="585" t="s">
        <v>5882</v>
      </c>
      <c r="M4196" s="811">
        <v>41982</v>
      </c>
      <c r="N4196" s="386" t="s">
        <v>89</v>
      </c>
      <c r="O4196" s="752" t="s">
        <v>13218</v>
      </c>
      <c r="Q4196" s="464">
        <v>245.7</v>
      </c>
      <c r="R4196" s="323">
        <v>265</v>
      </c>
      <c r="S4196" s="464">
        <f t="shared" si="267"/>
        <v>265</v>
      </c>
      <c r="U4196" s="772"/>
      <c r="V4196" s="386" t="s">
        <v>10751</v>
      </c>
      <c r="X4196" s="752" t="s">
        <v>8588</v>
      </c>
      <c r="Z4196" s="752" t="s">
        <v>8588</v>
      </c>
      <c r="AA4196" s="1094">
        <v>42013</v>
      </c>
      <c r="AB4196" s="318"/>
      <c r="AF4196" s="386"/>
    </row>
    <row r="4197" spans="1:32" ht="15.75" customHeight="1">
      <c r="A4197" s="1235">
        <v>41950</v>
      </c>
      <c r="B4197" s="592" t="s">
        <v>11516</v>
      </c>
      <c r="C4197" s="386"/>
      <c r="D4197" s="386" t="s">
        <v>13221</v>
      </c>
      <c r="E4197" s="338" t="s">
        <v>13222</v>
      </c>
      <c r="F4197" s="1088">
        <v>4</v>
      </c>
      <c r="G4197" s="772"/>
      <c r="H4197" s="772"/>
      <c r="I4197" s="254" t="s">
        <v>10694</v>
      </c>
      <c r="J4197" s="585" t="s">
        <v>11519</v>
      </c>
      <c r="K4197" s="811">
        <v>41963</v>
      </c>
      <c r="L4197" s="585" t="s">
        <v>5882</v>
      </c>
      <c r="M4197" s="811">
        <v>41961</v>
      </c>
      <c r="N4197" s="386" t="s">
        <v>89</v>
      </c>
      <c r="O4197" s="752" t="s">
        <v>13223</v>
      </c>
      <c r="Q4197" s="464">
        <v>315</v>
      </c>
      <c r="R4197" s="323">
        <v>85</v>
      </c>
      <c r="S4197" s="464">
        <f t="shared" si="267"/>
        <v>340</v>
      </c>
      <c r="U4197" s="772"/>
      <c r="V4197" s="386" t="s">
        <v>10751</v>
      </c>
      <c r="X4197" s="1084">
        <v>41961</v>
      </c>
      <c r="Z4197" s="1100">
        <v>9596</v>
      </c>
      <c r="AA4197" s="1094">
        <v>41976</v>
      </c>
      <c r="AB4197" s="386" t="s">
        <v>13224</v>
      </c>
      <c r="AF4197" s="386"/>
    </row>
    <row r="4198" spans="1:32" ht="15.75" customHeight="1">
      <c r="A4198" s="1235">
        <v>41950</v>
      </c>
      <c r="B4198" s="592" t="s">
        <v>10673</v>
      </c>
      <c r="C4198" s="970" t="s">
        <v>13225</v>
      </c>
      <c r="D4198" s="386" t="s">
        <v>13226</v>
      </c>
      <c r="E4198" s="338" t="s">
        <v>7376</v>
      </c>
      <c r="F4198" s="1088">
        <v>1</v>
      </c>
      <c r="G4198" s="464">
        <v>3542.7</v>
      </c>
      <c r="H4198" s="752">
        <f>F4198*G4198</f>
        <v>3542.7</v>
      </c>
      <c r="I4198" s="254" t="s">
        <v>10831</v>
      </c>
      <c r="J4198" s="585" t="s">
        <v>11420</v>
      </c>
      <c r="K4198" s="811">
        <v>41983</v>
      </c>
      <c r="L4198" s="585" t="s">
        <v>5882</v>
      </c>
      <c r="M4198" s="811">
        <v>41982</v>
      </c>
      <c r="N4198" s="386" t="s">
        <v>10778</v>
      </c>
      <c r="O4198" s="1088" t="s">
        <v>13227</v>
      </c>
      <c r="Q4198" s="772"/>
      <c r="R4198" s="464">
        <v>118.09</v>
      </c>
      <c r="S4198" s="464">
        <f t="shared" si="267"/>
        <v>118.09</v>
      </c>
      <c r="U4198" s="464">
        <v>3401</v>
      </c>
      <c r="V4198" s="386" t="s">
        <v>8443</v>
      </c>
      <c r="X4198" s="1094">
        <v>41981</v>
      </c>
      <c r="Z4198" s="1110">
        <v>3401</v>
      </c>
      <c r="AA4198" s="1094">
        <v>42010</v>
      </c>
      <c r="AB4198" s="386" t="s">
        <v>13228</v>
      </c>
      <c r="AF4198" s="386" t="s">
        <v>13229</v>
      </c>
    </row>
    <row r="4199" spans="1:32" ht="15.75" customHeight="1">
      <c r="A4199" s="1235">
        <v>41950</v>
      </c>
      <c r="B4199" s="592" t="s">
        <v>10673</v>
      </c>
      <c r="C4199" s="970" t="s">
        <v>13225</v>
      </c>
      <c r="D4199" s="386" t="s">
        <v>13230</v>
      </c>
      <c r="E4199" s="338" t="s">
        <v>7376</v>
      </c>
      <c r="F4199" s="1088">
        <v>5</v>
      </c>
      <c r="G4199" s="464">
        <v>3542.7</v>
      </c>
      <c r="H4199" s="752">
        <f>F4199*G4199</f>
        <v>17713.5</v>
      </c>
      <c r="I4199" s="254" t="s">
        <v>10831</v>
      </c>
      <c r="J4199" s="585" t="s">
        <v>11420</v>
      </c>
      <c r="K4199" s="811">
        <v>41989</v>
      </c>
      <c r="L4199" s="585" t="s">
        <v>5882</v>
      </c>
      <c r="M4199" s="811">
        <v>41988</v>
      </c>
      <c r="N4199" s="386" t="s">
        <v>10778</v>
      </c>
      <c r="O4199" s="1088" t="s">
        <v>13227</v>
      </c>
      <c r="Q4199" s="772"/>
      <c r="R4199" s="464">
        <v>118.09</v>
      </c>
      <c r="S4199" s="464">
        <f t="shared" si="267"/>
        <v>590.45000000000005</v>
      </c>
      <c r="U4199" s="464">
        <v>17005</v>
      </c>
      <c r="V4199" s="386" t="s">
        <v>8443</v>
      </c>
      <c r="X4199" s="1094">
        <v>41985</v>
      </c>
      <c r="Z4199" s="1110">
        <v>17005</v>
      </c>
      <c r="AA4199" s="1094">
        <v>42010</v>
      </c>
      <c r="AB4199" s="386" t="s">
        <v>13231</v>
      </c>
      <c r="AF4199" s="386" t="s">
        <v>13232</v>
      </c>
    </row>
    <row r="4200" spans="1:32" ht="15.75" customHeight="1">
      <c r="A4200" s="1235">
        <v>41955</v>
      </c>
      <c r="B4200" s="592" t="s">
        <v>11731</v>
      </c>
      <c r="C4200" s="386"/>
      <c r="D4200" s="386" t="s">
        <v>13233</v>
      </c>
      <c r="E4200" s="338" t="s">
        <v>13234</v>
      </c>
      <c r="F4200" s="1088">
        <v>50</v>
      </c>
      <c r="G4200" s="772"/>
      <c r="H4200" s="772"/>
      <c r="I4200" s="254" t="s">
        <v>13235</v>
      </c>
      <c r="J4200" s="585" t="s">
        <v>11734</v>
      </c>
      <c r="K4200" s="811">
        <v>41970</v>
      </c>
      <c r="L4200" s="585" t="s">
        <v>5882</v>
      </c>
      <c r="M4200" s="811">
        <v>41969</v>
      </c>
      <c r="N4200" s="386" t="s">
        <v>13236</v>
      </c>
      <c r="O4200" s="1088" t="s">
        <v>13237</v>
      </c>
      <c r="Q4200" s="772"/>
      <c r="R4200" s="464">
        <v>24</v>
      </c>
      <c r="S4200" s="464">
        <f>F4200*R4200</f>
        <v>1200</v>
      </c>
      <c r="U4200" s="323">
        <v>34335</v>
      </c>
      <c r="V4200" s="386" t="s">
        <v>2089</v>
      </c>
      <c r="X4200" s="1244">
        <v>41967</v>
      </c>
      <c r="Z4200" s="1245">
        <v>34335</v>
      </c>
      <c r="AA4200" s="1094">
        <v>41960</v>
      </c>
      <c r="AB4200" s="1242" t="s">
        <v>13238</v>
      </c>
      <c r="AF4200" s="386"/>
    </row>
    <row r="4201" spans="1:32" ht="15.75" customHeight="1">
      <c r="A4201" s="1235">
        <v>41955</v>
      </c>
      <c r="B4201" s="592" t="s">
        <v>11731</v>
      </c>
      <c r="C4201" s="386"/>
      <c r="D4201" s="386" t="s">
        <v>13233</v>
      </c>
      <c r="E4201" s="338" t="s">
        <v>13239</v>
      </c>
      <c r="F4201" s="386"/>
      <c r="G4201" s="772"/>
      <c r="H4201" s="386"/>
      <c r="I4201" s="254" t="s">
        <v>13235</v>
      </c>
      <c r="J4201" s="585" t="s">
        <v>13240</v>
      </c>
      <c r="K4201" s="811">
        <v>41970</v>
      </c>
      <c r="L4201" s="585" t="s">
        <v>5882</v>
      </c>
      <c r="M4201" s="811">
        <v>41969</v>
      </c>
      <c r="N4201" s="386" t="s">
        <v>13236</v>
      </c>
      <c r="O4201" s="1088" t="s">
        <v>13237</v>
      </c>
      <c r="Q4201" s="772"/>
      <c r="R4201" s="464">
        <v>25</v>
      </c>
      <c r="S4201" s="464">
        <v>25</v>
      </c>
      <c r="U4201" s="323">
        <v>0</v>
      </c>
      <c r="V4201" s="386" t="s">
        <v>2089</v>
      </c>
      <c r="X4201" s="1094"/>
      <c r="Z4201" s="1110"/>
      <c r="AA4201" s="1094">
        <v>41960</v>
      </c>
      <c r="AB4201" s="386"/>
      <c r="AF4201" s="386"/>
    </row>
    <row r="4202" spans="1:32" ht="15.75" customHeight="1">
      <c r="A4202" s="1235">
        <v>41955</v>
      </c>
      <c r="B4202" s="592" t="s">
        <v>10673</v>
      </c>
      <c r="C4202" s="970" t="s">
        <v>13241</v>
      </c>
      <c r="D4202" s="386" t="s">
        <v>13242</v>
      </c>
      <c r="E4202" s="338" t="s">
        <v>11008</v>
      </c>
      <c r="F4202" s="1088">
        <v>36</v>
      </c>
      <c r="G4202" s="464">
        <v>3014.55</v>
      </c>
      <c r="H4202" s="752">
        <f>F4202*G4202</f>
        <v>108523.8</v>
      </c>
      <c r="I4202" s="254" t="s">
        <v>10831</v>
      </c>
      <c r="J4202" s="585" t="s">
        <v>11420</v>
      </c>
      <c r="K4202" s="811">
        <v>42003</v>
      </c>
      <c r="L4202" s="585" t="s">
        <v>5882</v>
      </c>
      <c r="M4202" s="811">
        <v>41999</v>
      </c>
      <c r="N4202" s="386" t="s">
        <v>10778</v>
      </c>
      <c r="O4202" s="1088" t="s">
        <v>13243</v>
      </c>
      <c r="Q4202" s="772"/>
      <c r="R4202" s="464">
        <v>100.485</v>
      </c>
      <c r="S4202" s="464">
        <f>F4202*R4202</f>
        <v>3617.46</v>
      </c>
      <c r="U4202" s="464">
        <v>104177</v>
      </c>
      <c r="V4202" s="386" t="s">
        <v>8443</v>
      </c>
      <c r="X4202" s="1094">
        <v>41999</v>
      </c>
      <c r="Z4202" s="1110">
        <v>104177</v>
      </c>
      <c r="AA4202" s="1094">
        <v>42010</v>
      </c>
      <c r="AB4202" s="386" t="s">
        <v>13244</v>
      </c>
      <c r="AF4202" s="386" t="s">
        <v>13245</v>
      </c>
    </row>
    <row r="4203" spans="1:32" ht="15.75" customHeight="1">
      <c r="A4203" s="1235">
        <v>41956</v>
      </c>
      <c r="B4203" s="592" t="s">
        <v>10673</v>
      </c>
      <c r="C4203" s="970" t="s">
        <v>13246</v>
      </c>
      <c r="D4203" s="386" t="s">
        <v>13247</v>
      </c>
      <c r="E4203" s="338" t="s">
        <v>11470</v>
      </c>
      <c r="F4203" s="1088">
        <v>2</v>
      </c>
      <c r="G4203" s="464">
        <v>2975.7</v>
      </c>
      <c r="H4203" s="752">
        <f>F4203*G4203</f>
        <v>5951.4</v>
      </c>
      <c r="I4203" s="254" t="s">
        <v>10831</v>
      </c>
      <c r="J4203" s="585" t="s">
        <v>11420</v>
      </c>
      <c r="K4203" s="811">
        <v>41961</v>
      </c>
      <c r="L4203" s="585" t="s">
        <v>5882</v>
      </c>
      <c r="M4203" s="811">
        <v>41960</v>
      </c>
      <c r="N4203" s="386" t="s">
        <v>10778</v>
      </c>
      <c r="O4203" s="1088" t="s">
        <v>13248</v>
      </c>
      <c r="Q4203" s="772"/>
      <c r="R4203" s="323">
        <v>99.19</v>
      </c>
      <c r="S4203" s="464">
        <f>F4203*R4203</f>
        <v>198.38</v>
      </c>
      <c r="U4203" s="464">
        <v>5714</v>
      </c>
      <c r="V4203" s="386" t="s">
        <v>8443</v>
      </c>
      <c r="X4203" s="1244">
        <v>41957</v>
      </c>
      <c r="Z4203" s="1245">
        <v>9403</v>
      </c>
      <c r="AA4203" s="1094">
        <v>41976</v>
      </c>
      <c r="AB4203" s="1242" t="s">
        <v>13249</v>
      </c>
      <c r="AF4203" s="1242" t="s">
        <v>13250</v>
      </c>
    </row>
    <row r="4204" spans="1:32" ht="15.75" customHeight="1">
      <c r="A4204" s="1235">
        <v>41956</v>
      </c>
      <c r="B4204" s="592" t="s">
        <v>10673</v>
      </c>
      <c r="C4204" s="970" t="s">
        <v>13246</v>
      </c>
      <c r="D4204" s="386" t="s">
        <v>13247</v>
      </c>
      <c r="E4204" s="338" t="s">
        <v>6992</v>
      </c>
      <c r="F4204" s="1088">
        <v>1</v>
      </c>
      <c r="G4204" s="464">
        <v>3841.95</v>
      </c>
      <c r="H4204" s="752">
        <f>F4204*G4204</f>
        <v>3841.95</v>
      </c>
      <c r="I4204" s="254" t="s">
        <v>10831</v>
      </c>
      <c r="J4204" s="585" t="s">
        <v>11420</v>
      </c>
      <c r="K4204" s="811">
        <v>41961</v>
      </c>
      <c r="L4204" s="585" t="s">
        <v>5882</v>
      </c>
      <c r="M4204" s="811">
        <v>41960</v>
      </c>
      <c r="N4204" s="386" t="s">
        <v>10778</v>
      </c>
      <c r="O4204" s="1088" t="s">
        <v>13248</v>
      </c>
      <c r="Q4204" s="772"/>
      <c r="R4204" s="323">
        <v>128.065</v>
      </c>
      <c r="S4204" s="464">
        <f>F4204*R4204</f>
        <v>128.065</v>
      </c>
      <c r="U4204" s="464">
        <v>3689</v>
      </c>
      <c r="V4204" s="386" t="s">
        <v>8443</v>
      </c>
      <c r="X4204" s="1094"/>
      <c r="Z4204" s="1110"/>
      <c r="AA4204" s="1094">
        <v>41976</v>
      </c>
      <c r="AB4204" s="386"/>
      <c r="AF4204" s="386"/>
    </row>
    <row r="4205" spans="1:32" ht="15.75" customHeight="1">
      <c r="A4205" s="1235">
        <v>41956</v>
      </c>
      <c r="B4205" s="592" t="s">
        <v>11516</v>
      </c>
      <c r="C4205" s="386"/>
      <c r="D4205" s="386" t="s">
        <v>13251</v>
      </c>
      <c r="E4205" s="338" t="s">
        <v>13252</v>
      </c>
      <c r="F4205" s="1088">
        <v>2</v>
      </c>
      <c r="G4205" s="772"/>
      <c r="H4205" s="772"/>
      <c r="I4205" s="254" t="s">
        <v>10694</v>
      </c>
      <c r="J4205" s="585" t="s">
        <v>11519</v>
      </c>
      <c r="K4205" s="811">
        <v>41991</v>
      </c>
      <c r="L4205" s="585" t="s">
        <v>5882</v>
      </c>
      <c r="M4205" s="811">
        <v>41989</v>
      </c>
      <c r="N4205" s="386" t="s">
        <v>89</v>
      </c>
      <c r="O4205" s="752" t="s">
        <v>13253</v>
      </c>
      <c r="Q4205" s="464">
        <v>342.3</v>
      </c>
      <c r="R4205" s="323">
        <v>185</v>
      </c>
      <c r="S4205" s="464">
        <f t="shared" ref="S4205:S4212" si="268">R4205*F4205</f>
        <v>370</v>
      </c>
      <c r="U4205" s="772"/>
      <c r="V4205" s="386" t="s">
        <v>5896</v>
      </c>
      <c r="X4205" s="1084">
        <v>41989</v>
      </c>
      <c r="Z4205" s="1100">
        <v>10637</v>
      </c>
      <c r="AA4205" s="1094">
        <v>42013</v>
      </c>
      <c r="AB4205" s="318" t="s">
        <v>13254</v>
      </c>
      <c r="AF4205" s="386"/>
    </row>
    <row r="4206" spans="1:32" ht="15.75" customHeight="1">
      <c r="A4206" s="1235">
        <v>41960</v>
      </c>
      <c r="B4206" s="592" t="s">
        <v>10673</v>
      </c>
      <c r="C4206" s="970" t="s">
        <v>13255</v>
      </c>
      <c r="D4206" s="386" t="s">
        <v>13256</v>
      </c>
      <c r="E4206" s="338" t="s">
        <v>6404</v>
      </c>
      <c r="F4206" s="1088">
        <v>5</v>
      </c>
      <c r="G4206" s="464">
        <v>3549</v>
      </c>
      <c r="H4206" s="464">
        <f t="shared" ref="H4206:H4212" si="269">F4206*G4206</f>
        <v>17745</v>
      </c>
      <c r="I4206" s="254" t="s">
        <v>10831</v>
      </c>
      <c r="J4206" s="585" t="s">
        <v>12969</v>
      </c>
      <c r="K4206" s="811">
        <v>41968</v>
      </c>
      <c r="L4206" s="585" t="s">
        <v>5882</v>
      </c>
      <c r="M4206" s="811">
        <v>41967</v>
      </c>
      <c r="N4206" s="386" t="s">
        <v>10778</v>
      </c>
      <c r="O4206" s="1088" t="s">
        <v>13257</v>
      </c>
      <c r="Q4206" s="772"/>
      <c r="R4206" s="323">
        <v>118.3</v>
      </c>
      <c r="S4206" s="464">
        <f t="shared" si="268"/>
        <v>591.5</v>
      </c>
      <c r="U4206" s="464">
        <v>17010</v>
      </c>
      <c r="V4206" s="386" t="s">
        <v>8443</v>
      </c>
      <c r="X4206" s="1244">
        <v>41961</v>
      </c>
      <c r="Z4206" s="1245">
        <v>75215</v>
      </c>
      <c r="AA4206" s="1094">
        <v>41976</v>
      </c>
      <c r="AB4206" s="1242" t="s">
        <v>13258</v>
      </c>
      <c r="AF4206" s="1242" t="s">
        <v>13259</v>
      </c>
    </row>
    <row r="4207" spans="1:32" ht="15.75" customHeight="1">
      <c r="A4207" s="1235">
        <v>41960</v>
      </c>
      <c r="B4207" s="592" t="s">
        <v>10673</v>
      </c>
      <c r="C4207" s="970" t="s">
        <v>13255</v>
      </c>
      <c r="D4207" s="386" t="s">
        <v>13256</v>
      </c>
      <c r="E4207" s="338" t="s">
        <v>6261</v>
      </c>
      <c r="F4207" s="1088">
        <v>5</v>
      </c>
      <c r="G4207" s="464">
        <v>3727.5</v>
      </c>
      <c r="H4207" s="464">
        <f t="shared" si="269"/>
        <v>18637.5</v>
      </c>
      <c r="I4207" s="254" t="s">
        <v>10831</v>
      </c>
      <c r="J4207" s="585" t="s">
        <v>12969</v>
      </c>
      <c r="K4207" s="811">
        <v>41968</v>
      </c>
      <c r="L4207" s="585" t="s">
        <v>5882</v>
      </c>
      <c r="M4207" s="811">
        <v>41967</v>
      </c>
      <c r="N4207" s="386" t="s">
        <v>10778</v>
      </c>
      <c r="O4207" s="1088" t="s">
        <v>13257</v>
      </c>
      <c r="Q4207" s="772"/>
      <c r="R4207" s="323">
        <v>124.25</v>
      </c>
      <c r="S4207" s="464">
        <f t="shared" si="268"/>
        <v>621.25</v>
      </c>
      <c r="U4207" s="464">
        <v>18443.25</v>
      </c>
      <c r="V4207" s="386" t="s">
        <v>8443</v>
      </c>
      <c r="X4207" s="1244"/>
      <c r="Z4207" s="1245"/>
      <c r="AA4207" s="1094">
        <v>41976</v>
      </c>
      <c r="AB4207" s="1242"/>
      <c r="AF4207" s="1242"/>
    </row>
    <row r="4208" spans="1:32" ht="15.75" customHeight="1">
      <c r="A4208" s="1235">
        <v>41960</v>
      </c>
      <c r="B4208" s="592" t="s">
        <v>10673</v>
      </c>
      <c r="C4208" s="970" t="s">
        <v>13255</v>
      </c>
      <c r="D4208" s="386" t="s">
        <v>13256</v>
      </c>
      <c r="E4208" s="338" t="s">
        <v>6004</v>
      </c>
      <c r="F4208" s="1088">
        <v>4</v>
      </c>
      <c r="G4208" s="464">
        <v>4238.8500000000004</v>
      </c>
      <c r="H4208" s="464">
        <f t="shared" si="269"/>
        <v>16955.400000000001</v>
      </c>
      <c r="I4208" s="254" t="s">
        <v>10831</v>
      </c>
      <c r="J4208" s="585" t="s">
        <v>12969</v>
      </c>
      <c r="K4208" s="811">
        <v>41968</v>
      </c>
      <c r="L4208" s="585" t="s">
        <v>5882</v>
      </c>
      <c r="M4208" s="811">
        <v>41967</v>
      </c>
      <c r="N4208" s="386" t="s">
        <v>10778</v>
      </c>
      <c r="O4208" s="1088" t="s">
        <v>13257</v>
      </c>
      <c r="Q4208" s="772"/>
      <c r="R4208" s="323">
        <v>141.30000000000001</v>
      </c>
      <c r="S4208" s="464">
        <f t="shared" si="268"/>
        <v>565.20000000000005</v>
      </c>
      <c r="U4208" s="464">
        <v>16279.2</v>
      </c>
      <c r="V4208" s="386" t="s">
        <v>8443</v>
      </c>
      <c r="X4208" s="1244"/>
      <c r="Z4208" s="1245"/>
      <c r="AA4208" s="1094">
        <v>41976</v>
      </c>
      <c r="AB4208" s="1242"/>
      <c r="AF4208" s="1242"/>
    </row>
    <row r="4209" spans="1:32" ht="15.75" customHeight="1">
      <c r="A4209" s="1235">
        <v>41960</v>
      </c>
      <c r="B4209" s="592" t="s">
        <v>10673</v>
      </c>
      <c r="C4209" s="970" t="s">
        <v>13255</v>
      </c>
      <c r="D4209" s="386" t="s">
        <v>13256</v>
      </c>
      <c r="E4209" s="338" t="s">
        <v>6813</v>
      </c>
      <c r="F4209" s="1088">
        <v>2</v>
      </c>
      <c r="G4209" s="464">
        <v>1623.3</v>
      </c>
      <c r="H4209" s="464">
        <f t="shared" si="269"/>
        <v>3246.6</v>
      </c>
      <c r="I4209" s="254" t="s">
        <v>10831</v>
      </c>
      <c r="J4209" s="585" t="s">
        <v>12969</v>
      </c>
      <c r="K4209" s="811">
        <v>41968</v>
      </c>
      <c r="L4209" s="585" t="s">
        <v>5882</v>
      </c>
      <c r="M4209" s="811">
        <v>41967</v>
      </c>
      <c r="N4209" s="386" t="s">
        <v>10778</v>
      </c>
      <c r="O4209" s="1088" t="s">
        <v>13257</v>
      </c>
      <c r="Q4209" s="772"/>
      <c r="R4209" s="323">
        <v>54.11</v>
      </c>
      <c r="S4209" s="464">
        <f t="shared" si="268"/>
        <v>108.22</v>
      </c>
      <c r="U4209" s="464">
        <v>3116.4</v>
      </c>
      <c r="V4209" s="386" t="s">
        <v>8443</v>
      </c>
      <c r="X4209" s="1244"/>
      <c r="Z4209" s="1245"/>
      <c r="AA4209" s="1094">
        <v>41976</v>
      </c>
      <c r="AB4209" s="1242"/>
      <c r="AF4209" s="1242"/>
    </row>
    <row r="4210" spans="1:32" ht="15.75" customHeight="1">
      <c r="A4210" s="1235">
        <v>41960</v>
      </c>
      <c r="B4210" s="592" t="s">
        <v>10673</v>
      </c>
      <c r="C4210" s="970" t="s">
        <v>13255</v>
      </c>
      <c r="D4210" s="386" t="s">
        <v>13256</v>
      </c>
      <c r="E4210" s="338" t="s">
        <v>3515</v>
      </c>
      <c r="F4210" s="1088">
        <v>10</v>
      </c>
      <c r="G4210" s="464">
        <v>1352.4</v>
      </c>
      <c r="H4210" s="464">
        <f t="shared" si="269"/>
        <v>13524</v>
      </c>
      <c r="I4210" s="254" t="s">
        <v>10831</v>
      </c>
      <c r="J4210" s="585" t="s">
        <v>12969</v>
      </c>
      <c r="K4210" s="811">
        <v>41968</v>
      </c>
      <c r="L4210" s="585" t="s">
        <v>5882</v>
      </c>
      <c r="M4210" s="811">
        <v>41967</v>
      </c>
      <c r="N4210" s="386" t="s">
        <v>10778</v>
      </c>
      <c r="O4210" s="1088" t="s">
        <v>13257</v>
      </c>
      <c r="Q4210" s="772"/>
      <c r="R4210" s="323">
        <v>45.08</v>
      </c>
      <c r="S4210" s="464">
        <f t="shared" si="268"/>
        <v>450.79999999999995</v>
      </c>
      <c r="U4210" s="464">
        <v>12988.5</v>
      </c>
      <c r="V4210" s="386" t="s">
        <v>8443</v>
      </c>
      <c r="X4210" s="1244"/>
      <c r="Z4210" s="1245"/>
      <c r="AA4210" s="1094">
        <v>41976</v>
      </c>
      <c r="AB4210" s="1242"/>
      <c r="AF4210" s="1242"/>
    </row>
    <row r="4211" spans="1:32" ht="15.75" customHeight="1">
      <c r="A4211" s="1235">
        <v>41960</v>
      </c>
      <c r="B4211" s="592" t="s">
        <v>10673</v>
      </c>
      <c r="C4211" s="970" t="s">
        <v>13255</v>
      </c>
      <c r="D4211" s="386" t="s">
        <v>13256</v>
      </c>
      <c r="E4211" s="338" t="s">
        <v>6992</v>
      </c>
      <c r="F4211" s="1088">
        <v>2</v>
      </c>
      <c r="G4211" s="464">
        <v>3841.95</v>
      </c>
      <c r="H4211" s="464">
        <f t="shared" si="269"/>
        <v>7683.9</v>
      </c>
      <c r="I4211" s="254" t="s">
        <v>10831</v>
      </c>
      <c r="J4211" s="585" t="s">
        <v>12969</v>
      </c>
      <c r="K4211" s="811">
        <v>41968</v>
      </c>
      <c r="L4211" s="585" t="s">
        <v>5882</v>
      </c>
      <c r="M4211" s="811">
        <v>41967</v>
      </c>
      <c r="N4211" s="386" t="s">
        <v>10778</v>
      </c>
      <c r="O4211" s="1088" t="s">
        <v>13257</v>
      </c>
      <c r="Q4211" s="772"/>
      <c r="R4211" s="323">
        <v>128.07</v>
      </c>
      <c r="S4211" s="464">
        <f t="shared" si="268"/>
        <v>256.14</v>
      </c>
      <c r="U4211" s="464">
        <v>7377.3</v>
      </c>
      <c r="V4211" s="386" t="s">
        <v>8443</v>
      </c>
      <c r="X4211" s="1094"/>
      <c r="Z4211" s="1110"/>
      <c r="AA4211" s="1094">
        <v>41976</v>
      </c>
      <c r="AB4211" s="386"/>
      <c r="AF4211" s="386"/>
    </row>
    <row r="4212" spans="1:32" ht="15.75" customHeight="1">
      <c r="A4212" s="1235">
        <v>41960</v>
      </c>
      <c r="B4212" s="592" t="s">
        <v>10673</v>
      </c>
      <c r="C4212" s="970" t="s">
        <v>13255</v>
      </c>
      <c r="D4212" s="386" t="s">
        <v>13260</v>
      </c>
      <c r="E4212" s="338" t="s">
        <v>3510</v>
      </c>
      <c r="F4212" s="1088">
        <v>5</v>
      </c>
      <c r="G4212" s="464">
        <v>4152.75</v>
      </c>
      <c r="H4212" s="464">
        <f t="shared" si="269"/>
        <v>20763.75</v>
      </c>
      <c r="I4212" s="254" t="s">
        <v>10831</v>
      </c>
      <c r="J4212" s="585" t="s">
        <v>11420</v>
      </c>
      <c r="K4212" s="811">
        <v>41989</v>
      </c>
      <c r="L4212" s="585" t="s">
        <v>5882</v>
      </c>
      <c r="M4212" s="811">
        <v>41988</v>
      </c>
      <c r="N4212" s="386" t="s">
        <v>10778</v>
      </c>
      <c r="O4212" s="1088" t="s">
        <v>13261</v>
      </c>
      <c r="Q4212" s="772"/>
      <c r="R4212" s="323">
        <v>138.43</v>
      </c>
      <c r="S4212" s="464">
        <f t="shared" si="268"/>
        <v>692.15000000000009</v>
      </c>
      <c r="U4212" s="464">
        <v>19913.25</v>
      </c>
      <c r="V4212" s="386" t="s">
        <v>8443</v>
      </c>
      <c r="X4212" s="1094">
        <v>41985</v>
      </c>
      <c r="Z4212" s="1110">
        <v>19913</v>
      </c>
      <c r="AA4212" s="1094">
        <v>42010</v>
      </c>
      <c r="AB4212" s="386" t="s">
        <v>13262</v>
      </c>
      <c r="AF4212" s="386" t="s">
        <v>13232</v>
      </c>
    </row>
    <row r="4213" spans="1:32" ht="15.75" customHeight="1">
      <c r="A4213" s="1235">
        <v>41961</v>
      </c>
      <c r="B4213" s="592" t="s">
        <v>11516</v>
      </c>
      <c r="C4213" s="386"/>
      <c r="D4213" s="386" t="s">
        <v>13263</v>
      </c>
      <c r="E4213" s="338" t="s">
        <v>13264</v>
      </c>
      <c r="F4213" s="1088">
        <v>1</v>
      </c>
      <c r="G4213" s="772"/>
      <c r="H4213" s="772"/>
      <c r="I4213" s="254" t="s">
        <v>10694</v>
      </c>
      <c r="J4213" s="585" t="s">
        <v>11519</v>
      </c>
      <c r="K4213" s="811">
        <v>41995</v>
      </c>
      <c r="L4213" s="585" t="s">
        <v>5882</v>
      </c>
      <c r="M4213" s="811">
        <v>41992</v>
      </c>
      <c r="N4213" s="386" t="s">
        <v>89</v>
      </c>
      <c r="O4213" s="752" t="s">
        <v>13265</v>
      </c>
      <c r="Q4213" s="464">
        <v>259.35000000000002</v>
      </c>
      <c r="R4213" s="323">
        <v>280</v>
      </c>
      <c r="S4213" s="464">
        <v>280</v>
      </c>
      <c r="U4213" s="772"/>
      <c r="V4213" s="386" t="s">
        <v>5896</v>
      </c>
      <c r="X4213" s="1084">
        <v>41992</v>
      </c>
      <c r="Z4213" s="1100">
        <v>19512</v>
      </c>
      <c r="AA4213" s="1094">
        <v>42013</v>
      </c>
      <c r="AB4213" s="318" t="s">
        <v>13266</v>
      </c>
      <c r="AF4213" s="386"/>
    </row>
    <row r="4214" spans="1:32" ht="15.75" customHeight="1">
      <c r="A4214" s="1235">
        <v>41961</v>
      </c>
      <c r="B4214" s="592" t="s">
        <v>11516</v>
      </c>
      <c r="C4214" s="386"/>
      <c r="D4214" s="386" t="s">
        <v>13263</v>
      </c>
      <c r="E4214" s="338" t="s">
        <v>13267</v>
      </c>
      <c r="F4214" s="1088">
        <v>1</v>
      </c>
      <c r="G4214" s="772"/>
      <c r="H4214" s="772"/>
      <c r="I4214" s="254" t="s">
        <v>10694</v>
      </c>
      <c r="J4214" s="585" t="s">
        <v>11519</v>
      </c>
      <c r="K4214" s="811">
        <v>41995</v>
      </c>
      <c r="L4214" s="585" t="s">
        <v>5882</v>
      </c>
      <c r="M4214" s="811">
        <v>41992</v>
      </c>
      <c r="N4214" s="386" t="s">
        <v>89</v>
      </c>
      <c r="O4214" s="752" t="s">
        <v>13265</v>
      </c>
      <c r="Q4214" s="464">
        <v>21</v>
      </c>
      <c r="R4214" s="323">
        <v>23</v>
      </c>
      <c r="S4214" s="464">
        <v>23</v>
      </c>
      <c r="U4214" s="772"/>
      <c r="V4214" s="386" t="s">
        <v>5896</v>
      </c>
      <c r="X4214" s="752" t="s">
        <v>8588</v>
      </c>
      <c r="Z4214" s="752" t="s">
        <v>8588</v>
      </c>
      <c r="AA4214" s="1094">
        <v>42013</v>
      </c>
      <c r="AB4214" s="318" t="s">
        <v>13266</v>
      </c>
      <c r="AF4214" s="386"/>
    </row>
    <row r="4215" spans="1:32" ht="15.75" customHeight="1">
      <c r="A4215" s="1235">
        <v>41961</v>
      </c>
      <c r="B4215" s="592" t="s">
        <v>11516</v>
      </c>
      <c r="C4215" s="386"/>
      <c r="D4215" s="386" t="s">
        <v>13263</v>
      </c>
      <c r="E4215" s="338" t="s">
        <v>13268</v>
      </c>
      <c r="F4215" s="1088">
        <v>1</v>
      </c>
      <c r="G4215" s="772"/>
      <c r="H4215" s="772"/>
      <c r="I4215" s="254" t="s">
        <v>10694</v>
      </c>
      <c r="J4215" s="585" t="s">
        <v>11519</v>
      </c>
      <c r="K4215" s="811">
        <v>41995</v>
      </c>
      <c r="L4215" s="585" t="s">
        <v>5882</v>
      </c>
      <c r="M4215" s="811">
        <v>41992</v>
      </c>
      <c r="N4215" s="386" t="s">
        <v>89</v>
      </c>
      <c r="O4215" s="752" t="s">
        <v>13265</v>
      </c>
      <c r="Q4215" s="464">
        <v>347.55</v>
      </c>
      <c r="R4215" s="323">
        <v>376</v>
      </c>
      <c r="S4215" s="464">
        <v>376</v>
      </c>
      <c r="U4215" s="772"/>
      <c r="V4215" s="386" t="s">
        <v>5896</v>
      </c>
      <c r="X4215" s="752" t="s">
        <v>8588</v>
      </c>
      <c r="Z4215" s="752" t="s">
        <v>8588</v>
      </c>
      <c r="AA4215" s="1094">
        <v>42013</v>
      </c>
      <c r="AB4215" s="318" t="s">
        <v>13266</v>
      </c>
      <c r="AF4215" s="386"/>
    </row>
    <row r="4216" spans="1:32" ht="15.75" customHeight="1">
      <c r="A4216" s="1235">
        <v>41961</v>
      </c>
      <c r="B4216" s="592" t="s">
        <v>8502</v>
      </c>
      <c r="C4216" s="970" t="s">
        <v>13269</v>
      </c>
      <c r="D4216" s="386" t="s">
        <v>13270</v>
      </c>
      <c r="E4216" s="338" t="s">
        <v>13271</v>
      </c>
      <c r="F4216" s="1088">
        <v>2</v>
      </c>
      <c r="G4216" s="772"/>
      <c r="H4216" s="772"/>
      <c r="I4216" s="254" t="s">
        <v>10831</v>
      </c>
      <c r="J4216" s="585" t="s">
        <v>89</v>
      </c>
      <c r="K4216" s="811">
        <v>41967</v>
      </c>
      <c r="L4216" s="585" t="s">
        <v>89</v>
      </c>
      <c r="M4216" s="386"/>
      <c r="N4216" s="386" t="s">
        <v>89</v>
      </c>
      <c r="O4216" s="752" t="s">
        <v>13272</v>
      </c>
      <c r="Q4216" s="464">
        <v>184.8</v>
      </c>
      <c r="R4216" s="323">
        <v>109.2</v>
      </c>
      <c r="S4216" s="464">
        <f>R4216*F4216</f>
        <v>218.4</v>
      </c>
      <c r="U4216" s="772"/>
      <c r="V4216" s="386" t="s">
        <v>5896</v>
      </c>
      <c r="X4216" s="1084">
        <v>41967</v>
      </c>
      <c r="Z4216" s="1100">
        <v>5655</v>
      </c>
      <c r="AA4216" s="1094">
        <v>41976</v>
      </c>
      <c r="AB4216" s="386" t="s">
        <v>13273</v>
      </c>
      <c r="AF4216" s="386" t="s">
        <v>13274</v>
      </c>
    </row>
    <row r="4217" spans="1:32" ht="15.75" customHeight="1">
      <c r="A4217" s="1235">
        <v>41962</v>
      </c>
      <c r="B4217" s="592" t="s">
        <v>11731</v>
      </c>
      <c r="C4217" s="386"/>
      <c r="D4217" s="386" t="s">
        <v>13275</v>
      </c>
      <c r="E4217" s="338" t="s">
        <v>13276</v>
      </c>
      <c r="F4217" s="1088">
        <v>20</v>
      </c>
      <c r="G4217" s="772"/>
      <c r="H4217" s="772"/>
      <c r="I4217" s="254" t="s">
        <v>11717</v>
      </c>
      <c r="J4217" s="585" t="s">
        <v>13277</v>
      </c>
      <c r="K4217" s="811">
        <v>41970</v>
      </c>
      <c r="L4217" s="585" t="s">
        <v>5882</v>
      </c>
      <c r="M4217" s="811">
        <v>41965</v>
      </c>
      <c r="N4217" s="386" t="s">
        <v>10722</v>
      </c>
      <c r="O4217" s="1088" t="s">
        <v>13278</v>
      </c>
      <c r="Q4217" s="772"/>
      <c r="R4217" s="323">
        <v>34</v>
      </c>
      <c r="S4217" s="464">
        <f>R4217*F4217</f>
        <v>680</v>
      </c>
      <c r="U4217" s="323">
        <v>19093</v>
      </c>
      <c r="V4217" s="386" t="s">
        <v>12782</v>
      </c>
      <c r="X4217" s="1244">
        <v>41964</v>
      </c>
      <c r="Z4217" s="1245">
        <v>19093</v>
      </c>
      <c r="AA4217" s="1094">
        <v>41963</v>
      </c>
      <c r="AB4217" s="1242" t="s">
        <v>13238</v>
      </c>
      <c r="AF4217" s="386"/>
    </row>
    <row r="4218" spans="1:32" ht="15.75" customHeight="1">
      <c r="A4218" s="1235">
        <v>41962</v>
      </c>
      <c r="B4218" s="592" t="s">
        <v>11731</v>
      </c>
      <c r="C4218" s="386"/>
      <c r="D4218" s="386" t="s">
        <v>13275</v>
      </c>
      <c r="E4218" s="338" t="s">
        <v>13239</v>
      </c>
      <c r="F4218" s="1088">
        <v>1</v>
      </c>
      <c r="G4218" s="772"/>
      <c r="H4218" s="772"/>
      <c r="I4218" s="254" t="s">
        <v>11717</v>
      </c>
      <c r="J4218" s="585" t="s">
        <v>13279</v>
      </c>
      <c r="K4218" s="811">
        <v>41970</v>
      </c>
      <c r="L4218" s="585" t="s">
        <v>5882</v>
      </c>
      <c r="M4218" s="811">
        <v>41965</v>
      </c>
      <c r="N4218" s="386" t="s">
        <v>10722</v>
      </c>
      <c r="O4218" s="1088" t="s">
        <v>13278</v>
      </c>
      <c r="Q4218" s="772"/>
      <c r="R4218" s="323">
        <v>25</v>
      </c>
      <c r="S4218" s="464">
        <v>25</v>
      </c>
      <c r="U4218" s="323">
        <v>0</v>
      </c>
      <c r="V4218" s="386"/>
      <c r="X4218" s="1094"/>
      <c r="Z4218" s="1110"/>
      <c r="AA4218" s="1094">
        <v>41963</v>
      </c>
      <c r="AB4218" s="386"/>
      <c r="AF4218" s="386"/>
    </row>
    <row r="4219" spans="1:32" ht="15.75" customHeight="1">
      <c r="A4219" s="1253">
        <v>41963</v>
      </c>
      <c r="B4219" s="592" t="s">
        <v>10673</v>
      </c>
      <c r="C4219" s="263" t="s">
        <v>13280</v>
      </c>
      <c r="D4219" s="318" t="s">
        <v>13281</v>
      </c>
      <c r="E4219" s="338" t="s">
        <v>6404</v>
      </c>
      <c r="F4219" s="752">
        <v>5</v>
      </c>
      <c r="G4219" s="464">
        <v>3549</v>
      </c>
      <c r="H4219" s="464">
        <f>F4219*G4219</f>
        <v>17745</v>
      </c>
      <c r="I4219" s="254" t="s">
        <v>10831</v>
      </c>
      <c r="J4219" s="254" t="s">
        <v>12969</v>
      </c>
      <c r="K4219" s="811">
        <v>41968</v>
      </c>
      <c r="L4219" s="254" t="s">
        <v>5882</v>
      </c>
      <c r="M4219" s="811">
        <v>41967</v>
      </c>
      <c r="N4219" s="318" t="s">
        <v>10778</v>
      </c>
      <c r="O4219" s="752" t="s">
        <v>13282</v>
      </c>
      <c r="Q4219" s="772"/>
      <c r="R4219" s="464">
        <v>118.3</v>
      </c>
      <c r="S4219" s="464">
        <f>R4219*F4219</f>
        <v>591.5</v>
      </c>
      <c r="U4219" s="464">
        <v>17010</v>
      </c>
      <c r="V4219" s="318" t="s">
        <v>8443</v>
      </c>
      <c r="X4219" s="1237">
        <v>41963</v>
      </c>
      <c r="Z4219" s="1238">
        <v>19088</v>
      </c>
      <c r="AA4219" s="1084">
        <v>41976</v>
      </c>
      <c r="AB4219" s="1239" t="s">
        <v>13283</v>
      </c>
      <c r="AF4219" s="1239" t="s">
        <v>13259</v>
      </c>
    </row>
    <row r="4220" spans="1:32" ht="15.75" customHeight="1">
      <c r="A4220" s="1253">
        <v>41963</v>
      </c>
      <c r="B4220" s="592" t="s">
        <v>10673</v>
      </c>
      <c r="C4220" s="263" t="s">
        <v>13280</v>
      </c>
      <c r="D4220" s="318" t="s">
        <v>13281</v>
      </c>
      <c r="E4220" s="338" t="s">
        <v>11081</v>
      </c>
      <c r="F4220" s="752">
        <v>1</v>
      </c>
      <c r="G4220" s="464">
        <f>2062*1.05</f>
        <v>2165.1</v>
      </c>
      <c r="H4220" s="464">
        <f>F4220*G4220</f>
        <v>2165.1</v>
      </c>
      <c r="I4220" s="254" t="s">
        <v>10831</v>
      </c>
      <c r="J4220" s="254" t="s">
        <v>12969</v>
      </c>
      <c r="K4220" s="811">
        <v>41968</v>
      </c>
      <c r="L4220" s="254" t="s">
        <v>5882</v>
      </c>
      <c r="M4220" s="811">
        <v>41967</v>
      </c>
      <c r="N4220" s="318" t="s">
        <v>10778</v>
      </c>
      <c r="O4220" s="752" t="s">
        <v>13282</v>
      </c>
      <c r="Q4220" s="772"/>
      <c r="R4220" s="464">
        <v>72.17</v>
      </c>
      <c r="S4220" s="464">
        <f>R4220*F4220</f>
        <v>72.17</v>
      </c>
      <c r="U4220" s="464">
        <v>2078</v>
      </c>
      <c r="V4220" s="318" t="s">
        <v>8443</v>
      </c>
      <c r="X4220" s="1084"/>
      <c r="Z4220" s="1100"/>
      <c r="AA4220" s="1084">
        <v>41976</v>
      </c>
      <c r="AB4220" s="318"/>
      <c r="AF4220" s="318"/>
    </row>
    <row r="4221" spans="1:32" ht="15.75" customHeight="1">
      <c r="A4221" s="1235">
        <v>41963</v>
      </c>
      <c r="B4221" s="592" t="s">
        <v>10673</v>
      </c>
      <c r="C4221" s="970" t="s">
        <v>13284</v>
      </c>
      <c r="D4221" s="386" t="s">
        <v>13285</v>
      </c>
      <c r="E4221" s="338" t="s">
        <v>11317</v>
      </c>
      <c r="F4221" s="1088">
        <v>10</v>
      </c>
      <c r="G4221" s="464">
        <v>5449.5</v>
      </c>
      <c r="H4221" s="464">
        <f>F4221*G4221</f>
        <v>54495</v>
      </c>
      <c r="I4221" s="254" t="s">
        <v>10831</v>
      </c>
      <c r="J4221" s="585" t="s">
        <v>12969</v>
      </c>
      <c r="K4221" s="811">
        <v>41982</v>
      </c>
      <c r="L4221" s="585" t="s">
        <v>5882</v>
      </c>
      <c r="M4221" s="811">
        <v>41981</v>
      </c>
      <c r="N4221" s="386" t="s">
        <v>10778</v>
      </c>
      <c r="O4221" s="1088" t="s">
        <v>13286</v>
      </c>
      <c r="Q4221" s="772"/>
      <c r="R4221" s="323">
        <v>181.65</v>
      </c>
      <c r="S4221" s="464">
        <f>R4221*F4221</f>
        <v>1816.5</v>
      </c>
      <c r="U4221" s="464">
        <v>52164</v>
      </c>
      <c r="V4221" s="386" t="s">
        <v>8443</v>
      </c>
      <c r="X4221" s="1094">
        <v>41978</v>
      </c>
      <c r="Z4221" s="1110">
        <v>52164</v>
      </c>
      <c r="AA4221" s="1094">
        <v>42010</v>
      </c>
      <c r="AB4221" s="386" t="s">
        <v>13287</v>
      </c>
      <c r="AF4221" s="386" t="s">
        <v>13288</v>
      </c>
    </row>
    <row r="4222" spans="1:32" ht="15.75" customHeight="1">
      <c r="A4222" s="1235">
        <v>41964</v>
      </c>
      <c r="B4222" s="592" t="s">
        <v>11516</v>
      </c>
      <c r="C4222" s="386"/>
      <c r="D4222" s="386" t="s">
        <v>13289</v>
      </c>
      <c r="E4222" s="338" t="s">
        <v>13290</v>
      </c>
      <c r="F4222" s="1088">
        <v>16</v>
      </c>
      <c r="G4222" s="772"/>
      <c r="H4222" s="772"/>
      <c r="I4222" s="254" t="s">
        <v>10694</v>
      </c>
      <c r="J4222" s="585" t="s">
        <v>11519</v>
      </c>
      <c r="K4222" s="811">
        <v>41991</v>
      </c>
      <c r="L4222" s="585" t="s">
        <v>5882</v>
      </c>
      <c r="M4222" s="811">
        <v>41990</v>
      </c>
      <c r="N4222" s="386" t="s">
        <v>89</v>
      </c>
      <c r="O4222" s="752" t="s">
        <v>13291</v>
      </c>
      <c r="Q4222" s="464">
        <v>6703.2</v>
      </c>
      <c r="R4222" s="323">
        <v>462</v>
      </c>
      <c r="S4222" s="464">
        <f>R4222*F4222</f>
        <v>7392</v>
      </c>
      <c r="U4222" s="772"/>
      <c r="V4222" s="386" t="s">
        <v>5896</v>
      </c>
      <c r="X4222" s="1084">
        <v>41990</v>
      </c>
      <c r="Z4222" s="1100">
        <v>208302</v>
      </c>
      <c r="AA4222" s="1094">
        <v>42012</v>
      </c>
      <c r="AB4222" s="318" t="s">
        <v>13254</v>
      </c>
      <c r="AF4222" s="386"/>
    </row>
    <row r="4223" spans="1:32" ht="15.75" customHeight="1">
      <c r="A4223" s="1235">
        <v>41964</v>
      </c>
      <c r="B4223" s="592" t="s">
        <v>11516</v>
      </c>
      <c r="C4223" s="386"/>
      <c r="D4223" s="386" t="s">
        <v>13289</v>
      </c>
      <c r="E4223" s="338" t="s">
        <v>13292</v>
      </c>
      <c r="F4223" s="1088">
        <v>14</v>
      </c>
      <c r="G4223" s="772"/>
      <c r="H4223" s="772"/>
      <c r="I4223" s="254" t="s">
        <v>10694</v>
      </c>
      <c r="J4223" s="585" t="s">
        <v>11519</v>
      </c>
      <c r="K4223" s="811">
        <v>41991</v>
      </c>
      <c r="L4223" s="585" t="s">
        <v>5882</v>
      </c>
      <c r="M4223" s="811">
        <v>41983</v>
      </c>
      <c r="N4223" s="386" t="s">
        <v>13293</v>
      </c>
      <c r="O4223" s="1088" t="s">
        <v>13291</v>
      </c>
      <c r="Q4223" s="772"/>
      <c r="R4223" s="323">
        <v>46</v>
      </c>
      <c r="S4223" s="464">
        <f>R4223*F4223</f>
        <v>644</v>
      </c>
      <c r="U4223" s="464">
        <v>17640</v>
      </c>
      <c r="V4223" s="263" t="s">
        <v>2413</v>
      </c>
      <c r="X4223" s="1094">
        <v>41976</v>
      </c>
      <c r="Z4223" s="1110">
        <v>17640</v>
      </c>
      <c r="AA4223" s="1094">
        <v>42047</v>
      </c>
      <c r="AB4223" s="318" t="s">
        <v>13254</v>
      </c>
      <c r="AF4223" s="386"/>
    </row>
    <row r="4224" spans="1:32" ht="15.75" customHeight="1">
      <c r="A4224" s="1235">
        <v>41964</v>
      </c>
      <c r="B4224" s="592" t="s">
        <v>10959</v>
      </c>
      <c r="C4224" s="970">
        <v>3100044992</v>
      </c>
      <c r="D4224" s="386" t="s">
        <v>13294</v>
      </c>
      <c r="E4224" s="338" t="s">
        <v>13295</v>
      </c>
      <c r="F4224" s="1088">
        <v>2</v>
      </c>
      <c r="G4224" s="772"/>
      <c r="H4224" s="772"/>
      <c r="I4224" s="254" t="s">
        <v>10694</v>
      </c>
      <c r="J4224" s="585" t="s">
        <v>89</v>
      </c>
      <c r="K4224" s="811">
        <v>41977</v>
      </c>
      <c r="L4224" s="585" t="s">
        <v>89</v>
      </c>
      <c r="M4224" s="386"/>
      <c r="N4224" s="386" t="s">
        <v>89</v>
      </c>
      <c r="O4224" s="752" t="s">
        <v>13296</v>
      </c>
      <c r="Q4224" s="464">
        <v>160.34</v>
      </c>
      <c r="R4224" s="323">
        <v>100.8</v>
      </c>
      <c r="S4224" s="464">
        <f>F4224*R4224</f>
        <v>201.6</v>
      </c>
      <c r="U4224" s="772"/>
      <c r="V4224" s="386" t="s">
        <v>5896</v>
      </c>
      <c r="X4224" s="1237">
        <v>41977</v>
      </c>
      <c r="Z4224" s="1238">
        <v>7925</v>
      </c>
      <c r="AA4224" s="1094">
        <v>42013</v>
      </c>
      <c r="AB4224" s="1242" t="s">
        <v>13297</v>
      </c>
      <c r="AF4224" s="1242" t="s">
        <v>13298</v>
      </c>
    </row>
    <row r="4225" spans="1:32" ht="15.75" customHeight="1">
      <c r="A4225" s="1235">
        <v>41964</v>
      </c>
      <c r="B4225" s="592" t="s">
        <v>10959</v>
      </c>
      <c r="C4225" s="970">
        <v>3100044992</v>
      </c>
      <c r="D4225" s="386" t="s">
        <v>13294</v>
      </c>
      <c r="E4225" s="338" t="s">
        <v>13299</v>
      </c>
      <c r="F4225" s="1088">
        <v>2</v>
      </c>
      <c r="G4225" s="772"/>
      <c r="H4225" s="772"/>
      <c r="I4225" s="254" t="s">
        <v>10694</v>
      </c>
      <c r="J4225" s="585" t="s">
        <v>89</v>
      </c>
      <c r="K4225" s="811">
        <v>41977</v>
      </c>
      <c r="L4225" s="585" t="s">
        <v>89</v>
      </c>
      <c r="M4225" s="386"/>
      <c r="N4225" s="386" t="s">
        <v>89</v>
      </c>
      <c r="O4225" s="752" t="s">
        <v>13296</v>
      </c>
      <c r="Q4225" s="464">
        <v>96.6</v>
      </c>
      <c r="R4225" s="323">
        <v>54.6</v>
      </c>
      <c r="S4225" s="464">
        <f>F4225*R4225</f>
        <v>109.2</v>
      </c>
      <c r="U4225" s="772"/>
      <c r="V4225" s="386" t="s">
        <v>5896</v>
      </c>
      <c r="X4225" s="1084"/>
      <c r="Z4225" s="1100"/>
      <c r="AA4225" s="1094">
        <v>42013</v>
      </c>
      <c r="AB4225" s="386"/>
      <c r="AF4225" s="386"/>
    </row>
    <row r="4226" spans="1:32" ht="15.75" customHeight="1">
      <c r="A4226" s="1235">
        <v>41968</v>
      </c>
      <c r="B4226" s="592" t="s">
        <v>10673</v>
      </c>
      <c r="C4226" s="970" t="s">
        <v>13300</v>
      </c>
      <c r="D4226" s="386" t="s">
        <v>13301</v>
      </c>
      <c r="E4226" s="338" t="s">
        <v>11167</v>
      </c>
      <c r="F4226" s="1088">
        <v>1</v>
      </c>
      <c r="G4226" s="464">
        <v>6576.15</v>
      </c>
      <c r="H4226" s="1100">
        <f>F4226*G4226</f>
        <v>6576.15</v>
      </c>
      <c r="I4226" s="254" t="s">
        <v>10831</v>
      </c>
      <c r="J4226" s="585" t="s">
        <v>11420</v>
      </c>
      <c r="K4226" s="811">
        <v>41970</v>
      </c>
      <c r="L4226" s="585" t="s">
        <v>8971</v>
      </c>
      <c r="M4226" s="811">
        <v>41969</v>
      </c>
      <c r="N4226" s="386" t="s">
        <v>10778</v>
      </c>
      <c r="O4226" s="1088" t="s">
        <v>13302</v>
      </c>
      <c r="Q4226" s="772"/>
      <c r="R4226" s="323">
        <v>219.20500000000001</v>
      </c>
      <c r="S4226" s="464">
        <f>F4226*R4226</f>
        <v>219.20500000000001</v>
      </c>
      <c r="U4226" s="464">
        <v>6313</v>
      </c>
      <c r="V4226" s="386" t="s">
        <v>8443</v>
      </c>
      <c r="X4226" s="1094">
        <v>41969</v>
      </c>
      <c r="Z4226" s="1110">
        <v>6313</v>
      </c>
      <c r="AA4226" s="1094">
        <v>42010</v>
      </c>
      <c r="AB4226" s="386" t="s">
        <v>13303</v>
      </c>
      <c r="AF4226" s="386" t="s">
        <v>13304</v>
      </c>
    </row>
    <row r="4227" spans="1:32" ht="15.75" customHeight="1">
      <c r="A4227" s="1235">
        <v>41970</v>
      </c>
      <c r="B4227" s="592" t="s">
        <v>11516</v>
      </c>
      <c r="C4227" s="386"/>
      <c r="D4227" s="386" t="s">
        <v>13305</v>
      </c>
      <c r="E4227" s="338" t="s">
        <v>13306</v>
      </c>
      <c r="F4227" s="1088">
        <v>1</v>
      </c>
      <c r="G4227" s="772"/>
      <c r="H4227" s="772"/>
      <c r="I4227" s="254" t="s">
        <v>10694</v>
      </c>
      <c r="J4227" s="585" t="s">
        <v>11519</v>
      </c>
      <c r="K4227" s="811">
        <v>41991</v>
      </c>
      <c r="L4227" s="585" t="s">
        <v>5882</v>
      </c>
      <c r="M4227" s="811">
        <v>41988</v>
      </c>
      <c r="N4227" s="386" t="s">
        <v>89</v>
      </c>
      <c r="O4227" s="1088" t="s">
        <v>13307</v>
      </c>
      <c r="Q4227" s="464">
        <v>210</v>
      </c>
      <c r="R4227" s="323">
        <v>241</v>
      </c>
      <c r="S4227" s="464">
        <f t="shared" ref="S4227:S4243" si="270">R4227*F4227</f>
        <v>241</v>
      </c>
      <c r="U4227" s="772"/>
      <c r="V4227" s="386" t="s">
        <v>5896</v>
      </c>
      <c r="X4227" s="1084">
        <v>41988</v>
      </c>
      <c r="Z4227" s="1100">
        <v>6526</v>
      </c>
      <c r="AA4227" s="1094">
        <v>42013</v>
      </c>
      <c r="AB4227" s="318" t="s">
        <v>13254</v>
      </c>
      <c r="AF4227" s="386"/>
    </row>
    <row r="4228" spans="1:32" ht="15.75" customHeight="1">
      <c r="A4228" s="1235">
        <v>41970</v>
      </c>
      <c r="B4228" s="592" t="s">
        <v>10673</v>
      </c>
      <c r="C4228" s="970" t="s">
        <v>13308</v>
      </c>
      <c r="D4228" s="386" t="s">
        <v>13309</v>
      </c>
      <c r="E4228" s="338" t="s">
        <v>11425</v>
      </c>
      <c r="F4228" s="1088">
        <v>1</v>
      </c>
      <c r="G4228" s="464">
        <v>8865.15</v>
      </c>
      <c r="H4228" s="1100">
        <f>F4228*G4228</f>
        <v>8865.15</v>
      </c>
      <c r="I4228" s="254" t="s">
        <v>10831</v>
      </c>
      <c r="J4228" s="585" t="s">
        <v>11420</v>
      </c>
      <c r="K4228" s="811">
        <v>41975</v>
      </c>
      <c r="L4228" s="585" t="s">
        <v>5882</v>
      </c>
      <c r="M4228" s="811">
        <v>41974</v>
      </c>
      <c r="N4228" s="386" t="s">
        <v>10778</v>
      </c>
      <c r="O4228" s="1088" t="s">
        <v>13310</v>
      </c>
      <c r="Q4228" s="772"/>
      <c r="R4228" s="323">
        <v>295.51</v>
      </c>
      <c r="S4228" s="464">
        <f t="shared" si="270"/>
        <v>295.51</v>
      </c>
      <c r="U4228" s="464">
        <v>8511.2999999999993</v>
      </c>
      <c r="V4228" s="386" t="s">
        <v>8443</v>
      </c>
      <c r="X4228" s="1244">
        <v>41974</v>
      </c>
      <c r="Z4228" s="1245">
        <v>22383</v>
      </c>
      <c r="AA4228" s="1094">
        <v>42010</v>
      </c>
      <c r="AB4228" s="1242" t="s">
        <v>13311</v>
      </c>
      <c r="AF4228" s="1242" t="s">
        <v>13312</v>
      </c>
    </row>
    <row r="4229" spans="1:32" ht="15.75" customHeight="1">
      <c r="A4229" s="1235">
        <v>41970</v>
      </c>
      <c r="B4229" s="592" t="s">
        <v>10673</v>
      </c>
      <c r="C4229" s="970" t="s">
        <v>13308</v>
      </c>
      <c r="D4229" s="386" t="s">
        <v>13309</v>
      </c>
      <c r="E4229" s="338" t="s">
        <v>3515</v>
      </c>
      <c r="F4229" s="1088">
        <v>5</v>
      </c>
      <c r="G4229" s="464">
        <v>1352.4</v>
      </c>
      <c r="H4229" s="1100">
        <f>F4229*G4229</f>
        <v>6762</v>
      </c>
      <c r="I4229" s="254" t="s">
        <v>10831</v>
      </c>
      <c r="J4229" s="585" t="s">
        <v>11420</v>
      </c>
      <c r="K4229" s="811">
        <v>41975</v>
      </c>
      <c r="L4229" s="585" t="s">
        <v>5882</v>
      </c>
      <c r="M4229" s="811">
        <v>41974</v>
      </c>
      <c r="N4229" s="386" t="s">
        <v>10778</v>
      </c>
      <c r="O4229" s="1088" t="s">
        <v>13310</v>
      </c>
      <c r="Q4229" s="772"/>
      <c r="R4229" s="323">
        <v>45.08</v>
      </c>
      <c r="S4229" s="464">
        <f t="shared" si="270"/>
        <v>225.39999999999998</v>
      </c>
      <c r="U4229" s="464">
        <v>6494</v>
      </c>
      <c r="V4229" s="386" t="s">
        <v>8443</v>
      </c>
      <c r="X4229" s="1244"/>
      <c r="Z4229" s="1245"/>
      <c r="AA4229" s="1094">
        <v>42010</v>
      </c>
      <c r="AB4229" s="1242"/>
      <c r="AF4229" s="1242"/>
    </row>
    <row r="4230" spans="1:32" ht="15.75" customHeight="1">
      <c r="A4230" s="1235">
        <v>41970</v>
      </c>
      <c r="B4230" s="592" t="s">
        <v>10673</v>
      </c>
      <c r="C4230" s="970" t="s">
        <v>13308</v>
      </c>
      <c r="D4230" s="386" t="s">
        <v>13309</v>
      </c>
      <c r="E4230" s="338" t="s">
        <v>6992</v>
      </c>
      <c r="F4230" s="1088">
        <v>2</v>
      </c>
      <c r="G4230" s="464">
        <v>3841.95</v>
      </c>
      <c r="H4230" s="1100">
        <f>F4230*G4230</f>
        <v>7683.9</v>
      </c>
      <c r="I4230" s="254" t="s">
        <v>10831</v>
      </c>
      <c r="J4230" s="585" t="s">
        <v>11420</v>
      </c>
      <c r="K4230" s="811">
        <v>41975</v>
      </c>
      <c r="L4230" s="585" t="s">
        <v>5882</v>
      </c>
      <c r="M4230" s="811">
        <v>41974</v>
      </c>
      <c r="N4230" s="386" t="s">
        <v>10778</v>
      </c>
      <c r="O4230" s="1088" t="s">
        <v>13310</v>
      </c>
      <c r="Q4230" s="772"/>
      <c r="R4230" s="323">
        <v>128.07</v>
      </c>
      <c r="S4230" s="464">
        <f t="shared" si="270"/>
        <v>256.14</v>
      </c>
      <c r="U4230" s="464">
        <v>7377</v>
      </c>
      <c r="V4230" s="386" t="s">
        <v>8443</v>
      </c>
      <c r="X4230" s="1094"/>
      <c r="Z4230" s="1110"/>
      <c r="AA4230" s="1094">
        <v>42010</v>
      </c>
      <c r="AB4230" s="386"/>
      <c r="AF4230" s="386"/>
    </row>
    <row r="4231" spans="1:32" ht="15.75" customHeight="1">
      <c r="A4231" s="1235">
        <v>41975</v>
      </c>
      <c r="B4231" s="592" t="s">
        <v>11516</v>
      </c>
      <c r="C4231" s="386"/>
      <c r="D4231" s="318" t="s">
        <v>13313</v>
      </c>
      <c r="E4231" s="338" t="s">
        <v>13314</v>
      </c>
      <c r="F4231" s="1088">
        <v>14</v>
      </c>
      <c r="G4231" s="772"/>
      <c r="H4231" s="772"/>
      <c r="I4231" s="254" t="s">
        <v>10694</v>
      </c>
      <c r="J4231" s="585" t="s">
        <v>11519</v>
      </c>
      <c r="K4231" s="811">
        <v>41995</v>
      </c>
      <c r="L4231" s="585" t="s">
        <v>5882</v>
      </c>
      <c r="M4231" s="811">
        <v>41990</v>
      </c>
      <c r="N4231" s="386" t="s">
        <v>89</v>
      </c>
      <c r="O4231" s="752" t="s">
        <v>13315</v>
      </c>
      <c r="Q4231" s="464">
        <v>4777.5</v>
      </c>
      <c r="R4231" s="323">
        <v>369</v>
      </c>
      <c r="S4231" s="464">
        <f t="shared" si="270"/>
        <v>5166</v>
      </c>
      <c r="U4231" s="772"/>
      <c r="V4231" s="386" t="s">
        <v>5896</v>
      </c>
      <c r="X4231" s="1084">
        <v>41990</v>
      </c>
      <c r="Z4231" s="1100">
        <v>148461</v>
      </c>
      <c r="AA4231" s="1094">
        <v>42013</v>
      </c>
      <c r="AB4231" s="318" t="s">
        <v>13266</v>
      </c>
      <c r="AF4231" s="386"/>
    </row>
    <row r="4232" spans="1:32" ht="15.75" customHeight="1">
      <c r="A4232" s="1235">
        <v>41976</v>
      </c>
      <c r="B4232" s="592" t="s">
        <v>10673</v>
      </c>
      <c r="C4232" s="970" t="s">
        <v>13316</v>
      </c>
      <c r="D4232" s="386" t="s">
        <v>13317</v>
      </c>
      <c r="E4232" s="338" t="s">
        <v>13318</v>
      </c>
      <c r="F4232" s="1088">
        <v>1</v>
      </c>
      <c r="G4232" s="464">
        <v>804.3</v>
      </c>
      <c r="H4232" s="1100">
        <f t="shared" ref="H4232:H4243" si="271">F4232*G4232</f>
        <v>804.3</v>
      </c>
      <c r="I4232" s="254" t="s">
        <v>10831</v>
      </c>
      <c r="J4232" s="585" t="s">
        <v>10721</v>
      </c>
      <c r="K4232" s="811">
        <v>41983</v>
      </c>
      <c r="L4232" s="585" t="s">
        <v>10721</v>
      </c>
      <c r="M4232" s="811">
        <v>41983</v>
      </c>
      <c r="N4232" s="386" t="s">
        <v>10778</v>
      </c>
      <c r="O4232" s="1088" t="s">
        <v>13319</v>
      </c>
      <c r="Q4232" s="772"/>
      <c r="R4232" s="323">
        <v>26.81</v>
      </c>
      <c r="S4232" s="464">
        <f t="shared" si="270"/>
        <v>26.81</v>
      </c>
      <c r="U4232" s="464">
        <v>772</v>
      </c>
      <c r="V4232" s="386" t="s">
        <v>8443</v>
      </c>
      <c r="X4232" s="1244">
        <v>41982</v>
      </c>
      <c r="Z4232" s="1245">
        <v>20651</v>
      </c>
      <c r="AA4232" s="1094">
        <v>42010</v>
      </c>
      <c r="AB4232" s="1242" t="s">
        <v>13320</v>
      </c>
      <c r="AF4232" s="386" t="s">
        <v>13229</v>
      </c>
    </row>
    <row r="4233" spans="1:32" ht="15.75" customHeight="1">
      <c r="A4233" s="1235">
        <v>41976</v>
      </c>
      <c r="B4233" s="592" t="s">
        <v>10673</v>
      </c>
      <c r="C4233" s="970" t="s">
        <v>13316</v>
      </c>
      <c r="D4233" s="386" t="s">
        <v>13317</v>
      </c>
      <c r="E4233" s="338" t="s">
        <v>11101</v>
      </c>
      <c r="F4233" s="1088">
        <v>3</v>
      </c>
      <c r="G4233" s="464">
        <v>4418.3999999999996</v>
      </c>
      <c r="H4233" s="1100">
        <f t="shared" si="271"/>
        <v>13255.199999999999</v>
      </c>
      <c r="I4233" s="254" t="s">
        <v>10831</v>
      </c>
      <c r="J4233" s="585" t="s">
        <v>10721</v>
      </c>
      <c r="K4233" s="811">
        <v>41983</v>
      </c>
      <c r="L4233" s="585" t="s">
        <v>10721</v>
      </c>
      <c r="M4233" s="811">
        <v>41983</v>
      </c>
      <c r="N4233" s="386" t="s">
        <v>10778</v>
      </c>
      <c r="O4233" s="1088" t="s">
        <v>13319</v>
      </c>
      <c r="Q4233" s="772"/>
      <c r="R4233" s="323">
        <v>147.28</v>
      </c>
      <c r="S4233" s="464">
        <f t="shared" si="270"/>
        <v>441.84000000000003</v>
      </c>
      <c r="U4233" s="464">
        <v>12726</v>
      </c>
      <c r="V4233" s="386" t="s">
        <v>8443</v>
      </c>
      <c r="X4233" s="1244"/>
      <c r="Z4233" s="1245"/>
      <c r="AA4233" s="1094">
        <v>42010</v>
      </c>
      <c r="AB4233" s="1242"/>
      <c r="AF4233" s="386" t="s">
        <v>13229</v>
      </c>
    </row>
    <row r="4234" spans="1:32" ht="15.75" customHeight="1">
      <c r="A4234" s="1235">
        <v>41976</v>
      </c>
      <c r="B4234" s="592" t="s">
        <v>10673</v>
      </c>
      <c r="C4234" s="970" t="s">
        <v>13316</v>
      </c>
      <c r="D4234" s="386" t="s">
        <v>13317</v>
      </c>
      <c r="E4234" s="338" t="s">
        <v>11081</v>
      </c>
      <c r="F4234" s="1088">
        <v>1</v>
      </c>
      <c r="G4234" s="464">
        <v>2165.1</v>
      </c>
      <c r="H4234" s="1100">
        <f t="shared" si="271"/>
        <v>2165.1</v>
      </c>
      <c r="I4234" s="254" t="s">
        <v>10831</v>
      </c>
      <c r="J4234" s="585" t="s">
        <v>10721</v>
      </c>
      <c r="K4234" s="811">
        <v>41983</v>
      </c>
      <c r="L4234" s="585" t="s">
        <v>10721</v>
      </c>
      <c r="M4234" s="811">
        <v>41983</v>
      </c>
      <c r="N4234" s="386" t="s">
        <v>10778</v>
      </c>
      <c r="O4234" s="1088" t="s">
        <v>13319</v>
      </c>
      <c r="Q4234" s="772"/>
      <c r="R4234" s="323">
        <v>72.17</v>
      </c>
      <c r="S4234" s="464">
        <f t="shared" si="270"/>
        <v>72.17</v>
      </c>
      <c r="U4234" s="464">
        <v>2077.9499999999998</v>
      </c>
      <c r="V4234" s="386" t="s">
        <v>8443</v>
      </c>
      <c r="X4234" s="1244"/>
      <c r="Z4234" s="1245"/>
      <c r="AA4234" s="1094">
        <v>42010</v>
      </c>
      <c r="AB4234" s="1242"/>
      <c r="AF4234" s="386" t="s">
        <v>13229</v>
      </c>
    </row>
    <row r="4235" spans="1:32" ht="15.75" customHeight="1">
      <c r="A4235" s="1235">
        <v>41976</v>
      </c>
      <c r="B4235" s="592" t="s">
        <v>10673</v>
      </c>
      <c r="C4235" s="970" t="s">
        <v>13316</v>
      </c>
      <c r="D4235" s="386" t="s">
        <v>13317</v>
      </c>
      <c r="E4235" s="338" t="s">
        <v>12874</v>
      </c>
      <c r="F4235" s="1088">
        <v>1</v>
      </c>
      <c r="G4235" s="464">
        <v>3933.3</v>
      </c>
      <c r="H4235" s="1100">
        <f t="shared" si="271"/>
        <v>3933.3</v>
      </c>
      <c r="I4235" s="254" t="s">
        <v>10831</v>
      </c>
      <c r="J4235" s="585" t="s">
        <v>10721</v>
      </c>
      <c r="K4235" s="811">
        <v>41983</v>
      </c>
      <c r="L4235" s="585" t="s">
        <v>10721</v>
      </c>
      <c r="M4235" s="811">
        <v>41983</v>
      </c>
      <c r="N4235" s="386" t="s">
        <v>10778</v>
      </c>
      <c r="O4235" s="1088" t="s">
        <v>13319</v>
      </c>
      <c r="Q4235" s="772"/>
      <c r="R4235" s="323">
        <v>131.11000000000001</v>
      </c>
      <c r="S4235" s="464">
        <f t="shared" si="270"/>
        <v>131.11000000000001</v>
      </c>
      <c r="U4235" s="464">
        <v>3777</v>
      </c>
      <c r="V4235" s="386" t="s">
        <v>8443</v>
      </c>
      <c r="X4235" s="1244"/>
      <c r="Z4235" s="1245"/>
      <c r="AA4235" s="1094">
        <v>42010</v>
      </c>
      <c r="AB4235" s="1242"/>
      <c r="AF4235" s="386" t="s">
        <v>13229</v>
      </c>
    </row>
    <row r="4236" spans="1:32" ht="15.75" customHeight="1">
      <c r="A4236" s="1235">
        <v>41976</v>
      </c>
      <c r="B4236" s="592" t="s">
        <v>10673</v>
      </c>
      <c r="C4236" s="970" t="s">
        <v>13316</v>
      </c>
      <c r="D4236" s="386" t="s">
        <v>13317</v>
      </c>
      <c r="E4236" s="338" t="s">
        <v>3515</v>
      </c>
      <c r="F4236" s="1088">
        <v>1</v>
      </c>
      <c r="G4236" s="464">
        <v>1352.4</v>
      </c>
      <c r="H4236" s="1100">
        <f t="shared" si="271"/>
        <v>1352.4</v>
      </c>
      <c r="I4236" s="254" t="s">
        <v>10831</v>
      </c>
      <c r="J4236" s="585" t="s">
        <v>10721</v>
      </c>
      <c r="K4236" s="811">
        <v>41983</v>
      </c>
      <c r="L4236" s="585" t="s">
        <v>10721</v>
      </c>
      <c r="M4236" s="811">
        <v>41983</v>
      </c>
      <c r="N4236" s="386" t="s">
        <v>10778</v>
      </c>
      <c r="O4236" s="1088" t="s">
        <v>13319</v>
      </c>
      <c r="Q4236" s="772"/>
      <c r="R4236" s="323">
        <v>45.08</v>
      </c>
      <c r="S4236" s="464">
        <f t="shared" si="270"/>
        <v>45.08</v>
      </c>
      <c r="U4236" s="464">
        <v>1299</v>
      </c>
      <c r="V4236" s="386" t="s">
        <v>8443</v>
      </c>
      <c r="X4236" s="1094"/>
      <c r="Z4236" s="1110"/>
      <c r="AA4236" s="1094">
        <v>42010</v>
      </c>
      <c r="AB4236" s="386"/>
      <c r="AF4236" s="386" t="s">
        <v>13229</v>
      </c>
    </row>
    <row r="4237" spans="1:32" ht="15.75" customHeight="1">
      <c r="A4237" s="1235">
        <v>41976</v>
      </c>
      <c r="B4237" s="592" t="s">
        <v>10673</v>
      </c>
      <c r="C4237" s="970" t="s">
        <v>13316</v>
      </c>
      <c r="D4237" s="318" t="s">
        <v>13321</v>
      </c>
      <c r="E4237" s="338" t="s">
        <v>6004</v>
      </c>
      <c r="F4237" s="1088">
        <v>1</v>
      </c>
      <c r="G4237" s="464">
        <v>4238.8500000000004</v>
      </c>
      <c r="H4237" s="1100">
        <f t="shared" si="271"/>
        <v>4238.8500000000004</v>
      </c>
      <c r="I4237" s="254" t="s">
        <v>10831</v>
      </c>
      <c r="J4237" s="585" t="s">
        <v>10721</v>
      </c>
      <c r="K4237" s="811">
        <v>41996</v>
      </c>
      <c r="L4237" s="585" t="s">
        <v>10721</v>
      </c>
      <c r="M4237" s="811">
        <v>41992</v>
      </c>
      <c r="N4237" s="386" t="s">
        <v>10778</v>
      </c>
      <c r="O4237" s="1088" t="s">
        <v>13322</v>
      </c>
      <c r="Q4237" s="772"/>
      <c r="R4237" s="323">
        <v>141.30000000000001</v>
      </c>
      <c r="S4237" s="464">
        <f t="shared" si="270"/>
        <v>141.30000000000001</v>
      </c>
      <c r="U4237" s="464">
        <v>4070</v>
      </c>
      <c r="V4237" s="386" t="s">
        <v>8443</v>
      </c>
      <c r="X4237" s="1094">
        <v>41990</v>
      </c>
      <c r="Z4237" s="1110">
        <v>4070</v>
      </c>
      <c r="AA4237" s="1094">
        <v>42010</v>
      </c>
      <c r="AB4237" s="386" t="s">
        <v>13323</v>
      </c>
      <c r="AF4237" s="386" t="s">
        <v>13324</v>
      </c>
    </row>
    <row r="4238" spans="1:32" ht="15.75" customHeight="1">
      <c r="A4238" s="1235">
        <v>41976</v>
      </c>
      <c r="B4238" s="592" t="s">
        <v>10673</v>
      </c>
      <c r="C4238" s="970" t="s">
        <v>13325</v>
      </c>
      <c r="D4238" s="386" t="s">
        <v>13326</v>
      </c>
      <c r="E4238" s="338" t="s">
        <v>6813</v>
      </c>
      <c r="F4238" s="1088">
        <v>1</v>
      </c>
      <c r="G4238" s="464">
        <v>1623</v>
      </c>
      <c r="H4238" s="1100">
        <f t="shared" si="271"/>
        <v>1623</v>
      </c>
      <c r="I4238" s="254" t="s">
        <v>10831</v>
      </c>
      <c r="J4238" s="585" t="s">
        <v>10721</v>
      </c>
      <c r="K4238" s="811">
        <v>41983</v>
      </c>
      <c r="L4238" s="585" t="s">
        <v>10721</v>
      </c>
      <c r="M4238" s="811">
        <v>41981</v>
      </c>
      <c r="N4238" s="386" t="s">
        <v>10778</v>
      </c>
      <c r="O4238" s="1088" t="s">
        <v>13327</v>
      </c>
      <c r="Q4238" s="772"/>
      <c r="R4238" s="323">
        <v>54.11</v>
      </c>
      <c r="S4238" s="464">
        <f t="shared" si="270"/>
        <v>54.11</v>
      </c>
      <c r="U4238" s="464">
        <v>1558.2</v>
      </c>
      <c r="V4238" s="386" t="s">
        <v>8443</v>
      </c>
      <c r="X4238" s="1244">
        <v>41978</v>
      </c>
      <c r="Z4238" s="1245">
        <v>45054</v>
      </c>
      <c r="AA4238" s="1094">
        <v>42010</v>
      </c>
      <c r="AB4238" s="1242" t="s">
        <v>13328</v>
      </c>
      <c r="AF4238" s="1242" t="s">
        <v>13229</v>
      </c>
    </row>
    <row r="4239" spans="1:32" ht="15.75" customHeight="1">
      <c r="A4239" s="1235">
        <v>41976</v>
      </c>
      <c r="B4239" s="592" t="s">
        <v>10673</v>
      </c>
      <c r="C4239" s="970" t="s">
        <v>13325</v>
      </c>
      <c r="D4239" s="386" t="s">
        <v>13326</v>
      </c>
      <c r="E4239" s="338" t="s">
        <v>3515</v>
      </c>
      <c r="F4239" s="1088">
        <v>5</v>
      </c>
      <c r="G4239" s="464">
        <v>1352.4</v>
      </c>
      <c r="H4239" s="1100">
        <f t="shared" si="271"/>
        <v>6762</v>
      </c>
      <c r="I4239" s="254" t="s">
        <v>10831</v>
      </c>
      <c r="J4239" s="585" t="s">
        <v>10721</v>
      </c>
      <c r="K4239" s="811">
        <v>41983</v>
      </c>
      <c r="L4239" s="585" t="s">
        <v>10721</v>
      </c>
      <c r="M4239" s="811">
        <v>41981</v>
      </c>
      <c r="N4239" s="386" t="s">
        <v>10778</v>
      </c>
      <c r="O4239" s="1088" t="s">
        <v>13327</v>
      </c>
      <c r="Q4239" s="772"/>
      <c r="R4239" s="323">
        <v>45.08</v>
      </c>
      <c r="S4239" s="464">
        <f t="shared" si="270"/>
        <v>225.39999999999998</v>
      </c>
      <c r="U4239" s="464">
        <v>6494.25</v>
      </c>
      <c r="V4239" s="386" t="s">
        <v>8443</v>
      </c>
      <c r="X4239" s="1244"/>
      <c r="Z4239" s="1245"/>
      <c r="AA4239" s="1094">
        <v>42010</v>
      </c>
      <c r="AB4239" s="1242"/>
      <c r="AF4239" s="1242"/>
    </row>
    <row r="4240" spans="1:32" ht="15.75" customHeight="1">
      <c r="A4240" s="1235">
        <v>41976</v>
      </c>
      <c r="B4240" s="592" t="s">
        <v>10673</v>
      </c>
      <c r="C4240" s="970" t="s">
        <v>13325</v>
      </c>
      <c r="D4240" s="386" t="s">
        <v>13326</v>
      </c>
      <c r="E4240" s="338" t="s">
        <v>11064</v>
      </c>
      <c r="F4240" s="1088">
        <v>4</v>
      </c>
      <c r="G4240" s="464">
        <v>3517.5</v>
      </c>
      <c r="H4240" s="1100">
        <f t="shared" si="271"/>
        <v>14070</v>
      </c>
      <c r="I4240" s="254" t="s">
        <v>10831</v>
      </c>
      <c r="J4240" s="585" t="s">
        <v>10721</v>
      </c>
      <c r="K4240" s="811">
        <v>41983</v>
      </c>
      <c r="L4240" s="585" t="s">
        <v>10721</v>
      </c>
      <c r="M4240" s="811">
        <v>41981</v>
      </c>
      <c r="N4240" s="386" t="s">
        <v>10778</v>
      </c>
      <c r="O4240" s="1088" t="s">
        <v>13327</v>
      </c>
      <c r="Q4240" s="772"/>
      <c r="R4240" s="323">
        <v>117.25</v>
      </c>
      <c r="S4240" s="464">
        <f t="shared" si="270"/>
        <v>469</v>
      </c>
      <c r="U4240" s="464">
        <v>13507.2</v>
      </c>
      <c r="V4240" s="386" t="s">
        <v>8443</v>
      </c>
      <c r="X4240" s="1244"/>
      <c r="Z4240" s="1245"/>
      <c r="AA4240" s="1094">
        <v>42010</v>
      </c>
      <c r="AB4240" s="1242"/>
      <c r="AF4240" s="1242"/>
    </row>
    <row r="4241" spans="1:32" ht="15.75" customHeight="1">
      <c r="A4241" s="1235">
        <v>41976</v>
      </c>
      <c r="B4241" s="592" t="s">
        <v>10673</v>
      </c>
      <c r="C4241" s="970" t="s">
        <v>13325</v>
      </c>
      <c r="D4241" s="386" t="s">
        <v>13326</v>
      </c>
      <c r="E4241" s="338" t="s">
        <v>11165</v>
      </c>
      <c r="F4241" s="1088">
        <v>2</v>
      </c>
      <c r="G4241" s="464">
        <v>1548.75</v>
      </c>
      <c r="H4241" s="1100">
        <f t="shared" si="271"/>
        <v>3097.5</v>
      </c>
      <c r="I4241" s="254" t="s">
        <v>10831</v>
      </c>
      <c r="J4241" s="585" t="s">
        <v>10721</v>
      </c>
      <c r="K4241" s="811">
        <v>41983</v>
      </c>
      <c r="L4241" s="585" t="s">
        <v>10721</v>
      </c>
      <c r="M4241" s="811">
        <v>41981</v>
      </c>
      <c r="N4241" s="386" t="s">
        <v>10778</v>
      </c>
      <c r="O4241" s="1088" t="s">
        <v>13327</v>
      </c>
      <c r="Q4241" s="772"/>
      <c r="R4241" s="323">
        <v>51.63</v>
      </c>
      <c r="S4241" s="464">
        <f t="shared" si="270"/>
        <v>103.26</v>
      </c>
      <c r="U4241" s="464">
        <v>2973.6</v>
      </c>
      <c r="V4241" s="386" t="s">
        <v>8443</v>
      </c>
      <c r="X4241" s="1244"/>
      <c r="Z4241" s="1245"/>
      <c r="AA4241" s="1094">
        <v>42010</v>
      </c>
      <c r="AB4241" s="1242"/>
      <c r="AF4241" s="1242"/>
    </row>
    <row r="4242" spans="1:32" ht="15.75" customHeight="1">
      <c r="A4242" s="1235">
        <v>41976</v>
      </c>
      <c r="B4242" s="592" t="s">
        <v>10673</v>
      </c>
      <c r="C4242" s="970" t="s">
        <v>13325</v>
      </c>
      <c r="D4242" s="386" t="s">
        <v>13326</v>
      </c>
      <c r="E4242" s="338" t="s">
        <v>11166</v>
      </c>
      <c r="F4242" s="1088">
        <v>2</v>
      </c>
      <c r="G4242" s="464">
        <v>4112.8500000000004</v>
      </c>
      <c r="H4242" s="1100">
        <f t="shared" si="271"/>
        <v>8225.7000000000007</v>
      </c>
      <c r="I4242" s="254" t="s">
        <v>10831</v>
      </c>
      <c r="J4242" s="585" t="s">
        <v>10721</v>
      </c>
      <c r="K4242" s="811">
        <v>41983</v>
      </c>
      <c r="L4242" s="585" t="s">
        <v>10721</v>
      </c>
      <c r="M4242" s="811">
        <v>41981</v>
      </c>
      <c r="N4242" s="386" t="s">
        <v>10778</v>
      </c>
      <c r="O4242" s="1088" t="s">
        <v>13327</v>
      </c>
      <c r="Q4242" s="772"/>
      <c r="R4242" s="323">
        <v>137.1</v>
      </c>
      <c r="S4242" s="464">
        <f t="shared" si="270"/>
        <v>274.2</v>
      </c>
      <c r="U4242" s="464">
        <v>7896</v>
      </c>
      <c r="V4242" s="386" t="s">
        <v>8443</v>
      </c>
      <c r="X4242" s="1244"/>
      <c r="Z4242" s="1245"/>
      <c r="AA4242" s="1094">
        <v>42010</v>
      </c>
      <c r="AB4242" s="1242"/>
      <c r="AF4242" s="1242"/>
    </row>
    <row r="4243" spans="1:32" ht="15.75" customHeight="1">
      <c r="A4243" s="1235">
        <v>41976</v>
      </c>
      <c r="B4243" s="592" t="s">
        <v>10673</v>
      </c>
      <c r="C4243" s="970" t="s">
        <v>13325</v>
      </c>
      <c r="D4243" s="386" t="s">
        <v>13326</v>
      </c>
      <c r="E4243" s="338" t="s">
        <v>11167</v>
      </c>
      <c r="F4243" s="1088">
        <v>2</v>
      </c>
      <c r="G4243" s="464">
        <v>6576.15</v>
      </c>
      <c r="H4243" s="1100">
        <f t="shared" si="271"/>
        <v>13152.3</v>
      </c>
      <c r="I4243" s="254" t="s">
        <v>10831</v>
      </c>
      <c r="J4243" s="585" t="s">
        <v>10721</v>
      </c>
      <c r="K4243" s="811">
        <v>41983</v>
      </c>
      <c r="L4243" s="585" t="s">
        <v>10721</v>
      </c>
      <c r="M4243" s="811">
        <v>41981</v>
      </c>
      <c r="N4243" s="386" t="s">
        <v>10778</v>
      </c>
      <c r="O4243" s="1088" t="s">
        <v>13327</v>
      </c>
      <c r="Q4243" s="772"/>
      <c r="R4243" s="323">
        <v>219.21</v>
      </c>
      <c r="S4243" s="464">
        <f t="shared" si="270"/>
        <v>438.42</v>
      </c>
      <c r="U4243" s="464">
        <v>12625.2</v>
      </c>
      <c r="V4243" s="386" t="s">
        <v>8443</v>
      </c>
      <c r="X4243" s="1094"/>
      <c r="Z4243" s="1110"/>
      <c r="AA4243" s="1094">
        <v>42010</v>
      </c>
      <c r="AB4243" s="386"/>
      <c r="AF4243" s="386"/>
    </row>
    <row r="4244" spans="1:32" ht="15.75" customHeight="1">
      <c r="A4244" s="1235">
        <v>41977</v>
      </c>
      <c r="B4244" s="592" t="s">
        <v>1189</v>
      </c>
      <c r="C4244" s="970" t="s">
        <v>13329</v>
      </c>
      <c r="D4244" s="386" t="s">
        <v>13330</v>
      </c>
      <c r="E4244" s="338" t="s">
        <v>10173</v>
      </c>
      <c r="F4244" s="1088">
        <v>18</v>
      </c>
      <c r="G4244" s="772"/>
      <c r="H4244" s="772"/>
      <c r="I4244" s="254" t="s">
        <v>11717</v>
      </c>
      <c r="J4244" s="585" t="s">
        <v>13331</v>
      </c>
      <c r="K4244" s="811">
        <v>42003</v>
      </c>
      <c r="L4244" s="585" t="s">
        <v>10721</v>
      </c>
      <c r="M4244" s="811">
        <v>41988</v>
      </c>
      <c r="N4244" s="386" t="s">
        <v>89</v>
      </c>
      <c r="O4244" s="752" t="s">
        <v>13332</v>
      </c>
      <c r="Q4244" s="464">
        <v>2759.4</v>
      </c>
      <c r="R4244" s="1207">
        <v>177</v>
      </c>
      <c r="S4244" s="464">
        <f t="shared" ref="S4244:S4252" si="272">F4244*R4244</f>
        <v>3186</v>
      </c>
      <c r="U4244" s="772"/>
      <c r="V4244" s="386" t="s">
        <v>5896</v>
      </c>
      <c r="X4244" s="1084">
        <v>41988</v>
      </c>
      <c r="Z4244" s="1100">
        <v>85748</v>
      </c>
      <c r="AA4244" s="1094">
        <v>42013</v>
      </c>
      <c r="AB4244" s="318" t="s">
        <v>13333</v>
      </c>
      <c r="AF4244" s="386"/>
    </row>
    <row r="4245" spans="1:32" ht="15.75" customHeight="1">
      <c r="A4245" s="1235">
        <v>41977</v>
      </c>
      <c r="B4245" s="592" t="s">
        <v>1189</v>
      </c>
      <c r="C4245" s="970" t="s">
        <v>13329</v>
      </c>
      <c r="D4245" s="386" t="s">
        <v>13330</v>
      </c>
      <c r="E4245" s="338" t="s">
        <v>11879</v>
      </c>
      <c r="F4245" s="1088">
        <v>5</v>
      </c>
      <c r="G4245" s="772"/>
      <c r="H4245" s="772"/>
      <c r="I4245" s="254" t="s">
        <v>11717</v>
      </c>
      <c r="J4245" s="585" t="s">
        <v>13331</v>
      </c>
      <c r="K4245" s="811">
        <v>42003</v>
      </c>
      <c r="L4245" s="585" t="s">
        <v>10721</v>
      </c>
      <c r="M4245" s="811">
        <v>41998</v>
      </c>
      <c r="N4245" s="386" t="s">
        <v>13334</v>
      </c>
      <c r="O4245" s="1088" t="s">
        <v>13335</v>
      </c>
      <c r="Q4245" s="772"/>
      <c r="R4245" s="1207">
        <v>553</v>
      </c>
      <c r="S4245" s="464">
        <f t="shared" si="272"/>
        <v>2765</v>
      </c>
      <c r="U4245" s="464">
        <v>73500</v>
      </c>
      <c r="V4245" s="386" t="s">
        <v>12495</v>
      </c>
      <c r="X4245" s="1084">
        <v>41998</v>
      </c>
      <c r="Z4245" s="1100">
        <v>73500</v>
      </c>
      <c r="AA4245" s="1094">
        <v>42040</v>
      </c>
      <c r="AB4245" s="318" t="s">
        <v>13333</v>
      </c>
      <c r="AF4245" s="386"/>
    </row>
    <row r="4246" spans="1:32" ht="15.75" customHeight="1">
      <c r="A4246" s="1235">
        <v>41977</v>
      </c>
      <c r="B4246" s="592" t="s">
        <v>1189</v>
      </c>
      <c r="C4246" s="970" t="s">
        <v>13329</v>
      </c>
      <c r="D4246" s="386" t="s">
        <v>13330</v>
      </c>
      <c r="E4246" s="338" t="s">
        <v>9182</v>
      </c>
      <c r="F4246" s="1088">
        <v>5</v>
      </c>
      <c r="G4246" s="772"/>
      <c r="H4246" s="772"/>
      <c r="I4246" s="254" t="s">
        <v>11717</v>
      </c>
      <c r="J4246" s="585" t="s">
        <v>13331</v>
      </c>
      <c r="K4246" s="811">
        <v>42003</v>
      </c>
      <c r="L4246" s="585" t="s">
        <v>10721</v>
      </c>
      <c r="M4246" s="811">
        <v>41995</v>
      </c>
      <c r="N4246" s="386" t="s">
        <v>11735</v>
      </c>
      <c r="O4246" s="1088" t="s">
        <v>13336</v>
      </c>
      <c r="Q4246" s="772"/>
      <c r="R4246" s="1207">
        <v>40</v>
      </c>
      <c r="S4246" s="464">
        <f t="shared" si="272"/>
        <v>200</v>
      </c>
      <c r="U4246" s="464">
        <v>4488.75</v>
      </c>
      <c r="V4246" s="386" t="s">
        <v>11737</v>
      </c>
      <c r="X4246" s="1094">
        <v>41992</v>
      </c>
      <c r="Z4246" s="1110">
        <v>4489</v>
      </c>
      <c r="AA4246" s="1094">
        <v>41988</v>
      </c>
      <c r="AB4246" s="318" t="s">
        <v>13333</v>
      </c>
      <c r="AF4246" s="386"/>
    </row>
    <row r="4247" spans="1:32" ht="15.75" customHeight="1">
      <c r="A4247" s="1235">
        <v>41977</v>
      </c>
      <c r="B4247" s="592" t="s">
        <v>1189</v>
      </c>
      <c r="C4247" s="970" t="s">
        <v>13329</v>
      </c>
      <c r="D4247" s="386" t="s">
        <v>13330</v>
      </c>
      <c r="E4247" s="338" t="s">
        <v>9185</v>
      </c>
      <c r="F4247" s="1088">
        <v>5</v>
      </c>
      <c r="G4247" s="772"/>
      <c r="H4247" s="772"/>
      <c r="I4247" s="254" t="s">
        <v>11717</v>
      </c>
      <c r="J4247" s="585" t="s">
        <v>13331</v>
      </c>
      <c r="K4247" s="811">
        <v>42003</v>
      </c>
      <c r="L4247" s="585" t="s">
        <v>10721</v>
      </c>
      <c r="M4247" s="811">
        <v>41995</v>
      </c>
      <c r="N4247" s="386" t="s">
        <v>11735</v>
      </c>
      <c r="O4247" s="1088" t="s">
        <v>13336</v>
      </c>
      <c r="Q4247" s="772"/>
      <c r="R4247" s="1207">
        <v>50</v>
      </c>
      <c r="S4247" s="464">
        <f t="shared" si="272"/>
        <v>250</v>
      </c>
      <c r="U4247" s="464">
        <v>6294.75</v>
      </c>
      <c r="V4247" s="386" t="s">
        <v>11737</v>
      </c>
      <c r="X4247" s="1094">
        <v>41992</v>
      </c>
      <c r="Z4247" s="1110">
        <v>6295</v>
      </c>
      <c r="AA4247" s="1094">
        <v>41988</v>
      </c>
      <c r="AB4247" s="318" t="s">
        <v>13333</v>
      </c>
      <c r="AF4247" s="386"/>
    </row>
    <row r="4248" spans="1:32" ht="15.75" customHeight="1">
      <c r="A4248" s="1235">
        <v>41977</v>
      </c>
      <c r="B4248" s="592" t="s">
        <v>1189</v>
      </c>
      <c r="C4248" s="970" t="s">
        <v>13329</v>
      </c>
      <c r="D4248" s="386" t="s">
        <v>13330</v>
      </c>
      <c r="E4248" s="338" t="s">
        <v>10183</v>
      </c>
      <c r="F4248" s="1088">
        <v>5</v>
      </c>
      <c r="G4248" s="772"/>
      <c r="H4248" s="772"/>
      <c r="I4248" s="254" t="s">
        <v>11717</v>
      </c>
      <c r="J4248" s="585" t="s">
        <v>13331</v>
      </c>
      <c r="K4248" s="811">
        <v>42003</v>
      </c>
      <c r="L4248" s="386"/>
      <c r="M4248" s="386"/>
      <c r="N4248" s="386"/>
      <c r="O4248" s="386"/>
      <c r="Q4248" s="772"/>
      <c r="R4248" s="1207">
        <v>30</v>
      </c>
      <c r="S4248" s="464">
        <f t="shared" si="272"/>
        <v>150</v>
      </c>
      <c r="U4248" s="464">
        <v>1500</v>
      </c>
      <c r="V4248" s="386" t="s">
        <v>11891</v>
      </c>
      <c r="X4248" s="386"/>
      <c r="Z4248" s="1088" t="s">
        <v>5529</v>
      </c>
      <c r="AA4248" s="1094">
        <v>42010</v>
      </c>
      <c r="AB4248" s="318" t="s">
        <v>13333</v>
      </c>
      <c r="AF4248" s="386"/>
    </row>
    <row r="4249" spans="1:32" ht="15.75" customHeight="1">
      <c r="A4249" s="1235">
        <v>41977</v>
      </c>
      <c r="B4249" s="592" t="s">
        <v>1189</v>
      </c>
      <c r="C4249" s="970" t="s">
        <v>13329</v>
      </c>
      <c r="D4249" s="386" t="s">
        <v>13330</v>
      </c>
      <c r="E4249" s="338" t="s">
        <v>13337</v>
      </c>
      <c r="F4249" s="1088">
        <v>1</v>
      </c>
      <c r="G4249" s="772"/>
      <c r="H4249" s="772"/>
      <c r="I4249" s="254" t="s">
        <v>11717</v>
      </c>
      <c r="J4249" s="585" t="s">
        <v>13331</v>
      </c>
      <c r="K4249" s="811">
        <v>42003</v>
      </c>
      <c r="L4249" s="386"/>
      <c r="M4249" s="386"/>
      <c r="N4249" s="386"/>
      <c r="O4249" s="386"/>
      <c r="Q4249" s="772"/>
      <c r="R4249" s="1207">
        <v>630</v>
      </c>
      <c r="S4249" s="464">
        <f t="shared" si="272"/>
        <v>630</v>
      </c>
      <c r="U4249" s="464">
        <v>0</v>
      </c>
      <c r="V4249" s="386" t="s">
        <v>6130</v>
      </c>
      <c r="X4249" s="386"/>
      <c r="Z4249" s="1088" t="s">
        <v>5529</v>
      </c>
      <c r="AA4249" s="1094">
        <v>42010</v>
      </c>
      <c r="AB4249" s="318" t="s">
        <v>13333</v>
      </c>
      <c r="AF4249" s="386"/>
    </row>
    <row r="4250" spans="1:32" ht="15.75" customHeight="1">
      <c r="A4250" s="1235">
        <v>41978</v>
      </c>
      <c r="B4250" s="592" t="s">
        <v>629</v>
      </c>
      <c r="C4250" s="970" t="s">
        <v>13338</v>
      </c>
      <c r="D4250" s="386" t="s">
        <v>13339</v>
      </c>
      <c r="E4250" s="338" t="s">
        <v>13340</v>
      </c>
      <c r="F4250" s="1088">
        <v>6</v>
      </c>
      <c r="G4250" s="772"/>
      <c r="H4250" s="464">
        <v>19366</v>
      </c>
      <c r="I4250" s="254" t="s">
        <v>11643</v>
      </c>
      <c r="J4250" s="585" t="s">
        <v>12398</v>
      </c>
      <c r="K4250" s="811">
        <v>41988</v>
      </c>
      <c r="L4250" s="585" t="s">
        <v>89</v>
      </c>
      <c r="M4250" s="386"/>
      <c r="N4250" s="386" t="s">
        <v>89</v>
      </c>
      <c r="O4250" s="1088" t="s">
        <v>13341</v>
      </c>
      <c r="Q4250" s="464">
        <v>567</v>
      </c>
      <c r="R4250" s="464">
        <f>97*1.05</f>
        <v>101.85000000000001</v>
      </c>
      <c r="S4250" s="464">
        <f t="shared" si="272"/>
        <v>611.1</v>
      </c>
      <c r="U4250" s="772"/>
      <c r="V4250" s="386" t="s">
        <v>5896</v>
      </c>
      <c r="X4250" s="1084">
        <v>41988</v>
      </c>
      <c r="Z4250" s="1100">
        <v>17620</v>
      </c>
      <c r="AA4250" s="1094">
        <v>42013</v>
      </c>
      <c r="AB4250" s="386" t="s">
        <v>13342</v>
      </c>
      <c r="AF4250" s="386" t="s">
        <v>13343</v>
      </c>
    </row>
    <row r="4251" spans="1:32" ht="15.75" customHeight="1">
      <c r="A4251" s="1235">
        <v>41982</v>
      </c>
      <c r="B4251" s="592" t="s">
        <v>13344</v>
      </c>
      <c r="C4251" s="386"/>
      <c r="D4251" s="386" t="s">
        <v>13345</v>
      </c>
      <c r="E4251" s="338" t="s">
        <v>13346</v>
      </c>
      <c r="F4251" s="1088">
        <v>1</v>
      </c>
      <c r="G4251" s="464">
        <v>9319</v>
      </c>
      <c r="H4251" s="464">
        <v>9319</v>
      </c>
      <c r="I4251" s="254" t="s">
        <v>11643</v>
      </c>
      <c r="J4251" s="585" t="s">
        <v>11643</v>
      </c>
      <c r="K4251" s="811">
        <v>41988</v>
      </c>
      <c r="L4251" s="585" t="s">
        <v>10721</v>
      </c>
      <c r="M4251" s="811">
        <v>41988</v>
      </c>
      <c r="N4251" s="386" t="s">
        <v>3678</v>
      </c>
      <c r="O4251" s="1088" t="s">
        <v>13347</v>
      </c>
      <c r="Q4251" s="772"/>
      <c r="R4251" s="323">
        <v>310.63</v>
      </c>
      <c r="S4251" s="464">
        <f t="shared" si="272"/>
        <v>310.63</v>
      </c>
      <c r="U4251" s="464">
        <v>7455</v>
      </c>
      <c r="V4251" s="386" t="s">
        <v>12495</v>
      </c>
      <c r="X4251" s="1244">
        <v>41985</v>
      </c>
      <c r="Z4251" s="1245">
        <v>32708</v>
      </c>
      <c r="AA4251" s="1094">
        <v>42040</v>
      </c>
      <c r="AB4251" s="1242" t="s">
        <v>13348</v>
      </c>
      <c r="AF4251" s="1242" t="s">
        <v>13349</v>
      </c>
    </row>
    <row r="4252" spans="1:32" ht="15.75" customHeight="1">
      <c r="A4252" s="1235">
        <v>41982</v>
      </c>
      <c r="B4252" s="592" t="s">
        <v>13344</v>
      </c>
      <c r="C4252" s="386"/>
      <c r="D4252" s="386" t="s">
        <v>13345</v>
      </c>
      <c r="E4252" s="338" t="s">
        <v>13350</v>
      </c>
      <c r="F4252" s="1088">
        <v>1</v>
      </c>
      <c r="G4252" s="464">
        <v>30056</v>
      </c>
      <c r="H4252" s="464">
        <v>30056</v>
      </c>
      <c r="I4252" s="254" t="s">
        <v>11643</v>
      </c>
      <c r="J4252" s="585" t="s">
        <v>11643</v>
      </c>
      <c r="K4252" s="811">
        <v>41988</v>
      </c>
      <c r="L4252" s="585" t="s">
        <v>10721</v>
      </c>
      <c r="M4252" s="811">
        <v>41988</v>
      </c>
      <c r="N4252" s="386" t="s">
        <v>3678</v>
      </c>
      <c r="O4252" s="1088" t="s">
        <v>13347</v>
      </c>
      <c r="Q4252" s="772"/>
      <c r="R4252" s="323">
        <v>1001.86</v>
      </c>
      <c r="S4252" s="464">
        <f t="shared" si="272"/>
        <v>1001.86</v>
      </c>
      <c r="U4252" s="464">
        <v>24045</v>
      </c>
      <c r="V4252" s="386" t="s">
        <v>12495</v>
      </c>
      <c r="X4252" s="1244"/>
      <c r="Z4252" s="1245"/>
      <c r="AA4252" s="1094">
        <v>42040</v>
      </c>
      <c r="AB4252" s="1242"/>
      <c r="AF4252" s="1242"/>
    </row>
    <row r="4253" spans="1:32" ht="15.75" customHeight="1">
      <c r="A4253" s="1235">
        <v>41982</v>
      </c>
      <c r="B4253" s="592" t="s">
        <v>13344</v>
      </c>
      <c r="C4253" s="386"/>
      <c r="D4253" s="386" t="s">
        <v>13345</v>
      </c>
      <c r="E4253" s="338" t="s">
        <v>13351</v>
      </c>
      <c r="F4253" s="1088">
        <v>1</v>
      </c>
      <c r="G4253" s="464">
        <v>1508</v>
      </c>
      <c r="H4253" s="464">
        <v>1508</v>
      </c>
      <c r="I4253" s="254" t="s">
        <v>11643</v>
      </c>
      <c r="J4253" s="585" t="s">
        <v>11643</v>
      </c>
      <c r="K4253" s="811">
        <v>41988</v>
      </c>
      <c r="L4253" s="585" t="s">
        <v>10721</v>
      </c>
      <c r="M4253" s="811">
        <v>41988</v>
      </c>
      <c r="N4253" s="386" t="s">
        <v>3678</v>
      </c>
      <c r="O4253" s="1088" t="s">
        <v>13352</v>
      </c>
      <c r="Q4253" s="772"/>
      <c r="R4253" s="323">
        <v>50.27</v>
      </c>
      <c r="S4253" s="464">
        <v>50.27</v>
      </c>
      <c r="U4253" s="464">
        <v>1208</v>
      </c>
      <c r="V4253" s="386"/>
      <c r="X4253" s="1094"/>
      <c r="Z4253" s="1110"/>
      <c r="AA4253" s="1094">
        <v>42040</v>
      </c>
      <c r="AB4253" s="386"/>
      <c r="AF4253" s="386"/>
    </row>
    <row r="4254" spans="1:32" ht="15.75" customHeight="1">
      <c r="A4254" s="1235">
        <v>41983</v>
      </c>
      <c r="B4254" s="592" t="s">
        <v>11516</v>
      </c>
      <c r="C4254" s="386"/>
      <c r="D4254" s="386" t="s">
        <v>13353</v>
      </c>
      <c r="E4254" s="338" t="s">
        <v>13354</v>
      </c>
      <c r="F4254" s="1088">
        <v>24</v>
      </c>
      <c r="G4254" s="772"/>
      <c r="H4254" s="772"/>
      <c r="I4254" s="254" t="s">
        <v>10694</v>
      </c>
      <c r="J4254" s="585" t="s">
        <v>11519</v>
      </c>
      <c r="K4254" s="811">
        <v>42002</v>
      </c>
      <c r="L4254" s="585" t="s">
        <v>5882</v>
      </c>
      <c r="M4254" s="811">
        <v>41999</v>
      </c>
      <c r="N4254" s="386" t="s">
        <v>89</v>
      </c>
      <c r="O4254" s="752" t="s">
        <v>13355</v>
      </c>
      <c r="Q4254" s="464">
        <v>2948.4</v>
      </c>
      <c r="R4254" s="464">
        <v>139</v>
      </c>
      <c r="S4254" s="464">
        <f>F4254*R4254</f>
        <v>3336</v>
      </c>
      <c r="U4254" s="772"/>
      <c r="V4254" s="386" t="s">
        <v>5896</v>
      </c>
      <c r="X4254" s="1084">
        <v>41999</v>
      </c>
      <c r="Z4254" s="1100">
        <v>94560</v>
      </c>
      <c r="AA4254" s="1094">
        <v>42013</v>
      </c>
      <c r="AB4254" s="263" t="s">
        <v>13356</v>
      </c>
      <c r="AF4254" s="386"/>
    </row>
    <row r="4255" spans="1:32" ht="15.75" customHeight="1">
      <c r="A4255" s="1235">
        <v>41983</v>
      </c>
      <c r="B4255" s="592" t="s">
        <v>11516</v>
      </c>
      <c r="C4255" s="386"/>
      <c r="D4255" s="386" t="s">
        <v>13353</v>
      </c>
      <c r="E4255" s="338" t="s">
        <v>13357</v>
      </c>
      <c r="F4255" s="1088">
        <v>24</v>
      </c>
      <c r="G4255" s="772"/>
      <c r="H4255" s="772"/>
      <c r="I4255" s="254" t="s">
        <v>10694</v>
      </c>
      <c r="J4255" s="585" t="s">
        <v>11519</v>
      </c>
      <c r="K4255" s="811">
        <v>42002</v>
      </c>
      <c r="L4255" s="585" t="s">
        <v>5882</v>
      </c>
      <c r="M4255" s="811">
        <v>41999</v>
      </c>
      <c r="N4255" s="386" t="s">
        <v>89</v>
      </c>
      <c r="O4255" s="752" t="s">
        <v>13355</v>
      </c>
      <c r="Q4255" s="464">
        <v>75.599999999999994</v>
      </c>
      <c r="R4255" s="464">
        <v>3</v>
      </c>
      <c r="S4255" s="464">
        <f>R4255*F4255</f>
        <v>72</v>
      </c>
      <c r="U4255" s="772"/>
      <c r="V4255" s="386" t="s">
        <v>5896</v>
      </c>
      <c r="X4255" s="386"/>
      <c r="Z4255" s="1097"/>
      <c r="AA4255" s="1094">
        <v>42013</v>
      </c>
      <c r="AB4255" s="263" t="s">
        <v>13356</v>
      </c>
      <c r="AF4255" s="386"/>
    </row>
    <row r="4256" spans="1:32" ht="15.75" customHeight="1">
      <c r="A4256" s="1235">
        <v>41983</v>
      </c>
      <c r="B4256" s="592" t="s">
        <v>10673</v>
      </c>
      <c r="C4256" s="970" t="s">
        <v>13358</v>
      </c>
      <c r="D4256" s="386" t="s">
        <v>13359</v>
      </c>
      <c r="E4256" s="338" t="s">
        <v>11008</v>
      </c>
      <c r="F4256" s="1088">
        <v>8</v>
      </c>
      <c r="G4256" s="464">
        <f>2871*1.05</f>
        <v>3014.55</v>
      </c>
      <c r="H4256" s="1100">
        <f>F4256*G4256</f>
        <v>24116.400000000001</v>
      </c>
      <c r="I4256" s="254" t="s">
        <v>10831</v>
      </c>
      <c r="J4256" s="585" t="s">
        <v>10721</v>
      </c>
      <c r="K4256" s="811">
        <v>41996</v>
      </c>
      <c r="L4256" s="585" t="s">
        <v>10721</v>
      </c>
      <c r="M4256" s="811">
        <v>41991</v>
      </c>
      <c r="N4256" s="386" t="s">
        <v>10778</v>
      </c>
      <c r="O4256" s="1088" t="s">
        <v>13360</v>
      </c>
      <c r="Q4256" s="772"/>
      <c r="R4256" s="323">
        <v>100.49</v>
      </c>
      <c r="S4256" s="464">
        <f>R4256*F4256</f>
        <v>803.92</v>
      </c>
      <c r="U4256" s="464">
        <v>23150</v>
      </c>
      <c r="V4256" s="386" t="s">
        <v>8443</v>
      </c>
      <c r="X4256" s="1094">
        <v>41990</v>
      </c>
      <c r="Z4256" s="1110">
        <v>23150</v>
      </c>
      <c r="AA4256" s="1094">
        <v>42010</v>
      </c>
      <c r="AB4256" s="386" t="s">
        <v>13361</v>
      </c>
      <c r="AF4256" s="386" t="s">
        <v>13324</v>
      </c>
    </row>
    <row r="4257" spans="1:32" ht="15.75" customHeight="1">
      <c r="A4257" s="1235">
        <v>41983</v>
      </c>
      <c r="B4257" s="592" t="s">
        <v>10673</v>
      </c>
      <c r="C4257" s="970" t="s">
        <v>13362</v>
      </c>
      <c r="D4257" s="386" t="s">
        <v>13363</v>
      </c>
      <c r="E4257" s="338" t="s">
        <v>13364</v>
      </c>
      <c r="F4257" s="1088">
        <v>10</v>
      </c>
      <c r="G4257" s="772"/>
      <c r="H4257" s="772"/>
      <c r="I4257" s="254" t="s">
        <v>10831</v>
      </c>
      <c r="J4257" s="585" t="s">
        <v>12398</v>
      </c>
      <c r="K4257" s="811">
        <v>41991</v>
      </c>
      <c r="L4257" s="585" t="s">
        <v>89</v>
      </c>
      <c r="M4257" s="386"/>
      <c r="N4257" s="386" t="s">
        <v>89</v>
      </c>
      <c r="O4257" s="752" t="s">
        <v>13365</v>
      </c>
      <c r="Q4257" s="464">
        <v>682.5</v>
      </c>
      <c r="R4257" s="323">
        <v>76.655000000000001</v>
      </c>
      <c r="S4257" s="464">
        <f>R4257*F4257</f>
        <v>766.55</v>
      </c>
      <c r="U4257" s="772"/>
      <c r="V4257" s="386" t="s">
        <v>5896</v>
      </c>
      <c r="X4257" s="1084">
        <v>41991</v>
      </c>
      <c r="Z4257" s="1100">
        <v>21209</v>
      </c>
      <c r="AA4257" s="1094">
        <v>42013</v>
      </c>
      <c r="AB4257" s="386" t="s">
        <v>13366</v>
      </c>
      <c r="AF4257" s="386" t="s">
        <v>13367</v>
      </c>
    </row>
    <row r="4258" spans="1:32" ht="15.75" customHeight="1">
      <c r="A4258" s="1235">
        <v>41984</v>
      </c>
      <c r="B4258" s="592" t="s">
        <v>10959</v>
      </c>
      <c r="C4258" s="970">
        <v>3100045181</v>
      </c>
      <c r="D4258" s="386" t="s">
        <v>13368</v>
      </c>
      <c r="E4258" s="338" t="s">
        <v>10961</v>
      </c>
      <c r="F4258" s="1088">
        <v>4</v>
      </c>
      <c r="G4258" s="772"/>
      <c r="H4258" s="772"/>
      <c r="I4258" s="254" t="s">
        <v>10694</v>
      </c>
      <c r="J4258" s="585" t="s">
        <v>89</v>
      </c>
      <c r="K4258" s="811">
        <v>41991</v>
      </c>
      <c r="L4258" s="585" t="s">
        <v>89</v>
      </c>
      <c r="M4258" s="386"/>
      <c r="N4258" s="386" t="s">
        <v>89</v>
      </c>
      <c r="O4258" s="752" t="s">
        <v>13369</v>
      </c>
      <c r="Q4258" s="464">
        <v>369.6</v>
      </c>
      <c r="R4258" s="323">
        <v>111</v>
      </c>
      <c r="S4258" s="464">
        <f t="shared" ref="S4258:S4270" si="273">F4258*R4258</f>
        <v>444</v>
      </c>
      <c r="U4258" s="772"/>
      <c r="V4258" s="386" t="s">
        <v>5896</v>
      </c>
      <c r="X4258" s="1084">
        <v>41991</v>
      </c>
      <c r="Z4258" s="1100">
        <v>11485</v>
      </c>
      <c r="AA4258" s="1094">
        <v>42013</v>
      </c>
      <c r="AB4258" s="1242" t="s">
        <v>13370</v>
      </c>
      <c r="AF4258" s="386"/>
    </row>
    <row r="4259" spans="1:32" ht="15.75" customHeight="1">
      <c r="A4259" s="1235">
        <v>41984</v>
      </c>
      <c r="B4259" s="592" t="s">
        <v>10959</v>
      </c>
      <c r="C4259" s="970">
        <v>3100045181</v>
      </c>
      <c r="D4259" s="386" t="s">
        <v>13368</v>
      </c>
      <c r="E4259" s="338" t="s">
        <v>13371</v>
      </c>
      <c r="F4259" s="1088">
        <v>4</v>
      </c>
      <c r="G4259" s="772"/>
      <c r="H4259" s="772"/>
      <c r="I4259" s="254" t="s">
        <v>10694</v>
      </c>
      <c r="J4259" s="585" t="s">
        <v>11643</v>
      </c>
      <c r="K4259" s="811">
        <v>41991</v>
      </c>
      <c r="L4259" s="585" t="s">
        <v>10721</v>
      </c>
      <c r="M4259" s="811">
        <v>41989</v>
      </c>
      <c r="N4259" s="386" t="s">
        <v>104</v>
      </c>
      <c r="O4259" s="752" t="s">
        <v>13372</v>
      </c>
      <c r="Q4259" s="772"/>
      <c r="R4259" s="323">
        <v>22</v>
      </c>
      <c r="S4259" s="464">
        <f t="shared" si="273"/>
        <v>88</v>
      </c>
      <c r="U4259" s="464">
        <v>1974</v>
      </c>
      <c r="V4259" s="386" t="s">
        <v>12091</v>
      </c>
      <c r="X4259" s="1084">
        <v>41988</v>
      </c>
      <c r="Z4259" s="1100">
        <v>1974</v>
      </c>
      <c r="AA4259" s="1094">
        <v>42047</v>
      </c>
      <c r="AB4259" s="386"/>
      <c r="AF4259" s="386" t="s">
        <v>13373</v>
      </c>
    </row>
    <row r="4260" spans="1:32" ht="15.75" customHeight="1">
      <c r="A4260" s="1235">
        <v>41985</v>
      </c>
      <c r="B4260" s="592" t="s">
        <v>10673</v>
      </c>
      <c r="C4260" s="970" t="s">
        <v>13374</v>
      </c>
      <c r="D4260" s="386" t="s">
        <v>13375</v>
      </c>
      <c r="E4260" s="338" t="s">
        <v>13376</v>
      </c>
      <c r="F4260" s="1088">
        <v>1</v>
      </c>
      <c r="G4260" s="772"/>
      <c r="H4260" s="772"/>
      <c r="I4260" s="254" t="s">
        <v>10831</v>
      </c>
      <c r="J4260" s="585" t="s">
        <v>89</v>
      </c>
      <c r="K4260" s="811">
        <v>41995</v>
      </c>
      <c r="L4260" s="585" t="s">
        <v>89</v>
      </c>
      <c r="M4260" s="386"/>
      <c r="N4260" s="386" t="s">
        <v>89</v>
      </c>
      <c r="O4260" s="752" t="s">
        <v>13377</v>
      </c>
      <c r="Q4260" s="464">
        <v>150.15</v>
      </c>
      <c r="R4260" s="323">
        <v>166.95</v>
      </c>
      <c r="S4260" s="464">
        <f t="shared" si="273"/>
        <v>166.95</v>
      </c>
      <c r="U4260" s="772"/>
      <c r="V4260" s="386" t="s">
        <v>5896</v>
      </c>
      <c r="X4260" s="1084">
        <v>41995</v>
      </c>
      <c r="Z4260" s="1100">
        <v>4695</v>
      </c>
      <c r="AA4260" s="1094">
        <v>42013</v>
      </c>
      <c r="AB4260" s="386" t="s">
        <v>13378</v>
      </c>
      <c r="AF4260" s="386" t="s">
        <v>13379</v>
      </c>
    </row>
    <row r="4261" spans="1:32" ht="15.75" customHeight="1">
      <c r="A4261" s="1235">
        <v>41985</v>
      </c>
      <c r="B4261" s="592" t="s">
        <v>11516</v>
      </c>
      <c r="C4261" s="386"/>
      <c r="D4261" s="386" t="s">
        <v>13380</v>
      </c>
      <c r="E4261" s="338" t="s">
        <v>13381</v>
      </c>
      <c r="F4261" s="1088">
        <v>2</v>
      </c>
      <c r="G4261" s="772"/>
      <c r="H4261" s="772"/>
      <c r="I4261" s="254" t="s">
        <v>10694</v>
      </c>
      <c r="J4261" s="585" t="s">
        <v>11519</v>
      </c>
      <c r="K4261" s="811">
        <v>41995</v>
      </c>
      <c r="L4261" s="585" t="s">
        <v>5882</v>
      </c>
      <c r="M4261" s="811">
        <v>41992</v>
      </c>
      <c r="N4261" s="386" t="s">
        <v>89</v>
      </c>
      <c r="O4261" s="752" t="s">
        <v>13382</v>
      </c>
      <c r="Q4261" s="464">
        <v>900.9</v>
      </c>
      <c r="R4261" s="464">
        <v>487</v>
      </c>
      <c r="S4261" s="464">
        <f t="shared" si="273"/>
        <v>974</v>
      </c>
      <c r="U4261" s="772"/>
      <c r="V4261" s="386" t="s">
        <v>5896</v>
      </c>
      <c r="X4261" s="1084">
        <v>41992</v>
      </c>
      <c r="Z4261" s="1100">
        <v>27995</v>
      </c>
      <c r="AA4261" s="1094">
        <v>42013</v>
      </c>
      <c r="AB4261" s="263" t="s">
        <v>13266</v>
      </c>
      <c r="AF4261" s="386"/>
    </row>
    <row r="4262" spans="1:32" ht="15.75" customHeight="1">
      <c r="A4262" s="1235">
        <v>41989</v>
      </c>
      <c r="B4262" s="592" t="s">
        <v>10959</v>
      </c>
      <c r="C4262" s="970">
        <v>3100045231</v>
      </c>
      <c r="D4262" s="386" t="s">
        <v>13383</v>
      </c>
      <c r="E4262" s="338" t="s">
        <v>10961</v>
      </c>
      <c r="F4262" s="1088">
        <v>2</v>
      </c>
      <c r="G4262" s="772"/>
      <c r="H4262" s="772"/>
      <c r="I4262" s="254" t="s">
        <v>10694</v>
      </c>
      <c r="J4262" s="585" t="s">
        <v>89</v>
      </c>
      <c r="K4262" s="811">
        <v>41995</v>
      </c>
      <c r="L4262" s="585" t="s">
        <v>89</v>
      </c>
      <c r="M4262" s="386"/>
      <c r="N4262" s="386" t="s">
        <v>89</v>
      </c>
      <c r="O4262" s="752" t="s">
        <v>13384</v>
      </c>
      <c r="Q4262" s="464">
        <v>184.8</v>
      </c>
      <c r="R4262" s="323">
        <v>111</v>
      </c>
      <c r="S4262" s="464">
        <f t="shared" si="273"/>
        <v>222</v>
      </c>
      <c r="U4262" s="772"/>
      <c r="V4262" s="386" t="s">
        <v>5896</v>
      </c>
      <c r="X4262" s="1084">
        <v>41995</v>
      </c>
      <c r="Z4262" s="1100">
        <v>5779</v>
      </c>
      <c r="AA4262" s="1094">
        <v>42013</v>
      </c>
      <c r="AB4262" s="318" t="s">
        <v>13385</v>
      </c>
      <c r="AF4262" s="386" t="s">
        <v>13386</v>
      </c>
    </row>
    <row r="4263" spans="1:32" ht="15.75" customHeight="1">
      <c r="A4263" s="1235">
        <v>41989</v>
      </c>
      <c r="B4263" s="592" t="s">
        <v>10959</v>
      </c>
      <c r="C4263" s="970">
        <v>3100045231</v>
      </c>
      <c r="D4263" s="386" t="s">
        <v>13383</v>
      </c>
      <c r="E4263" s="338" t="s">
        <v>13371</v>
      </c>
      <c r="F4263" s="1088">
        <v>2</v>
      </c>
      <c r="G4263" s="772"/>
      <c r="H4263" s="772"/>
      <c r="I4263" s="254" t="s">
        <v>10694</v>
      </c>
      <c r="J4263" s="585" t="s">
        <v>13387</v>
      </c>
      <c r="K4263" s="811">
        <v>41995</v>
      </c>
      <c r="L4263" s="585" t="s">
        <v>10721</v>
      </c>
      <c r="M4263" s="811">
        <v>41992</v>
      </c>
      <c r="N4263" s="386" t="s">
        <v>104</v>
      </c>
      <c r="O4263" s="752" t="s">
        <v>13388</v>
      </c>
      <c r="Q4263" s="772"/>
      <c r="R4263" s="323">
        <v>22</v>
      </c>
      <c r="S4263" s="464">
        <f t="shared" si="273"/>
        <v>44</v>
      </c>
      <c r="U4263" s="464">
        <v>1013</v>
      </c>
      <c r="V4263" s="386" t="s">
        <v>12091</v>
      </c>
      <c r="X4263" s="1084">
        <v>41990</v>
      </c>
      <c r="Z4263" s="1100">
        <v>1013</v>
      </c>
      <c r="AA4263" s="1094">
        <v>42047</v>
      </c>
      <c r="AB4263" s="318" t="s">
        <v>13385</v>
      </c>
      <c r="AF4263" s="386" t="s">
        <v>13386</v>
      </c>
    </row>
    <row r="4264" spans="1:32" ht="15.75" customHeight="1">
      <c r="A4264" s="1235">
        <v>41990</v>
      </c>
      <c r="B4264" s="592" t="s">
        <v>10673</v>
      </c>
      <c r="C4264" s="970" t="s">
        <v>13389</v>
      </c>
      <c r="D4264" s="386" t="s">
        <v>13390</v>
      </c>
      <c r="E4264" s="338" t="s">
        <v>6404</v>
      </c>
      <c r="F4264" s="1088">
        <v>15</v>
      </c>
      <c r="G4264" s="464">
        <v>3549</v>
      </c>
      <c r="H4264" s="1100">
        <f t="shared" ref="H4264:H4269" si="274">F4264*G4264</f>
        <v>53235</v>
      </c>
      <c r="I4264" s="254" t="s">
        <v>10831</v>
      </c>
      <c r="J4264" s="585" t="s">
        <v>10721</v>
      </c>
      <c r="K4264" s="811">
        <v>41996</v>
      </c>
      <c r="L4264" s="585" t="s">
        <v>10721</v>
      </c>
      <c r="M4264" s="811">
        <v>41992</v>
      </c>
      <c r="N4264" s="386" t="s">
        <v>10778</v>
      </c>
      <c r="O4264" s="1088" t="s">
        <v>13391</v>
      </c>
      <c r="Q4264" s="772"/>
      <c r="R4264" s="323">
        <v>118.3</v>
      </c>
      <c r="S4264" s="464">
        <f t="shared" si="273"/>
        <v>1774.5</v>
      </c>
      <c r="U4264" s="464">
        <v>51030</v>
      </c>
      <c r="V4264" s="386" t="s">
        <v>8443</v>
      </c>
      <c r="X4264" s="1244">
        <v>41991</v>
      </c>
      <c r="Z4264" s="1245">
        <v>118465</v>
      </c>
      <c r="AA4264" s="1094">
        <v>42010</v>
      </c>
      <c r="AB4264" s="386" t="s">
        <v>13392</v>
      </c>
      <c r="AF4264" s="386" t="s">
        <v>13324</v>
      </c>
    </row>
    <row r="4265" spans="1:32" ht="15.75" customHeight="1">
      <c r="A4265" s="1235">
        <v>41990</v>
      </c>
      <c r="B4265" s="592" t="s">
        <v>10673</v>
      </c>
      <c r="C4265" s="970" t="s">
        <v>13389</v>
      </c>
      <c r="D4265" s="386" t="s">
        <v>13390</v>
      </c>
      <c r="E4265" s="338" t="s">
        <v>6261</v>
      </c>
      <c r="F4265" s="1088">
        <v>10</v>
      </c>
      <c r="G4265" s="464">
        <v>3727.5</v>
      </c>
      <c r="H4265" s="1100">
        <f t="shared" si="274"/>
        <v>37275</v>
      </c>
      <c r="I4265" s="254" t="s">
        <v>10831</v>
      </c>
      <c r="J4265" s="585" t="s">
        <v>10721</v>
      </c>
      <c r="K4265" s="811">
        <v>41996</v>
      </c>
      <c r="L4265" s="585" t="s">
        <v>10721</v>
      </c>
      <c r="M4265" s="811">
        <v>41992</v>
      </c>
      <c r="N4265" s="386" t="s">
        <v>10778</v>
      </c>
      <c r="O4265" s="1088" t="s">
        <v>13391</v>
      </c>
      <c r="Q4265" s="772"/>
      <c r="R4265" s="323">
        <v>124.25</v>
      </c>
      <c r="S4265" s="464">
        <f t="shared" si="273"/>
        <v>1242.5</v>
      </c>
      <c r="U4265" s="464">
        <v>36886.5</v>
      </c>
      <c r="V4265" s="386" t="s">
        <v>8443</v>
      </c>
      <c r="X4265" s="1244"/>
      <c r="Z4265" s="1245"/>
      <c r="AA4265" s="1094">
        <v>42010</v>
      </c>
      <c r="AB4265" s="386" t="s">
        <v>13392</v>
      </c>
      <c r="AF4265" s="386" t="s">
        <v>13324</v>
      </c>
    </row>
    <row r="4266" spans="1:32" ht="15.75" customHeight="1">
      <c r="A4266" s="1235">
        <v>41990</v>
      </c>
      <c r="B4266" s="592" t="s">
        <v>10673</v>
      </c>
      <c r="C4266" s="970" t="s">
        <v>13389</v>
      </c>
      <c r="D4266" s="386" t="s">
        <v>13390</v>
      </c>
      <c r="E4266" s="338" t="s">
        <v>3515</v>
      </c>
      <c r="F4266" s="1088">
        <v>15</v>
      </c>
      <c r="G4266" s="464">
        <v>1352.4</v>
      </c>
      <c r="H4266" s="1100">
        <f t="shared" si="274"/>
        <v>20286</v>
      </c>
      <c r="I4266" s="254" t="s">
        <v>10831</v>
      </c>
      <c r="J4266" s="585" t="s">
        <v>10721</v>
      </c>
      <c r="K4266" s="811">
        <v>41996</v>
      </c>
      <c r="L4266" s="585" t="s">
        <v>10721</v>
      </c>
      <c r="M4266" s="811">
        <v>41992</v>
      </c>
      <c r="N4266" s="386" t="s">
        <v>10778</v>
      </c>
      <c r="O4266" s="1088" t="s">
        <v>13391</v>
      </c>
      <c r="Q4266" s="772"/>
      <c r="R4266" s="323">
        <v>45.08</v>
      </c>
      <c r="S4266" s="464">
        <f t="shared" si="273"/>
        <v>676.19999999999993</v>
      </c>
      <c r="U4266" s="464">
        <v>19482.75</v>
      </c>
      <c r="V4266" s="386" t="s">
        <v>8443</v>
      </c>
      <c r="X4266" s="1244"/>
      <c r="Z4266" s="1245"/>
      <c r="AA4266" s="1094">
        <v>42010</v>
      </c>
      <c r="AB4266" s="386" t="s">
        <v>13392</v>
      </c>
      <c r="AF4266" s="386" t="s">
        <v>13324</v>
      </c>
    </row>
    <row r="4267" spans="1:32" ht="15.75" customHeight="1">
      <c r="A4267" s="1235">
        <v>41990</v>
      </c>
      <c r="B4267" s="592" t="s">
        <v>10673</v>
      </c>
      <c r="C4267" s="970" t="s">
        <v>13389</v>
      </c>
      <c r="D4267" s="386" t="s">
        <v>13390</v>
      </c>
      <c r="E4267" s="338" t="s">
        <v>6992</v>
      </c>
      <c r="F4267" s="1088">
        <v>3</v>
      </c>
      <c r="G4267" s="464">
        <v>3841.95</v>
      </c>
      <c r="H4267" s="1100">
        <f t="shared" si="274"/>
        <v>11525.849999999999</v>
      </c>
      <c r="I4267" s="254" t="s">
        <v>10831</v>
      </c>
      <c r="J4267" s="585" t="s">
        <v>10721</v>
      </c>
      <c r="K4267" s="811">
        <v>41996</v>
      </c>
      <c r="L4267" s="585" t="s">
        <v>10721</v>
      </c>
      <c r="M4267" s="811">
        <v>41992</v>
      </c>
      <c r="N4267" s="386" t="s">
        <v>10778</v>
      </c>
      <c r="O4267" s="1088" t="s">
        <v>13391</v>
      </c>
      <c r="Q4267" s="772"/>
      <c r="R4267" s="323">
        <v>128.065</v>
      </c>
      <c r="S4267" s="464">
        <f t="shared" si="273"/>
        <v>384.19499999999999</v>
      </c>
      <c r="U4267" s="464">
        <v>11065.95</v>
      </c>
      <c r="V4267" s="386" t="s">
        <v>8443</v>
      </c>
      <c r="X4267" s="1094"/>
      <c r="Z4267" s="1110"/>
      <c r="AA4267" s="1094">
        <v>42010</v>
      </c>
      <c r="AB4267" s="386" t="s">
        <v>13392</v>
      </c>
      <c r="AF4267" s="386" t="s">
        <v>13324</v>
      </c>
    </row>
    <row r="4268" spans="1:32" ht="15.75" customHeight="1">
      <c r="A4268" s="1235">
        <v>41991</v>
      </c>
      <c r="B4268" s="592" t="s">
        <v>10673</v>
      </c>
      <c r="C4268" s="970" t="s">
        <v>13393</v>
      </c>
      <c r="D4268" s="386" t="s">
        <v>13394</v>
      </c>
      <c r="E4268" s="338" t="s">
        <v>6261</v>
      </c>
      <c r="F4268" s="1088">
        <v>2</v>
      </c>
      <c r="G4268" s="464">
        <v>3727.5</v>
      </c>
      <c r="H4268" s="1100">
        <f t="shared" si="274"/>
        <v>7455</v>
      </c>
      <c r="I4268" s="254" t="s">
        <v>10831</v>
      </c>
      <c r="J4268" s="585" t="s">
        <v>10721</v>
      </c>
      <c r="K4268" s="811">
        <v>41996</v>
      </c>
      <c r="L4268" s="585" t="s">
        <v>10721</v>
      </c>
      <c r="M4268" s="811">
        <v>41992</v>
      </c>
      <c r="N4268" s="386" t="s">
        <v>10778</v>
      </c>
      <c r="O4268" s="1088" t="s">
        <v>13395</v>
      </c>
      <c r="Q4268" s="772"/>
      <c r="R4268" s="1088">
        <v>124.25</v>
      </c>
      <c r="S4268" s="464">
        <f t="shared" si="273"/>
        <v>248.5</v>
      </c>
      <c r="U4268" s="464">
        <v>7377.3</v>
      </c>
      <c r="V4268" s="386" t="s">
        <v>8443</v>
      </c>
      <c r="X4268" s="1244">
        <v>41991</v>
      </c>
      <c r="Z4268" s="1245">
        <v>11619</v>
      </c>
      <c r="AA4268" s="1094">
        <v>42010</v>
      </c>
      <c r="AB4268" s="386" t="s">
        <v>13396</v>
      </c>
      <c r="AF4268" s="386" t="s">
        <v>13324</v>
      </c>
    </row>
    <row r="4269" spans="1:32" ht="15.75" customHeight="1">
      <c r="A4269" s="1235">
        <v>41991</v>
      </c>
      <c r="B4269" s="592" t="s">
        <v>10673</v>
      </c>
      <c r="C4269" s="970" t="s">
        <v>13393</v>
      </c>
      <c r="D4269" s="386" t="s">
        <v>13394</v>
      </c>
      <c r="E4269" s="338" t="s">
        <v>11101</v>
      </c>
      <c r="F4269" s="1088">
        <v>1</v>
      </c>
      <c r="G4269" s="464">
        <v>4418.3999999999996</v>
      </c>
      <c r="H4269" s="1100">
        <f t="shared" si="274"/>
        <v>4418.3999999999996</v>
      </c>
      <c r="I4269" s="254" t="s">
        <v>10831</v>
      </c>
      <c r="J4269" s="585" t="s">
        <v>10721</v>
      </c>
      <c r="K4269" s="811">
        <v>41996</v>
      </c>
      <c r="L4269" s="585" t="s">
        <v>10721</v>
      </c>
      <c r="M4269" s="811">
        <v>41992</v>
      </c>
      <c r="N4269" s="386" t="s">
        <v>10778</v>
      </c>
      <c r="O4269" s="1088" t="s">
        <v>13395</v>
      </c>
      <c r="Q4269" s="772"/>
      <c r="R4269" s="1088">
        <v>147.28</v>
      </c>
      <c r="S4269" s="464">
        <f t="shared" si="273"/>
        <v>147.28</v>
      </c>
      <c r="U4269" s="464">
        <v>4242</v>
      </c>
      <c r="V4269" s="386" t="s">
        <v>8443</v>
      </c>
      <c r="X4269" s="1094"/>
      <c r="Z4269" s="1110"/>
      <c r="AA4269" s="1094">
        <v>42010</v>
      </c>
      <c r="AB4269" s="386" t="s">
        <v>13396</v>
      </c>
      <c r="AF4269" s="386" t="s">
        <v>13324</v>
      </c>
    </row>
    <row r="4270" spans="1:32" ht="15.75" customHeight="1">
      <c r="A4270" s="1235">
        <v>41991</v>
      </c>
      <c r="B4270" s="592" t="s">
        <v>8502</v>
      </c>
      <c r="C4270" s="386" t="s">
        <v>13397</v>
      </c>
      <c r="D4270" s="386" t="s">
        <v>13398</v>
      </c>
      <c r="E4270" s="338" t="s">
        <v>13399</v>
      </c>
      <c r="F4270" s="1088">
        <v>1</v>
      </c>
      <c r="G4270" s="772"/>
      <c r="H4270" s="386"/>
      <c r="I4270" s="254" t="s">
        <v>10831</v>
      </c>
      <c r="J4270" s="585" t="s">
        <v>89</v>
      </c>
      <c r="K4270" s="811">
        <v>41998</v>
      </c>
      <c r="L4270" s="585" t="s">
        <v>89</v>
      </c>
      <c r="M4270" s="386"/>
      <c r="N4270" s="386" t="s">
        <v>89</v>
      </c>
      <c r="O4270" s="752" t="s">
        <v>13400</v>
      </c>
      <c r="Q4270" s="464">
        <v>27.3</v>
      </c>
      <c r="R4270" s="323">
        <v>32.130000000000003</v>
      </c>
      <c r="S4270" s="464">
        <f t="shared" si="273"/>
        <v>32.130000000000003</v>
      </c>
      <c r="U4270" s="772"/>
      <c r="V4270" s="386" t="s">
        <v>5896</v>
      </c>
      <c r="X4270" s="1084">
        <v>41998</v>
      </c>
      <c r="Z4270" s="752">
        <v>854</v>
      </c>
      <c r="AA4270" s="1094">
        <v>42013</v>
      </c>
      <c r="AB4270" s="386" t="s">
        <v>13401</v>
      </c>
      <c r="AF4270" s="386"/>
    </row>
    <row r="4271" spans="1:32" ht="15.75" customHeight="1">
      <c r="A4271" s="1235">
        <v>41995</v>
      </c>
      <c r="B4271" s="592" t="s">
        <v>11516</v>
      </c>
      <c r="C4271" s="386"/>
      <c r="D4271" s="386" t="s">
        <v>13402</v>
      </c>
      <c r="E4271" s="338" t="s">
        <v>13403</v>
      </c>
      <c r="F4271" s="1088">
        <v>1</v>
      </c>
      <c r="G4271" s="772"/>
      <c r="H4271" s="772"/>
      <c r="I4271" s="254" t="s">
        <v>10694</v>
      </c>
      <c r="J4271" s="585" t="s">
        <v>11519</v>
      </c>
      <c r="K4271" s="811">
        <v>42002</v>
      </c>
      <c r="L4271" s="585" t="s">
        <v>5882</v>
      </c>
      <c r="M4271" s="811">
        <v>41999</v>
      </c>
      <c r="N4271" s="386" t="s">
        <v>89</v>
      </c>
      <c r="O4271" s="752" t="s">
        <v>13404</v>
      </c>
      <c r="Q4271" s="464">
        <v>924</v>
      </c>
      <c r="R4271" s="464">
        <v>1070</v>
      </c>
      <c r="S4271" s="464">
        <v>1070</v>
      </c>
      <c r="U4271" s="772"/>
      <c r="V4271" s="386" t="s">
        <v>5896</v>
      </c>
      <c r="X4271" s="1084">
        <v>41999</v>
      </c>
      <c r="Z4271" s="1100">
        <v>28893</v>
      </c>
      <c r="AA4271" s="1094">
        <v>42013</v>
      </c>
      <c r="AB4271" s="263" t="s">
        <v>13356</v>
      </c>
      <c r="AF4271" s="386"/>
    </row>
    <row r="4272" spans="1:32" ht="15.75" customHeight="1">
      <c r="A4272" s="1235">
        <v>41995</v>
      </c>
      <c r="B4272" s="592" t="s">
        <v>11825</v>
      </c>
      <c r="C4272" s="386" t="s">
        <v>13405</v>
      </c>
      <c r="D4272" s="386" t="s">
        <v>13406</v>
      </c>
      <c r="E4272" s="592" t="s">
        <v>4616</v>
      </c>
      <c r="F4272" s="1088">
        <v>10</v>
      </c>
      <c r="G4272" s="386"/>
      <c r="H4272" s="386"/>
      <c r="I4272" s="254" t="s">
        <v>3712</v>
      </c>
      <c r="J4272" s="585" t="s">
        <v>13124</v>
      </c>
      <c r="K4272" s="811">
        <v>42002</v>
      </c>
      <c r="L4272" s="585" t="s">
        <v>5882</v>
      </c>
      <c r="M4272" s="811">
        <v>41999</v>
      </c>
      <c r="N4272" s="386" t="s">
        <v>89</v>
      </c>
      <c r="O4272" s="386" t="s">
        <v>13407</v>
      </c>
      <c r="Q4272" s="752">
        <v>829.5</v>
      </c>
      <c r="R4272" s="1088">
        <v>91</v>
      </c>
      <c r="S4272" s="464">
        <f>R4272*F4272</f>
        <v>910</v>
      </c>
      <c r="U4272" s="772"/>
      <c r="V4272" s="386" t="s">
        <v>5896</v>
      </c>
      <c r="X4272" s="1084">
        <v>41999</v>
      </c>
      <c r="Z4272" s="1100">
        <v>55292</v>
      </c>
      <c r="AA4272" s="1094">
        <v>42013</v>
      </c>
      <c r="AB4272" s="263" t="s">
        <v>13408</v>
      </c>
      <c r="AF4272" s="386"/>
    </row>
    <row r="4273" spans="1:43" ht="15.75" customHeight="1">
      <c r="A4273" s="1235">
        <v>41995</v>
      </c>
      <c r="B4273" s="592" t="s">
        <v>11825</v>
      </c>
      <c r="C4273" s="386" t="s">
        <v>13405</v>
      </c>
      <c r="D4273" s="386" t="s">
        <v>13406</v>
      </c>
      <c r="E4273" s="592" t="s">
        <v>13409</v>
      </c>
      <c r="F4273" s="1088">
        <v>3</v>
      </c>
      <c r="G4273" s="386"/>
      <c r="H4273" s="386"/>
      <c r="I4273" s="254" t="s">
        <v>3712</v>
      </c>
      <c r="J4273" s="585" t="s">
        <v>13124</v>
      </c>
      <c r="K4273" s="811">
        <v>42002</v>
      </c>
      <c r="L4273" s="585" t="s">
        <v>5882</v>
      </c>
      <c r="M4273" s="811">
        <v>41999</v>
      </c>
      <c r="N4273" s="386" t="s">
        <v>89</v>
      </c>
      <c r="O4273" s="386" t="s">
        <v>13407</v>
      </c>
      <c r="Q4273" s="752">
        <v>938.7</v>
      </c>
      <c r="R4273" s="1088">
        <v>348</v>
      </c>
      <c r="S4273" s="464">
        <f>R4273*F4273</f>
        <v>1044</v>
      </c>
      <c r="U4273" s="772"/>
      <c r="V4273" s="386" t="s">
        <v>5896</v>
      </c>
      <c r="X4273" s="386"/>
      <c r="Z4273" s="386"/>
      <c r="AA4273" s="1094">
        <v>42013</v>
      </c>
      <c r="AB4273" s="263" t="s">
        <v>13408</v>
      </c>
      <c r="AF4273" s="386"/>
    </row>
    <row r="4274" spans="1:43" ht="15.75" customHeight="1">
      <c r="A4274" s="1261">
        <v>41171</v>
      </c>
      <c r="B4274" s="20" t="s">
        <v>665</v>
      </c>
      <c r="C4274" s="70" t="s">
        <v>13411</v>
      </c>
      <c r="D4274" s="519" t="s">
        <v>13412</v>
      </c>
      <c r="E4274" s="20" t="s">
        <v>8693</v>
      </c>
      <c r="F4274" s="1262">
        <v>12</v>
      </c>
      <c r="G4274" s="684">
        <v>103</v>
      </c>
      <c r="H4274" s="1262">
        <f t="shared" ref="H4274:H4277" si="275">F4274*G4274</f>
        <v>1236</v>
      </c>
      <c r="I4274" s="130" t="s">
        <v>8429</v>
      </c>
      <c r="J4274" s="130" t="s">
        <v>13413</v>
      </c>
      <c r="K4274" s="726">
        <v>41387</v>
      </c>
      <c r="L4274" s="130" t="s">
        <v>89</v>
      </c>
      <c r="M4274" s="519"/>
      <c r="N4274" s="519" t="s">
        <v>89</v>
      </c>
      <c r="O4274" s="519"/>
      <c r="Q4274" s="1494" t="s">
        <v>13415</v>
      </c>
      <c r="U4274" s="159"/>
      <c r="V4274" s="70" t="s">
        <v>13414</v>
      </c>
      <c r="W4274" s="66"/>
      <c r="X4274" s="1497">
        <v>41386</v>
      </c>
      <c r="Y4274" s="137"/>
      <c r="Z4274" s="1513">
        <v>345645</v>
      </c>
      <c r="AA4274" s="519"/>
      <c r="AB4274" s="1514" t="s">
        <v>13416</v>
      </c>
      <c r="AC4274" s="66"/>
      <c r="AD4274" s="66"/>
      <c r="AE4274" s="66"/>
      <c r="AF4274" s="66"/>
      <c r="AG4274" s="66"/>
    </row>
    <row r="4275" spans="1:43" ht="15.75" customHeight="1">
      <c r="A4275" s="1261">
        <v>41171</v>
      </c>
      <c r="B4275" s="20" t="s">
        <v>665</v>
      </c>
      <c r="C4275" s="70" t="s">
        <v>13411</v>
      </c>
      <c r="D4275" s="519" t="s">
        <v>13412</v>
      </c>
      <c r="E4275" s="20" t="s">
        <v>8353</v>
      </c>
      <c r="F4275" s="1262">
        <v>7</v>
      </c>
      <c r="G4275" s="684">
        <v>377</v>
      </c>
      <c r="H4275" s="1262">
        <f t="shared" si="275"/>
        <v>2639</v>
      </c>
      <c r="I4275" s="130" t="s">
        <v>8429</v>
      </c>
      <c r="J4275" s="130" t="s">
        <v>13413</v>
      </c>
      <c r="K4275" s="726">
        <v>41387</v>
      </c>
      <c r="L4275" s="130" t="s">
        <v>89</v>
      </c>
      <c r="M4275" s="519"/>
      <c r="N4275" s="519" t="s">
        <v>89</v>
      </c>
      <c r="O4275" s="519"/>
      <c r="Q4275" s="1495"/>
      <c r="U4275" s="159"/>
      <c r="V4275" s="70" t="s">
        <v>13414</v>
      </c>
      <c r="W4275" s="66"/>
      <c r="X4275" s="1498"/>
      <c r="Y4275" s="137"/>
      <c r="Z4275" s="1498"/>
      <c r="AA4275" s="1265" t="s">
        <v>13417</v>
      </c>
      <c r="AB4275" s="1498"/>
      <c r="AC4275" s="66"/>
      <c r="AD4275" s="66"/>
      <c r="AE4275" s="66"/>
      <c r="AF4275" s="66"/>
      <c r="AG4275" s="66"/>
    </row>
    <row r="4276" spans="1:43" ht="15.75" customHeight="1">
      <c r="A4276" s="1261">
        <v>41171</v>
      </c>
      <c r="B4276" s="20" t="s">
        <v>665</v>
      </c>
      <c r="C4276" s="70" t="s">
        <v>13411</v>
      </c>
      <c r="D4276" s="519" t="s">
        <v>13412</v>
      </c>
      <c r="E4276" s="20" t="s">
        <v>8688</v>
      </c>
      <c r="F4276" s="1262">
        <v>6</v>
      </c>
      <c r="G4276" s="684">
        <v>966</v>
      </c>
      <c r="H4276" s="1262">
        <f t="shared" si="275"/>
        <v>5796</v>
      </c>
      <c r="I4276" s="130" t="s">
        <v>8429</v>
      </c>
      <c r="J4276" s="130" t="s">
        <v>13413</v>
      </c>
      <c r="K4276" s="726">
        <v>41387</v>
      </c>
      <c r="L4276" s="130" t="s">
        <v>89</v>
      </c>
      <c r="M4276" s="519"/>
      <c r="N4276" s="519" t="s">
        <v>89</v>
      </c>
      <c r="O4276" s="519"/>
      <c r="Q4276" s="1495"/>
      <c r="U4276" s="159"/>
      <c r="V4276" s="70" t="s">
        <v>13414</v>
      </c>
      <c r="W4276" s="91"/>
      <c r="X4276" s="1498"/>
      <c r="Y4276" s="57"/>
      <c r="Z4276" s="1498"/>
      <c r="AA4276" s="1265" t="s">
        <v>13417</v>
      </c>
      <c r="AB4276" s="1498"/>
      <c r="AC4276" s="91"/>
      <c r="AD4276" s="91"/>
      <c r="AE4276" s="91"/>
      <c r="AF4276" s="91"/>
      <c r="AG4276" s="91"/>
    </row>
    <row r="4277" spans="1:43" ht="15.75" customHeight="1">
      <c r="A4277" s="1261">
        <v>41171</v>
      </c>
      <c r="B4277" s="20" t="s">
        <v>665</v>
      </c>
      <c r="C4277" s="70" t="s">
        <v>13411</v>
      </c>
      <c r="D4277" s="519" t="s">
        <v>13412</v>
      </c>
      <c r="E4277" s="20" t="s">
        <v>13418</v>
      </c>
      <c r="F4277" s="1262">
        <v>8</v>
      </c>
      <c r="G4277" s="684">
        <v>354</v>
      </c>
      <c r="H4277" s="1262">
        <f t="shared" si="275"/>
        <v>2832</v>
      </c>
      <c r="I4277" s="130" t="s">
        <v>8429</v>
      </c>
      <c r="J4277" s="130" t="s">
        <v>13413</v>
      </c>
      <c r="K4277" s="726">
        <v>41387</v>
      </c>
      <c r="L4277" s="130" t="s">
        <v>89</v>
      </c>
      <c r="M4277" s="519"/>
      <c r="N4277" s="519" t="s">
        <v>89</v>
      </c>
      <c r="O4277" s="519"/>
      <c r="Q4277" s="1496"/>
      <c r="U4277" s="159"/>
      <c r="V4277" s="70" t="s">
        <v>13414</v>
      </c>
      <c r="W4277" s="91"/>
      <c r="X4277" s="1499"/>
      <c r="Y4277" s="57"/>
      <c r="Z4277" s="1499"/>
      <c r="AA4277" s="1265" t="s">
        <v>13417</v>
      </c>
      <c r="AB4277" s="1499"/>
      <c r="AC4277" s="91"/>
      <c r="AD4277" s="91"/>
      <c r="AE4277" s="91"/>
      <c r="AF4277" s="91"/>
      <c r="AG4277" s="91"/>
    </row>
    <row r="4278" spans="1:43" ht="15.75" customHeight="1">
      <c r="A4278" s="1261">
        <v>41234</v>
      </c>
      <c r="B4278" s="20" t="s">
        <v>1189</v>
      </c>
      <c r="C4278" s="70" t="s">
        <v>13419</v>
      </c>
      <c r="D4278" s="20" t="s">
        <v>13420</v>
      </c>
      <c r="E4278" s="20" t="s">
        <v>12387</v>
      </c>
      <c r="F4278" s="684">
        <v>100</v>
      </c>
      <c r="G4278" s="684">
        <v>37.5</v>
      </c>
      <c r="H4278" s="684">
        <f t="shared" ref="H4278:H4299" si="276">G4278*F4278</f>
        <v>3750</v>
      </c>
      <c r="I4278" s="429" t="s">
        <v>86</v>
      </c>
      <c r="J4278" s="429" t="s">
        <v>13421</v>
      </c>
      <c r="K4278" s="726">
        <v>41346</v>
      </c>
      <c r="L4278" s="429" t="s">
        <v>12388</v>
      </c>
      <c r="M4278" s="519"/>
      <c r="N4278" s="20" t="s">
        <v>12389</v>
      </c>
      <c r="O4278" s="519"/>
      <c r="Q4278" s="1266"/>
      <c r="U4278" s="719">
        <v>105000</v>
      </c>
      <c r="V4278" s="70" t="s">
        <v>2413</v>
      </c>
      <c r="W4278" s="91"/>
      <c r="X4278" s="560">
        <v>41341</v>
      </c>
      <c r="Y4278" s="57"/>
      <c r="Z4278" s="719">
        <v>105000</v>
      </c>
      <c r="AA4278" s="20" t="s">
        <v>13422</v>
      </c>
      <c r="AB4278" s="451" t="s">
        <v>13423</v>
      </c>
      <c r="AC4278" s="91"/>
      <c r="AD4278" s="91"/>
      <c r="AE4278" s="91"/>
      <c r="AF4278" s="91"/>
      <c r="AG4278" s="91"/>
    </row>
    <row r="4279" spans="1:43" ht="15.75" customHeight="1">
      <c r="A4279" s="1261">
        <v>41262</v>
      </c>
      <c r="B4279" s="20" t="s">
        <v>7204</v>
      </c>
      <c r="C4279" s="70" t="s">
        <v>13424</v>
      </c>
      <c r="D4279" s="20" t="s">
        <v>13425</v>
      </c>
      <c r="E4279" s="20" t="s">
        <v>13426</v>
      </c>
      <c r="F4279" s="684">
        <v>10</v>
      </c>
      <c r="G4279" s="684">
        <v>240</v>
      </c>
      <c r="H4279" s="684">
        <f t="shared" si="276"/>
        <v>2400</v>
      </c>
      <c r="I4279" s="519"/>
      <c r="J4279" s="429" t="s">
        <v>13427</v>
      </c>
      <c r="K4279" s="1267">
        <v>41276</v>
      </c>
      <c r="L4279" s="429" t="s">
        <v>12379</v>
      </c>
      <c r="M4279" s="519"/>
      <c r="N4279" s="519" t="s">
        <v>89</v>
      </c>
      <c r="O4279" s="519"/>
      <c r="Q4279" s="1268" t="s">
        <v>13429</v>
      </c>
      <c r="U4279" s="159"/>
      <c r="V4279" s="70" t="s">
        <v>13414</v>
      </c>
      <c r="W4279" s="91"/>
      <c r="X4279" s="560">
        <v>41636</v>
      </c>
      <c r="Y4279" s="57"/>
      <c r="Z4279" s="719">
        <v>59367</v>
      </c>
      <c r="AA4279" s="20" t="s">
        <v>13428</v>
      </c>
      <c r="AB4279" s="451" t="s">
        <v>13430</v>
      </c>
      <c r="AC4279" s="91"/>
      <c r="AD4279" s="91"/>
      <c r="AE4279" s="91"/>
      <c r="AF4279" s="91"/>
      <c r="AG4279" s="91"/>
    </row>
    <row r="4280" spans="1:43" ht="15.75" customHeight="1">
      <c r="A4280" s="1269">
        <v>41288</v>
      </c>
      <c r="B4280" s="519" t="s">
        <v>1189</v>
      </c>
      <c r="C4280" s="642" t="s">
        <v>13431</v>
      </c>
      <c r="D4280" s="519" t="s">
        <v>13432</v>
      </c>
      <c r="E4280" s="20" t="s">
        <v>13433</v>
      </c>
      <c r="F4280" s="1262">
        <v>100</v>
      </c>
      <c r="G4280" s="1262">
        <v>12.9</v>
      </c>
      <c r="H4280" s="684">
        <f t="shared" si="276"/>
        <v>1290</v>
      </c>
      <c r="I4280" s="519"/>
      <c r="J4280" s="429" t="s">
        <v>13421</v>
      </c>
      <c r="K4280" s="726">
        <v>41346</v>
      </c>
      <c r="L4280" s="429" t="s">
        <v>12379</v>
      </c>
      <c r="M4280" s="519"/>
      <c r="N4280" s="20" t="s">
        <v>12389</v>
      </c>
      <c r="O4280" s="519"/>
      <c r="Q4280" s="1266"/>
      <c r="U4280" s="1270">
        <v>33600</v>
      </c>
      <c r="V4280" s="70" t="s">
        <v>2413</v>
      </c>
      <c r="W4280" s="91"/>
      <c r="X4280" s="560">
        <v>41341</v>
      </c>
      <c r="Y4280" s="57"/>
      <c r="Z4280" s="1270">
        <v>33600</v>
      </c>
      <c r="AA4280" s="20" t="s">
        <v>13422</v>
      </c>
      <c r="AB4280" s="451" t="s">
        <v>13423</v>
      </c>
      <c r="AC4280" s="91"/>
      <c r="AD4280" s="91"/>
      <c r="AE4280" s="91"/>
      <c r="AF4280" s="91"/>
      <c r="AG4280" s="91"/>
    </row>
    <row r="4281" spans="1:43" ht="15.75" customHeight="1">
      <c r="A4281" s="1269">
        <v>41290</v>
      </c>
      <c r="B4281" s="20" t="s">
        <v>13434</v>
      </c>
      <c r="C4281" s="642" t="s">
        <v>13435</v>
      </c>
      <c r="D4281" s="519"/>
      <c r="E4281" s="20" t="s">
        <v>13436</v>
      </c>
      <c r="F4281" s="1262">
        <v>2</v>
      </c>
      <c r="G4281" s="1262">
        <v>186</v>
      </c>
      <c r="H4281" s="684">
        <f t="shared" si="276"/>
        <v>372</v>
      </c>
      <c r="I4281" s="130" t="s">
        <v>13437</v>
      </c>
      <c r="J4281" s="519"/>
      <c r="K4281" s="1163">
        <v>41291</v>
      </c>
      <c r="L4281" s="130" t="s">
        <v>89</v>
      </c>
      <c r="M4281" s="519"/>
      <c r="N4281" s="519" t="s">
        <v>89</v>
      </c>
      <c r="O4281" s="519"/>
      <c r="Q4281" s="1494" t="s">
        <v>13438</v>
      </c>
      <c r="U4281" s="159"/>
      <c r="V4281" s="70" t="s">
        <v>13414</v>
      </c>
      <c r="W4281" s="91"/>
      <c r="X4281" s="1497">
        <v>41291</v>
      </c>
      <c r="Y4281" s="57"/>
      <c r="Z4281" s="1513">
        <v>13866</v>
      </c>
      <c r="AA4281" s="20" t="s">
        <v>13428</v>
      </c>
      <c r="AB4281" s="1514" t="s">
        <v>13439</v>
      </c>
      <c r="AC4281" s="91"/>
      <c r="AD4281" s="91"/>
      <c r="AE4281" s="91"/>
      <c r="AF4281" s="91"/>
      <c r="AG4281" s="91"/>
    </row>
    <row r="4282" spans="1:43" ht="15.75" customHeight="1">
      <c r="A4282" s="1269">
        <v>41290</v>
      </c>
      <c r="B4282" s="20" t="s">
        <v>13434</v>
      </c>
      <c r="C4282" s="642" t="s">
        <v>13435</v>
      </c>
      <c r="D4282" s="519" t="s">
        <v>13440</v>
      </c>
      <c r="E4282" s="20" t="s">
        <v>13441</v>
      </c>
      <c r="F4282" s="1262">
        <v>2</v>
      </c>
      <c r="G4282" s="1262">
        <v>86</v>
      </c>
      <c r="H4282" s="684">
        <f t="shared" si="276"/>
        <v>172</v>
      </c>
      <c r="I4282" s="130" t="s">
        <v>13442</v>
      </c>
      <c r="J4282" s="519"/>
      <c r="K4282" s="1163">
        <v>41291</v>
      </c>
      <c r="L4282" s="130" t="s">
        <v>89</v>
      </c>
      <c r="M4282" s="519"/>
      <c r="N4282" s="519" t="s">
        <v>89</v>
      </c>
      <c r="O4282" s="519"/>
      <c r="Q4282" s="1496"/>
      <c r="U4282" s="159"/>
      <c r="V4282" s="70" t="s">
        <v>13414</v>
      </c>
      <c r="W4282" s="91"/>
      <c r="X4282" s="1499"/>
      <c r="Y4282" s="57"/>
      <c r="Z4282" s="1499"/>
      <c r="AA4282" s="20" t="s">
        <v>13428</v>
      </c>
      <c r="AB4282" s="1499"/>
      <c r="AC4282" s="91"/>
      <c r="AD4282" s="91"/>
      <c r="AE4282" s="91"/>
      <c r="AF4282" s="91"/>
      <c r="AG4282" s="91"/>
    </row>
    <row r="4283" spans="1:43" ht="15.75" customHeight="1">
      <c r="A4283" s="1269">
        <v>41292</v>
      </c>
      <c r="B4283" s="519" t="s">
        <v>10984</v>
      </c>
      <c r="C4283" s="642">
        <v>13000002</v>
      </c>
      <c r="D4283" s="519" t="s">
        <v>13443</v>
      </c>
      <c r="E4283" s="20" t="s">
        <v>6398</v>
      </c>
      <c r="F4283" s="1262">
        <v>2</v>
      </c>
      <c r="G4283" s="1262">
        <v>321</v>
      </c>
      <c r="H4283" s="684">
        <f t="shared" si="276"/>
        <v>642</v>
      </c>
      <c r="I4283" s="519"/>
      <c r="J4283" s="130" t="s">
        <v>13444</v>
      </c>
      <c r="K4283" s="726">
        <v>41306</v>
      </c>
      <c r="L4283" s="130" t="s">
        <v>89</v>
      </c>
      <c r="M4283" s="519"/>
      <c r="N4283" s="519" t="s">
        <v>89</v>
      </c>
      <c r="O4283" s="519"/>
      <c r="Q4283" s="1494" t="s">
        <v>13445</v>
      </c>
      <c r="U4283" s="159"/>
      <c r="V4283" s="70" t="s">
        <v>13414</v>
      </c>
      <c r="W4283" s="91"/>
      <c r="X4283" s="1271">
        <v>41298</v>
      </c>
      <c r="Y4283" s="57"/>
      <c r="Z4283" s="1510">
        <v>37513</v>
      </c>
      <c r="AA4283" s="20" t="s">
        <v>13428</v>
      </c>
      <c r="AB4283" s="1515" t="s">
        <v>13446</v>
      </c>
      <c r="AC4283" s="91"/>
      <c r="AD4283" s="91"/>
      <c r="AE4283" s="91"/>
      <c r="AF4283" s="91"/>
      <c r="AG4283" s="91"/>
    </row>
    <row r="4284" spans="1:43" ht="15.75" customHeight="1">
      <c r="A4284" s="1269">
        <v>41292</v>
      </c>
      <c r="B4284" s="519" t="s">
        <v>10984</v>
      </c>
      <c r="C4284" s="642">
        <v>13000002</v>
      </c>
      <c r="D4284" s="519" t="s">
        <v>13443</v>
      </c>
      <c r="E4284" s="20" t="s">
        <v>10961</v>
      </c>
      <c r="F4284" s="1262">
        <v>8</v>
      </c>
      <c r="G4284" s="1262">
        <v>111</v>
      </c>
      <c r="H4284" s="684">
        <f t="shared" si="276"/>
        <v>888</v>
      </c>
      <c r="I4284" s="519"/>
      <c r="J4284" s="130" t="s">
        <v>13444</v>
      </c>
      <c r="K4284" s="519"/>
      <c r="L4284" s="130" t="s">
        <v>89</v>
      </c>
      <c r="M4284" s="519"/>
      <c r="N4284" s="519" t="s">
        <v>89</v>
      </c>
      <c r="O4284" s="519"/>
      <c r="Q4284" s="1496"/>
      <c r="U4284" s="159"/>
      <c r="V4284" s="70" t="s">
        <v>13414</v>
      </c>
      <c r="W4284" s="91"/>
      <c r="X4284" s="1271">
        <v>41298</v>
      </c>
      <c r="Y4284" s="57"/>
      <c r="Z4284" s="1499"/>
      <c r="AA4284" s="20" t="s">
        <v>13428</v>
      </c>
      <c r="AB4284" s="1499"/>
      <c r="AC4284" s="91"/>
      <c r="AD4284" s="91"/>
      <c r="AE4284" s="91"/>
      <c r="AF4284" s="91"/>
      <c r="AG4284" s="91"/>
    </row>
    <row r="4285" spans="1:43" ht="15.75" customHeight="1">
      <c r="A4285" s="1269">
        <v>41292</v>
      </c>
      <c r="B4285" s="519" t="s">
        <v>10984</v>
      </c>
      <c r="C4285" s="519"/>
      <c r="D4285" s="519" t="s">
        <v>13447</v>
      </c>
      <c r="E4285" s="20" t="s">
        <v>8882</v>
      </c>
      <c r="F4285" s="1262">
        <v>1</v>
      </c>
      <c r="G4285" s="1262">
        <v>2521</v>
      </c>
      <c r="H4285" s="684">
        <f t="shared" si="276"/>
        <v>2521</v>
      </c>
      <c r="I4285" s="519"/>
      <c r="J4285" s="130" t="s">
        <v>13448</v>
      </c>
      <c r="K4285" s="726">
        <v>41334</v>
      </c>
      <c r="L4285" s="429" t="s">
        <v>12379</v>
      </c>
      <c r="M4285" s="519"/>
      <c r="N4285" s="519" t="s">
        <v>89</v>
      </c>
      <c r="O4285" s="519"/>
      <c r="Q4285" s="1266" t="s">
        <v>13450</v>
      </c>
      <c r="U4285" s="159"/>
      <c r="V4285" s="70" t="s">
        <v>13414</v>
      </c>
      <c r="W4285" s="91"/>
      <c r="X4285" s="66"/>
      <c r="Y4285" s="57"/>
      <c r="Z4285" s="712" t="s">
        <v>13451</v>
      </c>
      <c r="AA4285" s="20" t="s">
        <v>13449</v>
      </c>
      <c r="AB4285" s="66" t="s">
        <v>6253</v>
      </c>
      <c r="AC4285" s="91"/>
      <c r="AD4285" s="91"/>
      <c r="AE4285" s="91"/>
      <c r="AF4285" s="91"/>
      <c r="AG4285" s="91"/>
    </row>
    <row r="4286" spans="1:43" ht="15.75" customHeight="1">
      <c r="A4286" s="1269">
        <v>41299</v>
      </c>
      <c r="B4286" s="519" t="s">
        <v>11740</v>
      </c>
      <c r="C4286" s="519"/>
      <c r="D4286" s="519" t="s">
        <v>13452</v>
      </c>
      <c r="E4286" s="20" t="s">
        <v>13453</v>
      </c>
      <c r="F4286" s="1262">
        <v>80</v>
      </c>
      <c r="G4286" s="1262">
        <v>19</v>
      </c>
      <c r="H4286" s="684">
        <f t="shared" si="276"/>
        <v>1520</v>
      </c>
      <c r="I4286" s="429" t="s">
        <v>11743</v>
      </c>
      <c r="J4286" s="130" t="s">
        <v>13454</v>
      </c>
      <c r="K4286" s="726">
        <v>41306</v>
      </c>
      <c r="L4286" s="429" t="s">
        <v>12379</v>
      </c>
      <c r="M4286" s="519"/>
      <c r="N4286" s="519" t="s">
        <v>12389</v>
      </c>
      <c r="O4286" s="519"/>
      <c r="Q4286" s="1266"/>
      <c r="U4286" s="1270">
        <v>39480</v>
      </c>
      <c r="V4286" s="20" t="s">
        <v>2413</v>
      </c>
      <c r="W4286" s="91"/>
      <c r="X4286" s="1271">
        <v>41306</v>
      </c>
      <c r="Y4286" s="57"/>
      <c r="Z4286" s="1270">
        <v>39480</v>
      </c>
      <c r="AA4286" s="20" t="s">
        <v>13428</v>
      </c>
      <c r="AB4286" s="501" t="s">
        <v>13455</v>
      </c>
      <c r="AC4286" s="91"/>
      <c r="AD4286" s="91"/>
      <c r="AE4286" s="91"/>
      <c r="AF4286" s="91"/>
      <c r="AG4286" s="91"/>
    </row>
    <row r="4287" spans="1:43" ht="15.75" customHeight="1">
      <c r="A4287" s="1269">
        <v>41326</v>
      </c>
      <c r="B4287" s="519" t="s">
        <v>1189</v>
      </c>
      <c r="C4287" s="642" t="s">
        <v>13456</v>
      </c>
      <c r="D4287" s="519" t="s">
        <v>13457</v>
      </c>
      <c r="E4287" s="20" t="s">
        <v>13458</v>
      </c>
      <c r="F4287" s="1262">
        <v>2</v>
      </c>
      <c r="G4287" s="1262">
        <v>30</v>
      </c>
      <c r="H4287" s="684">
        <f t="shared" si="276"/>
        <v>60</v>
      </c>
      <c r="I4287" s="429" t="s">
        <v>86</v>
      </c>
      <c r="J4287" s="429" t="s">
        <v>13421</v>
      </c>
      <c r="K4287" s="726">
        <v>41346</v>
      </c>
      <c r="L4287" s="429" t="s">
        <v>12379</v>
      </c>
      <c r="M4287" s="519"/>
      <c r="N4287" s="519" t="s">
        <v>13459</v>
      </c>
      <c r="O4287" s="519"/>
      <c r="Q4287" s="1266"/>
      <c r="U4287" s="1270">
        <v>1323</v>
      </c>
      <c r="V4287" s="519"/>
      <c r="W4287" s="91"/>
      <c r="X4287" s="1271">
        <v>41331</v>
      </c>
      <c r="Y4287" s="57"/>
      <c r="Z4287" s="1270">
        <v>1323</v>
      </c>
      <c r="AA4287" s="519" t="s">
        <v>13460</v>
      </c>
      <c r="AB4287" s="451" t="s">
        <v>13423</v>
      </c>
      <c r="AC4287" s="91"/>
      <c r="AD4287" s="91"/>
      <c r="AE4287" s="91"/>
      <c r="AF4287" s="91"/>
      <c r="AG4287" s="91"/>
    </row>
    <row r="4288" spans="1:43" ht="36.75" customHeight="1">
      <c r="A4288" s="1269">
        <v>41337</v>
      </c>
      <c r="B4288" s="519" t="s">
        <v>10984</v>
      </c>
      <c r="C4288" s="642" t="s">
        <v>13461</v>
      </c>
      <c r="D4288" s="519" t="s">
        <v>13462</v>
      </c>
      <c r="E4288" s="20" t="s">
        <v>13463</v>
      </c>
      <c r="F4288" s="1262">
        <v>2</v>
      </c>
      <c r="G4288" s="1262">
        <v>277</v>
      </c>
      <c r="H4288" s="684">
        <f t="shared" si="276"/>
        <v>554</v>
      </c>
      <c r="I4288" s="519"/>
      <c r="J4288" s="130" t="s">
        <v>13464</v>
      </c>
      <c r="K4288" s="726">
        <v>41347</v>
      </c>
      <c r="L4288" s="429" t="s">
        <v>12379</v>
      </c>
      <c r="M4288" s="519"/>
      <c r="N4288" s="519" t="s">
        <v>89</v>
      </c>
      <c r="O4288" s="1262">
        <v>20130300085004</v>
      </c>
      <c r="Q4288" s="1266" t="s">
        <v>13465</v>
      </c>
      <c r="U4288" s="159"/>
      <c r="V4288" s="70" t="s">
        <v>13414</v>
      </c>
      <c r="W4288" s="1369"/>
      <c r="X4288" s="1271">
        <v>41345</v>
      </c>
      <c r="Y4288" s="1369"/>
      <c r="Z4288" s="1270">
        <v>14991</v>
      </c>
      <c r="AA4288" s="20" t="s">
        <v>13449</v>
      </c>
      <c r="AB4288" s="1514" t="s">
        <v>13466</v>
      </c>
      <c r="AC4288" s="1383"/>
      <c r="AD4288" s="1383"/>
      <c r="AE4288" s="1383"/>
      <c r="AF4288" s="1383"/>
      <c r="AG4288" s="1369"/>
      <c r="AH4288" s="1369"/>
      <c r="AI4288" s="1370"/>
      <c r="AJ4288" s="1371"/>
      <c r="AK4288" s="1370"/>
      <c r="AL4288" s="1370"/>
      <c r="AM4288" s="1369"/>
      <c r="AN4288" s="1369"/>
      <c r="AO4288" s="1369"/>
      <c r="AP4288" s="1369"/>
      <c r="AQ4288" s="1369"/>
    </row>
    <row r="4289" spans="1:31" ht="15.75" customHeight="1">
      <c r="A4289" s="1269">
        <v>41341</v>
      </c>
      <c r="B4289" s="519" t="s">
        <v>10984</v>
      </c>
      <c r="C4289" s="642" t="s">
        <v>13467</v>
      </c>
      <c r="D4289" s="519" t="s">
        <v>13468</v>
      </c>
      <c r="E4289" s="20" t="s">
        <v>13469</v>
      </c>
      <c r="F4289" s="1262">
        <v>10</v>
      </c>
      <c r="G4289" s="1262">
        <v>33</v>
      </c>
      <c r="H4289" s="684">
        <f t="shared" si="276"/>
        <v>330</v>
      </c>
      <c r="I4289" s="519"/>
      <c r="J4289" s="130" t="s">
        <v>13470</v>
      </c>
      <c r="K4289" s="726">
        <v>41347</v>
      </c>
      <c r="L4289" s="429" t="s">
        <v>12379</v>
      </c>
      <c r="M4289" s="519"/>
      <c r="N4289" s="642" t="s">
        <v>302</v>
      </c>
      <c r="O4289" s="519"/>
      <c r="Q4289" s="1272">
        <v>5775</v>
      </c>
      <c r="U4289" s="1273">
        <v>5775</v>
      </c>
      <c r="V4289" s="20" t="s">
        <v>13471</v>
      </c>
      <c r="W4289" s="91"/>
      <c r="X4289" s="1274">
        <v>41345</v>
      </c>
      <c r="Y4289" s="91"/>
      <c r="Z4289" s="1273">
        <v>5775</v>
      </c>
      <c r="AA4289" s="20" t="s">
        <v>13449</v>
      </c>
      <c r="AB4289" s="1499"/>
      <c r="AC4289" s="91"/>
      <c r="AD4289" s="91"/>
      <c r="AE4289" s="91"/>
    </row>
    <row r="4290" spans="1:31" ht="15.75" customHeight="1">
      <c r="A4290" s="1269">
        <v>41344</v>
      </c>
      <c r="B4290" s="20" t="s">
        <v>665</v>
      </c>
      <c r="C4290" s="519"/>
      <c r="D4290" s="519" t="s">
        <v>13472</v>
      </c>
      <c r="E4290" s="20" t="s">
        <v>12517</v>
      </c>
      <c r="F4290" s="1262">
        <v>1</v>
      </c>
      <c r="G4290" s="1262">
        <v>670</v>
      </c>
      <c r="H4290" s="684">
        <f t="shared" si="276"/>
        <v>670</v>
      </c>
      <c r="I4290" s="429" t="s">
        <v>8429</v>
      </c>
      <c r="J4290" s="130" t="s">
        <v>13473</v>
      </c>
      <c r="K4290" s="726">
        <v>41359</v>
      </c>
      <c r="L4290" s="429" t="s">
        <v>12379</v>
      </c>
      <c r="M4290" s="519"/>
      <c r="N4290" s="20" t="s">
        <v>2043</v>
      </c>
      <c r="O4290" s="519"/>
      <c r="Q4290" s="1501">
        <v>19478</v>
      </c>
      <c r="U4290" s="1502">
        <v>19478</v>
      </c>
      <c r="V4290" s="20" t="s">
        <v>13475</v>
      </c>
      <c r="W4290" s="91"/>
      <c r="X4290" s="1503">
        <v>41353</v>
      </c>
      <c r="Y4290" s="91"/>
      <c r="Z4290" s="1500">
        <v>19478</v>
      </c>
      <c r="AA4290" s="20" t="s">
        <v>13474</v>
      </c>
      <c r="AB4290" s="1515" t="s">
        <v>13476</v>
      </c>
      <c r="AC4290" s="91"/>
      <c r="AD4290" s="91"/>
      <c r="AE4290" s="91"/>
    </row>
    <row r="4291" spans="1:31" ht="15.75" customHeight="1">
      <c r="A4291" s="1269">
        <v>41344</v>
      </c>
      <c r="B4291" s="20" t="s">
        <v>665</v>
      </c>
      <c r="C4291" s="519"/>
      <c r="D4291" s="519" t="s">
        <v>13472</v>
      </c>
      <c r="E4291" s="20" t="s">
        <v>13477</v>
      </c>
      <c r="F4291" s="1262">
        <v>1</v>
      </c>
      <c r="G4291" s="1262">
        <v>22</v>
      </c>
      <c r="H4291" s="684">
        <f t="shared" si="276"/>
        <v>22</v>
      </c>
      <c r="I4291" s="429" t="s">
        <v>8429</v>
      </c>
      <c r="J4291" s="130" t="s">
        <v>13473</v>
      </c>
      <c r="K4291" s="726">
        <v>41359</v>
      </c>
      <c r="L4291" s="429" t="s">
        <v>12379</v>
      </c>
      <c r="M4291" s="519"/>
      <c r="N4291" s="20" t="s">
        <v>2043</v>
      </c>
      <c r="O4291" s="519"/>
      <c r="Q4291" s="1496"/>
      <c r="U4291" s="1496"/>
      <c r="V4291" s="20" t="s">
        <v>13478</v>
      </c>
      <c r="W4291" s="91"/>
      <c r="X4291" s="1496"/>
      <c r="Y4291" s="91"/>
      <c r="Z4291" s="1496"/>
      <c r="AA4291" s="20" t="s">
        <v>13474</v>
      </c>
      <c r="AB4291" s="1499"/>
      <c r="AC4291" s="91"/>
      <c r="AD4291" s="91"/>
      <c r="AE4291" s="91"/>
    </row>
    <row r="4292" spans="1:31" ht="15.75" customHeight="1">
      <c r="A4292" s="1261">
        <v>41358</v>
      </c>
      <c r="B4292" s="20" t="s">
        <v>1189</v>
      </c>
      <c r="C4292" s="70" t="s">
        <v>13479</v>
      </c>
      <c r="D4292" s="20" t="s">
        <v>13480</v>
      </c>
      <c r="E4292" s="20" t="s">
        <v>12387</v>
      </c>
      <c r="F4292" s="684">
        <v>100</v>
      </c>
      <c r="G4292" s="684">
        <v>37.5</v>
      </c>
      <c r="H4292" s="684">
        <f t="shared" si="276"/>
        <v>3750</v>
      </c>
      <c r="I4292" s="429" t="s">
        <v>86</v>
      </c>
      <c r="J4292" s="1275" t="s">
        <v>13481</v>
      </c>
      <c r="K4292" s="726">
        <v>41412</v>
      </c>
      <c r="L4292" s="429" t="s">
        <v>12388</v>
      </c>
      <c r="M4292" s="726">
        <v>41410</v>
      </c>
      <c r="N4292" s="20" t="s">
        <v>12389</v>
      </c>
      <c r="O4292" s="519"/>
      <c r="Q4292" s="1266"/>
      <c r="U4292" s="686">
        <v>105000</v>
      </c>
      <c r="V4292" s="70" t="s">
        <v>2413</v>
      </c>
      <c r="W4292" s="91"/>
      <c r="X4292" s="1506">
        <v>41411</v>
      </c>
      <c r="Y4292" s="91"/>
      <c r="Z4292" s="1512">
        <v>210000</v>
      </c>
      <c r="AA4292" s="20" t="s">
        <v>13482</v>
      </c>
      <c r="AB4292" s="451" t="s">
        <v>13483</v>
      </c>
      <c r="AC4292" s="91"/>
      <c r="AD4292" s="91"/>
      <c r="AE4292" s="91"/>
    </row>
    <row r="4293" spans="1:31" ht="15.75" customHeight="1">
      <c r="A4293" s="1261">
        <v>41358</v>
      </c>
      <c r="B4293" s="20" t="s">
        <v>1189</v>
      </c>
      <c r="C4293" s="70" t="s">
        <v>13479</v>
      </c>
      <c r="D4293" s="20" t="s">
        <v>13484</v>
      </c>
      <c r="E4293" s="20" t="s">
        <v>12387</v>
      </c>
      <c r="F4293" s="684">
        <v>100</v>
      </c>
      <c r="G4293" s="684">
        <v>37.5</v>
      </c>
      <c r="H4293" s="684">
        <f t="shared" si="276"/>
        <v>3750</v>
      </c>
      <c r="I4293" s="429" t="s">
        <v>86</v>
      </c>
      <c r="J4293" s="1275" t="s">
        <v>13485</v>
      </c>
      <c r="K4293" s="726">
        <v>41412</v>
      </c>
      <c r="L4293" s="429" t="s">
        <v>12388</v>
      </c>
      <c r="M4293" s="726">
        <v>41410</v>
      </c>
      <c r="N4293" s="20" t="s">
        <v>12389</v>
      </c>
      <c r="O4293" s="519"/>
      <c r="Q4293" s="1266"/>
      <c r="U4293" s="686">
        <v>105000</v>
      </c>
      <c r="V4293" s="70" t="s">
        <v>2413</v>
      </c>
      <c r="W4293" s="91"/>
      <c r="X4293" s="1496"/>
      <c r="Y4293" s="91"/>
      <c r="Z4293" s="1496"/>
      <c r="AA4293" s="20" t="s">
        <v>13486</v>
      </c>
      <c r="AB4293" s="451" t="s">
        <v>13483</v>
      </c>
      <c r="AC4293" s="91"/>
      <c r="AD4293" s="91"/>
      <c r="AE4293" s="91"/>
    </row>
    <row r="4294" spans="1:31" ht="15.75" customHeight="1">
      <c r="A4294" s="1269">
        <v>41365</v>
      </c>
      <c r="B4294" s="20" t="s">
        <v>13434</v>
      </c>
      <c r="C4294" s="642" t="s">
        <v>13487</v>
      </c>
      <c r="D4294" s="519"/>
      <c r="E4294" s="20" t="s">
        <v>13436</v>
      </c>
      <c r="F4294" s="1262">
        <v>6</v>
      </c>
      <c r="G4294" s="1262">
        <v>186</v>
      </c>
      <c r="H4294" s="684">
        <f t="shared" si="276"/>
        <v>1116</v>
      </c>
      <c r="I4294" s="429" t="s">
        <v>13442</v>
      </c>
      <c r="J4294" s="130" t="s">
        <v>232</v>
      </c>
      <c r="K4294" s="726">
        <v>41365</v>
      </c>
      <c r="L4294" s="130" t="s">
        <v>89</v>
      </c>
      <c r="M4294" s="519"/>
      <c r="N4294" s="519" t="s">
        <v>89</v>
      </c>
      <c r="O4294" s="1262">
        <v>20130300085950</v>
      </c>
      <c r="Q4294" s="1494" t="s">
        <v>13488</v>
      </c>
      <c r="U4294" s="159"/>
      <c r="V4294" s="70" t="s">
        <v>13414</v>
      </c>
      <c r="W4294" s="91"/>
      <c r="X4294" s="1497">
        <v>41365</v>
      </c>
      <c r="Y4294" s="91"/>
      <c r="Z4294" s="1513">
        <v>42812</v>
      </c>
      <c r="AA4294" s="20" t="s">
        <v>13449</v>
      </c>
      <c r="AB4294" s="1522" t="s">
        <v>13489</v>
      </c>
      <c r="AC4294" s="91"/>
      <c r="AD4294" s="91"/>
      <c r="AE4294" s="91"/>
    </row>
    <row r="4295" spans="1:31" ht="15.75" customHeight="1">
      <c r="A4295" s="1269">
        <v>41365</v>
      </c>
      <c r="B4295" s="20" t="s">
        <v>13434</v>
      </c>
      <c r="C4295" s="642" t="s">
        <v>13487</v>
      </c>
      <c r="D4295" s="519" t="s">
        <v>13440</v>
      </c>
      <c r="E4295" s="20" t="s">
        <v>13441</v>
      </c>
      <c r="F4295" s="1262">
        <v>6</v>
      </c>
      <c r="G4295" s="1262">
        <v>86</v>
      </c>
      <c r="H4295" s="684">
        <f t="shared" si="276"/>
        <v>516</v>
      </c>
      <c r="I4295" s="429" t="s">
        <v>13442</v>
      </c>
      <c r="J4295" s="130" t="s">
        <v>232</v>
      </c>
      <c r="K4295" s="726">
        <v>41365</v>
      </c>
      <c r="L4295" s="130" t="s">
        <v>89</v>
      </c>
      <c r="M4295" s="519"/>
      <c r="N4295" s="519" t="s">
        <v>89</v>
      </c>
      <c r="O4295" s="1262">
        <v>20130300085950</v>
      </c>
      <c r="Q4295" s="1496"/>
      <c r="U4295" s="159"/>
      <c r="V4295" s="70" t="s">
        <v>13414</v>
      </c>
      <c r="W4295" s="91"/>
      <c r="X4295" s="1499"/>
      <c r="Y4295" s="91"/>
      <c r="Z4295" s="1499"/>
      <c r="AA4295" s="20" t="s">
        <v>13449</v>
      </c>
      <c r="AB4295" s="1499"/>
      <c r="AC4295" s="91"/>
      <c r="AD4295" s="91"/>
      <c r="AE4295" s="91"/>
    </row>
    <row r="4296" spans="1:31" ht="15.75" customHeight="1">
      <c r="A4296" s="1269">
        <v>41372</v>
      </c>
      <c r="B4296" s="519" t="s">
        <v>10984</v>
      </c>
      <c r="C4296" s="642">
        <v>13000077</v>
      </c>
      <c r="D4296" s="519" t="s">
        <v>13490</v>
      </c>
      <c r="E4296" s="20" t="s">
        <v>13491</v>
      </c>
      <c r="F4296" s="1262">
        <v>1</v>
      </c>
      <c r="G4296" s="1262">
        <v>438</v>
      </c>
      <c r="H4296" s="684">
        <f t="shared" si="276"/>
        <v>438</v>
      </c>
      <c r="I4296" s="519"/>
      <c r="J4296" s="130" t="s">
        <v>13444</v>
      </c>
      <c r="K4296" s="726">
        <v>41379</v>
      </c>
      <c r="L4296" s="429" t="s">
        <v>12379</v>
      </c>
      <c r="M4296" s="519"/>
      <c r="N4296" s="519" t="s">
        <v>89</v>
      </c>
      <c r="O4296" s="519"/>
      <c r="Q4296" s="1266" t="s">
        <v>13492</v>
      </c>
      <c r="U4296" s="159"/>
      <c r="V4296" s="70" t="s">
        <v>13414</v>
      </c>
      <c r="W4296" s="91"/>
      <c r="X4296" s="560">
        <v>41376</v>
      </c>
      <c r="Y4296" s="91"/>
      <c r="Z4296" s="719">
        <v>12113</v>
      </c>
      <c r="AA4296" s="519"/>
      <c r="AB4296" s="451" t="s">
        <v>13493</v>
      </c>
      <c r="AC4296" s="91"/>
      <c r="AD4296" s="91"/>
      <c r="AE4296" s="91"/>
    </row>
    <row r="4297" spans="1:31" ht="15.75" customHeight="1">
      <c r="A4297" s="1269">
        <v>41372</v>
      </c>
      <c r="B4297" s="519" t="s">
        <v>13494</v>
      </c>
      <c r="C4297" s="642" t="s">
        <v>13495</v>
      </c>
      <c r="D4297" s="519" t="s">
        <v>13496</v>
      </c>
      <c r="E4297" s="20" t="s">
        <v>13497</v>
      </c>
      <c r="F4297" s="1262">
        <v>2</v>
      </c>
      <c r="G4297" s="1262">
        <v>199.5</v>
      </c>
      <c r="H4297" s="684">
        <f t="shared" si="276"/>
        <v>399</v>
      </c>
      <c r="I4297" s="429" t="s">
        <v>11743</v>
      </c>
      <c r="J4297" s="130" t="s">
        <v>232</v>
      </c>
      <c r="K4297" s="726">
        <v>41379</v>
      </c>
      <c r="L4297" s="130" t="s">
        <v>89</v>
      </c>
      <c r="M4297" s="519"/>
      <c r="N4297" s="519" t="s">
        <v>89</v>
      </c>
      <c r="O4297" s="519"/>
      <c r="Q4297" s="1494" t="s">
        <v>13498</v>
      </c>
      <c r="U4297" s="159"/>
      <c r="V4297" s="70" t="s">
        <v>13414</v>
      </c>
      <c r="W4297" s="91"/>
      <c r="X4297" s="1497">
        <v>41379</v>
      </c>
      <c r="Y4297" s="91"/>
      <c r="Z4297" s="1513">
        <v>24258</v>
      </c>
      <c r="AA4297" s="519"/>
      <c r="AB4297" s="1522" t="s">
        <v>13499</v>
      </c>
      <c r="AC4297" s="91"/>
      <c r="AD4297" s="91"/>
      <c r="AE4297" s="91"/>
    </row>
    <row r="4298" spans="1:31" ht="15.75" customHeight="1">
      <c r="A4298" s="1269">
        <v>41372</v>
      </c>
      <c r="B4298" s="519" t="s">
        <v>13494</v>
      </c>
      <c r="C4298" s="642" t="s">
        <v>13495</v>
      </c>
      <c r="D4298" s="519" t="s">
        <v>13496</v>
      </c>
      <c r="E4298" s="20" t="s">
        <v>12456</v>
      </c>
      <c r="F4298" s="1262">
        <v>1</v>
      </c>
      <c r="G4298" s="1262">
        <v>365.4</v>
      </c>
      <c r="H4298" s="684">
        <f t="shared" si="276"/>
        <v>365.4</v>
      </c>
      <c r="I4298" s="429" t="s">
        <v>11743</v>
      </c>
      <c r="J4298" s="130" t="s">
        <v>232</v>
      </c>
      <c r="K4298" s="726">
        <v>41379</v>
      </c>
      <c r="L4298" s="130" t="s">
        <v>89</v>
      </c>
      <c r="M4298" s="519"/>
      <c r="N4298" s="519" t="s">
        <v>89</v>
      </c>
      <c r="O4298" s="519"/>
      <c r="Q4298" s="1495"/>
      <c r="U4298" s="159"/>
      <c r="V4298" s="70" t="s">
        <v>13414</v>
      </c>
      <c r="W4298" s="91"/>
      <c r="X4298" s="1498"/>
      <c r="Y4298" s="91"/>
      <c r="Z4298" s="1498"/>
      <c r="AA4298" s="519"/>
      <c r="AB4298" s="1498"/>
      <c r="AC4298" s="91"/>
      <c r="AD4298" s="91"/>
      <c r="AE4298" s="91"/>
    </row>
    <row r="4299" spans="1:31" ht="15.75" customHeight="1">
      <c r="A4299" s="1269">
        <v>41372</v>
      </c>
      <c r="B4299" s="519" t="s">
        <v>13494</v>
      </c>
      <c r="C4299" s="642" t="s">
        <v>13495</v>
      </c>
      <c r="D4299" s="519" t="s">
        <v>13496</v>
      </c>
      <c r="E4299" s="20" t="s">
        <v>13500</v>
      </c>
      <c r="F4299" s="1262">
        <v>4</v>
      </c>
      <c r="G4299" s="1262">
        <v>29.4</v>
      </c>
      <c r="H4299" s="684">
        <f t="shared" si="276"/>
        <v>117.6</v>
      </c>
      <c r="I4299" s="429" t="s">
        <v>11743</v>
      </c>
      <c r="J4299" s="130" t="s">
        <v>232</v>
      </c>
      <c r="K4299" s="726">
        <v>41379</v>
      </c>
      <c r="L4299" s="130" t="s">
        <v>89</v>
      </c>
      <c r="M4299" s="519"/>
      <c r="N4299" s="519" t="s">
        <v>89</v>
      </c>
      <c r="O4299" s="519"/>
      <c r="Q4299" s="1496"/>
      <c r="U4299" s="159"/>
      <c r="V4299" s="70" t="s">
        <v>13414</v>
      </c>
      <c r="W4299" s="91"/>
      <c r="X4299" s="1499"/>
      <c r="Y4299" s="91"/>
      <c r="Z4299" s="1499"/>
      <c r="AA4299" s="519"/>
      <c r="AB4299" s="1499"/>
      <c r="AC4299" s="91"/>
      <c r="AD4299" s="91"/>
      <c r="AE4299" s="91"/>
    </row>
    <row r="4300" spans="1:31" ht="15.75" customHeight="1">
      <c r="A4300" s="1269">
        <v>41387</v>
      </c>
      <c r="B4300" s="519" t="s">
        <v>13494</v>
      </c>
      <c r="C4300" s="642" t="s">
        <v>13501</v>
      </c>
      <c r="D4300" s="519" t="s">
        <v>13502</v>
      </c>
      <c r="E4300" s="20" t="s">
        <v>13503</v>
      </c>
      <c r="F4300" s="1262">
        <v>8</v>
      </c>
      <c r="G4300" s="1262">
        <v>73.5</v>
      </c>
      <c r="H4300" s="684">
        <f t="shared" ref="H4300:H4306" si="277">F4300*G4300</f>
        <v>588</v>
      </c>
      <c r="I4300" s="429" t="s">
        <v>11743</v>
      </c>
      <c r="J4300" s="130" t="s">
        <v>232</v>
      </c>
      <c r="K4300" s="726">
        <v>41390</v>
      </c>
      <c r="L4300" s="130" t="s">
        <v>89</v>
      </c>
      <c r="M4300" s="429" t="s">
        <v>6130</v>
      </c>
      <c r="N4300" s="519" t="s">
        <v>89</v>
      </c>
      <c r="O4300" s="519"/>
      <c r="Q4300" s="1266" t="s">
        <v>13505</v>
      </c>
      <c r="U4300" s="159"/>
      <c r="V4300" s="70" t="s">
        <v>13414</v>
      </c>
      <c r="W4300" s="91"/>
      <c r="X4300" s="560">
        <v>41390</v>
      </c>
      <c r="Y4300" s="91"/>
      <c r="Z4300" s="719">
        <v>16047</v>
      </c>
      <c r="AA4300" s="519" t="s">
        <v>13504</v>
      </c>
      <c r="AB4300" s="66" t="s">
        <v>13506</v>
      </c>
      <c r="AC4300" s="91"/>
      <c r="AD4300" s="91"/>
      <c r="AE4300" s="91"/>
    </row>
    <row r="4301" spans="1:31" ht="15.75" customHeight="1">
      <c r="A4301" s="1269" t="s">
        <v>13507</v>
      </c>
      <c r="B4301" s="519" t="s">
        <v>13508</v>
      </c>
      <c r="C4301" s="642" t="s">
        <v>13509</v>
      </c>
      <c r="D4301" s="519" t="s">
        <v>13510</v>
      </c>
      <c r="E4301" s="20" t="s">
        <v>13511</v>
      </c>
      <c r="F4301" s="1262">
        <v>2</v>
      </c>
      <c r="G4301" s="1262">
        <v>69</v>
      </c>
      <c r="H4301" s="684">
        <f t="shared" si="277"/>
        <v>138</v>
      </c>
      <c r="I4301" s="429" t="s">
        <v>11743</v>
      </c>
      <c r="J4301" s="429" t="s">
        <v>13512</v>
      </c>
      <c r="K4301" s="726">
        <v>41400</v>
      </c>
      <c r="L4301" s="519"/>
      <c r="M4301" s="726">
        <v>41393</v>
      </c>
      <c r="N4301" s="519" t="s">
        <v>89</v>
      </c>
      <c r="O4301" s="519"/>
      <c r="Q4301" s="1266" t="s">
        <v>13505</v>
      </c>
      <c r="U4301" s="159"/>
      <c r="V4301" s="70" t="s">
        <v>13414</v>
      </c>
      <c r="W4301" s="91"/>
      <c r="X4301" s="560">
        <v>41393</v>
      </c>
      <c r="Y4301" s="91"/>
      <c r="Z4301" s="1513">
        <v>13038</v>
      </c>
      <c r="AA4301" s="519" t="s">
        <v>13504</v>
      </c>
      <c r="AB4301" s="1515" t="s">
        <v>13513</v>
      </c>
      <c r="AC4301" s="91"/>
      <c r="AD4301" s="91"/>
      <c r="AE4301" s="91"/>
    </row>
    <row r="4302" spans="1:31" ht="15.75" customHeight="1">
      <c r="A4302" s="1269" t="s">
        <v>13507</v>
      </c>
      <c r="B4302" s="519" t="s">
        <v>13508</v>
      </c>
      <c r="C4302" s="642" t="s">
        <v>13509</v>
      </c>
      <c r="D4302" s="519" t="s">
        <v>13510</v>
      </c>
      <c r="E4302" s="20" t="s">
        <v>13514</v>
      </c>
      <c r="F4302" s="1262">
        <v>1</v>
      </c>
      <c r="G4302" s="1262">
        <v>320</v>
      </c>
      <c r="H4302" s="684">
        <f t="shared" si="277"/>
        <v>320</v>
      </c>
      <c r="I4302" s="429" t="s">
        <v>11743</v>
      </c>
      <c r="J4302" s="429" t="s">
        <v>13512</v>
      </c>
      <c r="K4302" s="726">
        <v>41400</v>
      </c>
      <c r="L4302" s="519"/>
      <c r="M4302" s="726">
        <v>41393</v>
      </c>
      <c r="N4302" s="519" t="s">
        <v>89</v>
      </c>
      <c r="O4302" s="519"/>
      <c r="Q4302" s="1266" t="s">
        <v>13505</v>
      </c>
      <c r="U4302" s="159"/>
      <c r="V4302" s="70" t="s">
        <v>13414</v>
      </c>
      <c r="W4302" s="91"/>
      <c r="X4302" s="560">
        <v>41393</v>
      </c>
      <c r="Y4302" s="91"/>
      <c r="Z4302" s="1499"/>
      <c r="AA4302" s="519" t="s">
        <v>13504</v>
      </c>
      <c r="AB4302" s="1499"/>
      <c r="AC4302" s="91"/>
      <c r="AD4302" s="91"/>
      <c r="AE4302" s="91"/>
    </row>
    <row r="4303" spans="1:31" ht="15.75" customHeight="1">
      <c r="A4303" s="1269">
        <v>41388</v>
      </c>
      <c r="B4303" s="519" t="s">
        <v>13494</v>
      </c>
      <c r="C4303" s="642" t="s">
        <v>13515</v>
      </c>
      <c r="D4303" s="519" t="s">
        <v>13516</v>
      </c>
      <c r="E4303" s="20" t="s">
        <v>13517</v>
      </c>
      <c r="F4303" s="1262">
        <v>10</v>
      </c>
      <c r="G4303" s="1262">
        <v>199.5</v>
      </c>
      <c r="H4303" s="684">
        <f t="shared" si="277"/>
        <v>1995</v>
      </c>
      <c r="I4303" s="429" t="s">
        <v>11743</v>
      </c>
      <c r="J4303" s="429" t="s">
        <v>12398</v>
      </c>
      <c r="K4303" s="726">
        <v>41404</v>
      </c>
      <c r="L4303" s="130" t="s">
        <v>232</v>
      </c>
      <c r="M4303" s="519"/>
      <c r="N4303" s="519" t="s">
        <v>89</v>
      </c>
      <c r="O4303" s="519"/>
      <c r="Q4303" s="1266" t="s">
        <v>13505</v>
      </c>
      <c r="U4303" s="159"/>
      <c r="V4303" s="70" t="s">
        <v>13414</v>
      </c>
      <c r="W4303" s="91"/>
      <c r="X4303" s="1497">
        <v>41404</v>
      </c>
      <c r="Y4303" s="91"/>
      <c r="Z4303" s="1513">
        <v>63446</v>
      </c>
      <c r="AA4303" s="519" t="s">
        <v>13504</v>
      </c>
      <c r="AB4303" s="1522" t="s">
        <v>13518</v>
      </c>
      <c r="AC4303" s="91"/>
      <c r="AD4303" s="91"/>
      <c r="AE4303" s="91"/>
    </row>
    <row r="4304" spans="1:31" ht="15.75" customHeight="1">
      <c r="A4304" s="1269">
        <v>41388</v>
      </c>
      <c r="B4304" s="519" t="s">
        <v>13494</v>
      </c>
      <c r="C4304" s="642" t="s">
        <v>13515</v>
      </c>
      <c r="D4304" s="519" t="s">
        <v>13516</v>
      </c>
      <c r="E4304" s="20" t="s">
        <v>3457</v>
      </c>
      <c r="F4304" s="1262">
        <v>5</v>
      </c>
      <c r="G4304" s="1262">
        <v>108.7</v>
      </c>
      <c r="H4304" s="684">
        <f t="shared" si="277"/>
        <v>543.5</v>
      </c>
      <c r="I4304" s="429" t="s">
        <v>11743</v>
      </c>
      <c r="J4304" s="429" t="s">
        <v>12398</v>
      </c>
      <c r="K4304" s="726">
        <v>41404</v>
      </c>
      <c r="L4304" s="130" t="s">
        <v>232</v>
      </c>
      <c r="M4304" s="519"/>
      <c r="N4304" s="519" t="s">
        <v>89</v>
      </c>
      <c r="O4304" s="519"/>
      <c r="Q4304" s="1266" t="s">
        <v>13519</v>
      </c>
      <c r="U4304" s="159"/>
      <c r="V4304" s="70" t="s">
        <v>13414</v>
      </c>
      <c r="W4304" s="91"/>
      <c r="X4304" s="1499"/>
      <c r="Y4304" s="91"/>
      <c r="Z4304" s="1499"/>
      <c r="AA4304" s="1262">
        <v>20130520</v>
      </c>
      <c r="AB4304" s="1498"/>
      <c r="AC4304" s="91"/>
      <c r="AD4304" s="91"/>
      <c r="AE4304" s="91"/>
    </row>
    <row r="4305" spans="1:31" ht="15.75" customHeight="1">
      <c r="A4305" s="1269">
        <v>41388</v>
      </c>
      <c r="B4305" s="519" t="s">
        <v>13494</v>
      </c>
      <c r="C4305" s="642" t="s">
        <v>13515</v>
      </c>
      <c r="D4305" s="519" t="s">
        <v>13516</v>
      </c>
      <c r="E4305" s="20" t="s">
        <v>13520</v>
      </c>
      <c r="F4305" s="1262">
        <v>10</v>
      </c>
      <c r="G4305" s="1262">
        <v>248.3</v>
      </c>
      <c r="H4305" s="684">
        <f t="shared" si="277"/>
        <v>2483</v>
      </c>
      <c r="I4305" s="429" t="s">
        <v>11743</v>
      </c>
      <c r="J4305" s="429" t="s">
        <v>13521</v>
      </c>
      <c r="K4305" s="726">
        <v>41411</v>
      </c>
      <c r="L4305" s="130" t="s">
        <v>12379</v>
      </c>
      <c r="M4305" s="726">
        <v>41411</v>
      </c>
      <c r="N4305" s="519" t="s">
        <v>12442</v>
      </c>
      <c r="O4305" s="519"/>
      <c r="Q4305" s="1266"/>
      <c r="U4305" s="1273">
        <v>66376</v>
      </c>
      <c r="V4305" s="519" t="s">
        <v>13523</v>
      </c>
      <c r="W4305" s="91"/>
      <c r="X4305" s="1276">
        <v>41410</v>
      </c>
      <c r="Y4305" s="91"/>
      <c r="Z4305" s="686">
        <v>66377</v>
      </c>
      <c r="AA4305" s="519" t="s">
        <v>13522</v>
      </c>
      <c r="AB4305" s="1498"/>
      <c r="AC4305" s="91"/>
      <c r="AD4305" s="91"/>
      <c r="AE4305" s="91"/>
    </row>
    <row r="4306" spans="1:31" ht="15.75" customHeight="1">
      <c r="A4306" s="1269">
        <v>41388</v>
      </c>
      <c r="B4306" s="519" t="s">
        <v>13494</v>
      </c>
      <c r="C4306" s="642" t="s">
        <v>13515</v>
      </c>
      <c r="D4306" s="519" t="s">
        <v>13516</v>
      </c>
      <c r="E4306" s="20" t="s">
        <v>13524</v>
      </c>
      <c r="F4306" s="1262">
        <v>10</v>
      </c>
      <c r="G4306" s="1262">
        <v>0</v>
      </c>
      <c r="H4306" s="684">
        <f t="shared" si="277"/>
        <v>0</v>
      </c>
      <c r="I4306" s="429" t="s">
        <v>11743</v>
      </c>
      <c r="J4306" s="429" t="s">
        <v>13521</v>
      </c>
      <c r="K4306" s="726">
        <v>41411</v>
      </c>
      <c r="L4306" s="130" t="s">
        <v>12379</v>
      </c>
      <c r="M4306" s="726">
        <v>41396</v>
      </c>
      <c r="N4306" s="519" t="s">
        <v>302</v>
      </c>
      <c r="O4306" s="519"/>
      <c r="Q4306" s="1266"/>
      <c r="U4306" s="1273">
        <v>4726</v>
      </c>
      <c r="V4306" s="20" t="s">
        <v>13471</v>
      </c>
      <c r="W4306" s="91"/>
      <c r="X4306" s="1274">
        <v>41396</v>
      </c>
      <c r="Y4306" s="91"/>
      <c r="Z4306" s="686">
        <v>4725</v>
      </c>
      <c r="AA4306" s="1262">
        <v>20130520</v>
      </c>
      <c r="AB4306" s="1499"/>
      <c r="AC4306" s="91"/>
      <c r="AD4306" s="91"/>
      <c r="AE4306" s="91"/>
    </row>
    <row r="4307" spans="1:31" ht="15.75" customHeight="1">
      <c r="A4307" s="1269">
        <v>41388</v>
      </c>
      <c r="B4307" s="519" t="s">
        <v>10984</v>
      </c>
      <c r="C4307" s="642">
        <v>13000105</v>
      </c>
      <c r="D4307" s="519" t="s">
        <v>13525</v>
      </c>
      <c r="E4307" s="20" t="s">
        <v>4268</v>
      </c>
      <c r="F4307" s="1262">
        <v>10</v>
      </c>
      <c r="G4307" s="1262">
        <v>161</v>
      </c>
      <c r="H4307" s="684">
        <f t="shared" ref="H4307:H4310" si="278">G4307*F4307</f>
        <v>1610</v>
      </c>
      <c r="I4307" s="429" t="s">
        <v>8429</v>
      </c>
      <c r="J4307" s="130" t="s">
        <v>13444</v>
      </c>
      <c r="K4307" s="726">
        <v>41410</v>
      </c>
      <c r="L4307" s="130" t="s">
        <v>12379</v>
      </c>
      <c r="M4307" s="726">
        <v>41401</v>
      </c>
      <c r="N4307" s="519" t="s">
        <v>89</v>
      </c>
      <c r="O4307" s="519"/>
      <c r="Q4307" s="1266" t="s">
        <v>13505</v>
      </c>
      <c r="U4307" s="1277"/>
      <c r="V4307" s="70" t="s">
        <v>13414</v>
      </c>
      <c r="W4307" s="91"/>
      <c r="X4307" s="1274">
        <v>41401</v>
      </c>
      <c r="Y4307" s="91"/>
      <c r="Z4307" s="686">
        <v>38410</v>
      </c>
      <c r="AA4307" s="519" t="s">
        <v>13504</v>
      </c>
      <c r="AB4307" s="501" t="s">
        <v>13526</v>
      </c>
      <c r="AC4307" s="91"/>
      <c r="AD4307" s="91"/>
      <c r="AE4307" s="91"/>
    </row>
    <row r="4308" spans="1:31" ht="15.75" customHeight="1">
      <c r="A4308" s="1269">
        <v>41390</v>
      </c>
      <c r="B4308" s="519" t="s">
        <v>10984</v>
      </c>
      <c r="C4308" s="642">
        <v>13000108</v>
      </c>
      <c r="D4308" s="519" t="s">
        <v>13527</v>
      </c>
      <c r="E4308" s="20" t="s">
        <v>13528</v>
      </c>
      <c r="F4308" s="1262">
        <v>6</v>
      </c>
      <c r="G4308" s="1262">
        <v>22</v>
      </c>
      <c r="H4308" s="684">
        <f t="shared" si="278"/>
        <v>132</v>
      </c>
      <c r="I4308" s="429" t="s">
        <v>8429</v>
      </c>
      <c r="J4308" s="130" t="s">
        <v>13444</v>
      </c>
      <c r="K4308" s="726">
        <v>41414</v>
      </c>
      <c r="L4308" s="130" t="s">
        <v>12379</v>
      </c>
      <c r="M4308" s="726">
        <v>41396</v>
      </c>
      <c r="N4308" s="519" t="s">
        <v>302</v>
      </c>
      <c r="O4308" s="519"/>
      <c r="Q4308" s="1494"/>
      <c r="U4308" s="1500">
        <v>3801</v>
      </c>
      <c r="V4308" s="20" t="s">
        <v>13471</v>
      </c>
      <c r="W4308" s="91"/>
      <c r="X4308" s="1503">
        <v>41396</v>
      </c>
      <c r="Y4308" s="91"/>
      <c r="Z4308" s="1512">
        <v>3801</v>
      </c>
      <c r="AA4308" s="1262">
        <v>20130520</v>
      </c>
      <c r="AB4308" s="1515" t="s">
        <v>13529</v>
      </c>
      <c r="AC4308" s="91"/>
      <c r="AD4308" s="91"/>
      <c r="AE4308" s="91"/>
    </row>
    <row r="4309" spans="1:31" ht="15.75" customHeight="1">
      <c r="A4309" s="1269">
        <v>41390</v>
      </c>
      <c r="B4309" s="519" t="s">
        <v>10984</v>
      </c>
      <c r="C4309" s="642">
        <v>13000108</v>
      </c>
      <c r="D4309" s="519" t="s">
        <v>13527</v>
      </c>
      <c r="E4309" s="20" t="s">
        <v>13530</v>
      </c>
      <c r="F4309" s="1262">
        <v>2</v>
      </c>
      <c r="G4309" s="1262">
        <v>22</v>
      </c>
      <c r="H4309" s="684">
        <f t="shared" si="278"/>
        <v>44</v>
      </c>
      <c r="I4309" s="429" t="s">
        <v>8429</v>
      </c>
      <c r="J4309" s="130" t="s">
        <v>13444</v>
      </c>
      <c r="K4309" s="726">
        <v>41414</v>
      </c>
      <c r="L4309" s="130" t="s">
        <v>12379</v>
      </c>
      <c r="M4309" s="726">
        <v>41396</v>
      </c>
      <c r="N4309" s="519" t="s">
        <v>302</v>
      </c>
      <c r="O4309" s="519"/>
      <c r="Q4309" s="1496"/>
      <c r="U4309" s="1496"/>
      <c r="V4309" s="20" t="s">
        <v>13471</v>
      </c>
      <c r="W4309" s="91"/>
      <c r="X4309" s="1496"/>
      <c r="Y4309" s="91"/>
      <c r="Z4309" s="1496"/>
      <c r="AA4309" s="1262">
        <v>20130520</v>
      </c>
      <c r="AB4309" s="1498"/>
      <c r="AC4309" s="91"/>
      <c r="AD4309" s="91"/>
      <c r="AE4309" s="91"/>
    </row>
    <row r="4310" spans="1:31" ht="15.75" customHeight="1">
      <c r="A4310" s="1269">
        <v>41390</v>
      </c>
      <c r="B4310" s="519" t="s">
        <v>10984</v>
      </c>
      <c r="C4310" s="642">
        <v>13000108</v>
      </c>
      <c r="D4310" s="519" t="s">
        <v>13527</v>
      </c>
      <c r="E4310" s="20" t="s">
        <v>13463</v>
      </c>
      <c r="F4310" s="1262">
        <v>1</v>
      </c>
      <c r="G4310" s="1262">
        <v>277</v>
      </c>
      <c r="H4310" s="684">
        <f t="shared" si="278"/>
        <v>277</v>
      </c>
      <c r="I4310" s="429" t="s">
        <v>8429</v>
      </c>
      <c r="J4310" s="130" t="s">
        <v>13444</v>
      </c>
      <c r="K4310" s="726">
        <v>41414</v>
      </c>
      <c r="L4310" s="130" t="s">
        <v>12379</v>
      </c>
      <c r="M4310" s="726">
        <v>41397</v>
      </c>
      <c r="N4310" s="519" t="s">
        <v>89</v>
      </c>
      <c r="O4310" s="519"/>
      <c r="Q4310" s="1266" t="s">
        <v>13505</v>
      </c>
      <c r="U4310" s="1277"/>
      <c r="V4310" s="70" t="s">
        <v>13414</v>
      </c>
      <c r="W4310" s="91"/>
      <c r="X4310" s="1503">
        <v>41397</v>
      </c>
      <c r="Y4310" s="91"/>
      <c r="Z4310" s="1512">
        <v>23917</v>
      </c>
      <c r="AA4310" s="1262">
        <v>20130508</v>
      </c>
      <c r="AB4310" s="1498"/>
      <c r="AC4310" s="91"/>
      <c r="AD4310" s="91"/>
      <c r="AE4310" s="91"/>
    </row>
    <row r="4311" spans="1:31" ht="15.75" customHeight="1">
      <c r="A4311" s="1269">
        <v>41390</v>
      </c>
      <c r="B4311" s="519" t="s">
        <v>10984</v>
      </c>
      <c r="C4311" s="642">
        <v>13000108</v>
      </c>
      <c r="D4311" s="519" t="s">
        <v>13527</v>
      </c>
      <c r="E4311" s="20" t="s">
        <v>10961</v>
      </c>
      <c r="F4311" s="1262">
        <v>6</v>
      </c>
      <c r="G4311" s="1262">
        <v>99</v>
      </c>
      <c r="H4311" s="684">
        <v>594</v>
      </c>
      <c r="I4311" s="429" t="s">
        <v>8429</v>
      </c>
      <c r="J4311" s="130" t="s">
        <v>13444</v>
      </c>
      <c r="K4311" s="726">
        <v>41414</v>
      </c>
      <c r="L4311" s="130" t="s">
        <v>12379</v>
      </c>
      <c r="M4311" s="726">
        <v>41397</v>
      </c>
      <c r="N4311" s="519" t="s">
        <v>89</v>
      </c>
      <c r="O4311" s="519"/>
      <c r="Q4311" s="1266" t="s">
        <v>13505</v>
      </c>
      <c r="U4311" s="1277"/>
      <c r="V4311" s="70" t="s">
        <v>13414</v>
      </c>
      <c r="W4311" s="91"/>
      <c r="X4311" s="1496"/>
      <c r="Y4311" s="91"/>
      <c r="Z4311" s="1496"/>
      <c r="AA4311" s="1262">
        <v>20130508</v>
      </c>
      <c r="AB4311" s="1499"/>
      <c r="AC4311" s="91"/>
      <c r="AD4311" s="91"/>
      <c r="AE4311" s="91"/>
    </row>
    <row r="4312" spans="1:31" ht="15.75" customHeight="1">
      <c r="A4312" s="1269">
        <v>41393</v>
      </c>
      <c r="B4312" s="519" t="s">
        <v>10984</v>
      </c>
      <c r="C4312" s="642">
        <v>13000117</v>
      </c>
      <c r="D4312" s="519" t="s">
        <v>13531</v>
      </c>
      <c r="E4312" s="20" t="s">
        <v>13532</v>
      </c>
      <c r="F4312" s="1262">
        <v>16</v>
      </c>
      <c r="G4312" s="1262">
        <v>86</v>
      </c>
      <c r="H4312" s="684">
        <f t="shared" ref="H4312:H4328" si="279">G4312*F4312</f>
        <v>1376</v>
      </c>
      <c r="I4312" s="429" t="s">
        <v>8429</v>
      </c>
      <c r="J4312" s="130" t="s">
        <v>13444</v>
      </c>
      <c r="K4312" s="726">
        <v>41410</v>
      </c>
      <c r="L4312" s="130" t="s">
        <v>12379</v>
      </c>
      <c r="M4312" s="726">
        <v>41397</v>
      </c>
      <c r="N4312" s="519" t="s">
        <v>89</v>
      </c>
      <c r="O4312" s="519"/>
      <c r="Q4312" s="1266" t="s">
        <v>13505</v>
      </c>
      <c r="U4312" s="159"/>
      <c r="V4312" s="70" t="s">
        <v>13414</v>
      </c>
      <c r="W4312" s="91"/>
      <c r="X4312" s="1271">
        <v>41397</v>
      </c>
      <c r="Y4312" s="91"/>
      <c r="Z4312" s="686">
        <v>37993</v>
      </c>
      <c r="AA4312" s="1262">
        <v>20130508</v>
      </c>
      <c r="AB4312" s="1515" t="s">
        <v>13526</v>
      </c>
      <c r="AC4312" s="91"/>
      <c r="AD4312" s="91"/>
      <c r="AE4312" s="91"/>
    </row>
    <row r="4313" spans="1:31" ht="15.75" customHeight="1">
      <c r="A4313" s="1269">
        <v>41393</v>
      </c>
      <c r="B4313" s="519" t="s">
        <v>10984</v>
      </c>
      <c r="C4313" s="642">
        <v>13000117</v>
      </c>
      <c r="D4313" s="519" t="s">
        <v>13531</v>
      </c>
      <c r="E4313" s="20" t="s">
        <v>13533</v>
      </c>
      <c r="F4313" s="1262">
        <v>16</v>
      </c>
      <c r="G4313" s="1262">
        <v>27</v>
      </c>
      <c r="H4313" s="684">
        <f t="shared" si="279"/>
        <v>432</v>
      </c>
      <c r="I4313" s="429" t="s">
        <v>8429</v>
      </c>
      <c r="J4313" s="130" t="s">
        <v>13444</v>
      </c>
      <c r="K4313" s="726">
        <v>41410</v>
      </c>
      <c r="L4313" s="130" t="s">
        <v>12379</v>
      </c>
      <c r="M4313" s="726">
        <v>41396</v>
      </c>
      <c r="N4313" s="519" t="s">
        <v>302</v>
      </c>
      <c r="O4313" s="519"/>
      <c r="Q4313" s="1266"/>
      <c r="U4313" s="1273">
        <v>9240</v>
      </c>
      <c r="V4313" s="20" t="s">
        <v>13471</v>
      </c>
      <c r="W4313" s="91"/>
      <c r="X4313" s="1274">
        <v>41396</v>
      </c>
      <c r="Y4313" s="91"/>
      <c r="Z4313" s="686">
        <v>9240</v>
      </c>
      <c r="AA4313" s="1262">
        <v>20130520</v>
      </c>
      <c r="AB4313" s="1499"/>
      <c r="AC4313" s="91"/>
      <c r="AD4313" s="91"/>
      <c r="AE4313" s="91"/>
    </row>
    <row r="4314" spans="1:31" ht="15.75" customHeight="1">
      <c r="A4314" s="1269">
        <v>41394</v>
      </c>
      <c r="B4314" s="519" t="s">
        <v>10984</v>
      </c>
      <c r="C4314" s="642">
        <v>13000125</v>
      </c>
      <c r="D4314" s="519" t="s">
        <v>13534</v>
      </c>
      <c r="E4314" s="20" t="s">
        <v>13532</v>
      </c>
      <c r="F4314" s="1262">
        <v>36</v>
      </c>
      <c r="G4314" s="1262">
        <v>86</v>
      </c>
      <c r="H4314" s="684">
        <f t="shared" si="279"/>
        <v>3096</v>
      </c>
      <c r="I4314" s="429" t="s">
        <v>8429</v>
      </c>
      <c r="J4314" s="130" t="s">
        <v>13535</v>
      </c>
      <c r="K4314" s="726">
        <v>41424</v>
      </c>
      <c r="L4314" s="130" t="s">
        <v>232</v>
      </c>
      <c r="M4314" s="519"/>
      <c r="N4314" s="519" t="s">
        <v>89</v>
      </c>
      <c r="O4314" s="519"/>
      <c r="Q4314" s="1266" t="s">
        <v>13536</v>
      </c>
      <c r="U4314" s="1277"/>
      <c r="V4314" s="70" t="s">
        <v>13414</v>
      </c>
      <c r="W4314" s="91"/>
      <c r="X4314" s="1276">
        <v>41424</v>
      </c>
      <c r="Y4314" s="91"/>
      <c r="Z4314" s="686">
        <v>86076</v>
      </c>
      <c r="AA4314" s="1274">
        <v>41428</v>
      </c>
      <c r="AB4314" s="1515" t="s">
        <v>13537</v>
      </c>
      <c r="AC4314" s="91"/>
      <c r="AD4314" s="91"/>
      <c r="AE4314" s="91"/>
    </row>
    <row r="4315" spans="1:31" ht="15.75" customHeight="1">
      <c r="A4315" s="1269">
        <v>41394</v>
      </c>
      <c r="B4315" s="519" t="s">
        <v>10984</v>
      </c>
      <c r="C4315" s="642">
        <v>13000125</v>
      </c>
      <c r="D4315" s="519" t="s">
        <v>13534</v>
      </c>
      <c r="E4315" s="20" t="s">
        <v>13533</v>
      </c>
      <c r="F4315" s="1262">
        <v>36</v>
      </c>
      <c r="G4315" s="1262">
        <v>27</v>
      </c>
      <c r="H4315" s="684">
        <f t="shared" si="279"/>
        <v>972</v>
      </c>
      <c r="I4315" s="429" t="s">
        <v>8429</v>
      </c>
      <c r="J4315" s="130" t="s">
        <v>13535</v>
      </c>
      <c r="K4315" s="726">
        <v>41424</v>
      </c>
      <c r="L4315" s="130" t="s">
        <v>12379</v>
      </c>
      <c r="M4315" s="726">
        <v>41422</v>
      </c>
      <c r="N4315" s="519" t="s">
        <v>302</v>
      </c>
      <c r="O4315" s="519"/>
      <c r="Q4315" s="1266"/>
      <c r="U4315" s="1273">
        <v>20790</v>
      </c>
      <c r="V4315" s="20" t="s">
        <v>13471</v>
      </c>
      <c r="W4315" s="91"/>
      <c r="X4315" s="1276">
        <v>41421</v>
      </c>
      <c r="Y4315" s="91"/>
      <c r="Z4315" s="686">
        <v>20790</v>
      </c>
      <c r="AA4315" s="1274">
        <v>41428</v>
      </c>
      <c r="AB4315" s="1498"/>
      <c r="AC4315" s="91"/>
      <c r="AD4315" s="91"/>
      <c r="AE4315" s="91"/>
    </row>
    <row r="4316" spans="1:31" ht="15.75" customHeight="1">
      <c r="A4316" s="1269">
        <v>41401</v>
      </c>
      <c r="B4316" s="519" t="s">
        <v>10984</v>
      </c>
      <c r="C4316" s="642">
        <v>13000133</v>
      </c>
      <c r="D4316" s="519" t="s">
        <v>13538</v>
      </c>
      <c r="E4316" s="20" t="s">
        <v>13532</v>
      </c>
      <c r="F4316" s="1262">
        <v>2</v>
      </c>
      <c r="G4316" s="1262">
        <v>86</v>
      </c>
      <c r="H4316" s="684">
        <f t="shared" si="279"/>
        <v>172</v>
      </c>
      <c r="I4316" s="429" t="s">
        <v>8429</v>
      </c>
      <c r="J4316" s="130" t="s">
        <v>13535</v>
      </c>
      <c r="K4316" s="726">
        <v>41424</v>
      </c>
      <c r="L4316" s="130" t="s">
        <v>232</v>
      </c>
      <c r="M4316" s="519"/>
      <c r="N4316" s="519" t="s">
        <v>89</v>
      </c>
      <c r="O4316" s="519"/>
      <c r="Q4316" s="1266" t="s">
        <v>13536</v>
      </c>
      <c r="U4316" s="1277"/>
      <c r="V4316" s="70" t="s">
        <v>13414</v>
      </c>
      <c r="W4316" s="91"/>
      <c r="X4316" s="1276">
        <v>41424</v>
      </c>
      <c r="Y4316" s="91"/>
      <c r="Z4316" s="686">
        <v>4782</v>
      </c>
      <c r="AA4316" s="1274">
        <v>41428</v>
      </c>
      <c r="AB4316" s="1498"/>
      <c r="AC4316" s="91"/>
      <c r="AD4316" s="91"/>
      <c r="AE4316" s="91"/>
    </row>
    <row r="4317" spans="1:31" ht="15.75" customHeight="1">
      <c r="A4317" s="1269">
        <v>41401</v>
      </c>
      <c r="B4317" s="519" t="s">
        <v>10984</v>
      </c>
      <c r="C4317" s="642">
        <v>13000133</v>
      </c>
      <c r="D4317" s="519" t="s">
        <v>13538</v>
      </c>
      <c r="E4317" s="20" t="s">
        <v>13533</v>
      </c>
      <c r="F4317" s="1262">
        <v>2</v>
      </c>
      <c r="G4317" s="1262">
        <v>27</v>
      </c>
      <c r="H4317" s="684">
        <f t="shared" si="279"/>
        <v>54</v>
      </c>
      <c r="I4317" s="429" t="s">
        <v>8429</v>
      </c>
      <c r="J4317" s="130" t="s">
        <v>13535</v>
      </c>
      <c r="K4317" s="726">
        <v>41424</v>
      </c>
      <c r="L4317" s="130" t="s">
        <v>12379</v>
      </c>
      <c r="M4317" s="726">
        <v>41422</v>
      </c>
      <c r="N4317" s="519" t="s">
        <v>302</v>
      </c>
      <c r="O4317" s="519"/>
      <c r="Q4317" s="1266"/>
      <c r="U4317" s="1273">
        <v>1155</v>
      </c>
      <c r="V4317" s="20" t="s">
        <v>13471</v>
      </c>
      <c r="W4317" s="91"/>
      <c r="X4317" s="1274">
        <v>41421</v>
      </c>
      <c r="Y4317" s="91"/>
      <c r="Z4317" s="686">
        <v>1155</v>
      </c>
      <c r="AA4317" s="1274">
        <v>41428</v>
      </c>
      <c r="AB4317" s="1499"/>
      <c r="AC4317" s="91"/>
      <c r="AD4317" s="91"/>
      <c r="AE4317" s="91"/>
    </row>
    <row r="4318" spans="1:31" ht="15.75" customHeight="1">
      <c r="A4318" s="1269">
        <v>41401</v>
      </c>
      <c r="B4318" s="519" t="s">
        <v>13494</v>
      </c>
      <c r="C4318" s="642">
        <v>130507001</v>
      </c>
      <c r="D4318" s="519" t="s">
        <v>13539</v>
      </c>
      <c r="E4318" s="20" t="s">
        <v>13540</v>
      </c>
      <c r="F4318" s="1262">
        <v>18</v>
      </c>
      <c r="G4318" s="1262">
        <v>73.5</v>
      </c>
      <c r="H4318" s="684">
        <f t="shared" si="279"/>
        <v>1323</v>
      </c>
      <c r="I4318" s="429" t="s">
        <v>11743</v>
      </c>
      <c r="J4318" s="429" t="s">
        <v>12398</v>
      </c>
      <c r="K4318" s="726">
        <v>41404</v>
      </c>
      <c r="L4318" s="130" t="s">
        <v>232</v>
      </c>
      <c r="M4318" s="519"/>
      <c r="N4318" s="519" t="s">
        <v>89</v>
      </c>
      <c r="O4318" s="519"/>
      <c r="Q4318" s="1266" t="s">
        <v>13519</v>
      </c>
      <c r="U4318" s="159"/>
      <c r="V4318" s="70" t="s">
        <v>13414</v>
      </c>
      <c r="W4318" s="91"/>
      <c r="X4318" s="560">
        <v>41404</v>
      </c>
      <c r="Y4318" s="91"/>
      <c r="Z4318" s="719">
        <v>35828</v>
      </c>
      <c r="AA4318" s="1274">
        <v>41414</v>
      </c>
      <c r="AB4318" s="66" t="s">
        <v>13518</v>
      </c>
      <c r="AC4318" s="91"/>
      <c r="AD4318" s="91"/>
      <c r="AE4318" s="91"/>
    </row>
    <row r="4319" spans="1:31" ht="15.75" customHeight="1">
      <c r="A4319" s="1269">
        <v>41401</v>
      </c>
      <c r="B4319" s="519" t="s">
        <v>13541</v>
      </c>
      <c r="C4319" s="642" t="s">
        <v>13542</v>
      </c>
      <c r="D4319" s="519" t="s">
        <v>13543</v>
      </c>
      <c r="E4319" s="20" t="s">
        <v>4268</v>
      </c>
      <c r="F4319" s="1262">
        <v>1</v>
      </c>
      <c r="G4319" s="1262">
        <v>141.19999999999999</v>
      </c>
      <c r="H4319" s="684">
        <f t="shared" si="279"/>
        <v>141.19999999999999</v>
      </c>
      <c r="I4319" s="429" t="s">
        <v>86</v>
      </c>
      <c r="J4319" s="429" t="s">
        <v>13544</v>
      </c>
      <c r="K4319" s="726">
        <v>41411</v>
      </c>
      <c r="L4319" s="130" t="s">
        <v>12379</v>
      </c>
      <c r="M4319" s="519"/>
      <c r="N4319" s="519" t="s">
        <v>89</v>
      </c>
      <c r="O4319" s="519"/>
      <c r="Q4319" s="1266" t="s">
        <v>13519</v>
      </c>
      <c r="U4319" s="159"/>
      <c r="V4319" s="70" t="s">
        <v>13414</v>
      </c>
      <c r="W4319" s="91"/>
      <c r="X4319" s="1271">
        <v>41410</v>
      </c>
      <c r="Y4319" s="91"/>
      <c r="Z4319" s="719">
        <v>3824</v>
      </c>
      <c r="AA4319" s="1274">
        <v>41414</v>
      </c>
      <c r="AB4319" s="501" t="s">
        <v>13545</v>
      </c>
      <c r="AC4319" s="91"/>
      <c r="AD4319" s="91"/>
      <c r="AE4319" s="91"/>
    </row>
    <row r="4320" spans="1:31" ht="15.75" customHeight="1">
      <c r="A4320" s="1269">
        <v>41409</v>
      </c>
      <c r="B4320" s="519" t="s">
        <v>13494</v>
      </c>
      <c r="C4320" s="642">
        <v>130515003</v>
      </c>
      <c r="D4320" s="519" t="s">
        <v>13546</v>
      </c>
      <c r="E4320" s="20" t="s">
        <v>12513</v>
      </c>
      <c r="F4320" s="1262">
        <v>3</v>
      </c>
      <c r="G4320" s="1262">
        <v>1013.25</v>
      </c>
      <c r="H4320" s="684">
        <f t="shared" si="279"/>
        <v>3039.75</v>
      </c>
      <c r="I4320" s="429" t="s">
        <v>11743</v>
      </c>
      <c r="J4320" s="130" t="s">
        <v>12398</v>
      </c>
      <c r="K4320" s="726">
        <v>41417</v>
      </c>
      <c r="L4320" s="130" t="s">
        <v>232</v>
      </c>
      <c r="M4320" s="519"/>
      <c r="N4320" s="519" t="s">
        <v>89</v>
      </c>
      <c r="O4320" s="519"/>
      <c r="Q4320" s="1266" t="s">
        <v>13536</v>
      </c>
      <c r="U4320" s="159"/>
      <c r="V4320" s="70" t="s">
        <v>13414</v>
      </c>
      <c r="W4320" s="91"/>
      <c r="X4320" s="1508">
        <v>41417</v>
      </c>
      <c r="Y4320" s="91"/>
      <c r="Z4320" s="1513">
        <v>111768</v>
      </c>
      <c r="AA4320" s="1274">
        <v>41428</v>
      </c>
      <c r="AB4320" s="1522" t="s">
        <v>13547</v>
      </c>
      <c r="AC4320" s="91"/>
      <c r="AD4320" s="91"/>
      <c r="AE4320" s="91"/>
    </row>
    <row r="4321" spans="1:31" ht="15.75" customHeight="1">
      <c r="A4321" s="1269">
        <v>41409</v>
      </c>
      <c r="B4321" s="519" t="s">
        <v>13494</v>
      </c>
      <c r="C4321" s="642">
        <v>130515003</v>
      </c>
      <c r="D4321" s="519" t="s">
        <v>13546</v>
      </c>
      <c r="E4321" s="20" t="s">
        <v>13548</v>
      </c>
      <c r="F4321" s="1262">
        <v>1</v>
      </c>
      <c r="G4321" s="1262">
        <v>992.25</v>
      </c>
      <c r="H4321" s="684">
        <f t="shared" si="279"/>
        <v>992.25</v>
      </c>
      <c r="I4321" s="429" t="s">
        <v>11743</v>
      </c>
      <c r="J4321" s="130" t="s">
        <v>12398</v>
      </c>
      <c r="K4321" s="726">
        <v>41417</v>
      </c>
      <c r="L4321" s="130" t="s">
        <v>232</v>
      </c>
      <c r="M4321" s="519"/>
      <c r="N4321" s="519" t="s">
        <v>89</v>
      </c>
      <c r="O4321" s="519"/>
      <c r="Q4321" s="1266" t="s">
        <v>13519</v>
      </c>
      <c r="U4321" s="159"/>
      <c r="V4321" s="70" t="s">
        <v>13414</v>
      </c>
      <c r="W4321" s="91"/>
      <c r="X4321" s="1499"/>
      <c r="Y4321" s="91"/>
      <c r="Z4321" s="1499"/>
      <c r="AA4321" s="1274">
        <v>41414</v>
      </c>
      <c r="AB4321" s="1499"/>
      <c r="AC4321" s="91"/>
      <c r="AD4321" s="91"/>
      <c r="AE4321" s="91"/>
    </row>
    <row r="4322" spans="1:31" ht="15.75" customHeight="1">
      <c r="A4322" s="1261">
        <v>41415</v>
      </c>
      <c r="B4322" s="20" t="s">
        <v>13494</v>
      </c>
      <c r="C4322" s="70">
        <v>130520003</v>
      </c>
      <c r="D4322" s="20" t="s">
        <v>13549</v>
      </c>
      <c r="E4322" s="20" t="s">
        <v>13550</v>
      </c>
      <c r="F4322" s="684">
        <v>1</v>
      </c>
      <c r="G4322" s="684">
        <v>441</v>
      </c>
      <c r="H4322" s="684">
        <f t="shared" si="279"/>
        <v>441</v>
      </c>
      <c r="I4322" s="429" t="s">
        <v>11743</v>
      </c>
      <c r="J4322" s="429" t="s">
        <v>12398</v>
      </c>
      <c r="K4322" s="726">
        <v>41424</v>
      </c>
      <c r="L4322" s="429" t="s">
        <v>232</v>
      </c>
      <c r="M4322" s="519"/>
      <c r="N4322" s="20" t="s">
        <v>89</v>
      </c>
      <c r="O4322" s="519"/>
      <c r="Q4322" s="1266" t="s">
        <v>13536</v>
      </c>
      <c r="U4322" s="159"/>
      <c r="V4322" s="70" t="s">
        <v>13414</v>
      </c>
      <c r="W4322" s="91"/>
      <c r="X4322" s="560">
        <v>41424</v>
      </c>
      <c r="Y4322" s="91"/>
      <c r="Z4322" s="719">
        <v>12057</v>
      </c>
      <c r="AA4322" s="1274">
        <v>41428</v>
      </c>
      <c r="AB4322" s="501" t="s">
        <v>13551</v>
      </c>
      <c r="AC4322" s="91"/>
      <c r="AD4322" s="91"/>
      <c r="AE4322" s="91"/>
    </row>
    <row r="4323" spans="1:31" ht="15.75" customHeight="1">
      <c r="A4323" s="1269">
        <v>41416</v>
      </c>
      <c r="B4323" s="519" t="s">
        <v>1189</v>
      </c>
      <c r="C4323" s="642" t="s">
        <v>13552</v>
      </c>
      <c r="D4323" s="519" t="s">
        <v>13553</v>
      </c>
      <c r="E4323" s="20" t="s">
        <v>12387</v>
      </c>
      <c r="F4323" s="1262">
        <v>100</v>
      </c>
      <c r="G4323" s="1262">
        <v>37</v>
      </c>
      <c r="H4323" s="684">
        <f t="shared" si="279"/>
        <v>3700</v>
      </c>
      <c r="I4323" s="429" t="s">
        <v>86</v>
      </c>
      <c r="J4323" s="429" t="s">
        <v>13421</v>
      </c>
      <c r="K4323" s="726">
        <v>41491</v>
      </c>
      <c r="L4323" s="130" t="s">
        <v>12379</v>
      </c>
      <c r="M4323" s="726">
        <v>41484</v>
      </c>
      <c r="N4323" s="519" t="s">
        <v>12389</v>
      </c>
      <c r="O4323" s="1262">
        <v>1020522</v>
      </c>
      <c r="Q4323" s="1266"/>
      <c r="U4323" s="1262">
        <v>105000</v>
      </c>
      <c r="V4323" s="70" t="s">
        <v>2413</v>
      </c>
      <c r="W4323" s="91"/>
      <c r="X4323" s="1276">
        <v>41459</v>
      </c>
      <c r="Y4323" s="91"/>
      <c r="Z4323" s="686">
        <v>105000</v>
      </c>
      <c r="AA4323" s="1271">
        <v>41479</v>
      </c>
      <c r="AB4323" s="70" t="s">
        <v>13554</v>
      </c>
      <c r="AC4323" s="91"/>
      <c r="AD4323" s="91"/>
      <c r="AE4323" s="91"/>
    </row>
    <row r="4324" spans="1:31" ht="15.75" customHeight="1">
      <c r="A4324" s="1269">
        <v>41416</v>
      </c>
      <c r="B4324" s="519" t="s">
        <v>1189</v>
      </c>
      <c r="C4324" s="642" t="s">
        <v>13552</v>
      </c>
      <c r="D4324" s="519" t="s">
        <v>13555</v>
      </c>
      <c r="E4324" s="20" t="s">
        <v>12387</v>
      </c>
      <c r="F4324" s="1262">
        <v>100</v>
      </c>
      <c r="G4324" s="1262">
        <v>37</v>
      </c>
      <c r="H4324" s="684">
        <f t="shared" si="279"/>
        <v>3700</v>
      </c>
      <c r="I4324" s="429" t="s">
        <v>86</v>
      </c>
      <c r="J4324" s="429" t="s">
        <v>13421</v>
      </c>
      <c r="K4324" s="726">
        <v>41551</v>
      </c>
      <c r="L4324" s="130" t="s">
        <v>12379</v>
      </c>
      <c r="M4324" s="1163">
        <v>41550</v>
      </c>
      <c r="N4324" s="519" t="s">
        <v>12389</v>
      </c>
      <c r="O4324" s="519"/>
      <c r="Q4324" s="1266"/>
      <c r="U4324" s="719">
        <v>105000</v>
      </c>
      <c r="V4324" s="70" t="s">
        <v>2413</v>
      </c>
      <c r="W4324" s="91"/>
      <c r="X4324" s="1271">
        <v>41549</v>
      </c>
      <c r="Y4324" s="91"/>
      <c r="Z4324" s="719">
        <v>105000</v>
      </c>
      <c r="AA4324" s="1276">
        <v>41549</v>
      </c>
      <c r="AB4324" s="66" t="s">
        <v>13556</v>
      </c>
      <c r="AC4324" s="91"/>
      <c r="AD4324" s="91"/>
      <c r="AE4324" s="91"/>
    </row>
    <row r="4325" spans="1:31" ht="15.75" customHeight="1">
      <c r="A4325" s="1269">
        <v>41411</v>
      </c>
      <c r="B4325" s="519" t="s">
        <v>13494</v>
      </c>
      <c r="C4325" s="642">
        <v>130527001</v>
      </c>
      <c r="D4325" s="519" t="s">
        <v>13557</v>
      </c>
      <c r="E4325" s="20" t="s">
        <v>13558</v>
      </c>
      <c r="F4325" s="1262">
        <v>1</v>
      </c>
      <c r="G4325" s="1262">
        <v>1047.9000000000001</v>
      </c>
      <c r="H4325" s="684">
        <f t="shared" si="279"/>
        <v>1047.9000000000001</v>
      </c>
      <c r="I4325" s="429" t="s">
        <v>11743</v>
      </c>
      <c r="J4325" s="130" t="s">
        <v>232</v>
      </c>
      <c r="K4325" s="726">
        <v>41431</v>
      </c>
      <c r="L4325" s="130" t="s">
        <v>232</v>
      </c>
      <c r="M4325" s="519"/>
      <c r="N4325" s="519" t="s">
        <v>232</v>
      </c>
      <c r="O4325" s="519"/>
      <c r="Q4325" s="1266" t="s">
        <v>13536</v>
      </c>
      <c r="U4325" s="159"/>
      <c r="V4325" s="70" t="s">
        <v>13414</v>
      </c>
      <c r="W4325" s="91"/>
      <c r="X4325" s="560">
        <v>41431</v>
      </c>
      <c r="Y4325" s="91"/>
      <c r="Z4325" s="719">
        <v>29754</v>
      </c>
      <c r="AA4325" s="1274">
        <v>41428</v>
      </c>
      <c r="AB4325" s="501" t="s">
        <v>13551</v>
      </c>
      <c r="AC4325" s="91"/>
      <c r="AD4325" s="91"/>
      <c r="AE4325" s="91"/>
    </row>
    <row r="4326" spans="1:31" ht="15.75" customHeight="1">
      <c r="A4326" s="1269">
        <v>41365</v>
      </c>
      <c r="B4326" s="519" t="s">
        <v>13559</v>
      </c>
      <c r="C4326" s="519"/>
      <c r="D4326" s="519" t="s">
        <v>13560</v>
      </c>
      <c r="E4326" s="20" t="s">
        <v>13561</v>
      </c>
      <c r="F4326" s="1262">
        <v>2</v>
      </c>
      <c r="G4326" s="1262">
        <v>125</v>
      </c>
      <c r="H4326" s="684">
        <f t="shared" si="279"/>
        <v>250</v>
      </c>
      <c r="I4326" s="429" t="s">
        <v>170</v>
      </c>
      <c r="J4326" s="130" t="s">
        <v>13562</v>
      </c>
      <c r="K4326" s="726">
        <v>41375</v>
      </c>
      <c r="L4326" s="429" t="s">
        <v>12379</v>
      </c>
      <c r="M4326" s="519"/>
      <c r="N4326" s="519" t="s">
        <v>13563</v>
      </c>
      <c r="O4326" s="519"/>
      <c r="Q4326" s="1266"/>
      <c r="U4326" s="1273">
        <v>6615</v>
      </c>
      <c r="V4326" s="20" t="s">
        <v>13565</v>
      </c>
      <c r="W4326" s="91"/>
      <c r="X4326" s="1274">
        <v>41372</v>
      </c>
      <c r="Y4326" s="91"/>
      <c r="Z4326" s="1273">
        <v>6615</v>
      </c>
      <c r="AA4326" s="519" t="s">
        <v>13564</v>
      </c>
      <c r="AB4326" s="1515" t="s">
        <v>13566</v>
      </c>
      <c r="AC4326" s="91"/>
      <c r="AD4326" s="91"/>
      <c r="AE4326" s="91"/>
    </row>
    <row r="4327" spans="1:31" ht="15.75" customHeight="1">
      <c r="A4327" s="1269">
        <v>41365</v>
      </c>
      <c r="B4327" s="519" t="s">
        <v>13559</v>
      </c>
      <c r="C4327" s="519"/>
      <c r="D4327" s="519" t="s">
        <v>13560</v>
      </c>
      <c r="E4327" s="20" t="s">
        <v>13567</v>
      </c>
      <c r="F4327" s="1262">
        <v>1</v>
      </c>
      <c r="G4327" s="1262">
        <v>125</v>
      </c>
      <c r="H4327" s="684">
        <f t="shared" si="279"/>
        <v>125</v>
      </c>
      <c r="I4327" s="429" t="s">
        <v>170</v>
      </c>
      <c r="J4327" s="130" t="s">
        <v>13562</v>
      </c>
      <c r="K4327" s="726">
        <v>41375</v>
      </c>
      <c r="L4327" s="429" t="s">
        <v>12379</v>
      </c>
      <c r="M4327" s="519"/>
      <c r="N4327" s="519" t="s">
        <v>13568</v>
      </c>
      <c r="O4327" s="519"/>
      <c r="Q4327" s="1266" t="s">
        <v>13570</v>
      </c>
      <c r="U4327" s="159"/>
      <c r="V4327" s="20" t="s">
        <v>13569</v>
      </c>
      <c r="W4327" s="91"/>
      <c r="X4327" s="1271">
        <v>41370</v>
      </c>
      <c r="Y4327" s="91"/>
      <c r="Z4327" s="519"/>
      <c r="AA4327" s="519" t="s">
        <v>13564</v>
      </c>
      <c r="AB4327" s="1499"/>
      <c r="AC4327" s="91"/>
      <c r="AD4327" s="91"/>
      <c r="AE4327" s="91"/>
    </row>
    <row r="4328" spans="1:31" ht="15.75" customHeight="1">
      <c r="A4328" s="1269">
        <v>41424</v>
      </c>
      <c r="B4328" s="519" t="s">
        <v>13559</v>
      </c>
      <c r="C4328" s="519"/>
      <c r="D4328" s="519" t="s">
        <v>13571</v>
      </c>
      <c r="E4328" s="501" t="s">
        <v>13572</v>
      </c>
      <c r="F4328" s="1262">
        <v>1</v>
      </c>
      <c r="G4328" s="1262">
        <v>1122</v>
      </c>
      <c r="H4328" s="684">
        <f t="shared" si="279"/>
        <v>1122</v>
      </c>
      <c r="I4328" s="429" t="s">
        <v>170</v>
      </c>
      <c r="J4328" s="130" t="s">
        <v>13562</v>
      </c>
      <c r="K4328" s="1163">
        <v>41443</v>
      </c>
      <c r="L4328" s="429" t="s">
        <v>12379</v>
      </c>
      <c r="M4328" s="1163">
        <v>41440</v>
      </c>
      <c r="N4328" s="519" t="s">
        <v>13573</v>
      </c>
      <c r="O4328" s="519"/>
      <c r="Q4328" s="1266"/>
      <c r="U4328" s="1270">
        <v>29900</v>
      </c>
      <c r="V4328" s="519" t="s">
        <v>13574</v>
      </c>
      <c r="W4328" s="91"/>
      <c r="X4328" s="1271">
        <v>41439</v>
      </c>
      <c r="Y4328" s="91"/>
      <c r="Z4328" s="1270">
        <v>29900</v>
      </c>
      <c r="AA4328" s="1274">
        <v>41438</v>
      </c>
      <c r="AB4328" s="501" t="s">
        <v>13575</v>
      </c>
      <c r="AC4328" s="91"/>
      <c r="AD4328" s="91"/>
      <c r="AE4328" s="91"/>
    </row>
    <row r="4329" spans="1:31" ht="15.75" customHeight="1">
      <c r="A4329" s="1278" t="s">
        <v>13576</v>
      </c>
      <c r="B4329" s="1167"/>
      <c r="C4329" s="1167"/>
      <c r="D4329" s="66"/>
      <c r="E4329" s="1279"/>
      <c r="F4329" s="1279"/>
      <c r="G4329" s="1279"/>
      <c r="H4329" s="1279"/>
      <c r="I4329" s="1279"/>
      <c r="J4329" s="1279"/>
      <c r="K4329" s="1279"/>
      <c r="L4329" s="1279"/>
      <c r="M4329" s="1279"/>
      <c r="N4329" s="1279"/>
      <c r="O4329" s="1279"/>
      <c r="Q4329" s="1280"/>
      <c r="U4329" s="1281"/>
      <c r="V4329" s="1279"/>
      <c r="W4329" s="91"/>
      <c r="X4329" s="1279"/>
      <c r="Y4329" s="91"/>
      <c r="Z4329" s="1279"/>
      <c r="AA4329" s="1279"/>
      <c r="AB4329" s="1279"/>
      <c r="AC4329" s="91"/>
      <c r="AD4329" s="91"/>
      <c r="AE4329" s="91"/>
    </row>
    <row r="4330" spans="1:31" ht="15.75" customHeight="1">
      <c r="A4330" s="1282">
        <v>41428</v>
      </c>
      <c r="B4330" s="1283" t="s">
        <v>13434</v>
      </c>
      <c r="C4330" s="1283" t="s">
        <v>13577</v>
      </c>
      <c r="D4330" s="1283" t="s">
        <v>13578</v>
      </c>
      <c r="E4330" s="1283" t="s">
        <v>12081</v>
      </c>
      <c r="F4330" s="136">
        <v>52</v>
      </c>
      <c r="G4330" s="136">
        <v>88.2</v>
      </c>
      <c r="H4330" s="712">
        <f t="shared" ref="H4330:H4354" si="280">G4330*F4330</f>
        <v>4586.4000000000005</v>
      </c>
      <c r="I4330" s="346" t="s">
        <v>13442</v>
      </c>
      <c r="J4330" s="346" t="s">
        <v>12398</v>
      </c>
      <c r="K4330" s="213">
        <v>41467</v>
      </c>
      <c r="L4330" s="137" t="s">
        <v>232</v>
      </c>
      <c r="M4330" s="66"/>
      <c r="N4330" s="66" t="s">
        <v>232</v>
      </c>
      <c r="O4330" s="136">
        <v>20130600092935</v>
      </c>
      <c r="Q4330" s="1284" t="s">
        <v>13580</v>
      </c>
      <c r="U4330" s="159"/>
      <c r="V4330" s="66" t="s">
        <v>13579</v>
      </c>
      <c r="W4330" s="91"/>
      <c r="X4330" s="560">
        <v>41455</v>
      </c>
      <c r="Y4330" s="91"/>
      <c r="Z4330" s="719">
        <v>119534</v>
      </c>
      <c r="AA4330" s="1271">
        <v>41465</v>
      </c>
      <c r="AB4330" s="1522" t="s">
        <v>13581</v>
      </c>
      <c r="AC4330" s="91"/>
      <c r="AD4330" s="91"/>
      <c r="AE4330" s="91"/>
    </row>
    <row r="4331" spans="1:31" ht="15.75" customHeight="1">
      <c r="A4331" s="1282">
        <v>41428</v>
      </c>
      <c r="B4331" s="1283" t="s">
        <v>13434</v>
      </c>
      <c r="C4331" s="1283" t="s">
        <v>13577</v>
      </c>
      <c r="D4331" s="1283" t="s">
        <v>13578</v>
      </c>
      <c r="E4331" s="1283" t="s">
        <v>13582</v>
      </c>
      <c r="F4331" s="136">
        <v>52</v>
      </c>
      <c r="G4331" s="136">
        <v>10.5</v>
      </c>
      <c r="H4331" s="712">
        <f t="shared" si="280"/>
        <v>546</v>
      </c>
      <c r="I4331" s="346" t="s">
        <v>13442</v>
      </c>
      <c r="J4331" s="346" t="s">
        <v>13583</v>
      </c>
      <c r="K4331" s="213">
        <v>41465</v>
      </c>
      <c r="L4331" s="346" t="s">
        <v>12379</v>
      </c>
      <c r="M4331" s="1285">
        <v>41463</v>
      </c>
      <c r="N4331" s="66" t="s">
        <v>302</v>
      </c>
      <c r="O4331" s="66"/>
      <c r="Q4331" s="1284"/>
      <c r="U4331" s="136">
        <v>9828</v>
      </c>
      <c r="V4331" s="20" t="s">
        <v>13471</v>
      </c>
      <c r="W4331" s="91"/>
      <c r="X4331" s="1271">
        <v>41459</v>
      </c>
      <c r="Y4331" s="91"/>
      <c r="Z4331" s="1270">
        <v>9828</v>
      </c>
      <c r="AA4331" s="1271">
        <v>41479</v>
      </c>
      <c r="AB4331" s="1499"/>
      <c r="AC4331" s="91"/>
      <c r="AD4331" s="91"/>
      <c r="AE4331" s="91"/>
    </row>
    <row r="4332" spans="1:31" ht="15.75" customHeight="1">
      <c r="A4332" s="1282">
        <v>41428</v>
      </c>
      <c r="B4332" s="1283" t="s">
        <v>13434</v>
      </c>
      <c r="C4332" s="1283" t="s">
        <v>13577</v>
      </c>
      <c r="D4332" s="1283" t="s">
        <v>13584</v>
      </c>
      <c r="E4332" s="1283" t="s">
        <v>12081</v>
      </c>
      <c r="F4332" s="136">
        <v>48</v>
      </c>
      <c r="G4332" s="136">
        <v>88.2</v>
      </c>
      <c r="H4332" s="712">
        <f t="shared" si="280"/>
        <v>4233.6000000000004</v>
      </c>
      <c r="I4332" s="346" t="s">
        <v>13442</v>
      </c>
      <c r="J4332" s="346" t="s">
        <v>12398</v>
      </c>
      <c r="K4332" s="213">
        <v>41480</v>
      </c>
      <c r="L4332" s="137" t="s">
        <v>232</v>
      </c>
      <c r="M4332" s="66"/>
      <c r="N4332" s="66" t="s">
        <v>232</v>
      </c>
      <c r="O4332" s="136">
        <v>20130600092935</v>
      </c>
      <c r="Q4332" s="1284" t="s">
        <v>13585</v>
      </c>
      <c r="U4332" s="159"/>
      <c r="V4332" s="66" t="s">
        <v>13579</v>
      </c>
      <c r="W4332" s="91"/>
      <c r="X4332" s="560">
        <v>41480</v>
      </c>
      <c r="Y4332" s="91"/>
      <c r="Z4332" s="719">
        <v>109898</v>
      </c>
      <c r="AA4332" s="1271">
        <v>41479</v>
      </c>
      <c r="AB4332" s="1522" t="s">
        <v>13586</v>
      </c>
      <c r="AC4332" s="91"/>
      <c r="AD4332" s="91"/>
      <c r="AE4332" s="91"/>
    </row>
    <row r="4333" spans="1:31" ht="15.75" customHeight="1">
      <c r="A4333" s="1282">
        <v>41428</v>
      </c>
      <c r="B4333" s="1283" t="s">
        <v>13434</v>
      </c>
      <c r="C4333" s="1283" t="s">
        <v>13577</v>
      </c>
      <c r="D4333" s="1283" t="s">
        <v>13584</v>
      </c>
      <c r="E4333" s="1283" t="s">
        <v>13582</v>
      </c>
      <c r="F4333" s="136">
        <v>58</v>
      </c>
      <c r="G4333" s="136">
        <v>10.5</v>
      </c>
      <c r="H4333" s="712">
        <f t="shared" si="280"/>
        <v>609</v>
      </c>
      <c r="I4333" s="346" t="s">
        <v>13442</v>
      </c>
      <c r="J4333" s="346" t="s">
        <v>13583</v>
      </c>
      <c r="K4333" s="213">
        <v>41479</v>
      </c>
      <c r="L4333" s="346" t="s">
        <v>12379</v>
      </c>
      <c r="M4333" s="213">
        <v>41473</v>
      </c>
      <c r="N4333" s="66" t="s">
        <v>302</v>
      </c>
      <c r="O4333" s="66"/>
      <c r="Q4333" s="1284"/>
      <c r="U4333" s="136">
        <v>10962</v>
      </c>
      <c r="V4333" s="20" t="s">
        <v>13471</v>
      </c>
      <c r="W4333" s="91"/>
      <c r="X4333" s="1271">
        <v>41470</v>
      </c>
      <c r="Y4333" s="91"/>
      <c r="Z4333" s="1270">
        <v>10962</v>
      </c>
      <c r="AA4333" s="1271">
        <v>41479</v>
      </c>
      <c r="AB4333" s="1499"/>
      <c r="AC4333" s="91"/>
      <c r="AD4333" s="91"/>
      <c r="AE4333" s="91"/>
    </row>
    <row r="4334" spans="1:31" ht="15.75" customHeight="1">
      <c r="A4334" s="1282">
        <v>41429</v>
      </c>
      <c r="B4334" s="66" t="s">
        <v>13494</v>
      </c>
      <c r="C4334" s="1286">
        <v>130607005</v>
      </c>
      <c r="D4334" s="66" t="s">
        <v>13587</v>
      </c>
      <c r="E4334" s="501" t="s">
        <v>13588</v>
      </c>
      <c r="F4334" s="136">
        <v>1</v>
      </c>
      <c r="G4334" s="136">
        <v>60.9</v>
      </c>
      <c r="H4334" s="712">
        <f t="shared" si="280"/>
        <v>60.9</v>
      </c>
      <c r="I4334" s="346" t="s">
        <v>11743</v>
      </c>
      <c r="J4334" s="137" t="s">
        <v>12398</v>
      </c>
      <c r="K4334" s="213">
        <v>41442</v>
      </c>
      <c r="L4334" s="137" t="s">
        <v>232</v>
      </c>
      <c r="M4334" s="66"/>
      <c r="N4334" s="66" t="s">
        <v>89</v>
      </c>
      <c r="O4334" s="136">
        <v>20130500090915</v>
      </c>
      <c r="Q4334" s="1284" t="s">
        <v>13589</v>
      </c>
      <c r="U4334" s="159"/>
      <c r="V4334" s="66" t="s">
        <v>13579</v>
      </c>
      <c r="W4334" s="91"/>
      <c r="X4334" s="560">
        <v>41442</v>
      </c>
      <c r="Y4334" s="91"/>
      <c r="Z4334" s="719">
        <v>1623</v>
      </c>
      <c r="AA4334" s="1271">
        <v>41439</v>
      </c>
      <c r="AB4334" s="66" t="s">
        <v>13590</v>
      </c>
      <c r="AC4334" s="91"/>
      <c r="AD4334" s="91"/>
      <c r="AE4334" s="91"/>
    </row>
    <row r="4335" spans="1:31" ht="15.75" customHeight="1">
      <c r="A4335" s="1282">
        <v>41430</v>
      </c>
      <c r="B4335" s="66" t="s">
        <v>665</v>
      </c>
      <c r="C4335" s="66"/>
      <c r="D4335" s="66" t="s">
        <v>13591</v>
      </c>
      <c r="E4335" s="501" t="s">
        <v>8693</v>
      </c>
      <c r="F4335" s="136">
        <v>8</v>
      </c>
      <c r="G4335" s="136">
        <v>103</v>
      </c>
      <c r="H4335" s="712">
        <f t="shared" si="280"/>
        <v>824</v>
      </c>
      <c r="I4335" s="346" t="s">
        <v>8429</v>
      </c>
      <c r="J4335" s="137" t="s">
        <v>13413</v>
      </c>
      <c r="K4335" s="213">
        <v>41451</v>
      </c>
      <c r="L4335" s="137" t="s">
        <v>89</v>
      </c>
      <c r="M4335" s="66"/>
      <c r="N4335" s="66" t="s">
        <v>89</v>
      </c>
      <c r="O4335" s="1505">
        <v>20130600093030</v>
      </c>
      <c r="Q4335" s="1504" t="s">
        <v>13592</v>
      </c>
      <c r="U4335" s="159"/>
      <c r="V4335" s="1505" t="s">
        <v>13579</v>
      </c>
      <c r="W4335" s="91"/>
      <c r="X4335" s="1497">
        <v>41451</v>
      </c>
      <c r="Y4335" s="91"/>
      <c r="Z4335" s="1513">
        <v>316366</v>
      </c>
      <c r="AA4335" s="1507">
        <v>41450</v>
      </c>
      <c r="AB4335" s="1514" t="s">
        <v>13593</v>
      </c>
      <c r="AC4335" s="91"/>
      <c r="AD4335" s="91"/>
      <c r="AE4335" s="91"/>
    </row>
    <row r="4336" spans="1:31" ht="15.75" customHeight="1">
      <c r="A4336" s="1282">
        <v>41430</v>
      </c>
      <c r="B4336" s="66" t="s">
        <v>665</v>
      </c>
      <c r="C4336" s="66"/>
      <c r="D4336" s="66" t="s">
        <v>13591</v>
      </c>
      <c r="E4336" s="501" t="s">
        <v>8353</v>
      </c>
      <c r="F4336" s="136">
        <v>8</v>
      </c>
      <c r="G4336" s="136">
        <v>377</v>
      </c>
      <c r="H4336" s="712">
        <f t="shared" si="280"/>
        <v>3016</v>
      </c>
      <c r="I4336" s="346" t="s">
        <v>8429</v>
      </c>
      <c r="J4336" s="137" t="s">
        <v>13413</v>
      </c>
      <c r="K4336" s="213">
        <v>41451</v>
      </c>
      <c r="L4336" s="137" t="s">
        <v>89</v>
      </c>
      <c r="M4336" s="66"/>
      <c r="N4336" s="66" t="s">
        <v>89</v>
      </c>
      <c r="O4336" s="1498"/>
      <c r="Q4336" s="1498"/>
      <c r="U4336" s="159"/>
      <c r="V4336" s="1498"/>
      <c r="W4336" s="91"/>
      <c r="X4336" s="1498"/>
      <c r="Y4336" s="91"/>
      <c r="Z4336" s="1498"/>
      <c r="AA4336" s="1498"/>
      <c r="AB4336" s="1498"/>
      <c r="AC4336" s="91"/>
      <c r="AD4336" s="91"/>
      <c r="AE4336" s="91"/>
    </row>
    <row r="4337" spans="1:31" ht="15.75" customHeight="1">
      <c r="A4337" s="1282">
        <v>41430</v>
      </c>
      <c r="B4337" s="66" t="s">
        <v>665</v>
      </c>
      <c r="C4337" s="66"/>
      <c r="D4337" s="66" t="s">
        <v>13591</v>
      </c>
      <c r="E4337" s="501" t="s">
        <v>8688</v>
      </c>
      <c r="F4337" s="136">
        <v>8</v>
      </c>
      <c r="G4337" s="136">
        <v>966</v>
      </c>
      <c r="H4337" s="712">
        <f t="shared" si="280"/>
        <v>7728</v>
      </c>
      <c r="I4337" s="346" t="s">
        <v>8429</v>
      </c>
      <c r="J4337" s="137" t="s">
        <v>13413</v>
      </c>
      <c r="K4337" s="213">
        <v>41451</v>
      </c>
      <c r="L4337" s="137" t="s">
        <v>89</v>
      </c>
      <c r="M4337" s="66"/>
      <c r="N4337" s="66" t="s">
        <v>89</v>
      </c>
      <c r="O4337" s="1499"/>
      <c r="Q4337" s="1499"/>
      <c r="U4337" s="159"/>
      <c r="V4337" s="1499"/>
      <c r="W4337" s="91"/>
      <c r="X4337" s="1499"/>
      <c r="Y4337" s="91"/>
      <c r="Z4337" s="1499"/>
      <c r="AA4337" s="1499"/>
      <c r="AB4337" s="1499"/>
      <c r="AC4337" s="91"/>
      <c r="AD4337" s="91"/>
      <c r="AE4337" s="91"/>
    </row>
    <row r="4338" spans="1:31" ht="15.75" customHeight="1">
      <c r="A4338" s="1282">
        <v>41437</v>
      </c>
      <c r="B4338" s="66" t="s">
        <v>13594</v>
      </c>
      <c r="C4338" s="1286">
        <v>13000182</v>
      </c>
      <c r="D4338" s="66" t="s">
        <v>13595</v>
      </c>
      <c r="E4338" s="501" t="s">
        <v>12427</v>
      </c>
      <c r="F4338" s="136">
        <v>1</v>
      </c>
      <c r="G4338" s="136">
        <v>454</v>
      </c>
      <c r="H4338" s="712">
        <f t="shared" si="280"/>
        <v>454</v>
      </c>
      <c r="I4338" s="346" t="s">
        <v>8429</v>
      </c>
      <c r="J4338" s="137" t="s">
        <v>13596</v>
      </c>
      <c r="K4338" s="213">
        <v>41459</v>
      </c>
      <c r="L4338" s="346" t="s">
        <v>12379</v>
      </c>
      <c r="M4338" s="213">
        <v>41453</v>
      </c>
      <c r="N4338" s="66" t="s">
        <v>12429</v>
      </c>
      <c r="O4338" s="66" t="s">
        <v>13597</v>
      </c>
      <c r="Q4338" s="1504"/>
      <c r="U4338" s="1505">
        <v>27030</v>
      </c>
      <c r="V4338" s="66" t="s">
        <v>12431</v>
      </c>
      <c r="W4338" s="91"/>
      <c r="X4338" s="1506">
        <v>41452</v>
      </c>
      <c r="Y4338" s="91"/>
      <c r="Z4338" s="1512">
        <v>28618</v>
      </c>
      <c r="AA4338" s="1271">
        <v>41452</v>
      </c>
      <c r="AB4338" s="1517" t="s">
        <v>13598</v>
      </c>
      <c r="AC4338" s="91"/>
      <c r="AD4338" s="91"/>
      <c r="AE4338" s="91"/>
    </row>
    <row r="4339" spans="1:31" ht="15.75" customHeight="1">
      <c r="A4339" s="1282">
        <v>41437</v>
      </c>
      <c r="B4339" s="66" t="s">
        <v>13594</v>
      </c>
      <c r="C4339" s="1286">
        <v>13000182</v>
      </c>
      <c r="D4339" s="66" t="s">
        <v>13595</v>
      </c>
      <c r="E4339" s="501" t="s">
        <v>13599</v>
      </c>
      <c r="F4339" s="136">
        <v>1</v>
      </c>
      <c r="G4339" s="136">
        <v>500</v>
      </c>
      <c r="H4339" s="712">
        <f t="shared" si="280"/>
        <v>500</v>
      </c>
      <c r="I4339" s="346" t="s">
        <v>8429</v>
      </c>
      <c r="J4339" s="137" t="s">
        <v>13596</v>
      </c>
      <c r="K4339" s="213">
        <v>41459</v>
      </c>
      <c r="L4339" s="346" t="s">
        <v>12379</v>
      </c>
      <c r="M4339" s="213">
        <v>41453</v>
      </c>
      <c r="N4339" s="66" t="s">
        <v>12429</v>
      </c>
      <c r="O4339" s="66" t="s">
        <v>13597</v>
      </c>
      <c r="Q4339" s="1498"/>
      <c r="U4339" s="1498"/>
      <c r="V4339" s="66" t="s">
        <v>12431</v>
      </c>
      <c r="W4339" s="91"/>
      <c r="X4339" s="1495"/>
      <c r="Y4339" s="91"/>
      <c r="Z4339" s="1495"/>
      <c r="AA4339" s="1271">
        <v>41452</v>
      </c>
      <c r="AB4339" s="1495"/>
      <c r="AC4339" s="91"/>
      <c r="AD4339" s="91"/>
      <c r="AE4339" s="91"/>
    </row>
    <row r="4340" spans="1:31" ht="15.75" customHeight="1">
      <c r="A4340" s="1282">
        <v>41437</v>
      </c>
      <c r="B4340" s="66" t="s">
        <v>13594</v>
      </c>
      <c r="C4340" s="1286">
        <v>13000182</v>
      </c>
      <c r="D4340" s="66" t="s">
        <v>13595</v>
      </c>
      <c r="E4340" s="501" t="s">
        <v>12433</v>
      </c>
      <c r="F4340" s="136">
        <v>2</v>
      </c>
      <c r="G4340" s="136">
        <v>30</v>
      </c>
      <c r="H4340" s="712">
        <f t="shared" si="280"/>
        <v>60</v>
      </c>
      <c r="I4340" s="346" t="s">
        <v>8429</v>
      </c>
      <c r="J4340" s="137" t="s">
        <v>13596</v>
      </c>
      <c r="K4340" s="213">
        <v>41459</v>
      </c>
      <c r="L4340" s="346" t="s">
        <v>12379</v>
      </c>
      <c r="M4340" s="213">
        <v>41453</v>
      </c>
      <c r="N4340" s="66" t="s">
        <v>12429</v>
      </c>
      <c r="O4340" s="66" t="s">
        <v>13597</v>
      </c>
      <c r="Q4340" s="1499"/>
      <c r="U4340" s="1499"/>
      <c r="V4340" s="66" t="s">
        <v>12431</v>
      </c>
      <c r="W4340" s="91"/>
      <c r="X4340" s="1496"/>
      <c r="Y4340" s="91"/>
      <c r="Z4340" s="1496"/>
      <c r="AA4340" s="1271">
        <v>41452</v>
      </c>
      <c r="AB4340" s="1496"/>
      <c r="AC4340" s="91"/>
      <c r="AD4340" s="91"/>
      <c r="AE4340" s="91"/>
    </row>
    <row r="4341" spans="1:31" ht="15.75" customHeight="1">
      <c r="A4341" s="1282">
        <v>41439</v>
      </c>
      <c r="B4341" s="66" t="s">
        <v>13494</v>
      </c>
      <c r="C4341" s="1286" t="s">
        <v>13600</v>
      </c>
      <c r="D4341" s="66" t="s">
        <v>13601</v>
      </c>
      <c r="E4341" s="501" t="s">
        <v>3467</v>
      </c>
      <c r="F4341" s="136">
        <v>1</v>
      </c>
      <c r="G4341" s="136">
        <v>198.5</v>
      </c>
      <c r="H4341" s="712">
        <f t="shared" si="280"/>
        <v>198.5</v>
      </c>
      <c r="I4341" s="346" t="s">
        <v>11743</v>
      </c>
      <c r="J4341" s="137" t="s">
        <v>12398</v>
      </c>
      <c r="K4341" s="213">
        <v>41456</v>
      </c>
      <c r="L4341" s="137" t="s">
        <v>89</v>
      </c>
      <c r="M4341" s="66"/>
      <c r="N4341" s="66" t="s">
        <v>89</v>
      </c>
      <c r="O4341" s="136">
        <v>20130600093721</v>
      </c>
      <c r="Q4341" s="1284" t="s">
        <v>13602</v>
      </c>
      <c r="U4341" s="159"/>
      <c r="V4341" s="66" t="s">
        <v>13579</v>
      </c>
      <c r="W4341" s="91"/>
      <c r="X4341" s="1276">
        <v>41456</v>
      </c>
      <c r="Y4341" s="91"/>
      <c r="Z4341" s="686">
        <v>5366</v>
      </c>
      <c r="AA4341" s="1271">
        <v>41450</v>
      </c>
      <c r="AB4341" s="20" t="s">
        <v>13603</v>
      </c>
      <c r="AC4341" s="91"/>
      <c r="AD4341" s="91"/>
      <c r="AE4341" s="91"/>
    </row>
    <row r="4342" spans="1:31" ht="15.75" customHeight="1">
      <c r="A4342" s="1282">
        <v>41443</v>
      </c>
      <c r="B4342" s="66" t="s">
        <v>13604</v>
      </c>
      <c r="C4342" s="1286" t="s">
        <v>13605</v>
      </c>
      <c r="D4342" s="66" t="s">
        <v>13606</v>
      </c>
      <c r="E4342" s="501" t="s">
        <v>13607</v>
      </c>
      <c r="F4342" s="136">
        <v>1</v>
      </c>
      <c r="G4342" s="136">
        <v>700</v>
      </c>
      <c r="H4342" s="712">
        <f t="shared" si="280"/>
        <v>700</v>
      </c>
      <c r="I4342" s="346" t="s">
        <v>86</v>
      </c>
      <c r="J4342" s="137" t="s">
        <v>13608</v>
      </c>
      <c r="K4342" s="213">
        <v>41474</v>
      </c>
      <c r="L4342" s="137" t="s">
        <v>12379</v>
      </c>
      <c r="M4342" s="213">
        <v>41473</v>
      </c>
      <c r="N4342" s="66" t="s">
        <v>12442</v>
      </c>
      <c r="O4342" s="136">
        <v>200474</v>
      </c>
      <c r="Q4342" s="1284"/>
      <c r="U4342" s="1270">
        <v>15462</v>
      </c>
      <c r="V4342" s="66" t="s">
        <v>13609</v>
      </c>
      <c r="W4342" s="91"/>
      <c r="X4342" s="1276">
        <v>41471</v>
      </c>
      <c r="Y4342" s="91"/>
      <c r="Z4342" s="686">
        <v>15463</v>
      </c>
      <c r="AA4342" s="1271">
        <v>41472</v>
      </c>
      <c r="AB4342" s="1516" t="s">
        <v>13610</v>
      </c>
      <c r="AC4342" s="91"/>
      <c r="AD4342" s="91"/>
      <c r="AE4342" s="91"/>
    </row>
    <row r="4343" spans="1:31" ht="15.75" customHeight="1">
      <c r="A4343" s="1282">
        <v>41443</v>
      </c>
      <c r="B4343" s="66" t="s">
        <v>13604</v>
      </c>
      <c r="C4343" s="1286" t="s">
        <v>13605</v>
      </c>
      <c r="D4343" s="66" t="s">
        <v>13611</v>
      </c>
      <c r="E4343" s="501" t="s">
        <v>13612</v>
      </c>
      <c r="F4343" s="136">
        <v>1</v>
      </c>
      <c r="G4343" s="136">
        <v>0</v>
      </c>
      <c r="H4343" s="712">
        <f t="shared" si="280"/>
        <v>0</v>
      </c>
      <c r="I4343" s="346" t="s">
        <v>86</v>
      </c>
      <c r="J4343" s="137" t="s">
        <v>13608</v>
      </c>
      <c r="K4343" s="213">
        <v>41474</v>
      </c>
      <c r="L4343" s="137" t="s">
        <v>12379</v>
      </c>
      <c r="M4343" s="213">
        <v>41473</v>
      </c>
      <c r="N4343" s="66" t="s">
        <v>13613</v>
      </c>
      <c r="O4343" s="66" t="s">
        <v>13614</v>
      </c>
      <c r="Q4343" s="1284"/>
      <c r="U4343" s="1270">
        <v>999</v>
      </c>
      <c r="V4343" s="66" t="s">
        <v>13615</v>
      </c>
      <c r="W4343" s="91"/>
      <c r="X4343" s="1274">
        <v>41445</v>
      </c>
      <c r="Y4343" s="91"/>
      <c r="Z4343" s="1273">
        <v>999</v>
      </c>
      <c r="AA4343" s="560">
        <v>41445</v>
      </c>
      <c r="AB4343" s="1496"/>
      <c r="AC4343" s="91"/>
      <c r="AD4343" s="91"/>
      <c r="AE4343" s="91"/>
    </row>
    <row r="4344" spans="1:31" ht="15.75" customHeight="1">
      <c r="A4344" s="1282">
        <v>41444</v>
      </c>
      <c r="B4344" s="66" t="s">
        <v>13494</v>
      </c>
      <c r="C4344" s="1286" t="s">
        <v>13616</v>
      </c>
      <c r="D4344" s="66" t="s">
        <v>13617</v>
      </c>
      <c r="E4344" s="501" t="s">
        <v>13618</v>
      </c>
      <c r="F4344" s="136">
        <v>6</v>
      </c>
      <c r="G4344" s="136">
        <v>85.05</v>
      </c>
      <c r="H4344" s="712">
        <f t="shared" si="280"/>
        <v>510.29999999999995</v>
      </c>
      <c r="I4344" s="346" t="s">
        <v>11743</v>
      </c>
      <c r="J4344" s="137" t="s">
        <v>12398</v>
      </c>
      <c r="K4344" s="213">
        <v>41459</v>
      </c>
      <c r="L4344" s="137" t="s">
        <v>89</v>
      </c>
      <c r="M4344" s="66"/>
      <c r="N4344" s="66" t="s">
        <v>89</v>
      </c>
      <c r="O4344" s="1505">
        <v>20130600093984</v>
      </c>
      <c r="Q4344" s="1504" t="s">
        <v>13619</v>
      </c>
      <c r="U4344" s="159"/>
      <c r="V4344" s="1511" t="s">
        <v>13579</v>
      </c>
      <c r="W4344" s="91"/>
      <c r="X4344" s="1506">
        <v>41459</v>
      </c>
      <c r="Y4344" s="91"/>
      <c r="Z4344" s="1512">
        <v>24682</v>
      </c>
      <c r="AA4344" s="1507">
        <v>41457</v>
      </c>
      <c r="AB4344" s="1517" t="s">
        <v>13620</v>
      </c>
      <c r="AC4344" s="91"/>
      <c r="AD4344" s="91"/>
      <c r="AE4344" s="91"/>
    </row>
    <row r="4345" spans="1:31" ht="15.75" customHeight="1">
      <c r="A4345" s="1282">
        <v>41444</v>
      </c>
      <c r="B4345" s="66" t="s">
        <v>13494</v>
      </c>
      <c r="C4345" s="1286" t="s">
        <v>13616</v>
      </c>
      <c r="D4345" s="66" t="s">
        <v>13617</v>
      </c>
      <c r="E4345" s="501" t="s">
        <v>13621</v>
      </c>
      <c r="F4345" s="136">
        <v>1</v>
      </c>
      <c r="G4345" s="136">
        <v>402.15</v>
      </c>
      <c r="H4345" s="712">
        <f t="shared" si="280"/>
        <v>402.15</v>
      </c>
      <c r="I4345" s="346" t="s">
        <v>11743</v>
      </c>
      <c r="J4345" s="137" t="s">
        <v>12398</v>
      </c>
      <c r="K4345" s="213">
        <v>41459</v>
      </c>
      <c r="L4345" s="137" t="s">
        <v>89</v>
      </c>
      <c r="M4345" s="66"/>
      <c r="N4345" s="66" t="s">
        <v>89</v>
      </c>
      <c r="O4345" s="1499"/>
      <c r="Q4345" s="1499"/>
      <c r="U4345" s="159"/>
      <c r="V4345" s="1499"/>
      <c r="W4345" s="91"/>
      <c r="X4345" s="1496"/>
      <c r="Y4345" s="91"/>
      <c r="Z4345" s="1496"/>
      <c r="AA4345" s="1499"/>
      <c r="AB4345" s="1496"/>
      <c r="AC4345" s="91"/>
      <c r="AD4345" s="91"/>
      <c r="AE4345" s="91"/>
    </row>
    <row r="4346" spans="1:31" ht="15.75" customHeight="1">
      <c r="A4346" s="1282">
        <v>41444</v>
      </c>
      <c r="B4346" s="66" t="s">
        <v>13494</v>
      </c>
      <c r="C4346" s="1286" t="s">
        <v>13616</v>
      </c>
      <c r="D4346" s="66" t="s">
        <v>13622</v>
      </c>
      <c r="E4346" s="501" t="s">
        <v>4588</v>
      </c>
      <c r="F4346" s="136">
        <v>14</v>
      </c>
      <c r="G4346" s="136">
        <v>367.5</v>
      </c>
      <c r="H4346" s="712">
        <f t="shared" si="280"/>
        <v>5145</v>
      </c>
      <c r="I4346" s="346" t="s">
        <v>11743</v>
      </c>
      <c r="J4346" s="137" t="s">
        <v>12398</v>
      </c>
      <c r="K4346" s="213">
        <v>41473</v>
      </c>
      <c r="L4346" s="137" t="s">
        <v>89</v>
      </c>
      <c r="M4346" s="66"/>
      <c r="N4346" s="66" t="s">
        <v>89</v>
      </c>
      <c r="O4346" s="136">
        <v>20130600093952</v>
      </c>
      <c r="Q4346" s="1284" t="s">
        <v>13623</v>
      </c>
      <c r="U4346" s="159"/>
      <c r="V4346" s="1511" t="s">
        <v>13579</v>
      </c>
      <c r="W4346" s="91"/>
      <c r="X4346" s="1506">
        <v>41473</v>
      </c>
      <c r="Y4346" s="91"/>
      <c r="Z4346" s="1512">
        <v>193975</v>
      </c>
      <c r="AA4346" s="1507">
        <v>41473</v>
      </c>
      <c r="AB4346" s="1517" t="s">
        <v>13624</v>
      </c>
      <c r="AC4346" s="91"/>
      <c r="AD4346" s="91"/>
      <c r="AE4346" s="91"/>
    </row>
    <row r="4347" spans="1:31" ht="15.75" customHeight="1">
      <c r="A4347" s="1282">
        <v>37803</v>
      </c>
      <c r="B4347" s="66" t="s">
        <v>13494</v>
      </c>
      <c r="C4347" s="1286" t="s">
        <v>13625</v>
      </c>
      <c r="D4347" s="66" t="s">
        <v>13626</v>
      </c>
      <c r="E4347" s="501" t="s">
        <v>4588</v>
      </c>
      <c r="F4347" s="136">
        <v>6</v>
      </c>
      <c r="G4347" s="136">
        <v>367.5</v>
      </c>
      <c r="H4347" s="712">
        <f t="shared" si="280"/>
        <v>2205</v>
      </c>
      <c r="I4347" s="346" t="s">
        <v>11743</v>
      </c>
      <c r="J4347" s="137" t="s">
        <v>12398</v>
      </c>
      <c r="K4347" s="213">
        <v>41473</v>
      </c>
      <c r="L4347" s="137" t="s">
        <v>89</v>
      </c>
      <c r="M4347" s="66"/>
      <c r="N4347" s="66" t="s">
        <v>89</v>
      </c>
      <c r="O4347" s="136">
        <v>20130700094121</v>
      </c>
      <c r="Q4347" s="1284" t="s">
        <v>13627</v>
      </c>
      <c r="U4347" s="159"/>
      <c r="V4347" s="1499"/>
      <c r="W4347" s="91"/>
      <c r="X4347" s="1496"/>
      <c r="Y4347" s="91"/>
      <c r="Z4347" s="1496"/>
      <c r="AA4347" s="1499"/>
      <c r="AB4347" s="1496"/>
      <c r="AC4347" s="91"/>
      <c r="AD4347" s="91"/>
      <c r="AE4347" s="91"/>
    </row>
    <row r="4348" spans="1:31" ht="15.75" customHeight="1">
      <c r="A4348" s="1282">
        <v>41450</v>
      </c>
      <c r="B4348" s="66" t="s">
        <v>665</v>
      </c>
      <c r="C4348" s="66"/>
      <c r="D4348" s="66" t="s">
        <v>13628</v>
      </c>
      <c r="E4348" s="501" t="s">
        <v>13629</v>
      </c>
      <c r="F4348" s="136">
        <v>10</v>
      </c>
      <c r="G4348" s="136">
        <v>354</v>
      </c>
      <c r="H4348" s="712">
        <f t="shared" si="280"/>
        <v>3540</v>
      </c>
      <c r="I4348" s="346" t="s">
        <v>8429</v>
      </c>
      <c r="J4348" s="137" t="s">
        <v>13080</v>
      </c>
      <c r="K4348" s="213">
        <v>41474</v>
      </c>
      <c r="L4348" s="137" t="s">
        <v>89</v>
      </c>
      <c r="M4348" s="66"/>
      <c r="N4348" s="66" t="s">
        <v>89</v>
      </c>
      <c r="O4348" s="1505">
        <v>20130700094301</v>
      </c>
      <c r="Q4348" s="1504" t="s">
        <v>13630</v>
      </c>
      <c r="U4348" s="159"/>
      <c r="V4348" s="1522" t="s">
        <v>13579</v>
      </c>
      <c r="W4348" s="91"/>
      <c r="X4348" s="1506">
        <v>41474</v>
      </c>
      <c r="Y4348" s="91"/>
      <c r="Z4348" s="1512">
        <v>111158</v>
      </c>
      <c r="AA4348" s="1507">
        <v>41473</v>
      </c>
      <c r="AB4348" s="1517" t="s">
        <v>13631</v>
      </c>
      <c r="AC4348" s="91"/>
      <c r="AD4348" s="91"/>
      <c r="AE4348" s="91"/>
    </row>
    <row r="4349" spans="1:31" ht="15.75" customHeight="1">
      <c r="A4349" s="1282">
        <v>41450</v>
      </c>
      <c r="B4349" s="66" t="s">
        <v>665</v>
      </c>
      <c r="C4349" s="66"/>
      <c r="D4349" s="66" t="s">
        <v>13628</v>
      </c>
      <c r="E4349" s="501" t="s">
        <v>8353</v>
      </c>
      <c r="F4349" s="136">
        <v>1</v>
      </c>
      <c r="G4349" s="136">
        <v>377</v>
      </c>
      <c r="H4349" s="712">
        <f t="shared" si="280"/>
        <v>377</v>
      </c>
      <c r="I4349" s="346" t="s">
        <v>8429</v>
      </c>
      <c r="J4349" s="137" t="s">
        <v>13080</v>
      </c>
      <c r="K4349" s="213">
        <v>41474</v>
      </c>
      <c r="L4349" s="137" t="s">
        <v>89</v>
      </c>
      <c r="M4349" s="66"/>
      <c r="N4349" s="66" t="s">
        <v>89</v>
      </c>
      <c r="O4349" s="1499"/>
      <c r="Q4349" s="1499"/>
      <c r="U4349" s="159"/>
      <c r="V4349" s="1499"/>
      <c r="W4349" s="91"/>
      <c r="X4349" s="1496"/>
      <c r="Y4349" s="91"/>
      <c r="Z4349" s="1496"/>
      <c r="AA4349" s="1499"/>
      <c r="AB4349" s="1496"/>
      <c r="AC4349" s="91"/>
      <c r="AD4349" s="91"/>
      <c r="AE4349" s="91"/>
    </row>
    <row r="4350" spans="1:31" ht="15.75" customHeight="1">
      <c r="A4350" s="1282">
        <v>41456</v>
      </c>
      <c r="B4350" s="66" t="s">
        <v>13434</v>
      </c>
      <c r="C4350" s="1286" t="s">
        <v>13632</v>
      </c>
      <c r="D4350" s="66" t="s">
        <v>13633</v>
      </c>
      <c r="E4350" s="501" t="s">
        <v>12106</v>
      </c>
      <c r="F4350" s="136">
        <v>9</v>
      </c>
      <c r="G4350" s="136">
        <v>185.85</v>
      </c>
      <c r="H4350" s="712">
        <f t="shared" si="280"/>
        <v>1672.6499999999999</v>
      </c>
      <c r="I4350" s="346" t="s">
        <v>13442</v>
      </c>
      <c r="J4350" s="137" t="s">
        <v>12398</v>
      </c>
      <c r="K4350" s="213">
        <v>41487</v>
      </c>
      <c r="L4350" s="137" t="s">
        <v>89</v>
      </c>
      <c r="M4350" s="66"/>
      <c r="N4350" s="66" t="s">
        <v>89</v>
      </c>
      <c r="O4350" s="136">
        <v>20130700094104</v>
      </c>
      <c r="Q4350" s="1284" t="s">
        <v>13634</v>
      </c>
      <c r="U4350" s="159"/>
      <c r="V4350" s="66" t="s">
        <v>13579</v>
      </c>
      <c r="W4350" s="91"/>
      <c r="X4350" s="1276">
        <v>41480</v>
      </c>
      <c r="Y4350" s="91"/>
      <c r="Z4350" s="686">
        <v>44881</v>
      </c>
      <c r="AA4350" s="1271">
        <v>41479</v>
      </c>
      <c r="AB4350" s="519" t="s">
        <v>13586</v>
      </c>
      <c r="AC4350" s="91"/>
      <c r="AD4350" s="91"/>
      <c r="AE4350" s="91"/>
    </row>
    <row r="4351" spans="1:31" ht="15.75" customHeight="1">
      <c r="A4351" s="1282">
        <v>41460</v>
      </c>
      <c r="B4351" s="66" t="s">
        <v>13541</v>
      </c>
      <c r="C4351" s="66" t="s">
        <v>13635</v>
      </c>
      <c r="D4351" s="66" t="s">
        <v>13636</v>
      </c>
      <c r="E4351" s="501" t="s">
        <v>13637</v>
      </c>
      <c r="F4351" s="136">
        <v>2</v>
      </c>
      <c r="G4351" s="136">
        <v>1555</v>
      </c>
      <c r="H4351" s="712">
        <f t="shared" si="280"/>
        <v>3110</v>
      </c>
      <c r="I4351" s="429" t="s">
        <v>86</v>
      </c>
      <c r="J4351" s="137" t="s">
        <v>13638</v>
      </c>
      <c r="K4351" s="66"/>
      <c r="L4351" s="137" t="s">
        <v>89</v>
      </c>
      <c r="M4351" s="66"/>
      <c r="N4351" s="66" t="s">
        <v>89</v>
      </c>
      <c r="O4351" s="136">
        <v>20130700094474</v>
      </c>
      <c r="Q4351" s="1284" t="s">
        <v>13639</v>
      </c>
      <c r="U4351" s="159"/>
      <c r="V4351" s="66" t="s">
        <v>13579</v>
      </c>
      <c r="W4351" s="927"/>
      <c r="X4351" s="1276">
        <v>41487</v>
      </c>
      <c r="Y4351" s="927"/>
      <c r="Z4351" s="686">
        <v>86090</v>
      </c>
      <c r="AA4351" s="1271">
        <v>41486</v>
      </c>
      <c r="AB4351" s="70" t="s">
        <v>13640</v>
      </c>
      <c r="AC4351" s="927"/>
      <c r="AD4351" s="927"/>
      <c r="AE4351" s="927"/>
    </row>
    <row r="4352" spans="1:31" ht="15.75" customHeight="1">
      <c r="A4352" s="1282">
        <v>41472</v>
      </c>
      <c r="B4352" s="66" t="s">
        <v>11740</v>
      </c>
      <c r="C4352" s="66"/>
      <c r="D4352" s="66" t="s">
        <v>13641</v>
      </c>
      <c r="E4352" s="501" t="s">
        <v>13453</v>
      </c>
      <c r="F4352" s="136">
        <v>50</v>
      </c>
      <c r="G4352" s="136">
        <v>19.5</v>
      </c>
      <c r="H4352" s="712">
        <f t="shared" si="280"/>
        <v>975</v>
      </c>
      <c r="I4352" s="346" t="s">
        <v>11743</v>
      </c>
      <c r="J4352" s="130" t="s">
        <v>13454</v>
      </c>
      <c r="K4352" s="213">
        <v>41478</v>
      </c>
      <c r="L4352" s="137" t="s">
        <v>12379</v>
      </c>
      <c r="M4352" s="213">
        <v>41477</v>
      </c>
      <c r="N4352" s="519" t="s">
        <v>12389</v>
      </c>
      <c r="O4352" s="136">
        <v>1020715</v>
      </c>
      <c r="Q4352" s="1284"/>
      <c r="U4352" s="1270">
        <v>24675</v>
      </c>
      <c r="V4352" s="70" t="s">
        <v>2413</v>
      </c>
      <c r="W4352" s="91"/>
      <c r="X4352" s="1274">
        <v>41474</v>
      </c>
      <c r="Y4352" s="91"/>
      <c r="Z4352" s="1273">
        <v>24675</v>
      </c>
      <c r="AA4352" s="1271">
        <v>41479</v>
      </c>
      <c r="AB4352" s="20" t="s">
        <v>13642</v>
      </c>
      <c r="AC4352" s="91"/>
      <c r="AD4352" s="91"/>
      <c r="AE4352" s="91"/>
    </row>
    <row r="4353" spans="1:32" ht="15.75" customHeight="1">
      <c r="A4353" s="1282">
        <v>41472</v>
      </c>
      <c r="B4353" s="66" t="s">
        <v>13494</v>
      </c>
      <c r="C4353" s="1286" t="s">
        <v>13643</v>
      </c>
      <c r="D4353" s="66" t="s">
        <v>13644</v>
      </c>
      <c r="E4353" s="501" t="s">
        <v>4588</v>
      </c>
      <c r="F4353" s="136">
        <v>5</v>
      </c>
      <c r="G4353" s="136">
        <v>367.5</v>
      </c>
      <c r="H4353" s="712">
        <f t="shared" si="280"/>
        <v>1837.5</v>
      </c>
      <c r="I4353" s="346" t="s">
        <v>11743</v>
      </c>
      <c r="J4353" s="137" t="s">
        <v>12398</v>
      </c>
      <c r="K4353" s="213">
        <v>41491</v>
      </c>
      <c r="L4353" s="137" t="s">
        <v>89</v>
      </c>
      <c r="M4353" s="66"/>
      <c r="N4353" s="66" t="s">
        <v>89</v>
      </c>
      <c r="O4353" s="136">
        <v>20130700095246</v>
      </c>
      <c r="Q4353" s="1284" t="s">
        <v>13645</v>
      </c>
      <c r="U4353" s="159"/>
      <c r="V4353" s="66" t="s">
        <v>13579</v>
      </c>
      <c r="W4353" s="91"/>
      <c r="X4353" s="1276">
        <v>41491</v>
      </c>
      <c r="Y4353" s="91"/>
      <c r="Z4353" s="686">
        <v>48316</v>
      </c>
      <c r="AA4353" s="1271">
        <v>41488</v>
      </c>
      <c r="AB4353" s="519" t="s">
        <v>13646</v>
      </c>
      <c r="AC4353" s="91"/>
      <c r="AD4353" s="91"/>
      <c r="AE4353" s="91"/>
    </row>
    <row r="4354" spans="1:32" ht="15.75" customHeight="1">
      <c r="A4354" s="1282">
        <v>41472</v>
      </c>
      <c r="B4354" s="66" t="s">
        <v>13494</v>
      </c>
      <c r="C4354" s="1286" t="s">
        <v>13643</v>
      </c>
      <c r="D4354" s="66" t="s">
        <v>13644</v>
      </c>
      <c r="E4354" s="501" t="s">
        <v>4588</v>
      </c>
      <c r="F4354" s="136">
        <v>35</v>
      </c>
      <c r="G4354" s="136">
        <v>367.5</v>
      </c>
      <c r="H4354" s="712">
        <f t="shared" si="280"/>
        <v>12862.5</v>
      </c>
      <c r="I4354" s="346" t="s">
        <v>11743</v>
      </c>
      <c r="J4354" s="137" t="s">
        <v>12398</v>
      </c>
      <c r="K4354" s="213">
        <v>41509</v>
      </c>
      <c r="L4354" s="137" t="s">
        <v>89</v>
      </c>
      <c r="M4354" s="66"/>
      <c r="N4354" s="66" t="s">
        <v>89</v>
      </c>
      <c r="O4354" s="136">
        <v>20130700095247</v>
      </c>
      <c r="Q4354" s="1284" t="s">
        <v>13647</v>
      </c>
      <c r="U4354" s="159"/>
      <c r="V4354" s="66" t="s">
        <v>13579</v>
      </c>
      <c r="W4354" s="91"/>
      <c r="X4354" s="1276">
        <v>41509</v>
      </c>
      <c r="Y4354" s="91"/>
      <c r="Z4354" s="686">
        <v>338495</v>
      </c>
      <c r="AA4354" s="1271">
        <v>41506</v>
      </c>
      <c r="AB4354" s="519" t="s">
        <v>13648</v>
      </c>
      <c r="AC4354" s="91"/>
      <c r="AD4354" s="91"/>
      <c r="AE4354" s="91"/>
    </row>
    <row r="4355" spans="1:32" ht="15.75" customHeight="1">
      <c r="A4355" s="1282">
        <v>41480</v>
      </c>
      <c r="B4355" s="66" t="s">
        <v>13494</v>
      </c>
      <c r="C4355" s="1286" t="s">
        <v>13649</v>
      </c>
      <c r="D4355" s="66" t="s">
        <v>13650</v>
      </c>
      <c r="E4355" s="501" t="s">
        <v>13651</v>
      </c>
      <c r="F4355" s="136">
        <v>160</v>
      </c>
      <c r="G4355" s="136">
        <v>114.45</v>
      </c>
      <c r="H4355" s="712">
        <f>F4355*G4355</f>
        <v>18312</v>
      </c>
      <c r="I4355" s="346" t="s">
        <v>11743</v>
      </c>
      <c r="J4355" s="137" t="s">
        <v>12398</v>
      </c>
      <c r="K4355" s="213">
        <v>41494</v>
      </c>
      <c r="L4355" s="137" t="s">
        <v>89</v>
      </c>
      <c r="M4355" s="66"/>
      <c r="N4355" s="66" t="s">
        <v>89</v>
      </c>
      <c r="O4355" s="136">
        <v>20130700095677</v>
      </c>
      <c r="Q4355" s="1284" t="s">
        <v>13652</v>
      </c>
      <c r="U4355" s="159"/>
      <c r="V4355" s="66" t="s">
        <v>13579</v>
      </c>
      <c r="W4355" s="91"/>
      <c r="X4355" s="1276">
        <v>41494</v>
      </c>
      <c r="Y4355" s="91"/>
      <c r="Z4355" s="686">
        <v>501984</v>
      </c>
      <c r="AA4355" s="1271">
        <v>41492</v>
      </c>
      <c r="AB4355" s="1516" t="s">
        <v>13653</v>
      </c>
      <c r="AC4355" s="91"/>
      <c r="AD4355" s="91"/>
      <c r="AE4355" s="91"/>
    </row>
    <row r="4356" spans="1:32" ht="15.75" customHeight="1">
      <c r="A4356" s="1282">
        <v>41480</v>
      </c>
      <c r="B4356" s="66" t="s">
        <v>13494</v>
      </c>
      <c r="C4356" s="1286" t="s">
        <v>13654</v>
      </c>
      <c r="D4356" s="66" t="s">
        <v>13655</v>
      </c>
      <c r="E4356" s="501" t="s">
        <v>8799</v>
      </c>
      <c r="F4356" s="136">
        <v>5</v>
      </c>
      <c r="G4356" s="136">
        <v>29.4</v>
      </c>
      <c r="H4356" s="712">
        <f t="shared" ref="H4356:H4365" si="281">G4356*F4356</f>
        <v>147</v>
      </c>
      <c r="I4356" s="346" t="s">
        <v>11743</v>
      </c>
      <c r="J4356" s="137" t="s">
        <v>12398</v>
      </c>
      <c r="K4356" s="213">
        <v>41494</v>
      </c>
      <c r="L4356" s="137" t="s">
        <v>89</v>
      </c>
      <c r="M4356" s="66"/>
      <c r="N4356" s="66" t="s">
        <v>89</v>
      </c>
      <c r="O4356" s="136">
        <v>20130700095640</v>
      </c>
      <c r="Q4356" s="1284" t="s">
        <v>13656</v>
      </c>
      <c r="U4356" s="159"/>
      <c r="V4356" s="66" t="s">
        <v>13579</v>
      </c>
      <c r="W4356" s="91"/>
      <c r="X4356" s="1276">
        <v>41494</v>
      </c>
      <c r="Y4356" s="91"/>
      <c r="Z4356" s="686">
        <v>4079</v>
      </c>
      <c r="AA4356" s="1271">
        <v>41492</v>
      </c>
      <c r="AB4356" s="1496"/>
      <c r="AC4356" s="91"/>
      <c r="AD4356" s="91"/>
      <c r="AE4356" s="91"/>
    </row>
    <row r="4357" spans="1:32" ht="15.75" customHeight="1">
      <c r="A4357" s="1282">
        <v>41490</v>
      </c>
      <c r="B4357" s="20" t="s">
        <v>13434</v>
      </c>
      <c r="C4357" s="642" t="s">
        <v>13435</v>
      </c>
      <c r="D4357" s="519" t="s">
        <v>13657</v>
      </c>
      <c r="E4357" s="20" t="s">
        <v>13436</v>
      </c>
      <c r="F4357" s="1262">
        <v>6</v>
      </c>
      <c r="G4357" s="1262">
        <v>186</v>
      </c>
      <c r="H4357" s="712">
        <f t="shared" si="281"/>
        <v>1116</v>
      </c>
      <c r="I4357" s="346" t="s">
        <v>13442</v>
      </c>
      <c r="J4357" s="137" t="s">
        <v>12398</v>
      </c>
      <c r="K4357" s="213">
        <v>41494</v>
      </c>
      <c r="L4357" s="137" t="s">
        <v>232</v>
      </c>
      <c r="M4357" s="66"/>
      <c r="N4357" s="66" t="s">
        <v>89</v>
      </c>
      <c r="O4357" s="136">
        <v>20130800095954</v>
      </c>
      <c r="Q4357" s="1504" t="s">
        <v>13658</v>
      </c>
      <c r="U4357" s="159"/>
      <c r="V4357" s="66" t="s">
        <v>13579</v>
      </c>
      <c r="W4357" s="91"/>
      <c r="X4357" s="1276">
        <v>41494</v>
      </c>
      <c r="Y4357" s="91"/>
      <c r="Z4357" s="686">
        <v>29366</v>
      </c>
      <c r="AA4357" s="1271">
        <v>41492</v>
      </c>
      <c r="AB4357" s="1516" t="s">
        <v>13653</v>
      </c>
      <c r="AC4357" s="91"/>
      <c r="AD4357" s="91"/>
      <c r="AE4357" s="91"/>
    </row>
    <row r="4358" spans="1:32" ht="15.75" customHeight="1">
      <c r="A4358" s="1282">
        <v>41490</v>
      </c>
      <c r="B4358" s="20" t="s">
        <v>13434</v>
      </c>
      <c r="C4358" s="642" t="s">
        <v>13435</v>
      </c>
      <c r="D4358" s="519" t="s">
        <v>13657</v>
      </c>
      <c r="E4358" s="20" t="s">
        <v>13441</v>
      </c>
      <c r="F4358" s="1262">
        <v>6</v>
      </c>
      <c r="G4358" s="1262">
        <v>86</v>
      </c>
      <c r="H4358" s="712">
        <f t="shared" si="281"/>
        <v>516</v>
      </c>
      <c r="I4358" s="346" t="s">
        <v>13442</v>
      </c>
      <c r="J4358" s="137" t="s">
        <v>12398</v>
      </c>
      <c r="K4358" s="213">
        <v>41494</v>
      </c>
      <c r="L4358" s="137" t="s">
        <v>232</v>
      </c>
      <c r="M4358" s="66"/>
      <c r="N4358" s="66" t="s">
        <v>89</v>
      </c>
      <c r="O4358" s="136">
        <v>20130800095954</v>
      </c>
      <c r="Q4358" s="1499"/>
      <c r="U4358" s="159"/>
      <c r="V4358" s="66" t="s">
        <v>13579</v>
      </c>
      <c r="W4358" s="91"/>
      <c r="X4358" s="1276">
        <v>41494</v>
      </c>
      <c r="Y4358" s="91"/>
      <c r="Z4358" s="686">
        <v>13553</v>
      </c>
      <c r="AA4358" s="1271">
        <v>41492</v>
      </c>
      <c r="AB4358" s="1495"/>
      <c r="AC4358" s="91"/>
      <c r="AD4358" s="91"/>
      <c r="AE4358" s="91"/>
    </row>
    <row r="4359" spans="1:32" ht="15.75" customHeight="1">
      <c r="A4359" s="1282">
        <v>41492</v>
      </c>
      <c r="B4359" s="20" t="s">
        <v>13434</v>
      </c>
      <c r="C4359" s="642" t="s">
        <v>13659</v>
      </c>
      <c r="D4359" s="519"/>
      <c r="E4359" s="20" t="s">
        <v>13436</v>
      </c>
      <c r="F4359" s="1262">
        <v>2</v>
      </c>
      <c r="G4359" s="1262">
        <v>186</v>
      </c>
      <c r="H4359" s="712">
        <f t="shared" si="281"/>
        <v>372</v>
      </c>
      <c r="I4359" s="346" t="s">
        <v>13442</v>
      </c>
      <c r="J4359" s="137" t="s">
        <v>12398</v>
      </c>
      <c r="K4359" s="213">
        <v>41494</v>
      </c>
      <c r="L4359" s="137" t="s">
        <v>232</v>
      </c>
      <c r="M4359" s="66"/>
      <c r="N4359" s="66" t="s">
        <v>89</v>
      </c>
      <c r="O4359" s="712">
        <v>20130800096093</v>
      </c>
      <c r="Q4359" s="1504" t="s">
        <v>13438</v>
      </c>
      <c r="U4359" s="159"/>
      <c r="V4359" s="66" t="s">
        <v>13579</v>
      </c>
      <c r="W4359" s="91"/>
      <c r="X4359" s="1276">
        <v>41494</v>
      </c>
      <c r="Y4359" s="91"/>
      <c r="Z4359" s="686">
        <v>9789</v>
      </c>
      <c r="AA4359" s="1271">
        <v>41492</v>
      </c>
      <c r="AB4359" s="1495"/>
      <c r="AC4359" s="91"/>
      <c r="AD4359" s="91"/>
      <c r="AE4359" s="91"/>
    </row>
    <row r="4360" spans="1:32" ht="15.75" customHeight="1">
      <c r="A4360" s="1282">
        <v>41492</v>
      </c>
      <c r="B4360" s="20" t="s">
        <v>13434</v>
      </c>
      <c r="C4360" s="642" t="s">
        <v>13659</v>
      </c>
      <c r="D4360" s="519"/>
      <c r="E4360" s="20" t="s">
        <v>13441</v>
      </c>
      <c r="F4360" s="1262">
        <v>2</v>
      </c>
      <c r="G4360" s="1262">
        <v>86</v>
      </c>
      <c r="H4360" s="712">
        <f t="shared" si="281"/>
        <v>172</v>
      </c>
      <c r="I4360" s="346" t="s">
        <v>13442</v>
      </c>
      <c r="J4360" s="137" t="s">
        <v>12398</v>
      </c>
      <c r="K4360" s="213">
        <v>41494</v>
      </c>
      <c r="L4360" s="137" t="s">
        <v>232</v>
      </c>
      <c r="M4360" s="66"/>
      <c r="N4360" s="66" t="s">
        <v>89</v>
      </c>
      <c r="O4360" s="712">
        <v>20130800096093</v>
      </c>
      <c r="Q4360" s="1499"/>
      <c r="U4360" s="159"/>
      <c r="V4360" s="66" t="s">
        <v>13579</v>
      </c>
      <c r="W4360" s="91"/>
      <c r="X4360" s="1276">
        <v>41494</v>
      </c>
      <c r="Y4360" s="91"/>
      <c r="Z4360" s="686">
        <v>4518</v>
      </c>
      <c r="AA4360" s="1271">
        <v>41492</v>
      </c>
      <c r="AB4360" s="1496"/>
      <c r="AC4360" s="91"/>
      <c r="AD4360" s="91"/>
      <c r="AE4360" s="91"/>
    </row>
    <row r="4361" spans="1:32" ht="15.75" customHeight="1">
      <c r="A4361" s="1282">
        <v>41506</v>
      </c>
      <c r="B4361" s="66" t="s">
        <v>13494</v>
      </c>
      <c r="C4361" s="1286" t="s">
        <v>13660</v>
      </c>
      <c r="D4361" s="66" t="s">
        <v>13661</v>
      </c>
      <c r="E4361" s="501" t="s">
        <v>10820</v>
      </c>
      <c r="F4361" s="136">
        <v>1</v>
      </c>
      <c r="G4361" s="136">
        <v>73.5</v>
      </c>
      <c r="H4361" s="712">
        <f t="shared" si="281"/>
        <v>73.5</v>
      </c>
      <c r="I4361" s="346" t="s">
        <v>11743</v>
      </c>
      <c r="J4361" s="137" t="s">
        <v>12398</v>
      </c>
      <c r="K4361" s="213">
        <v>41512</v>
      </c>
      <c r="L4361" s="137" t="s">
        <v>89</v>
      </c>
      <c r="M4361" s="66"/>
      <c r="N4361" s="66" t="s">
        <v>89</v>
      </c>
      <c r="O4361" s="712">
        <v>20130800096695</v>
      </c>
      <c r="Q4361" s="1284" t="s">
        <v>13662</v>
      </c>
      <c r="U4361" s="159"/>
      <c r="V4361" s="66" t="s">
        <v>13579</v>
      </c>
      <c r="W4361" s="91"/>
      <c r="X4361" s="1276">
        <v>41512</v>
      </c>
      <c r="Y4361" s="91"/>
      <c r="Z4361" s="686">
        <v>2010</v>
      </c>
      <c r="AA4361" s="1271">
        <v>41554</v>
      </c>
      <c r="AB4361" s="519" t="s">
        <v>13648</v>
      </c>
      <c r="AC4361" s="91"/>
      <c r="AD4361" s="91"/>
      <c r="AE4361" s="91"/>
    </row>
    <row r="4362" spans="1:32" ht="15.75" customHeight="1">
      <c r="A4362" s="1282">
        <v>41516</v>
      </c>
      <c r="B4362" s="66" t="s">
        <v>13494</v>
      </c>
      <c r="C4362" s="1286" t="s">
        <v>13663</v>
      </c>
      <c r="D4362" s="66" t="s">
        <v>13664</v>
      </c>
      <c r="E4362" s="501" t="s">
        <v>13665</v>
      </c>
      <c r="F4362" s="136">
        <v>6</v>
      </c>
      <c r="G4362" s="136">
        <v>47.25</v>
      </c>
      <c r="H4362" s="712">
        <f t="shared" si="281"/>
        <v>283.5</v>
      </c>
      <c r="I4362" s="346" t="s">
        <v>11743</v>
      </c>
      <c r="J4362" s="137" t="s">
        <v>12398</v>
      </c>
      <c r="K4362" s="213">
        <v>41526</v>
      </c>
      <c r="L4362" s="137" t="s">
        <v>89</v>
      </c>
      <c r="M4362" s="66"/>
      <c r="N4362" s="66" t="s">
        <v>89</v>
      </c>
      <c r="O4362" s="712">
        <v>20130800096776</v>
      </c>
      <c r="Q4362" s="1284" t="s">
        <v>13666</v>
      </c>
      <c r="U4362" s="159"/>
      <c r="V4362" s="66" t="s">
        <v>13579</v>
      </c>
      <c r="W4362" s="915"/>
      <c r="X4362" s="560">
        <v>41526</v>
      </c>
      <c r="Y4362" s="915"/>
      <c r="Z4362" s="719">
        <v>7354</v>
      </c>
      <c r="AA4362" s="1271">
        <v>41554</v>
      </c>
      <c r="AB4362" s="66" t="s">
        <v>13667</v>
      </c>
      <c r="AC4362" s="915"/>
      <c r="AD4362" s="148"/>
      <c r="AE4362" s="148"/>
      <c r="AF4362" s="54"/>
    </row>
    <row r="4363" spans="1:32" ht="15.75" customHeight="1">
      <c r="A4363" s="1269">
        <v>41519</v>
      </c>
      <c r="B4363" s="519" t="s">
        <v>13494</v>
      </c>
      <c r="C4363" s="642" t="s">
        <v>13668</v>
      </c>
      <c r="D4363" s="519" t="s">
        <v>13669</v>
      </c>
      <c r="E4363" s="20" t="s">
        <v>12965</v>
      </c>
      <c r="F4363" s="1262">
        <v>2</v>
      </c>
      <c r="G4363" s="1262">
        <f>245*1.05</f>
        <v>257.25</v>
      </c>
      <c r="H4363" s="684">
        <f t="shared" si="281"/>
        <v>514.5</v>
      </c>
      <c r="I4363" s="429" t="s">
        <v>11743</v>
      </c>
      <c r="J4363" s="130" t="s">
        <v>12398</v>
      </c>
      <c r="K4363" s="726">
        <v>41571</v>
      </c>
      <c r="L4363" s="130" t="s">
        <v>89</v>
      </c>
      <c r="M4363" s="519"/>
      <c r="N4363" s="519" t="s">
        <v>89</v>
      </c>
      <c r="O4363" s="684">
        <v>20130900098516</v>
      </c>
      <c r="Q4363" s="1494" t="s">
        <v>13670</v>
      </c>
      <c r="U4363" s="1277"/>
      <c r="V4363" s="519" t="s">
        <v>13579</v>
      </c>
      <c r="W4363" s="915"/>
      <c r="X4363" s="1276">
        <v>41571</v>
      </c>
      <c r="Y4363" s="915"/>
      <c r="Z4363" s="686">
        <v>13544</v>
      </c>
      <c r="AA4363" s="1274">
        <v>41554</v>
      </c>
      <c r="AB4363" s="519" t="s">
        <v>13671</v>
      </c>
      <c r="AC4363" s="915"/>
      <c r="AD4363" s="148"/>
      <c r="AE4363" s="148"/>
      <c r="AF4363" s="54"/>
    </row>
    <row r="4364" spans="1:32" ht="15.75" customHeight="1">
      <c r="A4364" s="1269">
        <v>41519</v>
      </c>
      <c r="B4364" s="519" t="s">
        <v>13494</v>
      </c>
      <c r="C4364" s="642" t="s">
        <v>13668</v>
      </c>
      <c r="D4364" s="519" t="s">
        <v>13669</v>
      </c>
      <c r="E4364" s="20" t="s">
        <v>12962</v>
      </c>
      <c r="F4364" s="1262">
        <v>4</v>
      </c>
      <c r="G4364" s="1262">
        <f>51*1.05</f>
        <v>53.550000000000004</v>
      </c>
      <c r="H4364" s="684">
        <f t="shared" si="281"/>
        <v>214.20000000000002</v>
      </c>
      <c r="I4364" s="429" t="s">
        <v>11743</v>
      </c>
      <c r="J4364" s="130" t="s">
        <v>12398</v>
      </c>
      <c r="K4364" s="726">
        <v>41543</v>
      </c>
      <c r="L4364" s="130" t="s">
        <v>89</v>
      </c>
      <c r="M4364" s="519"/>
      <c r="N4364" s="519" t="s">
        <v>89</v>
      </c>
      <c r="O4364" s="684">
        <v>20130900098516</v>
      </c>
      <c r="Q4364" s="1495"/>
      <c r="U4364" s="1277"/>
      <c r="V4364" s="519" t="s">
        <v>13579</v>
      </c>
      <c r="W4364" s="915"/>
      <c r="X4364" s="1276">
        <v>41543</v>
      </c>
      <c r="Y4364" s="915"/>
      <c r="Z4364" s="1512">
        <v>11219</v>
      </c>
      <c r="AA4364" s="1274">
        <v>41554</v>
      </c>
      <c r="AB4364" s="519" t="s">
        <v>13672</v>
      </c>
      <c r="AC4364" s="915"/>
      <c r="AD4364" s="148"/>
      <c r="AE4364" s="148"/>
      <c r="AF4364" s="54"/>
    </row>
    <row r="4365" spans="1:32" ht="15.75" customHeight="1">
      <c r="A4365" s="1269">
        <v>41519</v>
      </c>
      <c r="B4365" s="519" t="s">
        <v>13494</v>
      </c>
      <c r="C4365" s="642" t="s">
        <v>13668</v>
      </c>
      <c r="D4365" s="519" t="s">
        <v>13669</v>
      </c>
      <c r="E4365" s="20" t="s">
        <v>12966</v>
      </c>
      <c r="F4365" s="1262">
        <v>2</v>
      </c>
      <c r="G4365" s="1262">
        <f>98*1.05</f>
        <v>102.9</v>
      </c>
      <c r="H4365" s="684">
        <f t="shared" si="281"/>
        <v>205.8</v>
      </c>
      <c r="I4365" s="429" t="s">
        <v>11743</v>
      </c>
      <c r="J4365" s="130" t="s">
        <v>12398</v>
      </c>
      <c r="K4365" s="726">
        <v>41543</v>
      </c>
      <c r="L4365" s="130" t="s">
        <v>89</v>
      </c>
      <c r="M4365" s="519"/>
      <c r="N4365" s="519" t="s">
        <v>89</v>
      </c>
      <c r="O4365" s="684">
        <v>20130900098516</v>
      </c>
      <c r="Q4365" s="1496"/>
      <c r="U4365" s="1277"/>
      <c r="V4365" s="519" t="s">
        <v>13579</v>
      </c>
      <c r="W4365" s="915"/>
      <c r="X4365" s="1276">
        <v>41543</v>
      </c>
      <c r="Y4365" s="915"/>
      <c r="Z4365" s="1496"/>
      <c r="AA4365" s="1274">
        <v>41554</v>
      </c>
      <c r="AB4365" s="519" t="s">
        <v>13667</v>
      </c>
      <c r="AC4365" s="915"/>
      <c r="AD4365" s="148"/>
      <c r="AE4365" s="148"/>
      <c r="AF4365" s="54"/>
    </row>
    <row r="4366" spans="1:32" ht="15.75" customHeight="1">
      <c r="A4366" s="1282">
        <v>41528</v>
      </c>
      <c r="B4366" s="66" t="s">
        <v>1189</v>
      </c>
      <c r="C4366" s="1286" t="s">
        <v>13673</v>
      </c>
      <c r="D4366" s="501" t="s">
        <v>13674</v>
      </c>
      <c r="E4366" s="501" t="s">
        <v>12381</v>
      </c>
      <c r="F4366" s="136">
        <v>1</v>
      </c>
      <c r="G4366" s="136">
        <v>177</v>
      </c>
      <c r="H4366" s="712">
        <v>177</v>
      </c>
      <c r="I4366" s="346" t="s">
        <v>86</v>
      </c>
      <c r="J4366" s="1509" t="s">
        <v>13675</v>
      </c>
      <c r="K4366" s="213">
        <v>41551</v>
      </c>
      <c r="L4366" s="137" t="s">
        <v>12379</v>
      </c>
      <c r="M4366" s="137" t="s">
        <v>13676</v>
      </c>
      <c r="N4366" s="66" t="s">
        <v>89</v>
      </c>
      <c r="O4366" s="501" t="s">
        <v>13677</v>
      </c>
      <c r="Q4366" s="1284" t="s">
        <v>13678</v>
      </c>
      <c r="U4366" s="159"/>
      <c r="V4366" s="66" t="s">
        <v>13579</v>
      </c>
      <c r="W4366" s="915"/>
      <c r="X4366" s="1271">
        <v>41551</v>
      </c>
      <c r="Y4366" s="915"/>
      <c r="Z4366" s="1270">
        <v>4804</v>
      </c>
      <c r="AA4366" s="1271">
        <v>41554</v>
      </c>
      <c r="AB4366" s="1522" t="s">
        <v>13556</v>
      </c>
      <c r="AC4366" s="915"/>
      <c r="AD4366" s="148"/>
      <c r="AE4366" s="148"/>
      <c r="AF4366" s="54"/>
    </row>
    <row r="4367" spans="1:32" ht="15.75" customHeight="1">
      <c r="A4367" s="1282">
        <v>41528</v>
      </c>
      <c r="B4367" s="66" t="s">
        <v>1189</v>
      </c>
      <c r="C4367" s="1286" t="s">
        <v>13673</v>
      </c>
      <c r="D4367" s="501" t="s">
        <v>13674</v>
      </c>
      <c r="E4367" s="501" t="s">
        <v>12378</v>
      </c>
      <c r="F4367" s="136">
        <v>1</v>
      </c>
      <c r="G4367" s="136">
        <v>553</v>
      </c>
      <c r="H4367" s="712">
        <v>553</v>
      </c>
      <c r="I4367" s="346" t="s">
        <v>86</v>
      </c>
      <c r="J4367" s="1495"/>
      <c r="K4367" s="213">
        <v>41551</v>
      </c>
      <c r="L4367" s="137" t="s">
        <v>12379</v>
      </c>
      <c r="M4367" s="1285">
        <v>41550</v>
      </c>
      <c r="N4367" s="66" t="s">
        <v>3678</v>
      </c>
      <c r="O4367" s="66"/>
      <c r="Q4367" s="1284"/>
      <c r="U4367" s="1270">
        <v>14700</v>
      </c>
      <c r="V4367" s="66" t="s">
        <v>12726</v>
      </c>
      <c r="W4367" s="915"/>
      <c r="X4367" s="1271">
        <v>41549</v>
      </c>
      <c r="Y4367" s="915"/>
      <c r="Z4367" s="1270">
        <v>14700</v>
      </c>
      <c r="AA4367" s="1271">
        <v>41541</v>
      </c>
      <c r="AB4367" s="1498"/>
      <c r="AC4367" s="915"/>
      <c r="AD4367" s="148"/>
      <c r="AE4367" s="148"/>
      <c r="AF4367" s="54"/>
    </row>
    <row r="4368" spans="1:32" ht="15.75" customHeight="1">
      <c r="A4368" s="1282">
        <v>41528</v>
      </c>
      <c r="B4368" s="66" t="s">
        <v>1189</v>
      </c>
      <c r="C4368" s="1286" t="s">
        <v>13673</v>
      </c>
      <c r="D4368" s="501" t="s">
        <v>13674</v>
      </c>
      <c r="E4368" s="501" t="s">
        <v>12383</v>
      </c>
      <c r="F4368" s="136">
        <v>1</v>
      </c>
      <c r="G4368" s="136">
        <v>43</v>
      </c>
      <c r="H4368" s="712">
        <v>43</v>
      </c>
      <c r="I4368" s="346" t="s">
        <v>86</v>
      </c>
      <c r="J4368" s="1495"/>
      <c r="K4368" s="213">
        <v>41551</v>
      </c>
      <c r="L4368" s="137" t="s">
        <v>12379</v>
      </c>
      <c r="M4368" s="1285">
        <v>41541</v>
      </c>
      <c r="N4368" s="66" t="s">
        <v>13679</v>
      </c>
      <c r="O4368" s="66"/>
      <c r="Q4368" s="1284"/>
      <c r="U4368" s="1510">
        <v>2625</v>
      </c>
      <c r="V4368" s="66" t="s">
        <v>13680</v>
      </c>
      <c r="W4368" s="915"/>
      <c r="X4368" s="1507">
        <v>41542</v>
      </c>
      <c r="Y4368" s="915"/>
      <c r="Z4368" s="1510">
        <v>2625</v>
      </c>
      <c r="AA4368" s="1271">
        <v>41535</v>
      </c>
      <c r="AB4368" s="1498"/>
      <c r="AC4368" s="915"/>
      <c r="AD4368" s="148"/>
      <c r="AE4368" s="148"/>
      <c r="AF4368" s="54"/>
    </row>
    <row r="4369" spans="1:32" ht="15.75" customHeight="1">
      <c r="A4369" s="1282">
        <v>41528</v>
      </c>
      <c r="B4369" s="66" t="s">
        <v>1189</v>
      </c>
      <c r="C4369" s="1286" t="s">
        <v>13673</v>
      </c>
      <c r="D4369" s="501" t="s">
        <v>13674</v>
      </c>
      <c r="E4369" s="501" t="s">
        <v>12385</v>
      </c>
      <c r="F4369" s="136">
        <v>1</v>
      </c>
      <c r="G4369" s="136">
        <v>40</v>
      </c>
      <c r="H4369" s="712">
        <v>40</v>
      </c>
      <c r="I4369" s="346" t="s">
        <v>86</v>
      </c>
      <c r="J4369" s="1496"/>
      <c r="K4369" s="213">
        <v>41551</v>
      </c>
      <c r="L4369" s="137" t="s">
        <v>12379</v>
      </c>
      <c r="M4369" s="1285">
        <v>41541</v>
      </c>
      <c r="N4369" s="66" t="s">
        <v>13679</v>
      </c>
      <c r="O4369" s="66"/>
      <c r="Q4369" s="1284"/>
      <c r="U4369" s="1499"/>
      <c r="V4369" s="66" t="s">
        <v>13680</v>
      </c>
      <c r="W4369" s="915"/>
      <c r="X4369" s="1499"/>
      <c r="Y4369" s="915"/>
      <c r="Z4369" s="1499"/>
      <c r="AA4369" s="1271">
        <v>41535</v>
      </c>
      <c r="AB4369" s="1499"/>
      <c r="AC4369" s="915"/>
      <c r="AD4369" s="148"/>
      <c r="AE4369" s="148"/>
      <c r="AF4369" s="54"/>
    </row>
    <row r="4370" spans="1:32" ht="15.75" customHeight="1">
      <c r="A4370" s="1282">
        <v>41536</v>
      </c>
      <c r="B4370" s="66" t="s">
        <v>12425</v>
      </c>
      <c r="C4370" s="1286" t="s">
        <v>13681</v>
      </c>
      <c r="D4370" s="66" t="s">
        <v>13682</v>
      </c>
      <c r="E4370" s="501" t="s">
        <v>13532</v>
      </c>
      <c r="F4370" s="136">
        <v>32</v>
      </c>
      <c r="G4370" s="136">
        <v>86</v>
      </c>
      <c r="H4370" s="712">
        <f t="shared" ref="H4370:H4413" si="282">G4370*F4370</f>
        <v>2752</v>
      </c>
      <c r="I4370" s="346" t="s">
        <v>8429</v>
      </c>
      <c r="J4370" s="137" t="s">
        <v>12428</v>
      </c>
      <c r="K4370" s="213">
        <v>41547</v>
      </c>
      <c r="L4370" s="137" t="s">
        <v>89</v>
      </c>
      <c r="M4370" s="66"/>
      <c r="N4370" s="66" t="s">
        <v>89</v>
      </c>
      <c r="O4370" s="712">
        <v>20130900099908</v>
      </c>
      <c r="Q4370" s="1284" t="s">
        <v>13683</v>
      </c>
      <c r="U4370" s="159"/>
      <c r="V4370" s="66" t="s">
        <v>13579</v>
      </c>
      <c r="W4370" s="915"/>
      <c r="X4370" s="560">
        <v>41547</v>
      </c>
      <c r="Y4370" s="915"/>
      <c r="Z4370" s="719">
        <v>76140</v>
      </c>
      <c r="AA4370" s="1271">
        <v>41554</v>
      </c>
      <c r="AB4370" s="1515" t="s">
        <v>13684</v>
      </c>
      <c r="AC4370" s="915"/>
      <c r="AD4370" s="148"/>
      <c r="AE4370" s="148"/>
      <c r="AF4370" s="54"/>
    </row>
    <row r="4371" spans="1:32" ht="15.75" customHeight="1">
      <c r="A4371" s="1282">
        <v>41536</v>
      </c>
      <c r="B4371" s="66" t="s">
        <v>12425</v>
      </c>
      <c r="C4371" s="1286" t="s">
        <v>13681</v>
      </c>
      <c r="D4371" s="66" t="s">
        <v>13682</v>
      </c>
      <c r="E4371" s="501" t="s">
        <v>12584</v>
      </c>
      <c r="F4371" s="136">
        <v>32</v>
      </c>
      <c r="G4371" s="136">
        <v>27</v>
      </c>
      <c r="H4371" s="712">
        <f t="shared" si="282"/>
        <v>864</v>
      </c>
      <c r="I4371" s="346" t="s">
        <v>8429</v>
      </c>
      <c r="J4371" s="137" t="s">
        <v>12428</v>
      </c>
      <c r="K4371" s="213">
        <v>41547</v>
      </c>
      <c r="L4371" s="137" t="s">
        <v>12379</v>
      </c>
      <c r="M4371" s="213">
        <v>41542</v>
      </c>
      <c r="N4371" s="66" t="s">
        <v>302</v>
      </c>
      <c r="O4371" s="731" t="s">
        <v>13685</v>
      </c>
      <c r="Q4371" s="1284"/>
      <c r="U4371" s="1270">
        <v>18480</v>
      </c>
      <c r="V4371" s="20" t="s">
        <v>13471</v>
      </c>
      <c r="W4371" s="915"/>
      <c r="X4371" s="1271">
        <v>41541</v>
      </c>
      <c r="Y4371" s="915"/>
      <c r="Z4371" s="1270">
        <v>18480</v>
      </c>
      <c r="AA4371" s="1271">
        <v>41554</v>
      </c>
      <c r="AB4371" s="1499"/>
      <c r="AC4371" s="915"/>
      <c r="AD4371" s="148"/>
      <c r="AE4371" s="148"/>
      <c r="AF4371" s="54"/>
    </row>
    <row r="4372" spans="1:32" ht="15.75" customHeight="1">
      <c r="A4372" s="1282">
        <v>41536</v>
      </c>
      <c r="B4372" s="66" t="s">
        <v>12425</v>
      </c>
      <c r="C4372" s="1286" t="s">
        <v>13686</v>
      </c>
      <c r="D4372" s="66" t="s">
        <v>13687</v>
      </c>
      <c r="E4372" s="501" t="s">
        <v>13532</v>
      </c>
      <c r="F4372" s="136">
        <v>20</v>
      </c>
      <c r="G4372" s="136">
        <v>86</v>
      </c>
      <c r="H4372" s="712">
        <f t="shared" si="282"/>
        <v>1720</v>
      </c>
      <c r="I4372" s="346" t="s">
        <v>8429</v>
      </c>
      <c r="J4372" s="137" t="s">
        <v>12428</v>
      </c>
      <c r="K4372" s="213">
        <v>41576</v>
      </c>
      <c r="L4372" s="137" t="s">
        <v>89</v>
      </c>
      <c r="M4372" s="1285">
        <v>41575</v>
      </c>
      <c r="N4372" s="66" t="s">
        <v>89</v>
      </c>
      <c r="O4372" s="712">
        <v>20130900099909</v>
      </c>
      <c r="Q4372" s="1284" t="s">
        <v>13688</v>
      </c>
      <c r="U4372" s="159"/>
      <c r="V4372" s="66" t="s">
        <v>13579</v>
      </c>
      <c r="W4372" s="915"/>
      <c r="X4372" s="560">
        <v>41575</v>
      </c>
      <c r="Y4372" s="915"/>
      <c r="Z4372" s="719">
        <v>47002</v>
      </c>
      <c r="AA4372" s="1271">
        <v>41569</v>
      </c>
      <c r="AB4372" s="1515" t="s">
        <v>13689</v>
      </c>
      <c r="AC4372" s="915"/>
      <c r="AD4372" s="148"/>
      <c r="AE4372" s="148"/>
      <c r="AF4372" s="54"/>
    </row>
    <row r="4373" spans="1:32" ht="15.75" customHeight="1">
      <c r="A4373" s="1282">
        <v>41536</v>
      </c>
      <c r="B4373" s="66" t="s">
        <v>12425</v>
      </c>
      <c r="C4373" s="1286" t="s">
        <v>13686</v>
      </c>
      <c r="D4373" s="66" t="s">
        <v>13687</v>
      </c>
      <c r="E4373" s="501" t="s">
        <v>12584</v>
      </c>
      <c r="F4373" s="136">
        <v>20</v>
      </c>
      <c r="G4373" s="136">
        <v>27</v>
      </c>
      <c r="H4373" s="712">
        <f t="shared" si="282"/>
        <v>540</v>
      </c>
      <c r="I4373" s="346" t="s">
        <v>8429</v>
      </c>
      <c r="J4373" s="137" t="s">
        <v>12428</v>
      </c>
      <c r="K4373" s="213">
        <v>41576</v>
      </c>
      <c r="L4373" s="137" t="s">
        <v>12379</v>
      </c>
      <c r="M4373" s="213">
        <v>41570</v>
      </c>
      <c r="N4373" s="66" t="s">
        <v>302</v>
      </c>
      <c r="O4373" s="731" t="s">
        <v>13690</v>
      </c>
      <c r="Q4373" s="1284"/>
      <c r="U4373" s="159"/>
      <c r="V4373" s="20" t="s">
        <v>13471</v>
      </c>
      <c r="W4373" s="915"/>
      <c r="X4373" s="560">
        <v>41569</v>
      </c>
      <c r="Y4373" s="915"/>
      <c r="Z4373" s="719">
        <v>11550</v>
      </c>
      <c r="AA4373" s="1271">
        <v>41585</v>
      </c>
      <c r="AB4373" s="1499"/>
      <c r="AC4373" s="915"/>
      <c r="AD4373" s="148"/>
      <c r="AE4373" s="148"/>
      <c r="AF4373" s="54"/>
    </row>
    <row r="4374" spans="1:32" ht="15.75" customHeight="1">
      <c r="A4374" s="1282">
        <v>41541</v>
      </c>
      <c r="B4374" s="66" t="s">
        <v>13691</v>
      </c>
      <c r="C4374" s="1286" t="s">
        <v>13692</v>
      </c>
      <c r="D4374" s="66" t="s">
        <v>13693</v>
      </c>
      <c r="E4374" s="501" t="s">
        <v>12023</v>
      </c>
      <c r="F4374" s="136">
        <v>50</v>
      </c>
      <c r="G4374" s="136">
        <v>766.5</v>
      </c>
      <c r="H4374" s="712">
        <f t="shared" si="282"/>
        <v>38325</v>
      </c>
      <c r="I4374" s="346" t="s">
        <v>8429</v>
      </c>
      <c r="J4374" s="137" t="s">
        <v>12372</v>
      </c>
      <c r="K4374" s="1285">
        <v>41575</v>
      </c>
      <c r="L4374" s="137" t="s">
        <v>89</v>
      </c>
      <c r="M4374" s="66"/>
      <c r="N4374" s="66" t="s">
        <v>89</v>
      </c>
      <c r="O4374" s="712">
        <v>20131000100726</v>
      </c>
      <c r="Q4374" s="1284" t="s">
        <v>13694</v>
      </c>
      <c r="U4374" s="159"/>
      <c r="V4374" s="66" t="s">
        <v>13579</v>
      </c>
      <c r="W4374" s="915"/>
      <c r="X4374" s="560">
        <v>41575</v>
      </c>
      <c r="Y4374" s="915"/>
      <c r="Z4374" s="719">
        <v>1008070</v>
      </c>
      <c r="AA4374" s="1271">
        <v>41569</v>
      </c>
      <c r="AB4374" s="66" t="s">
        <v>13695</v>
      </c>
      <c r="AC4374" s="915"/>
      <c r="AD4374" s="148"/>
      <c r="AE4374" s="148"/>
      <c r="AF4374" s="54"/>
    </row>
    <row r="4375" spans="1:32" ht="15.75" customHeight="1">
      <c r="A4375" s="1282">
        <v>41541</v>
      </c>
      <c r="B4375" s="66" t="s">
        <v>13691</v>
      </c>
      <c r="C4375" s="1286" t="s">
        <v>13692</v>
      </c>
      <c r="D4375" s="66" t="s">
        <v>13693</v>
      </c>
      <c r="E4375" s="501" t="s">
        <v>13696</v>
      </c>
      <c r="F4375" s="136">
        <v>50</v>
      </c>
      <c r="G4375" s="136">
        <v>973.35</v>
      </c>
      <c r="H4375" s="712">
        <f t="shared" si="282"/>
        <v>48667.5</v>
      </c>
      <c r="I4375" s="346" t="s">
        <v>8429</v>
      </c>
      <c r="J4375" s="137" t="s">
        <v>12372</v>
      </c>
      <c r="K4375" s="213">
        <v>41589</v>
      </c>
      <c r="L4375" s="137" t="s">
        <v>89</v>
      </c>
      <c r="M4375" s="66"/>
      <c r="N4375" s="66" t="s">
        <v>89</v>
      </c>
      <c r="O4375" s="712">
        <v>20131000100725</v>
      </c>
      <c r="Q4375" s="1287" t="s">
        <v>13697</v>
      </c>
      <c r="U4375" s="159"/>
      <c r="V4375" s="66" t="s">
        <v>13579</v>
      </c>
      <c r="W4375" s="915"/>
      <c r="X4375" s="560">
        <v>41589</v>
      </c>
      <c r="Y4375" s="915"/>
      <c r="Z4375" s="719">
        <v>1278708</v>
      </c>
      <c r="AA4375" s="1271">
        <v>41582</v>
      </c>
      <c r="AB4375" s="66" t="s">
        <v>13698</v>
      </c>
      <c r="AC4375" s="915"/>
      <c r="AD4375" s="148"/>
      <c r="AE4375" s="148"/>
      <c r="AF4375" s="54"/>
    </row>
    <row r="4376" spans="1:32" ht="15.75" customHeight="1">
      <c r="A4376" s="1282">
        <v>41541</v>
      </c>
      <c r="B4376" s="66" t="s">
        <v>13691</v>
      </c>
      <c r="C4376" s="1286" t="s">
        <v>13692</v>
      </c>
      <c r="D4376" s="66" t="s">
        <v>13693</v>
      </c>
      <c r="E4376" s="501" t="s">
        <v>4586</v>
      </c>
      <c r="F4376" s="136">
        <v>50</v>
      </c>
      <c r="G4376" s="136">
        <v>103.95</v>
      </c>
      <c r="H4376" s="712">
        <f t="shared" si="282"/>
        <v>5197.5</v>
      </c>
      <c r="I4376" s="346" t="s">
        <v>8429</v>
      </c>
      <c r="J4376" s="137" t="s">
        <v>12372</v>
      </c>
      <c r="K4376" s="213">
        <v>41575</v>
      </c>
      <c r="L4376" s="137" t="s">
        <v>89</v>
      </c>
      <c r="M4376" s="66"/>
      <c r="N4376" s="66" t="s">
        <v>89</v>
      </c>
      <c r="O4376" s="712">
        <v>20131000100724</v>
      </c>
      <c r="Q4376" s="1287" t="s">
        <v>13699</v>
      </c>
      <c r="U4376" s="159"/>
      <c r="V4376" s="66" t="s">
        <v>13579</v>
      </c>
      <c r="W4376" s="915"/>
      <c r="X4376" s="560">
        <v>41575</v>
      </c>
      <c r="Y4376" s="915"/>
      <c r="Z4376" s="719">
        <v>138513</v>
      </c>
      <c r="AA4376" s="1271">
        <v>41569</v>
      </c>
      <c r="AB4376" s="66" t="s">
        <v>13695</v>
      </c>
      <c r="AC4376" s="915"/>
      <c r="AD4376" s="148"/>
      <c r="AE4376" s="148"/>
      <c r="AF4376" s="54"/>
    </row>
    <row r="4377" spans="1:32" ht="15.75" customHeight="1">
      <c r="A4377" s="1269">
        <v>41542</v>
      </c>
      <c r="B4377" s="519" t="s">
        <v>13494</v>
      </c>
      <c r="C4377" s="642" t="s">
        <v>13700</v>
      </c>
      <c r="D4377" s="519" t="s">
        <v>13701</v>
      </c>
      <c r="E4377" s="20" t="s">
        <v>4588</v>
      </c>
      <c r="F4377" s="1262">
        <v>2</v>
      </c>
      <c r="G4377" s="1262">
        <v>367.5</v>
      </c>
      <c r="H4377" s="684">
        <f t="shared" si="282"/>
        <v>735</v>
      </c>
      <c r="I4377" s="429" t="s">
        <v>11743</v>
      </c>
      <c r="J4377" s="130" t="s">
        <v>12398</v>
      </c>
      <c r="K4377" s="726">
        <v>41550</v>
      </c>
      <c r="L4377" s="130" t="s">
        <v>89</v>
      </c>
      <c r="M4377" s="519"/>
      <c r="N4377" s="519" t="s">
        <v>89</v>
      </c>
      <c r="O4377" s="684">
        <v>20130900100334</v>
      </c>
      <c r="Q4377" s="1268" t="s">
        <v>13702</v>
      </c>
      <c r="U4377" s="1277"/>
      <c r="V4377" s="519" t="s">
        <v>13579</v>
      </c>
      <c r="W4377" s="924"/>
      <c r="X4377" s="20" t="s">
        <v>0</v>
      </c>
      <c r="Y4377" s="924"/>
      <c r="Z4377" s="686">
        <v>19094</v>
      </c>
      <c r="AA4377" s="1274">
        <v>41554</v>
      </c>
      <c r="AB4377" s="519" t="s">
        <v>13703</v>
      </c>
      <c r="AC4377" s="241"/>
      <c r="AD4377" s="241"/>
      <c r="AE4377" s="241"/>
      <c r="AF4377" s="57"/>
    </row>
    <row r="4378" spans="1:32" ht="15.75" customHeight="1">
      <c r="A4378" s="1269">
        <v>41550</v>
      </c>
      <c r="B4378" s="519" t="s">
        <v>11740</v>
      </c>
      <c r="C4378" s="519"/>
      <c r="D4378" s="519" t="s">
        <v>13704</v>
      </c>
      <c r="E4378" s="20" t="s">
        <v>13705</v>
      </c>
      <c r="F4378" s="1262">
        <v>31</v>
      </c>
      <c r="G4378" s="1262">
        <v>21.5</v>
      </c>
      <c r="H4378" s="684">
        <f t="shared" si="282"/>
        <v>666.5</v>
      </c>
      <c r="I4378" s="429" t="s">
        <v>11743</v>
      </c>
      <c r="J4378" s="130" t="s">
        <v>13706</v>
      </c>
      <c r="K4378" s="726">
        <v>41555</v>
      </c>
      <c r="L4378" s="130" t="s">
        <v>12379</v>
      </c>
      <c r="M4378" s="726">
        <v>41554</v>
      </c>
      <c r="N4378" s="519" t="s">
        <v>12389</v>
      </c>
      <c r="O4378" s="684">
        <v>1021003</v>
      </c>
      <c r="Q4378" s="519"/>
      <c r="U4378" s="1500">
        <v>15561</v>
      </c>
      <c r="V4378" s="70" t="s">
        <v>2413</v>
      </c>
      <c r="W4378" s="924"/>
      <c r="X4378" s="1503">
        <v>41554</v>
      </c>
      <c r="Y4378" s="924"/>
      <c r="Z4378" s="1500">
        <v>15561</v>
      </c>
      <c r="AA4378" s="1274">
        <v>41551</v>
      </c>
      <c r="AB4378" s="1517" t="s">
        <v>13707</v>
      </c>
      <c r="AC4378" s="241"/>
      <c r="AD4378" s="241"/>
      <c r="AE4378" s="241"/>
      <c r="AF4378" s="57"/>
    </row>
    <row r="4379" spans="1:32" ht="15.75" customHeight="1">
      <c r="A4379" s="1269">
        <v>41550</v>
      </c>
      <c r="B4379" s="519" t="s">
        <v>11740</v>
      </c>
      <c r="C4379" s="519"/>
      <c r="D4379" s="519" t="s">
        <v>13704</v>
      </c>
      <c r="E4379" s="20" t="s">
        <v>13708</v>
      </c>
      <c r="F4379" s="1262">
        <v>1</v>
      </c>
      <c r="G4379" s="1262">
        <v>12</v>
      </c>
      <c r="H4379" s="684">
        <f t="shared" si="282"/>
        <v>12</v>
      </c>
      <c r="I4379" s="429" t="s">
        <v>11743</v>
      </c>
      <c r="J4379" s="130" t="s">
        <v>13706</v>
      </c>
      <c r="K4379" s="726">
        <v>41555</v>
      </c>
      <c r="L4379" s="130" t="s">
        <v>12379</v>
      </c>
      <c r="M4379" s="726">
        <v>41554</v>
      </c>
      <c r="N4379" s="519" t="s">
        <v>12389</v>
      </c>
      <c r="O4379" s="684">
        <v>1021003</v>
      </c>
      <c r="Q4379" s="519"/>
      <c r="U4379" s="1496"/>
      <c r="V4379" s="70" t="s">
        <v>2413</v>
      </c>
      <c r="W4379" s="91"/>
      <c r="X4379" s="1496"/>
      <c r="Y4379" s="91"/>
      <c r="Z4379" s="1496"/>
      <c r="AA4379" s="1274">
        <v>41551</v>
      </c>
      <c r="AB4379" s="1496"/>
      <c r="AC4379" s="91"/>
      <c r="AD4379" s="91"/>
      <c r="AE4379" s="91"/>
      <c r="AF4379" s="57"/>
    </row>
    <row r="4380" spans="1:32" ht="15.75" customHeight="1">
      <c r="A4380" s="1269">
        <v>41563</v>
      </c>
      <c r="B4380" s="519" t="s">
        <v>13494</v>
      </c>
      <c r="C4380" s="642" t="s">
        <v>13709</v>
      </c>
      <c r="D4380" s="519" t="s">
        <v>13710</v>
      </c>
      <c r="E4380" s="20" t="s">
        <v>10820</v>
      </c>
      <c r="F4380" s="1262">
        <v>5</v>
      </c>
      <c r="G4380" s="1262">
        <f>70*1.05</f>
        <v>73.5</v>
      </c>
      <c r="H4380" s="684">
        <f t="shared" si="282"/>
        <v>367.5</v>
      </c>
      <c r="I4380" s="429" t="s">
        <v>11743</v>
      </c>
      <c r="J4380" s="130" t="s">
        <v>12398</v>
      </c>
      <c r="K4380" s="726">
        <v>41585</v>
      </c>
      <c r="L4380" s="130" t="s">
        <v>89</v>
      </c>
      <c r="M4380" s="519"/>
      <c r="N4380" s="519" t="s">
        <v>89</v>
      </c>
      <c r="O4380" s="1262">
        <v>20131000101314</v>
      </c>
      <c r="Q4380" s="1517" t="s">
        <v>13711</v>
      </c>
      <c r="U4380" s="1277"/>
      <c r="V4380" s="1516" t="s">
        <v>13579</v>
      </c>
      <c r="W4380" s="91"/>
      <c r="X4380" s="1506">
        <v>41585</v>
      </c>
      <c r="Y4380" s="91"/>
      <c r="Z4380" s="1512">
        <v>113227</v>
      </c>
      <c r="AA4380" s="1274">
        <v>41596</v>
      </c>
      <c r="AB4380" s="1516" t="s">
        <v>13712</v>
      </c>
      <c r="AC4380" s="91"/>
      <c r="AD4380" s="91"/>
      <c r="AE4380" s="91"/>
      <c r="AF4380" s="57"/>
    </row>
    <row r="4381" spans="1:32" ht="15.75" customHeight="1">
      <c r="A4381" s="1269">
        <v>41563</v>
      </c>
      <c r="B4381" s="519" t="s">
        <v>13494</v>
      </c>
      <c r="C4381" s="642" t="s">
        <v>13713</v>
      </c>
      <c r="D4381" s="519" t="s">
        <v>13714</v>
      </c>
      <c r="E4381" s="20" t="s">
        <v>12666</v>
      </c>
      <c r="F4381" s="1262">
        <v>3</v>
      </c>
      <c r="G4381" s="1262">
        <f>160*1.05</f>
        <v>168</v>
      </c>
      <c r="H4381" s="684">
        <f t="shared" si="282"/>
        <v>504</v>
      </c>
      <c r="I4381" s="429" t="s">
        <v>11743</v>
      </c>
      <c r="J4381" s="130" t="s">
        <v>12398</v>
      </c>
      <c r="K4381" s="726">
        <v>41585</v>
      </c>
      <c r="L4381" s="130" t="s">
        <v>89</v>
      </c>
      <c r="M4381" s="519"/>
      <c r="N4381" s="519" t="s">
        <v>89</v>
      </c>
      <c r="O4381" s="1262">
        <v>20131000101314</v>
      </c>
      <c r="Q4381" s="1495"/>
      <c r="U4381" s="1277"/>
      <c r="V4381" s="1495"/>
      <c r="W4381" s="91"/>
      <c r="X4381" s="1495"/>
      <c r="Y4381" s="91"/>
      <c r="Z4381" s="1495"/>
      <c r="AA4381" s="1274">
        <v>41596</v>
      </c>
      <c r="AB4381" s="1495"/>
      <c r="AC4381" s="91"/>
      <c r="AD4381" s="91"/>
      <c r="AE4381" s="91"/>
      <c r="AF4381" s="57"/>
    </row>
    <row r="4382" spans="1:32" ht="15.75" customHeight="1">
      <c r="A4382" s="1269">
        <v>41563</v>
      </c>
      <c r="B4382" s="519" t="s">
        <v>13494</v>
      </c>
      <c r="C4382" s="642" t="s">
        <v>13715</v>
      </c>
      <c r="D4382" s="519" t="s">
        <v>13716</v>
      </c>
      <c r="E4382" s="20" t="s">
        <v>13717</v>
      </c>
      <c r="F4382" s="1262">
        <v>10</v>
      </c>
      <c r="G4382" s="1262">
        <f>289*1.05</f>
        <v>303.45</v>
      </c>
      <c r="H4382" s="684">
        <f t="shared" si="282"/>
        <v>3034.5</v>
      </c>
      <c r="I4382" s="429" t="s">
        <v>11743</v>
      </c>
      <c r="J4382" s="130" t="s">
        <v>12398</v>
      </c>
      <c r="K4382" s="726">
        <v>41585</v>
      </c>
      <c r="L4382" s="130" t="s">
        <v>89</v>
      </c>
      <c r="M4382" s="519"/>
      <c r="N4382" s="519" t="s">
        <v>89</v>
      </c>
      <c r="O4382" s="1262">
        <v>20131000101314</v>
      </c>
      <c r="Q4382" s="1495"/>
      <c r="U4382" s="1277"/>
      <c r="V4382" s="1495"/>
      <c r="W4382" s="91"/>
      <c r="X4382" s="1495"/>
      <c r="Y4382" s="91"/>
      <c r="Z4382" s="1495"/>
      <c r="AA4382" s="1274">
        <v>41596</v>
      </c>
      <c r="AB4382" s="1495"/>
      <c r="AC4382" s="91"/>
      <c r="AD4382" s="91"/>
      <c r="AE4382" s="91"/>
      <c r="AF4382" s="57"/>
    </row>
    <row r="4383" spans="1:32" ht="15.75" customHeight="1">
      <c r="A4383" s="1269">
        <v>41563</v>
      </c>
      <c r="B4383" s="519" t="s">
        <v>13494</v>
      </c>
      <c r="C4383" s="642" t="s">
        <v>13718</v>
      </c>
      <c r="D4383" s="519" t="s">
        <v>13719</v>
      </c>
      <c r="E4383" s="20" t="s">
        <v>13720</v>
      </c>
      <c r="F4383" s="1262">
        <v>1</v>
      </c>
      <c r="G4383" s="1262">
        <f>340*1.05</f>
        <v>357</v>
      </c>
      <c r="H4383" s="684">
        <f t="shared" si="282"/>
        <v>357</v>
      </c>
      <c r="I4383" s="429" t="s">
        <v>11743</v>
      </c>
      <c r="J4383" s="130" t="s">
        <v>12398</v>
      </c>
      <c r="K4383" s="726">
        <v>41585</v>
      </c>
      <c r="L4383" s="130" t="s">
        <v>89</v>
      </c>
      <c r="M4383" s="519"/>
      <c r="N4383" s="519" t="s">
        <v>89</v>
      </c>
      <c r="O4383" s="1262">
        <v>20131000101314</v>
      </c>
      <c r="Q4383" s="1496"/>
      <c r="U4383" s="1277"/>
      <c r="V4383" s="1496"/>
      <c r="W4383" s="91"/>
      <c r="X4383" s="1496"/>
      <c r="Y4383" s="91"/>
      <c r="Z4383" s="1496"/>
      <c r="AA4383" s="1274">
        <v>41596</v>
      </c>
      <c r="AB4383" s="1496"/>
      <c r="AC4383" s="91"/>
      <c r="AD4383" s="91"/>
      <c r="AE4383" s="91"/>
      <c r="AF4383" s="57"/>
    </row>
    <row r="4384" spans="1:32" ht="15.75" customHeight="1">
      <c r="A4384" s="1269">
        <v>41565</v>
      </c>
      <c r="B4384" s="519" t="s">
        <v>13494</v>
      </c>
      <c r="C4384" s="642" t="s">
        <v>13721</v>
      </c>
      <c r="D4384" s="519" t="s">
        <v>13722</v>
      </c>
      <c r="E4384" s="20" t="s">
        <v>13723</v>
      </c>
      <c r="F4384" s="1262">
        <v>5</v>
      </c>
      <c r="G4384" s="1262">
        <f>205*1.05</f>
        <v>215.25</v>
      </c>
      <c r="H4384" s="684">
        <f t="shared" si="282"/>
        <v>1076.25</v>
      </c>
      <c r="I4384" s="429" t="s">
        <v>11743</v>
      </c>
      <c r="J4384" s="130" t="s">
        <v>12398</v>
      </c>
      <c r="K4384" s="726">
        <v>41585</v>
      </c>
      <c r="L4384" s="130" t="s">
        <v>89</v>
      </c>
      <c r="M4384" s="519"/>
      <c r="N4384" s="519" t="s">
        <v>89</v>
      </c>
      <c r="O4384" s="1262">
        <v>20131000101478</v>
      </c>
      <c r="Q4384" s="1521" t="s">
        <v>13724</v>
      </c>
      <c r="U4384" s="1277"/>
      <c r="V4384" s="1516" t="s">
        <v>13579</v>
      </c>
      <c r="W4384" s="91"/>
      <c r="X4384" s="1506">
        <v>41585</v>
      </c>
      <c r="Y4384" s="91"/>
      <c r="Z4384" s="1512">
        <v>36623</v>
      </c>
      <c r="AA4384" s="1274">
        <v>41596</v>
      </c>
      <c r="AB4384" s="1516" t="s">
        <v>13712</v>
      </c>
      <c r="AC4384" s="91"/>
      <c r="AD4384" s="91"/>
      <c r="AE4384" s="91"/>
      <c r="AF4384" s="57"/>
    </row>
    <row r="4385" spans="1:43" ht="15.75" customHeight="1">
      <c r="A4385" s="1269">
        <v>41565</v>
      </c>
      <c r="B4385" s="519" t="s">
        <v>13494</v>
      </c>
      <c r="C4385" s="642" t="s">
        <v>13725</v>
      </c>
      <c r="D4385" s="519" t="s">
        <v>13726</v>
      </c>
      <c r="E4385" s="20" t="s">
        <v>13727</v>
      </c>
      <c r="F4385" s="1262">
        <v>3</v>
      </c>
      <c r="G4385" s="1262">
        <f>116*1.05</f>
        <v>121.80000000000001</v>
      </c>
      <c r="H4385" s="684">
        <f t="shared" si="282"/>
        <v>365.40000000000003</v>
      </c>
      <c r="I4385" s="429" t="s">
        <v>11743</v>
      </c>
      <c r="J4385" s="130" t="s">
        <v>12398</v>
      </c>
      <c r="K4385" s="726">
        <v>41585</v>
      </c>
      <c r="L4385" s="130" t="s">
        <v>89</v>
      </c>
      <c r="M4385" s="519"/>
      <c r="N4385" s="519" t="s">
        <v>89</v>
      </c>
      <c r="O4385" s="1262">
        <v>20131000101478</v>
      </c>
      <c r="Q4385" s="1495"/>
      <c r="U4385" s="1277"/>
      <c r="V4385" s="1495"/>
      <c r="W4385" s="91"/>
      <c r="X4385" s="1495"/>
      <c r="Y4385" s="91"/>
      <c r="Z4385" s="1495"/>
      <c r="AA4385" s="1274">
        <v>41596</v>
      </c>
      <c r="AB4385" s="1495"/>
      <c r="AC4385" s="91"/>
      <c r="AD4385" s="91"/>
      <c r="AE4385" s="91"/>
      <c r="AF4385" s="57"/>
    </row>
    <row r="4386" spans="1:43" ht="15.75" customHeight="1">
      <c r="A4386" s="1269">
        <v>41565</v>
      </c>
      <c r="B4386" s="519" t="s">
        <v>13494</v>
      </c>
      <c r="C4386" s="642" t="s">
        <v>13728</v>
      </c>
      <c r="D4386" s="519" t="s">
        <v>13729</v>
      </c>
      <c r="E4386" s="20" t="s">
        <v>13730</v>
      </c>
      <c r="F4386" s="1262">
        <v>4</v>
      </c>
      <c r="G4386" s="1262">
        <f>5*1.05</f>
        <v>5.25</v>
      </c>
      <c r="H4386" s="684">
        <f t="shared" si="282"/>
        <v>21</v>
      </c>
      <c r="I4386" s="429" t="s">
        <v>11743</v>
      </c>
      <c r="J4386" s="130" t="s">
        <v>12398</v>
      </c>
      <c r="K4386" s="726">
        <v>41585</v>
      </c>
      <c r="L4386" s="130" t="s">
        <v>89</v>
      </c>
      <c r="M4386" s="519"/>
      <c r="N4386" s="519" t="s">
        <v>89</v>
      </c>
      <c r="O4386" s="1262">
        <v>20131000101478</v>
      </c>
      <c r="Q4386" s="1496"/>
      <c r="U4386" s="1277"/>
      <c r="V4386" s="1496"/>
      <c r="W4386" s="91"/>
      <c r="X4386" s="1496"/>
      <c r="Y4386" s="91"/>
      <c r="Z4386" s="1496"/>
      <c r="AA4386" s="1274">
        <v>41596</v>
      </c>
      <c r="AB4386" s="1496"/>
      <c r="AC4386" s="91"/>
      <c r="AD4386" s="91"/>
      <c r="AE4386" s="91"/>
      <c r="AF4386" s="57"/>
    </row>
    <row r="4387" spans="1:43" ht="15.75" customHeight="1">
      <c r="A4387" s="1282">
        <v>41565</v>
      </c>
      <c r="B4387" s="66" t="s">
        <v>1189</v>
      </c>
      <c r="C4387" s="66"/>
      <c r="D4387" s="66" t="s">
        <v>13731</v>
      </c>
      <c r="E4387" s="501" t="s">
        <v>12381</v>
      </c>
      <c r="F4387" s="136">
        <v>3</v>
      </c>
      <c r="G4387" s="136">
        <v>177</v>
      </c>
      <c r="H4387" s="712">
        <f t="shared" si="282"/>
        <v>531</v>
      </c>
      <c r="I4387" s="346" t="s">
        <v>86</v>
      </c>
      <c r="J4387" s="137" t="s">
        <v>13732</v>
      </c>
      <c r="K4387" s="213">
        <v>41582</v>
      </c>
      <c r="L4387" s="137" t="s">
        <v>89</v>
      </c>
      <c r="M4387" s="213">
        <v>41571</v>
      </c>
      <c r="N4387" s="66" t="s">
        <v>89</v>
      </c>
      <c r="O4387" s="136">
        <v>20131000101436</v>
      </c>
      <c r="Q4387" s="1287" t="s">
        <v>13733</v>
      </c>
      <c r="U4387" s="159"/>
      <c r="V4387" s="66" t="s">
        <v>13579</v>
      </c>
      <c r="W4387" s="91"/>
      <c r="X4387" s="560">
        <v>41571</v>
      </c>
      <c r="Y4387" s="91"/>
      <c r="Z4387" s="719">
        <v>13482</v>
      </c>
      <c r="AA4387" s="1271">
        <v>41569</v>
      </c>
      <c r="AB4387" s="501" t="s">
        <v>13734</v>
      </c>
      <c r="AC4387" s="91"/>
      <c r="AD4387" s="91"/>
      <c r="AE4387" s="91"/>
      <c r="AF4387" s="57"/>
    </row>
    <row r="4388" spans="1:43" ht="15.75" customHeight="1">
      <c r="A4388" s="1269">
        <v>41565</v>
      </c>
      <c r="B4388" s="519" t="s">
        <v>13434</v>
      </c>
      <c r="C4388" s="642" t="s">
        <v>13735</v>
      </c>
      <c r="D4388" s="519" t="s">
        <v>13457</v>
      </c>
      <c r="E4388" s="1275" t="s">
        <v>12081</v>
      </c>
      <c r="F4388" s="1262">
        <v>50</v>
      </c>
      <c r="G4388" s="1262">
        <v>88.2</v>
      </c>
      <c r="H4388" s="684">
        <f t="shared" si="282"/>
        <v>4410</v>
      </c>
      <c r="I4388" s="429" t="s">
        <v>170</v>
      </c>
      <c r="J4388" s="130" t="s">
        <v>12398</v>
      </c>
      <c r="K4388" s="726">
        <v>41596</v>
      </c>
      <c r="L4388" s="130" t="s">
        <v>89</v>
      </c>
      <c r="M4388" s="519"/>
      <c r="N4388" s="519" t="s">
        <v>89</v>
      </c>
      <c r="O4388" s="1262">
        <v>20131000101433</v>
      </c>
      <c r="Q4388" s="20" t="s">
        <v>13736</v>
      </c>
      <c r="U4388" s="1277"/>
      <c r="V4388" s="519" t="s">
        <v>13579</v>
      </c>
      <c r="W4388" s="91"/>
      <c r="X4388" s="1276">
        <v>41596</v>
      </c>
      <c r="Y4388" s="91"/>
      <c r="Z4388" s="686">
        <v>112465</v>
      </c>
      <c r="AA4388" s="1274">
        <v>41596</v>
      </c>
      <c r="AB4388" s="1516" t="s">
        <v>13737</v>
      </c>
      <c r="AC4388" s="91"/>
      <c r="AD4388" s="91"/>
      <c r="AE4388" s="91"/>
      <c r="AF4388" s="57"/>
    </row>
    <row r="4389" spans="1:43" ht="15.75" customHeight="1">
      <c r="A4389" s="1269">
        <v>41565</v>
      </c>
      <c r="B4389" s="519" t="s">
        <v>13434</v>
      </c>
      <c r="C4389" s="642" t="s">
        <v>13735</v>
      </c>
      <c r="D4389" s="519" t="s">
        <v>13457</v>
      </c>
      <c r="E4389" s="1275" t="s">
        <v>13582</v>
      </c>
      <c r="F4389" s="1262">
        <v>40</v>
      </c>
      <c r="G4389" s="1262">
        <v>10.5</v>
      </c>
      <c r="H4389" s="684">
        <f t="shared" si="282"/>
        <v>420</v>
      </c>
      <c r="I4389" s="429" t="s">
        <v>170</v>
      </c>
      <c r="J4389" s="429" t="s">
        <v>13521</v>
      </c>
      <c r="K4389" s="726">
        <v>41596</v>
      </c>
      <c r="L4389" s="130" t="s">
        <v>12379</v>
      </c>
      <c r="M4389" s="726">
        <v>41592</v>
      </c>
      <c r="N4389" s="519" t="s">
        <v>104</v>
      </c>
      <c r="O4389" s="519"/>
      <c r="Q4389" s="519"/>
      <c r="U4389" s="686">
        <v>7560</v>
      </c>
      <c r="V4389" s="519" t="s">
        <v>13738</v>
      </c>
      <c r="W4389" s="91"/>
      <c r="X4389" s="1274">
        <v>41592</v>
      </c>
      <c r="Y4389" s="91"/>
      <c r="Z4389" s="1273">
        <v>7560</v>
      </c>
      <c r="AA4389" s="1274">
        <v>41596</v>
      </c>
      <c r="AB4389" s="1496"/>
      <c r="AC4389" s="91"/>
      <c r="AD4389" s="91"/>
      <c r="AE4389" s="91"/>
      <c r="AF4389" s="57"/>
    </row>
    <row r="4390" spans="1:43" ht="15.75" customHeight="1">
      <c r="A4390" s="1269">
        <v>41572</v>
      </c>
      <c r="B4390" s="519" t="s">
        <v>13494</v>
      </c>
      <c r="C4390" s="642" t="s">
        <v>13739</v>
      </c>
      <c r="D4390" s="519" t="s">
        <v>13740</v>
      </c>
      <c r="E4390" s="20" t="s">
        <v>13741</v>
      </c>
      <c r="F4390" s="1262">
        <v>2</v>
      </c>
      <c r="G4390" s="1262">
        <f>998*1.05</f>
        <v>1047.9000000000001</v>
      </c>
      <c r="H4390" s="684">
        <f t="shared" si="282"/>
        <v>2095.8000000000002</v>
      </c>
      <c r="I4390" s="429" t="s">
        <v>11743</v>
      </c>
      <c r="J4390" s="130" t="s">
        <v>12398</v>
      </c>
      <c r="K4390" s="726">
        <v>41614</v>
      </c>
      <c r="L4390" s="130" t="s">
        <v>89</v>
      </c>
      <c r="M4390" s="519"/>
      <c r="N4390" s="519" t="s">
        <v>89</v>
      </c>
      <c r="O4390" s="1262">
        <v>20131000101962</v>
      </c>
      <c r="Q4390" s="20" t="s">
        <v>13742</v>
      </c>
      <c r="U4390" s="1277"/>
      <c r="V4390" s="519" t="s">
        <v>13579</v>
      </c>
      <c r="W4390" s="91"/>
      <c r="X4390" s="1276">
        <v>41614</v>
      </c>
      <c r="Y4390" s="91"/>
      <c r="Z4390" s="686">
        <v>58870</v>
      </c>
      <c r="AA4390" s="1274">
        <v>41613</v>
      </c>
      <c r="AB4390" s="519" t="s">
        <v>13743</v>
      </c>
      <c r="AC4390" s="91"/>
      <c r="AD4390" s="91"/>
      <c r="AE4390" s="91"/>
      <c r="AF4390" s="57"/>
    </row>
    <row r="4391" spans="1:43" ht="15.75" customHeight="1">
      <c r="A4391" s="1282">
        <v>41572</v>
      </c>
      <c r="B4391" s="519" t="s">
        <v>6060</v>
      </c>
      <c r="C4391" s="1286" t="s">
        <v>13744</v>
      </c>
      <c r="D4391" s="66" t="s">
        <v>13745</v>
      </c>
      <c r="E4391" s="501" t="s">
        <v>13746</v>
      </c>
      <c r="F4391" s="136">
        <v>3</v>
      </c>
      <c r="G4391" s="136">
        <v>176</v>
      </c>
      <c r="H4391" s="712">
        <f t="shared" si="282"/>
        <v>528</v>
      </c>
      <c r="I4391" s="346" t="s">
        <v>86</v>
      </c>
      <c r="J4391" s="1518" t="s">
        <v>13747</v>
      </c>
      <c r="K4391" s="1519">
        <v>41590</v>
      </c>
      <c r="L4391" s="137" t="s">
        <v>89</v>
      </c>
      <c r="M4391" s="66"/>
      <c r="N4391" s="66" t="s">
        <v>89</v>
      </c>
      <c r="O4391" s="1505">
        <v>20131000101885</v>
      </c>
      <c r="Q4391" s="1520" t="s">
        <v>13748</v>
      </c>
      <c r="U4391" s="1277"/>
      <c r="V4391" s="1522" t="s">
        <v>13579</v>
      </c>
      <c r="W4391" s="91"/>
      <c r="X4391" s="1506">
        <v>41589</v>
      </c>
      <c r="Y4391" s="91"/>
      <c r="Z4391" s="1512">
        <v>22431</v>
      </c>
      <c r="AA4391" s="1271">
        <v>41596</v>
      </c>
      <c r="AB4391" s="1517" t="s">
        <v>13749</v>
      </c>
      <c r="AC4391" s="91"/>
      <c r="AD4391" s="91"/>
      <c r="AE4391" s="91"/>
      <c r="AF4391" s="57"/>
    </row>
    <row r="4392" spans="1:43" ht="15" customHeight="1">
      <c r="A4392" s="1282">
        <v>41572</v>
      </c>
      <c r="B4392" s="519" t="s">
        <v>6060</v>
      </c>
      <c r="C4392" s="1286" t="s">
        <v>13744</v>
      </c>
      <c r="D4392" s="66" t="s">
        <v>13745</v>
      </c>
      <c r="E4392" s="501" t="s">
        <v>13750</v>
      </c>
      <c r="F4392" s="136">
        <v>2</v>
      </c>
      <c r="G4392" s="136">
        <v>27</v>
      </c>
      <c r="H4392" s="712">
        <f t="shared" si="282"/>
        <v>54</v>
      </c>
      <c r="I4392" s="346" t="s">
        <v>86</v>
      </c>
      <c r="J4392" s="1498"/>
      <c r="K4392" s="1498"/>
      <c r="L4392" s="137" t="s">
        <v>89</v>
      </c>
      <c r="M4392" s="66"/>
      <c r="N4392" s="66" t="s">
        <v>89</v>
      </c>
      <c r="O4392" s="1498"/>
      <c r="Q4392" s="1498"/>
      <c r="U4392" s="1277"/>
      <c r="V4392" s="1498"/>
      <c r="W4392" s="76"/>
      <c r="X4392" s="1495"/>
      <c r="Y4392" s="53"/>
      <c r="Z4392" s="1495"/>
      <c r="AA4392" s="1271">
        <v>41596</v>
      </c>
      <c r="AB4392" s="1495"/>
      <c r="AC4392" s="53"/>
      <c r="AD4392" s="53"/>
      <c r="AE4392" s="53"/>
      <c r="AF4392" s="53"/>
      <c r="AG4392" s="53"/>
      <c r="AH4392" s="54"/>
      <c r="AI4392" s="54"/>
      <c r="AJ4392" s="55"/>
      <c r="AK4392" s="68"/>
      <c r="AL4392" s="55"/>
      <c r="AM4392" s="55"/>
      <c r="AN4392" s="54"/>
      <c r="AO4392" s="54"/>
      <c r="AP4392" s="54"/>
      <c r="AQ4392" s="54"/>
    </row>
    <row r="4393" spans="1:43" ht="15" customHeight="1">
      <c r="A4393" s="1282">
        <v>41572</v>
      </c>
      <c r="B4393" s="519" t="s">
        <v>6060</v>
      </c>
      <c r="C4393" s="1286" t="s">
        <v>13744</v>
      </c>
      <c r="D4393" s="66" t="s">
        <v>13745</v>
      </c>
      <c r="E4393" s="501" t="s">
        <v>13751</v>
      </c>
      <c r="F4393" s="136">
        <v>2</v>
      </c>
      <c r="G4393" s="136">
        <v>50</v>
      </c>
      <c r="H4393" s="712">
        <f t="shared" si="282"/>
        <v>100</v>
      </c>
      <c r="I4393" s="346" t="s">
        <v>86</v>
      </c>
      <c r="J4393" s="1498"/>
      <c r="K4393" s="1498"/>
      <c r="L4393" s="137" t="s">
        <v>89</v>
      </c>
      <c r="M4393" s="66"/>
      <c r="N4393" s="66" t="s">
        <v>89</v>
      </c>
      <c r="O4393" s="1498"/>
      <c r="Q4393" s="1498"/>
      <c r="U4393" s="1277"/>
      <c r="V4393" s="1498"/>
      <c r="W4393" s="76"/>
      <c r="X4393" s="1495"/>
      <c r="Y4393" s="53"/>
      <c r="Z4393" s="1495"/>
      <c r="AA4393" s="1271">
        <v>41596</v>
      </c>
      <c r="AB4393" s="1495"/>
      <c r="AC4393" s="53"/>
      <c r="AD4393" s="53"/>
      <c r="AE4393" s="53"/>
      <c r="AF4393" s="53"/>
      <c r="AG4393" s="53"/>
      <c r="AH4393" s="54"/>
      <c r="AI4393" s="54"/>
      <c r="AJ4393" s="55"/>
      <c r="AK4393" s="68"/>
      <c r="AL4393" s="55"/>
      <c r="AM4393" s="55"/>
      <c r="AN4393" s="54"/>
      <c r="AO4393" s="54"/>
      <c r="AP4393" s="54"/>
      <c r="AQ4393" s="54"/>
    </row>
    <row r="4394" spans="1:43" ht="15" customHeight="1">
      <c r="A4394" s="1282">
        <v>41572</v>
      </c>
      <c r="B4394" s="519" t="s">
        <v>6060</v>
      </c>
      <c r="C4394" s="1286" t="s">
        <v>13744</v>
      </c>
      <c r="D4394" s="66" t="s">
        <v>13745</v>
      </c>
      <c r="E4394" s="501" t="s">
        <v>3979</v>
      </c>
      <c r="F4394" s="136">
        <v>2</v>
      </c>
      <c r="G4394" s="136">
        <v>56</v>
      </c>
      <c r="H4394" s="712">
        <f t="shared" si="282"/>
        <v>112</v>
      </c>
      <c r="I4394" s="346" t="s">
        <v>86</v>
      </c>
      <c r="J4394" s="1499"/>
      <c r="K4394" s="1499"/>
      <c r="L4394" s="137" t="s">
        <v>89</v>
      </c>
      <c r="M4394" s="66"/>
      <c r="N4394" s="66" t="s">
        <v>89</v>
      </c>
      <c r="O4394" s="1499"/>
      <c r="Q4394" s="1499"/>
      <c r="U4394" s="1277"/>
      <c r="V4394" s="1499"/>
      <c r="W4394" s="76"/>
      <c r="X4394" s="1496"/>
      <c r="Y4394" s="53"/>
      <c r="Z4394" s="1496"/>
      <c r="AA4394" s="1271">
        <v>41596</v>
      </c>
      <c r="AB4394" s="1496"/>
      <c r="AC4394" s="53"/>
      <c r="AD4394" s="53"/>
      <c r="AE4394" s="53"/>
      <c r="AF4394" s="53"/>
      <c r="AG4394" s="53"/>
      <c r="AH4394" s="54"/>
      <c r="AI4394" s="54"/>
      <c r="AJ4394" s="55"/>
      <c r="AK4394" s="68"/>
      <c r="AL4394" s="55"/>
      <c r="AM4394" s="55"/>
      <c r="AN4394" s="54"/>
      <c r="AO4394" s="54"/>
      <c r="AP4394" s="54"/>
      <c r="AQ4394" s="54"/>
    </row>
    <row r="4395" spans="1:43" ht="15" customHeight="1">
      <c r="A4395" s="1269">
        <v>41576</v>
      </c>
      <c r="B4395" s="519" t="s">
        <v>13494</v>
      </c>
      <c r="C4395" s="642" t="s">
        <v>13752</v>
      </c>
      <c r="D4395" s="519" t="s">
        <v>13753</v>
      </c>
      <c r="E4395" s="20" t="s">
        <v>8799</v>
      </c>
      <c r="F4395" s="1262">
        <v>9</v>
      </c>
      <c r="G4395" s="1262">
        <v>31.5</v>
      </c>
      <c r="H4395" s="684">
        <f t="shared" si="282"/>
        <v>283.5</v>
      </c>
      <c r="I4395" s="429" t="s">
        <v>11743</v>
      </c>
      <c r="J4395" s="130" t="s">
        <v>12398</v>
      </c>
      <c r="K4395" s="726">
        <v>41582</v>
      </c>
      <c r="L4395" s="130" t="s">
        <v>89</v>
      </c>
      <c r="M4395" s="519"/>
      <c r="N4395" s="519" t="s">
        <v>89</v>
      </c>
      <c r="O4395" s="1262">
        <v>20131000101940</v>
      </c>
      <c r="Q4395" s="1268" t="s">
        <v>13754</v>
      </c>
      <c r="U4395" s="1277"/>
      <c r="V4395" s="519" t="s">
        <v>13579</v>
      </c>
      <c r="W4395" s="76"/>
      <c r="X4395" s="1276">
        <v>41582</v>
      </c>
      <c r="Y4395" s="53"/>
      <c r="Z4395" s="686">
        <v>7208</v>
      </c>
      <c r="AA4395" s="1274">
        <v>41619</v>
      </c>
      <c r="AB4395" s="519" t="s">
        <v>13712</v>
      </c>
      <c r="AC4395" s="53"/>
      <c r="AD4395" s="53"/>
      <c r="AE4395" s="53"/>
      <c r="AF4395" s="53"/>
      <c r="AG4395" s="53"/>
      <c r="AH4395" s="54"/>
      <c r="AI4395" s="54"/>
      <c r="AJ4395" s="55"/>
      <c r="AK4395" s="68"/>
      <c r="AL4395" s="55"/>
      <c r="AM4395" s="55"/>
      <c r="AN4395" s="54"/>
      <c r="AO4395" s="54"/>
      <c r="AP4395" s="54"/>
      <c r="AQ4395" s="54"/>
    </row>
    <row r="4396" spans="1:43" ht="15" customHeight="1">
      <c r="A4396" s="1269">
        <v>41576</v>
      </c>
      <c r="B4396" s="519" t="s">
        <v>13494</v>
      </c>
      <c r="C4396" s="642" t="s">
        <v>13755</v>
      </c>
      <c r="D4396" s="519" t="s">
        <v>13756</v>
      </c>
      <c r="E4396" s="20" t="s">
        <v>4588</v>
      </c>
      <c r="F4396" s="1262">
        <v>2</v>
      </c>
      <c r="G4396" s="1262">
        <f>360*1.05</f>
        <v>378</v>
      </c>
      <c r="H4396" s="684">
        <f t="shared" si="282"/>
        <v>756</v>
      </c>
      <c r="I4396" s="429" t="s">
        <v>11743</v>
      </c>
      <c r="J4396" s="130" t="s">
        <v>12398</v>
      </c>
      <c r="K4396" s="726">
        <v>41592</v>
      </c>
      <c r="L4396" s="130" t="s">
        <v>89</v>
      </c>
      <c r="M4396" s="519"/>
      <c r="N4396" s="519" t="s">
        <v>89</v>
      </c>
      <c r="O4396" s="1262">
        <v>20131000101892</v>
      </c>
      <c r="Q4396" s="20" t="s">
        <v>13757</v>
      </c>
      <c r="U4396" s="1277"/>
      <c r="V4396" s="519" t="s">
        <v>13579</v>
      </c>
      <c r="W4396" s="76"/>
      <c r="X4396" s="1276">
        <v>41592</v>
      </c>
      <c r="Y4396" s="53"/>
      <c r="Z4396" s="686">
        <v>18980</v>
      </c>
      <c r="AA4396" s="1274">
        <v>41619</v>
      </c>
      <c r="AB4396" s="519" t="s">
        <v>13758</v>
      </c>
      <c r="AC4396" s="53"/>
      <c r="AD4396" s="53"/>
      <c r="AE4396" s="53"/>
      <c r="AF4396" s="53"/>
      <c r="AG4396" s="53"/>
      <c r="AH4396" s="54"/>
      <c r="AI4396" s="54"/>
      <c r="AJ4396" s="55"/>
      <c r="AK4396" s="68"/>
      <c r="AL4396" s="55"/>
      <c r="AM4396" s="55"/>
      <c r="AN4396" s="54"/>
      <c r="AO4396" s="54"/>
      <c r="AP4396" s="54"/>
      <c r="AQ4396" s="54"/>
    </row>
    <row r="4397" spans="1:43" ht="15" customHeight="1">
      <c r="A4397" s="1269">
        <v>41579</v>
      </c>
      <c r="B4397" s="519" t="s">
        <v>13494</v>
      </c>
      <c r="C4397" s="642" t="s">
        <v>13759</v>
      </c>
      <c r="D4397" s="519" t="s">
        <v>13760</v>
      </c>
      <c r="E4397" s="20" t="s">
        <v>13761</v>
      </c>
      <c r="F4397" s="1262">
        <v>16</v>
      </c>
      <c r="G4397" s="1262">
        <f>186*1.05</f>
        <v>195.3</v>
      </c>
      <c r="H4397" s="684">
        <f t="shared" si="282"/>
        <v>3124.8</v>
      </c>
      <c r="I4397" s="429" t="s">
        <v>11743</v>
      </c>
      <c r="J4397" s="130" t="s">
        <v>12398</v>
      </c>
      <c r="K4397" s="726">
        <v>41592</v>
      </c>
      <c r="L4397" s="130" t="s">
        <v>89</v>
      </c>
      <c r="M4397" s="519"/>
      <c r="N4397" s="519" t="s">
        <v>89</v>
      </c>
      <c r="O4397" s="1262">
        <v>20131100102162</v>
      </c>
      <c r="Q4397" s="20" t="s">
        <v>13762</v>
      </c>
      <c r="U4397" s="1277"/>
      <c r="V4397" s="519" t="s">
        <v>13579</v>
      </c>
      <c r="W4397" s="76"/>
      <c r="X4397" s="1276">
        <v>41599</v>
      </c>
      <c r="Y4397" s="53"/>
      <c r="Z4397" s="686">
        <v>84309</v>
      </c>
      <c r="AA4397" s="1274">
        <v>41596</v>
      </c>
      <c r="AB4397" s="519" t="s">
        <v>13763</v>
      </c>
      <c r="AC4397" s="53"/>
      <c r="AD4397" s="53"/>
      <c r="AE4397" s="53"/>
      <c r="AF4397" s="53"/>
      <c r="AG4397" s="53"/>
      <c r="AH4397" s="54"/>
      <c r="AI4397" s="54"/>
      <c r="AJ4397" s="55"/>
      <c r="AK4397" s="68"/>
      <c r="AL4397" s="55"/>
      <c r="AM4397" s="55"/>
      <c r="AN4397" s="54"/>
      <c r="AO4397" s="54"/>
      <c r="AP4397" s="54"/>
      <c r="AQ4397" s="54"/>
    </row>
    <row r="4398" spans="1:43" ht="15" customHeight="1">
      <c r="A4398" s="1269">
        <v>41584</v>
      </c>
      <c r="B4398" s="519" t="s">
        <v>13434</v>
      </c>
      <c r="C4398" s="642" t="s">
        <v>13764</v>
      </c>
      <c r="D4398" s="519"/>
      <c r="E4398" s="20" t="s">
        <v>13765</v>
      </c>
      <c r="F4398" s="1262">
        <v>1</v>
      </c>
      <c r="G4398" s="1262">
        <v>33.6</v>
      </c>
      <c r="H4398" s="684">
        <f t="shared" si="282"/>
        <v>33.6</v>
      </c>
      <c r="I4398" s="429" t="s">
        <v>170</v>
      </c>
      <c r="J4398" s="130" t="s">
        <v>12398</v>
      </c>
      <c r="K4398" s="726">
        <v>41586</v>
      </c>
      <c r="L4398" s="130" t="s">
        <v>89</v>
      </c>
      <c r="M4398" s="519"/>
      <c r="N4398" s="519" t="s">
        <v>89</v>
      </c>
      <c r="O4398" s="1502">
        <v>20131100102338</v>
      </c>
      <c r="Q4398" s="1517" t="s">
        <v>13766</v>
      </c>
      <c r="U4398" s="1277"/>
      <c r="V4398" s="1516" t="s">
        <v>13579</v>
      </c>
      <c r="W4398" s="91"/>
      <c r="X4398" s="1506">
        <v>41586</v>
      </c>
      <c r="Y4398" s="226"/>
      <c r="Z4398" s="1512">
        <v>6900</v>
      </c>
      <c r="AA4398" s="1274">
        <v>41596</v>
      </c>
      <c r="AB4398" s="1516" t="s">
        <v>13712</v>
      </c>
      <c r="AC4398" s="226"/>
      <c r="AD4398" s="226"/>
      <c r="AE4398" s="226"/>
      <c r="AF4398" s="226"/>
      <c r="AG4398" s="226"/>
      <c r="AH4398" s="57"/>
      <c r="AI4398" s="57"/>
      <c r="AJ4398" s="227"/>
      <c r="AK4398" s="228"/>
      <c r="AL4398" s="227"/>
      <c r="AM4398" s="227"/>
      <c r="AN4398" s="57"/>
      <c r="AO4398" s="57"/>
      <c r="AP4398" s="57"/>
      <c r="AQ4398" s="57"/>
    </row>
    <row r="4399" spans="1:43" ht="15" customHeight="1">
      <c r="A4399" s="1269">
        <v>41584</v>
      </c>
      <c r="B4399" s="519" t="s">
        <v>13434</v>
      </c>
      <c r="C4399" s="642" t="s">
        <v>13764</v>
      </c>
      <c r="D4399" s="519"/>
      <c r="E4399" s="20" t="s">
        <v>13767</v>
      </c>
      <c r="F4399" s="1262">
        <v>1</v>
      </c>
      <c r="G4399" s="1262">
        <v>241.5</v>
      </c>
      <c r="H4399" s="684">
        <f t="shared" si="282"/>
        <v>241.5</v>
      </c>
      <c r="I4399" s="429" t="s">
        <v>170</v>
      </c>
      <c r="J4399" s="130" t="s">
        <v>12398</v>
      </c>
      <c r="K4399" s="726">
        <v>41586</v>
      </c>
      <c r="L4399" s="130" t="s">
        <v>89</v>
      </c>
      <c r="M4399" s="519"/>
      <c r="N4399" s="519" t="s">
        <v>89</v>
      </c>
      <c r="O4399" s="1496"/>
      <c r="Q4399" s="1496"/>
      <c r="U4399" s="1277"/>
      <c r="V4399" s="1496"/>
      <c r="W4399" s="236"/>
      <c r="X4399" s="1496"/>
      <c r="Y4399" s="237"/>
      <c r="Z4399" s="1496"/>
      <c r="AA4399" s="1274">
        <v>41596</v>
      </c>
      <c r="AB4399" s="1496"/>
      <c r="AC4399" s="237"/>
      <c r="AD4399" s="237"/>
      <c r="AE4399" s="237"/>
      <c r="AF4399" s="237"/>
      <c r="AG4399" s="237"/>
      <c r="AH4399" s="234"/>
      <c r="AI4399" s="234"/>
      <c r="AJ4399" s="238"/>
      <c r="AK4399" s="239"/>
      <c r="AL4399" s="238"/>
      <c r="AM4399" s="238"/>
      <c r="AN4399" s="234"/>
      <c r="AO4399" s="234"/>
      <c r="AP4399" s="234"/>
      <c r="AQ4399" s="234"/>
    </row>
    <row r="4400" spans="1:43" ht="15" customHeight="1">
      <c r="A4400" s="1269">
        <v>41586</v>
      </c>
      <c r="B4400" s="519" t="s">
        <v>6060</v>
      </c>
      <c r="C4400" s="642" t="s">
        <v>13768</v>
      </c>
      <c r="D4400" s="519" t="s">
        <v>13769</v>
      </c>
      <c r="E4400" s="20" t="s">
        <v>7098</v>
      </c>
      <c r="F4400" s="1262">
        <v>1</v>
      </c>
      <c r="G4400" s="1262">
        <v>33.33</v>
      </c>
      <c r="H4400" s="684">
        <f t="shared" si="282"/>
        <v>33.33</v>
      </c>
      <c r="I4400" s="429" t="s">
        <v>86</v>
      </c>
      <c r="J4400" s="1516" t="s">
        <v>13747</v>
      </c>
      <c r="K4400" s="726">
        <v>41603</v>
      </c>
      <c r="L4400" s="130" t="s">
        <v>89</v>
      </c>
      <c r="M4400" s="519"/>
      <c r="N4400" s="519" t="s">
        <v>89</v>
      </c>
      <c r="O4400" s="1502">
        <v>20131100102625</v>
      </c>
      <c r="Q4400" s="1516" t="s">
        <v>13771</v>
      </c>
      <c r="U4400" s="1277"/>
      <c r="V4400" s="1516" t="s">
        <v>13770</v>
      </c>
      <c r="W4400" s="236"/>
      <c r="X4400" s="1506">
        <v>41603</v>
      </c>
      <c r="Y4400" s="236"/>
      <c r="Z4400" s="1512">
        <v>24301</v>
      </c>
      <c r="AA4400" s="1503">
        <v>41619</v>
      </c>
      <c r="AB4400" s="1517" t="s">
        <v>13772</v>
      </c>
      <c r="AC4400" s="237"/>
      <c r="AD4400" s="244"/>
      <c r="AE4400" s="244"/>
      <c r="AF4400" s="244"/>
      <c r="AG4400" s="244"/>
      <c r="AH4400" s="234"/>
      <c r="AI4400" s="234"/>
      <c r="AJ4400" s="238"/>
      <c r="AK4400" s="239"/>
      <c r="AL4400" s="238"/>
      <c r="AM4400" s="238"/>
      <c r="AN4400" s="234"/>
      <c r="AO4400" s="234"/>
      <c r="AP4400" s="234"/>
      <c r="AQ4400" s="234"/>
    </row>
    <row r="4401" spans="1:43" ht="15" customHeight="1">
      <c r="A4401" s="1269">
        <v>41586</v>
      </c>
      <c r="B4401" s="519" t="s">
        <v>6060</v>
      </c>
      <c r="C4401" s="642" t="s">
        <v>13768</v>
      </c>
      <c r="D4401" s="519" t="s">
        <v>13769</v>
      </c>
      <c r="E4401" s="20" t="s">
        <v>12453</v>
      </c>
      <c r="F4401" s="1262">
        <v>1</v>
      </c>
      <c r="G4401" s="1262">
        <v>346.67</v>
      </c>
      <c r="H4401" s="684">
        <f t="shared" si="282"/>
        <v>346.67</v>
      </c>
      <c r="I4401" s="429" t="s">
        <v>86</v>
      </c>
      <c r="J4401" s="1495"/>
      <c r="K4401" s="726">
        <v>41603</v>
      </c>
      <c r="L4401" s="130" t="s">
        <v>89</v>
      </c>
      <c r="M4401" s="519"/>
      <c r="N4401" s="519" t="s">
        <v>89</v>
      </c>
      <c r="O4401" s="1495"/>
      <c r="Q4401" s="1495"/>
      <c r="U4401" s="1277"/>
      <c r="V4401" s="1495"/>
      <c r="W4401" s="236"/>
      <c r="X4401" s="1495"/>
      <c r="Y4401" s="236"/>
      <c r="Z4401" s="1495"/>
      <c r="AA4401" s="1495"/>
      <c r="AB4401" s="1495"/>
      <c r="AC4401" s="237"/>
      <c r="AD4401" s="244"/>
      <c r="AE4401" s="244"/>
      <c r="AF4401" s="244"/>
      <c r="AG4401" s="244"/>
      <c r="AH4401" s="234"/>
      <c r="AI4401" s="234"/>
      <c r="AJ4401" s="238"/>
      <c r="AK4401" s="239"/>
      <c r="AL4401" s="238"/>
      <c r="AM4401" s="238"/>
      <c r="AN4401" s="234"/>
      <c r="AO4401" s="234"/>
      <c r="AP4401" s="234"/>
      <c r="AQ4401" s="234"/>
    </row>
    <row r="4402" spans="1:43" ht="15" customHeight="1">
      <c r="A4402" s="1269">
        <v>41586</v>
      </c>
      <c r="B4402" s="519" t="s">
        <v>6060</v>
      </c>
      <c r="C4402" s="642" t="s">
        <v>13768</v>
      </c>
      <c r="D4402" s="519" t="s">
        <v>13769</v>
      </c>
      <c r="E4402" s="20" t="s">
        <v>4933</v>
      </c>
      <c r="F4402" s="1262">
        <v>2</v>
      </c>
      <c r="G4402" s="1262">
        <v>488</v>
      </c>
      <c r="H4402" s="684">
        <f t="shared" si="282"/>
        <v>976</v>
      </c>
      <c r="I4402" s="429" t="s">
        <v>86</v>
      </c>
      <c r="J4402" s="1496"/>
      <c r="K4402" s="726">
        <v>41603</v>
      </c>
      <c r="L4402" s="130" t="s">
        <v>89</v>
      </c>
      <c r="M4402" s="519"/>
      <c r="N4402" s="519" t="s">
        <v>89</v>
      </c>
      <c r="O4402" s="1496"/>
      <c r="Q4402" s="1496"/>
      <c r="U4402" s="1277"/>
      <c r="V4402" s="1496"/>
      <c r="W4402" s="236"/>
      <c r="X4402" s="1496"/>
      <c r="Y4402" s="236"/>
      <c r="Z4402" s="1496"/>
      <c r="AA4402" s="1496"/>
      <c r="AB4402" s="1496"/>
      <c r="AC4402" s="237"/>
      <c r="AD4402" s="244"/>
      <c r="AE4402" s="244"/>
      <c r="AF4402" s="244"/>
      <c r="AG4402" s="244"/>
      <c r="AH4402" s="234"/>
      <c r="AI4402" s="234"/>
      <c r="AJ4402" s="238"/>
      <c r="AK4402" s="239"/>
      <c r="AL4402" s="238"/>
      <c r="AM4402" s="238"/>
      <c r="AN4402" s="234"/>
      <c r="AO4402" s="234"/>
      <c r="AP4402" s="234"/>
      <c r="AQ4402" s="234"/>
    </row>
    <row r="4403" spans="1:43" ht="15" customHeight="1">
      <c r="A4403" s="1269">
        <v>41590</v>
      </c>
      <c r="B4403" s="519" t="s">
        <v>13494</v>
      </c>
      <c r="C4403" s="642" t="s">
        <v>13773</v>
      </c>
      <c r="D4403" s="519" t="s">
        <v>13774</v>
      </c>
      <c r="E4403" s="20" t="s">
        <v>13775</v>
      </c>
      <c r="F4403" s="1262">
        <v>14</v>
      </c>
      <c r="G4403" s="1262">
        <f>372*1.05</f>
        <v>390.6</v>
      </c>
      <c r="H4403" s="684">
        <f t="shared" si="282"/>
        <v>5468.4000000000005</v>
      </c>
      <c r="I4403" s="429" t="s">
        <v>11743</v>
      </c>
      <c r="J4403" s="130" t="s">
        <v>12398</v>
      </c>
      <c r="K4403" s="726">
        <v>41628</v>
      </c>
      <c r="L4403" s="130" t="s">
        <v>89</v>
      </c>
      <c r="M4403" s="519"/>
      <c r="N4403" s="519" t="s">
        <v>89</v>
      </c>
      <c r="O4403" s="1262">
        <v>20131100102709</v>
      </c>
      <c r="Q4403" s="519" t="s">
        <v>13776</v>
      </c>
      <c r="U4403" s="1277"/>
      <c r="V4403" s="519" t="s">
        <v>13579</v>
      </c>
      <c r="W4403" s="236"/>
      <c r="X4403" s="1276">
        <v>41628</v>
      </c>
      <c r="Y4403" s="236"/>
      <c r="Z4403" s="686">
        <v>145519</v>
      </c>
      <c r="AA4403" s="1274">
        <v>41621</v>
      </c>
      <c r="AB4403" s="20" t="s">
        <v>13777</v>
      </c>
      <c r="AC4403" s="237"/>
      <c r="AD4403" s="244"/>
      <c r="AE4403" s="244"/>
      <c r="AF4403" s="244"/>
      <c r="AG4403" s="244"/>
      <c r="AH4403" s="234"/>
      <c r="AI4403" s="234"/>
      <c r="AJ4403" s="238"/>
      <c r="AK4403" s="239"/>
      <c r="AL4403" s="238"/>
      <c r="AM4403" s="238"/>
      <c r="AN4403" s="234"/>
      <c r="AO4403" s="234"/>
      <c r="AP4403" s="234"/>
      <c r="AQ4403" s="234"/>
    </row>
    <row r="4404" spans="1:43" ht="15" customHeight="1">
      <c r="A4404" s="1269">
        <v>41590</v>
      </c>
      <c r="B4404" s="519" t="s">
        <v>13494</v>
      </c>
      <c r="C4404" s="642" t="s">
        <v>13778</v>
      </c>
      <c r="D4404" s="519" t="s">
        <v>13779</v>
      </c>
      <c r="E4404" s="20" t="s">
        <v>13741</v>
      </c>
      <c r="F4404" s="1262">
        <v>2</v>
      </c>
      <c r="G4404" s="1262">
        <f>998*1.05</f>
        <v>1047.9000000000001</v>
      </c>
      <c r="H4404" s="684">
        <f t="shared" si="282"/>
        <v>2095.8000000000002</v>
      </c>
      <c r="I4404" s="429" t="s">
        <v>11743</v>
      </c>
      <c r="J4404" s="130" t="s">
        <v>12398</v>
      </c>
      <c r="K4404" s="726">
        <v>41614</v>
      </c>
      <c r="L4404" s="130" t="s">
        <v>89</v>
      </c>
      <c r="M4404" s="519"/>
      <c r="N4404" s="519" t="s">
        <v>89</v>
      </c>
      <c r="O4404" s="1262">
        <v>20131100102708</v>
      </c>
      <c r="Q4404" s="519" t="s">
        <v>13742</v>
      </c>
      <c r="U4404" s="1277"/>
      <c r="V4404" s="519" t="s">
        <v>13579</v>
      </c>
      <c r="W4404" s="236"/>
      <c r="X4404" s="1276">
        <v>41614</v>
      </c>
      <c r="Y4404" s="236"/>
      <c r="Z4404" s="686">
        <v>58870</v>
      </c>
      <c r="AA4404" s="1274">
        <v>41613</v>
      </c>
      <c r="AB4404" s="519" t="s">
        <v>13743</v>
      </c>
      <c r="AC4404" s="237"/>
      <c r="AD4404" s="244"/>
      <c r="AE4404" s="244"/>
      <c r="AF4404" s="244"/>
      <c r="AG4404" s="244"/>
      <c r="AH4404" s="234"/>
      <c r="AI4404" s="234"/>
      <c r="AJ4404" s="238"/>
      <c r="AK4404" s="239"/>
      <c r="AL4404" s="238"/>
      <c r="AM4404" s="238"/>
      <c r="AN4404" s="234"/>
      <c r="AO4404" s="234"/>
      <c r="AP4404" s="234"/>
      <c r="AQ4404" s="234"/>
    </row>
    <row r="4405" spans="1:43" ht="15" customHeight="1">
      <c r="A4405" s="1269">
        <v>41592</v>
      </c>
      <c r="B4405" s="519" t="s">
        <v>1189</v>
      </c>
      <c r="C4405" s="642" t="s">
        <v>13780</v>
      </c>
      <c r="D4405" s="519" t="s">
        <v>13781</v>
      </c>
      <c r="E4405" s="20" t="s">
        <v>13782</v>
      </c>
      <c r="F4405" s="1262">
        <v>50</v>
      </c>
      <c r="G4405" s="1262">
        <v>12.9</v>
      </c>
      <c r="H4405" s="684">
        <f t="shared" si="282"/>
        <v>645</v>
      </c>
      <c r="I4405" s="429" t="s">
        <v>86</v>
      </c>
      <c r="J4405" s="20" t="s">
        <v>11835</v>
      </c>
      <c r="K4405" s="726">
        <v>41599</v>
      </c>
      <c r="L4405" s="130" t="s">
        <v>12379</v>
      </c>
      <c r="M4405" s="726">
        <v>41598</v>
      </c>
      <c r="N4405" s="519" t="s">
        <v>12389</v>
      </c>
      <c r="O4405" s="519"/>
      <c r="Q4405" s="519"/>
      <c r="U4405" s="1500">
        <v>28350</v>
      </c>
      <c r="V4405" s="70" t="s">
        <v>2413</v>
      </c>
      <c r="W4405" s="236"/>
      <c r="X4405" s="1276">
        <v>41597</v>
      </c>
      <c r="Y4405" s="236"/>
      <c r="Z4405" s="686">
        <v>15750</v>
      </c>
      <c r="AA4405" s="1274">
        <v>41625</v>
      </c>
      <c r="AB4405" s="20" t="s">
        <v>13783</v>
      </c>
      <c r="AC4405" s="237"/>
      <c r="AD4405" s="244"/>
      <c r="AE4405" s="244"/>
      <c r="AF4405" s="244"/>
      <c r="AG4405" s="244"/>
      <c r="AH4405" s="234"/>
      <c r="AI4405" s="234"/>
      <c r="AJ4405" s="238"/>
      <c r="AK4405" s="239"/>
      <c r="AL4405" s="238"/>
      <c r="AM4405" s="238"/>
      <c r="AN4405" s="234"/>
      <c r="AO4405" s="234"/>
      <c r="AP4405" s="234"/>
      <c r="AQ4405" s="234"/>
    </row>
    <row r="4406" spans="1:43" ht="15" customHeight="1">
      <c r="A4406" s="1269">
        <v>41592</v>
      </c>
      <c r="B4406" s="519" t="s">
        <v>1189</v>
      </c>
      <c r="C4406" s="642" t="s">
        <v>13780</v>
      </c>
      <c r="D4406" s="519" t="s">
        <v>13784</v>
      </c>
      <c r="E4406" s="20" t="s">
        <v>13782</v>
      </c>
      <c r="F4406" s="1262">
        <v>40</v>
      </c>
      <c r="G4406" s="1262">
        <v>12.9</v>
      </c>
      <c r="H4406" s="684">
        <f t="shared" si="282"/>
        <v>516</v>
      </c>
      <c r="I4406" s="429" t="s">
        <v>86</v>
      </c>
      <c r="J4406" s="20" t="s">
        <v>11835</v>
      </c>
      <c r="K4406" s="726">
        <v>41627</v>
      </c>
      <c r="L4406" s="130" t="s">
        <v>12379</v>
      </c>
      <c r="M4406" s="726">
        <v>41618</v>
      </c>
      <c r="N4406" s="519" t="s">
        <v>12389</v>
      </c>
      <c r="O4406" s="519"/>
      <c r="Q4406" s="519"/>
      <c r="U4406" s="1496"/>
      <c r="V4406" s="70" t="s">
        <v>2413</v>
      </c>
      <c r="W4406" s="236"/>
      <c r="X4406" s="1274">
        <v>41617</v>
      </c>
      <c r="Y4406" s="236"/>
      <c r="Z4406" s="1273">
        <v>12600</v>
      </c>
      <c r="AA4406" s="1274">
        <v>41625</v>
      </c>
      <c r="AB4406" s="20" t="s">
        <v>13785</v>
      </c>
      <c r="AC4406" s="237"/>
      <c r="AD4406" s="244"/>
      <c r="AE4406" s="244"/>
      <c r="AF4406" s="244"/>
      <c r="AG4406" s="244"/>
      <c r="AH4406" s="234"/>
      <c r="AI4406" s="234"/>
      <c r="AJ4406" s="238"/>
      <c r="AK4406" s="239"/>
      <c r="AL4406" s="238"/>
      <c r="AM4406" s="238"/>
      <c r="AN4406" s="234"/>
      <c r="AO4406" s="234"/>
      <c r="AP4406" s="234"/>
      <c r="AQ4406" s="234"/>
    </row>
    <row r="4407" spans="1:43" ht="15" customHeight="1">
      <c r="A4407" s="1269">
        <v>41593</v>
      </c>
      <c r="B4407" s="519" t="s">
        <v>13494</v>
      </c>
      <c r="C4407" s="642" t="s">
        <v>13786</v>
      </c>
      <c r="D4407" s="519" t="s">
        <v>13787</v>
      </c>
      <c r="E4407" s="20" t="s">
        <v>13788</v>
      </c>
      <c r="F4407" s="1262">
        <v>3</v>
      </c>
      <c r="G4407" s="1262">
        <f>263*1.05</f>
        <v>276.15000000000003</v>
      </c>
      <c r="H4407" s="684">
        <f t="shared" si="282"/>
        <v>828.45</v>
      </c>
      <c r="I4407" s="429" t="s">
        <v>11743</v>
      </c>
      <c r="J4407" s="130" t="s">
        <v>12398</v>
      </c>
      <c r="K4407" s="726">
        <v>41599</v>
      </c>
      <c r="L4407" s="130" t="s">
        <v>89</v>
      </c>
      <c r="M4407" s="519"/>
      <c r="N4407" s="519" t="s">
        <v>89</v>
      </c>
      <c r="O4407" s="1262">
        <v>20131100102833</v>
      </c>
      <c r="Q4407" s="519" t="s">
        <v>13789</v>
      </c>
      <c r="U4407" s="1277"/>
      <c r="V4407" s="519" t="s">
        <v>13579</v>
      </c>
      <c r="W4407" s="236"/>
      <c r="X4407" s="1276">
        <v>41599</v>
      </c>
      <c r="Y4407" s="236"/>
      <c r="Z4407" s="686">
        <v>21759</v>
      </c>
      <c r="AA4407" s="1274">
        <v>41619</v>
      </c>
      <c r="AB4407" s="20" t="s">
        <v>13763</v>
      </c>
      <c r="AC4407" s="237"/>
      <c r="AD4407" s="244"/>
      <c r="AE4407" s="244"/>
      <c r="AF4407" s="244"/>
      <c r="AG4407" s="244"/>
      <c r="AH4407" s="234"/>
      <c r="AI4407" s="234"/>
      <c r="AJ4407" s="238"/>
      <c r="AK4407" s="239"/>
      <c r="AL4407" s="238"/>
      <c r="AM4407" s="238"/>
      <c r="AN4407" s="234"/>
      <c r="AO4407" s="234"/>
      <c r="AP4407" s="234"/>
      <c r="AQ4407" s="234"/>
    </row>
    <row r="4408" spans="1:43" ht="15" customHeight="1">
      <c r="A4408" s="1269">
        <v>41592</v>
      </c>
      <c r="B4408" s="519" t="s">
        <v>665</v>
      </c>
      <c r="C4408" s="519"/>
      <c r="D4408" s="519" t="s">
        <v>13790</v>
      </c>
      <c r="E4408" s="20" t="s">
        <v>8353</v>
      </c>
      <c r="F4408" s="1262">
        <v>1</v>
      </c>
      <c r="G4408" s="1262">
        <v>377</v>
      </c>
      <c r="H4408" s="684">
        <f t="shared" si="282"/>
        <v>377</v>
      </c>
      <c r="I4408" s="429" t="s">
        <v>8429</v>
      </c>
      <c r="J4408" s="130" t="s">
        <v>13080</v>
      </c>
      <c r="K4408" s="726">
        <v>41599</v>
      </c>
      <c r="L4408" s="130" t="s">
        <v>89</v>
      </c>
      <c r="M4408" s="519"/>
      <c r="N4408" s="519" t="s">
        <v>89</v>
      </c>
      <c r="O4408" s="1262">
        <v>20131100102789</v>
      </c>
      <c r="Q4408" s="519" t="s">
        <v>13791</v>
      </c>
      <c r="U4408" s="1277"/>
      <c r="V4408" s="519" t="s">
        <v>13579</v>
      </c>
      <c r="W4408" s="236"/>
      <c r="X4408" s="1276">
        <v>41599</v>
      </c>
      <c r="Y4408" s="236"/>
      <c r="Z4408" s="686">
        <v>10539</v>
      </c>
      <c r="AA4408" s="1274">
        <v>41619</v>
      </c>
      <c r="AB4408" s="20" t="s">
        <v>13792</v>
      </c>
      <c r="AC4408" s="237"/>
      <c r="AD4408" s="244"/>
      <c r="AE4408" s="244"/>
      <c r="AF4408" s="244"/>
      <c r="AG4408" s="244"/>
      <c r="AH4408" s="234"/>
      <c r="AI4408" s="234"/>
      <c r="AJ4408" s="238"/>
      <c r="AK4408" s="239"/>
      <c r="AL4408" s="238"/>
      <c r="AM4408" s="238"/>
      <c r="AN4408" s="234"/>
      <c r="AO4408" s="234"/>
      <c r="AP4408" s="234"/>
      <c r="AQ4408" s="234"/>
    </row>
    <row r="4409" spans="1:43" ht="15" customHeight="1">
      <c r="A4409" s="1269">
        <v>41605</v>
      </c>
      <c r="B4409" s="519" t="s">
        <v>13691</v>
      </c>
      <c r="C4409" s="642" t="s">
        <v>12370</v>
      </c>
      <c r="D4409" s="519" t="s">
        <v>12371</v>
      </c>
      <c r="E4409" s="20" t="s">
        <v>4586</v>
      </c>
      <c r="F4409" s="1262">
        <v>50</v>
      </c>
      <c r="G4409" s="1262">
        <v>100.8</v>
      </c>
      <c r="H4409" s="684">
        <f t="shared" si="282"/>
        <v>5040</v>
      </c>
      <c r="I4409" s="429" t="s">
        <v>8429</v>
      </c>
      <c r="J4409" s="130" t="s">
        <v>12372</v>
      </c>
      <c r="K4409" s="726">
        <v>41620</v>
      </c>
      <c r="L4409" s="130" t="s">
        <v>89</v>
      </c>
      <c r="M4409" s="519"/>
      <c r="N4409" s="519" t="s">
        <v>89</v>
      </c>
      <c r="O4409" s="684">
        <v>20131100103404</v>
      </c>
      <c r="Q4409" s="1268" t="s">
        <v>13793</v>
      </c>
      <c r="U4409" s="1277"/>
      <c r="V4409" s="519" t="s">
        <v>13579</v>
      </c>
      <c r="W4409" s="236"/>
      <c r="X4409" s="1276">
        <v>41620</v>
      </c>
      <c r="Y4409" s="236"/>
      <c r="Z4409" s="686">
        <v>130316</v>
      </c>
      <c r="AA4409" s="1274">
        <v>41619</v>
      </c>
      <c r="AB4409" s="20" t="s">
        <v>13794</v>
      </c>
      <c r="AC4409" s="237"/>
      <c r="AD4409" s="244"/>
      <c r="AE4409" s="244"/>
      <c r="AF4409" s="244"/>
      <c r="AG4409" s="244"/>
      <c r="AH4409" s="234"/>
      <c r="AI4409" s="234"/>
      <c r="AJ4409" s="238"/>
      <c r="AK4409" s="239"/>
      <c r="AL4409" s="238"/>
      <c r="AM4409" s="238"/>
      <c r="AN4409" s="234"/>
      <c r="AO4409" s="234"/>
      <c r="AP4409" s="234"/>
      <c r="AQ4409" s="234"/>
    </row>
    <row r="4410" spans="1:43" ht="15" customHeight="1">
      <c r="A4410" s="1269">
        <v>41605</v>
      </c>
      <c r="B4410" s="519" t="s">
        <v>13691</v>
      </c>
      <c r="C4410" s="642" t="s">
        <v>12370</v>
      </c>
      <c r="D4410" s="519" t="s">
        <v>13795</v>
      </c>
      <c r="E4410" s="20" t="s">
        <v>12023</v>
      </c>
      <c r="F4410" s="1262">
        <v>50</v>
      </c>
      <c r="G4410" s="1262">
        <v>766.5</v>
      </c>
      <c r="H4410" s="684">
        <f t="shared" si="282"/>
        <v>38325</v>
      </c>
      <c r="I4410" s="429" t="s">
        <v>8429</v>
      </c>
      <c r="J4410" s="429" t="s">
        <v>13796</v>
      </c>
      <c r="K4410" s="726">
        <v>41634</v>
      </c>
      <c r="L4410" s="130" t="s">
        <v>89</v>
      </c>
      <c r="M4410" s="519"/>
      <c r="N4410" s="519" t="s">
        <v>89</v>
      </c>
      <c r="O4410" s="684">
        <v>20131100103404</v>
      </c>
      <c r="Q4410" s="1266" t="s">
        <v>13797</v>
      </c>
      <c r="U4410" s="1277"/>
      <c r="V4410" s="519" t="s">
        <v>13579</v>
      </c>
      <c r="W4410" s="236"/>
      <c r="X4410" s="1276">
        <v>41634</v>
      </c>
      <c r="Y4410" s="236"/>
      <c r="Z4410" s="686">
        <v>922912</v>
      </c>
      <c r="AA4410" s="1274">
        <v>41632</v>
      </c>
      <c r="AB4410" s="20" t="s">
        <v>13798</v>
      </c>
      <c r="AC4410" s="237"/>
      <c r="AD4410" s="244"/>
      <c r="AE4410" s="244"/>
      <c r="AF4410" s="244"/>
      <c r="AG4410" s="244"/>
      <c r="AH4410" s="234"/>
      <c r="AI4410" s="234"/>
      <c r="AJ4410" s="238"/>
      <c r="AK4410" s="239"/>
      <c r="AL4410" s="238"/>
      <c r="AM4410" s="238"/>
      <c r="AN4410" s="234"/>
      <c r="AO4410" s="234"/>
      <c r="AP4410" s="234"/>
      <c r="AQ4410" s="234"/>
    </row>
    <row r="4411" spans="1:43" ht="15" customHeight="1">
      <c r="A4411" s="1282">
        <v>41612</v>
      </c>
      <c r="B4411" s="66" t="s">
        <v>13494</v>
      </c>
      <c r="C4411" s="1286" t="s">
        <v>13799</v>
      </c>
      <c r="D4411" s="66" t="s">
        <v>13800</v>
      </c>
      <c r="E4411" s="20" t="s">
        <v>10820</v>
      </c>
      <c r="F4411" s="136">
        <v>4</v>
      </c>
      <c r="G4411" s="712">
        <f>70*1.05</f>
        <v>73.5</v>
      </c>
      <c r="H4411" s="712">
        <f t="shared" si="282"/>
        <v>294</v>
      </c>
      <c r="I4411" s="346" t="s">
        <v>11743</v>
      </c>
      <c r="J4411" s="137" t="s">
        <v>12398</v>
      </c>
      <c r="K4411" s="213">
        <v>41620</v>
      </c>
      <c r="L4411" s="137" t="s">
        <v>89</v>
      </c>
      <c r="M4411" s="66"/>
      <c r="N4411" s="66" t="s">
        <v>89</v>
      </c>
      <c r="O4411" s="136">
        <v>20131200105538</v>
      </c>
      <c r="Q4411" s="66" t="s">
        <v>13801</v>
      </c>
      <c r="U4411" s="159"/>
      <c r="V4411" s="66" t="s">
        <v>13579</v>
      </c>
      <c r="W4411" s="236"/>
      <c r="X4411" s="560">
        <v>41620</v>
      </c>
      <c r="Y4411" s="236"/>
      <c r="Z4411" s="719">
        <v>7943</v>
      </c>
      <c r="AA4411" s="1271">
        <v>41619</v>
      </c>
      <c r="AB4411" s="501" t="s">
        <v>13794</v>
      </c>
      <c r="AC4411" s="237"/>
      <c r="AD4411" s="244"/>
      <c r="AE4411" s="244"/>
      <c r="AF4411" s="244"/>
      <c r="AG4411" s="244"/>
      <c r="AH4411" s="234"/>
      <c r="AI4411" s="234"/>
      <c r="AJ4411" s="238"/>
      <c r="AK4411" s="239"/>
      <c r="AL4411" s="238"/>
      <c r="AM4411" s="238"/>
      <c r="AN4411" s="234"/>
      <c r="AO4411" s="234"/>
      <c r="AP4411" s="234"/>
      <c r="AQ4411" s="234"/>
    </row>
    <row r="4412" spans="1:43" ht="15" customHeight="1">
      <c r="A4412" s="1269">
        <v>41613</v>
      </c>
      <c r="B4412" s="519" t="s">
        <v>1189</v>
      </c>
      <c r="C4412" s="642" t="s">
        <v>13802</v>
      </c>
      <c r="D4412" s="519" t="s">
        <v>13803</v>
      </c>
      <c r="E4412" s="20" t="s">
        <v>13804</v>
      </c>
      <c r="F4412" s="1262">
        <v>3</v>
      </c>
      <c r="G4412" s="1288">
        <v>123.2</v>
      </c>
      <c r="H4412" s="684">
        <f t="shared" si="282"/>
        <v>369.6</v>
      </c>
      <c r="I4412" s="429" t="s">
        <v>86</v>
      </c>
      <c r="J4412" s="130" t="s">
        <v>11835</v>
      </c>
      <c r="K4412" s="726">
        <v>41627</v>
      </c>
      <c r="L4412" s="130" t="s">
        <v>89</v>
      </c>
      <c r="M4412" s="726">
        <v>41624</v>
      </c>
      <c r="N4412" s="519" t="s">
        <v>89</v>
      </c>
      <c r="O4412" s="1262">
        <v>20131200105567</v>
      </c>
      <c r="Q4412" s="519" t="s">
        <v>13805</v>
      </c>
      <c r="U4412" s="1277"/>
      <c r="V4412" s="519" t="s">
        <v>13579</v>
      </c>
      <c r="W4412" s="52"/>
      <c r="X4412" s="1274">
        <v>41624</v>
      </c>
      <c r="Y4412" s="53"/>
      <c r="Z4412" s="1273">
        <v>10891</v>
      </c>
      <c r="AA4412" s="1274">
        <v>41621</v>
      </c>
      <c r="AB4412" s="20" t="s">
        <v>13785</v>
      </c>
      <c r="AC4412" s="53"/>
      <c r="AD4412" s="53"/>
      <c r="AE4412" s="53"/>
      <c r="AF4412" s="53"/>
      <c r="AG4412" s="54"/>
      <c r="AH4412" s="54"/>
      <c r="AI4412" s="55"/>
      <c r="AJ4412" s="68"/>
      <c r="AK4412" s="55"/>
      <c r="AL4412" s="55"/>
      <c r="AM4412" s="54"/>
      <c r="AN4412" s="54"/>
      <c r="AO4412" s="54"/>
      <c r="AP4412" s="54"/>
      <c r="AQ4412" s="57"/>
    </row>
    <row r="4413" spans="1:43" ht="15" customHeight="1">
      <c r="A4413" s="1269">
        <v>41618</v>
      </c>
      <c r="B4413" s="519" t="s">
        <v>1189</v>
      </c>
      <c r="C4413" s="642" t="s">
        <v>12386</v>
      </c>
      <c r="D4413" s="519" t="s">
        <v>13806</v>
      </c>
      <c r="E4413" s="20" t="s">
        <v>12387</v>
      </c>
      <c r="F4413" s="1262">
        <v>136</v>
      </c>
      <c r="G4413" s="684">
        <v>37.5</v>
      </c>
      <c r="H4413" s="684">
        <f t="shared" si="282"/>
        <v>5100</v>
      </c>
      <c r="I4413" s="429" t="s">
        <v>86</v>
      </c>
      <c r="J4413" s="130" t="s">
        <v>11835</v>
      </c>
      <c r="K4413" s="726">
        <v>41627</v>
      </c>
      <c r="L4413" s="130" t="s">
        <v>12388</v>
      </c>
      <c r="M4413" s="726">
        <v>41625</v>
      </c>
      <c r="N4413" s="519" t="s">
        <v>12389</v>
      </c>
      <c r="O4413" s="519"/>
      <c r="Q4413" s="519"/>
      <c r="U4413" s="1273">
        <v>142800</v>
      </c>
      <c r="V4413" s="70" t="s">
        <v>2413</v>
      </c>
      <c r="W4413" s="52"/>
      <c r="X4413" s="1274">
        <v>41624</v>
      </c>
      <c r="Y4413" s="53"/>
      <c r="Z4413" s="1273">
        <v>142800</v>
      </c>
      <c r="AA4413" s="1276">
        <v>41656</v>
      </c>
      <c r="AB4413" s="20" t="s">
        <v>13785</v>
      </c>
      <c r="AC4413" s="53"/>
      <c r="AD4413" s="53"/>
      <c r="AE4413" s="53"/>
      <c r="AF4413" s="53"/>
      <c r="AG4413" s="54"/>
      <c r="AH4413" s="54"/>
      <c r="AI4413" s="55"/>
      <c r="AJ4413" s="68"/>
      <c r="AK4413" s="55"/>
      <c r="AL4413" s="55"/>
      <c r="AM4413" s="54"/>
      <c r="AN4413" s="54"/>
      <c r="AO4413" s="54"/>
      <c r="AP4413" s="54"/>
      <c r="AQ4413" s="57"/>
    </row>
    <row r="4414" spans="1:43" ht="15" customHeight="1">
      <c r="A4414" s="1290">
        <v>40912</v>
      </c>
      <c r="B4414" s="1291" t="s">
        <v>1189</v>
      </c>
      <c r="C4414" s="66"/>
      <c r="D4414" s="1291" t="s">
        <v>13807</v>
      </c>
      <c r="E4414" s="1291" t="s">
        <v>13808</v>
      </c>
      <c r="F4414" s="1292">
        <v>25</v>
      </c>
      <c r="G4414" s="1292">
        <v>67</v>
      </c>
      <c r="H4414" s="1293">
        <f t="shared" ref="H4414:H4452" si="283">F4414*G4414</f>
        <v>1675</v>
      </c>
      <c r="J4414" s="66"/>
      <c r="K4414" s="1294">
        <v>40924</v>
      </c>
      <c r="L4414" s="66"/>
      <c r="N4414" s="1283" t="s">
        <v>13809</v>
      </c>
      <c r="O4414" s="1283" t="s">
        <v>13810</v>
      </c>
      <c r="Q4414" s="1296">
        <v>43000</v>
      </c>
      <c r="U4414" s="1387"/>
      <c r="V4414" s="1295" t="s">
        <v>13811</v>
      </c>
      <c r="W4414" s="52"/>
      <c r="X4414" s="1297">
        <v>40918</v>
      </c>
      <c r="Y4414" s="53"/>
      <c r="Z4414" s="1296">
        <v>43000</v>
      </c>
      <c r="AA4414" s="1291" t="s">
        <v>13564</v>
      </c>
      <c r="AB4414" s="1291" t="s">
        <v>13812</v>
      </c>
      <c r="AC4414" s="53"/>
      <c r="AD4414" s="53"/>
      <c r="AE4414" s="53"/>
      <c r="AF4414" s="53"/>
      <c r="AG4414" s="54"/>
      <c r="AH4414" s="54"/>
      <c r="AI4414" s="55"/>
      <c r="AJ4414" s="68"/>
      <c r="AK4414" s="55"/>
      <c r="AL4414" s="55"/>
      <c r="AM4414" s="54"/>
      <c r="AN4414" s="54"/>
      <c r="AO4414" s="54"/>
      <c r="AP4414" s="54"/>
      <c r="AQ4414" s="57"/>
    </row>
    <row r="4415" spans="1:43" ht="15" customHeight="1">
      <c r="A4415" s="1290">
        <v>40912</v>
      </c>
      <c r="B4415" s="1291" t="s">
        <v>1189</v>
      </c>
      <c r="C4415" s="66"/>
      <c r="D4415" s="1291" t="s">
        <v>13807</v>
      </c>
      <c r="E4415" s="1291" t="s">
        <v>8425</v>
      </c>
      <c r="F4415" s="1292">
        <v>1</v>
      </c>
      <c r="G4415" s="1292">
        <v>193</v>
      </c>
      <c r="H4415" s="1293">
        <f t="shared" si="283"/>
        <v>193</v>
      </c>
      <c r="J4415" s="66"/>
      <c r="K4415" s="1294">
        <v>40924</v>
      </c>
      <c r="L4415" s="66"/>
      <c r="N4415" s="1283" t="s">
        <v>920</v>
      </c>
      <c r="O4415" s="1283" t="s">
        <v>13810</v>
      </c>
      <c r="Q4415" s="1298"/>
      <c r="U4415" s="1387"/>
      <c r="V4415" s="66"/>
      <c r="W4415" s="225"/>
      <c r="X4415" s="1299"/>
      <c r="Y4415" s="226"/>
      <c r="Z4415" s="1300"/>
      <c r="AA4415" s="66"/>
      <c r="AB4415" s="1291" t="s">
        <v>13813</v>
      </c>
      <c r="AC4415" s="226"/>
      <c r="AD4415" s="226"/>
      <c r="AE4415" s="226"/>
      <c r="AF4415" s="226"/>
      <c r="AG4415" s="57"/>
      <c r="AH4415" s="57"/>
      <c r="AI4415" s="227"/>
      <c r="AJ4415" s="228"/>
      <c r="AK4415" s="227"/>
      <c r="AL4415" s="227"/>
      <c r="AM4415" s="57"/>
      <c r="AN4415" s="57"/>
      <c r="AO4415" s="57"/>
      <c r="AP4415" s="57"/>
      <c r="AQ4415" s="57"/>
    </row>
    <row r="4416" spans="1:43" ht="15" customHeight="1">
      <c r="A4416" s="1290">
        <v>40918</v>
      </c>
      <c r="B4416" s="1291" t="s">
        <v>10673</v>
      </c>
      <c r="C4416" s="1291" t="s">
        <v>13814</v>
      </c>
      <c r="D4416" s="1291" t="s">
        <v>13815</v>
      </c>
      <c r="E4416" s="1291" t="s">
        <v>11324</v>
      </c>
      <c r="F4416" s="1292">
        <v>9</v>
      </c>
      <c r="G4416" s="1292">
        <v>92</v>
      </c>
      <c r="H4416" s="1293">
        <f t="shared" si="283"/>
        <v>828</v>
      </c>
      <c r="J4416" s="66"/>
      <c r="K4416" s="1294">
        <v>40924</v>
      </c>
      <c r="L4416" s="66"/>
      <c r="N4416" s="1283" t="s">
        <v>89</v>
      </c>
      <c r="O4416" s="66"/>
      <c r="Q4416" s="1296">
        <v>24098</v>
      </c>
      <c r="U4416" s="1387"/>
      <c r="V4416" s="1301" t="s">
        <v>13414</v>
      </c>
      <c r="W4416" s="236"/>
      <c r="X4416" s="1297">
        <v>40919</v>
      </c>
      <c r="Y4416" s="237"/>
      <c r="Z4416" s="1302">
        <v>24098</v>
      </c>
      <c r="AA4416" s="1291" t="s">
        <v>13564</v>
      </c>
      <c r="AB4416" s="1291" t="s">
        <v>13816</v>
      </c>
      <c r="AC4416" s="237"/>
      <c r="AD4416" s="237"/>
      <c r="AE4416" s="237"/>
      <c r="AF4416" s="237"/>
      <c r="AG4416" s="234"/>
      <c r="AH4416" s="234"/>
      <c r="AI4416" s="238"/>
      <c r="AJ4416" s="239"/>
      <c r="AK4416" s="238"/>
      <c r="AL4416" s="238"/>
      <c r="AM4416" s="234"/>
      <c r="AN4416" s="234"/>
      <c r="AO4416" s="234"/>
      <c r="AP4416" s="234"/>
      <c r="AQ4416" s="234"/>
    </row>
    <row r="4417" spans="1:43" ht="15" customHeight="1">
      <c r="A4417" s="1290">
        <v>40918</v>
      </c>
      <c r="B4417" s="1291" t="s">
        <v>10673</v>
      </c>
      <c r="C4417" s="1291" t="s">
        <v>13814</v>
      </c>
      <c r="D4417" s="1291" t="s">
        <v>13815</v>
      </c>
      <c r="E4417" s="1291" t="s">
        <v>13817</v>
      </c>
      <c r="F4417" s="1292">
        <v>10</v>
      </c>
      <c r="G4417" s="1292">
        <v>20</v>
      </c>
      <c r="H4417" s="1293">
        <f t="shared" si="283"/>
        <v>200</v>
      </c>
      <c r="J4417" s="66"/>
      <c r="K4417" s="1294">
        <v>40924</v>
      </c>
      <c r="L4417" s="66"/>
      <c r="N4417" s="1283" t="s">
        <v>302</v>
      </c>
      <c r="O4417" s="66"/>
      <c r="Q4417" s="1296">
        <v>4725</v>
      </c>
      <c r="R4417" s="91"/>
      <c r="U4417" s="91"/>
      <c r="V4417" s="1301" t="s">
        <v>13471</v>
      </c>
      <c r="W4417" s="236"/>
      <c r="X4417" s="1297">
        <v>40918</v>
      </c>
      <c r="Y4417" s="237"/>
      <c r="Z4417" s="1302">
        <v>4725</v>
      </c>
      <c r="AA4417" s="1291" t="s">
        <v>13564</v>
      </c>
      <c r="AB4417" s="1291" t="s">
        <v>13816</v>
      </c>
      <c r="AC4417" s="237"/>
      <c r="AD4417" s="237"/>
      <c r="AE4417" s="237"/>
      <c r="AF4417" s="237"/>
      <c r="AG4417" s="234"/>
      <c r="AH4417" s="234"/>
      <c r="AI4417" s="238"/>
      <c r="AJ4417" s="239"/>
      <c r="AK4417" s="238"/>
      <c r="AL4417" s="238"/>
      <c r="AM4417" s="234"/>
      <c r="AN4417" s="234"/>
      <c r="AO4417" s="234"/>
      <c r="AP4417" s="234"/>
      <c r="AQ4417" s="234"/>
    </row>
    <row r="4418" spans="1:43" ht="15" customHeight="1">
      <c r="A4418" s="1290">
        <v>40933</v>
      </c>
      <c r="B4418" s="1291" t="s">
        <v>13818</v>
      </c>
      <c r="C4418" s="1291" t="s">
        <v>13819</v>
      </c>
      <c r="D4418" s="1291" t="s">
        <v>13820</v>
      </c>
      <c r="E4418" s="1291" t="s">
        <v>13821</v>
      </c>
      <c r="F4418" s="1292">
        <v>1</v>
      </c>
      <c r="G4418" s="1292">
        <v>848</v>
      </c>
      <c r="H4418" s="1293">
        <f t="shared" si="283"/>
        <v>848</v>
      </c>
      <c r="J4418" s="66"/>
      <c r="K4418" s="1303" t="s">
        <v>13822</v>
      </c>
      <c r="L4418" s="66"/>
      <c r="N4418" s="1283" t="s">
        <v>89</v>
      </c>
      <c r="O4418" s="66"/>
      <c r="Q4418" s="1296">
        <v>20318</v>
      </c>
      <c r="R4418" s="91"/>
      <c r="S4418" s="91"/>
      <c r="V4418" s="1301" t="s">
        <v>13414</v>
      </c>
      <c r="W4418" s="236"/>
      <c r="X4418" s="1297">
        <v>40939</v>
      </c>
      <c r="Y4418" s="237"/>
      <c r="Z4418" s="1302">
        <v>20318</v>
      </c>
      <c r="AA4418" s="1291" t="s">
        <v>13564</v>
      </c>
      <c r="AB4418" s="1291" t="s">
        <v>13823</v>
      </c>
      <c r="AC4418" s="237"/>
      <c r="AD4418" s="237"/>
      <c r="AE4418" s="237"/>
      <c r="AF4418" s="237"/>
      <c r="AG4418" s="234"/>
      <c r="AH4418" s="234"/>
      <c r="AI4418" s="238"/>
      <c r="AJ4418" s="239"/>
      <c r="AK4418" s="238"/>
      <c r="AL4418" s="238"/>
      <c r="AM4418" s="234"/>
      <c r="AN4418" s="234"/>
      <c r="AO4418" s="234"/>
      <c r="AP4418" s="234"/>
      <c r="AQ4418" s="234"/>
    </row>
    <row r="4419" spans="1:43" ht="15" customHeight="1">
      <c r="A4419" s="1290">
        <v>40933</v>
      </c>
      <c r="B4419" s="1291" t="s">
        <v>13818</v>
      </c>
      <c r="C4419" s="1291" t="s">
        <v>13819</v>
      </c>
      <c r="D4419" s="1291" t="s">
        <v>13820</v>
      </c>
      <c r="E4419" s="1291" t="s">
        <v>13824</v>
      </c>
      <c r="F4419" s="1292">
        <v>1</v>
      </c>
      <c r="G4419" s="1292">
        <v>112</v>
      </c>
      <c r="H4419" s="1293">
        <f t="shared" si="283"/>
        <v>112</v>
      </c>
      <c r="J4419" s="66"/>
      <c r="K4419" s="1303" t="s">
        <v>13822</v>
      </c>
      <c r="L4419" s="66"/>
      <c r="N4419" s="1283" t="s">
        <v>2043</v>
      </c>
      <c r="O4419" s="66"/>
      <c r="Q4419" s="1296">
        <v>2672</v>
      </c>
      <c r="R4419" s="91"/>
      <c r="S4419" s="91"/>
      <c r="T4419" s="91"/>
      <c r="U4419" s="236"/>
      <c r="V4419" s="1301" t="s">
        <v>13825</v>
      </c>
      <c r="W4419" s="236"/>
      <c r="X4419" s="1297">
        <v>40939</v>
      </c>
      <c r="Y4419" s="236"/>
      <c r="Z4419" s="1302">
        <v>2672</v>
      </c>
      <c r="AA4419" s="1291" t="s">
        <v>13564</v>
      </c>
      <c r="AB4419" s="1291" t="s">
        <v>13823</v>
      </c>
      <c r="AC4419" s="244"/>
      <c r="AD4419" s="244"/>
      <c r="AE4419" s="244"/>
      <c r="AF4419" s="244"/>
      <c r="AG4419" s="234"/>
      <c r="AH4419" s="234"/>
      <c r="AI4419" s="238"/>
      <c r="AJ4419" s="239"/>
      <c r="AK4419" s="238"/>
      <c r="AL4419" s="238"/>
      <c r="AM4419" s="234"/>
      <c r="AN4419" s="234"/>
      <c r="AO4419" s="234"/>
      <c r="AP4419" s="234"/>
      <c r="AQ4419" s="234"/>
    </row>
    <row r="4420" spans="1:43" ht="15" customHeight="1">
      <c r="A4420" s="1290">
        <v>40947</v>
      </c>
      <c r="B4420" s="1291" t="s">
        <v>1189</v>
      </c>
      <c r="C4420" s="1291" t="s">
        <v>13826</v>
      </c>
      <c r="D4420" s="1291" t="s">
        <v>13827</v>
      </c>
      <c r="E4420" s="1291" t="s">
        <v>12387</v>
      </c>
      <c r="F4420" s="1292">
        <v>200</v>
      </c>
      <c r="G4420" s="1292">
        <v>37.5</v>
      </c>
      <c r="H4420" s="1293">
        <f t="shared" si="283"/>
        <v>7500</v>
      </c>
      <c r="J4420" s="66"/>
      <c r="K4420" s="1304">
        <v>41019</v>
      </c>
      <c r="L4420" s="66"/>
      <c r="N4420" s="1283" t="s">
        <v>12389</v>
      </c>
      <c r="O4420" s="1305" t="s">
        <v>13828</v>
      </c>
      <c r="Q4420" s="1292">
        <v>210000</v>
      </c>
      <c r="R4420" s="91"/>
      <c r="S4420" s="91"/>
      <c r="T4420" s="91"/>
      <c r="U4420" s="236"/>
      <c r="V4420" s="1301" t="s">
        <v>2413</v>
      </c>
      <c r="W4420" s="236"/>
      <c r="X4420" s="1306">
        <v>41018</v>
      </c>
      <c r="Y4420" s="236"/>
      <c r="Z4420" s="1307">
        <v>210000</v>
      </c>
      <c r="AA4420" s="1291" t="s">
        <v>13829</v>
      </c>
      <c r="AB4420" s="1291" t="s">
        <v>13830</v>
      </c>
      <c r="AC4420" s="244"/>
      <c r="AD4420" s="244"/>
      <c r="AE4420" s="244"/>
      <c r="AF4420" s="244"/>
      <c r="AG4420" s="234"/>
      <c r="AH4420" s="234"/>
      <c r="AI4420" s="238"/>
      <c r="AJ4420" s="239"/>
      <c r="AK4420" s="238"/>
      <c r="AL4420" s="238"/>
      <c r="AM4420" s="234"/>
      <c r="AN4420" s="234"/>
      <c r="AO4420" s="234"/>
      <c r="AP4420" s="234"/>
      <c r="AQ4420" s="234"/>
    </row>
    <row r="4421" spans="1:43" ht="15" customHeight="1">
      <c r="A4421" s="1290">
        <v>40947</v>
      </c>
      <c r="B4421" s="1291" t="s">
        <v>1189</v>
      </c>
      <c r="C4421" s="1291" t="s">
        <v>13831</v>
      </c>
      <c r="D4421" s="1291" t="s">
        <v>13832</v>
      </c>
      <c r="E4421" s="1291" t="s">
        <v>12387</v>
      </c>
      <c r="F4421" s="1292">
        <v>200</v>
      </c>
      <c r="G4421" s="1292">
        <v>37</v>
      </c>
      <c r="H4421" s="1293">
        <f t="shared" si="283"/>
        <v>7400</v>
      </c>
      <c r="J4421" s="66"/>
      <c r="K4421" s="1304">
        <v>41033</v>
      </c>
      <c r="L4421" s="66"/>
      <c r="N4421" s="1283" t="s">
        <v>12389</v>
      </c>
      <c r="O4421" s="66"/>
      <c r="Q4421" s="1308">
        <v>150000</v>
      </c>
      <c r="R4421" s="91"/>
      <c r="S4421" s="91"/>
      <c r="T4421" s="91"/>
      <c r="U4421" s="236"/>
      <c r="V4421" s="1301" t="s">
        <v>2413</v>
      </c>
      <c r="W4421" s="236"/>
      <c r="X4421" s="1306">
        <v>41031</v>
      </c>
      <c r="Y4421" s="236"/>
      <c r="Z4421" s="1307">
        <v>210000</v>
      </c>
      <c r="AA4421" s="1291" t="s">
        <v>13833</v>
      </c>
      <c r="AB4421" s="1291" t="s">
        <v>13834</v>
      </c>
      <c r="AC4421" s="244"/>
      <c r="AD4421" s="244"/>
      <c r="AE4421" s="244"/>
      <c r="AF4421" s="244"/>
      <c r="AG4421" s="234"/>
      <c r="AH4421" s="234"/>
      <c r="AI4421" s="238"/>
      <c r="AJ4421" s="239"/>
      <c r="AK4421" s="238"/>
      <c r="AL4421" s="238"/>
      <c r="AM4421" s="234"/>
      <c r="AN4421" s="234"/>
      <c r="AO4421" s="234"/>
      <c r="AP4421" s="234"/>
      <c r="AQ4421" s="234"/>
    </row>
    <row r="4422" spans="1:43" ht="15" customHeight="1">
      <c r="A4422" s="1290">
        <v>40949</v>
      </c>
      <c r="B4422" s="1301" t="s">
        <v>13835</v>
      </c>
      <c r="C4422" s="1301" t="s">
        <v>13819</v>
      </c>
      <c r="D4422" s="1291" t="s">
        <v>13836</v>
      </c>
      <c r="E4422" s="1291" t="s">
        <v>13837</v>
      </c>
      <c r="F4422" s="1292">
        <v>1</v>
      </c>
      <c r="G4422" s="1292">
        <v>354.9</v>
      </c>
      <c r="H4422" s="1293">
        <f t="shared" si="283"/>
        <v>354.9</v>
      </c>
      <c r="J4422" s="66"/>
      <c r="K4422" s="1294">
        <v>40970</v>
      </c>
      <c r="L4422" s="66"/>
      <c r="N4422" s="1283" t="s">
        <v>13838</v>
      </c>
      <c r="O4422" s="1283" t="s">
        <v>13839</v>
      </c>
      <c r="Q4422" s="1296">
        <v>8391</v>
      </c>
      <c r="R4422" s="91"/>
      <c r="S4422" s="91"/>
      <c r="T4422" s="91"/>
      <c r="U4422" s="236"/>
      <c r="V4422" s="1301" t="s">
        <v>11770</v>
      </c>
      <c r="W4422" s="236"/>
      <c r="X4422" s="1297">
        <v>40970</v>
      </c>
      <c r="Y4422" s="236"/>
      <c r="Z4422" s="1302">
        <v>8391</v>
      </c>
      <c r="AA4422" s="1291" t="s">
        <v>13564</v>
      </c>
      <c r="AB4422" s="1291" t="s">
        <v>13816</v>
      </c>
      <c r="AC4422" s="244"/>
      <c r="AD4422" s="244"/>
      <c r="AE4422" s="244"/>
      <c r="AF4422" s="244"/>
      <c r="AG4422" s="234"/>
      <c r="AH4422" s="234"/>
      <c r="AI4422" s="238"/>
      <c r="AJ4422" s="239"/>
      <c r="AK4422" s="238"/>
      <c r="AL4422" s="238"/>
      <c r="AM4422" s="234"/>
      <c r="AN4422" s="234"/>
      <c r="AO4422" s="234"/>
      <c r="AP4422" s="234"/>
      <c r="AQ4422" s="234"/>
    </row>
    <row r="4423" spans="1:43" ht="15" customHeight="1">
      <c r="A4423" s="1290">
        <v>40969</v>
      </c>
      <c r="B4423" s="1283" t="s">
        <v>12425</v>
      </c>
      <c r="C4423" s="66"/>
      <c r="D4423" s="1283" t="s">
        <v>13840</v>
      </c>
      <c r="E4423" s="1309" t="s">
        <v>13841</v>
      </c>
      <c r="F4423" s="1292">
        <v>50</v>
      </c>
      <c r="G4423" s="1292">
        <v>27</v>
      </c>
      <c r="H4423" s="1292">
        <f t="shared" si="283"/>
        <v>1350</v>
      </c>
      <c r="J4423" s="66"/>
      <c r="K4423" s="1294">
        <v>40976</v>
      </c>
      <c r="L4423" s="66"/>
      <c r="N4423" s="1283" t="s">
        <v>302</v>
      </c>
      <c r="O4423" s="66"/>
      <c r="Q4423" s="1296">
        <v>28875</v>
      </c>
      <c r="R4423" s="91"/>
      <c r="S4423" s="91"/>
      <c r="T4423" s="91"/>
      <c r="U4423" s="236"/>
      <c r="V4423" s="1301" t="s">
        <v>13471</v>
      </c>
      <c r="W4423" s="236"/>
      <c r="X4423" s="1297">
        <v>40973</v>
      </c>
      <c r="Y4423" s="236"/>
      <c r="Z4423" s="1302">
        <v>28875</v>
      </c>
      <c r="AA4423" s="1291" t="s">
        <v>13842</v>
      </c>
      <c r="AB4423" s="1291" t="s">
        <v>13843</v>
      </c>
      <c r="AC4423" s="244"/>
      <c r="AD4423" s="244"/>
      <c r="AE4423" s="244"/>
      <c r="AF4423" s="244"/>
      <c r="AG4423" s="234"/>
      <c r="AH4423" s="234"/>
      <c r="AI4423" s="238"/>
      <c r="AJ4423" s="239"/>
      <c r="AK4423" s="238"/>
      <c r="AL4423" s="238"/>
      <c r="AM4423" s="234"/>
      <c r="AN4423" s="234"/>
      <c r="AO4423" s="234"/>
      <c r="AP4423" s="234"/>
      <c r="AQ4423" s="234"/>
    </row>
    <row r="4424" spans="1:43" ht="15" customHeight="1">
      <c r="A4424" s="1310">
        <v>40976</v>
      </c>
      <c r="B4424" s="1291" t="s">
        <v>1189</v>
      </c>
      <c r="C4424" s="1283" t="s">
        <v>13844</v>
      </c>
      <c r="D4424" s="1283" t="s">
        <v>13845</v>
      </c>
      <c r="E4424" s="1291" t="s">
        <v>13846</v>
      </c>
      <c r="F4424" s="1292">
        <v>20</v>
      </c>
      <c r="G4424" s="1292">
        <v>12.7</v>
      </c>
      <c r="H4424" s="1292">
        <f t="shared" si="283"/>
        <v>254</v>
      </c>
      <c r="J4424" s="66"/>
      <c r="K4424" s="1294">
        <v>40980</v>
      </c>
      <c r="L4424" s="66"/>
      <c r="N4424" s="1283" t="s">
        <v>13847</v>
      </c>
      <c r="O4424" s="66"/>
      <c r="Q4424" s="1296">
        <v>6257</v>
      </c>
      <c r="R4424" s="91"/>
      <c r="S4424" s="91"/>
      <c r="T4424" s="91"/>
      <c r="U4424" s="236"/>
      <c r="V4424" s="1283" t="s">
        <v>13848</v>
      </c>
      <c r="W4424" s="236"/>
      <c r="X4424" s="1306">
        <v>40977</v>
      </c>
      <c r="Y4424" s="236"/>
      <c r="Z4424" s="1296">
        <v>6257</v>
      </c>
      <c r="AA4424" s="1291" t="s">
        <v>13564</v>
      </c>
      <c r="AB4424" s="1311" t="s">
        <v>13849</v>
      </c>
      <c r="AC4424" s="244"/>
      <c r="AD4424" s="244"/>
      <c r="AE4424" s="244"/>
      <c r="AF4424" s="244"/>
      <c r="AG4424" s="234"/>
      <c r="AH4424" s="234"/>
      <c r="AI4424" s="238"/>
      <c r="AJ4424" s="239"/>
      <c r="AK4424" s="238"/>
      <c r="AL4424" s="238"/>
      <c r="AM4424" s="234"/>
      <c r="AN4424" s="234"/>
      <c r="AO4424" s="234"/>
      <c r="AP4424" s="234"/>
      <c r="AQ4424" s="234"/>
    </row>
    <row r="4425" spans="1:43" ht="15" customHeight="1">
      <c r="A4425" s="1290">
        <v>40947</v>
      </c>
      <c r="B4425" s="1291" t="s">
        <v>1189</v>
      </c>
      <c r="C4425" s="1291" t="s">
        <v>13831</v>
      </c>
      <c r="D4425" s="1291" t="s">
        <v>13850</v>
      </c>
      <c r="E4425" s="1291" t="s">
        <v>12387</v>
      </c>
      <c r="F4425" s="1292">
        <v>100</v>
      </c>
      <c r="G4425" s="1292">
        <v>37</v>
      </c>
      <c r="H4425" s="1293">
        <f t="shared" si="283"/>
        <v>3700</v>
      </c>
      <c r="J4425" s="66"/>
      <c r="K4425" s="1312">
        <v>41073</v>
      </c>
      <c r="L4425" s="66"/>
      <c r="N4425" s="1283" t="s">
        <v>12389</v>
      </c>
      <c r="O4425" s="66"/>
      <c r="Q4425" s="1296">
        <v>105000</v>
      </c>
      <c r="R4425" s="91"/>
      <c r="S4425" s="91"/>
      <c r="T4425" s="91"/>
      <c r="U4425" s="236"/>
      <c r="V4425" s="1301" t="s">
        <v>2413</v>
      </c>
      <c r="W4425" s="236"/>
      <c r="X4425" s="1306">
        <v>41072</v>
      </c>
      <c r="Y4425" s="236"/>
      <c r="Z4425" s="1307">
        <v>105000</v>
      </c>
      <c r="AA4425" s="1291" t="s">
        <v>13851</v>
      </c>
      <c r="AB4425" s="1313" t="s">
        <v>13852</v>
      </c>
      <c r="AC4425" s="244"/>
      <c r="AD4425" s="244"/>
      <c r="AE4425" s="244"/>
      <c r="AF4425" s="244"/>
      <c r="AG4425" s="234"/>
      <c r="AH4425" s="234"/>
      <c r="AI4425" s="238"/>
      <c r="AJ4425" s="239"/>
      <c r="AK4425" s="238"/>
      <c r="AL4425" s="238"/>
      <c r="AM4425" s="234"/>
      <c r="AN4425" s="234"/>
      <c r="AO4425" s="234"/>
      <c r="AP4425" s="234"/>
      <c r="AQ4425" s="234"/>
    </row>
    <row r="4426" spans="1:43" ht="15" customHeight="1">
      <c r="A4426" s="1310">
        <v>40997</v>
      </c>
      <c r="B4426" s="1283" t="s">
        <v>12425</v>
      </c>
      <c r="C4426" s="1283" t="s">
        <v>13853</v>
      </c>
      <c r="D4426" s="1283" t="s">
        <v>13854</v>
      </c>
      <c r="E4426" s="1291" t="s">
        <v>13532</v>
      </c>
      <c r="F4426" s="1292">
        <v>42</v>
      </c>
      <c r="G4426" s="1314">
        <v>82.9</v>
      </c>
      <c r="H4426" s="1314">
        <f t="shared" si="283"/>
        <v>3481.8</v>
      </c>
      <c r="J4426" s="66"/>
      <c r="K4426" s="1304">
        <v>41022</v>
      </c>
      <c r="L4426" s="66"/>
      <c r="N4426" s="1283" t="s">
        <v>89</v>
      </c>
      <c r="O4426" s="66"/>
      <c r="Q4426" s="66"/>
      <c r="R4426" s="91"/>
      <c r="S4426" s="91"/>
      <c r="T4426" s="91"/>
      <c r="U4426" s="236"/>
      <c r="V4426" s="66"/>
      <c r="W4426" s="236"/>
      <c r="X4426" s="1306">
        <v>41022</v>
      </c>
      <c r="Y4426" s="236"/>
      <c r="Z4426" s="1302">
        <v>99176</v>
      </c>
      <c r="AA4426" s="1291" t="s">
        <v>13564</v>
      </c>
      <c r="AB4426" s="1311" t="s">
        <v>13855</v>
      </c>
      <c r="AC4426" s="244"/>
      <c r="AD4426" s="244"/>
      <c r="AE4426" s="244"/>
      <c r="AF4426" s="244"/>
      <c r="AG4426" s="234"/>
      <c r="AH4426" s="234"/>
      <c r="AI4426" s="238"/>
      <c r="AJ4426" s="239"/>
      <c r="AK4426" s="238"/>
      <c r="AL4426" s="238"/>
      <c r="AM4426" s="234"/>
      <c r="AN4426" s="234"/>
      <c r="AO4426" s="234"/>
      <c r="AP4426" s="234"/>
      <c r="AQ4426" s="234"/>
    </row>
    <row r="4427" spans="1:43" ht="15" customHeight="1">
      <c r="A4427" s="1310">
        <v>40997</v>
      </c>
      <c r="B4427" s="1283" t="s">
        <v>12425</v>
      </c>
      <c r="C4427" s="1283" t="s">
        <v>13853</v>
      </c>
      <c r="D4427" s="1283" t="s">
        <v>13854</v>
      </c>
      <c r="E4427" s="1291" t="s">
        <v>13856</v>
      </c>
      <c r="F4427" s="1292">
        <v>42</v>
      </c>
      <c r="G4427" s="1314">
        <v>59.8</v>
      </c>
      <c r="H4427" s="1314">
        <f t="shared" si="283"/>
        <v>2511.6</v>
      </c>
      <c r="J4427" s="66"/>
      <c r="K4427" s="1304">
        <v>41022</v>
      </c>
      <c r="L4427" s="66"/>
      <c r="N4427" s="1283" t="s">
        <v>89</v>
      </c>
      <c r="O4427" s="66"/>
      <c r="Q4427" s="66"/>
      <c r="R4427" s="91"/>
      <c r="S4427" s="91"/>
      <c r="T4427" s="91"/>
      <c r="U4427" s="236"/>
      <c r="V4427" s="66"/>
      <c r="W4427" s="236"/>
      <c r="X4427" s="1306">
        <v>41022</v>
      </c>
      <c r="Y4427" s="236"/>
      <c r="Z4427" s="1302">
        <v>67871</v>
      </c>
      <c r="AA4427" s="1291" t="s">
        <v>13564</v>
      </c>
      <c r="AB4427" s="1311" t="s">
        <v>13855</v>
      </c>
      <c r="AC4427" s="244"/>
      <c r="AD4427" s="244"/>
      <c r="AE4427" s="244"/>
      <c r="AF4427" s="244"/>
      <c r="AG4427" s="234"/>
      <c r="AH4427" s="234"/>
      <c r="AI4427" s="238"/>
      <c r="AJ4427" s="239"/>
      <c r="AK4427" s="238"/>
      <c r="AL4427" s="238"/>
      <c r="AM4427" s="234"/>
      <c r="AN4427" s="234"/>
      <c r="AO4427" s="234"/>
      <c r="AP4427" s="234"/>
      <c r="AQ4427" s="234"/>
    </row>
    <row r="4428" spans="1:43" ht="15" customHeight="1">
      <c r="A4428" s="1310">
        <v>40997</v>
      </c>
      <c r="B4428" s="1283" t="s">
        <v>12425</v>
      </c>
      <c r="C4428" s="1283" t="s">
        <v>13853</v>
      </c>
      <c r="D4428" s="1283" t="s">
        <v>13854</v>
      </c>
      <c r="E4428" s="1291" t="s">
        <v>13857</v>
      </c>
      <c r="F4428" s="1292">
        <v>42</v>
      </c>
      <c r="G4428" s="1314">
        <v>57.5</v>
      </c>
      <c r="H4428" s="1315">
        <f t="shared" si="283"/>
        <v>2415</v>
      </c>
      <c r="J4428" s="66"/>
      <c r="K4428" s="1304">
        <v>41022</v>
      </c>
      <c r="L4428" s="66"/>
      <c r="N4428" s="1283" t="s">
        <v>89</v>
      </c>
      <c r="O4428" s="66"/>
      <c r="Q4428" s="66"/>
      <c r="R4428" s="91"/>
      <c r="S4428" s="91"/>
      <c r="T4428" s="91"/>
      <c r="U4428" s="236"/>
      <c r="V4428" s="66"/>
      <c r="W4428" s="236"/>
      <c r="X4428" s="1306">
        <v>41022</v>
      </c>
      <c r="Y4428" s="236"/>
      <c r="Z4428" s="1302">
        <v>72495</v>
      </c>
      <c r="AA4428" s="1291" t="s">
        <v>13564</v>
      </c>
      <c r="AB4428" s="1311" t="s">
        <v>13855</v>
      </c>
      <c r="AC4428" s="244"/>
      <c r="AD4428" s="244"/>
      <c r="AE4428" s="244"/>
      <c r="AF4428" s="244"/>
      <c r="AG4428" s="234"/>
      <c r="AH4428" s="234"/>
      <c r="AI4428" s="238"/>
      <c r="AJ4428" s="239"/>
      <c r="AK4428" s="238"/>
      <c r="AL4428" s="238"/>
      <c r="AM4428" s="234"/>
      <c r="AN4428" s="234"/>
      <c r="AO4428" s="234"/>
      <c r="AP4428" s="234"/>
      <c r="AQ4428" s="234"/>
    </row>
    <row r="4429" spans="1:43" ht="15" customHeight="1">
      <c r="A4429" s="1310">
        <v>40997</v>
      </c>
      <c r="B4429" s="1283" t="s">
        <v>12425</v>
      </c>
      <c r="C4429" s="1283" t="s">
        <v>13853</v>
      </c>
      <c r="D4429" s="1283" t="s">
        <v>13858</v>
      </c>
      <c r="E4429" s="1291" t="s">
        <v>13532</v>
      </c>
      <c r="F4429" s="1292">
        <v>258</v>
      </c>
      <c r="G4429" s="1314">
        <v>82.9</v>
      </c>
      <c r="H4429" s="1314">
        <f t="shared" si="283"/>
        <v>21388.2</v>
      </c>
      <c r="J4429" s="66"/>
      <c r="K4429" s="1304">
        <v>41066</v>
      </c>
      <c r="L4429" s="66"/>
      <c r="N4429" s="1283" t="s">
        <v>89</v>
      </c>
      <c r="O4429" s="66"/>
      <c r="Q4429" s="1316" t="s">
        <v>13859</v>
      </c>
      <c r="R4429" s="1381"/>
      <c r="S4429" s="1381"/>
      <c r="T4429" s="1382"/>
      <c r="U4429" s="236"/>
      <c r="V4429" s="66"/>
      <c r="W4429" s="236"/>
      <c r="X4429" s="1306">
        <v>41066</v>
      </c>
      <c r="Y4429" s="236"/>
      <c r="Z4429" s="1302">
        <v>611396</v>
      </c>
      <c r="AA4429" s="1291" t="s">
        <v>13564</v>
      </c>
      <c r="AB4429" s="1313" t="s">
        <v>13860</v>
      </c>
      <c r="AC4429" s="244"/>
      <c r="AD4429" s="244"/>
      <c r="AE4429" s="244"/>
      <c r="AF4429" s="244"/>
      <c r="AG4429" s="234"/>
      <c r="AH4429" s="234"/>
      <c r="AI4429" s="238"/>
      <c r="AJ4429" s="239"/>
      <c r="AK4429" s="238"/>
      <c r="AL4429" s="238"/>
      <c r="AM4429" s="234"/>
      <c r="AN4429" s="234"/>
      <c r="AO4429" s="234"/>
      <c r="AP4429" s="234"/>
      <c r="AQ4429" s="234"/>
    </row>
    <row r="4430" spans="1:43" ht="15" customHeight="1">
      <c r="A4430" s="1310">
        <v>40997</v>
      </c>
      <c r="B4430" s="1283" t="s">
        <v>12425</v>
      </c>
      <c r="C4430" s="1283" t="s">
        <v>13853</v>
      </c>
      <c r="D4430" s="1283" t="s">
        <v>13858</v>
      </c>
      <c r="E4430" s="1291" t="s">
        <v>13856</v>
      </c>
      <c r="F4430" s="1292">
        <v>228</v>
      </c>
      <c r="G4430" s="1314">
        <v>59.8</v>
      </c>
      <c r="H4430" s="1314">
        <f t="shared" si="283"/>
        <v>13634.4</v>
      </c>
      <c r="J4430" s="66"/>
      <c r="K4430" s="1304">
        <v>41066</v>
      </c>
      <c r="L4430" s="66"/>
      <c r="N4430" s="1283" t="s">
        <v>89</v>
      </c>
      <c r="O4430" s="66"/>
      <c r="Q4430" s="66"/>
      <c r="R4430" s="91"/>
      <c r="S4430" s="91"/>
      <c r="T4430" s="91"/>
      <c r="U4430" s="236"/>
      <c r="V4430" s="66"/>
      <c r="W4430" s="236"/>
      <c r="X4430" s="1306">
        <v>41066</v>
      </c>
      <c r="Y4430" s="236"/>
      <c r="Z4430" s="1302">
        <v>394949</v>
      </c>
      <c r="AA4430" s="66"/>
      <c r="AB4430" s="1291" t="s">
        <v>13860</v>
      </c>
      <c r="AC4430" s="244"/>
      <c r="AD4430" s="244"/>
      <c r="AE4430" s="244"/>
      <c r="AF4430" s="244"/>
      <c r="AG4430" s="234"/>
      <c r="AH4430" s="234"/>
      <c r="AI4430" s="238"/>
      <c r="AJ4430" s="239"/>
      <c r="AK4430" s="238"/>
      <c r="AL4430" s="238"/>
      <c r="AM4430" s="234"/>
      <c r="AN4430" s="234"/>
      <c r="AO4430" s="234"/>
      <c r="AP4430" s="234"/>
      <c r="AQ4430" s="234"/>
    </row>
    <row r="4431" spans="1:43" ht="15" customHeight="1">
      <c r="A4431" s="1310">
        <v>40997</v>
      </c>
      <c r="B4431" s="1283" t="s">
        <v>12425</v>
      </c>
      <c r="C4431" s="1283" t="s">
        <v>13853</v>
      </c>
      <c r="D4431" s="1283" t="s">
        <v>13858</v>
      </c>
      <c r="E4431" s="1291" t="s">
        <v>13857</v>
      </c>
      <c r="F4431" s="1292">
        <v>228</v>
      </c>
      <c r="G4431" s="1314">
        <v>57.5</v>
      </c>
      <c r="H4431" s="1315">
        <f t="shared" si="283"/>
        <v>13110</v>
      </c>
      <c r="J4431" s="66"/>
      <c r="K4431" s="1304">
        <v>41066</v>
      </c>
      <c r="L4431" s="66"/>
      <c r="N4431" s="1283" t="s">
        <v>89</v>
      </c>
      <c r="O4431" s="66"/>
      <c r="Q4431" s="66"/>
      <c r="R4431" s="91"/>
      <c r="S4431" s="91"/>
      <c r="T4431" s="91"/>
      <c r="U4431" s="236"/>
      <c r="V4431" s="66"/>
      <c r="W4431" s="236"/>
      <c r="X4431" s="1306">
        <v>41066</v>
      </c>
      <c r="Y4431" s="236"/>
      <c r="Z4431" s="1302">
        <v>369755</v>
      </c>
      <c r="AA4431" s="66"/>
      <c r="AB4431" s="1291" t="s">
        <v>13860</v>
      </c>
      <c r="AC4431" s="244"/>
      <c r="AD4431" s="244"/>
      <c r="AE4431" s="244"/>
      <c r="AF4431" s="244"/>
      <c r="AG4431" s="234"/>
      <c r="AH4431" s="234"/>
      <c r="AI4431" s="238"/>
      <c r="AJ4431" s="239"/>
      <c r="AK4431" s="238"/>
      <c r="AL4431" s="238"/>
      <c r="AM4431" s="234"/>
      <c r="AN4431" s="234"/>
      <c r="AO4431" s="234"/>
      <c r="AP4431" s="234"/>
      <c r="AQ4431" s="234"/>
    </row>
    <row r="4432" spans="1:43" ht="15" customHeight="1">
      <c r="A4432" s="1310">
        <v>41009</v>
      </c>
      <c r="B4432" s="1283" t="s">
        <v>13861</v>
      </c>
      <c r="C4432" s="66"/>
      <c r="D4432" s="1283" t="s">
        <v>13862</v>
      </c>
      <c r="E4432" s="1291" t="s">
        <v>13863</v>
      </c>
      <c r="F4432" s="1292">
        <v>1</v>
      </c>
      <c r="G4432" s="1292">
        <v>649</v>
      </c>
      <c r="H4432" s="1292">
        <f t="shared" si="283"/>
        <v>649</v>
      </c>
      <c r="J4432" s="66"/>
      <c r="K4432" s="1304">
        <v>41037</v>
      </c>
      <c r="L4432" s="66"/>
      <c r="N4432" s="1283" t="s">
        <v>12442</v>
      </c>
      <c r="O4432" s="1292">
        <v>175933</v>
      </c>
      <c r="Q4432" s="1292">
        <v>20960</v>
      </c>
      <c r="R4432" s="91"/>
      <c r="S4432" s="91"/>
      <c r="T4432" s="91"/>
      <c r="U4432" s="236"/>
      <c r="V4432" s="1283" t="s">
        <v>13864</v>
      </c>
      <c r="W4432" s="236"/>
      <c r="X4432" s="66"/>
      <c r="Y4432" s="236"/>
      <c r="Z4432" s="1302">
        <v>18231</v>
      </c>
      <c r="AA4432" s="1291" t="s">
        <v>13564</v>
      </c>
      <c r="AB4432" s="451" t="s">
        <v>13865</v>
      </c>
      <c r="AC4432" s="244"/>
      <c r="AD4432" s="244"/>
      <c r="AE4432" s="244"/>
      <c r="AF4432" s="244"/>
      <c r="AG4432" s="234"/>
      <c r="AH4432" s="234"/>
      <c r="AI4432" s="238"/>
      <c r="AJ4432" s="239"/>
      <c r="AK4432" s="238"/>
      <c r="AL4432" s="238"/>
      <c r="AM4432" s="234"/>
      <c r="AN4432" s="234"/>
      <c r="AO4432" s="234"/>
      <c r="AP4432" s="234"/>
      <c r="AQ4432" s="234"/>
    </row>
    <row r="4433" spans="1:43" ht="15" customHeight="1">
      <c r="A4433" s="1310">
        <v>41009</v>
      </c>
      <c r="B4433" s="1283" t="s">
        <v>13861</v>
      </c>
      <c r="C4433" s="66"/>
      <c r="D4433" s="1283" t="s">
        <v>13862</v>
      </c>
      <c r="E4433" s="1291" t="s">
        <v>13866</v>
      </c>
      <c r="F4433" s="1292">
        <v>1</v>
      </c>
      <c r="G4433" s="1292">
        <v>97</v>
      </c>
      <c r="H4433" s="1292">
        <f t="shared" si="283"/>
        <v>97</v>
      </c>
      <c r="J4433" s="66"/>
      <c r="K4433" s="1304">
        <v>41037</v>
      </c>
      <c r="L4433" s="66"/>
      <c r="N4433" s="1283" t="s">
        <v>12442</v>
      </c>
      <c r="O4433" s="1292">
        <v>175933</v>
      </c>
      <c r="Q4433" s="1292">
        <v>0</v>
      </c>
      <c r="R4433" s="91"/>
      <c r="S4433" s="91"/>
      <c r="T4433" s="91"/>
      <c r="U4433" s="236"/>
      <c r="V4433" s="1283" t="s">
        <v>8588</v>
      </c>
      <c r="W4433" s="236"/>
      <c r="X4433" s="66"/>
      <c r="Y4433" s="236"/>
      <c r="Z4433" s="1302">
        <v>2729</v>
      </c>
      <c r="AA4433" s="1291" t="s">
        <v>13564</v>
      </c>
      <c r="AB4433" s="451" t="s">
        <v>13865</v>
      </c>
      <c r="AC4433" s="244"/>
      <c r="AD4433" s="244"/>
      <c r="AE4433" s="244"/>
      <c r="AF4433" s="244"/>
      <c r="AG4433" s="234"/>
      <c r="AH4433" s="234"/>
      <c r="AI4433" s="238"/>
      <c r="AJ4433" s="239"/>
      <c r="AK4433" s="238"/>
      <c r="AL4433" s="238"/>
      <c r="AM4433" s="234"/>
      <c r="AN4433" s="234"/>
      <c r="AO4433" s="234"/>
      <c r="AP4433" s="234"/>
      <c r="AQ4433" s="234"/>
    </row>
    <row r="4434" spans="1:43" ht="15" customHeight="1">
      <c r="A4434" s="1310">
        <v>41010</v>
      </c>
      <c r="B4434" s="1283" t="s">
        <v>13867</v>
      </c>
      <c r="C4434" s="1283" t="s">
        <v>13868</v>
      </c>
      <c r="D4434" s="1283" t="s">
        <v>13869</v>
      </c>
      <c r="E4434" s="1283" t="s">
        <v>13870</v>
      </c>
      <c r="F4434" s="1292">
        <v>15</v>
      </c>
      <c r="G4434" s="1292">
        <v>232.5</v>
      </c>
      <c r="H4434" s="1292">
        <f t="shared" si="283"/>
        <v>3487.5</v>
      </c>
      <c r="J4434" s="66"/>
      <c r="K4434" s="1294">
        <v>41044</v>
      </c>
      <c r="L4434" s="66"/>
      <c r="N4434" s="1283" t="s">
        <v>89</v>
      </c>
      <c r="O4434" s="66"/>
      <c r="Q4434" s="66"/>
      <c r="R4434" s="91"/>
      <c r="S4434" s="91"/>
      <c r="T4434" s="91"/>
      <c r="U4434" s="236"/>
      <c r="V4434" s="1301" t="s">
        <v>13414</v>
      </c>
      <c r="W4434" s="236"/>
      <c r="X4434" s="1306">
        <v>41040</v>
      </c>
      <c r="Y4434" s="236"/>
      <c r="Z4434" s="1302">
        <v>91013</v>
      </c>
      <c r="AA4434" s="1291" t="s">
        <v>13564</v>
      </c>
      <c r="AB4434" s="1291" t="s">
        <v>13871</v>
      </c>
      <c r="AC4434" s="244"/>
      <c r="AD4434" s="244"/>
      <c r="AE4434" s="244"/>
      <c r="AF4434" s="244"/>
      <c r="AG4434" s="234"/>
      <c r="AH4434" s="234"/>
      <c r="AI4434" s="238"/>
      <c r="AJ4434" s="239"/>
      <c r="AK4434" s="238"/>
      <c r="AL4434" s="238"/>
      <c r="AM4434" s="234"/>
      <c r="AN4434" s="234"/>
      <c r="AO4434" s="234"/>
      <c r="AP4434" s="234"/>
      <c r="AQ4434" s="234"/>
    </row>
    <row r="4435" spans="1:43" ht="15" customHeight="1">
      <c r="A4435" s="1310">
        <v>41010</v>
      </c>
      <c r="B4435" s="1283" t="s">
        <v>13872</v>
      </c>
      <c r="C4435" s="66"/>
      <c r="D4435" s="1283" t="s">
        <v>13873</v>
      </c>
      <c r="E4435" s="1283" t="s">
        <v>13874</v>
      </c>
      <c r="F4435" s="1292">
        <v>1</v>
      </c>
      <c r="G4435" s="1292">
        <v>390</v>
      </c>
      <c r="H4435" s="1292">
        <f t="shared" si="283"/>
        <v>390</v>
      </c>
      <c r="J4435" s="66"/>
      <c r="K4435" s="1294">
        <v>41059</v>
      </c>
      <c r="L4435" s="66"/>
      <c r="N4435" s="1283" t="s">
        <v>13875</v>
      </c>
      <c r="O4435" s="66"/>
      <c r="Q4435" s="66"/>
      <c r="R4435" s="91"/>
      <c r="S4435" s="91"/>
      <c r="T4435" s="91"/>
      <c r="U4435" s="236"/>
      <c r="V4435" s="1283" t="s">
        <v>13876</v>
      </c>
      <c r="W4435" s="236"/>
      <c r="X4435" s="1283" t="s">
        <v>13877</v>
      </c>
      <c r="Y4435" s="236"/>
      <c r="Z4435" s="1317" t="s">
        <v>13878</v>
      </c>
      <c r="AA4435" s="1291" t="s">
        <v>13564</v>
      </c>
      <c r="AB4435" s="1291" t="s">
        <v>13879</v>
      </c>
      <c r="AC4435" s="244"/>
      <c r="AD4435" s="244"/>
      <c r="AE4435" s="244"/>
      <c r="AF4435" s="244"/>
      <c r="AG4435" s="234"/>
      <c r="AH4435" s="234"/>
      <c r="AI4435" s="238"/>
      <c r="AJ4435" s="239"/>
      <c r="AK4435" s="238"/>
      <c r="AL4435" s="238"/>
      <c r="AM4435" s="234"/>
      <c r="AN4435" s="234"/>
      <c r="AO4435" s="234"/>
      <c r="AP4435" s="234"/>
      <c r="AQ4435" s="234"/>
    </row>
    <row r="4436" spans="1:43" ht="15" customHeight="1">
      <c r="A4436" s="1310">
        <v>41029</v>
      </c>
      <c r="B4436" s="1291" t="s">
        <v>1189</v>
      </c>
      <c r="C4436" s="1318" t="s">
        <v>13880</v>
      </c>
      <c r="D4436" s="1283" t="s">
        <v>13881</v>
      </c>
      <c r="E4436" s="1291" t="s">
        <v>12387</v>
      </c>
      <c r="F4436" s="1319">
        <v>200</v>
      </c>
      <c r="G4436" s="1292">
        <v>37</v>
      </c>
      <c r="H4436" s="1292">
        <f t="shared" si="283"/>
        <v>7400</v>
      </c>
      <c r="J4436" s="1321" t="s">
        <v>920</v>
      </c>
      <c r="K4436" s="1320">
        <v>41110</v>
      </c>
      <c r="L4436" s="1322" t="s">
        <v>12388</v>
      </c>
      <c r="N4436" s="1283" t="s">
        <v>12389</v>
      </c>
      <c r="O4436" s="66"/>
      <c r="Q4436" s="1292">
        <v>210000</v>
      </c>
      <c r="R4436" s="91"/>
      <c r="S4436" s="91"/>
      <c r="T4436" s="91"/>
      <c r="U4436" s="236"/>
      <c r="V4436" s="1301" t="s">
        <v>2413</v>
      </c>
      <c r="W4436" s="236"/>
      <c r="X4436" s="1306">
        <v>41109</v>
      </c>
      <c r="Y4436" s="236"/>
      <c r="Z4436" s="1302">
        <v>210000</v>
      </c>
      <c r="AA4436" s="1291" t="s">
        <v>13882</v>
      </c>
      <c r="AB4436" s="1291" t="s">
        <v>13883</v>
      </c>
      <c r="AC4436" s="244"/>
      <c r="AD4436" s="244"/>
      <c r="AE4436" s="244"/>
      <c r="AF4436" s="244"/>
      <c r="AG4436" s="234"/>
      <c r="AH4436" s="234"/>
      <c r="AI4436" s="238"/>
      <c r="AJ4436" s="239"/>
      <c r="AK4436" s="238"/>
      <c r="AL4436" s="238"/>
      <c r="AM4436" s="234"/>
      <c r="AN4436" s="234"/>
      <c r="AO4436" s="234"/>
      <c r="AP4436" s="234"/>
      <c r="AQ4436" s="234"/>
    </row>
    <row r="4437" spans="1:43" ht="15" customHeight="1">
      <c r="A4437" s="1310">
        <v>40989</v>
      </c>
      <c r="B4437" s="1283" t="s">
        <v>11740</v>
      </c>
      <c r="C4437" s="1291" t="s">
        <v>13884</v>
      </c>
      <c r="D4437" s="1283" t="s">
        <v>13885</v>
      </c>
      <c r="E4437" s="1283" t="s">
        <v>13453</v>
      </c>
      <c r="F4437" s="1292">
        <v>100</v>
      </c>
      <c r="G4437" s="1292">
        <v>18.5</v>
      </c>
      <c r="H4437" s="1292">
        <f t="shared" si="283"/>
        <v>1850</v>
      </c>
      <c r="J4437" s="66"/>
      <c r="K4437" s="1323">
        <v>41002</v>
      </c>
      <c r="L4437" s="66"/>
      <c r="N4437" s="1283" t="s">
        <v>12389</v>
      </c>
      <c r="O4437" s="66"/>
      <c r="Q4437" s="1324">
        <v>49350</v>
      </c>
      <c r="R4437" s="91"/>
      <c r="S4437" s="91"/>
      <c r="T4437" s="91"/>
      <c r="U4437" s="236"/>
      <c r="V4437" s="1295" t="s">
        <v>2413</v>
      </c>
      <c r="W4437" s="236"/>
      <c r="X4437" s="1306">
        <v>41001</v>
      </c>
      <c r="Y4437" s="236"/>
      <c r="Z4437" s="1292">
        <v>49350</v>
      </c>
      <c r="AA4437" s="66"/>
      <c r="AB4437" s="1291" t="s">
        <v>13886</v>
      </c>
      <c r="AC4437" s="244"/>
      <c r="AD4437" s="244"/>
      <c r="AE4437" s="244"/>
      <c r="AF4437" s="244"/>
      <c r="AG4437" s="234"/>
      <c r="AH4437" s="234"/>
      <c r="AI4437" s="238"/>
      <c r="AJ4437" s="239"/>
      <c r="AK4437" s="238"/>
      <c r="AL4437" s="238"/>
      <c r="AM4437" s="234"/>
      <c r="AN4437" s="234"/>
      <c r="AO4437" s="234"/>
      <c r="AP4437" s="234"/>
      <c r="AQ4437" s="234"/>
    </row>
    <row r="4438" spans="1:43" ht="15" customHeight="1">
      <c r="A4438" s="1310">
        <v>41030</v>
      </c>
      <c r="B4438" s="1283" t="s">
        <v>11740</v>
      </c>
      <c r="C4438" s="66"/>
      <c r="D4438" s="1283" t="s">
        <v>13887</v>
      </c>
      <c r="E4438" s="1283" t="s">
        <v>6146</v>
      </c>
      <c r="F4438" s="1292">
        <v>2</v>
      </c>
      <c r="G4438" s="1292">
        <v>28.5</v>
      </c>
      <c r="H4438" s="1292">
        <f t="shared" si="283"/>
        <v>57</v>
      </c>
      <c r="J4438" s="66"/>
      <c r="K4438" s="1323">
        <v>41032</v>
      </c>
      <c r="L4438" s="66"/>
      <c r="N4438" s="1283" t="s">
        <v>12389</v>
      </c>
      <c r="O4438" s="66"/>
      <c r="Q4438" s="1324">
        <v>1428</v>
      </c>
      <c r="R4438" s="91"/>
      <c r="S4438" s="91"/>
      <c r="T4438" s="91"/>
      <c r="U4438" s="236"/>
      <c r="V4438" s="1295" t="s">
        <v>2413</v>
      </c>
      <c r="W4438" s="236"/>
      <c r="X4438" s="1292" t="s">
        <v>13888</v>
      </c>
      <c r="Y4438" s="236"/>
      <c r="Z4438" s="1292" t="s">
        <v>13889</v>
      </c>
      <c r="AA4438" s="66"/>
      <c r="AB4438" s="1291" t="s">
        <v>13890</v>
      </c>
      <c r="AC4438" s="244"/>
      <c r="AD4438" s="244"/>
      <c r="AE4438" s="244"/>
      <c r="AF4438" s="244"/>
      <c r="AG4438" s="234"/>
      <c r="AH4438" s="234"/>
      <c r="AI4438" s="238"/>
      <c r="AJ4438" s="239"/>
      <c r="AK4438" s="238"/>
      <c r="AL4438" s="238"/>
      <c r="AM4438" s="234"/>
      <c r="AN4438" s="234"/>
      <c r="AO4438" s="234"/>
      <c r="AP4438" s="234"/>
      <c r="AQ4438" s="234"/>
    </row>
    <row r="4439" spans="1:43" ht="15" customHeight="1">
      <c r="A4439" s="1310">
        <v>41040</v>
      </c>
      <c r="B4439" s="1283" t="s">
        <v>11740</v>
      </c>
      <c r="C4439" s="66"/>
      <c r="D4439" s="1283" t="s">
        <v>13891</v>
      </c>
      <c r="E4439" s="1283" t="s">
        <v>13453</v>
      </c>
      <c r="F4439" s="1292">
        <v>50</v>
      </c>
      <c r="G4439" s="1292">
        <v>18.5</v>
      </c>
      <c r="H4439" s="1292">
        <f t="shared" si="283"/>
        <v>925</v>
      </c>
      <c r="J4439" s="66"/>
      <c r="K4439" s="1323">
        <v>41051</v>
      </c>
      <c r="L4439" s="66"/>
      <c r="N4439" s="1283" t="s">
        <v>12389</v>
      </c>
      <c r="O4439" s="66"/>
      <c r="Q4439" s="1292">
        <v>24675</v>
      </c>
      <c r="R4439" s="91"/>
      <c r="S4439" s="91"/>
      <c r="T4439" s="91"/>
      <c r="U4439" s="236"/>
      <c r="V4439" s="1295" t="s">
        <v>2413</v>
      </c>
      <c r="W4439" s="236"/>
      <c r="X4439" s="1306">
        <v>41046</v>
      </c>
      <c r="Y4439" s="236"/>
      <c r="Z4439" s="1292">
        <v>24675</v>
      </c>
      <c r="AA4439" s="66"/>
      <c r="AB4439" s="1325" t="s">
        <v>13892</v>
      </c>
      <c r="AC4439" s="244"/>
      <c r="AD4439" s="244"/>
      <c r="AE4439" s="244"/>
      <c r="AF4439" s="244"/>
      <c r="AG4439" s="234"/>
      <c r="AH4439" s="234"/>
      <c r="AI4439" s="238"/>
      <c r="AJ4439" s="239"/>
      <c r="AK4439" s="238"/>
      <c r="AL4439" s="238"/>
      <c r="AM4439" s="234"/>
      <c r="AN4439" s="234"/>
      <c r="AO4439" s="234"/>
      <c r="AP4439" s="234"/>
      <c r="AQ4439" s="234"/>
    </row>
    <row r="4440" spans="1:43" ht="15" customHeight="1">
      <c r="A4440" s="1310">
        <v>41040</v>
      </c>
      <c r="B4440" s="1283" t="s">
        <v>11740</v>
      </c>
      <c r="C4440" s="66"/>
      <c r="D4440" s="1283" t="s">
        <v>13893</v>
      </c>
      <c r="E4440" s="1275" t="s">
        <v>13453</v>
      </c>
      <c r="F4440" s="1326">
        <v>50</v>
      </c>
      <c r="G4440" s="1326">
        <v>18.5</v>
      </c>
      <c r="H4440" s="1292">
        <f t="shared" si="283"/>
        <v>925</v>
      </c>
      <c r="J4440" s="519"/>
      <c r="K4440" s="1327">
        <v>41079</v>
      </c>
      <c r="L4440" s="519"/>
      <c r="N4440" s="1283" t="s">
        <v>12389</v>
      </c>
      <c r="O4440" s="66"/>
      <c r="Q4440" s="1292">
        <v>24675</v>
      </c>
      <c r="R4440" s="91"/>
      <c r="S4440" s="91"/>
      <c r="T4440" s="91"/>
      <c r="U4440" s="236"/>
      <c r="V4440" s="1295" t="s">
        <v>2413</v>
      </c>
      <c r="W4440" s="236"/>
      <c r="X4440" s="1306">
        <v>41078</v>
      </c>
      <c r="Y4440" s="236"/>
      <c r="Z4440" s="1292">
        <v>24675</v>
      </c>
      <c r="AA4440" s="66"/>
      <c r="AB4440" s="1291" t="s">
        <v>13894</v>
      </c>
      <c r="AC4440" s="244"/>
      <c r="AD4440" s="244"/>
      <c r="AE4440" s="244"/>
      <c r="AF4440" s="244"/>
      <c r="AG4440" s="234"/>
      <c r="AH4440" s="234"/>
      <c r="AI4440" s="238"/>
      <c r="AJ4440" s="239"/>
      <c r="AK4440" s="238"/>
      <c r="AL4440" s="238"/>
      <c r="AM4440" s="234"/>
      <c r="AN4440" s="234"/>
      <c r="AO4440" s="234"/>
      <c r="AP4440" s="234"/>
      <c r="AQ4440" s="234"/>
    </row>
    <row r="4441" spans="1:43" ht="15" customHeight="1">
      <c r="A4441" s="1310">
        <v>41040</v>
      </c>
      <c r="B4441" s="1283" t="s">
        <v>11740</v>
      </c>
      <c r="C4441" s="66"/>
      <c r="D4441" s="1283" t="s">
        <v>13895</v>
      </c>
      <c r="E4441" s="1275" t="s">
        <v>13896</v>
      </c>
      <c r="F4441" s="1326">
        <v>20</v>
      </c>
      <c r="G4441" s="1326">
        <v>15.2</v>
      </c>
      <c r="H4441" s="1292">
        <f t="shared" si="283"/>
        <v>304</v>
      </c>
      <c r="J4441" s="1325" t="s">
        <v>13897</v>
      </c>
      <c r="K4441" s="1327">
        <v>41082</v>
      </c>
      <c r="L4441" s="519"/>
      <c r="N4441" s="1283" t="s">
        <v>12389</v>
      </c>
      <c r="O4441" s="66"/>
      <c r="Q4441" s="1292">
        <v>7770</v>
      </c>
      <c r="R4441" s="91"/>
      <c r="S4441" s="91"/>
      <c r="T4441" s="91"/>
      <c r="U4441" s="236"/>
      <c r="V4441" s="1295" t="s">
        <v>2413</v>
      </c>
      <c r="W4441" s="236"/>
      <c r="X4441" s="1306">
        <v>41079</v>
      </c>
      <c r="Y4441" s="236"/>
      <c r="Z4441" s="1292">
        <v>7770</v>
      </c>
      <c r="AA4441" s="66"/>
      <c r="AB4441" s="1291" t="s">
        <v>13898</v>
      </c>
      <c r="AC4441" s="244"/>
      <c r="AD4441" s="244"/>
      <c r="AE4441" s="244"/>
      <c r="AF4441" s="244"/>
      <c r="AG4441" s="234"/>
      <c r="AH4441" s="234"/>
      <c r="AI4441" s="238"/>
      <c r="AJ4441" s="239"/>
      <c r="AK4441" s="238"/>
      <c r="AL4441" s="238"/>
      <c r="AM4441" s="234"/>
      <c r="AN4441" s="234"/>
      <c r="AO4441" s="234"/>
      <c r="AP4441" s="234"/>
      <c r="AQ4441" s="234"/>
    </row>
    <row r="4442" spans="1:43" ht="15" customHeight="1">
      <c r="A4442" s="1310">
        <v>41037</v>
      </c>
      <c r="B4442" s="1283" t="s">
        <v>13899</v>
      </c>
      <c r="C4442" s="66"/>
      <c r="D4442" s="1283" t="s">
        <v>13900</v>
      </c>
      <c r="E4442" s="1283" t="s">
        <v>13901</v>
      </c>
      <c r="F4442" s="1292">
        <v>1</v>
      </c>
      <c r="G4442" s="1326">
        <v>764</v>
      </c>
      <c r="H4442" s="1319">
        <f t="shared" si="283"/>
        <v>764</v>
      </c>
      <c r="J4442" s="66"/>
      <c r="K4442" s="1294">
        <v>41061</v>
      </c>
      <c r="L4442" s="66"/>
      <c r="N4442" s="1283" t="s">
        <v>13902</v>
      </c>
      <c r="O4442" s="66"/>
      <c r="Q4442" s="1292">
        <v>20475</v>
      </c>
      <c r="R4442" s="91"/>
      <c r="S4442" s="91"/>
      <c r="T4442" s="91"/>
      <c r="U4442" s="236"/>
      <c r="V4442" s="1283" t="s">
        <v>13904</v>
      </c>
      <c r="W4442" s="236"/>
      <c r="X4442" s="1306">
        <v>41059</v>
      </c>
      <c r="Y4442" s="236"/>
      <c r="Z4442" s="1302">
        <v>20475</v>
      </c>
      <c r="AA4442" s="1291" t="s">
        <v>13903</v>
      </c>
      <c r="AB4442" s="451" t="s">
        <v>13905</v>
      </c>
      <c r="AC4442" s="244"/>
      <c r="AD4442" s="244"/>
      <c r="AE4442" s="244"/>
      <c r="AF4442" s="244"/>
      <c r="AG4442" s="234"/>
      <c r="AH4442" s="234"/>
      <c r="AI4442" s="238"/>
      <c r="AJ4442" s="239"/>
      <c r="AK4442" s="238"/>
      <c r="AL4442" s="238"/>
      <c r="AM4442" s="234"/>
      <c r="AN4442" s="234"/>
      <c r="AO4442" s="234"/>
      <c r="AP4442" s="234"/>
      <c r="AQ4442" s="234"/>
    </row>
    <row r="4443" spans="1:43" ht="15" customHeight="1">
      <c r="A4443" s="1310">
        <v>41044</v>
      </c>
      <c r="B4443" s="1283" t="s">
        <v>665</v>
      </c>
      <c r="C4443" s="66"/>
      <c r="D4443" s="1283" t="s">
        <v>13906</v>
      </c>
      <c r="E4443" s="1283" t="s">
        <v>13907</v>
      </c>
      <c r="F4443" s="1292">
        <v>1</v>
      </c>
      <c r="G4443" s="1292">
        <v>34</v>
      </c>
      <c r="H4443" s="1292">
        <f t="shared" si="283"/>
        <v>34</v>
      </c>
      <c r="J4443" s="66"/>
      <c r="K4443" s="1328" t="s">
        <v>13908</v>
      </c>
      <c r="L4443" s="66"/>
      <c r="N4443" s="1283" t="s">
        <v>13909</v>
      </c>
      <c r="O4443" s="66"/>
      <c r="Q4443" s="1292">
        <v>767</v>
      </c>
      <c r="R4443" s="91"/>
      <c r="S4443" s="91"/>
      <c r="T4443" s="91"/>
      <c r="U4443" s="236"/>
      <c r="V4443" s="1283" t="s">
        <v>13910</v>
      </c>
      <c r="W4443" s="236"/>
      <c r="X4443" s="1306">
        <v>41058</v>
      </c>
      <c r="Y4443" s="236"/>
      <c r="Z4443" s="1292">
        <v>767</v>
      </c>
      <c r="AA4443" s="1291" t="s">
        <v>13903</v>
      </c>
      <c r="AB4443" s="1291" t="s">
        <v>13911</v>
      </c>
      <c r="AC4443" s="244"/>
      <c r="AD4443" s="244"/>
      <c r="AE4443" s="244"/>
      <c r="AF4443" s="244"/>
      <c r="AG4443" s="234"/>
      <c r="AH4443" s="234"/>
      <c r="AI4443" s="238"/>
      <c r="AJ4443" s="239"/>
      <c r="AK4443" s="238"/>
      <c r="AL4443" s="238"/>
      <c r="AM4443" s="234"/>
      <c r="AN4443" s="234"/>
      <c r="AO4443" s="234"/>
      <c r="AP4443" s="234"/>
      <c r="AQ4443" s="234"/>
    </row>
    <row r="4444" spans="1:43" ht="15" customHeight="1">
      <c r="A4444" s="1310">
        <v>41044</v>
      </c>
      <c r="B4444" s="1283" t="s">
        <v>665</v>
      </c>
      <c r="C4444" s="66"/>
      <c r="D4444" s="1283" t="s">
        <v>13906</v>
      </c>
      <c r="E4444" s="1283" t="s">
        <v>13912</v>
      </c>
      <c r="F4444" s="1292">
        <v>1</v>
      </c>
      <c r="G4444" s="1292">
        <v>186</v>
      </c>
      <c r="H4444" s="1292">
        <f t="shared" si="283"/>
        <v>186</v>
      </c>
      <c r="J4444" s="66"/>
      <c r="K4444" s="1328" t="s">
        <v>13908</v>
      </c>
      <c r="L4444" s="66"/>
      <c r="N4444" s="1283" t="s">
        <v>13838</v>
      </c>
      <c r="O4444" s="66"/>
      <c r="Q4444" s="1292">
        <v>8462</v>
      </c>
      <c r="R4444" s="91"/>
      <c r="S4444" s="91"/>
      <c r="T4444" s="91"/>
      <c r="U4444" s="236"/>
      <c r="V4444" s="1283" t="s">
        <v>13914</v>
      </c>
      <c r="W4444" s="236"/>
      <c r="X4444" s="1306">
        <v>41072</v>
      </c>
      <c r="Y4444" s="236"/>
      <c r="Z4444" s="1523">
        <v>8463</v>
      </c>
      <c r="AA4444" s="1291" t="s">
        <v>13913</v>
      </c>
      <c r="AB4444" s="1291" t="s">
        <v>13911</v>
      </c>
      <c r="AC4444" s="244"/>
      <c r="AD4444" s="244"/>
      <c r="AE4444" s="244"/>
      <c r="AF4444" s="244"/>
      <c r="AG4444" s="234"/>
      <c r="AH4444" s="234"/>
      <c r="AI4444" s="238"/>
      <c r="AJ4444" s="239"/>
      <c r="AK4444" s="238"/>
      <c r="AL4444" s="238"/>
      <c r="AM4444" s="234"/>
      <c r="AN4444" s="234"/>
      <c r="AO4444" s="234"/>
      <c r="AP4444" s="234"/>
      <c r="AQ4444" s="234"/>
    </row>
    <row r="4445" spans="1:43" ht="15" customHeight="1">
      <c r="A4445" s="1310">
        <v>41044</v>
      </c>
      <c r="B4445" s="1283" t="s">
        <v>665</v>
      </c>
      <c r="C4445" s="66"/>
      <c r="D4445" s="1283" t="s">
        <v>13906</v>
      </c>
      <c r="E4445" s="1283" t="s">
        <v>13915</v>
      </c>
      <c r="F4445" s="1292">
        <v>1</v>
      </c>
      <c r="G4445" s="1292">
        <v>79</v>
      </c>
      <c r="H4445" s="1292">
        <f t="shared" si="283"/>
        <v>79</v>
      </c>
      <c r="J4445" s="66"/>
      <c r="K4445" s="1328" t="s">
        <v>13916</v>
      </c>
      <c r="L4445" s="66"/>
      <c r="N4445" s="1283" t="s">
        <v>13838</v>
      </c>
      <c r="O4445" s="66"/>
      <c r="Q4445" s="66"/>
      <c r="R4445" s="91"/>
      <c r="S4445" s="91"/>
      <c r="T4445" s="91"/>
      <c r="U4445" s="236"/>
      <c r="V4445" s="1283" t="s">
        <v>8588</v>
      </c>
      <c r="W4445" s="236"/>
      <c r="X4445" s="1306">
        <v>41072</v>
      </c>
      <c r="Y4445" s="236"/>
      <c r="Z4445" s="1498"/>
      <c r="AA4445" s="1291" t="s">
        <v>13913</v>
      </c>
      <c r="AB4445" s="1291" t="s">
        <v>13917</v>
      </c>
      <c r="AC4445" s="244"/>
      <c r="AD4445" s="244"/>
      <c r="AE4445" s="244"/>
      <c r="AF4445" s="244"/>
      <c r="AG4445" s="234"/>
      <c r="AH4445" s="234"/>
      <c r="AI4445" s="238"/>
      <c r="AJ4445" s="239"/>
      <c r="AK4445" s="238"/>
      <c r="AL4445" s="238"/>
      <c r="AM4445" s="234"/>
      <c r="AN4445" s="234"/>
      <c r="AO4445" s="234"/>
      <c r="AP4445" s="234"/>
      <c r="AQ4445" s="234"/>
    </row>
    <row r="4446" spans="1:43" ht="15" customHeight="1">
      <c r="A4446" s="1310">
        <v>41044</v>
      </c>
      <c r="B4446" s="1283" t="s">
        <v>665</v>
      </c>
      <c r="C4446" s="66"/>
      <c r="D4446" s="1283" t="s">
        <v>13906</v>
      </c>
      <c r="E4446" s="1283" t="s">
        <v>13918</v>
      </c>
      <c r="F4446" s="1292">
        <v>1</v>
      </c>
      <c r="G4446" s="1292">
        <v>16</v>
      </c>
      <c r="H4446" s="1292">
        <f t="shared" si="283"/>
        <v>16</v>
      </c>
      <c r="J4446" s="66"/>
      <c r="K4446" s="1328" t="s">
        <v>13916</v>
      </c>
      <c r="L4446" s="66"/>
      <c r="N4446" s="1283" t="s">
        <v>13838</v>
      </c>
      <c r="O4446" s="66"/>
      <c r="Q4446" s="66"/>
      <c r="R4446" s="91"/>
      <c r="S4446" s="91"/>
      <c r="T4446" s="91"/>
      <c r="U4446" s="236"/>
      <c r="V4446" s="1283" t="s">
        <v>8588</v>
      </c>
      <c r="W4446" s="236"/>
      <c r="X4446" s="1306">
        <v>41072</v>
      </c>
      <c r="Y4446" s="236"/>
      <c r="Z4446" s="1498"/>
      <c r="AA4446" s="1291" t="s">
        <v>13913</v>
      </c>
      <c r="AB4446" s="1291" t="s">
        <v>13917</v>
      </c>
      <c r="AC4446" s="244"/>
      <c r="AD4446" s="244"/>
      <c r="AE4446" s="244"/>
      <c r="AF4446" s="244"/>
      <c r="AG4446" s="234"/>
      <c r="AH4446" s="234"/>
      <c r="AI4446" s="238"/>
      <c r="AJ4446" s="239"/>
      <c r="AK4446" s="238"/>
      <c r="AL4446" s="238"/>
      <c r="AM4446" s="234"/>
      <c r="AN4446" s="234"/>
      <c r="AO4446" s="234"/>
      <c r="AP4446" s="234"/>
      <c r="AQ4446" s="234"/>
    </row>
    <row r="4447" spans="1:43" ht="15" customHeight="1">
      <c r="A4447" s="1310">
        <v>41044</v>
      </c>
      <c r="B4447" s="1283" t="s">
        <v>665</v>
      </c>
      <c r="C4447" s="66"/>
      <c r="D4447" s="1283" t="s">
        <v>13906</v>
      </c>
      <c r="E4447" s="1283" t="s">
        <v>13919</v>
      </c>
      <c r="F4447" s="1292">
        <v>2</v>
      </c>
      <c r="G4447" s="1292">
        <v>4</v>
      </c>
      <c r="H4447" s="1292">
        <f t="shared" si="283"/>
        <v>8</v>
      </c>
      <c r="J4447" s="66"/>
      <c r="K4447" s="1328" t="s">
        <v>13916</v>
      </c>
      <c r="L4447" s="66"/>
      <c r="N4447" s="1283" t="s">
        <v>13838</v>
      </c>
      <c r="O4447" s="66"/>
      <c r="Q4447" s="66"/>
      <c r="R4447" s="91"/>
      <c r="S4447" s="91"/>
      <c r="T4447" s="91"/>
      <c r="U4447" s="236"/>
      <c r="V4447" s="1283" t="s">
        <v>8588</v>
      </c>
      <c r="W4447" s="236"/>
      <c r="X4447" s="1306">
        <v>41072</v>
      </c>
      <c r="Y4447" s="236"/>
      <c r="Z4447" s="1499"/>
      <c r="AA4447" s="1291" t="s">
        <v>13913</v>
      </c>
      <c r="AB4447" s="1291" t="s">
        <v>13917</v>
      </c>
      <c r="AC4447" s="244"/>
      <c r="AD4447" s="244"/>
      <c r="AE4447" s="244"/>
      <c r="AF4447" s="244"/>
      <c r="AG4447" s="234"/>
      <c r="AH4447" s="234"/>
      <c r="AI4447" s="238"/>
      <c r="AJ4447" s="239"/>
      <c r="AK4447" s="238"/>
      <c r="AL4447" s="238"/>
      <c r="AM4447" s="234"/>
      <c r="AN4447" s="234"/>
      <c r="AO4447" s="234"/>
      <c r="AP4447" s="234"/>
      <c r="AQ4447" s="234"/>
    </row>
    <row r="4448" spans="1:43" ht="15" customHeight="1">
      <c r="A4448" s="1310">
        <v>41044</v>
      </c>
      <c r="B4448" s="1283" t="s">
        <v>665</v>
      </c>
      <c r="C4448" s="66"/>
      <c r="D4448" s="1283" t="s">
        <v>13906</v>
      </c>
      <c r="E4448" s="1329" t="s">
        <v>13920</v>
      </c>
      <c r="F4448" s="1292">
        <v>1</v>
      </c>
      <c r="G4448" s="1292">
        <v>90</v>
      </c>
      <c r="H4448" s="1292">
        <f t="shared" si="283"/>
        <v>90</v>
      </c>
      <c r="J4448" s="66"/>
      <c r="K4448" s="1328" t="s">
        <v>13908</v>
      </c>
      <c r="L4448" s="66"/>
      <c r="N4448" s="1283" t="s">
        <v>13921</v>
      </c>
      <c r="O4448" s="66"/>
      <c r="Q4448" s="66"/>
      <c r="R4448" s="91"/>
      <c r="S4448" s="91"/>
      <c r="T4448" s="91"/>
      <c r="U4448" s="236"/>
      <c r="V4448" s="66"/>
      <c r="W4448" s="236"/>
      <c r="X4448" s="66"/>
      <c r="Y4448" s="236"/>
      <c r="Z4448" s="1283" t="s">
        <v>13922</v>
      </c>
      <c r="AA4448" s="1291" t="s">
        <v>13564</v>
      </c>
      <c r="AB4448" s="1291" t="s">
        <v>13923</v>
      </c>
      <c r="AC4448" s="244"/>
      <c r="AD4448" s="244"/>
      <c r="AE4448" s="244"/>
      <c r="AF4448" s="244"/>
      <c r="AG4448" s="234"/>
      <c r="AH4448" s="234"/>
      <c r="AI4448" s="238"/>
      <c r="AJ4448" s="239"/>
      <c r="AK4448" s="238"/>
      <c r="AL4448" s="238"/>
      <c r="AM4448" s="234"/>
      <c r="AN4448" s="234"/>
      <c r="AO4448" s="234"/>
      <c r="AP4448" s="234"/>
      <c r="AQ4448" s="234"/>
    </row>
    <row r="4449" spans="1:43" ht="15" customHeight="1">
      <c r="A4449" s="1310">
        <v>41054</v>
      </c>
      <c r="B4449" s="1283" t="s">
        <v>13924</v>
      </c>
      <c r="C4449" s="66"/>
      <c r="D4449" s="1330" t="s">
        <v>13925</v>
      </c>
      <c r="E4449" s="1283" t="s">
        <v>13926</v>
      </c>
      <c r="F4449" s="1292">
        <v>510</v>
      </c>
      <c r="G4449" s="1292">
        <v>61</v>
      </c>
      <c r="H4449" s="1292">
        <f t="shared" si="283"/>
        <v>31110</v>
      </c>
      <c r="J4449" s="66"/>
      <c r="K4449" s="1328" t="s">
        <v>13908</v>
      </c>
      <c r="L4449" s="66"/>
      <c r="N4449" s="1283" t="s">
        <v>89</v>
      </c>
      <c r="O4449" s="66"/>
      <c r="Q4449" s="1331" t="s">
        <v>13929</v>
      </c>
      <c r="R4449" s="91"/>
      <c r="S4449" s="91"/>
      <c r="T4449" s="91"/>
      <c r="U4449" s="236"/>
      <c r="V4449" s="1283" t="s">
        <v>13928</v>
      </c>
      <c r="W4449" s="236"/>
      <c r="X4449" s="1306">
        <v>41075</v>
      </c>
      <c r="Y4449" s="236"/>
      <c r="Z4449" s="1296">
        <v>833430</v>
      </c>
      <c r="AA4449" s="1291" t="s">
        <v>13927</v>
      </c>
      <c r="AB4449" s="1291" t="s">
        <v>13930</v>
      </c>
      <c r="AC4449" s="244"/>
      <c r="AD4449" s="244"/>
      <c r="AE4449" s="244"/>
      <c r="AF4449" s="244"/>
      <c r="AG4449" s="234"/>
      <c r="AH4449" s="234"/>
      <c r="AI4449" s="238"/>
      <c r="AJ4449" s="239"/>
      <c r="AK4449" s="238"/>
      <c r="AL4449" s="238"/>
      <c r="AM4449" s="234"/>
      <c r="AN4449" s="234"/>
      <c r="AO4449" s="234"/>
      <c r="AP4449" s="234"/>
      <c r="AQ4449" s="234"/>
    </row>
    <row r="4450" spans="1:43" ht="15" customHeight="1">
      <c r="A4450" s="1310">
        <v>41054</v>
      </c>
      <c r="B4450" s="1283" t="s">
        <v>13924</v>
      </c>
      <c r="C4450" s="66"/>
      <c r="D4450" s="1330" t="s">
        <v>13925</v>
      </c>
      <c r="E4450" s="1283" t="s">
        <v>13857</v>
      </c>
      <c r="F4450" s="1292">
        <v>5</v>
      </c>
      <c r="G4450" s="1292">
        <v>72</v>
      </c>
      <c r="H4450" s="1292">
        <f t="shared" si="283"/>
        <v>360</v>
      </c>
      <c r="J4450" s="66"/>
      <c r="K4450" s="1328" t="s">
        <v>13908</v>
      </c>
      <c r="L4450" s="66"/>
      <c r="N4450" s="1283" t="s">
        <v>89</v>
      </c>
      <c r="O4450" s="66"/>
      <c r="Q4450" s="66"/>
      <c r="R4450" s="91"/>
      <c r="S4450" s="91"/>
      <c r="T4450" s="91"/>
      <c r="U4450" s="236"/>
      <c r="V4450" s="1283" t="s">
        <v>13928</v>
      </c>
      <c r="W4450" s="236"/>
      <c r="X4450" s="1306">
        <v>41075</v>
      </c>
      <c r="Y4450" s="236"/>
      <c r="Z4450" s="1296">
        <v>8643</v>
      </c>
      <c r="AA4450" s="1291" t="s">
        <v>13927</v>
      </c>
      <c r="AB4450" s="1291" t="s">
        <v>13930</v>
      </c>
      <c r="AC4450" s="244"/>
      <c r="AD4450" s="244"/>
      <c r="AE4450" s="244"/>
      <c r="AF4450" s="244"/>
      <c r="AG4450" s="234"/>
      <c r="AH4450" s="234"/>
      <c r="AI4450" s="238"/>
      <c r="AJ4450" s="239"/>
      <c r="AK4450" s="238"/>
      <c r="AL4450" s="238"/>
      <c r="AM4450" s="234"/>
      <c r="AN4450" s="234"/>
      <c r="AO4450" s="234"/>
      <c r="AP4450" s="234"/>
      <c r="AQ4450" s="234"/>
    </row>
    <row r="4451" spans="1:43" ht="15" customHeight="1">
      <c r="A4451" s="1310">
        <v>41054</v>
      </c>
      <c r="B4451" s="1283" t="s">
        <v>13924</v>
      </c>
      <c r="C4451" s="66"/>
      <c r="D4451" s="1330" t="s">
        <v>13925</v>
      </c>
      <c r="E4451" s="1283" t="s">
        <v>13931</v>
      </c>
      <c r="F4451" s="1292">
        <v>200</v>
      </c>
      <c r="G4451" s="1292">
        <v>23</v>
      </c>
      <c r="H4451" s="1292">
        <f t="shared" si="283"/>
        <v>4600</v>
      </c>
      <c r="J4451" s="66"/>
      <c r="K4451" s="1328" t="s">
        <v>13908</v>
      </c>
      <c r="L4451" s="66"/>
      <c r="N4451" s="1283" t="s">
        <v>302</v>
      </c>
      <c r="O4451" s="66"/>
      <c r="Q4451" s="1292">
        <v>63000</v>
      </c>
      <c r="R4451" s="91"/>
      <c r="S4451" s="91"/>
      <c r="T4451" s="91"/>
      <c r="U4451" s="236"/>
      <c r="V4451" s="1283" t="s">
        <v>13471</v>
      </c>
      <c r="W4451" s="236"/>
      <c r="X4451" s="1306">
        <v>41071</v>
      </c>
      <c r="Y4451" s="236"/>
      <c r="Z4451" s="1296">
        <v>63000</v>
      </c>
      <c r="AA4451" s="1291" t="s">
        <v>13927</v>
      </c>
      <c r="AB4451" s="1291" t="s">
        <v>13930</v>
      </c>
      <c r="AC4451" s="244"/>
      <c r="AD4451" s="244"/>
      <c r="AE4451" s="244"/>
      <c r="AF4451" s="244"/>
      <c r="AG4451" s="234"/>
      <c r="AH4451" s="234"/>
      <c r="AI4451" s="238"/>
      <c r="AJ4451" s="239"/>
      <c r="AK4451" s="238"/>
      <c r="AL4451" s="238"/>
      <c r="AM4451" s="234"/>
      <c r="AN4451" s="234"/>
      <c r="AO4451" s="234"/>
      <c r="AP4451" s="234"/>
      <c r="AQ4451" s="234"/>
    </row>
    <row r="4452" spans="1:43" ht="15" customHeight="1">
      <c r="A4452" s="1310">
        <v>41061</v>
      </c>
      <c r="B4452" s="1283" t="s">
        <v>13899</v>
      </c>
      <c r="C4452" s="66"/>
      <c r="D4452" s="1283" t="s">
        <v>13932</v>
      </c>
      <c r="E4452" s="1283" t="s">
        <v>13933</v>
      </c>
      <c r="F4452" s="1292">
        <v>1</v>
      </c>
      <c r="G4452" s="1292">
        <v>1790</v>
      </c>
      <c r="H4452" s="1326">
        <f t="shared" si="283"/>
        <v>1790</v>
      </c>
      <c r="J4452" s="1321" t="s">
        <v>13935</v>
      </c>
      <c r="K4452" s="1303" t="s">
        <v>13934</v>
      </c>
      <c r="L4452" s="1322" t="s">
        <v>12379</v>
      </c>
      <c r="N4452" s="1283" t="s">
        <v>13936</v>
      </c>
      <c r="O4452" s="66"/>
      <c r="Q4452" s="1292">
        <v>48993</v>
      </c>
      <c r="R4452" s="91"/>
      <c r="S4452" s="91"/>
      <c r="T4452" s="91"/>
      <c r="U4452" s="236"/>
      <c r="V4452" s="66"/>
      <c r="W4452" s="236"/>
      <c r="X4452" s="1306">
        <v>41106</v>
      </c>
      <c r="Y4452" s="236"/>
      <c r="Z4452" s="1308">
        <v>48993</v>
      </c>
      <c r="AA4452" s="1291" t="s">
        <v>13564</v>
      </c>
      <c r="AB4452" s="451" t="s">
        <v>13937</v>
      </c>
      <c r="AC4452" s="244"/>
      <c r="AD4452" s="244"/>
      <c r="AE4452" s="244"/>
      <c r="AF4452" s="244"/>
      <c r="AG4452" s="234"/>
      <c r="AH4452" s="234"/>
      <c r="AI4452" s="238"/>
      <c r="AJ4452" s="239"/>
      <c r="AK4452" s="238"/>
      <c r="AL4452" s="238"/>
      <c r="AM4452" s="234"/>
      <c r="AN4452" s="234"/>
      <c r="AO4452" s="234"/>
      <c r="AP4452" s="234"/>
      <c r="AQ4452" s="234"/>
    </row>
    <row r="4453" spans="1:43" ht="15" customHeight="1">
      <c r="A4453" s="1310">
        <v>41084</v>
      </c>
      <c r="B4453" s="1283" t="s">
        <v>1189</v>
      </c>
      <c r="C4453" s="1283" t="s">
        <v>13938</v>
      </c>
      <c r="D4453" s="1283" t="s">
        <v>13939</v>
      </c>
      <c r="E4453" s="1283" t="s">
        <v>12387</v>
      </c>
      <c r="F4453" s="1292">
        <v>200</v>
      </c>
      <c r="G4453" s="1292">
        <v>37</v>
      </c>
      <c r="H4453" s="1292">
        <f>G4453*F4453</f>
        <v>7400</v>
      </c>
      <c r="J4453" s="1283" t="s">
        <v>920</v>
      </c>
      <c r="K4453" s="1332" t="s">
        <v>13940</v>
      </c>
      <c r="L4453" s="1322" t="s">
        <v>12388</v>
      </c>
      <c r="N4453" s="1283" t="s">
        <v>12389</v>
      </c>
      <c r="O4453" s="66"/>
      <c r="Q4453" s="1326">
        <v>210000</v>
      </c>
      <c r="R4453" s="91"/>
      <c r="S4453" s="91"/>
      <c r="T4453" s="91"/>
      <c r="U4453" s="236"/>
      <c r="V4453" s="1301" t="s">
        <v>2413</v>
      </c>
      <c r="W4453" s="236"/>
      <c r="X4453" s="1283" t="s">
        <v>13942</v>
      </c>
      <c r="Y4453" s="236"/>
      <c r="Z4453" s="1333" t="s">
        <v>13943</v>
      </c>
      <c r="AA4453" s="1291" t="s">
        <v>13941</v>
      </c>
      <c r="AB4453" s="1291" t="s">
        <v>13944</v>
      </c>
      <c r="AC4453" s="244"/>
      <c r="AD4453" s="244"/>
      <c r="AE4453" s="244"/>
      <c r="AF4453" s="244"/>
      <c r="AG4453" s="234"/>
      <c r="AH4453" s="234"/>
      <c r="AI4453" s="238"/>
      <c r="AJ4453" s="239"/>
      <c r="AK4453" s="238"/>
      <c r="AL4453" s="238"/>
      <c r="AM4453" s="234"/>
      <c r="AN4453" s="234"/>
      <c r="AO4453" s="234"/>
      <c r="AP4453" s="234"/>
      <c r="AQ4453" s="234"/>
    </row>
    <row r="4454" spans="1:43" ht="15" customHeight="1">
      <c r="A4454" s="1310">
        <v>41087</v>
      </c>
      <c r="B4454" s="1283" t="s">
        <v>1189</v>
      </c>
      <c r="C4454" s="1283" t="s">
        <v>13945</v>
      </c>
      <c r="D4454" s="1283" t="s">
        <v>13946</v>
      </c>
      <c r="E4454" s="1283" t="s">
        <v>13947</v>
      </c>
      <c r="F4454" s="1292">
        <v>10</v>
      </c>
      <c r="G4454" s="1292">
        <v>300</v>
      </c>
      <c r="H4454" s="1292">
        <f>G4454*F4454</f>
        <v>3000</v>
      </c>
      <c r="J4454" s="1283" t="s">
        <v>920</v>
      </c>
      <c r="K4454" s="1320">
        <v>41134</v>
      </c>
      <c r="L4454" s="1322" t="s">
        <v>12379</v>
      </c>
      <c r="N4454" s="1283" t="s">
        <v>13948</v>
      </c>
      <c r="O4454" s="66"/>
      <c r="Q4454" s="1292">
        <v>88000</v>
      </c>
      <c r="R4454" s="91"/>
      <c r="S4454" s="91"/>
      <c r="T4454" s="91"/>
      <c r="U4454" s="236"/>
      <c r="V4454" s="66"/>
      <c r="W4454" s="236"/>
      <c r="X4454" s="1306">
        <v>41102</v>
      </c>
      <c r="Y4454" s="236"/>
      <c r="Z4454" s="1296">
        <v>88000</v>
      </c>
      <c r="AA4454" s="1291" t="s">
        <v>13564</v>
      </c>
      <c r="AB4454" s="1311" t="s">
        <v>13949</v>
      </c>
      <c r="AC4454" s="244"/>
      <c r="AD4454" s="244"/>
      <c r="AE4454" s="244"/>
      <c r="AF4454" s="244"/>
      <c r="AG4454" s="234"/>
      <c r="AH4454" s="234"/>
      <c r="AI4454" s="238"/>
      <c r="AJ4454" s="239"/>
      <c r="AK4454" s="238"/>
      <c r="AL4454" s="238"/>
      <c r="AM4454" s="234"/>
      <c r="AN4454" s="234"/>
      <c r="AO4454" s="234"/>
      <c r="AP4454" s="234"/>
      <c r="AQ4454" s="234"/>
    </row>
    <row r="4455" spans="1:43" ht="15" customHeight="1">
      <c r="A4455" s="1310">
        <v>41092</v>
      </c>
      <c r="B4455" s="1283" t="s">
        <v>1189</v>
      </c>
      <c r="C4455" s="1283" t="s">
        <v>13950</v>
      </c>
      <c r="D4455" s="1283" t="s">
        <v>13951</v>
      </c>
      <c r="E4455" s="1283" t="s">
        <v>13947</v>
      </c>
      <c r="F4455" s="1292">
        <v>10</v>
      </c>
      <c r="G4455" s="1292">
        <v>300</v>
      </c>
      <c r="H4455" s="1292">
        <v>3018.5</v>
      </c>
      <c r="J4455" s="1283" t="s">
        <v>920</v>
      </c>
      <c r="K4455" s="1320">
        <v>41134</v>
      </c>
      <c r="L4455" s="1322" t="s">
        <v>12379</v>
      </c>
      <c r="N4455" s="1283" t="s">
        <v>13948</v>
      </c>
      <c r="O4455" s="66"/>
      <c r="Q4455" s="1292">
        <v>88000</v>
      </c>
      <c r="R4455" s="91"/>
      <c r="S4455" s="91"/>
      <c r="T4455" s="91"/>
      <c r="U4455" s="236"/>
      <c r="V4455" s="66"/>
      <c r="W4455" s="236"/>
      <c r="X4455" s="1306">
        <v>41102</v>
      </c>
      <c r="Y4455" s="236"/>
      <c r="Z4455" s="1296">
        <v>88000</v>
      </c>
      <c r="AA4455" s="1291" t="s">
        <v>13564</v>
      </c>
      <c r="AB4455" s="1311" t="s">
        <v>13949</v>
      </c>
      <c r="AC4455" s="244"/>
      <c r="AD4455" s="244"/>
      <c r="AE4455" s="244"/>
      <c r="AF4455" s="244"/>
      <c r="AG4455" s="234"/>
      <c r="AH4455" s="234"/>
      <c r="AI4455" s="238"/>
      <c r="AJ4455" s="239"/>
      <c r="AK4455" s="238"/>
      <c r="AL4455" s="238"/>
      <c r="AM4455" s="234"/>
      <c r="AN4455" s="234"/>
      <c r="AO4455" s="234"/>
      <c r="AP4455" s="234"/>
      <c r="AQ4455" s="234"/>
    </row>
    <row r="4456" spans="1:43" ht="15" customHeight="1">
      <c r="A4456" s="1310">
        <v>41099</v>
      </c>
      <c r="B4456" s="1283" t="s">
        <v>13952</v>
      </c>
      <c r="C4456" s="66"/>
      <c r="D4456" s="1283" t="s">
        <v>13953</v>
      </c>
      <c r="E4456" s="1283" t="s">
        <v>13582</v>
      </c>
      <c r="F4456" s="1292">
        <v>40</v>
      </c>
      <c r="G4456" s="1292">
        <v>10.5</v>
      </c>
      <c r="H4456" s="1292">
        <f t="shared" ref="H4456:H4483" si="284">G4456*F4456</f>
        <v>420</v>
      </c>
      <c r="J4456" s="1283" t="s">
        <v>13954</v>
      </c>
      <c r="K4456" s="1294">
        <v>41131</v>
      </c>
      <c r="L4456" s="1322" t="s">
        <v>12379</v>
      </c>
      <c r="N4456" s="1283" t="s">
        <v>302</v>
      </c>
      <c r="O4456" s="66"/>
      <c r="Q4456" s="1292">
        <v>7660</v>
      </c>
      <c r="R4456" s="91"/>
      <c r="S4456" s="91"/>
      <c r="T4456" s="91"/>
      <c r="U4456" s="236"/>
      <c r="V4456" s="1283" t="s">
        <v>13471</v>
      </c>
      <c r="W4456" s="236"/>
      <c r="X4456" s="1306">
        <v>41128</v>
      </c>
      <c r="Y4456" s="236"/>
      <c r="Z4456" s="1296">
        <v>7665</v>
      </c>
      <c r="AA4456" s="1291" t="s">
        <v>13955</v>
      </c>
      <c r="AB4456" s="451" t="s">
        <v>13956</v>
      </c>
      <c r="AC4456" s="244"/>
      <c r="AD4456" s="244"/>
      <c r="AE4456" s="244"/>
      <c r="AF4456" s="244"/>
      <c r="AG4456" s="234"/>
      <c r="AH4456" s="234"/>
      <c r="AI4456" s="238"/>
      <c r="AJ4456" s="239"/>
      <c r="AK4456" s="238"/>
      <c r="AL4456" s="238"/>
      <c r="AM4456" s="234"/>
      <c r="AN4456" s="234"/>
      <c r="AO4456" s="234"/>
      <c r="AP4456" s="234"/>
      <c r="AQ4456" s="234"/>
    </row>
    <row r="4457" spans="1:43" ht="15" customHeight="1">
      <c r="A4457" s="1310">
        <v>41099</v>
      </c>
      <c r="B4457" s="1283" t="s">
        <v>13952</v>
      </c>
      <c r="C4457" s="66"/>
      <c r="D4457" s="1283" t="s">
        <v>13957</v>
      </c>
      <c r="E4457" s="1283" t="s">
        <v>12081</v>
      </c>
      <c r="F4457" s="1292">
        <v>40</v>
      </c>
      <c r="G4457" s="1292">
        <v>86</v>
      </c>
      <c r="H4457" s="1292">
        <f t="shared" si="284"/>
        <v>3440</v>
      </c>
      <c r="J4457" s="1283" t="s">
        <v>13958</v>
      </c>
      <c r="K4457" s="1320">
        <v>41131</v>
      </c>
      <c r="L4457" s="1322" t="s">
        <v>89</v>
      </c>
      <c r="N4457" s="1283" t="s">
        <v>89</v>
      </c>
      <c r="O4457" s="66"/>
      <c r="Q4457" s="1316" t="s">
        <v>13959</v>
      </c>
      <c r="R4457" s="91"/>
      <c r="S4457" s="91"/>
      <c r="T4457" s="91"/>
      <c r="U4457" s="236"/>
      <c r="V4457" s="1301" t="s">
        <v>13414</v>
      </c>
      <c r="W4457" s="236"/>
      <c r="X4457" s="1306">
        <v>41130</v>
      </c>
      <c r="Y4457" s="236"/>
      <c r="Z4457" s="1334">
        <v>98690</v>
      </c>
      <c r="AA4457" s="1291">
        <v>20120913</v>
      </c>
      <c r="AB4457" s="451" t="s">
        <v>13956</v>
      </c>
      <c r="AC4457" s="244"/>
      <c r="AD4457" s="244"/>
      <c r="AE4457" s="244"/>
      <c r="AF4457" s="244"/>
      <c r="AG4457" s="234"/>
      <c r="AH4457" s="234"/>
      <c r="AI4457" s="238"/>
      <c r="AJ4457" s="239"/>
      <c r="AK4457" s="238"/>
      <c r="AL4457" s="238"/>
      <c r="AM4457" s="234"/>
      <c r="AN4457" s="234"/>
      <c r="AO4457" s="234"/>
      <c r="AP4457" s="234"/>
      <c r="AQ4457" s="234"/>
    </row>
    <row r="4458" spans="1:43" ht="15" customHeight="1">
      <c r="A4458" s="1310">
        <v>41170</v>
      </c>
      <c r="B4458" s="1283" t="s">
        <v>12425</v>
      </c>
      <c r="C4458" s="1283" t="s">
        <v>13960</v>
      </c>
      <c r="D4458" s="1283" t="s">
        <v>13961</v>
      </c>
      <c r="E4458" s="1283" t="s">
        <v>9189</v>
      </c>
      <c r="F4458" s="1292">
        <v>80</v>
      </c>
      <c r="G4458" s="1292">
        <v>184</v>
      </c>
      <c r="H4458" s="1292">
        <f t="shared" si="284"/>
        <v>14720</v>
      </c>
      <c r="J4458" s="1283" t="s">
        <v>13962</v>
      </c>
      <c r="K4458" s="1304">
        <v>41184</v>
      </c>
      <c r="L4458" s="1335" t="s">
        <v>89</v>
      </c>
      <c r="N4458" s="1283" t="s">
        <v>89</v>
      </c>
      <c r="O4458" s="66"/>
      <c r="Q4458" s="1336" t="s">
        <v>13963</v>
      </c>
      <c r="R4458" s="91"/>
      <c r="S4458" s="91"/>
      <c r="T4458" s="91"/>
      <c r="U4458" s="236"/>
      <c r="V4458" s="1301" t="s">
        <v>13414</v>
      </c>
      <c r="W4458" s="236"/>
      <c r="X4458" s="1306">
        <v>41180</v>
      </c>
      <c r="Y4458" s="236"/>
      <c r="Z4458" s="1296">
        <v>382007</v>
      </c>
      <c r="AA4458" s="1291">
        <v>20120927</v>
      </c>
      <c r="AB4458" s="1291" t="s">
        <v>13964</v>
      </c>
      <c r="AC4458" s="244"/>
      <c r="AD4458" s="244"/>
      <c r="AE4458" s="244"/>
      <c r="AF4458" s="244"/>
      <c r="AG4458" s="234"/>
      <c r="AH4458" s="234"/>
      <c r="AI4458" s="238"/>
      <c r="AJ4458" s="239"/>
      <c r="AK4458" s="238"/>
      <c r="AL4458" s="238"/>
      <c r="AM4458" s="234"/>
      <c r="AN4458" s="234"/>
      <c r="AO4458" s="234"/>
      <c r="AP4458" s="234"/>
      <c r="AQ4458" s="234"/>
    </row>
    <row r="4459" spans="1:43" ht="15" customHeight="1">
      <c r="A4459" s="1310">
        <v>41170</v>
      </c>
      <c r="B4459" s="1283" t="s">
        <v>12425</v>
      </c>
      <c r="C4459" s="1283" t="s">
        <v>13960</v>
      </c>
      <c r="D4459" s="1283" t="s">
        <v>13961</v>
      </c>
      <c r="E4459" s="1283" t="s">
        <v>13965</v>
      </c>
      <c r="F4459" s="1292">
        <v>80</v>
      </c>
      <c r="G4459" s="1292">
        <v>20.5</v>
      </c>
      <c r="H4459" s="1292">
        <f t="shared" si="284"/>
        <v>1640</v>
      </c>
      <c r="J4459" s="1283" t="s">
        <v>13962</v>
      </c>
      <c r="K4459" s="1304">
        <v>41184</v>
      </c>
      <c r="L4459" s="1322" t="s">
        <v>12379</v>
      </c>
      <c r="N4459" s="1283" t="s">
        <v>302</v>
      </c>
      <c r="O4459" s="66"/>
      <c r="Q4459" s="1292">
        <v>37800</v>
      </c>
      <c r="R4459" s="91"/>
      <c r="S4459" s="91"/>
      <c r="T4459" s="91"/>
      <c r="U4459" s="236"/>
      <c r="V4459" s="1283" t="s">
        <v>13471</v>
      </c>
      <c r="W4459" s="236"/>
      <c r="X4459" s="1306">
        <v>41176</v>
      </c>
      <c r="Y4459" s="236"/>
      <c r="Z4459" s="1296">
        <v>37800</v>
      </c>
      <c r="AA4459" s="1291">
        <v>20120927</v>
      </c>
      <c r="AB4459" s="1291" t="s">
        <v>13964</v>
      </c>
      <c r="AC4459" s="244"/>
      <c r="AD4459" s="244"/>
      <c r="AE4459" s="244"/>
      <c r="AF4459" s="244"/>
      <c r="AG4459" s="234"/>
      <c r="AH4459" s="234"/>
      <c r="AI4459" s="238"/>
      <c r="AJ4459" s="239"/>
      <c r="AK4459" s="238"/>
      <c r="AL4459" s="238"/>
      <c r="AM4459" s="234"/>
      <c r="AN4459" s="234"/>
      <c r="AO4459" s="234"/>
      <c r="AP4459" s="234"/>
      <c r="AQ4459" s="234"/>
    </row>
    <row r="4460" spans="1:43" ht="15" customHeight="1">
      <c r="A4460" s="1310">
        <v>41170</v>
      </c>
      <c r="B4460" s="1283" t="s">
        <v>7204</v>
      </c>
      <c r="C4460" s="1283" t="s">
        <v>13966</v>
      </c>
      <c r="D4460" s="1283" t="s">
        <v>13967</v>
      </c>
      <c r="E4460" s="1283" t="s">
        <v>13426</v>
      </c>
      <c r="F4460" s="1292">
        <v>3</v>
      </c>
      <c r="G4460" s="1292">
        <v>240</v>
      </c>
      <c r="H4460" s="1292">
        <f t="shared" si="284"/>
        <v>720</v>
      </c>
      <c r="J4460" s="1283" t="s">
        <v>13968</v>
      </c>
      <c r="K4460" s="1304">
        <v>41177</v>
      </c>
      <c r="L4460" s="1322" t="s">
        <v>12379</v>
      </c>
      <c r="N4460" s="1283" t="s">
        <v>89</v>
      </c>
      <c r="O4460" s="66"/>
      <c r="Q4460" s="1336" t="s">
        <v>13969</v>
      </c>
      <c r="R4460" s="91"/>
      <c r="S4460" s="91"/>
      <c r="T4460" s="91"/>
      <c r="U4460" s="236"/>
      <c r="V4460" s="1301" t="s">
        <v>13414</v>
      </c>
      <c r="W4460" s="236"/>
      <c r="X4460" s="1306">
        <v>41173</v>
      </c>
      <c r="Y4460" s="236"/>
      <c r="Z4460" s="1296">
        <v>18022</v>
      </c>
      <c r="AA4460" s="1291">
        <v>20120927</v>
      </c>
      <c r="AB4460" s="1291" t="s">
        <v>13970</v>
      </c>
      <c r="AC4460" s="244"/>
      <c r="AD4460" s="244"/>
      <c r="AE4460" s="244"/>
      <c r="AF4460" s="244"/>
      <c r="AG4460" s="234"/>
      <c r="AH4460" s="234"/>
      <c r="AI4460" s="238"/>
      <c r="AJ4460" s="239"/>
      <c r="AK4460" s="238"/>
      <c r="AL4460" s="238"/>
      <c r="AM4460" s="234"/>
      <c r="AN4460" s="234"/>
      <c r="AO4460" s="234"/>
      <c r="AP4460" s="234"/>
      <c r="AQ4460" s="234"/>
    </row>
    <row r="4461" spans="1:43" ht="15" customHeight="1">
      <c r="A4461" s="1310">
        <v>41170</v>
      </c>
      <c r="B4461" s="1283" t="s">
        <v>7204</v>
      </c>
      <c r="C4461" s="1283" t="s">
        <v>13966</v>
      </c>
      <c r="D4461" s="1283" t="s">
        <v>13967</v>
      </c>
      <c r="E4461" s="1275" t="s">
        <v>13971</v>
      </c>
      <c r="F4461" s="1292">
        <v>3</v>
      </c>
      <c r="G4461" s="1292">
        <v>35</v>
      </c>
      <c r="H4461" s="1292">
        <f t="shared" si="284"/>
        <v>105</v>
      </c>
      <c r="J4461" s="1283" t="s">
        <v>13972</v>
      </c>
      <c r="K4461" s="1304">
        <v>41177</v>
      </c>
      <c r="L4461" s="1322" t="s">
        <v>12379</v>
      </c>
      <c r="N4461" s="1283" t="s">
        <v>302</v>
      </c>
      <c r="O4461" s="66"/>
      <c r="Q4461" s="1292">
        <v>1701</v>
      </c>
      <c r="R4461" s="91"/>
      <c r="S4461" s="91"/>
      <c r="T4461" s="91"/>
      <c r="U4461" s="236"/>
      <c r="V4461" s="1283" t="s">
        <v>13471</v>
      </c>
      <c r="W4461" s="236"/>
      <c r="X4461" s="1306">
        <v>41176</v>
      </c>
      <c r="Y4461" s="236"/>
      <c r="Z4461" s="1296">
        <v>1701</v>
      </c>
      <c r="AA4461" s="1291">
        <v>20120927</v>
      </c>
      <c r="AB4461" s="1291" t="s">
        <v>13970</v>
      </c>
      <c r="AC4461" s="244"/>
      <c r="AD4461" s="244"/>
      <c r="AE4461" s="244"/>
      <c r="AF4461" s="244"/>
      <c r="AG4461" s="234"/>
      <c r="AH4461" s="234"/>
      <c r="AI4461" s="238"/>
      <c r="AJ4461" s="239"/>
      <c r="AK4461" s="238"/>
      <c r="AL4461" s="238"/>
      <c r="AM4461" s="234"/>
      <c r="AN4461" s="234"/>
      <c r="AO4461" s="234"/>
      <c r="AP4461" s="234"/>
      <c r="AQ4461" s="234"/>
    </row>
    <row r="4462" spans="1:43" ht="15" customHeight="1">
      <c r="A4462" s="1310">
        <v>41171</v>
      </c>
      <c r="B4462" s="1283" t="s">
        <v>665</v>
      </c>
      <c r="C4462" s="1283" t="s">
        <v>13973</v>
      </c>
      <c r="D4462" s="1275" t="s">
        <v>13974</v>
      </c>
      <c r="E4462" s="1283" t="s">
        <v>8693</v>
      </c>
      <c r="F4462" s="1292">
        <v>8</v>
      </c>
      <c r="G4462" s="1292">
        <v>103</v>
      </c>
      <c r="H4462" s="1292">
        <f t="shared" si="284"/>
        <v>824</v>
      </c>
      <c r="J4462" s="1283" t="s">
        <v>13975</v>
      </c>
      <c r="K4462" s="1312">
        <v>41185</v>
      </c>
      <c r="L4462" s="1335" t="s">
        <v>89</v>
      </c>
      <c r="N4462" s="1283" t="s">
        <v>89</v>
      </c>
      <c r="O4462" s="66"/>
      <c r="Q4462" s="1524" t="s">
        <v>13976</v>
      </c>
      <c r="R4462" s="91"/>
      <c r="S4462" s="91"/>
      <c r="T4462" s="91"/>
      <c r="U4462" s="236"/>
      <c r="V4462" s="1301" t="s">
        <v>13414</v>
      </c>
      <c r="W4462" s="236"/>
      <c r="X4462" s="1525">
        <v>41185</v>
      </c>
      <c r="Y4462" s="236"/>
      <c r="Z4462" s="1523">
        <v>166699</v>
      </c>
      <c r="AA4462" s="1291" t="s">
        <v>13564</v>
      </c>
      <c r="AB4462" s="1291" t="s">
        <v>13977</v>
      </c>
      <c r="AC4462" s="244"/>
      <c r="AD4462" s="244"/>
      <c r="AE4462" s="244"/>
      <c r="AF4462" s="244"/>
      <c r="AG4462" s="234"/>
      <c r="AH4462" s="234"/>
      <c r="AI4462" s="238"/>
      <c r="AJ4462" s="239"/>
      <c r="AK4462" s="238"/>
      <c r="AL4462" s="238"/>
      <c r="AM4462" s="234"/>
      <c r="AN4462" s="234"/>
      <c r="AO4462" s="234"/>
      <c r="AP4462" s="234"/>
      <c r="AQ4462" s="234"/>
    </row>
    <row r="4463" spans="1:43" ht="15" customHeight="1">
      <c r="A4463" s="1310">
        <v>41171</v>
      </c>
      <c r="B4463" s="1283" t="s">
        <v>665</v>
      </c>
      <c r="C4463" s="1283" t="s">
        <v>13973</v>
      </c>
      <c r="D4463" s="1283" t="s">
        <v>13974</v>
      </c>
      <c r="E4463" s="1283" t="s">
        <v>8353</v>
      </c>
      <c r="F4463" s="1292">
        <v>3</v>
      </c>
      <c r="G4463" s="1292">
        <v>377</v>
      </c>
      <c r="H4463" s="1292">
        <f t="shared" si="284"/>
        <v>1131</v>
      </c>
      <c r="J4463" s="1283" t="s">
        <v>13978</v>
      </c>
      <c r="K4463" s="1312">
        <v>41185</v>
      </c>
      <c r="L4463" s="1335" t="s">
        <v>89</v>
      </c>
      <c r="N4463" s="1283" t="s">
        <v>89</v>
      </c>
      <c r="O4463" s="66"/>
      <c r="Q4463" s="1498"/>
      <c r="R4463" s="91"/>
      <c r="S4463" s="91"/>
      <c r="T4463" s="91"/>
      <c r="U4463" s="236"/>
      <c r="V4463" s="1301" t="s">
        <v>13414</v>
      </c>
      <c r="W4463" s="236"/>
      <c r="X4463" s="1498"/>
      <c r="Y4463" s="236"/>
      <c r="Z4463" s="1498"/>
      <c r="AA4463" s="1291" t="s">
        <v>13564</v>
      </c>
      <c r="AB4463" s="1291" t="s">
        <v>13977</v>
      </c>
      <c r="AC4463" s="244"/>
      <c r="AD4463" s="244"/>
      <c r="AE4463" s="244"/>
      <c r="AF4463" s="244"/>
      <c r="AG4463" s="234"/>
      <c r="AH4463" s="234"/>
      <c r="AI4463" s="238"/>
      <c r="AJ4463" s="239"/>
      <c r="AK4463" s="238"/>
      <c r="AL4463" s="238"/>
      <c r="AM4463" s="234"/>
      <c r="AN4463" s="234"/>
      <c r="AO4463" s="234"/>
      <c r="AP4463" s="234"/>
      <c r="AQ4463" s="234"/>
    </row>
    <row r="4464" spans="1:43" ht="15" customHeight="1">
      <c r="A4464" s="1310">
        <v>41171</v>
      </c>
      <c r="B4464" s="1283" t="s">
        <v>665</v>
      </c>
      <c r="C4464" s="1283" t="s">
        <v>13973</v>
      </c>
      <c r="D4464" s="1283" t="s">
        <v>13974</v>
      </c>
      <c r="E4464" s="1283" t="s">
        <v>8688</v>
      </c>
      <c r="F4464" s="1292">
        <v>4</v>
      </c>
      <c r="G4464" s="1292">
        <v>966</v>
      </c>
      <c r="H4464" s="1292">
        <f t="shared" si="284"/>
        <v>3864</v>
      </c>
      <c r="J4464" s="1283" t="s">
        <v>13978</v>
      </c>
      <c r="K4464" s="1312">
        <v>41185</v>
      </c>
      <c r="L4464" s="1335" t="s">
        <v>89</v>
      </c>
      <c r="N4464" s="1283" t="s">
        <v>89</v>
      </c>
      <c r="O4464" s="66"/>
      <c r="Q4464" s="1498"/>
      <c r="R4464" s="91"/>
      <c r="S4464" s="91"/>
      <c r="T4464" s="91"/>
      <c r="U4464" s="236"/>
      <c r="V4464" s="1301" t="s">
        <v>13414</v>
      </c>
      <c r="W4464" s="236"/>
      <c r="X4464" s="1498"/>
      <c r="Y4464" s="236"/>
      <c r="Z4464" s="1498"/>
      <c r="AA4464" s="1291" t="s">
        <v>13564</v>
      </c>
      <c r="AB4464" s="1291" t="s">
        <v>13977</v>
      </c>
      <c r="AC4464" s="244"/>
      <c r="AD4464" s="244"/>
      <c r="AE4464" s="244"/>
      <c r="AF4464" s="244"/>
      <c r="AG4464" s="234"/>
      <c r="AH4464" s="234"/>
      <c r="AI4464" s="238"/>
      <c r="AJ4464" s="239"/>
      <c r="AK4464" s="238"/>
      <c r="AL4464" s="238"/>
      <c r="AM4464" s="234"/>
      <c r="AN4464" s="234"/>
      <c r="AO4464" s="234"/>
      <c r="AP4464" s="234"/>
      <c r="AQ4464" s="234"/>
    </row>
    <row r="4465" spans="1:43" ht="15" customHeight="1">
      <c r="A4465" s="1310">
        <v>41171</v>
      </c>
      <c r="B4465" s="1283" t="s">
        <v>665</v>
      </c>
      <c r="C4465" s="1283" t="s">
        <v>13973</v>
      </c>
      <c r="D4465" s="1283" t="s">
        <v>13974</v>
      </c>
      <c r="E4465" s="1283" t="s">
        <v>13979</v>
      </c>
      <c r="F4465" s="1292">
        <v>2</v>
      </c>
      <c r="G4465" s="1292">
        <v>197</v>
      </c>
      <c r="H4465" s="1292">
        <f t="shared" si="284"/>
        <v>394</v>
      </c>
      <c r="J4465" s="1283" t="s">
        <v>13978</v>
      </c>
      <c r="K4465" s="1312">
        <v>41185</v>
      </c>
      <c r="L4465" s="1335" t="s">
        <v>89</v>
      </c>
      <c r="N4465" s="1283" t="s">
        <v>89</v>
      </c>
      <c r="O4465" s="66"/>
      <c r="Q4465" s="1499"/>
      <c r="R4465" s="91"/>
      <c r="S4465" s="91"/>
      <c r="T4465" s="91"/>
      <c r="U4465" s="236"/>
      <c r="V4465" s="1301" t="s">
        <v>13414</v>
      </c>
      <c r="W4465" s="236"/>
      <c r="X4465" s="1499"/>
      <c r="Y4465" s="236"/>
      <c r="Z4465" s="1499"/>
      <c r="AA4465" s="1291" t="s">
        <v>13564</v>
      </c>
      <c r="AB4465" s="1291" t="s">
        <v>13977</v>
      </c>
      <c r="AC4465" s="244"/>
      <c r="AD4465" s="244"/>
      <c r="AE4465" s="244"/>
      <c r="AF4465" s="244"/>
      <c r="AG4465" s="234"/>
      <c r="AH4465" s="234"/>
      <c r="AI4465" s="238"/>
      <c r="AJ4465" s="239"/>
      <c r="AK4465" s="238"/>
      <c r="AL4465" s="238"/>
      <c r="AM4465" s="234"/>
      <c r="AN4465" s="234"/>
      <c r="AO4465" s="234"/>
      <c r="AP4465" s="234"/>
      <c r="AQ4465" s="234"/>
    </row>
    <row r="4466" spans="1:43" ht="15" customHeight="1">
      <c r="A4466" s="1310">
        <v>41171</v>
      </c>
      <c r="B4466" s="1283" t="s">
        <v>665</v>
      </c>
      <c r="C4466" s="1283" t="s">
        <v>13980</v>
      </c>
      <c r="D4466" s="1283" t="s">
        <v>13981</v>
      </c>
      <c r="E4466" s="1283" t="s">
        <v>8693</v>
      </c>
      <c r="F4466" s="1292">
        <v>12</v>
      </c>
      <c r="G4466" s="1292">
        <v>103</v>
      </c>
      <c r="H4466" s="1292">
        <f t="shared" si="284"/>
        <v>1236</v>
      </c>
      <c r="J4466" s="1337" t="s">
        <v>13982</v>
      </c>
      <c r="K4466" s="1312">
        <v>41606</v>
      </c>
      <c r="L4466" s="1335" t="s">
        <v>89</v>
      </c>
      <c r="N4466" s="1283" t="s">
        <v>89</v>
      </c>
      <c r="O4466" s="66"/>
      <c r="Q4466" s="1524" t="s">
        <v>13984</v>
      </c>
      <c r="R4466" s="91"/>
      <c r="S4466" s="91"/>
      <c r="T4466" s="91"/>
      <c r="U4466" s="236"/>
      <c r="V4466" s="1301" t="s">
        <v>13414</v>
      </c>
      <c r="W4466" s="236"/>
      <c r="X4466" s="1525">
        <v>41241</v>
      </c>
      <c r="Y4466" s="236"/>
      <c r="Z4466" s="1523">
        <v>429362</v>
      </c>
      <c r="AA4466" s="1291" t="s">
        <v>13983</v>
      </c>
      <c r="AB4466" s="1526" t="s">
        <v>13985</v>
      </c>
      <c r="AC4466" s="244"/>
      <c r="AD4466" s="244"/>
      <c r="AE4466" s="244"/>
      <c r="AF4466" s="244"/>
      <c r="AG4466" s="234"/>
      <c r="AH4466" s="234"/>
      <c r="AI4466" s="238"/>
      <c r="AJ4466" s="239"/>
      <c r="AK4466" s="238"/>
      <c r="AL4466" s="238"/>
      <c r="AM4466" s="234"/>
      <c r="AN4466" s="234"/>
      <c r="AO4466" s="234"/>
      <c r="AP4466" s="234"/>
      <c r="AQ4466" s="234"/>
    </row>
    <row r="4467" spans="1:43" ht="15" customHeight="1">
      <c r="A4467" s="1310">
        <v>41171</v>
      </c>
      <c r="B4467" s="1283" t="s">
        <v>665</v>
      </c>
      <c r="C4467" s="1283" t="s">
        <v>13980</v>
      </c>
      <c r="D4467" s="1283" t="s">
        <v>13981</v>
      </c>
      <c r="E4467" s="1283" t="s">
        <v>8353</v>
      </c>
      <c r="F4467" s="1292">
        <v>10</v>
      </c>
      <c r="G4467" s="1292">
        <v>377</v>
      </c>
      <c r="H4467" s="1292">
        <f t="shared" si="284"/>
        <v>3770</v>
      </c>
      <c r="J4467" s="1337" t="s">
        <v>13982</v>
      </c>
      <c r="K4467" s="1312">
        <v>41606</v>
      </c>
      <c r="L4467" s="1335" t="s">
        <v>89</v>
      </c>
      <c r="N4467" s="1283" t="s">
        <v>89</v>
      </c>
      <c r="O4467" s="66"/>
      <c r="Q4467" s="1498"/>
      <c r="R4467" s="91"/>
      <c r="S4467" s="91"/>
      <c r="T4467" s="91"/>
      <c r="U4467" s="236"/>
      <c r="V4467" s="1301" t="s">
        <v>13414</v>
      </c>
      <c r="W4467" s="236"/>
      <c r="X4467" s="1498"/>
      <c r="Y4467" s="236"/>
      <c r="Z4467" s="1498"/>
      <c r="AA4467" s="1291" t="s">
        <v>13983</v>
      </c>
      <c r="AB4467" s="1498"/>
      <c r="AC4467" s="244"/>
      <c r="AD4467" s="244"/>
      <c r="AE4467" s="244"/>
      <c r="AF4467" s="244"/>
      <c r="AG4467" s="234"/>
      <c r="AH4467" s="234"/>
      <c r="AI4467" s="238"/>
      <c r="AJ4467" s="239"/>
      <c r="AK4467" s="238"/>
      <c r="AL4467" s="238"/>
      <c r="AM4467" s="234"/>
      <c r="AN4467" s="234"/>
      <c r="AO4467" s="234"/>
      <c r="AP4467" s="234"/>
      <c r="AQ4467" s="234"/>
    </row>
    <row r="4468" spans="1:43" ht="15" customHeight="1">
      <c r="A4468" s="1310">
        <v>41171</v>
      </c>
      <c r="B4468" s="1283" t="s">
        <v>665</v>
      </c>
      <c r="C4468" s="1283" t="s">
        <v>13980</v>
      </c>
      <c r="D4468" s="1283" t="s">
        <v>13981</v>
      </c>
      <c r="E4468" s="1283" t="s">
        <v>8688</v>
      </c>
      <c r="F4468" s="1292">
        <v>6</v>
      </c>
      <c r="G4468" s="1292">
        <v>966</v>
      </c>
      <c r="H4468" s="1292">
        <f t="shared" si="284"/>
        <v>5796</v>
      </c>
      <c r="J4468" s="1337" t="s">
        <v>13982</v>
      </c>
      <c r="K4468" s="1312">
        <v>41606</v>
      </c>
      <c r="L4468" s="1335" t="s">
        <v>89</v>
      </c>
      <c r="N4468" s="1283" t="s">
        <v>89</v>
      </c>
      <c r="O4468" s="66"/>
      <c r="Q4468" s="1498"/>
      <c r="R4468" s="91"/>
      <c r="S4468" s="91"/>
      <c r="T4468" s="91"/>
      <c r="U4468" s="236"/>
      <c r="V4468" s="1301" t="s">
        <v>13414</v>
      </c>
      <c r="W4468" s="236"/>
      <c r="X4468" s="1498"/>
      <c r="Y4468" s="236"/>
      <c r="Z4468" s="1498"/>
      <c r="AA4468" s="1291" t="s">
        <v>13983</v>
      </c>
      <c r="AB4468" s="1498"/>
      <c r="AC4468" s="244"/>
      <c r="AD4468" s="244"/>
      <c r="AE4468" s="244"/>
      <c r="AF4468" s="244"/>
      <c r="AG4468" s="234"/>
      <c r="AH4468" s="234"/>
      <c r="AI4468" s="238"/>
      <c r="AJ4468" s="239"/>
      <c r="AK4468" s="238"/>
      <c r="AL4468" s="238"/>
      <c r="AM4468" s="234"/>
      <c r="AN4468" s="234"/>
      <c r="AO4468" s="234"/>
      <c r="AP4468" s="234"/>
      <c r="AQ4468" s="234"/>
    </row>
    <row r="4469" spans="1:43" ht="15" customHeight="1">
      <c r="A4469" s="1310">
        <v>41171</v>
      </c>
      <c r="B4469" s="1283" t="s">
        <v>665</v>
      </c>
      <c r="C4469" s="1283" t="s">
        <v>13980</v>
      </c>
      <c r="D4469" s="1283" t="s">
        <v>13981</v>
      </c>
      <c r="E4469" s="1283" t="s">
        <v>13979</v>
      </c>
      <c r="F4469" s="1292">
        <v>27</v>
      </c>
      <c r="G4469" s="1292">
        <v>197</v>
      </c>
      <c r="H4469" s="1292">
        <f t="shared" si="284"/>
        <v>5319</v>
      </c>
      <c r="J4469" s="1337" t="s">
        <v>13982</v>
      </c>
      <c r="K4469" s="1312">
        <v>41606</v>
      </c>
      <c r="L4469" s="1335" t="s">
        <v>89</v>
      </c>
      <c r="N4469" s="1283" t="s">
        <v>89</v>
      </c>
      <c r="O4469" s="66"/>
      <c r="Q4469" s="1499"/>
      <c r="R4469" s="91"/>
      <c r="S4469" s="91"/>
      <c r="T4469" s="91"/>
      <c r="U4469" s="236"/>
      <c r="V4469" s="1301" t="s">
        <v>13414</v>
      </c>
      <c r="W4469" s="236"/>
      <c r="X4469" s="1499"/>
      <c r="Y4469" s="236"/>
      <c r="Z4469" s="1499"/>
      <c r="AA4469" s="1291" t="s">
        <v>13983</v>
      </c>
      <c r="AB4469" s="1499"/>
      <c r="AC4469" s="244"/>
      <c r="AD4469" s="244"/>
      <c r="AE4469" s="244"/>
      <c r="AF4469" s="244"/>
      <c r="AG4469" s="234"/>
      <c r="AH4469" s="234"/>
      <c r="AI4469" s="238"/>
      <c r="AJ4469" s="239"/>
      <c r="AK4469" s="238"/>
      <c r="AL4469" s="238"/>
      <c r="AM4469" s="234"/>
      <c r="AN4469" s="234"/>
      <c r="AO4469" s="234"/>
      <c r="AP4469" s="234"/>
      <c r="AQ4469" s="234"/>
    </row>
    <row r="4470" spans="1:43" ht="15" customHeight="1">
      <c r="A4470" s="1310">
        <v>41187</v>
      </c>
      <c r="B4470" s="1283" t="s">
        <v>1189</v>
      </c>
      <c r="C4470" s="1283" t="s">
        <v>13986</v>
      </c>
      <c r="D4470" s="1283" t="s">
        <v>13987</v>
      </c>
      <c r="E4470" s="1283" t="s">
        <v>13988</v>
      </c>
      <c r="F4470" s="1292">
        <v>100</v>
      </c>
      <c r="G4470" s="1292">
        <v>4</v>
      </c>
      <c r="H4470" s="1326">
        <f t="shared" si="284"/>
        <v>400</v>
      </c>
      <c r="J4470" s="1283" t="s">
        <v>13989</v>
      </c>
      <c r="K4470" s="1294">
        <v>41199</v>
      </c>
      <c r="L4470" s="1338" t="s">
        <v>12379</v>
      </c>
      <c r="N4470" s="1283" t="s">
        <v>13990</v>
      </c>
      <c r="O4470" s="66"/>
      <c r="Q4470" s="1527">
        <v>16853</v>
      </c>
      <c r="R4470" s="91"/>
      <c r="S4470" s="91"/>
      <c r="T4470" s="91"/>
      <c r="U4470" s="236"/>
      <c r="V4470" s="1283" t="s">
        <v>13992</v>
      </c>
      <c r="W4470" s="236"/>
      <c r="X4470" s="1306">
        <v>41197</v>
      </c>
      <c r="Y4470" s="236"/>
      <c r="Z4470" s="1523">
        <v>16853</v>
      </c>
      <c r="AA4470" s="1291" t="s">
        <v>13991</v>
      </c>
      <c r="AB4470" s="1526" t="s">
        <v>13993</v>
      </c>
      <c r="AC4470" s="244"/>
      <c r="AD4470" s="244"/>
      <c r="AE4470" s="244"/>
      <c r="AF4470" s="244"/>
      <c r="AG4470" s="234"/>
      <c r="AH4470" s="234"/>
      <c r="AI4470" s="238"/>
      <c r="AJ4470" s="239"/>
      <c r="AK4470" s="238"/>
      <c r="AL4470" s="238"/>
      <c r="AM4470" s="234"/>
      <c r="AN4470" s="234"/>
      <c r="AO4470" s="234"/>
      <c r="AP4470" s="234"/>
      <c r="AQ4470" s="234"/>
    </row>
    <row r="4471" spans="1:43" ht="15" customHeight="1">
      <c r="A4471" s="1310">
        <v>41187</v>
      </c>
      <c r="B4471" s="1283" t="s">
        <v>1189</v>
      </c>
      <c r="C4471" s="1283" t="s">
        <v>13994</v>
      </c>
      <c r="D4471" s="1283" t="s">
        <v>13987</v>
      </c>
      <c r="E4471" s="1283" t="s">
        <v>13995</v>
      </c>
      <c r="F4471" s="1292">
        <v>50</v>
      </c>
      <c r="G4471" s="1292">
        <v>3.5</v>
      </c>
      <c r="H4471" s="1326">
        <f t="shared" si="284"/>
        <v>175</v>
      </c>
      <c r="J4471" s="1283" t="s">
        <v>13996</v>
      </c>
      <c r="K4471" s="1294">
        <v>41199</v>
      </c>
      <c r="L4471" s="1338" t="s">
        <v>12379</v>
      </c>
      <c r="N4471" s="1283" t="s">
        <v>13990</v>
      </c>
      <c r="O4471" s="66"/>
      <c r="Q4471" s="1498"/>
      <c r="R4471" s="91"/>
      <c r="S4471" s="91"/>
      <c r="T4471" s="91"/>
      <c r="U4471" s="236"/>
      <c r="V4471" s="1283" t="s">
        <v>13992</v>
      </c>
      <c r="W4471" s="236"/>
      <c r="X4471" s="1306">
        <v>41197</v>
      </c>
      <c r="Y4471" s="236"/>
      <c r="Z4471" s="1498"/>
      <c r="AA4471" s="1291" t="s">
        <v>13991</v>
      </c>
      <c r="AB4471" s="1498"/>
      <c r="AC4471" s="244"/>
      <c r="AD4471" s="244"/>
      <c r="AE4471" s="244"/>
      <c r="AF4471" s="244"/>
      <c r="AG4471" s="234"/>
      <c r="AH4471" s="234"/>
      <c r="AI4471" s="238"/>
      <c r="AJ4471" s="239"/>
      <c r="AK4471" s="238"/>
      <c r="AL4471" s="238"/>
      <c r="AM4471" s="234"/>
      <c r="AN4471" s="234"/>
      <c r="AO4471" s="234"/>
      <c r="AP4471" s="234"/>
      <c r="AQ4471" s="234"/>
    </row>
    <row r="4472" spans="1:43" ht="15" customHeight="1">
      <c r="A4472" s="1310">
        <v>41187</v>
      </c>
      <c r="B4472" s="1283" t="s">
        <v>1189</v>
      </c>
      <c r="C4472" s="1283" t="s">
        <v>13994</v>
      </c>
      <c r="D4472" s="1283" t="s">
        <v>13987</v>
      </c>
      <c r="E4472" s="1283" t="s">
        <v>13997</v>
      </c>
      <c r="F4472" s="1292">
        <v>50</v>
      </c>
      <c r="G4472" s="1292">
        <v>0.9</v>
      </c>
      <c r="H4472" s="1326">
        <f t="shared" si="284"/>
        <v>45</v>
      </c>
      <c r="J4472" s="1283" t="s">
        <v>13996</v>
      </c>
      <c r="K4472" s="1294">
        <v>41199</v>
      </c>
      <c r="L4472" s="1338" t="s">
        <v>12379</v>
      </c>
      <c r="N4472" s="1283" t="s">
        <v>13990</v>
      </c>
      <c r="O4472" s="66"/>
      <c r="Q4472" s="1498"/>
      <c r="R4472" s="91"/>
      <c r="S4472" s="91"/>
      <c r="T4472" s="91"/>
      <c r="U4472" s="236"/>
      <c r="V4472" s="1283" t="s">
        <v>13992</v>
      </c>
      <c r="W4472" s="236"/>
      <c r="X4472" s="1306">
        <v>41197</v>
      </c>
      <c r="Y4472" s="236"/>
      <c r="Z4472" s="1498"/>
      <c r="AA4472" s="1291" t="s">
        <v>13991</v>
      </c>
      <c r="AB4472" s="1498"/>
      <c r="AC4472" s="244"/>
      <c r="AD4472" s="244"/>
      <c r="AE4472" s="244"/>
      <c r="AF4472" s="244"/>
      <c r="AG4472" s="234"/>
      <c r="AH4472" s="234"/>
      <c r="AI4472" s="238"/>
      <c r="AJ4472" s="239"/>
      <c r="AK4472" s="238"/>
      <c r="AL4472" s="238"/>
      <c r="AM4472" s="234"/>
      <c r="AN4472" s="234"/>
      <c r="AO4472" s="234"/>
      <c r="AP4472" s="234"/>
      <c r="AQ4472" s="234"/>
    </row>
    <row r="4473" spans="1:43" ht="15" customHeight="1">
      <c r="A4473" s="1310">
        <v>41187</v>
      </c>
      <c r="B4473" s="1283" t="s">
        <v>1189</v>
      </c>
      <c r="C4473" s="1283" t="s">
        <v>13994</v>
      </c>
      <c r="D4473" s="1283" t="s">
        <v>13987</v>
      </c>
      <c r="E4473" s="1283" t="s">
        <v>13998</v>
      </c>
      <c r="F4473" s="1292">
        <v>50</v>
      </c>
      <c r="G4473" s="1292">
        <v>3.5</v>
      </c>
      <c r="H4473" s="1326">
        <f t="shared" si="284"/>
        <v>175</v>
      </c>
      <c r="J4473" s="1283" t="s">
        <v>13996</v>
      </c>
      <c r="K4473" s="1294">
        <v>41199</v>
      </c>
      <c r="L4473" s="1338" t="s">
        <v>12379</v>
      </c>
      <c r="N4473" s="1283" t="s">
        <v>13990</v>
      </c>
      <c r="O4473" s="66"/>
      <c r="Q4473" s="1498"/>
      <c r="R4473" s="91"/>
      <c r="S4473" s="91"/>
      <c r="T4473" s="91"/>
      <c r="U4473" s="236"/>
      <c r="V4473" s="1283" t="s">
        <v>13992</v>
      </c>
      <c r="W4473" s="236"/>
      <c r="X4473" s="1306">
        <v>41197</v>
      </c>
      <c r="Y4473" s="236"/>
      <c r="Z4473" s="1498"/>
      <c r="AA4473" s="1291" t="s">
        <v>13991</v>
      </c>
      <c r="AB4473" s="1498"/>
      <c r="AC4473" s="244"/>
      <c r="AD4473" s="244"/>
      <c r="AE4473" s="244"/>
      <c r="AF4473" s="244"/>
      <c r="AG4473" s="234"/>
      <c r="AH4473" s="234"/>
      <c r="AI4473" s="238"/>
      <c r="AJ4473" s="239"/>
      <c r="AK4473" s="238"/>
      <c r="AL4473" s="238"/>
      <c r="AM4473" s="234"/>
      <c r="AN4473" s="234"/>
      <c r="AO4473" s="234"/>
      <c r="AP4473" s="234"/>
      <c r="AQ4473" s="234"/>
    </row>
    <row r="4474" spans="1:43" ht="15" customHeight="1">
      <c r="A4474" s="1310">
        <v>41187</v>
      </c>
      <c r="B4474" s="1283" t="s">
        <v>1189</v>
      </c>
      <c r="C4474" s="1283" t="s">
        <v>13994</v>
      </c>
      <c r="D4474" s="1283" t="s">
        <v>13987</v>
      </c>
      <c r="E4474" s="1283" t="s">
        <v>13999</v>
      </c>
      <c r="F4474" s="1292">
        <v>50</v>
      </c>
      <c r="G4474" s="1292">
        <v>0.9</v>
      </c>
      <c r="H4474" s="1326">
        <f t="shared" si="284"/>
        <v>45</v>
      </c>
      <c r="J4474" s="1283" t="s">
        <v>13996</v>
      </c>
      <c r="K4474" s="1294">
        <v>41199</v>
      </c>
      <c r="L4474" s="1338" t="s">
        <v>12379</v>
      </c>
      <c r="N4474" s="1283" t="s">
        <v>13990</v>
      </c>
      <c r="O4474" s="66"/>
      <c r="Q4474" s="1499"/>
      <c r="R4474" s="91"/>
      <c r="S4474" s="91"/>
      <c r="T4474" s="91"/>
      <c r="U4474" s="236"/>
      <c r="V4474" s="1283" t="s">
        <v>13992</v>
      </c>
      <c r="W4474" s="236"/>
      <c r="X4474" s="1306">
        <v>41197</v>
      </c>
      <c r="Y4474" s="236"/>
      <c r="Z4474" s="1499"/>
      <c r="AA4474" s="1291" t="s">
        <v>13991</v>
      </c>
      <c r="AB4474" s="1498"/>
      <c r="AC4474" s="244"/>
      <c r="AD4474" s="244"/>
      <c r="AE4474" s="244"/>
      <c r="AF4474" s="244"/>
      <c r="AG4474" s="234"/>
      <c r="AH4474" s="234"/>
      <c r="AI4474" s="238"/>
      <c r="AJ4474" s="239"/>
      <c r="AK4474" s="238"/>
      <c r="AL4474" s="238"/>
      <c r="AM4474" s="234"/>
      <c r="AN4474" s="234"/>
      <c r="AO4474" s="234"/>
      <c r="AP4474" s="234"/>
      <c r="AQ4474" s="234"/>
    </row>
    <row r="4475" spans="1:43" ht="15" customHeight="1">
      <c r="A4475" s="1310">
        <v>41187</v>
      </c>
      <c r="B4475" s="1283" t="s">
        <v>1189</v>
      </c>
      <c r="C4475" s="1283" t="s">
        <v>14000</v>
      </c>
      <c r="D4475" s="1283" t="s">
        <v>13987</v>
      </c>
      <c r="E4475" s="1283" t="s">
        <v>14001</v>
      </c>
      <c r="F4475" s="1292">
        <v>100</v>
      </c>
      <c r="G4475" s="1292">
        <v>1.5</v>
      </c>
      <c r="H4475" s="1326">
        <f t="shared" si="284"/>
        <v>150</v>
      </c>
      <c r="J4475" s="1283" t="s">
        <v>13996</v>
      </c>
      <c r="K4475" s="1294">
        <v>41199</v>
      </c>
      <c r="L4475" s="1338" t="s">
        <v>12379</v>
      </c>
      <c r="N4475" s="1283" t="s">
        <v>14002</v>
      </c>
      <c r="O4475" s="66"/>
      <c r="Q4475" s="1292">
        <v>2154</v>
      </c>
      <c r="R4475" s="91"/>
      <c r="S4475" s="91"/>
      <c r="T4475" s="91"/>
      <c r="U4475" s="236"/>
      <c r="V4475" s="66"/>
      <c r="W4475" s="236"/>
      <c r="X4475" s="1306">
        <v>41197</v>
      </c>
      <c r="Y4475" s="236"/>
      <c r="Z4475" s="1296">
        <v>2154</v>
      </c>
      <c r="AA4475" s="1291" t="s">
        <v>13991</v>
      </c>
      <c r="AB4475" s="1499"/>
      <c r="AC4475" s="244"/>
      <c r="AD4475" s="244"/>
      <c r="AE4475" s="244"/>
      <c r="AF4475" s="244"/>
      <c r="AG4475" s="234"/>
      <c r="AH4475" s="234"/>
      <c r="AI4475" s="238"/>
      <c r="AJ4475" s="239"/>
      <c r="AK4475" s="238"/>
      <c r="AL4475" s="238"/>
      <c r="AM4475" s="234"/>
      <c r="AN4475" s="234"/>
      <c r="AO4475" s="234"/>
      <c r="AP4475" s="234"/>
      <c r="AQ4475" s="234"/>
    </row>
    <row r="4476" spans="1:43" ht="15" customHeight="1">
      <c r="A4476" s="1310">
        <v>41193</v>
      </c>
      <c r="B4476" s="1337" t="s">
        <v>13952</v>
      </c>
      <c r="C4476" s="1283" t="s">
        <v>14003</v>
      </c>
      <c r="D4476" s="1283" t="s">
        <v>14004</v>
      </c>
      <c r="E4476" s="1283" t="s">
        <v>13582</v>
      </c>
      <c r="F4476" s="1292">
        <v>45</v>
      </c>
      <c r="G4476" s="1292">
        <v>10.5</v>
      </c>
      <c r="H4476" s="1292">
        <f t="shared" si="284"/>
        <v>472.5</v>
      </c>
      <c r="J4476" s="1339" t="s">
        <v>14005</v>
      </c>
      <c r="K4476" s="1294">
        <v>41241</v>
      </c>
      <c r="L4476" s="1322" t="s">
        <v>12379</v>
      </c>
      <c r="N4476" s="1283" t="s">
        <v>302</v>
      </c>
      <c r="O4476" s="66"/>
      <c r="Q4476" s="1292">
        <v>8505</v>
      </c>
      <c r="R4476" s="91"/>
      <c r="S4476" s="91"/>
      <c r="T4476" s="91"/>
      <c r="U4476" s="236"/>
      <c r="V4476" s="1301" t="s">
        <v>13471</v>
      </c>
      <c r="W4476" s="236"/>
      <c r="X4476" s="1306">
        <v>41226</v>
      </c>
      <c r="Y4476" s="236"/>
      <c r="Z4476" s="1296">
        <v>8505</v>
      </c>
      <c r="AA4476" s="1291" t="s">
        <v>14006</v>
      </c>
      <c r="AB4476" s="1526" t="s">
        <v>14007</v>
      </c>
      <c r="AC4476" s="244"/>
      <c r="AD4476" s="244"/>
      <c r="AE4476" s="244"/>
      <c r="AF4476" s="244"/>
      <c r="AG4476" s="234"/>
      <c r="AH4476" s="234"/>
      <c r="AI4476" s="238"/>
      <c r="AJ4476" s="239"/>
      <c r="AK4476" s="238"/>
      <c r="AL4476" s="238"/>
      <c r="AM4476" s="234"/>
      <c r="AN4476" s="234"/>
      <c r="AO4476" s="234"/>
      <c r="AP4476" s="234"/>
      <c r="AQ4476" s="234"/>
    </row>
    <row r="4477" spans="1:43" ht="15" customHeight="1">
      <c r="A4477" s="1310">
        <v>41193</v>
      </c>
      <c r="B4477" s="1283" t="s">
        <v>13952</v>
      </c>
      <c r="C4477" s="1283" t="s">
        <v>14003</v>
      </c>
      <c r="D4477" s="1283" t="s">
        <v>14004</v>
      </c>
      <c r="E4477" s="1283" t="s">
        <v>12081</v>
      </c>
      <c r="F4477" s="1292">
        <v>45</v>
      </c>
      <c r="G4477" s="1292">
        <v>86</v>
      </c>
      <c r="H4477" s="1292">
        <f t="shared" si="284"/>
        <v>3870</v>
      </c>
      <c r="J4477" s="1339" t="s">
        <v>13958</v>
      </c>
      <c r="K4477" s="1294">
        <v>41242</v>
      </c>
      <c r="L4477" s="1322" t="s">
        <v>89</v>
      </c>
      <c r="N4477" s="1283" t="s">
        <v>89</v>
      </c>
      <c r="O4477" s="66"/>
      <c r="Q4477" s="1283" t="s">
        <v>14009</v>
      </c>
      <c r="R4477" s="91"/>
      <c r="S4477" s="91"/>
      <c r="T4477" s="91"/>
      <c r="U4477" s="236"/>
      <c r="V4477" s="1301" t="s">
        <v>13414</v>
      </c>
      <c r="W4477" s="236"/>
      <c r="X4477" s="1306">
        <v>41242</v>
      </c>
      <c r="Y4477" s="236"/>
      <c r="Z4477" s="1296">
        <v>104247</v>
      </c>
      <c r="AA4477" s="1291" t="s">
        <v>14008</v>
      </c>
      <c r="AB4477" s="1499"/>
      <c r="AC4477" s="244"/>
      <c r="AD4477" s="244"/>
      <c r="AE4477" s="244"/>
      <c r="AF4477" s="244"/>
      <c r="AG4477" s="234"/>
      <c r="AH4477" s="234"/>
      <c r="AI4477" s="238"/>
      <c r="AJ4477" s="239"/>
      <c r="AK4477" s="238"/>
      <c r="AL4477" s="238"/>
      <c r="AM4477" s="234"/>
      <c r="AN4477" s="234"/>
      <c r="AO4477" s="234"/>
      <c r="AP4477" s="234"/>
      <c r="AQ4477" s="234"/>
    </row>
    <row r="4478" spans="1:43" ht="15" customHeight="1">
      <c r="A4478" s="1310">
        <v>41224</v>
      </c>
      <c r="B4478" s="1283" t="s">
        <v>1189</v>
      </c>
      <c r="C4478" s="1283" t="s">
        <v>14010</v>
      </c>
      <c r="D4478" s="1283" t="s">
        <v>14011</v>
      </c>
      <c r="E4478" s="1283" t="s">
        <v>14012</v>
      </c>
      <c r="F4478" s="1292">
        <v>100</v>
      </c>
      <c r="G4478" s="1292">
        <v>1.5</v>
      </c>
      <c r="H4478" s="1292">
        <f t="shared" si="284"/>
        <v>150</v>
      </c>
      <c r="J4478" s="1275" t="s">
        <v>14013</v>
      </c>
      <c r="K4478" s="1294">
        <v>41621</v>
      </c>
      <c r="L4478" s="1335" t="s">
        <v>12379</v>
      </c>
      <c r="N4478" s="1283" t="s">
        <v>13990</v>
      </c>
      <c r="O4478" s="66"/>
      <c r="Q4478" s="1292">
        <v>1995</v>
      </c>
      <c r="R4478" s="91"/>
      <c r="S4478" s="91"/>
      <c r="T4478" s="91"/>
      <c r="U4478" s="236"/>
      <c r="V4478" s="1283" t="s">
        <v>13992</v>
      </c>
      <c r="W4478" s="236"/>
      <c r="X4478" s="1306">
        <v>41229</v>
      </c>
      <c r="Y4478" s="236"/>
      <c r="Z4478" s="1296">
        <v>1995</v>
      </c>
      <c r="AA4478" s="1291" t="s">
        <v>14006</v>
      </c>
      <c r="AB4478" s="1526" t="s">
        <v>14014</v>
      </c>
      <c r="AC4478" s="244"/>
      <c r="AD4478" s="244"/>
      <c r="AE4478" s="244"/>
      <c r="AF4478" s="244"/>
      <c r="AG4478" s="234"/>
      <c r="AH4478" s="234"/>
      <c r="AI4478" s="238"/>
      <c r="AJ4478" s="239"/>
      <c r="AK4478" s="238"/>
      <c r="AL4478" s="238"/>
      <c r="AM4478" s="234"/>
      <c r="AN4478" s="234"/>
      <c r="AO4478" s="234"/>
      <c r="AP4478" s="234"/>
      <c r="AQ4478" s="234"/>
    </row>
    <row r="4479" spans="1:43" ht="15" customHeight="1">
      <c r="A4479" s="1310">
        <v>41234</v>
      </c>
      <c r="B4479" s="1283" t="s">
        <v>1189</v>
      </c>
      <c r="C4479" s="1283" t="s">
        <v>14015</v>
      </c>
      <c r="D4479" s="1283" t="s">
        <v>14016</v>
      </c>
      <c r="E4479" s="1283" t="s">
        <v>12387</v>
      </c>
      <c r="F4479" s="1292">
        <v>100</v>
      </c>
      <c r="G4479" s="1292">
        <v>37.5</v>
      </c>
      <c r="H4479" s="1292">
        <f t="shared" si="284"/>
        <v>3750</v>
      </c>
      <c r="J4479" s="1283" t="s">
        <v>920</v>
      </c>
      <c r="K4479" s="1294">
        <v>41256</v>
      </c>
      <c r="L4479" s="1335" t="s">
        <v>12379</v>
      </c>
      <c r="N4479" s="1283" t="s">
        <v>12389</v>
      </c>
      <c r="O4479" s="66"/>
      <c r="Q4479" s="1292">
        <v>105000</v>
      </c>
      <c r="R4479" s="91"/>
      <c r="S4479" s="91"/>
      <c r="T4479" s="91"/>
      <c r="U4479" s="236"/>
      <c r="V4479" s="1301" t="s">
        <v>2413</v>
      </c>
      <c r="W4479" s="236"/>
      <c r="X4479" s="1306">
        <v>41254</v>
      </c>
      <c r="Y4479" s="236"/>
      <c r="Z4479" s="1296">
        <v>105000</v>
      </c>
      <c r="AA4479" s="1291" t="s">
        <v>14017</v>
      </c>
      <c r="AB4479" s="1499"/>
      <c r="AC4479" s="244"/>
      <c r="AD4479" s="244"/>
      <c r="AE4479" s="244"/>
      <c r="AF4479" s="244"/>
      <c r="AG4479" s="234"/>
      <c r="AH4479" s="234"/>
      <c r="AI4479" s="238"/>
      <c r="AJ4479" s="239"/>
      <c r="AK4479" s="238"/>
      <c r="AL4479" s="238"/>
      <c r="AM4479" s="234"/>
      <c r="AN4479" s="234"/>
      <c r="AO4479" s="234"/>
      <c r="AP4479" s="234"/>
      <c r="AQ4479" s="234"/>
    </row>
    <row r="4480" spans="1:43" ht="15" customHeight="1">
      <c r="A4480" s="1310">
        <v>41234</v>
      </c>
      <c r="B4480" s="1283" t="s">
        <v>1189</v>
      </c>
      <c r="C4480" s="1283" t="s">
        <v>13419</v>
      </c>
      <c r="D4480" s="1283" t="s">
        <v>13420</v>
      </c>
      <c r="E4480" s="1283" t="s">
        <v>12387</v>
      </c>
      <c r="F4480" s="1292">
        <v>100</v>
      </c>
      <c r="G4480" s="1292">
        <v>37.5</v>
      </c>
      <c r="H4480" s="1292">
        <f t="shared" si="284"/>
        <v>3750</v>
      </c>
      <c r="J4480" s="66"/>
      <c r="K4480" s="1299"/>
      <c r="L4480" s="1335" t="s">
        <v>12388</v>
      </c>
      <c r="N4480" s="1283" t="s">
        <v>12389</v>
      </c>
      <c r="O4480" s="66"/>
      <c r="Q4480" s="66"/>
      <c r="R4480" s="91"/>
      <c r="S4480" s="91"/>
      <c r="T4480" s="91"/>
      <c r="U4480" s="236"/>
      <c r="V4480" s="1301" t="s">
        <v>2413</v>
      </c>
      <c r="W4480" s="236"/>
      <c r="X4480" s="66"/>
      <c r="Y4480" s="236"/>
      <c r="Z4480" s="66"/>
      <c r="AA4480" s="66"/>
      <c r="AB4480" s="66"/>
      <c r="AC4480" s="244"/>
      <c r="AD4480" s="244"/>
      <c r="AE4480" s="244"/>
      <c r="AF4480" s="244"/>
      <c r="AG4480" s="234"/>
      <c r="AH4480" s="234"/>
      <c r="AI4480" s="238"/>
      <c r="AJ4480" s="239"/>
      <c r="AK4480" s="238"/>
      <c r="AL4480" s="238"/>
      <c r="AM4480" s="234"/>
      <c r="AN4480" s="234"/>
      <c r="AO4480" s="234"/>
      <c r="AP4480" s="234"/>
      <c r="AQ4480" s="234"/>
    </row>
    <row r="4481" spans="1:43" ht="15" customHeight="1">
      <c r="A4481" s="1310">
        <v>41243</v>
      </c>
      <c r="B4481" s="1283" t="s">
        <v>665</v>
      </c>
      <c r="C4481" s="1283" t="s">
        <v>14018</v>
      </c>
      <c r="D4481" s="1283" t="s">
        <v>14019</v>
      </c>
      <c r="E4481" s="1283" t="s">
        <v>12517</v>
      </c>
      <c r="F4481" s="1292">
        <v>1</v>
      </c>
      <c r="G4481" s="1292">
        <v>670</v>
      </c>
      <c r="H4481" s="1292">
        <f t="shared" si="284"/>
        <v>670</v>
      </c>
      <c r="J4481" s="1283" t="s">
        <v>13975</v>
      </c>
      <c r="K4481" s="1294">
        <v>41261</v>
      </c>
      <c r="L4481" s="66"/>
      <c r="N4481" s="1283" t="s">
        <v>2043</v>
      </c>
      <c r="O4481" s="66"/>
      <c r="Q4481" s="1527">
        <v>20055</v>
      </c>
      <c r="R4481" s="91"/>
      <c r="S4481" s="91"/>
      <c r="T4481" s="91"/>
      <c r="U4481" s="236"/>
      <c r="V4481" s="1301" t="s">
        <v>13825</v>
      </c>
      <c r="W4481" s="236"/>
      <c r="X4481" s="1525">
        <v>41250</v>
      </c>
      <c r="Y4481" s="236"/>
      <c r="Z4481" s="1523">
        <v>20055</v>
      </c>
      <c r="AA4481" s="1291" t="s">
        <v>14020</v>
      </c>
      <c r="AB4481" s="1291" t="s">
        <v>14021</v>
      </c>
      <c r="AC4481" s="244"/>
      <c r="AD4481" s="244"/>
      <c r="AE4481" s="244"/>
      <c r="AF4481" s="244"/>
      <c r="AG4481" s="234"/>
      <c r="AH4481" s="234"/>
      <c r="AI4481" s="238"/>
      <c r="AJ4481" s="239"/>
      <c r="AK4481" s="238"/>
      <c r="AL4481" s="238"/>
      <c r="AM4481" s="234"/>
      <c r="AN4481" s="234"/>
      <c r="AO4481" s="234"/>
      <c r="AP4481" s="234"/>
      <c r="AQ4481" s="234"/>
    </row>
    <row r="4482" spans="1:43" ht="15" customHeight="1">
      <c r="A4482" s="1310">
        <v>41243</v>
      </c>
      <c r="B4482" s="1283" t="s">
        <v>665</v>
      </c>
      <c r="C4482" s="1283" t="s">
        <v>14018</v>
      </c>
      <c r="D4482" s="1283" t="s">
        <v>14022</v>
      </c>
      <c r="E4482" s="1283" t="s">
        <v>13477</v>
      </c>
      <c r="F4482" s="1292">
        <v>1</v>
      </c>
      <c r="G4482" s="1292">
        <v>48</v>
      </c>
      <c r="H4482" s="1292">
        <f t="shared" si="284"/>
        <v>48</v>
      </c>
      <c r="J4482" s="1283" t="s">
        <v>3502</v>
      </c>
      <c r="K4482" s="1340">
        <v>41323</v>
      </c>
      <c r="L4482" s="66"/>
      <c r="N4482" s="1283" t="s">
        <v>2043</v>
      </c>
      <c r="O4482" s="66"/>
      <c r="Q4482" s="1499"/>
      <c r="R4482" s="91"/>
      <c r="S4482" s="91"/>
      <c r="T4482" s="91"/>
      <c r="U4482" s="236"/>
      <c r="V4482" s="1301" t="s">
        <v>13825</v>
      </c>
      <c r="W4482" s="236"/>
      <c r="X4482" s="1499"/>
      <c r="Y4482" s="236"/>
      <c r="Z4482" s="1499"/>
      <c r="AA4482" s="1291" t="s">
        <v>14020</v>
      </c>
      <c r="AB4482" s="1291" t="s">
        <v>6253</v>
      </c>
      <c r="AC4482" s="244"/>
      <c r="AD4482" s="244"/>
      <c r="AE4482" s="244"/>
      <c r="AF4482" s="244"/>
      <c r="AG4482" s="234"/>
      <c r="AH4482" s="234"/>
      <c r="AI4482" s="238"/>
      <c r="AJ4482" s="239"/>
      <c r="AK4482" s="238"/>
      <c r="AL4482" s="238"/>
      <c r="AM4482" s="234"/>
      <c r="AN4482" s="234"/>
      <c r="AO4482" s="234"/>
      <c r="AP4482" s="234"/>
      <c r="AQ4482" s="234"/>
    </row>
    <row r="4483" spans="1:43" ht="15" customHeight="1">
      <c r="A4483" s="1310">
        <v>41262</v>
      </c>
      <c r="B4483" s="1283" t="s">
        <v>11740</v>
      </c>
      <c r="C4483" s="66"/>
      <c r="D4483" s="1283" t="s">
        <v>14023</v>
      </c>
      <c r="E4483" s="1275" t="s">
        <v>13453</v>
      </c>
      <c r="F4483" s="1326">
        <v>50</v>
      </c>
      <c r="G4483" s="1326">
        <v>19.5</v>
      </c>
      <c r="H4483" s="1292">
        <f t="shared" si="284"/>
        <v>975</v>
      </c>
      <c r="J4483" s="1283" t="s">
        <v>14024</v>
      </c>
      <c r="K4483" s="1294">
        <v>41268</v>
      </c>
      <c r="L4483" s="1335" t="s">
        <v>12379</v>
      </c>
      <c r="N4483" s="1283" t="s">
        <v>12389</v>
      </c>
      <c r="O4483" s="66"/>
      <c r="Q4483" s="1292">
        <v>24675</v>
      </c>
      <c r="R4483" s="91"/>
      <c r="S4483" s="91"/>
      <c r="T4483" s="91"/>
      <c r="U4483" s="236"/>
      <c r="V4483" s="1301" t="s">
        <v>2413</v>
      </c>
      <c r="W4483" s="236"/>
      <c r="X4483" s="1306">
        <v>41264</v>
      </c>
      <c r="Y4483" s="236"/>
      <c r="Z4483" s="1296">
        <v>24675</v>
      </c>
      <c r="AA4483" s="1291" t="s">
        <v>14025</v>
      </c>
      <c r="AB4483" s="1291" t="s">
        <v>14026</v>
      </c>
      <c r="AC4483" s="244"/>
      <c r="AD4483" s="244"/>
      <c r="AE4483" s="244"/>
      <c r="AF4483" s="244"/>
      <c r="AG4483" s="234"/>
      <c r="AH4483" s="234"/>
      <c r="AI4483" s="238"/>
      <c r="AJ4483" s="239"/>
      <c r="AK4483" s="238"/>
      <c r="AL4483" s="238"/>
      <c r="AM4483" s="234"/>
      <c r="AN4483" s="234"/>
      <c r="AO4483" s="234"/>
      <c r="AP4483" s="234"/>
      <c r="AQ4483" s="234"/>
    </row>
    <row r="4484" spans="1:43" ht="15" customHeight="1">
      <c r="A4484" s="1361">
        <v>40560</v>
      </c>
      <c r="B4484" s="451" t="s">
        <v>12425</v>
      </c>
      <c r="C4484" s="451">
        <v>11000017</v>
      </c>
      <c r="D4484" s="451" t="s">
        <v>14120</v>
      </c>
      <c r="E4484" s="346" t="s">
        <v>13532</v>
      </c>
      <c r="F4484" s="712">
        <v>50</v>
      </c>
      <c r="G4484" s="712">
        <v>94</v>
      </c>
      <c r="H4484" s="1362">
        <v>4700</v>
      </c>
      <c r="K4484" s="501" t="s">
        <v>14121</v>
      </c>
      <c r="N4484" s="501" t="s">
        <v>89</v>
      </c>
      <c r="O4484" s="501" t="s">
        <v>14122</v>
      </c>
      <c r="Q4484" s="1362">
        <v>133875</v>
      </c>
      <c r="R4484" s="91"/>
      <c r="S4484" s="91"/>
      <c r="T4484" s="91"/>
      <c r="U4484" s="236"/>
      <c r="V4484" s="451" t="s">
        <v>14123</v>
      </c>
      <c r="W4484" s="236"/>
      <c r="X4484" s="560">
        <v>40569</v>
      </c>
      <c r="Y4484" s="236"/>
      <c r="Z4484" s="712">
        <v>133875</v>
      </c>
      <c r="AA4484" s="501" t="s">
        <v>13564</v>
      </c>
      <c r="AB4484" s="501" t="s">
        <v>14124</v>
      </c>
      <c r="AC4484" s="244"/>
      <c r="AD4484" s="244"/>
      <c r="AE4484" s="244"/>
      <c r="AF4484" s="244"/>
      <c r="AG4484" s="234"/>
      <c r="AH4484" s="234"/>
      <c r="AI4484" s="238"/>
      <c r="AJ4484" s="239"/>
      <c r="AK4484" s="238"/>
      <c r="AL4484" s="238"/>
      <c r="AM4484" s="234"/>
      <c r="AN4484" s="234"/>
      <c r="AO4484" s="234"/>
      <c r="AP4484" s="234"/>
      <c r="AQ4484" s="234"/>
    </row>
    <row r="4485" spans="1:43" ht="15" customHeight="1">
      <c r="A4485" s="1361">
        <v>40560</v>
      </c>
      <c r="B4485" s="451" t="s">
        <v>12425</v>
      </c>
      <c r="C4485" s="451">
        <v>11000017</v>
      </c>
      <c r="D4485" s="451" t="s">
        <v>14120</v>
      </c>
      <c r="E4485" s="346" t="s">
        <v>12584</v>
      </c>
      <c r="F4485" s="712">
        <v>50</v>
      </c>
      <c r="G4485" s="712">
        <v>33</v>
      </c>
      <c r="H4485" s="1362">
        <v>1650</v>
      </c>
      <c r="K4485" s="501" t="s">
        <v>14121</v>
      </c>
      <c r="N4485" s="501" t="s">
        <v>10981</v>
      </c>
      <c r="O4485" s="501" t="s">
        <v>14125</v>
      </c>
      <c r="Q4485" s="1362">
        <v>31500</v>
      </c>
      <c r="R4485" s="91"/>
      <c r="S4485" s="91"/>
      <c r="T4485" s="91"/>
      <c r="U4485" s="236"/>
      <c r="V4485" s="451" t="s">
        <v>13471</v>
      </c>
      <c r="W4485" s="236"/>
      <c r="X4485" s="560">
        <v>40567</v>
      </c>
      <c r="Y4485" s="236"/>
      <c r="Z4485" s="712">
        <v>31500</v>
      </c>
      <c r="AA4485" s="501" t="s">
        <v>13564</v>
      </c>
      <c r="AB4485" s="501" t="s">
        <v>14124</v>
      </c>
      <c r="AC4485" s="244"/>
      <c r="AD4485" s="244"/>
      <c r="AE4485" s="244"/>
      <c r="AF4485" s="244"/>
      <c r="AG4485" s="234"/>
      <c r="AH4485" s="234"/>
      <c r="AI4485" s="238"/>
      <c r="AJ4485" s="239"/>
      <c r="AK4485" s="238"/>
      <c r="AL4485" s="238"/>
      <c r="AM4485" s="234"/>
      <c r="AN4485" s="234"/>
      <c r="AO4485" s="234"/>
      <c r="AP4485" s="234"/>
      <c r="AQ4485" s="234"/>
    </row>
    <row r="4486" spans="1:43" ht="15" customHeight="1">
      <c r="A4486" s="1361">
        <v>40583</v>
      </c>
      <c r="B4486" s="451" t="s">
        <v>12425</v>
      </c>
      <c r="C4486" s="66"/>
      <c r="D4486" s="451" t="s">
        <v>14126</v>
      </c>
      <c r="E4486" s="501" t="s">
        <v>14127</v>
      </c>
      <c r="F4486" s="712">
        <v>1</v>
      </c>
      <c r="G4486" s="712">
        <v>290</v>
      </c>
      <c r="H4486" s="1362">
        <v>290</v>
      </c>
      <c r="K4486" s="501" t="s">
        <v>14128</v>
      </c>
      <c r="N4486" s="501" t="s">
        <v>89</v>
      </c>
      <c r="O4486" s="501" t="s">
        <v>14129</v>
      </c>
      <c r="Q4486" s="501" t="s">
        <v>14132</v>
      </c>
      <c r="R4486" s="91"/>
      <c r="S4486" s="91"/>
      <c r="T4486" s="91"/>
      <c r="U4486" s="236"/>
      <c r="V4486" s="501" t="s">
        <v>14131</v>
      </c>
      <c r="W4486" s="236"/>
      <c r="X4486" s="501" t="s">
        <v>14132</v>
      </c>
      <c r="Y4486" s="236"/>
      <c r="Z4486" s="501" t="s">
        <v>14132</v>
      </c>
      <c r="AA4486" s="501" t="s">
        <v>14130</v>
      </c>
      <c r="AB4486" s="501" t="s">
        <v>14133</v>
      </c>
      <c r="AC4486" s="244"/>
      <c r="AD4486" s="244"/>
      <c r="AE4486" s="244"/>
      <c r="AF4486" s="244"/>
      <c r="AG4486" s="234"/>
      <c r="AH4486" s="234"/>
      <c r="AI4486" s="238"/>
      <c r="AJ4486" s="239"/>
      <c r="AK4486" s="238"/>
      <c r="AL4486" s="238"/>
      <c r="AM4486" s="234"/>
      <c r="AN4486" s="234"/>
      <c r="AO4486" s="234"/>
      <c r="AP4486" s="234"/>
      <c r="AQ4486" s="234"/>
    </row>
    <row r="4487" spans="1:43" ht="15" customHeight="1">
      <c r="A4487" s="1361">
        <v>40583</v>
      </c>
      <c r="B4487" s="451" t="s">
        <v>12425</v>
      </c>
      <c r="C4487" s="66"/>
      <c r="D4487" s="451" t="s">
        <v>14126</v>
      </c>
      <c r="E4487" s="501" t="s">
        <v>10974</v>
      </c>
      <c r="F4487" s="712">
        <v>1</v>
      </c>
      <c r="G4487" s="712">
        <v>20</v>
      </c>
      <c r="H4487" s="1362">
        <v>20</v>
      </c>
      <c r="K4487" s="501" t="s">
        <v>14128</v>
      </c>
      <c r="N4487" s="501" t="s">
        <v>89</v>
      </c>
      <c r="O4487" s="501" t="s">
        <v>14129</v>
      </c>
      <c r="Q4487" s="501" t="s">
        <v>14132</v>
      </c>
      <c r="R4487" s="91"/>
      <c r="S4487" s="91"/>
      <c r="T4487" s="91"/>
      <c r="U4487" s="236"/>
      <c r="V4487" s="501" t="s">
        <v>14131</v>
      </c>
      <c r="W4487" s="236"/>
      <c r="X4487" s="501" t="s">
        <v>14132</v>
      </c>
      <c r="Y4487" s="236"/>
      <c r="Z4487" s="501" t="s">
        <v>14132</v>
      </c>
      <c r="AA4487" s="501" t="s">
        <v>14130</v>
      </c>
      <c r="AB4487" s="501" t="s">
        <v>14133</v>
      </c>
      <c r="AC4487" s="244"/>
      <c r="AD4487" s="244"/>
      <c r="AE4487" s="244"/>
      <c r="AF4487" s="244"/>
      <c r="AG4487" s="234"/>
      <c r="AH4487" s="234"/>
      <c r="AI4487" s="238"/>
      <c r="AJ4487" s="239"/>
      <c r="AK4487" s="238"/>
      <c r="AL4487" s="238"/>
      <c r="AM4487" s="234"/>
      <c r="AN4487" s="234"/>
      <c r="AO4487" s="234"/>
      <c r="AP4487" s="234"/>
      <c r="AQ4487" s="234"/>
    </row>
    <row r="4488" spans="1:43" ht="15" customHeight="1">
      <c r="A4488" s="1361">
        <v>40599</v>
      </c>
      <c r="B4488" s="451" t="s">
        <v>12425</v>
      </c>
      <c r="C4488" s="451" t="s">
        <v>14134</v>
      </c>
      <c r="D4488" s="451" t="s">
        <v>14135</v>
      </c>
      <c r="E4488" s="501" t="s">
        <v>10961</v>
      </c>
      <c r="F4488" s="712">
        <v>6</v>
      </c>
      <c r="G4488" s="712">
        <v>99</v>
      </c>
      <c r="H4488" s="1362">
        <v>594</v>
      </c>
      <c r="K4488" s="560">
        <v>40617</v>
      </c>
      <c r="N4488" s="501" t="s">
        <v>89</v>
      </c>
      <c r="O4488" s="501" t="s">
        <v>14136</v>
      </c>
      <c r="Q4488" s="712">
        <v>16128</v>
      </c>
      <c r="R4488" s="91"/>
      <c r="S4488" s="91"/>
      <c r="T4488" s="91"/>
      <c r="U4488" s="236"/>
      <c r="V4488" s="451" t="s">
        <v>14123</v>
      </c>
      <c r="W4488" s="236"/>
      <c r="X4488" s="560">
        <v>40616</v>
      </c>
      <c r="Y4488" s="236"/>
      <c r="Z4488" s="712">
        <v>16128</v>
      </c>
      <c r="AA4488" s="451" t="s">
        <v>14137</v>
      </c>
      <c r="AB4488" s="501" t="s">
        <v>14138</v>
      </c>
      <c r="AC4488" s="244"/>
      <c r="AD4488" s="244"/>
      <c r="AE4488" s="244"/>
      <c r="AF4488" s="244"/>
      <c r="AG4488" s="234"/>
      <c r="AH4488" s="234"/>
      <c r="AI4488" s="238"/>
      <c r="AJ4488" s="239"/>
      <c r="AK4488" s="238"/>
      <c r="AL4488" s="238"/>
      <c r="AM4488" s="234"/>
      <c r="AN4488" s="234"/>
      <c r="AO4488" s="234"/>
      <c r="AP4488" s="234"/>
      <c r="AQ4488" s="234"/>
    </row>
    <row r="4489" spans="1:43" ht="15" customHeight="1">
      <c r="A4489" s="1361">
        <v>40599</v>
      </c>
      <c r="B4489" s="451" t="s">
        <v>12425</v>
      </c>
      <c r="C4489" s="451" t="s">
        <v>14134</v>
      </c>
      <c r="D4489" s="451" t="s">
        <v>14135</v>
      </c>
      <c r="E4489" s="501" t="s">
        <v>14139</v>
      </c>
      <c r="F4489" s="712">
        <v>4</v>
      </c>
      <c r="G4489" s="712">
        <v>99</v>
      </c>
      <c r="H4489" s="1362">
        <v>396</v>
      </c>
      <c r="K4489" s="560">
        <v>40617</v>
      </c>
      <c r="N4489" s="501" t="s">
        <v>89</v>
      </c>
      <c r="O4489" s="501" t="s">
        <v>14136</v>
      </c>
      <c r="P4489" s="530"/>
      <c r="Q4489" s="712">
        <v>13104</v>
      </c>
      <c r="R4489" s="91"/>
      <c r="S4489" s="91"/>
      <c r="T4489" s="91"/>
      <c r="U4489" s="236"/>
      <c r="V4489" s="451" t="s">
        <v>14123</v>
      </c>
      <c r="W4489" s="236"/>
      <c r="X4489" s="560">
        <v>40616</v>
      </c>
      <c r="Y4489" s="236"/>
      <c r="Z4489" s="712">
        <v>13104</v>
      </c>
      <c r="AA4489" s="501" t="s">
        <v>14137</v>
      </c>
      <c r="AB4489" s="501" t="s">
        <v>14138</v>
      </c>
      <c r="AC4489" s="244"/>
      <c r="AD4489" s="244"/>
      <c r="AE4489" s="244"/>
      <c r="AF4489" s="244"/>
      <c r="AG4489" s="234"/>
      <c r="AH4489" s="234"/>
      <c r="AI4489" s="238"/>
      <c r="AJ4489" s="239"/>
      <c r="AK4489" s="238"/>
      <c r="AL4489" s="238"/>
      <c r="AM4489" s="234"/>
      <c r="AN4489" s="234"/>
      <c r="AO4489" s="234"/>
      <c r="AP4489" s="234"/>
      <c r="AQ4489" s="234"/>
    </row>
    <row r="4490" spans="1:43" ht="15" customHeight="1">
      <c r="A4490" s="1361">
        <v>40599</v>
      </c>
      <c r="B4490" s="451" t="s">
        <v>12425</v>
      </c>
      <c r="C4490" s="451" t="s">
        <v>14134</v>
      </c>
      <c r="D4490" s="451" t="s">
        <v>14135</v>
      </c>
      <c r="E4490" s="501" t="s">
        <v>13528</v>
      </c>
      <c r="F4490" s="712">
        <v>8</v>
      </c>
      <c r="G4490" s="712">
        <v>22</v>
      </c>
      <c r="H4490" s="1362">
        <v>176</v>
      </c>
      <c r="K4490" s="560">
        <v>40617</v>
      </c>
      <c r="N4490" s="501" t="s">
        <v>10981</v>
      </c>
      <c r="O4490" s="501" t="s">
        <v>14140</v>
      </c>
      <c r="P4490" s="530"/>
      <c r="Q4490" s="712">
        <v>3780</v>
      </c>
      <c r="R4490" s="91"/>
      <c r="S4490" s="91"/>
      <c r="T4490" s="91"/>
      <c r="U4490" s="236"/>
      <c r="V4490" s="451" t="s">
        <v>13471</v>
      </c>
      <c r="W4490" s="236"/>
      <c r="X4490" s="560">
        <v>40616</v>
      </c>
      <c r="Y4490" s="236"/>
      <c r="Z4490" s="712">
        <v>3780</v>
      </c>
      <c r="AA4490" s="501" t="s">
        <v>14137</v>
      </c>
      <c r="AB4490" s="501" t="s">
        <v>14138</v>
      </c>
      <c r="AC4490" s="244"/>
      <c r="AD4490" s="244"/>
      <c r="AE4490" s="244"/>
      <c r="AF4490" s="244"/>
      <c r="AG4490" s="234"/>
      <c r="AH4490" s="234"/>
      <c r="AI4490" s="238"/>
      <c r="AJ4490" s="239"/>
      <c r="AK4490" s="238"/>
      <c r="AL4490" s="238"/>
      <c r="AM4490" s="234"/>
      <c r="AN4490" s="234"/>
      <c r="AO4490" s="234"/>
      <c r="AP4490" s="234"/>
      <c r="AQ4490" s="234"/>
    </row>
    <row r="4491" spans="1:43" ht="15" customHeight="1">
      <c r="A4491" s="1361">
        <v>40631</v>
      </c>
      <c r="B4491" s="451" t="s">
        <v>12425</v>
      </c>
      <c r="C4491" s="451" t="s">
        <v>14141</v>
      </c>
      <c r="D4491" s="451" t="s">
        <v>14142</v>
      </c>
      <c r="E4491" s="501" t="s">
        <v>11324</v>
      </c>
      <c r="F4491" s="712">
        <v>5</v>
      </c>
      <c r="G4491" s="712">
        <v>108</v>
      </c>
      <c r="H4491" s="1362">
        <v>540</v>
      </c>
      <c r="K4491" s="501" t="s">
        <v>14143</v>
      </c>
      <c r="N4491" s="501" t="s">
        <v>89</v>
      </c>
      <c r="O4491" s="501" t="s">
        <v>14144</v>
      </c>
      <c r="P4491" s="530"/>
      <c r="Q4491" s="1362">
        <v>13388</v>
      </c>
      <c r="R4491" s="1452"/>
      <c r="S4491" s="1452"/>
      <c r="T4491" s="927"/>
      <c r="U4491" s="236"/>
      <c r="V4491" s="451" t="s">
        <v>14123</v>
      </c>
      <c r="W4491" s="236"/>
      <c r="X4491" s="560">
        <v>40640</v>
      </c>
      <c r="Y4491" s="236"/>
      <c r="Z4491" s="712">
        <v>13388</v>
      </c>
      <c r="AA4491" s="501" t="s">
        <v>14145</v>
      </c>
      <c r="AB4491" s="501" t="s">
        <v>14146</v>
      </c>
      <c r="AC4491" s="244"/>
      <c r="AD4491" s="244"/>
      <c r="AE4491" s="244"/>
      <c r="AF4491" s="244"/>
      <c r="AG4491" s="234"/>
      <c r="AH4491" s="234"/>
      <c r="AI4491" s="238"/>
      <c r="AJ4491" s="239"/>
      <c r="AK4491" s="238"/>
      <c r="AL4491" s="238"/>
      <c r="AM4491" s="234"/>
      <c r="AN4491" s="234"/>
      <c r="AO4491" s="234"/>
      <c r="AP4491" s="234"/>
      <c r="AQ4491" s="234"/>
    </row>
    <row r="4492" spans="1:43" ht="15" customHeight="1">
      <c r="A4492" s="1361">
        <v>40631</v>
      </c>
      <c r="B4492" s="451" t="s">
        <v>12425</v>
      </c>
      <c r="C4492" s="451" t="s">
        <v>14141</v>
      </c>
      <c r="D4492" s="451" t="s">
        <v>14142</v>
      </c>
      <c r="E4492" s="501" t="s">
        <v>14147</v>
      </c>
      <c r="F4492" s="712">
        <v>8</v>
      </c>
      <c r="G4492" s="712">
        <v>90</v>
      </c>
      <c r="H4492" s="1362">
        <v>720</v>
      </c>
      <c r="K4492" s="501" t="s">
        <v>14143</v>
      </c>
      <c r="N4492" s="501" t="s">
        <v>89</v>
      </c>
      <c r="O4492" s="501" t="s">
        <v>14144</v>
      </c>
      <c r="P4492" s="530"/>
      <c r="Q4492" s="1362">
        <v>19320</v>
      </c>
      <c r="R4492" s="91"/>
      <c r="S4492" s="91"/>
      <c r="T4492" s="91"/>
      <c r="U4492" s="236"/>
      <c r="V4492" s="451" t="s">
        <v>14123</v>
      </c>
      <c r="W4492" s="236"/>
      <c r="X4492" s="560">
        <v>40640</v>
      </c>
      <c r="Y4492" s="236"/>
      <c r="Z4492" s="712">
        <v>19320</v>
      </c>
      <c r="AA4492" s="501" t="s">
        <v>14145</v>
      </c>
      <c r="AB4492" s="501" t="s">
        <v>14146</v>
      </c>
      <c r="AC4492" s="244"/>
      <c r="AD4492" s="244"/>
      <c r="AE4492" s="244"/>
      <c r="AF4492" s="244"/>
      <c r="AG4492" s="234"/>
      <c r="AH4492" s="234"/>
      <c r="AI4492" s="238"/>
      <c r="AJ4492" s="239"/>
      <c r="AK4492" s="238"/>
      <c r="AL4492" s="238"/>
      <c r="AM4492" s="234"/>
      <c r="AN4492" s="234"/>
      <c r="AO4492" s="234"/>
      <c r="AP4492" s="234"/>
      <c r="AQ4492" s="234"/>
    </row>
    <row r="4493" spans="1:43" ht="15" customHeight="1">
      <c r="A4493" s="1361">
        <v>40631</v>
      </c>
      <c r="B4493" s="451" t="s">
        <v>12425</v>
      </c>
      <c r="C4493" s="451" t="s">
        <v>14141</v>
      </c>
      <c r="D4493" s="451" t="s">
        <v>14142</v>
      </c>
      <c r="E4493" s="501" t="s">
        <v>10125</v>
      </c>
      <c r="F4493" s="712">
        <v>1</v>
      </c>
      <c r="G4493" s="712">
        <v>48</v>
      </c>
      <c r="H4493" s="1362">
        <v>48</v>
      </c>
      <c r="K4493" s="501" t="s">
        <v>14143</v>
      </c>
      <c r="N4493" s="501" t="s">
        <v>89</v>
      </c>
      <c r="O4493" s="501" t="s">
        <v>14144</v>
      </c>
      <c r="P4493" s="530"/>
      <c r="Q4493" s="1362">
        <v>1208</v>
      </c>
      <c r="R4493" s="91"/>
      <c r="S4493" s="91"/>
      <c r="T4493" s="91"/>
      <c r="U4493" s="236"/>
      <c r="V4493" s="451" t="s">
        <v>14123</v>
      </c>
      <c r="W4493" s="236"/>
      <c r="X4493" s="560">
        <v>40640</v>
      </c>
      <c r="Y4493" s="236"/>
      <c r="Z4493" s="712">
        <v>1208</v>
      </c>
      <c r="AA4493" s="501" t="s">
        <v>14145</v>
      </c>
      <c r="AB4493" s="501" t="s">
        <v>14146</v>
      </c>
      <c r="AC4493" s="244"/>
      <c r="AD4493" s="244"/>
      <c r="AE4493" s="244"/>
      <c r="AF4493" s="244"/>
      <c r="AG4493" s="234"/>
      <c r="AH4493" s="234"/>
      <c r="AI4493" s="238"/>
      <c r="AJ4493" s="239"/>
      <c r="AK4493" s="238"/>
      <c r="AL4493" s="238"/>
      <c r="AM4493" s="234"/>
      <c r="AN4493" s="234"/>
      <c r="AO4493" s="234"/>
      <c r="AP4493" s="234"/>
      <c r="AQ4493" s="234"/>
    </row>
    <row r="4494" spans="1:43" ht="15" customHeight="1">
      <c r="A4494" s="1361">
        <v>40631</v>
      </c>
      <c r="B4494" s="451" t="s">
        <v>12425</v>
      </c>
      <c r="C4494" s="451" t="s">
        <v>14141</v>
      </c>
      <c r="D4494" s="451" t="s">
        <v>14142</v>
      </c>
      <c r="E4494" s="501" t="s">
        <v>14148</v>
      </c>
      <c r="F4494" s="712">
        <v>3</v>
      </c>
      <c r="G4494" s="712">
        <v>57</v>
      </c>
      <c r="H4494" s="1362">
        <v>171</v>
      </c>
      <c r="K4494" s="501" t="s">
        <v>14143</v>
      </c>
      <c r="N4494" s="501" t="s">
        <v>89</v>
      </c>
      <c r="O4494" s="501" t="s">
        <v>14144</v>
      </c>
      <c r="P4494" s="530"/>
      <c r="Q4494" s="1362">
        <v>4599</v>
      </c>
      <c r="R4494" s="91"/>
      <c r="S4494" s="91"/>
      <c r="T4494" s="91"/>
      <c r="U4494" s="236"/>
      <c r="V4494" s="451" t="s">
        <v>14123</v>
      </c>
      <c r="W4494" s="236"/>
      <c r="X4494" s="560">
        <v>40640</v>
      </c>
      <c r="Y4494" s="236"/>
      <c r="Z4494" s="712">
        <v>4599</v>
      </c>
      <c r="AA4494" s="501" t="s">
        <v>14145</v>
      </c>
      <c r="AB4494" s="501" t="s">
        <v>14146</v>
      </c>
      <c r="AC4494" s="244"/>
      <c r="AD4494" s="244"/>
      <c r="AE4494" s="244"/>
      <c r="AF4494" s="244"/>
      <c r="AG4494" s="234"/>
      <c r="AH4494" s="234"/>
      <c r="AI4494" s="238"/>
      <c r="AJ4494" s="239"/>
      <c r="AK4494" s="238"/>
      <c r="AL4494" s="238"/>
      <c r="AM4494" s="234"/>
      <c r="AN4494" s="234"/>
      <c r="AO4494" s="234"/>
      <c r="AP4494" s="234"/>
      <c r="AQ4494" s="234"/>
    </row>
    <row r="4495" spans="1:43" ht="15" customHeight="1">
      <c r="A4495" s="1361">
        <v>40631</v>
      </c>
      <c r="B4495" s="451" t="s">
        <v>12425</v>
      </c>
      <c r="C4495" s="451" t="s">
        <v>14141</v>
      </c>
      <c r="D4495" s="451" t="s">
        <v>14142</v>
      </c>
      <c r="E4495" s="501" t="s">
        <v>4268</v>
      </c>
      <c r="F4495" s="712">
        <v>10</v>
      </c>
      <c r="G4495" s="712">
        <v>161</v>
      </c>
      <c r="H4495" s="1362">
        <v>1610</v>
      </c>
      <c r="K4495" s="501" t="s">
        <v>14143</v>
      </c>
      <c r="N4495" s="501" t="s">
        <v>89</v>
      </c>
      <c r="O4495" s="501" t="s">
        <v>14144</v>
      </c>
      <c r="P4495" s="530"/>
      <c r="Q4495" s="1362">
        <v>41580</v>
      </c>
      <c r="R4495" s="91"/>
      <c r="S4495" s="91"/>
      <c r="T4495" s="91"/>
      <c r="U4495" s="236"/>
      <c r="V4495" s="451" t="s">
        <v>14123</v>
      </c>
      <c r="W4495" s="236"/>
      <c r="X4495" s="560">
        <v>40640</v>
      </c>
      <c r="Y4495" s="236"/>
      <c r="Z4495" s="712">
        <v>41580</v>
      </c>
      <c r="AA4495" s="501" t="s">
        <v>14145</v>
      </c>
      <c r="AB4495" s="501" t="s">
        <v>14146</v>
      </c>
      <c r="AC4495" s="244"/>
      <c r="AD4495" s="244"/>
      <c r="AE4495" s="244"/>
      <c r="AF4495" s="244"/>
      <c r="AG4495" s="234"/>
      <c r="AH4495" s="234"/>
      <c r="AI4495" s="238"/>
      <c r="AJ4495" s="239"/>
      <c r="AK4495" s="238"/>
      <c r="AL4495" s="238"/>
      <c r="AM4495" s="234"/>
      <c r="AN4495" s="234"/>
      <c r="AO4495" s="234"/>
      <c r="AP4495" s="234"/>
      <c r="AQ4495" s="234"/>
    </row>
    <row r="4496" spans="1:43" ht="15" customHeight="1">
      <c r="A4496" s="1361">
        <v>40631</v>
      </c>
      <c r="B4496" s="451" t="s">
        <v>12425</v>
      </c>
      <c r="C4496" s="451" t="s">
        <v>14141</v>
      </c>
      <c r="D4496" s="451" t="s">
        <v>14142</v>
      </c>
      <c r="E4496" s="501" t="s">
        <v>13528</v>
      </c>
      <c r="F4496" s="712">
        <v>2</v>
      </c>
      <c r="G4496" s="712">
        <v>22</v>
      </c>
      <c r="H4496" s="1362">
        <v>44</v>
      </c>
      <c r="K4496" s="501" t="s">
        <v>14143</v>
      </c>
      <c r="N4496" s="1363" t="s">
        <v>10981</v>
      </c>
      <c r="O4496" s="501" t="s">
        <v>14149</v>
      </c>
      <c r="P4496" s="530"/>
      <c r="Q4496" s="1362">
        <v>945</v>
      </c>
      <c r="R4496" s="91"/>
      <c r="S4496" s="91"/>
      <c r="T4496" s="91"/>
      <c r="U4496" s="236"/>
      <c r="V4496" s="451" t="s">
        <v>13471</v>
      </c>
      <c r="W4496" s="236"/>
      <c r="X4496" s="560">
        <v>40634</v>
      </c>
      <c r="Y4496" s="236"/>
      <c r="Z4496" s="712">
        <v>945</v>
      </c>
      <c r="AA4496" s="501" t="s">
        <v>14150</v>
      </c>
      <c r="AB4496" s="501" t="s">
        <v>14146</v>
      </c>
      <c r="AC4496" s="244"/>
      <c r="AD4496" s="244"/>
      <c r="AE4496" s="244"/>
      <c r="AF4496" s="244"/>
      <c r="AG4496" s="234"/>
      <c r="AH4496" s="234"/>
      <c r="AI4496" s="238"/>
      <c r="AJ4496" s="239"/>
      <c r="AK4496" s="238"/>
      <c r="AL4496" s="238"/>
      <c r="AM4496" s="234"/>
      <c r="AN4496" s="234"/>
      <c r="AO4496" s="234"/>
      <c r="AP4496" s="234"/>
      <c r="AQ4496" s="234"/>
    </row>
    <row r="4497" spans="1:43" ht="15" customHeight="1">
      <c r="A4497" s="1361">
        <v>40644</v>
      </c>
      <c r="B4497" s="451" t="s">
        <v>14151</v>
      </c>
      <c r="C4497" s="66"/>
      <c r="D4497" s="451" t="s">
        <v>14152</v>
      </c>
      <c r="E4497" s="501" t="s">
        <v>12437</v>
      </c>
      <c r="F4497" s="712">
        <v>50</v>
      </c>
      <c r="G4497" s="712">
        <v>116.5</v>
      </c>
      <c r="H4497" s="1362">
        <v>5825</v>
      </c>
      <c r="K4497" s="501" t="s">
        <v>14153</v>
      </c>
      <c r="N4497" s="501" t="s">
        <v>89</v>
      </c>
      <c r="O4497" s="501" t="s">
        <v>14154</v>
      </c>
      <c r="P4497" s="530"/>
      <c r="Q4497" s="1362">
        <v>149625</v>
      </c>
      <c r="R4497" s="91"/>
      <c r="S4497" s="91"/>
      <c r="T4497" s="91"/>
      <c r="U4497" s="236"/>
      <c r="V4497" s="451" t="s">
        <v>14123</v>
      </c>
      <c r="W4497" s="236"/>
      <c r="X4497" s="560">
        <v>40659</v>
      </c>
      <c r="Y4497" s="236"/>
      <c r="Z4497" s="712">
        <v>149625</v>
      </c>
      <c r="AA4497" s="501" t="s">
        <v>14150</v>
      </c>
      <c r="AB4497" s="501" t="s">
        <v>14155</v>
      </c>
      <c r="AC4497" s="244"/>
      <c r="AD4497" s="244"/>
      <c r="AE4497" s="244"/>
      <c r="AF4497" s="244"/>
      <c r="AG4497" s="234"/>
      <c r="AH4497" s="234"/>
      <c r="AI4497" s="238"/>
      <c r="AJ4497" s="239"/>
      <c r="AK4497" s="238"/>
      <c r="AL4497" s="238"/>
      <c r="AM4497" s="234"/>
      <c r="AN4497" s="234"/>
      <c r="AO4497" s="234"/>
      <c r="AP4497" s="234"/>
      <c r="AQ4497" s="234"/>
    </row>
    <row r="4498" spans="1:43" ht="15" customHeight="1">
      <c r="A4498" s="1361">
        <v>40644</v>
      </c>
      <c r="B4498" s="451" t="s">
        <v>14151</v>
      </c>
      <c r="C4498" s="66"/>
      <c r="D4498" s="451" t="s">
        <v>14152</v>
      </c>
      <c r="E4498" s="501" t="s">
        <v>12437</v>
      </c>
      <c r="F4498" s="712">
        <v>50</v>
      </c>
      <c r="G4498" s="712">
        <v>116.5</v>
      </c>
      <c r="H4498" s="1362">
        <v>5825</v>
      </c>
      <c r="K4498" s="75" t="s">
        <v>14156</v>
      </c>
      <c r="N4498" s="501" t="s">
        <v>89</v>
      </c>
      <c r="O4498" s="501" t="s">
        <v>14154</v>
      </c>
      <c r="P4498" s="530"/>
      <c r="Q4498" s="1362">
        <v>149625</v>
      </c>
      <c r="R4498" s="91"/>
      <c r="S4498" s="91"/>
      <c r="T4498" s="91"/>
      <c r="U4498" s="236"/>
      <c r="V4498" s="451" t="s">
        <v>14123</v>
      </c>
      <c r="W4498" s="236"/>
      <c r="X4498" s="560">
        <v>40666</v>
      </c>
      <c r="Y4498" s="236"/>
      <c r="Z4498" s="712">
        <v>149625</v>
      </c>
      <c r="AA4498" s="75" t="s">
        <v>14157</v>
      </c>
      <c r="AB4498" s="501" t="s">
        <v>14158</v>
      </c>
      <c r="AC4498" s="244"/>
      <c r="AD4498" s="244"/>
      <c r="AE4498" s="244"/>
      <c r="AF4498" s="244"/>
      <c r="AG4498" s="234"/>
      <c r="AH4498" s="234"/>
      <c r="AI4498" s="238"/>
      <c r="AJ4498" s="239"/>
      <c r="AK4498" s="238"/>
      <c r="AL4498" s="238"/>
      <c r="AM4498" s="234"/>
      <c r="AN4498" s="234"/>
      <c r="AO4498" s="234"/>
      <c r="AP4498" s="234"/>
      <c r="AQ4498" s="234"/>
    </row>
    <row r="4499" spans="1:43" ht="15" customHeight="1">
      <c r="A4499" s="1361">
        <v>40645</v>
      </c>
      <c r="B4499" s="451" t="s">
        <v>14159</v>
      </c>
      <c r="C4499" s="451" t="s">
        <v>14160</v>
      </c>
      <c r="D4499" s="451" t="s">
        <v>14161</v>
      </c>
      <c r="E4499" s="501" t="s">
        <v>14162</v>
      </c>
      <c r="F4499" s="712">
        <v>50</v>
      </c>
      <c r="G4499" s="712">
        <v>120.4</v>
      </c>
      <c r="H4499" s="1362">
        <v>6020</v>
      </c>
      <c r="K4499" s="75" t="s">
        <v>14163</v>
      </c>
      <c r="N4499" s="501" t="s">
        <v>89</v>
      </c>
      <c r="O4499" s="501" t="s">
        <v>14164</v>
      </c>
      <c r="P4499" s="1380"/>
      <c r="Q4499" s="1362">
        <v>142800</v>
      </c>
      <c r="R4499" s="91"/>
      <c r="S4499" s="91"/>
      <c r="T4499" s="91"/>
      <c r="U4499" s="236"/>
      <c r="V4499" s="451" t="s">
        <v>14123</v>
      </c>
      <c r="W4499" s="236"/>
      <c r="X4499" s="560">
        <v>40666</v>
      </c>
      <c r="Y4499" s="236"/>
      <c r="Z4499" s="712">
        <v>142800</v>
      </c>
      <c r="AA4499" s="75" t="s">
        <v>14157</v>
      </c>
      <c r="AB4499" s="501" t="s">
        <v>14165</v>
      </c>
      <c r="AC4499" s="244"/>
      <c r="AD4499" s="244"/>
      <c r="AE4499" s="244"/>
      <c r="AF4499" s="244"/>
      <c r="AG4499" s="234"/>
      <c r="AH4499" s="234"/>
      <c r="AI4499" s="238"/>
      <c r="AJ4499" s="239"/>
      <c r="AK4499" s="238"/>
      <c r="AL4499" s="238"/>
      <c r="AM4499" s="234"/>
      <c r="AN4499" s="234"/>
      <c r="AO4499" s="234"/>
      <c r="AP4499" s="234"/>
      <c r="AQ4499" s="234"/>
    </row>
    <row r="4500" spans="1:43" ht="15" customHeight="1">
      <c r="A4500" s="1361">
        <v>40647</v>
      </c>
      <c r="B4500" s="451" t="s">
        <v>14166</v>
      </c>
      <c r="C4500" s="66"/>
      <c r="D4500" s="451" t="s">
        <v>14167</v>
      </c>
      <c r="E4500" s="501" t="s">
        <v>11167</v>
      </c>
      <c r="F4500" s="712">
        <v>7</v>
      </c>
      <c r="G4500" s="712">
        <v>244</v>
      </c>
      <c r="H4500" s="1362">
        <v>1708</v>
      </c>
      <c r="K4500" s="560">
        <v>40655</v>
      </c>
      <c r="N4500" s="1364" t="s">
        <v>3263</v>
      </c>
      <c r="O4500" s="501" t="s">
        <v>14168</v>
      </c>
      <c r="P4500" s="91"/>
      <c r="Q4500" s="712">
        <v>47628</v>
      </c>
      <c r="R4500" s="91"/>
      <c r="S4500" s="91"/>
      <c r="T4500" s="91"/>
      <c r="U4500" s="236"/>
      <c r="V4500" s="1295" t="s">
        <v>14169</v>
      </c>
      <c r="W4500" s="236"/>
      <c r="X4500" s="560">
        <v>40652</v>
      </c>
      <c r="Y4500" s="236"/>
      <c r="Z4500" s="712">
        <v>47628</v>
      </c>
      <c r="AA4500" s="501" t="s">
        <v>14145</v>
      </c>
      <c r="AB4500" s="501" t="s">
        <v>14170</v>
      </c>
      <c r="AC4500" s="244"/>
      <c r="AD4500" s="244"/>
      <c r="AE4500" s="244"/>
      <c r="AF4500" s="244"/>
      <c r="AG4500" s="234"/>
      <c r="AH4500" s="234"/>
      <c r="AI4500" s="238"/>
      <c r="AJ4500" s="239"/>
      <c r="AK4500" s="238"/>
      <c r="AL4500" s="238"/>
      <c r="AM4500" s="234"/>
      <c r="AN4500" s="234"/>
      <c r="AO4500" s="234"/>
      <c r="AP4500" s="234"/>
      <c r="AQ4500" s="234"/>
    </row>
    <row r="4501" spans="1:43" ht="15" customHeight="1">
      <c r="A4501" s="1361">
        <v>40647</v>
      </c>
      <c r="B4501" s="451" t="s">
        <v>14166</v>
      </c>
      <c r="C4501" s="66"/>
      <c r="D4501" s="451" t="s">
        <v>14167</v>
      </c>
      <c r="E4501" s="501" t="s">
        <v>14171</v>
      </c>
      <c r="F4501" s="712">
        <v>19</v>
      </c>
      <c r="G4501" s="712">
        <v>117</v>
      </c>
      <c r="H4501" s="1362">
        <v>2223</v>
      </c>
      <c r="K4501" s="560">
        <v>40655</v>
      </c>
      <c r="N4501" s="1364" t="s">
        <v>3263</v>
      </c>
      <c r="O4501" s="501" t="s">
        <v>14168</v>
      </c>
      <c r="P4501" s="91"/>
      <c r="Q4501" s="712">
        <v>61845</v>
      </c>
      <c r="R4501" s="91"/>
      <c r="S4501" s="91"/>
      <c r="T4501" s="91"/>
      <c r="U4501" s="236"/>
      <c r="V4501" s="1295" t="s">
        <v>14169</v>
      </c>
      <c r="W4501" s="236"/>
      <c r="X4501" s="560">
        <v>40652</v>
      </c>
      <c r="Y4501" s="236"/>
      <c r="Z4501" s="712">
        <v>61845</v>
      </c>
      <c r="AA4501" s="501" t="s">
        <v>14145</v>
      </c>
      <c r="AB4501" s="501" t="s">
        <v>14170</v>
      </c>
      <c r="AC4501" s="244"/>
      <c r="AD4501" s="244"/>
      <c r="AE4501" s="244"/>
      <c r="AF4501" s="244"/>
      <c r="AG4501" s="234"/>
      <c r="AH4501" s="234"/>
      <c r="AI4501" s="238"/>
      <c r="AJ4501" s="239"/>
      <c r="AK4501" s="238"/>
      <c r="AL4501" s="238"/>
      <c r="AM4501" s="234"/>
      <c r="AN4501" s="234"/>
      <c r="AO4501" s="234"/>
      <c r="AP4501" s="234"/>
      <c r="AQ4501" s="234"/>
    </row>
    <row r="4502" spans="1:43" ht="15" customHeight="1">
      <c r="A4502" s="1361">
        <v>40647</v>
      </c>
      <c r="B4502" s="451" t="s">
        <v>14166</v>
      </c>
      <c r="C4502" s="66"/>
      <c r="D4502" s="451" t="s">
        <v>14167</v>
      </c>
      <c r="E4502" s="501" t="s">
        <v>14172</v>
      </c>
      <c r="F4502" s="712">
        <v>9</v>
      </c>
      <c r="G4502" s="712">
        <v>138</v>
      </c>
      <c r="H4502" s="1362">
        <v>1242</v>
      </c>
      <c r="K4502" s="560">
        <v>40655</v>
      </c>
      <c r="N4502" s="1364" t="s">
        <v>3263</v>
      </c>
      <c r="O4502" s="501" t="s">
        <v>14168</v>
      </c>
      <c r="P4502" s="91"/>
      <c r="Q4502" s="712">
        <v>34493</v>
      </c>
      <c r="R4502" s="604"/>
      <c r="S4502" s="604"/>
      <c r="T4502" s="85"/>
      <c r="U4502" s="236"/>
      <c r="V4502" s="1295" t="s">
        <v>14169</v>
      </c>
      <c r="W4502" s="236"/>
      <c r="X4502" s="560">
        <v>40652</v>
      </c>
      <c r="Y4502" s="236"/>
      <c r="Z4502" s="712">
        <v>34493</v>
      </c>
      <c r="AA4502" s="501" t="s">
        <v>14145</v>
      </c>
      <c r="AB4502" s="501" t="s">
        <v>14170</v>
      </c>
      <c r="AC4502" s="244"/>
      <c r="AD4502" s="244"/>
      <c r="AE4502" s="244"/>
      <c r="AF4502" s="244"/>
      <c r="AG4502" s="234"/>
      <c r="AH4502" s="234"/>
      <c r="AI4502" s="238"/>
      <c r="AJ4502" s="239"/>
      <c r="AK4502" s="238"/>
      <c r="AL4502" s="238"/>
      <c r="AM4502" s="234"/>
      <c r="AN4502" s="234"/>
      <c r="AO4502" s="234"/>
      <c r="AP4502" s="234"/>
      <c r="AQ4502" s="234"/>
    </row>
    <row r="4503" spans="1:43" ht="15" customHeight="1">
      <c r="A4503" s="1361">
        <v>40652</v>
      </c>
      <c r="B4503" s="451" t="s">
        <v>12425</v>
      </c>
      <c r="C4503" s="451" t="s">
        <v>14173</v>
      </c>
      <c r="D4503" s="451" t="s">
        <v>14174</v>
      </c>
      <c r="E4503" s="501" t="s">
        <v>14175</v>
      </c>
      <c r="F4503" s="712">
        <v>14</v>
      </c>
      <c r="G4503" s="712">
        <v>415</v>
      </c>
      <c r="H4503" s="1362">
        <v>5810</v>
      </c>
      <c r="K4503" s="560">
        <v>40677</v>
      </c>
      <c r="N4503" s="501" t="s">
        <v>89</v>
      </c>
      <c r="O4503" s="501" t="s">
        <v>14176</v>
      </c>
      <c r="P4503" s="91"/>
      <c r="Q4503" s="712">
        <v>165081</v>
      </c>
      <c r="R4503" s="604"/>
      <c r="S4503" s="604"/>
      <c r="T4503" s="85"/>
      <c r="U4503" s="236"/>
      <c r="V4503" s="451" t="s">
        <v>14123</v>
      </c>
      <c r="W4503" s="236"/>
      <c r="X4503" s="560">
        <v>40675</v>
      </c>
      <c r="Y4503" s="236"/>
      <c r="Z4503" s="712">
        <v>165081</v>
      </c>
      <c r="AA4503" s="501" t="s">
        <v>13564</v>
      </c>
      <c r="AB4503" s="501" t="s">
        <v>14177</v>
      </c>
      <c r="AC4503" s="244"/>
      <c r="AD4503" s="244"/>
      <c r="AE4503" s="244"/>
      <c r="AF4503" s="244"/>
      <c r="AG4503" s="234"/>
      <c r="AH4503" s="234"/>
      <c r="AI4503" s="238"/>
      <c r="AJ4503" s="239"/>
      <c r="AK4503" s="238"/>
      <c r="AL4503" s="238"/>
      <c r="AM4503" s="234"/>
      <c r="AN4503" s="234"/>
      <c r="AO4503" s="234"/>
      <c r="AP4503" s="234"/>
      <c r="AQ4503" s="234"/>
    </row>
    <row r="4504" spans="1:43" ht="15" customHeight="1">
      <c r="A4504" s="1361">
        <v>40676</v>
      </c>
      <c r="B4504" s="451" t="s">
        <v>12425</v>
      </c>
      <c r="C4504" s="451" t="s">
        <v>14178</v>
      </c>
      <c r="D4504" s="451" t="s">
        <v>14179</v>
      </c>
      <c r="E4504" s="451" t="s">
        <v>12584</v>
      </c>
      <c r="F4504" s="346">
        <v>4</v>
      </c>
      <c r="G4504" s="346">
        <v>35</v>
      </c>
      <c r="H4504" s="1362">
        <v>140</v>
      </c>
      <c r="K4504" s="560">
        <v>40683</v>
      </c>
      <c r="N4504" s="1363" t="s">
        <v>10981</v>
      </c>
      <c r="O4504" s="501" t="s">
        <v>14180</v>
      </c>
      <c r="P4504" s="91"/>
      <c r="Q4504" s="1362">
        <v>473</v>
      </c>
      <c r="R4504" s="604"/>
      <c r="S4504" s="604"/>
      <c r="T4504" s="85"/>
      <c r="U4504" s="236"/>
      <c r="V4504" s="451" t="s">
        <v>13471</v>
      </c>
      <c r="W4504" s="236"/>
      <c r="X4504" s="560">
        <v>40683</v>
      </c>
      <c r="Y4504" s="236"/>
      <c r="Z4504" s="712">
        <v>473</v>
      </c>
      <c r="AA4504" s="501" t="s">
        <v>13564</v>
      </c>
      <c r="AB4504" s="501" t="s">
        <v>14181</v>
      </c>
      <c r="AC4504" s="244"/>
      <c r="AD4504" s="244"/>
      <c r="AE4504" s="244"/>
      <c r="AF4504" s="244"/>
      <c r="AG4504" s="234"/>
      <c r="AH4504" s="234"/>
      <c r="AI4504" s="238"/>
      <c r="AJ4504" s="239"/>
      <c r="AK4504" s="238"/>
      <c r="AL4504" s="238"/>
      <c r="AM4504" s="234"/>
      <c r="AN4504" s="234"/>
      <c r="AO4504" s="234"/>
      <c r="AP4504" s="234"/>
      <c r="AQ4504" s="234"/>
    </row>
    <row r="4505" spans="1:43" ht="15" customHeight="1">
      <c r="A4505" s="1361">
        <v>40676</v>
      </c>
      <c r="B4505" s="451" t="s">
        <v>12425</v>
      </c>
      <c r="C4505" s="451" t="s">
        <v>14178</v>
      </c>
      <c r="D4505" s="451" t="s">
        <v>14179</v>
      </c>
      <c r="E4505" s="451" t="s">
        <v>13528</v>
      </c>
      <c r="F4505" s="346">
        <v>1</v>
      </c>
      <c r="G4505" s="346">
        <v>22</v>
      </c>
      <c r="H4505" s="1362">
        <v>22</v>
      </c>
      <c r="K4505" s="560">
        <v>40683</v>
      </c>
      <c r="N4505" s="1363" t="s">
        <v>10981</v>
      </c>
      <c r="O4505" s="501" t="s">
        <v>14180</v>
      </c>
      <c r="P4505" s="91"/>
      <c r="Q4505" s="1362">
        <v>2520</v>
      </c>
      <c r="R4505" s="604"/>
      <c r="S4505" s="604"/>
      <c r="T4505" s="85"/>
      <c r="U4505" s="236"/>
      <c r="V4505" s="451" t="s">
        <v>13471</v>
      </c>
      <c r="W4505" s="236"/>
      <c r="X4505" s="560">
        <v>40683</v>
      </c>
      <c r="Y4505" s="236"/>
      <c r="Z4505" s="712">
        <v>2520</v>
      </c>
      <c r="AA4505" s="501" t="s">
        <v>13564</v>
      </c>
      <c r="AB4505" s="501" t="s">
        <v>14181</v>
      </c>
      <c r="AC4505" s="244"/>
      <c r="AD4505" s="244"/>
      <c r="AE4505" s="244"/>
      <c r="AF4505" s="244"/>
      <c r="AG4505" s="234"/>
      <c r="AH4505" s="234"/>
      <c r="AI4505" s="238"/>
      <c r="AJ4505" s="239"/>
      <c r="AK4505" s="238"/>
      <c r="AL4505" s="238"/>
      <c r="AM4505" s="234"/>
      <c r="AN4505" s="234"/>
      <c r="AO4505" s="234"/>
      <c r="AP4505" s="234"/>
      <c r="AQ4505" s="234"/>
    </row>
    <row r="4506" spans="1:43" ht="15" customHeight="1">
      <c r="A4506" s="1361">
        <v>40676</v>
      </c>
      <c r="B4506" s="451" t="s">
        <v>12425</v>
      </c>
      <c r="C4506" s="451" t="s">
        <v>14178</v>
      </c>
      <c r="D4506" s="451" t="s">
        <v>14179</v>
      </c>
      <c r="E4506" s="451" t="s">
        <v>14182</v>
      </c>
      <c r="F4506" s="346">
        <v>3</v>
      </c>
      <c r="G4506" s="346">
        <v>146</v>
      </c>
      <c r="H4506" s="1362">
        <v>438</v>
      </c>
      <c r="K4506" s="560">
        <v>40683</v>
      </c>
      <c r="N4506" s="501" t="s">
        <v>89</v>
      </c>
      <c r="O4506" s="501" t="s">
        <v>14183</v>
      </c>
      <c r="P4506" s="91"/>
      <c r="Q4506" s="1362">
        <v>8064</v>
      </c>
      <c r="R4506" s="604"/>
      <c r="S4506" s="604"/>
      <c r="T4506" s="85"/>
      <c r="U4506" s="236"/>
      <c r="V4506" s="451" t="s">
        <v>14123</v>
      </c>
      <c r="W4506" s="236"/>
      <c r="X4506" s="560">
        <v>40683</v>
      </c>
      <c r="Y4506" s="236"/>
      <c r="Z4506" s="712">
        <v>8064</v>
      </c>
      <c r="AA4506" s="501" t="s">
        <v>13564</v>
      </c>
      <c r="AB4506" s="501" t="s">
        <v>14181</v>
      </c>
      <c r="AC4506" s="244"/>
      <c r="AD4506" s="244"/>
      <c r="AE4506" s="244"/>
      <c r="AF4506" s="244"/>
      <c r="AG4506" s="234"/>
      <c r="AH4506" s="234"/>
      <c r="AI4506" s="238"/>
      <c r="AJ4506" s="239"/>
      <c r="AK4506" s="238"/>
      <c r="AL4506" s="238"/>
      <c r="AM4506" s="234"/>
      <c r="AN4506" s="234"/>
      <c r="AO4506" s="234"/>
      <c r="AP4506" s="234"/>
      <c r="AQ4506" s="234"/>
    </row>
    <row r="4507" spans="1:43" ht="15" customHeight="1">
      <c r="A4507" s="1361">
        <v>40676</v>
      </c>
      <c r="B4507" s="451" t="s">
        <v>12425</v>
      </c>
      <c r="C4507" s="66"/>
      <c r="D4507" s="451" t="s">
        <v>14179</v>
      </c>
      <c r="E4507" s="451" t="s">
        <v>10961</v>
      </c>
      <c r="F4507" s="346">
        <v>5</v>
      </c>
      <c r="G4507" s="346">
        <v>106</v>
      </c>
      <c r="H4507" s="1362">
        <v>530</v>
      </c>
      <c r="K4507" s="560">
        <v>40683</v>
      </c>
      <c r="N4507" s="501" t="s">
        <v>89</v>
      </c>
      <c r="O4507" s="501" t="s">
        <v>14183</v>
      </c>
      <c r="P4507" s="91"/>
      <c r="Q4507" s="1362">
        <v>13440</v>
      </c>
      <c r="R4507" s="604"/>
      <c r="S4507" s="604"/>
      <c r="T4507" s="85"/>
      <c r="U4507" s="236"/>
      <c r="V4507" s="451" t="s">
        <v>14123</v>
      </c>
      <c r="W4507" s="236"/>
      <c r="X4507" s="560">
        <v>40683</v>
      </c>
      <c r="Y4507" s="236"/>
      <c r="Z4507" s="712">
        <v>13440</v>
      </c>
      <c r="AA4507" s="501" t="s">
        <v>13564</v>
      </c>
      <c r="AB4507" s="501" t="s">
        <v>14181</v>
      </c>
      <c r="AC4507" s="244"/>
      <c r="AD4507" s="244"/>
      <c r="AE4507" s="244"/>
      <c r="AF4507" s="244"/>
      <c r="AG4507" s="234"/>
      <c r="AH4507" s="234"/>
      <c r="AI4507" s="238"/>
      <c r="AJ4507" s="239"/>
      <c r="AK4507" s="238"/>
      <c r="AL4507" s="238"/>
      <c r="AM4507" s="234"/>
      <c r="AN4507" s="234"/>
      <c r="AO4507" s="234"/>
      <c r="AP4507" s="234"/>
      <c r="AQ4507" s="234"/>
    </row>
    <row r="4508" spans="1:43" ht="15" customHeight="1">
      <c r="A4508" s="1361">
        <v>40676</v>
      </c>
      <c r="B4508" s="451" t="s">
        <v>12425</v>
      </c>
      <c r="C4508" s="66"/>
      <c r="D4508" s="451" t="s">
        <v>14179</v>
      </c>
      <c r="E4508" s="451" t="s">
        <v>14184</v>
      </c>
      <c r="F4508" s="346">
        <v>6</v>
      </c>
      <c r="G4508" s="346">
        <v>415</v>
      </c>
      <c r="H4508" s="1362">
        <v>2490</v>
      </c>
      <c r="K4508" s="560">
        <v>40683</v>
      </c>
      <c r="N4508" s="501" t="s">
        <v>89</v>
      </c>
      <c r="O4508" s="501" t="s">
        <v>14183</v>
      </c>
      <c r="P4508" s="91"/>
      <c r="Q4508" s="1362">
        <v>69300</v>
      </c>
      <c r="R4508" s="604"/>
      <c r="S4508" s="604"/>
      <c r="T4508" s="85"/>
      <c r="U4508" s="236"/>
      <c r="V4508" s="451" t="s">
        <v>14123</v>
      </c>
      <c r="W4508" s="236"/>
      <c r="X4508" s="560">
        <v>40683</v>
      </c>
      <c r="Y4508" s="236"/>
      <c r="Z4508" s="712">
        <v>69300</v>
      </c>
      <c r="AA4508" s="501" t="s">
        <v>13564</v>
      </c>
      <c r="AB4508" s="501" t="s">
        <v>14181</v>
      </c>
      <c r="AC4508" s="244"/>
      <c r="AD4508" s="244"/>
      <c r="AE4508" s="244"/>
      <c r="AF4508" s="244"/>
      <c r="AG4508" s="234"/>
      <c r="AH4508" s="234"/>
      <c r="AI4508" s="238"/>
      <c r="AJ4508" s="239"/>
      <c r="AK4508" s="238"/>
      <c r="AL4508" s="238"/>
      <c r="AM4508" s="234"/>
      <c r="AN4508" s="234"/>
      <c r="AO4508" s="234"/>
      <c r="AP4508" s="234"/>
      <c r="AQ4508" s="234"/>
    </row>
    <row r="4509" spans="1:43" ht="15" customHeight="1">
      <c r="A4509" s="1361">
        <v>40676</v>
      </c>
      <c r="B4509" s="451" t="s">
        <v>12425</v>
      </c>
      <c r="C4509" s="66"/>
      <c r="D4509" s="451" t="s">
        <v>14179</v>
      </c>
      <c r="E4509" s="451" t="s">
        <v>14185</v>
      </c>
      <c r="F4509" s="346">
        <v>1</v>
      </c>
      <c r="G4509" s="346">
        <v>104</v>
      </c>
      <c r="H4509" s="1362">
        <v>104</v>
      </c>
      <c r="K4509" s="560">
        <v>40683</v>
      </c>
      <c r="N4509" s="451" t="s">
        <v>89</v>
      </c>
      <c r="O4509" s="501" t="s">
        <v>14183</v>
      </c>
      <c r="P4509" s="91"/>
      <c r="Q4509" s="1362">
        <v>2621</v>
      </c>
      <c r="R4509" s="604"/>
      <c r="S4509" s="604"/>
      <c r="T4509" s="85"/>
      <c r="U4509" s="236"/>
      <c r="V4509" s="451" t="s">
        <v>14123</v>
      </c>
      <c r="W4509" s="236"/>
      <c r="X4509" s="560">
        <v>40683</v>
      </c>
      <c r="Y4509" s="236"/>
      <c r="Z4509" s="712">
        <v>2621</v>
      </c>
      <c r="AA4509" s="501" t="s">
        <v>13564</v>
      </c>
      <c r="AB4509" s="501" t="s">
        <v>14181</v>
      </c>
      <c r="AC4509" s="244"/>
      <c r="AD4509" s="244"/>
      <c r="AE4509" s="244"/>
      <c r="AF4509" s="244"/>
      <c r="AG4509" s="234"/>
      <c r="AH4509" s="234"/>
      <c r="AI4509" s="238"/>
      <c r="AJ4509" s="239"/>
      <c r="AK4509" s="238"/>
      <c r="AL4509" s="238"/>
      <c r="AM4509" s="234"/>
      <c r="AN4509" s="234"/>
      <c r="AO4509" s="234"/>
      <c r="AP4509" s="234"/>
      <c r="AQ4509" s="234"/>
    </row>
    <row r="4510" spans="1:43" ht="15" customHeight="1">
      <c r="A4510" s="1361">
        <v>40694</v>
      </c>
      <c r="B4510" s="451" t="s">
        <v>12425</v>
      </c>
      <c r="C4510" s="451" t="s">
        <v>14186</v>
      </c>
      <c r="D4510" s="451" t="s">
        <v>14187</v>
      </c>
      <c r="E4510" s="451" t="s">
        <v>10961</v>
      </c>
      <c r="F4510" s="712">
        <v>100</v>
      </c>
      <c r="G4510" s="346">
        <v>99</v>
      </c>
      <c r="H4510" s="1362">
        <v>9900</v>
      </c>
      <c r="K4510" s="75" t="s">
        <v>14188</v>
      </c>
      <c r="N4510" s="451" t="s">
        <v>89</v>
      </c>
      <c r="O4510" s="501" t="s">
        <v>14189</v>
      </c>
      <c r="P4510" s="91"/>
      <c r="Q4510" s="1362">
        <v>268800</v>
      </c>
      <c r="R4510" s="604"/>
      <c r="S4510" s="604"/>
      <c r="T4510" s="85"/>
      <c r="U4510" s="236"/>
      <c r="V4510" s="451" t="s">
        <v>14123</v>
      </c>
      <c r="W4510" s="236"/>
      <c r="X4510" s="560">
        <v>40702</v>
      </c>
      <c r="Y4510" s="236"/>
      <c r="Z4510" s="712" t="s">
        <v>14190</v>
      </c>
      <c r="AA4510" s="75" t="s">
        <v>13564</v>
      </c>
      <c r="AB4510" s="501" t="s">
        <v>14191</v>
      </c>
      <c r="AC4510" s="244"/>
      <c r="AD4510" s="244"/>
      <c r="AE4510" s="244"/>
      <c r="AF4510" s="244"/>
      <c r="AG4510" s="234"/>
      <c r="AH4510" s="234"/>
      <c r="AI4510" s="238"/>
      <c r="AJ4510" s="239"/>
      <c r="AK4510" s="238"/>
      <c r="AL4510" s="238"/>
      <c r="AM4510" s="234"/>
      <c r="AN4510" s="234"/>
      <c r="AO4510" s="234"/>
      <c r="AP4510" s="234"/>
      <c r="AQ4510" s="234"/>
    </row>
    <row r="4511" spans="1:43" ht="15" customHeight="1">
      <c r="A4511" s="1361">
        <v>40694</v>
      </c>
      <c r="B4511" s="451" t="s">
        <v>12425</v>
      </c>
      <c r="C4511" s="451" t="s">
        <v>14186</v>
      </c>
      <c r="D4511" s="451" t="s">
        <v>14187</v>
      </c>
      <c r="E4511" s="451" t="s">
        <v>13528</v>
      </c>
      <c r="F4511" s="712">
        <v>100</v>
      </c>
      <c r="G4511" s="346">
        <v>20.5</v>
      </c>
      <c r="H4511" s="1362">
        <v>2050</v>
      </c>
      <c r="K4511" s="75" t="s">
        <v>14192</v>
      </c>
      <c r="N4511" s="451" t="s">
        <v>10981</v>
      </c>
      <c r="O4511" s="501" t="s">
        <v>14193</v>
      </c>
      <c r="P4511" s="91"/>
      <c r="Q4511" s="1362">
        <v>47250</v>
      </c>
      <c r="R4511" s="604"/>
      <c r="S4511" s="604"/>
      <c r="T4511" s="85" t="s">
        <v>0</v>
      </c>
      <c r="U4511" s="236"/>
      <c r="V4511" s="451" t="s">
        <v>13471</v>
      </c>
      <c r="W4511" s="236"/>
      <c r="X4511" s="560">
        <v>40704</v>
      </c>
      <c r="Y4511" s="236"/>
      <c r="Z4511" s="501" t="s">
        <v>14195</v>
      </c>
      <c r="AA4511" s="501" t="s">
        <v>14194</v>
      </c>
      <c r="AB4511" s="501" t="s">
        <v>14196</v>
      </c>
      <c r="AC4511" s="244"/>
      <c r="AD4511" s="244"/>
      <c r="AE4511" s="244"/>
      <c r="AF4511" s="244"/>
      <c r="AG4511" s="234"/>
      <c r="AH4511" s="234"/>
      <c r="AI4511" s="238"/>
      <c r="AJ4511" s="239"/>
      <c r="AK4511" s="238"/>
      <c r="AL4511" s="238"/>
      <c r="AM4511" s="234"/>
      <c r="AN4511" s="234"/>
      <c r="AO4511" s="234"/>
      <c r="AP4511" s="234"/>
      <c r="AQ4511" s="234"/>
    </row>
    <row r="4512" spans="1:43" ht="15" customHeight="1">
      <c r="A4512" s="1361">
        <v>40694</v>
      </c>
      <c r="B4512" s="451" t="s">
        <v>12425</v>
      </c>
      <c r="C4512" s="451" t="s">
        <v>14186</v>
      </c>
      <c r="D4512" s="451" t="s">
        <v>14187</v>
      </c>
      <c r="E4512" s="451" t="s">
        <v>6398</v>
      </c>
      <c r="F4512" s="712">
        <v>5</v>
      </c>
      <c r="G4512" s="346">
        <v>321</v>
      </c>
      <c r="H4512" s="1362">
        <v>1605</v>
      </c>
      <c r="K4512" s="560">
        <v>40704</v>
      </c>
      <c r="N4512" s="451" t="s">
        <v>89</v>
      </c>
      <c r="O4512" s="501" t="s">
        <v>14197</v>
      </c>
      <c r="P4512" s="91"/>
      <c r="Q4512" s="1362">
        <v>41528</v>
      </c>
      <c r="R4512" s="604"/>
      <c r="S4512" s="604"/>
      <c r="T4512" s="85"/>
      <c r="U4512" s="236"/>
      <c r="V4512" s="451" t="s">
        <v>14123</v>
      </c>
      <c r="W4512" s="236"/>
      <c r="X4512" s="560">
        <v>40704</v>
      </c>
      <c r="Y4512" s="236"/>
      <c r="Z4512" s="712">
        <v>41528</v>
      </c>
      <c r="AA4512" s="501" t="s">
        <v>14198</v>
      </c>
      <c r="AB4512" s="501" t="s">
        <v>14199</v>
      </c>
      <c r="AC4512" s="244"/>
      <c r="AD4512" s="244"/>
      <c r="AE4512" s="244"/>
      <c r="AF4512" s="244"/>
      <c r="AG4512" s="234"/>
      <c r="AH4512" s="234"/>
      <c r="AI4512" s="238"/>
      <c r="AJ4512" s="239"/>
      <c r="AK4512" s="238"/>
      <c r="AL4512" s="238"/>
      <c r="AM4512" s="234"/>
      <c r="AN4512" s="234"/>
      <c r="AO4512" s="234"/>
      <c r="AP4512" s="234"/>
      <c r="AQ4512" s="234"/>
    </row>
    <row r="4513" spans="1:43" ht="15" customHeight="1">
      <c r="A4513" s="1361">
        <v>40695</v>
      </c>
      <c r="B4513" s="451" t="s">
        <v>14166</v>
      </c>
      <c r="C4513" s="66"/>
      <c r="D4513" s="451" t="s">
        <v>14200</v>
      </c>
      <c r="E4513" s="451" t="s">
        <v>11167</v>
      </c>
      <c r="F4513" s="712">
        <v>3</v>
      </c>
      <c r="G4513" s="712">
        <v>244</v>
      </c>
      <c r="H4513" s="1362">
        <v>732</v>
      </c>
      <c r="K4513" s="560">
        <v>40704</v>
      </c>
      <c r="N4513" s="451" t="s">
        <v>3263</v>
      </c>
      <c r="O4513" s="501" t="s">
        <v>14201</v>
      </c>
      <c r="P4513" s="91"/>
      <c r="Q4513" s="1362">
        <v>20412</v>
      </c>
      <c r="R4513" s="604"/>
      <c r="S4513" s="604"/>
      <c r="T4513" s="85"/>
      <c r="U4513" s="236"/>
      <c r="V4513" s="1295" t="s">
        <v>14169</v>
      </c>
      <c r="W4513" s="236"/>
      <c r="X4513" s="560">
        <v>40704</v>
      </c>
      <c r="Y4513" s="236"/>
      <c r="Z4513" s="712">
        <v>20412</v>
      </c>
      <c r="AA4513" s="501" t="s">
        <v>14198</v>
      </c>
      <c r="AB4513" s="501" t="s">
        <v>14202</v>
      </c>
      <c r="AC4513" s="244"/>
      <c r="AD4513" s="244"/>
      <c r="AE4513" s="244"/>
      <c r="AF4513" s="244"/>
      <c r="AG4513" s="234"/>
      <c r="AH4513" s="234"/>
      <c r="AI4513" s="238"/>
      <c r="AJ4513" s="239"/>
      <c r="AK4513" s="238"/>
      <c r="AL4513" s="238"/>
      <c r="AM4513" s="234"/>
      <c r="AN4513" s="234"/>
      <c r="AO4513" s="234"/>
      <c r="AP4513" s="234"/>
      <c r="AQ4513" s="234"/>
    </row>
    <row r="4514" spans="1:43" ht="15" customHeight="1">
      <c r="A4514" s="1361">
        <v>40695</v>
      </c>
      <c r="B4514" s="451" t="s">
        <v>14166</v>
      </c>
      <c r="C4514" s="66"/>
      <c r="D4514" s="451" t="s">
        <v>14200</v>
      </c>
      <c r="E4514" s="451" t="s">
        <v>14171</v>
      </c>
      <c r="F4514" s="712">
        <v>6</v>
      </c>
      <c r="G4514" s="712">
        <v>117</v>
      </c>
      <c r="H4514" s="1362">
        <v>702</v>
      </c>
      <c r="K4514" s="560">
        <v>40704</v>
      </c>
      <c r="N4514" s="451" t="s">
        <v>3263</v>
      </c>
      <c r="O4514" s="501" t="s">
        <v>14201</v>
      </c>
      <c r="P4514" s="91"/>
      <c r="Q4514" s="1362">
        <v>19530</v>
      </c>
      <c r="R4514" s="604"/>
      <c r="S4514" s="604"/>
      <c r="T4514" s="85"/>
      <c r="U4514" s="236"/>
      <c r="V4514" s="1295" t="s">
        <v>14169</v>
      </c>
      <c r="W4514" s="236"/>
      <c r="X4514" s="560">
        <v>40704</v>
      </c>
      <c r="Y4514" s="236"/>
      <c r="Z4514" s="712">
        <v>19530</v>
      </c>
      <c r="AA4514" s="501" t="s">
        <v>14198</v>
      </c>
      <c r="AB4514" s="501" t="s">
        <v>14202</v>
      </c>
      <c r="AC4514" s="244"/>
      <c r="AD4514" s="244"/>
      <c r="AE4514" s="244"/>
      <c r="AF4514" s="244"/>
      <c r="AG4514" s="234"/>
      <c r="AH4514" s="234"/>
      <c r="AI4514" s="238"/>
      <c r="AJ4514" s="239"/>
      <c r="AK4514" s="238"/>
      <c r="AL4514" s="238"/>
      <c r="AM4514" s="234"/>
      <c r="AN4514" s="234"/>
      <c r="AO4514" s="234"/>
      <c r="AP4514" s="234"/>
      <c r="AQ4514" s="234"/>
    </row>
    <row r="4515" spans="1:43" ht="15" customHeight="1">
      <c r="A4515" s="1361">
        <v>40695</v>
      </c>
      <c r="B4515" s="451" t="s">
        <v>14166</v>
      </c>
      <c r="C4515" s="66"/>
      <c r="D4515" s="451" t="s">
        <v>14200</v>
      </c>
      <c r="E4515" s="451" t="s">
        <v>14172</v>
      </c>
      <c r="F4515" s="712">
        <v>3</v>
      </c>
      <c r="G4515" s="712">
        <v>138</v>
      </c>
      <c r="H4515" s="1362">
        <v>414</v>
      </c>
      <c r="K4515" s="560">
        <v>40704</v>
      </c>
      <c r="N4515" s="451" t="s">
        <v>3263</v>
      </c>
      <c r="O4515" s="501" t="s">
        <v>14201</v>
      </c>
      <c r="P4515" s="91"/>
      <c r="Q4515" s="1362">
        <v>11498</v>
      </c>
      <c r="R4515" s="604"/>
      <c r="S4515" s="604"/>
      <c r="T4515" s="85"/>
      <c r="U4515" s="236"/>
      <c r="V4515" s="1295" t="s">
        <v>14169</v>
      </c>
      <c r="W4515" s="236"/>
      <c r="X4515" s="560">
        <v>40704</v>
      </c>
      <c r="Y4515" s="236"/>
      <c r="Z4515" s="712">
        <v>11498</v>
      </c>
      <c r="AA4515" s="501" t="s">
        <v>14198</v>
      </c>
      <c r="AB4515" s="501" t="s">
        <v>14202</v>
      </c>
      <c r="AC4515" s="244"/>
      <c r="AD4515" s="244"/>
      <c r="AE4515" s="244"/>
      <c r="AF4515" s="244"/>
      <c r="AG4515" s="234"/>
      <c r="AH4515" s="234"/>
      <c r="AI4515" s="238"/>
      <c r="AJ4515" s="239"/>
      <c r="AK4515" s="238"/>
      <c r="AL4515" s="238"/>
      <c r="AM4515" s="234"/>
      <c r="AN4515" s="234"/>
      <c r="AO4515" s="234"/>
      <c r="AP4515" s="234"/>
      <c r="AQ4515" s="234"/>
    </row>
    <row r="4516" spans="1:43" ht="15" customHeight="1">
      <c r="A4516" s="1361">
        <v>40695</v>
      </c>
      <c r="B4516" s="451" t="s">
        <v>12425</v>
      </c>
      <c r="C4516" s="66"/>
      <c r="D4516" s="451" t="s">
        <v>14203</v>
      </c>
      <c r="E4516" s="451" t="s">
        <v>14204</v>
      </c>
      <c r="F4516" s="712">
        <v>40</v>
      </c>
      <c r="G4516" s="712">
        <v>54</v>
      </c>
      <c r="H4516" s="1362">
        <v>2160</v>
      </c>
      <c r="K4516" s="560">
        <v>40702</v>
      </c>
      <c r="N4516" s="451" t="s">
        <v>3263</v>
      </c>
      <c r="O4516" s="501" t="s">
        <v>14205</v>
      </c>
      <c r="P4516" s="91"/>
      <c r="Q4516" s="1362">
        <v>64260</v>
      </c>
      <c r="R4516" s="604"/>
      <c r="S4516" s="604"/>
      <c r="T4516" s="85"/>
      <c r="U4516" s="236"/>
      <c r="V4516" s="1295" t="s">
        <v>14169</v>
      </c>
      <c r="W4516" s="236"/>
      <c r="X4516" s="560">
        <v>40701</v>
      </c>
      <c r="Y4516" s="236"/>
      <c r="Z4516" s="712">
        <v>64260</v>
      </c>
      <c r="AA4516" s="501" t="s">
        <v>14198</v>
      </c>
      <c r="AB4516" s="501" t="s">
        <v>14206</v>
      </c>
      <c r="AC4516" s="244"/>
      <c r="AD4516" s="244"/>
      <c r="AE4516" s="244"/>
      <c r="AF4516" s="244"/>
      <c r="AG4516" s="234"/>
      <c r="AH4516" s="234"/>
      <c r="AI4516" s="238"/>
      <c r="AJ4516" s="239"/>
      <c r="AK4516" s="238"/>
      <c r="AL4516" s="238"/>
      <c r="AM4516" s="234"/>
      <c r="AN4516" s="234"/>
      <c r="AO4516" s="234"/>
      <c r="AP4516" s="234"/>
      <c r="AQ4516" s="234"/>
    </row>
    <row r="4517" spans="1:43" ht="15" customHeight="1">
      <c r="A4517" s="1361">
        <v>40695</v>
      </c>
      <c r="B4517" s="451" t="s">
        <v>12425</v>
      </c>
      <c r="C4517" s="66"/>
      <c r="D4517" s="451" t="s">
        <v>14203</v>
      </c>
      <c r="E4517" s="451" t="s">
        <v>14207</v>
      </c>
      <c r="F4517" s="712">
        <v>40</v>
      </c>
      <c r="G4517" s="712">
        <v>133</v>
      </c>
      <c r="H4517" s="1362">
        <v>5320</v>
      </c>
      <c r="K4517" s="560">
        <v>40702</v>
      </c>
      <c r="N4517" s="451" t="s">
        <v>3263</v>
      </c>
      <c r="O4517" s="501" t="s">
        <v>14205</v>
      </c>
      <c r="P4517" s="91"/>
      <c r="Q4517" s="1362">
        <v>148260</v>
      </c>
      <c r="R4517" s="1469"/>
      <c r="S4517" s="1469"/>
      <c r="T4517" s="923"/>
      <c r="U4517" s="236"/>
      <c r="V4517" s="1295" t="s">
        <v>14169</v>
      </c>
      <c r="W4517" s="236"/>
      <c r="X4517" s="560">
        <v>40701</v>
      </c>
      <c r="Y4517" s="236"/>
      <c r="Z4517" s="712">
        <v>148260</v>
      </c>
      <c r="AA4517" s="501" t="s">
        <v>14198</v>
      </c>
      <c r="AB4517" s="501" t="s">
        <v>14206</v>
      </c>
      <c r="AC4517" s="244"/>
      <c r="AD4517" s="244"/>
      <c r="AE4517" s="244"/>
      <c r="AF4517" s="244"/>
      <c r="AG4517" s="234"/>
      <c r="AH4517" s="234"/>
      <c r="AI4517" s="238"/>
      <c r="AJ4517" s="239"/>
      <c r="AK4517" s="238"/>
      <c r="AL4517" s="238"/>
      <c r="AM4517" s="234"/>
      <c r="AN4517" s="234"/>
      <c r="AO4517" s="234"/>
      <c r="AP4517" s="234"/>
      <c r="AQ4517" s="234"/>
    </row>
    <row r="4518" spans="1:43" ht="15" customHeight="1">
      <c r="A4518" s="1361">
        <v>40695</v>
      </c>
      <c r="B4518" s="451" t="s">
        <v>12425</v>
      </c>
      <c r="C4518" s="66"/>
      <c r="D4518" s="451" t="s">
        <v>14203</v>
      </c>
      <c r="E4518" s="451" t="s">
        <v>14208</v>
      </c>
      <c r="F4518" s="712">
        <v>40</v>
      </c>
      <c r="G4518" s="712">
        <v>233</v>
      </c>
      <c r="H4518" s="1362">
        <v>9320</v>
      </c>
      <c r="K4518" s="560">
        <v>40702</v>
      </c>
      <c r="N4518" s="451" t="s">
        <v>3263</v>
      </c>
      <c r="O4518" s="501" t="s">
        <v>14205</v>
      </c>
      <c r="P4518" s="91"/>
      <c r="Q4518" s="1362">
        <v>262290</v>
      </c>
      <c r="R4518" s="1469"/>
      <c r="S4518" s="1469"/>
      <c r="T4518" s="923"/>
      <c r="U4518" s="236"/>
      <c r="V4518" s="1295" t="s">
        <v>14169</v>
      </c>
      <c r="W4518" s="236"/>
      <c r="X4518" s="560">
        <v>40701</v>
      </c>
      <c r="Y4518" s="236"/>
      <c r="Z4518" s="712">
        <v>262290</v>
      </c>
      <c r="AA4518" s="501" t="s">
        <v>14198</v>
      </c>
      <c r="AB4518" s="501" t="s">
        <v>14206</v>
      </c>
      <c r="AC4518" s="244"/>
      <c r="AD4518" s="244"/>
      <c r="AE4518" s="244"/>
      <c r="AF4518" s="244"/>
      <c r="AG4518" s="234"/>
      <c r="AH4518" s="234"/>
      <c r="AI4518" s="238"/>
      <c r="AJ4518" s="239"/>
      <c r="AK4518" s="238"/>
      <c r="AL4518" s="238"/>
      <c r="AM4518" s="234"/>
      <c r="AN4518" s="234"/>
      <c r="AO4518" s="234"/>
      <c r="AP4518" s="234"/>
      <c r="AQ4518" s="234"/>
    </row>
    <row r="4519" spans="1:43" ht="15" customHeight="1">
      <c r="A4519" s="1361">
        <v>40695</v>
      </c>
      <c r="B4519" s="451" t="s">
        <v>12425</v>
      </c>
      <c r="C4519" s="66"/>
      <c r="D4519" s="451" t="s">
        <v>14203</v>
      </c>
      <c r="E4519" s="451">
        <v>1700008461</v>
      </c>
      <c r="F4519" s="712">
        <v>40</v>
      </c>
      <c r="G4519" s="712">
        <v>4.8</v>
      </c>
      <c r="H4519" s="1362">
        <v>192</v>
      </c>
      <c r="K4519" s="560">
        <v>40702</v>
      </c>
      <c r="N4519" s="451" t="s">
        <v>3263</v>
      </c>
      <c r="O4519" s="501" t="s">
        <v>14205</v>
      </c>
      <c r="P4519" s="91"/>
      <c r="Q4519" s="1362">
        <v>4830</v>
      </c>
      <c r="R4519" s="91"/>
      <c r="S4519" s="91"/>
      <c r="T4519" s="923"/>
      <c r="U4519" s="236"/>
      <c r="V4519" s="1295" t="s">
        <v>14169</v>
      </c>
      <c r="W4519" s="236"/>
      <c r="X4519" s="560">
        <v>40701</v>
      </c>
      <c r="Y4519" s="236"/>
      <c r="Z4519" s="712">
        <v>4830</v>
      </c>
      <c r="AA4519" s="501" t="s">
        <v>14198</v>
      </c>
      <c r="AB4519" s="501" t="s">
        <v>14206</v>
      </c>
      <c r="AC4519" s="244"/>
      <c r="AD4519" s="244"/>
      <c r="AE4519" s="244"/>
      <c r="AF4519" s="244"/>
      <c r="AG4519" s="234"/>
      <c r="AH4519" s="234"/>
      <c r="AI4519" s="238"/>
      <c r="AJ4519" s="239"/>
      <c r="AK4519" s="238"/>
      <c r="AL4519" s="238"/>
      <c r="AM4519" s="234"/>
      <c r="AN4519" s="234"/>
      <c r="AO4519" s="234"/>
      <c r="AP4519" s="234"/>
      <c r="AQ4519" s="234"/>
    </row>
    <row r="4520" spans="1:43" ht="15" customHeight="1">
      <c r="A4520" s="1361">
        <v>40696</v>
      </c>
      <c r="B4520" s="451" t="s">
        <v>12425</v>
      </c>
      <c r="C4520" s="451" t="s">
        <v>14209</v>
      </c>
      <c r="D4520" s="1365" t="s">
        <v>14210</v>
      </c>
      <c r="E4520" s="451" t="s">
        <v>14204</v>
      </c>
      <c r="F4520" s="712">
        <v>40</v>
      </c>
      <c r="G4520" s="712">
        <v>54</v>
      </c>
      <c r="H4520" s="1362">
        <v>2160</v>
      </c>
      <c r="K4520" s="560">
        <v>40721</v>
      </c>
      <c r="N4520" s="451" t="s">
        <v>3263</v>
      </c>
      <c r="O4520" s="501" t="s">
        <v>14211</v>
      </c>
      <c r="P4520" s="91"/>
      <c r="Q4520" s="1362">
        <v>64260</v>
      </c>
      <c r="R4520" s="91"/>
      <c r="S4520" s="91"/>
      <c r="T4520" s="923"/>
      <c r="U4520" s="236"/>
      <c r="V4520" s="1295" t="s">
        <v>14169</v>
      </c>
      <c r="W4520" s="236"/>
      <c r="X4520" s="560">
        <v>40721</v>
      </c>
      <c r="Y4520" s="236"/>
      <c r="Z4520" s="712">
        <v>64260</v>
      </c>
      <c r="AA4520" s="501" t="s">
        <v>14194</v>
      </c>
      <c r="AB4520" s="501" t="s">
        <v>14212</v>
      </c>
      <c r="AC4520" s="244"/>
      <c r="AD4520" s="244"/>
      <c r="AE4520" s="244"/>
      <c r="AF4520" s="244"/>
      <c r="AG4520" s="234"/>
      <c r="AH4520" s="234"/>
      <c r="AI4520" s="238"/>
      <c r="AJ4520" s="239"/>
      <c r="AK4520" s="238"/>
      <c r="AL4520" s="238"/>
      <c r="AM4520" s="234"/>
      <c r="AN4520" s="234"/>
      <c r="AO4520" s="234"/>
      <c r="AP4520" s="234"/>
      <c r="AQ4520" s="234"/>
    </row>
    <row r="4521" spans="1:43" ht="15" customHeight="1">
      <c r="A4521" s="1361">
        <v>40696</v>
      </c>
      <c r="B4521" s="451" t="s">
        <v>12425</v>
      </c>
      <c r="C4521" s="451" t="s">
        <v>14209</v>
      </c>
      <c r="D4521" s="1365" t="s">
        <v>14210</v>
      </c>
      <c r="E4521" s="451" t="s">
        <v>14207</v>
      </c>
      <c r="F4521" s="712">
        <v>40</v>
      </c>
      <c r="G4521" s="712">
        <v>133</v>
      </c>
      <c r="H4521" s="1362">
        <v>5320</v>
      </c>
      <c r="K4521" s="560">
        <v>40721</v>
      </c>
      <c r="N4521" s="451" t="s">
        <v>3263</v>
      </c>
      <c r="O4521" s="501" t="s">
        <v>14211</v>
      </c>
      <c r="P4521" s="91"/>
      <c r="Q4521" s="1362">
        <v>141960</v>
      </c>
      <c r="R4521" s="91"/>
      <c r="S4521" s="91"/>
      <c r="T4521" s="923"/>
      <c r="U4521" s="236"/>
      <c r="V4521" s="1295" t="s">
        <v>14169</v>
      </c>
      <c r="W4521" s="236"/>
      <c r="X4521" s="560">
        <v>40721</v>
      </c>
      <c r="Y4521" s="236"/>
      <c r="Z4521" s="712">
        <v>141960</v>
      </c>
      <c r="AA4521" s="501" t="s">
        <v>14194</v>
      </c>
      <c r="AB4521" s="501" t="s">
        <v>14212</v>
      </c>
      <c r="AC4521" s="244"/>
      <c r="AD4521" s="244"/>
      <c r="AE4521" s="244"/>
      <c r="AF4521" s="244"/>
      <c r="AG4521" s="234"/>
      <c r="AH4521" s="234"/>
      <c r="AI4521" s="238"/>
      <c r="AJ4521" s="239"/>
      <c r="AK4521" s="238"/>
      <c r="AL4521" s="238"/>
      <c r="AM4521" s="234"/>
      <c r="AN4521" s="234"/>
      <c r="AO4521" s="234"/>
      <c r="AP4521" s="234"/>
      <c r="AQ4521" s="234"/>
    </row>
    <row r="4522" spans="1:43" ht="15" customHeight="1">
      <c r="A4522" s="1361">
        <v>40696</v>
      </c>
      <c r="B4522" s="451" t="s">
        <v>12425</v>
      </c>
      <c r="C4522" s="451" t="s">
        <v>14209</v>
      </c>
      <c r="D4522" s="1365" t="s">
        <v>14210</v>
      </c>
      <c r="E4522" s="451" t="s">
        <v>14208</v>
      </c>
      <c r="F4522" s="712">
        <v>40</v>
      </c>
      <c r="G4522" s="712">
        <v>233</v>
      </c>
      <c r="H4522" s="1362">
        <v>9320</v>
      </c>
      <c r="K4522" s="560">
        <v>40721</v>
      </c>
      <c r="N4522" s="451" t="s">
        <v>3263</v>
      </c>
      <c r="O4522" s="501" t="s">
        <v>14211</v>
      </c>
      <c r="P4522" s="91"/>
      <c r="Q4522" s="1362">
        <v>247800</v>
      </c>
      <c r="R4522" s="91"/>
      <c r="S4522" s="91"/>
      <c r="T4522" s="923"/>
      <c r="U4522" s="236"/>
      <c r="V4522" s="1295" t="s">
        <v>14169</v>
      </c>
      <c r="W4522" s="236"/>
      <c r="X4522" s="560">
        <v>40721</v>
      </c>
      <c r="Y4522" s="236"/>
      <c r="Z4522" s="712">
        <v>247800</v>
      </c>
      <c r="AA4522" s="501" t="s">
        <v>14194</v>
      </c>
      <c r="AB4522" s="501" t="s">
        <v>14212</v>
      </c>
      <c r="AC4522" s="244"/>
      <c r="AD4522" s="244"/>
      <c r="AE4522" s="244"/>
      <c r="AF4522" s="244"/>
      <c r="AG4522" s="234"/>
      <c r="AH4522" s="234"/>
      <c r="AI4522" s="238"/>
      <c r="AJ4522" s="239"/>
      <c r="AK4522" s="238"/>
      <c r="AL4522" s="238"/>
      <c r="AM4522" s="234"/>
      <c r="AN4522" s="234"/>
      <c r="AO4522" s="234"/>
      <c r="AP4522" s="234"/>
      <c r="AQ4522" s="234"/>
    </row>
    <row r="4523" spans="1:43" ht="15" customHeight="1">
      <c r="A4523" s="1361">
        <v>40696</v>
      </c>
      <c r="B4523" s="451" t="s">
        <v>12425</v>
      </c>
      <c r="C4523" s="451" t="s">
        <v>14209</v>
      </c>
      <c r="D4523" s="1365" t="s">
        <v>14210</v>
      </c>
      <c r="E4523" s="451">
        <v>1700008461</v>
      </c>
      <c r="F4523" s="712">
        <v>40</v>
      </c>
      <c r="G4523" s="712">
        <v>4.8</v>
      </c>
      <c r="H4523" s="1362">
        <v>192</v>
      </c>
      <c r="K4523" s="560">
        <v>40721</v>
      </c>
      <c r="N4523" s="451" t="s">
        <v>3263</v>
      </c>
      <c r="O4523" s="501" t="s">
        <v>14211</v>
      </c>
      <c r="P4523" s="91"/>
      <c r="Q4523" s="1362">
        <v>4830</v>
      </c>
      <c r="R4523" s="91"/>
      <c r="S4523" s="91"/>
      <c r="T4523" s="923"/>
      <c r="U4523" s="236"/>
      <c r="V4523" s="1295" t="s">
        <v>14169</v>
      </c>
      <c r="W4523" s="236"/>
      <c r="X4523" s="560">
        <v>40721</v>
      </c>
      <c r="Y4523" s="236"/>
      <c r="Z4523" s="712">
        <v>4830</v>
      </c>
      <c r="AA4523" s="501" t="s">
        <v>14194</v>
      </c>
      <c r="AB4523" s="501" t="s">
        <v>14212</v>
      </c>
      <c r="AC4523" s="244"/>
      <c r="AD4523" s="244"/>
      <c r="AE4523" s="244"/>
      <c r="AF4523" s="244"/>
      <c r="AG4523" s="234"/>
      <c r="AH4523" s="234"/>
      <c r="AI4523" s="238"/>
      <c r="AJ4523" s="239"/>
      <c r="AK4523" s="238"/>
      <c r="AL4523" s="238"/>
      <c r="AM4523" s="234"/>
      <c r="AN4523" s="234"/>
      <c r="AO4523" s="234"/>
      <c r="AP4523" s="234"/>
      <c r="AQ4523" s="234"/>
    </row>
    <row r="4524" spans="1:43" ht="15" customHeight="1">
      <c r="A4524" s="1361">
        <v>40705</v>
      </c>
      <c r="B4524" s="451" t="s">
        <v>14213</v>
      </c>
      <c r="C4524" s="66"/>
      <c r="D4524" s="451" t="s">
        <v>14214</v>
      </c>
      <c r="E4524" s="451" t="s">
        <v>14215</v>
      </c>
      <c r="F4524" s="712">
        <v>6</v>
      </c>
      <c r="G4524" s="1366">
        <v>251.25</v>
      </c>
      <c r="H4524" s="1367">
        <v>1508</v>
      </c>
      <c r="K4524" s="560">
        <v>40708</v>
      </c>
      <c r="N4524" s="451" t="s">
        <v>89</v>
      </c>
      <c r="O4524" s="501" t="s">
        <v>14216</v>
      </c>
      <c r="P4524" s="91"/>
      <c r="Q4524" s="1362">
        <v>36855</v>
      </c>
      <c r="R4524" s="91"/>
      <c r="S4524" s="91"/>
      <c r="T4524" s="923"/>
      <c r="U4524" s="236"/>
      <c r="V4524" s="451" t="s">
        <v>14123</v>
      </c>
      <c r="W4524" s="236"/>
      <c r="X4524" s="560">
        <v>40708</v>
      </c>
      <c r="Y4524" s="236"/>
      <c r="Z4524" s="712">
        <v>36855</v>
      </c>
      <c r="AA4524" s="501" t="s">
        <v>13564</v>
      </c>
      <c r="AB4524" s="1364" t="s">
        <v>13816</v>
      </c>
      <c r="AC4524" s="244"/>
      <c r="AD4524" s="244"/>
      <c r="AE4524" s="244"/>
      <c r="AF4524" s="244"/>
      <c r="AG4524" s="234"/>
      <c r="AH4524" s="234"/>
      <c r="AI4524" s="238"/>
      <c r="AJ4524" s="239"/>
      <c r="AK4524" s="238"/>
      <c r="AL4524" s="238"/>
      <c r="AM4524" s="234"/>
      <c r="AN4524" s="234"/>
      <c r="AO4524" s="234"/>
      <c r="AP4524" s="234"/>
      <c r="AQ4524" s="234"/>
    </row>
    <row r="4525" spans="1:43" ht="15" customHeight="1">
      <c r="A4525" s="1361">
        <v>40707</v>
      </c>
      <c r="B4525" s="451" t="s">
        <v>14159</v>
      </c>
      <c r="C4525" s="451" t="s">
        <v>14217</v>
      </c>
      <c r="D4525" s="451" t="s">
        <v>14218</v>
      </c>
      <c r="E4525" s="451" t="s">
        <v>14219</v>
      </c>
      <c r="F4525" s="712">
        <v>25</v>
      </c>
      <c r="G4525" s="712">
        <v>41</v>
      </c>
      <c r="H4525" s="1362">
        <v>1025</v>
      </c>
      <c r="K4525" s="560">
        <v>40722</v>
      </c>
      <c r="N4525" s="1295" t="s">
        <v>14220</v>
      </c>
      <c r="O4525" s="451">
        <v>1000613</v>
      </c>
      <c r="P4525" s="91"/>
      <c r="Q4525" s="1362">
        <v>27038</v>
      </c>
      <c r="R4525" s="91"/>
      <c r="S4525" s="91"/>
      <c r="T4525" s="923"/>
      <c r="U4525" s="236"/>
      <c r="V4525" s="1295" t="s">
        <v>14221</v>
      </c>
      <c r="W4525" s="236"/>
      <c r="X4525" s="560">
        <v>40711</v>
      </c>
      <c r="Y4525" s="236"/>
      <c r="Z4525" s="712">
        <v>27038</v>
      </c>
      <c r="AA4525" s="501" t="s">
        <v>13564</v>
      </c>
      <c r="AB4525" s="501" t="s">
        <v>14222</v>
      </c>
      <c r="AC4525" s="244"/>
      <c r="AD4525" s="244"/>
      <c r="AE4525" s="244"/>
      <c r="AF4525" s="244"/>
      <c r="AG4525" s="234"/>
      <c r="AH4525" s="234"/>
      <c r="AI4525" s="238"/>
      <c r="AJ4525" s="239"/>
      <c r="AK4525" s="238"/>
      <c r="AL4525" s="238"/>
      <c r="AM4525" s="234"/>
      <c r="AN4525" s="234"/>
      <c r="AO4525" s="234"/>
      <c r="AP4525" s="234"/>
      <c r="AQ4525" s="234"/>
    </row>
    <row r="4526" spans="1:43" ht="15" customHeight="1">
      <c r="A4526" s="1361">
        <v>40707</v>
      </c>
      <c r="B4526" s="451" t="s">
        <v>14159</v>
      </c>
      <c r="C4526" s="451" t="s">
        <v>14217</v>
      </c>
      <c r="D4526" s="451" t="s">
        <v>14218</v>
      </c>
      <c r="E4526" s="451" t="s">
        <v>14223</v>
      </c>
      <c r="F4526" s="712">
        <v>25</v>
      </c>
      <c r="G4526" s="712">
        <v>57</v>
      </c>
      <c r="H4526" s="1362">
        <v>1425</v>
      </c>
      <c r="K4526" s="560">
        <v>40722</v>
      </c>
      <c r="N4526" s="451" t="s">
        <v>14220</v>
      </c>
      <c r="O4526" s="451">
        <v>1000613</v>
      </c>
      <c r="P4526" s="91"/>
      <c r="Q4526" s="1362">
        <v>37538</v>
      </c>
      <c r="R4526" s="91"/>
      <c r="S4526" s="91"/>
      <c r="T4526" s="923"/>
      <c r="U4526" s="236"/>
      <c r="V4526" s="1295" t="s">
        <v>14224</v>
      </c>
      <c r="W4526" s="236"/>
      <c r="X4526" s="560">
        <v>40711</v>
      </c>
      <c r="Y4526" s="236"/>
      <c r="Z4526" s="712">
        <v>37538</v>
      </c>
      <c r="AA4526" s="501" t="s">
        <v>13564</v>
      </c>
      <c r="AB4526" s="501" t="s">
        <v>14222</v>
      </c>
      <c r="AC4526" s="244"/>
      <c r="AD4526" s="244"/>
      <c r="AE4526" s="244"/>
      <c r="AF4526" s="244"/>
      <c r="AG4526" s="234"/>
      <c r="AH4526" s="234"/>
      <c r="AI4526" s="238"/>
      <c r="AJ4526" s="239"/>
      <c r="AK4526" s="238"/>
      <c r="AL4526" s="238"/>
      <c r="AM4526" s="234"/>
      <c r="AN4526" s="234"/>
      <c r="AO4526" s="234"/>
      <c r="AP4526" s="234"/>
      <c r="AQ4526" s="234"/>
    </row>
    <row r="4527" spans="1:43" ht="15" customHeight="1">
      <c r="A4527" s="1361">
        <v>40707</v>
      </c>
      <c r="B4527" s="451" t="s">
        <v>14159</v>
      </c>
      <c r="C4527" s="451" t="s">
        <v>14217</v>
      </c>
      <c r="D4527" s="451" t="s">
        <v>14218</v>
      </c>
      <c r="E4527" s="451" t="s">
        <v>14225</v>
      </c>
      <c r="F4527" s="712">
        <v>25</v>
      </c>
      <c r="G4527" s="712">
        <v>7.2</v>
      </c>
      <c r="H4527" s="1362">
        <v>180</v>
      </c>
      <c r="K4527" s="560">
        <v>40722</v>
      </c>
      <c r="N4527" s="451" t="s">
        <v>14220</v>
      </c>
      <c r="O4527" s="451">
        <v>1000613</v>
      </c>
      <c r="P4527" s="91"/>
      <c r="Q4527" s="1362">
        <v>4725</v>
      </c>
      <c r="R4527" s="91"/>
      <c r="S4527" s="91"/>
      <c r="T4527" s="923"/>
      <c r="U4527" s="236"/>
      <c r="V4527" s="1295" t="s">
        <v>14224</v>
      </c>
      <c r="W4527" s="236"/>
      <c r="X4527" s="560">
        <v>40711</v>
      </c>
      <c r="Y4527" s="236"/>
      <c r="Z4527" s="712">
        <v>4725</v>
      </c>
      <c r="AA4527" s="501" t="s">
        <v>13564</v>
      </c>
      <c r="AB4527" s="501" t="s">
        <v>14222</v>
      </c>
      <c r="AC4527" s="244"/>
      <c r="AD4527" s="244"/>
      <c r="AE4527" s="244"/>
      <c r="AF4527" s="244"/>
      <c r="AG4527" s="234"/>
      <c r="AH4527" s="234"/>
      <c r="AI4527" s="238"/>
      <c r="AJ4527" s="239"/>
      <c r="AK4527" s="238"/>
      <c r="AL4527" s="238"/>
      <c r="AM4527" s="234"/>
      <c r="AN4527" s="234"/>
      <c r="AO4527" s="234"/>
      <c r="AP4527" s="234"/>
      <c r="AQ4527" s="234"/>
    </row>
    <row r="4528" spans="1:43" ht="15" customHeight="1">
      <c r="A4528" s="1361">
        <v>40737</v>
      </c>
      <c r="B4528" s="451" t="s">
        <v>12442</v>
      </c>
      <c r="C4528" s="451" t="s">
        <v>14226</v>
      </c>
      <c r="D4528" s="66"/>
      <c r="E4528" s="451" t="s">
        <v>7098</v>
      </c>
      <c r="F4528" s="712">
        <v>1</v>
      </c>
      <c r="G4528" s="712">
        <v>771</v>
      </c>
      <c r="H4528" s="1362">
        <v>27</v>
      </c>
      <c r="K4528" s="560">
        <v>40744</v>
      </c>
      <c r="N4528" s="451" t="s">
        <v>10981</v>
      </c>
      <c r="O4528" s="501" t="s">
        <v>14227</v>
      </c>
      <c r="P4528" s="91"/>
      <c r="Q4528" s="1367">
        <v>483</v>
      </c>
      <c r="R4528" s="91"/>
      <c r="S4528" s="91"/>
      <c r="T4528" s="923"/>
      <c r="U4528" s="236"/>
      <c r="V4528" s="451" t="s">
        <v>13471</v>
      </c>
      <c r="W4528" s="236"/>
      <c r="X4528" s="560">
        <v>40744</v>
      </c>
      <c r="Y4528" s="236"/>
      <c r="Z4528" s="1368">
        <v>483</v>
      </c>
      <c r="AA4528" s="501" t="s">
        <v>14228</v>
      </c>
      <c r="AB4528" s="1364" t="s">
        <v>13816</v>
      </c>
      <c r="AC4528" s="244"/>
      <c r="AD4528" s="244"/>
      <c r="AE4528" s="244"/>
      <c r="AF4528" s="244"/>
      <c r="AG4528" s="234"/>
      <c r="AH4528" s="234"/>
      <c r="AI4528" s="238"/>
      <c r="AJ4528" s="239"/>
      <c r="AK4528" s="238"/>
      <c r="AL4528" s="238"/>
      <c r="AM4528" s="234"/>
      <c r="AN4528" s="234"/>
      <c r="AO4528" s="234"/>
      <c r="AP4528" s="234"/>
      <c r="AQ4528" s="234"/>
    </row>
    <row r="4529" spans="1:43" ht="15" customHeight="1">
      <c r="A4529" s="1361">
        <v>40737</v>
      </c>
      <c r="B4529" s="451" t="s">
        <v>12442</v>
      </c>
      <c r="C4529" s="451" t="s">
        <v>14226</v>
      </c>
      <c r="D4529" s="66"/>
      <c r="E4529" s="451" t="s">
        <v>12437</v>
      </c>
      <c r="F4529" s="712">
        <v>1</v>
      </c>
      <c r="G4529" s="712">
        <v>112</v>
      </c>
      <c r="H4529" s="1362">
        <v>112</v>
      </c>
      <c r="K4529" s="560">
        <v>40744</v>
      </c>
      <c r="N4529" s="451" t="s">
        <v>89</v>
      </c>
      <c r="O4529" s="501" t="s">
        <v>14229</v>
      </c>
      <c r="P4529" s="91"/>
      <c r="Q4529" s="1362">
        <v>2993</v>
      </c>
      <c r="R4529" s="91"/>
      <c r="S4529" s="91"/>
      <c r="T4529" s="923"/>
      <c r="U4529" s="236"/>
      <c r="V4529" s="451" t="s">
        <v>14123</v>
      </c>
      <c r="W4529" s="236"/>
      <c r="X4529" s="560">
        <v>40744</v>
      </c>
      <c r="Y4529" s="236"/>
      <c r="Z4529" s="712">
        <v>2993</v>
      </c>
      <c r="AA4529" s="501" t="s">
        <v>14228</v>
      </c>
      <c r="AB4529" s="1364" t="s">
        <v>13816</v>
      </c>
      <c r="AC4529" s="244"/>
      <c r="AD4529" s="244"/>
      <c r="AE4529" s="244"/>
      <c r="AF4529" s="244"/>
      <c r="AG4529" s="234"/>
      <c r="AH4529" s="234"/>
      <c r="AI4529" s="238"/>
      <c r="AJ4529" s="239"/>
      <c r="AK4529" s="238"/>
      <c r="AL4529" s="238"/>
      <c r="AM4529" s="234"/>
      <c r="AN4529" s="234"/>
      <c r="AO4529" s="234"/>
      <c r="AP4529" s="234"/>
      <c r="AQ4529" s="234"/>
    </row>
    <row r="4530" spans="1:43" ht="15" customHeight="1">
      <c r="A4530" s="1361">
        <v>40744</v>
      </c>
      <c r="B4530" s="451" t="s">
        <v>12442</v>
      </c>
      <c r="C4530" s="451" t="s">
        <v>14230</v>
      </c>
      <c r="D4530" s="66"/>
      <c r="E4530" s="451" t="s">
        <v>14231</v>
      </c>
      <c r="F4530" s="712">
        <v>3</v>
      </c>
      <c r="G4530" s="712">
        <v>101</v>
      </c>
      <c r="H4530" s="1362">
        <v>101</v>
      </c>
      <c r="K4530" s="560">
        <v>40751</v>
      </c>
      <c r="N4530" s="451" t="s">
        <v>89</v>
      </c>
      <c r="O4530" s="501" t="s">
        <v>14232</v>
      </c>
      <c r="P4530" s="91"/>
      <c r="Q4530" s="1362">
        <v>8064</v>
      </c>
      <c r="R4530" s="91"/>
      <c r="S4530" s="91"/>
      <c r="T4530" s="923"/>
      <c r="U4530" s="236"/>
      <c r="V4530" s="451" t="s">
        <v>14123</v>
      </c>
      <c r="W4530" s="236"/>
      <c r="X4530" s="560">
        <v>40751</v>
      </c>
      <c r="Y4530" s="236"/>
      <c r="Z4530" s="712">
        <v>8064</v>
      </c>
      <c r="AA4530" s="501" t="s">
        <v>14228</v>
      </c>
      <c r="AB4530" s="1364" t="s">
        <v>13816</v>
      </c>
      <c r="AC4530" s="244"/>
      <c r="AD4530" s="244"/>
      <c r="AE4530" s="244"/>
      <c r="AF4530" s="244"/>
      <c r="AG4530" s="234"/>
      <c r="AH4530" s="234"/>
      <c r="AI4530" s="238"/>
      <c r="AJ4530" s="239"/>
      <c r="AK4530" s="238"/>
      <c r="AL4530" s="238"/>
      <c r="AM4530" s="234"/>
      <c r="AN4530" s="234"/>
      <c r="AO4530" s="234"/>
      <c r="AP4530" s="234"/>
      <c r="AQ4530" s="234"/>
    </row>
    <row r="4531" spans="1:43" ht="15" customHeight="1">
      <c r="A4531" s="1361">
        <v>40745</v>
      </c>
      <c r="B4531" s="451" t="s">
        <v>12442</v>
      </c>
      <c r="C4531" s="451" t="s">
        <v>14233</v>
      </c>
      <c r="D4531" s="66"/>
      <c r="E4531" s="451" t="s">
        <v>14234</v>
      </c>
      <c r="F4531" s="712">
        <v>1</v>
      </c>
      <c r="G4531" s="712">
        <v>584</v>
      </c>
      <c r="H4531" s="1362">
        <v>20</v>
      </c>
      <c r="K4531" s="560">
        <v>40751</v>
      </c>
      <c r="N4531" s="451" t="s">
        <v>10981</v>
      </c>
      <c r="O4531" s="501" t="s">
        <v>14235</v>
      </c>
      <c r="P4531" s="91"/>
      <c r="Q4531" s="1362">
        <v>473</v>
      </c>
      <c r="R4531" s="91"/>
      <c r="S4531" s="91"/>
      <c r="T4531" s="91"/>
      <c r="U4531" s="236"/>
      <c r="V4531" s="451" t="s">
        <v>13471</v>
      </c>
      <c r="W4531" s="236"/>
      <c r="X4531" s="560">
        <v>40758</v>
      </c>
      <c r="Y4531" s="236"/>
      <c r="Z4531" s="712">
        <v>473</v>
      </c>
      <c r="AA4531" s="501" t="s">
        <v>14228</v>
      </c>
      <c r="AB4531" s="1364" t="s">
        <v>13816</v>
      </c>
      <c r="AC4531" s="244"/>
      <c r="AD4531" s="244"/>
      <c r="AE4531" s="244"/>
      <c r="AF4531" s="244"/>
      <c r="AG4531" s="234"/>
      <c r="AH4531" s="234"/>
      <c r="AI4531" s="238"/>
      <c r="AJ4531" s="239"/>
      <c r="AK4531" s="238"/>
      <c r="AL4531" s="238"/>
      <c r="AM4531" s="234"/>
      <c r="AN4531" s="234"/>
      <c r="AO4531" s="234"/>
      <c r="AP4531" s="234"/>
      <c r="AQ4531" s="234"/>
    </row>
    <row r="4532" spans="1:43" ht="15" customHeight="1">
      <c r="A4532" s="1361">
        <v>40746</v>
      </c>
      <c r="B4532" s="451" t="s">
        <v>12425</v>
      </c>
      <c r="C4532" s="451" t="s">
        <v>14236</v>
      </c>
      <c r="D4532" s="1365" t="s">
        <v>14237</v>
      </c>
      <c r="E4532" s="451" t="s">
        <v>12584</v>
      </c>
      <c r="F4532" s="712">
        <v>56</v>
      </c>
      <c r="G4532" s="712">
        <v>33</v>
      </c>
      <c r="H4532" s="1362">
        <v>1848</v>
      </c>
      <c r="K4532" s="66"/>
      <c r="N4532" s="1364" t="s">
        <v>10981</v>
      </c>
      <c r="O4532" s="66"/>
      <c r="P4532" s="91"/>
      <c r="Q4532" s="1362">
        <v>32340</v>
      </c>
      <c r="R4532" s="1390"/>
      <c r="S4532" s="1390"/>
      <c r="T4532" s="135">
        <f t="shared" ref="T4532:T4537" si="285">(Q5566*F5626)*1.05</f>
        <v>0</v>
      </c>
      <c r="U4532" s="236"/>
      <c r="V4532" s="451" t="s">
        <v>13471</v>
      </c>
      <c r="W4532" s="236"/>
      <c r="X4532" s="560">
        <v>40758</v>
      </c>
      <c r="Y4532" s="236"/>
      <c r="Z4532" s="712">
        <v>32340</v>
      </c>
      <c r="AA4532" s="501" t="s">
        <v>14238</v>
      </c>
      <c r="AB4532" s="501" t="s">
        <v>14239</v>
      </c>
      <c r="AC4532" s="244"/>
      <c r="AD4532" s="244"/>
      <c r="AE4532" s="244"/>
      <c r="AF4532" s="244"/>
      <c r="AG4532" s="234"/>
      <c r="AH4532" s="234"/>
      <c r="AI4532" s="238"/>
      <c r="AJ4532" s="239"/>
      <c r="AK4532" s="238"/>
      <c r="AL4532" s="238"/>
      <c r="AM4532" s="234"/>
      <c r="AN4532" s="234"/>
      <c r="AO4532" s="234"/>
      <c r="AP4532" s="234"/>
      <c r="AQ4532" s="234"/>
    </row>
    <row r="4533" spans="1:43" ht="15" customHeight="1">
      <c r="A4533" s="1361">
        <v>40759</v>
      </c>
      <c r="B4533" s="451" t="s">
        <v>12425</v>
      </c>
      <c r="C4533" s="66"/>
      <c r="D4533" s="451" t="s">
        <v>14240</v>
      </c>
      <c r="E4533" s="501" t="s">
        <v>12584</v>
      </c>
      <c r="F4533" s="712">
        <v>50</v>
      </c>
      <c r="G4533" s="712">
        <v>33</v>
      </c>
      <c r="H4533" s="1362">
        <v>1650</v>
      </c>
      <c r="K4533" s="560">
        <v>40778</v>
      </c>
      <c r="N4533" s="1364" t="s">
        <v>10981</v>
      </c>
      <c r="O4533" s="66"/>
      <c r="P4533" s="91"/>
      <c r="Q4533" s="1362">
        <v>28875</v>
      </c>
      <c r="R4533" s="34"/>
      <c r="S4533" s="34"/>
      <c r="T4533" s="52">
        <f t="shared" si="285"/>
        <v>0</v>
      </c>
      <c r="U4533" s="236"/>
      <c r="V4533" s="451" t="s">
        <v>13471</v>
      </c>
      <c r="W4533" s="236"/>
      <c r="X4533" s="560">
        <v>40777</v>
      </c>
      <c r="Y4533" s="236"/>
      <c r="Z4533" s="712">
        <v>28875</v>
      </c>
      <c r="AA4533" s="501" t="s">
        <v>14241</v>
      </c>
      <c r="AB4533" s="501" t="s">
        <v>14242</v>
      </c>
      <c r="AC4533" s="244"/>
      <c r="AD4533" s="244"/>
      <c r="AE4533" s="244"/>
      <c r="AF4533" s="244"/>
      <c r="AG4533" s="234"/>
      <c r="AH4533" s="234"/>
      <c r="AI4533" s="238"/>
      <c r="AJ4533" s="239"/>
      <c r="AK4533" s="238"/>
      <c r="AL4533" s="238"/>
      <c r="AM4533" s="234"/>
      <c r="AN4533" s="234"/>
      <c r="AO4533" s="234"/>
      <c r="AP4533" s="234"/>
      <c r="AQ4533" s="234"/>
    </row>
    <row r="4534" spans="1:43" ht="15" customHeight="1">
      <c r="A4534" s="1361">
        <v>40772</v>
      </c>
      <c r="B4534" s="451" t="s">
        <v>14159</v>
      </c>
      <c r="C4534" s="451" t="s">
        <v>14243</v>
      </c>
      <c r="D4534" s="451" t="s">
        <v>14244</v>
      </c>
      <c r="E4534" s="451" t="s">
        <v>13824</v>
      </c>
      <c r="F4534" s="712">
        <v>1</v>
      </c>
      <c r="G4534" s="712">
        <v>112</v>
      </c>
      <c r="H4534" s="1362">
        <v>112</v>
      </c>
      <c r="K4534" s="560">
        <v>40788</v>
      </c>
      <c r="N4534" s="451" t="s">
        <v>3263</v>
      </c>
      <c r="O4534" s="66"/>
      <c r="P4534" s="91"/>
      <c r="Q4534" s="1362">
        <v>2672</v>
      </c>
      <c r="R4534" s="34"/>
      <c r="S4534" s="34"/>
      <c r="T4534" s="52">
        <f t="shared" si="285"/>
        <v>0</v>
      </c>
      <c r="U4534" s="236"/>
      <c r="V4534" s="1295" t="s">
        <v>14169</v>
      </c>
      <c r="W4534" s="236"/>
      <c r="X4534" s="560">
        <v>40786</v>
      </c>
      <c r="Y4534" s="236"/>
      <c r="Z4534" s="712">
        <v>2672</v>
      </c>
      <c r="AA4534" s="501" t="s">
        <v>14245</v>
      </c>
      <c r="AB4534" s="451" t="s">
        <v>14246</v>
      </c>
      <c r="AC4534" s="244"/>
      <c r="AD4534" s="244"/>
      <c r="AE4534" s="244"/>
      <c r="AF4534" s="244"/>
      <c r="AG4534" s="234"/>
      <c r="AH4534" s="234"/>
      <c r="AI4534" s="238"/>
      <c r="AJ4534" s="239"/>
      <c r="AK4534" s="238"/>
      <c r="AL4534" s="238"/>
      <c r="AM4534" s="234"/>
      <c r="AN4534" s="234"/>
      <c r="AO4534" s="234"/>
      <c r="AP4534" s="234"/>
      <c r="AQ4534" s="234"/>
    </row>
    <row r="4535" spans="1:43" ht="15" customHeight="1">
      <c r="A4535" s="1361">
        <v>40772</v>
      </c>
      <c r="B4535" s="451" t="s">
        <v>14159</v>
      </c>
      <c r="C4535" s="451" t="s">
        <v>14243</v>
      </c>
      <c r="D4535" s="451" t="s">
        <v>14244</v>
      </c>
      <c r="E4535" s="501" t="s">
        <v>13821</v>
      </c>
      <c r="F4535" s="712">
        <v>2</v>
      </c>
      <c r="G4535" s="712">
        <v>848</v>
      </c>
      <c r="H4535" s="1362">
        <v>1696</v>
      </c>
      <c r="K4535" s="560">
        <v>40788</v>
      </c>
      <c r="N4535" s="451" t="s">
        <v>89</v>
      </c>
      <c r="O4535" s="66"/>
      <c r="P4535" s="91"/>
      <c r="Q4535" s="712">
        <v>40635</v>
      </c>
      <c r="R4535" s="142"/>
      <c r="S4535" s="142"/>
      <c r="T4535" s="158">
        <f t="shared" si="285"/>
        <v>0</v>
      </c>
      <c r="U4535" s="236"/>
      <c r="V4535" s="451" t="s">
        <v>14123</v>
      </c>
      <c r="W4535" s="236"/>
      <c r="X4535" s="560">
        <v>40787</v>
      </c>
      <c r="Y4535" s="236"/>
      <c r="Z4535" s="712">
        <v>40635</v>
      </c>
      <c r="AA4535" s="501" t="s">
        <v>13564</v>
      </c>
      <c r="AB4535" s="451" t="s">
        <v>14246</v>
      </c>
      <c r="AC4535" s="244"/>
      <c r="AD4535" s="244"/>
      <c r="AE4535" s="244"/>
      <c r="AF4535" s="244"/>
      <c r="AG4535" s="234"/>
      <c r="AH4535" s="234"/>
      <c r="AI4535" s="238"/>
      <c r="AJ4535" s="239"/>
      <c r="AK4535" s="238"/>
      <c r="AL4535" s="238"/>
      <c r="AM4535" s="234"/>
      <c r="AN4535" s="234"/>
      <c r="AO4535" s="234"/>
      <c r="AP4535" s="234"/>
      <c r="AQ4535" s="234"/>
    </row>
    <row r="4536" spans="1:43" ht="15" customHeight="1">
      <c r="A4536" s="1361">
        <v>40772</v>
      </c>
      <c r="B4536" s="451" t="s">
        <v>14159</v>
      </c>
      <c r="C4536" s="451" t="s">
        <v>14243</v>
      </c>
      <c r="D4536" s="451" t="s">
        <v>14244</v>
      </c>
      <c r="E4536" s="501" t="s">
        <v>4404</v>
      </c>
      <c r="F4536" s="712">
        <v>2</v>
      </c>
      <c r="G4536" s="712">
        <v>81</v>
      </c>
      <c r="H4536" s="1362">
        <v>162</v>
      </c>
      <c r="K4536" s="560">
        <v>40788</v>
      </c>
      <c r="N4536" s="451" t="s">
        <v>89</v>
      </c>
      <c r="O4536" s="66"/>
      <c r="P4536" s="91"/>
      <c r="Q4536" s="712">
        <v>3906</v>
      </c>
      <c r="R4536" s="34"/>
      <c r="S4536" s="34"/>
      <c r="T4536" s="52">
        <f t="shared" si="285"/>
        <v>0</v>
      </c>
      <c r="U4536" s="236"/>
      <c r="V4536" s="451" t="s">
        <v>14123</v>
      </c>
      <c r="W4536" s="236"/>
      <c r="X4536" s="560">
        <v>40787</v>
      </c>
      <c r="Y4536" s="236"/>
      <c r="Z4536" s="712">
        <v>3906</v>
      </c>
      <c r="AA4536" s="501" t="s">
        <v>13564</v>
      </c>
      <c r="AB4536" s="451" t="s">
        <v>14246</v>
      </c>
      <c r="AC4536" s="244"/>
      <c r="AD4536" s="244"/>
      <c r="AE4536" s="244"/>
      <c r="AF4536" s="244"/>
      <c r="AG4536" s="234"/>
      <c r="AH4536" s="234"/>
      <c r="AI4536" s="238"/>
      <c r="AJ4536" s="239"/>
      <c r="AK4536" s="238"/>
      <c r="AL4536" s="238"/>
      <c r="AM4536" s="234"/>
      <c r="AN4536" s="234"/>
      <c r="AO4536" s="234"/>
      <c r="AP4536" s="234"/>
      <c r="AQ4536" s="234"/>
    </row>
    <row r="4537" spans="1:43" ht="15" customHeight="1">
      <c r="A4537" s="1361">
        <v>40794</v>
      </c>
      <c r="B4537" s="451" t="s">
        <v>14247</v>
      </c>
      <c r="C4537" s="451" t="s">
        <v>14248</v>
      </c>
      <c r="D4537" s="451" t="s">
        <v>14249</v>
      </c>
      <c r="E4537" s="501" t="s">
        <v>11035</v>
      </c>
      <c r="F4537" s="712">
        <v>6</v>
      </c>
      <c r="G4537" s="712">
        <v>240</v>
      </c>
      <c r="H4537" s="1362">
        <v>1440</v>
      </c>
      <c r="K4537" s="560">
        <v>40802</v>
      </c>
      <c r="N4537" s="451" t="s">
        <v>89</v>
      </c>
      <c r="O4537" s="66"/>
      <c r="P4537" s="91"/>
      <c r="Q4537" s="66"/>
      <c r="R4537" s="34"/>
      <c r="S4537" s="34"/>
      <c r="T4537" s="34">
        <f t="shared" si="285"/>
        <v>0</v>
      </c>
      <c r="U4537" s="236"/>
      <c r="V4537" s="66"/>
      <c r="W4537" s="236"/>
      <c r="X4537" s="560">
        <v>40801</v>
      </c>
      <c r="Y4537" s="236"/>
      <c r="Z4537" s="712">
        <v>39375</v>
      </c>
      <c r="AA4537" s="66"/>
      <c r="AB4537" s="451" t="s">
        <v>14250</v>
      </c>
      <c r="AC4537" s="244"/>
      <c r="AD4537" s="244"/>
      <c r="AE4537" s="244"/>
      <c r="AF4537" s="244"/>
      <c r="AG4537" s="234"/>
      <c r="AH4537" s="234"/>
      <c r="AI4537" s="238"/>
      <c r="AJ4537" s="239"/>
      <c r="AK4537" s="238"/>
      <c r="AL4537" s="238"/>
      <c r="AM4537" s="234"/>
      <c r="AN4537" s="234"/>
      <c r="AO4537" s="234"/>
      <c r="AP4537" s="234"/>
      <c r="AQ4537" s="234"/>
    </row>
    <row r="4538" spans="1:43" ht="15" customHeight="1">
      <c r="A4538" s="1361">
        <v>40794</v>
      </c>
      <c r="B4538" s="451" t="s">
        <v>14247</v>
      </c>
      <c r="C4538" s="451" t="s">
        <v>14248</v>
      </c>
      <c r="D4538" s="451" t="s">
        <v>14249</v>
      </c>
      <c r="E4538" s="501" t="s">
        <v>14251</v>
      </c>
      <c r="F4538" s="712">
        <v>6</v>
      </c>
      <c r="G4538" s="712">
        <v>35</v>
      </c>
      <c r="H4538" s="1362">
        <v>210</v>
      </c>
      <c r="K4538" s="560">
        <v>40802</v>
      </c>
      <c r="N4538" s="1364" t="s">
        <v>10981</v>
      </c>
      <c r="O4538" s="66"/>
      <c r="P4538" s="91"/>
      <c r="Q4538" s="66"/>
      <c r="R4538" s="91"/>
      <c r="S4538" s="91"/>
      <c r="T4538" s="91"/>
      <c r="U4538" s="236"/>
      <c r="V4538" s="66"/>
      <c r="W4538" s="236"/>
      <c r="X4538" s="560">
        <v>40800</v>
      </c>
      <c r="Y4538" s="236"/>
      <c r="Z4538" s="712">
        <v>3402</v>
      </c>
      <c r="AA4538" s="66"/>
      <c r="AB4538" s="451" t="s">
        <v>14250</v>
      </c>
      <c r="AC4538" s="244"/>
      <c r="AD4538" s="244"/>
      <c r="AE4538" s="244"/>
      <c r="AF4538" s="244"/>
      <c r="AG4538" s="234"/>
      <c r="AH4538" s="234"/>
      <c r="AI4538" s="238"/>
      <c r="AJ4538" s="239"/>
      <c r="AK4538" s="238"/>
      <c r="AL4538" s="238"/>
      <c r="AM4538" s="234"/>
      <c r="AN4538" s="234"/>
      <c r="AO4538" s="234"/>
      <c r="AP4538" s="234"/>
      <c r="AQ4538" s="234"/>
    </row>
    <row r="4539" spans="1:43" ht="15" customHeight="1">
      <c r="A4539" s="1361">
        <v>40805</v>
      </c>
      <c r="B4539" s="451" t="s">
        <v>14159</v>
      </c>
      <c r="C4539" s="451" t="s">
        <v>14252</v>
      </c>
      <c r="D4539" s="451" t="s">
        <v>14253</v>
      </c>
      <c r="E4539" s="501" t="s">
        <v>14254</v>
      </c>
      <c r="F4539" s="712">
        <v>16</v>
      </c>
      <c r="G4539" s="712">
        <v>195</v>
      </c>
      <c r="H4539" s="1362">
        <v>3120</v>
      </c>
      <c r="K4539" s="560">
        <v>40815</v>
      </c>
      <c r="N4539" s="451" t="s">
        <v>89</v>
      </c>
      <c r="O4539" s="66"/>
      <c r="P4539" s="91"/>
      <c r="Q4539" s="1362">
        <v>76944</v>
      </c>
      <c r="R4539" s="236"/>
      <c r="S4539" s="236"/>
      <c r="T4539" s="236"/>
      <c r="U4539" s="236"/>
      <c r="V4539" s="1264" t="s">
        <v>14123</v>
      </c>
      <c r="W4539" s="236"/>
      <c r="X4539" s="1263">
        <v>40815</v>
      </c>
      <c r="Y4539" s="236"/>
      <c r="Z4539" s="712">
        <v>76944</v>
      </c>
      <c r="AA4539" s="501" t="s">
        <v>13564</v>
      </c>
      <c r="AB4539" s="1264" t="s">
        <v>14255</v>
      </c>
      <c r="AC4539" s="244"/>
      <c r="AD4539" s="244"/>
      <c r="AE4539" s="244"/>
      <c r="AF4539" s="244"/>
      <c r="AG4539" s="234"/>
      <c r="AH4539" s="234"/>
      <c r="AI4539" s="238"/>
      <c r="AJ4539" s="239"/>
      <c r="AK4539" s="238"/>
      <c r="AL4539" s="238"/>
      <c r="AM4539" s="234"/>
      <c r="AN4539" s="234"/>
      <c r="AO4539" s="234"/>
      <c r="AP4539" s="234"/>
      <c r="AQ4539" s="234"/>
    </row>
    <row r="4540" spans="1:43" ht="15" customHeight="1">
      <c r="A4540" s="1361">
        <v>40805</v>
      </c>
      <c r="B4540" s="451" t="s">
        <v>14159</v>
      </c>
      <c r="C4540" s="451" t="s">
        <v>14252</v>
      </c>
      <c r="D4540" s="451" t="s">
        <v>14253</v>
      </c>
      <c r="E4540" s="501" t="s">
        <v>14256</v>
      </c>
      <c r="F4540" s="712">
        <v>4</v>
      </c>
      <c r="G4540" s="712">
        <v>514</v>
      </c>
      <c r="H4540" s="1362">
        <v>2056</v>
      </c>
      <c r="K4540" s="560">
        <v>40815</v>
      </c>
      <c r="N4540" s="451" t="s">
        <v>89</v>
      </c>
      <c r="O4540" s="66"/>
      <c r="P4540" s="91"/>
      <c r="Q4540" s="1362">
        <v>50820</v>
      </c>
      <c r="R4540" s="236"/>
      <c r="S4540" s="236"/>
      <c r="T4540" s="236"/>
      <c r="U4540" s="236"/>
      <c r="V4540" s="1260"/>
      <c r="W4540" s="236"/>
      <c r="X4540" s="1260"/>
      <c r="Y4540" s="236"/>
      <c r="Z4540" s="712">
        <v>50820</v>
      </c>
      <c r="AA4540" s="501" t="s">
        <v>13564</v>
      </c>
      <c r="AB4540" s="91"/>
      <c r="AC4540" s="244"/>
      <c r="AD4540" s="244"/>
      <c r="AE4540" s="244"/>
      <c r="AF4540" s="244"/>
      <c r="AG4540" s="234"/>
      <c r="AH4540" s="234"/>
      <c r="AI4540" s="238"/>
      <c r="AJ4540" s="239"/>
      <c r="AK4540" s="238"/>
      <c r="AL4540" s="238"/>
      <c r="AM4540" s="234"/>
      <c r="AN4540" s="234"/>
      <c r="AO4540" s="234"/>
      <c r="AP4540" s="234"/>
      <c r="AQ4540" s="234"/>
    </row>
    <row r="4541" spans="1:43" ht="15" customHeight="1">
      <c r="A4541" s="1361">
        <v>40805</v>
      </c>
      <c r="B4541" s="451" t="s">
        <v>14159</v>
      </c>
      <c r="C4541" s="451" t="s">
        <v>14252</v>
      </c>
      <c r="D4541" s="451" t="s">
        <v>14253</v>
      </c>
      <c r="E4541" s="501" t="s">
        <v>4644</v>
      </c>
      <c r="F4541" s="712">
        <v>20</v>
      </c>
      <c r="G4541" s="712">
        <v>7</v>
      </c>
      <c r="H4541" s="1362">
        <v>140</v>
      </c>
      <c r="K4541" s="560">
        <v>40815</v>
      </c>
      <c r="N4541" s="451" t="s">
        <v>89</v>
      </c>
      <c r="O4541" s="66"/>
      <c r="P4541" s="91"/>
      <c r="Q4541" s="1362">
        <v>2100</v>
      </c>
      <c r="R4541" s="236"/>
      <c r="S4541" s="236"/>
      <c r="T4541" s="236"/>
      <c r="U4541" s="236"/>
      <c r="V4541" s="66"/>
      <c r="W4541" s="236"/>
      <c r="X4541" s="66"/>
      <c r="Y4541" s="236"/>
      <c r="Z4541" s="712">
        <v>2100</v>
      </c>
      <c r="AA4541" s="501" t="s">
        <v>13564</v>
      </c>
      <c r="AB4541" s="1167"/>
      <c r="AC4541" s="244"/>
      <c r="AD4541" s="244"/>
      <c r="AE4541" s="244"/>
      <c r="AF4541" s="244"/>
      <c r="AG4541" s="234"/>
      <c r="AH4541" s="234"/>
      <c r="AI4541" s="238"/>
      <c r="AJ4541" s="239"/>
      <c r="AK4541" s="238"/>
      <c r="AL4541" s="238"/>
      <c r="AM4541" s="234"/>
      <c r="AN4541" s="234"/>
      <c r="AO4541" s="234"/>
      <c r="AP4541" s="234"/>
      <c r="AQ4541" s="234"/>
    </row>
    <row r="4542" spans="1:43" ht="15" customHeight="1">
      <c r="A4542" s="1361">
        <v>40819</v>
      </c>
      <c r="B4542" s="451" t="s">
        <v>12425</v>
      </c>
      <c r="C4542" s="451">
        <v>11000481</v>
      </c>
      <c r="D4542" s="451" t="s">
        <v>14257</v>
      </c>
      <c r="E4542" s="501" t="s">
        <v>14258</v>
      </c>
      <c r="F4542" s="712">
        <v>50</v>
      </c>
      <c r="G4542" s="712">
        <v>19</v>
      </c>
      <c r="H4542" s="1362">
        <v>950</v>
      </c>
      <c r="K4542" s="560">
        <v>40837</v>
      </c>
      <c r="N4542" s="1295" t="s">
        <v>10981</v>
      </c>
      <c r="O4542" s="66"/>
      <c r="P4542" s="91"/>
      <c r="Q4542" s="1362">
        <v>13400</v>
      </c>
      <c r="R4542" s="236"/>
      <c r="S4542" s="236"/>
      <c r="T4542" s="236"/>
      <c r="U4542" s="236"/>
      <c r="V4542" s="451" t="s">
        <v>13471</v>
      </c>
      <c r="W4542" s="236"/>
      <c r="X4542" s="560">
        <v>40833</v>
      </c>
      <c r="Y4542" s="236"/>
      <c r="Z4542" s="712">
        <v>14070</v>
      </c>
      <c r="AA4542" s="501" t="s">
        <v>14259</v>
      </c>
      <c r="AB4542" s="501" t="s">
        <v>14260</v>
      </c>
      <c r="AC4542" s="244"/>
      <c r="AD4542" s="244"/>
      <c r="AE4542" s="244"/>
      <c r="AF4542" s="244"/>
      <c r="AG4542" s="234"/>
      <c r="AH4542" s="234"/>
      <c r="AI4542" s="238"/>
      <c r="AJ4542" s="239"/>
      <c r="AK4542" s="238"/>
      <c r="AL4542" s="238"/>
      <c r="AM4542" s="234"/>
      <c r="AN4542" s="234"/>
      <c r="AO4542" s="234"/>
      <c r="AP4542" s="234"/>
      <c r="AQ4542" s="234"/>
    </row>
    <row r="4543" spans="1:43" ht="31" customHeight="1">
      <c r="A4543" s="69">
        <v>43334</v>
      </c>
      <c r="B4543" s="144" t="s">
        <v>100</v>
      </c>
      <c r="C4543" s="250"/>
      <c r="D4543" s="250" t="s">
        <v>279</v>
      </c>
      <c r="E4543" s="246" t="s">
        <v>280</v>
      </c>
      <c r="F4543" s="251">
        <v>90</v>
      </c>
      <c r="G4543" s="252">
        <v>2.6</v>
      </c>
      <c r="H4543" s="253">
        <v>234</v>
      </c>
      <c r="I4543" s="254" t="s">
        <v>170</v>
      </c>
      <c r="J4543" s="255" t="s">
        <v>281</v>
      </c>
      <c r="K4543" s="256"/>
      <c r="W4543" s="257"/>
      <c r="X4543" s="258">
        <v>43350</v>
      </c>
      <c r="Y4543" s="259" t="s">
        <v>282</v>
      </c>
      <c r="Z4543" s="259"/>
      <c r="AA4543" s="258">
        <v>43348</v>
      </c>
      <c r="AB4543" s="237"/>
      <c r="AC4543" s="244"/>
      <c r="AD4543" s="244"/>
      <c r="AE4543" s="244"/>
      <c r="AF4543" s="244"/>
      <c r="AG4543" s="251" t="s">
        <v>283</v>
      </c>
      <c r="AH4543" s="251"/>
      <c r="AI4543" s="260"/>
      <c r="AJ4543" s="261">
        <v>43469</v>
      </c>
      <c r="AK4543" s="260"/>
      <c r="AL4543" s="260"/>
      <c r="AM4543" s="251" t="s">
        <v>49</v>
      </c>
      <c r="AN4543" s="251" t="s">
        <v>284</v>
      </c>
      <c r="AO4543" s="251" t="s">
        <v>285</v>
      </c>
      <c r="AP4543" s="251" t="s">
        <v>51</v>
      </c>
      <c r="AQ4543" s="262"/>
    </row>
    <row r="4544" spans="1:43" ht="15" customHeight="1">
      <c r="A4544" s="69">
        <v>43349</v>
      </c>
      <c r="B4544" s="263" t="s">
        <v>100</v>
      </c>
      <c r="C4544" s="250" t="s">
        <v>286</v>
      </c>
      <c r="D4544" s="250" t="s">
        <v>287</v>
      </c>
      <c r="E4544" s="32" t="s">
        <v>288</v>
      </c>
      <c r="F4544" s="264">
        <v>3</v>
      </c>
      <c r="G4544" s="265">
        <v>847</v>
      </c>
      <c r="H4544" s="266">
        <v>2541</v>
      </c>
      <c r="I4544" s="254" t="s">
        <v>170</v>
      </c>
      <c r="J4544" s="267" t="s">
        <v>289</v>
      </c>
      <c r="K4544" s="256">
        <v>43482</v>
      </c>
      <c r="W4544" s="268">
        <v>43524</v>
      </c>
      <c r="X4544" s="269">
        <v>43475</v>
      </c>
      <c r="Y4544" s="259" t="s">
        <v>290</v>
      </c>
      <c r="Z4544" s="270">
        <v>79911</v>
      </c>
      <c r="AA4544" s="258">
        <v>43524</v>
      </c>
      <c r="AB4544" s="237"/>
      <c r="AC4544" s="244"/>
      <c r="AD4544" s="244"/>
      <c r="AE4544" s="244"/>
      <c r="AF4544" s="244"/>
      <c r="AG4544" s="251" t="s">
        <v>283</v>
      </c>
      <c r="AH4544" s="251"/>
      <c r="AI4544" s="260"/>
      <c r="AJ4544" s="261">
        <v>43530</v>
      </c>
      <c r="AK4544" s="260"/>
      <c r="AL4544" s="260"/>
      <c r="AM4544" s="251" t="s">
        <v>49</v>
      </c>
      <c r="AN4544" s="251" t="s">
        <v>284</v>
      </c>
      <c r="AO4544" s="251" t="s">
        <v>50</v>
      </c>
      <c r="AP4544" s="251" t="s">
        <v>51</v>
      </c>
      <c r="AQ4544" s="262"/>
    </row>
    <row r="4545" spans="1:43" ht="15" customHeight="1">
      <c r="A4545" s="69">
        <v>43349</v>
      </c>
      <c r="B4545" s="263" t="s">
        <v>100</v>
      </c>
      <c r="C4545" s="250" t="s">
        <v>286</v>
      </c>
      <c r="D4545" s="250" t="s">
        <v>287</v>
      </c>
      <c r="E4545" s="35" t="s">
        <v>291</v>
      </c>
      <c r="F4545" s="264">
        <v>3</v>
      </c>
      <c r="G4545" s="265">
        <v>2</v>
      </c>
      <c r="H4545" s="266">
        <v>6</v>
      </c>
      <c r="I4545" s="254" t="s">
        <v>170</v>
      </c>
      <c r="J4545" s="267" t="s">
        <v>289</v>
      </c>
      <c r="K4545" s="256">
        <v>43482</v>
      </c>
      <c r="W4545" s="268">
        <v>43524</v>
      </c>
      <c r="X4545" s="269">
        <v>43475</v>
      </c>
      <c r="Y4545" s="259" t="s">
        <v>290</v>
      </c>
      <c r="Z4545" s="259"/>
      <c r="AA4545" s="258">
        <v>43524</v>
      </c>
      <c r="AB4545" s="237"/>
      <c r="AC4545" s="244"/>
      <c r="AD4545" s="244"/>
      <c r="AE4545" s="244"/>
      <c r="AF4545" s="244"/>
      <c r="AG4545" s="251" t="s">
        <v>283</v>
      </c>
      <c r="AH4545" s="251"/>
      <c r="AI4545" s="260"/>
      <c r="AJ4545" s="261">
        <v>43530</v>
      </c>
      <c r="AK4545" s="260"/>
      <c r="AL4545" s="260"/>
      <c r="AM4545" s="251" t="s">
        <v>49</v>
      </c>
      <c r="AN4545" s="251" t="s">
        <v>284</v>
      </c>
      <c r="AO4545" s="251" t="s">
        <v>50</v>
      </c>
      <c r="AP4545" s="251" t="s">
        <v>51</v>
      </c>
      <c r="AQ4545" s="262"/>
    </row>
    <row r="4546" spans="1:43" ht="15" customHeight="1">
      <c r="A4546" s="271">
        <v>429</v>
      </c>
      <c r="B4546" s="263" t="s">
        <v>100</v>
      </c>
      <c r="C4546" s="250" t="s">
        <v>286</v>
      </c>
      <c r="D4546" s="250" t="s">
        <v>287</v>
      </c>
      <c r="E4546" s="32" t="s">
        <v>292</v>
      </c>
      <c r="F4546" s="264">
        <v>3</v>
      </c>
      <c r="G4546" s="265">
        <v>84.7</v>
      </c>
      <c r="H4546" s="266">
        <v>254.10000000000002</v>
      </c>
      <c r="I4546" s="254" t="s">
        <v>170</v>
      </c>
      <c r="J4546" s="267" t="s">
        <v>289</v>
      </c>
      <c r="K4546" s="256">
        <v>43482</v>
      </c>
      <c r="W4546" s="268">
        <v>43524</v>
      </c>
      <c r="X4546" s="269">
        <v>43475</v>
      </c>
      <c r="Y4546" s="259" t="s">
        <v>290</v>
      </c>
      <c r="Z4546" s="259"/>
      <c r="AA4546" s="258">
        <v>43524</v>
      </c>
      <c r="AB4546" s="237"/>
      <c r="AC4546" s="244"/>
      <c r="AD4546" s="244"/>
      <c r="AE4546" s="244"/>
      <c r="AF4546" s="244"/>
      <c r="AG4546" s="251" t="s">
        <v>283</v>
      </c>
      <c r="AH4546" s="251"/>
      <c r="AI4546" s="260"/>
      <c r="AJ4546" s="261">
        <v>43530</v>
      </c>
      <c r="AK4546" s="260"/>
      <c r="AL4546" s="260"/>
      <c r="AM4546" s="251" t="s">
        <v>49</v>
      </c>
      <c r="AN4546" s="251" t="s">
        <v>284</v>
      </c>
      <c r="AO4546" s="251" t="s">
        <v>50</v>
      </c>
      <c r="AP4546" s="251" t="s">
        <v>51</v>
      </c>
      <c r="AQ4546" s="262"/>
    </row>
    <row r="4547" spans="1:43" ht="15" customHeight="1">
      <c r="A4547" s="272">
        <v>43390</v>
      </c>
      <c r="B4547" s="273" t="s">
        <v>76</v>
      </c>
      <c r="C4547" s="274">
        <v>1042</v>
      </c>
      <c r="D4547" s="275" t="s">
        <v>293</v>
      </c>
      <c r="E4547" s="276" t="s">
        <v>294</v>
      </c>
      <c r="F4547" s="277"/>
      <c r="G4547" s="278">
        <v>503</v>
      </c>
      <c r="H4547" s="279">
        <v>0</v>
      </c>
      <c r="I4547" s="280" t="s">
        <v>42</v>
      </c>
      <c r="J4547" s="281"/>
      <c r="K4547" s="282"/>
      <c r="W4547" s="283"/>
      <c r="X4547" s="284"/>
      <c r="Y4547" s="284"/>
      <c r="Z4547" s="284"/>
      <c r="AA4547" s="284"/>
      <c r="AB4547" s="237"/>
      <c r="AC4547" s="244"/>
      <c r="AD4547" s="244"/>
      <c r="AE4547" s="244"/>
      <c r="AF4547" s="244"/>
      <c r="AG4547" s="277"/>
      <c r="AH4547" s="277"/>
      <c r="AI4547" s="285"/>
      <c r="AJ4547" s="277"/>
      <c r="AK4547" s="285"/>
      <c r="AL4547" s="285"/>
      <c r="AM4547" s="277" t="s">
        <v>49</v>
      </c>
      <c r="AN4547" s="277" t="s">
        <v>295</v>
      </c>
      <c r="AO4547" s="277" t="s">
        <v>285</v>
      </c>
      <c r="AP4547" s="277" t="s">
        <v>51</v>
      </c>
      <c r="AQ4547" s="286"/>
    </row>
    <row r="4548" spans="1:43" ht="15" customHeight="1">
      <c r="A4548" s="272">
        <v>43390</v>
      </c>
      <c r="B4548" s="273" t="s">
        <v>76</v>
      </c>
      <c r="C4548" s="274">
        <v>1042</v>
      </c>
      <c r="D4548" s="275" t="s">
        <v>293</v>
      </c>
      <c r="E4548" s="276" t="s">
        <v>296</v>
      </c>
      <c r="F4548" s="277"/>
      <c r="G4548" s="278">
        <v>20</v>
      </c>
      <c r="H4548" s="287">
        <v>0</v>
      </c>
      <c r="I4548" s="280" t="s">
        <v>42</v>
      </c>
      <c r="J4548" s="288"/>
      <c r="K4548" s="282"/>
      <c r="W4548" s="275"/>
      <c r="X4548" s="284"/>
      <c r="Y4548" s="284"/>
      <c r="Z4548" s="284"/>
      <c r="AA4548" s="284"/>
      <c r="AB4548" s="237"/>
      <c r="AC4548" s="244"/>
      <c r="AD4548" s="244"/>
      <c r="AE4548" s="244"/>
      <c r="AF4548" s="244"/>
      <c r="AG4548" s="277"/>
      <c r="AH4548" s="277"/>
      <c r="AI4548" s="285"/>
      <c r="AJ4548" s="277"/>
      <c r="AK4548" s="285"/>
      <c r="AL4548" s="285"/>
      <c r="AM4548" s="277" t="s">
        <v>49</v>
      </c>
      <c r="AN4548" s="277" t="s">
        <v>295</v>
      </c>
      <c r="AO4548" s="277" t="s">
        <v>285</v>
      </c>
      <c r="AP4548" s="277" t="s">
        <v>51</v>
      </c>
      <c r="AQ4548" s="286"/>
    </row>
    <row r="4549" spans="1:43" ht="15" customHeight="1">
      <c r="A4549" s="272">
        <v>43390</v>
      </c>
      <c r="B4549" s="273" t="s">
        <v>76</v>
      </c>
      <c r="C4549" s="274">
        <v>1042</v>
      </c>
      <c r="D4549" s="275" t="s">
        <v>297</v>
      </c>
      <c r="E4549" s="276" t="s">
        <v>294</v>
      </c>
      <c r="F4549" s="277"/>
      <c r="G4549" s="278">
        <v>503</v>
      </c>
      <c r="H4549" s="287">
        <v>0</v>
      </c>
      <c r="I4549" s="280" t="s">
        <v>42</v>
      </c>
      <c r="J4549" s="288" t="s">
        <v>298</v>
      </c>
      <c r="K4549" s="289"/>
      <c r="W4549" s="275"/>
      <c r="X4549" s="284"/>
      <c r="Y4549" s="284"/>
      <c r="Z4549" s="284"/>
      <c r="AA4549" s="284"/>
      <c r="AB4549" s="237"/>
      <c r="AC4549" s="244"/>
      <c r="AD4549" s="244"/>
      <c r="AE4549" s="244"/>
      <c r="AF4549" s="244"/>
      <c r="AG4549" s="277"/>
      <c r="AH4549" s="277"/>
      <c r="AI4549" s="285"/>
      <c r="AJ4549" s="277"/>
      <c r="AK4549" s="285"/>
      <c r="AL4549" s="285"/>
      <c r="AM4549" s="277" t="s">
        <v>49</v>
      </c>
      <c r="AN4549" s="277" t="s">
        <v>295</v>
      </c>
      <c r="AO4549" s="277" t="s">
        <v>285</v>
      </c>
      <c r="AP4549" s="277" t="s">
        <v>51</v>
      </c>
      <c r="AQ4549" s="286"/>
    </row>
    <row r="4550" spans="1:43" ht="15" customHeight="1">
      <c r="A4550" s="272">
        <v>43390</v>
      </c>
      <c r="B4550" s="273" t="s">
        <v>76</v>
      </c>
      <c r="C4550" s="274">
        <v>1042</v>
      </c>
      <c r="D4550" s="275" t="s">
        <v>297</v>
      </c>
      <c r="E4550" s="276" t="s">
        <v>296</v>
      </c>
      <c r="F4550" s="277"/>
      <c r="G4550" s="278">
        <v>20</v>
      </c>
      <c r="H4550" s="287">
        <v>0</v>
      </c>
      <c r="I4550" s="280" t="s">
        <v>42</v>
      </c>
      <c r="J4550" s="288"/>
      <c r="K4550" s="289"/>
      <c r="W4550" s="275"/>
      <c r="X4550" s="284"/>
      <c r="Y4550" s="284"/>
      <c r="Z4550" s="284"/>
      <c r="AA4550" s="284"/>
      <c r="AB4550" s="237"/>
      <c r="AC4550" s="244"/>
      <c r="AD4550" s="244"/>
      <c r="AE4550" s="244"/>
      <c r="AF4550" s="244"/>
      <c r="AG4550" s="277"/>
      <c r="AH4550" s="277"/>
      <c r="AI4550" s="285"/>
      <c r="AJ4550" s="277"/>
      <c r="AK4550" s="285"/>
      <c r="AL4550" s="285"/>
      <c r="AM4550" s="277" t="s">
        <v>49</v>
      </c>
      <c r="AN4550" s="277" t="s">
        <v>295</v>
      </c>
      <c r="AO4550" s="277" t="s">
        <v>285</v>
      </c>
      <c r="AP4550" s="277" t="s">
        <v>51</v>
      </c>
      <c r="AQ4550" s="286"/>
    </row>
    <row r="4551" spans="1:43" ht="15" customHeight="1">
      <c r="A4551" s="69">
        <v>43395</v>
      </c>
      <c r="B4551" s="70" t="s">
        <v>100</v>
      </c>
      <c r="C4551" s="290" t="s">
        <v>299</v>
      </c>
      <c r="D4551" s="32" t="s">
        <v>300</v>
      </c>
      <c r="E4551" s="246" t="s">
        <v>301</v>
      </c>
      <c r="F4551" s="54">
        <v>10</v>
      </c>
      <c r="G4551" s="48">
        <v>85</v>
      </c>
      <c r="H4551" s="26">
        <v>850</v>
      </c>
      <c r="I4551" s="61" t="s">
        <v>302</v>
      </c>
      <c r="J4551" s="291"/>
      <c r="K4551" s="30">
        <v>43536</v>
      </c>
      <c r="W4551" s="292">
        <v>43450</v>
      </c>
      <c r="X4551" s="293">
        <v>43420</v>
      </c>
      <c r="Y4551" s="294" t="s">
        <v>303</v>
      </c>
      <c r="Z4551" s="295">
        <v>62685</v>
      </c>
      <c r="AA4551" s="293">
        <v>43445</v>
      </c>
      <c r="AB4551" s="237"/>
      <c r="AC4551" s="244"/>
      <c r="AD4551" s="244"/>
      <c r="AE4551" s="244"/>
      <c r="AF4551" s="244"/>
      <c r="AG4551" s="296"/>
      <c r="AH4551" s="296">
        <v>30.79</v>
      </c>
      <c r="AI4551" s="297"/>
      <c r="AJ4551" s="298">
        <v>43587</v>
      </c>
      <c r="AK4551" s="297">
        <f>21441.77*30.84</f>
        <v>661264.18680000002</v>
      </c>
      <c r="AL4551" s="297">
        <f>(10+10.73)*30.84</f>
        <v>639.31320000000005</v>
      </c>
      <c r="AM4551" s="296" t="s">
        <v>49</v>
      </c>
      <c r="AN4551" s="24" t="s">
        <v>284</v>
      </c>
      <c r="AO4551" s="296" t="s">
        <v>285</v>
      </c>
      <c r="AP4551" s="296" t="s">
        <v>51</v>
      </c>
      <c r="AQ4551" s="234" t="s">
        <v>304</v>
      </c>
    </row>
    <row r="4552" spans="1:43" ht="15" customHeight="1">
      <c r="A4552" s="69">
        <v>43395</v>
      </c>
      <c r="B4552" s="70" t="s">
        <v>100</v>
      </c>
      <c r="C4552" s="290" t="s">
        <v>299</v>
      </c>
      <c r="D4552" s="299" t="s">
        <v>305</v>
      </c>
      <c r="E4552" s="246" t="s">
        <v>306</v>
      </c>
      <c r="F4552" s="54">
        <v>10</v>
      </c>
      <c r="G4552" s="48">
        <v>847</v>
      </c>
      <c r="H4552" s="26">
        <v>8470</v>
      </c>
      <c r="I4552" s="61" t="s">
        <v>302</v>
      </c>
      <c r="J4552" s="291"/>
      <c r="K4552" s="30">
        <v>43536</v>
      </c>
      <c r="W4552" s="292">
        <v>43585</v>
      </c>
      <c r="X4552" s="293">
        <v>43531</v>
      </c>
      <c r="Y4552" s="294" t="s">
        <v>307</v>
      </c>
      <c r="Z4552" s="295">
        <v>266805</v>
      </c>
      <c r="AA4552" s="300">
        <v>43586</v>
      </c>
      <c r="AB4552" s="237"/>
      <c r="AC4552" s="244"/>
      <c r="AD4552" s="244"/>
      <c r="AE4552" s="244"/>
      <c r="AF4552" s="244"/>
      <c r="AG4552" s="296"/>
      <c r="AH4552" s="296">
        <v>30.79</v>
      </c>
      <c r="AI4552" s="297"/>
      <c r="AJ4552" s="298">
        <v>43587</v>
      </c>
      <c r="AK4552" s="297"/>
      <c r="AL4552" s="297"/>
      <c r="AM4552" s="296" t="s">
        <v>49</v>
      </c>
      <c r="AN4552" s="24" t="s">
        <v>284</v>
      </c>
      <c r="AO4552" s="296" t="s">
        <v>285</v>
      </c>
      <c r="AP4552" s="296" t="s">
        <v>51</v>
      </c>
      <c r="AQ4552" s="234" t="s">
        <v>304</v>
      </c>
    </row>
    <row r="4553" spans="1:43" ht="15" customHeight="1">
      <c r="A4553" s="69">
        <v>43395</v>
      </c>
      <c r="B4553" s="70" t="s">
        <v>100</v>
      </c>
      <c r="C4553" s="290" t="s">
        <v>299</v>
      </c>
      <c r="D4553" s="21" t="s">
        <v>308</v>
      </c>
      <c r="E4553" s="246" t="s">
        <v>309</v>
      </c>
      <c r="F4553" s="54">
        <v>10</v>
      </c>
      <c r="G4553" s="48">
        <v>6</v>
      </c>
      <c r="H4553" s="26">
        <v>60</v>
      </c>
      <c r="I4553" s="61" t="s">
        <v>302</v>
      </c>
      <c r="J4553" s="291"/>
      <c r="K4553" s="30">
        <v>43536</v>
      </c>
      <c r="W4553" s="292">
        <v>43585</v>
      </c>
      <c r="X4553" s="293">
        <v>43531</v>
      </c>
      <c r="Y4553" s="294" t="s">
        <v>307</v>
      </c>
      <c r="Z4553" s="294"/>
      <c r="AA4553" s="300">
        <v>43586</v>
      </c>
      <c r="AB4553" s="237"/>
      <c r="AC4553" s="244"/>
      <c r="AD4553" s="244"/>
      <c r="AE4553" s="244"/>
      <c r="AF4553" s="244"/>
      <c r="AG4553" s="296"/>
      <c r="AH4553" s="296">
        <v>30.79</v>
      </c>
      <c r="AI4553" s="297"/>
      <c r="AJ4553" s="298">
        <v>43587</v>
      </c>
      <c r="AK4553" s="297"/>
      <c r="AL4553" s="297"/>
      <c r="AM4553" s="296" t="s">
        <v>49</v>
      </c>
      <c r="AN4553" s="24" t="s">
        <v>284</v>
      </c>
      <c r="AO4553" s="296" t="s">
        <v>285</v>
      </c>
      <c r="AP4553" s="296" t="s">
        <v>51</v>
      </c>
      <c r="AQ4553" s="234" t="s">
        <v>304</v>
      </c>
    </row>
    <row r="4554" spans="1:43" ht="15" customHeight="1">
      <c r="A4554" s="69">
        <v>43395</v>
      </c>
      <c r="B4554" s="70" t="s">
        <v>100</v>
      </c>
      <c r="C4554" s="290" t="s">
        <v>299</v>
      </c>
      <c r="D4554" s="21" t="s">
        <v>308</v>
      </c>
      <c r="E4554" s="246" t="s">
        <v>292</v>
      </c>
      <c r="F4554" s="54">
        <v>10</v>
      </c>
      <c r="G4554" s="48">
        <v>84.7</v>
      </c>
      <c r="H4554" s="26">
        <v>847</v>
      </c>
      <c r="I4554" s="61" t="s">
        <v>302</v>
      </c>
      <c r="J4554" s="291"/>
      <c r="K4554" s="30">
        <v>43536</v>
      </c>
      <c r="W4554" s="292">
        <v>43585</v>
      </c>
      <c r="X4554" s="293">
        <v>43531</v>
      </c>
      <c r="Y4554" s="294" t="s">
        <v>307</v>
      </c>
      <c r="Z4554" s="294"/>
      <c r="AA4554" s="300">
        <v>43586</v>
      </c>
      <c r="AB4554" s="237"/>
      <c r="AC4554" s="244"/>
      <c r="AD4554" s="244"/>
      <c r="AE4554" s="244"/>
      <c r="AF4554" s="244"/>
      <c r="AG4554" s="296"/>
      <c r="AH4554" s="296">
        <v>30.79</v>
      </c>
      <c r="AI4554" s="297"/>
      <c r="AJ4554" s="298">
        <v>43587</v>
      </c>
      <c r="AK4554" s="297"/>
      <c r="AL4554" s="297"/>
      <c r="AM4554" s="296" t="s">
        <v>49</v>
      </c>
      <c r="AN4554" s="24" t="s">
        <v>284</v>
      </c>
      <c r="AO4554" s="296" t="s">
        <v>285</v>
      </c>
      <c r="AP4554" s="296" t="s">
        <v>51</v>
      </c>
      <c r="AQ4554" s="234" t="s">
        <v>304</v>
      </c>
    </row>
    <row r="4555" spans="1:43" ht="15" customHeight="1">
      <c r="A4555" s="69">
        <v>43395</v>
      </c>
      <c r="B4555" s="70" t="s">
        <v>100</v>
      </c>
      <c r="C4555" s="290" t="s">
        <v>299</v>
      </c>
      <c r="D4555" s="21" t="s">
        <v>310</v>
      </c>
      <c r="E4555" s="246" t="s">
        <v>301</v>
      </c>
      <c r="F4555" s="54">
        <v>10</v>
      </c>
      <c r="G4555" s="48">
        <v>85</v>
      </c>
      <c r="H4555" s="26">
        <v>850</v>
      </c>
      <c r="I4555" s="61" t="s">
        <v>302</v>
      </c>
      <c r="J4555" s="291"/>
      <c r="K4555" s="30">
        <v>43566</v>
      </c>
      <c r="W4555" s="292">
        <v>43450</v>
      </c>
      <c r="X4555" s="293">
        <v>43420</v>
      </c>
      <c r="Y4555" s="294" t="s">
        <v>303</v>
      </c>
      <c r="Z4555" s="295"/>
      <c r="AA4555" s="293">
        <v>43445</v>
      </c>
      <c r="AB4555" s="237"/>
      <c r="AC4555" s="244"/>
      <c r="AD4555" s="244"/>
      <c r="AE4555" s="244"/>
      <c r="AF4555" s="244"/>
      <c r="AG4555" s="296"/>
      <c r="AH4555" s="296">
        <v>30.77</v>
      </c>
      <c r="AI4555" s="297">
        <f>AH4555*H4555</f>
        <v>26154.5</v>
      </c>
      <c r="AJ4555" s="298">
        <v>43602</v>
      </c>
      <c r="AK4555" s="297"/>
      <c r="AL4555" s="297"/>
      <c r="AM4555" s="296" t="s">
        <v>49</v>
      </c>
      <c r="AN4555" s="24" t="s">
        <v>284</v>
      </c>
      <c r="AO4555" s="296" t="s">
        <v>285</v>
      </c>
      <c r="AP4555" s="296" t="s">
        <v>51</v>
      </c>
      <c r="AQ4555" s="234" t="s">
        <v>304</v>
      </c>
    </row>
    <row r="4556" spans="1:43" ht="15" customHeight="1">
      <c r="A4556" s="69">
        <v>43395</v>
      </c>
      <c r="B4556" s="70" t="s">
        <v>100</v>
      </c>
      <c r="C4556" s="290" t="s">
        <v>299</v>
      </c>
      <c r="D4556" s="301" t="s">
        <v>310</v>
      </c>
      <c r="E4556" s="246" t="s">
        <v>311</v>
      </c>
      <c r="F4556" s="54">
        <v>10</v>
      </c>
      <c r="G4556" s="48">
        <v>847</v>
      </c>
      <c r="H4556" s="26">
        <v>8470</v>
      </c>
      <c r="I4556" s="61" t="s">
        <v>302</v>
      </c>
      <c r="J4556" s="58"/>
      <c r="K4556" s="30">
        <v>43566</v>
      </c>
      <c r="W4556" s="302">
        <v>43616</v>
      </c>
      <c r="X4556" s="303">
        <v>43563</v>
      </c>
      <c r="Y4556" s="304" t="s">
        <v>312</v>
      </c>
      <c r="Z4556" s="304">
        <v>266805</v>
      </c>
      <c r="AA4556" s="303">
        <v>43616</v>
      </c>
      <c r="AB4556" s="237"/>
      <c r="AC4556" s="244"/>
      <c r="AD4556" s="244"/>
      <c r="AE4556" s="244"/>
      <c r="AF4556" s="244"/>
      <c r="AG4556" s="296"/>
      <c r="AH4556" s="296">
        <v>30.77</v>
      </c>
      <c r="AI4556" s="297">
        <f>AH4556*H4556</f>
        <v>260621.9</v>
      </c>
      <c r="AJ4556" s="298">
        <v>43602</v>
      </c>
      <c r="AK4556" s="297">
        <f>19748.12*31.16</f>
        <v>615351.4192</v>
      </c>
      <c r="AL4556" s="297">
        <f>(19768-19748.12)*31.16</f>
        <v>619.46080000003178</v>
      </c>
      <c r="AM4556" s="296" t="s">
        <v>49</v>
      </c>
      <c r="AN4556" s="24" t="s">
        <v>284</v>
      </c>
      <c r="AO4556" s="296" t="s">
        <v>285</v>
      </c>
      <c r="AP4556" s="296" t="s">
        <v>51</v>
      </c>
      <c r="AQ4556" s="234" t="s">
        <v>304</v>
      </c>
    </row>
    <row r="4557" spans="1:43" ht="15" customHeight="1">
      <c r="A4557" s="69">
        <v>43395</v>
      </c>
      <c r="B4557" s="70" t="s">
        <v>100</v>
      </c>
      <c r="C4557" s="290" t="s">
        <v>299</v>
      </c>
      <c r="D4557" s="21" t="s">
        <v>310</v>
      </c>
      <c r="E4557" s="246" t="s">
        <v>309</v>
      </c>
      <c r="F4557" s="54">
        <v>10</v>
      </c>
      <c r="G4557" s="48">
        <v>6</v>
      </c>
      <c r="H4557" s="26">
        <v>60</v>
      </c>
      <c r="I4557" s="61" t="s">
        <v>302</v>
      </c>
      <c r="J4557" s="291"/>
      <c r="K4557" s="30">
        <v>43566</v>
      </c>
      <c r="W4557" s="302">
        <v>43616</v>
      </c>
      <c r="X4557" s="303">
        <v>43563</v>
      </c>
      <c r="Y4557" s="304" t="s">
        <v>312</v>
      </c>
      <c r="Z4557" s="304"/>
      <c r="AA4557" s="303">
        <v>43616</v>
      </c>
      <c r="AB4557" s="237"/>
      <c r="AC4557" s="244"/>
      <c r="AD4557" s="244"/>
      <c r="AE4557" s="244"/>
      <c r="AF4557" s="244"/>
      <c r="AG4557" s="296"/>
      <c r="AH4557" s="296">
        <v>30.77</v>
      </c>
      <c r="AI4557" s="297">
        <f>AH4557*H4557</f>
        <v>1846.2</v>
      </c>
      <c r="AJ4557" s="298">
        <v>43602</v>
      </c>
      <c r="AK4557" s="297"/>
      <c r="AL4557" s="297"/>
      <c r="AM4557" s="296" t="s">
        <v>49</v>
      </c>
      <c r="AN4557" s="24" t="s">
        <v>284</v>
      </c>
      <c r="AO4557" s="296" t="s">
        <v>285</v>
      </c>
      <c r="AP4557" s="296" t="s">
        <v>51</v>
      </c>
      <c r="AQ4557" s="234" t="s">
        <v>304</v>
      </c>
    </row>
    <row r="4558" spans="1:43" ht="15" customHeight="1">
      <c r="A4558" s="69">
        <v>43395</v>
      </c>
      <c r="B4558" s="70" t="s">
        <v>100</v>
      </c>
      <c r="C4558" s="290" t="s">
        <v>299</v>
      </c>
      <c r="D4558" s="21" t="s">
        <v>310</v>
      </c>
      <c r="E4558" s="246" t="s">
        <v>292</v>
      </c>
      <c r="F4558" s="54">
        <v>10</v>
      </c>
      <c r="G4558" s="48">
        <v>84.7</v>
      </c>
      <c r="H4558" s="26">
        <v>847</v>
      </c>
      <c r="I4558" s="61" t="s">
        <v>302</v>
      </c>
      <c r="J4558" s="291"/>
      <c r="K4558" s="30">
        <v>43566</v>
      </c>
      <c r="W4558" s="302">
        <v>43616</v>
      </c>
      <c r="X4558" s="303">
        <v>43563</v>
      </c>
      <c r="Y4558" s="304" t="s">
        <v>312</v>
      </c>
      <c r="Z4558" s="304"/>
      <c r="AA4558" s="303">
        <v>43616</v>
      </c>
      <c r="AB4558" s="237"/>
      <c r="AC4558" s="244"/>
      <c r="AD4558" s="244"/>
      <c r="AE4558" s="244"/>
      <c r="AF4558" s="244"/>
      <c r="AG4558" s="296"/>
      <c r="AH4558" s="296">
        <v>30.77</v>
      </c>
      <c r="AI4558" s="297">
        <f>AH4558*H4558</f>
        <v>26062.19</v>
      </c>
      <c r="AJ4558" s="298">
        <v>43602</v>
      </c>
      <c r="AK4558" s="297"/>
      <c r="AL4558" s="297"/>
      <c r="AM4558" s="296" t="s">
        <v>49</v>
      </c>
      <c r="AN4558" s="24" t="s">
        <v>284</v>
      </c>
      <c r="AO4558" s="296" t="s">
        <v>285</v>
      </c>
      <c r="AP4558" s="296" t="s">
        <v>51</v>
      </c>
      <c r="AQ4558" s="234" t="s">
        <v>304</v>
      </c>
    </row>
    <row r="4559" spans="1:43" ht="15" customHeight="1">
      <c r="A4559" s="69">
        <v>43399</v>
      </c>
      <c r="B4559" s="263" t="s">
        <v>76</v>
      </c>
      <c r="C4559" s="250">
        <v>1069</v>
      </c>
      <c r="D4559" s="250" t="s">
        <v>313</v>
      </c>
      <c r="E4559" s="246" t="s">
        <v>314</v>
      </c>
      <c r="F4559" s="251">
        <v>20</v>
      </c>
      <c r="G4559" s="252">
        <v>285</v>
      </c>
      <c r="H4559" s="253">
        <v>5700</v>
      </c>
      <c r="I4559" s="254" t="s">
        <v>42</v>
      </c>
      <c r="J4559" s="255" t="s">
        <v>315</v>
      </c>
      <c r="K4559" s="256">
        <v>43475</v>
      </c>
      <c r="W4559" s="258">
        <v>43555</v>
      </c>
      <c r="X4559" s="258">
        <v>43472</v>
      </c>
      <c r="Y4559" s="259" t="s">
        <v>316</v>
      </c>
      <c r="Z4559" s="270">
        <v>375144</v>
      </c>
      <c r="AA4559" s="258">
        <v>43564</v>
      </c>
      <c r="AB4559" s="237"/>
      <c r="AC4559" s="244"/>
      <c r="AD4559" s="244"/>
      <c r="AE4559" s="244"/>
      <c r="AF4559" s="244"/>
      <c r="AG4559" s="251" t="s">
        <v>283</v>
      </c>
      <c r="AH4559" s="251"/>
      <c r="AI4559" s="260"/>
      <c r="AJ4559" s="251"/>
      <c r="AK4559" s="260">
        <f>14150*30.76</f>
        <v>435254</v>
      </c>
      <c r="AL4559" s="260">
        <v>0</v>
      </c>
      <c r="AM4559" s="251" t="s">
        <v>49</v>
      </c>
      <c r="AN4559" s="251" t="s">
        <v>284</v>
      </c>
      <c r="AO4559" s="251" t="s">
        <v>50</v>
      </c>
      <c r="AP4559" s="251" t="s">
        <v>51</v>
      </c>
      <c r="AQ4559" s="262"/>
    </row>
    <row r="4560" spans="1:43" ht="15" customHeight="1">
      <c r="A4560" s="69">
        <v>43399</v>
      </c>
      <c r="B4560" s="263" t="s">
        <v>76</v>
      </c>
      <c r="C4560" s="250">
        <v>1069</v>
      </c>
      <c r="D4560" s="250" t="s">
        <v>313</v>
      </c>
      <c r="E4560" s="246" t="s">
        <v>317</v>
      </c>
      <c r="F4560" s="305">
        <v>30</v>
      </c>
      <c r="G4560" s="252">
        <v>255</v>
      </c>
      <c r="H4560" s="253">
        <v>7650</v>
      </c>
      <c r="I4560" s="254" t="s">
        <v>42</v>
      </c>
      <c r="J4560" s="255" t="s">
        <v>315</v>
      </c>
      <c r="K4560" s="256">
        <v>43475</v>
      </c>
      <c r="W4560" s="258">
        <v>43555</v>
      </c>
      <c r="X4560" s="258">
        <v>43472</v>
      </c>
      <c r="Y4560" s="259" t="s">
        <v>316</v>
      </c>
      <c r="Z4560" s="259"/>
      <c r="AA4560" s="258">
        <v>43564</v>
      </c>
      <c r="AB4560" s="237"/>
      <c r="AC4560" s="244"/>
      <c r="AD4560" s="244"/>
      <c r="AE4560" s="244"/>
      <c r="AF4560" s="244"/>
      <c r="AG4560" s="251" t="s">
        <v>283</v>
      </c>
      <c r="AH4560" s="251"/>
      <c r="AI4560" s="260"/>
      <c r="AJ4560" s="251"/>
      <c r="AK4560" s="260"/>
      <c r="AL4560" s="260"/>
      <c r="AM4560" s="251" t="s">
        <v>49</v>
      </c>
      <c r="AN4560" s="251" t="s">
        <v>284</v>
      </c>
      <c r="AO4560" s="251" t="s">
        <v>50</v>
      </c>
      <c r="AP4560" s="251" t="s">
        <v>51</v>
      </c>
      <c r="AQ4560" s="262"/>
    </row>
    <row r="4561" spans="1:43" ht="15" customHeight="1">
      <c r="A4561" s="306">
        <v>43404</v>
      </c>
      <c r="B4561" s="307" t="s">
        <v>100</v>
      </c>
      <c r="C4561" s="308" t="s">
        <v>0</v>
      </c>
      <c r="D4561" s="250" t="s">
        <v>318</v>
      </c>
      <c r="E4561" s="35" t="s">
        <v>319</v>
      </c>
      <c r="F4561" s="264">
        <v>100</v>
      </c>
      <c r="G4561" s="265">
        <v>20</v>
      </c>
      <c r="H4561" s="253">
        <v>2000</v>
      </c>
      <c r="I4561" s="254" t="s">
        <v>302</v>
      </c>
      <c r="J4561" s="255" t="s">
        <v>281</v>
      </c>
      <c r="K4561" s="256"/>
      <c r="W4561" s="309">
        <v>43560</v>
      </c>
      <c r="X4561" s="258">
        <v>43522</v>
      </c>
      <c r="Y4561" s="259" t="s">
        <v>320</v>
      </c>
      <c r="Z4561" s="270">
        <v>52500</v>
      </c>
      <c r="AA4561" s="258">
        <v>43564</v>
      </c>
      <c r="AB4561" s="237"/>
      <c r="AC4561" s="244"/>
      <c r="AD4561" s="244"/>
      <c r="AE4561" s="244"/>
      <c r="AF4561" s="244"/>
      <c r="AG4561" s="251"/>
      <c r="AH4561" s="251"/>
      <c r="AI4561" s="260"/>
      <c r="AJ4561" s="261">
        <v>43509</v>
      </c>
      <c r="AK4561" s="260">
        <f>1983.5*30.77</f>
        <v>61032.294999999998</v>
      </c>
      <c r="AL4561" s="260">
        <f>(10+6.5)*30.77</f>
        <v>507.70499999999998</v>
      </c>
      <c r="AM4561" s="251" t="s">
        <v>49</v>
      </c>
      <c r="AN4561" s="251" t="s">
        <v>284</v>
      </c>
      <c r="AO4561" s="251" t="s">
        <v>285</v>
      </c>
      <c r="AP4561" s="251" t="s">
        <v>51</v>
      </c>
      <c r="AQ4561" s="262"/>
    </row>
    <row r="4562" spans="1:43" ht="15" customHeight="1">
      <c r="A4562" s="69">
        <v>43441</v>
      </c>
      <c r="B4562" s="263" t="s">
        <v>118</v>
      </c>
      <c r="C4562" s="250" t="s">
        <v>321</v>
      </c>
      <c r="D4562" s="250" t="s">
        <v>322</v>
      </c>
      <c r="E4562" s="246" t="s">
        <v>151</v>
      </c>
      <c r="F4562" s="262">
        <v>4</v>
      </c>
      <c r="G4562" s="252">
        <v>1045</v>
      </c>
      <c r="H4562" s="253">
        <v>4180</v>
      </c>
      <c r="I4562" s="254" t="s">
        <v>170</v>
      </c>
      <c r="J4562" s="254" t="s">
        <v>121</v>
      </c>
      <c r="K4562" s="256">
        <v>43479</v>
      </c>
      <c r="W4562" s="310">
        <v>43524</v>
      </c>
      <c r="X4562" s="258">
        <v>43474</v>
      </c>
      <c r="Y4562" s="259" t="s">
        <v>323</v>
      </c>
      <c r="Z4562" s="270">
        <v>291492</v>
      </c>
      <c r="AA4562" s="258">
        <v>43522</v>
      </c>
      <c r="AB4562" s="237"/>
      <c r="AC4562" s="244"/>
      <c r="AD4562" s="244"/>
      <c r="AE4562" s="244"/>
      <c r="AF4562" s="244"/>
      <c r="AG4562" s="251" t="s">
        <v>283</v>
      </c>
      <c r="AH4562" s="251"/>
      <c r="AI4562" s="260"/>
      <c r="AJ4562" s="305"/>
      <c r="AK4562" s="260"/>
      <c r="AL4562" s="260"/>
      <c r="AM4562" s="251" t="s">
        <v>49</v>
      </c>
      <c r="AN4562" s="251" t="s">
        <v>284</v>
      </c>
      <c r="AO4562" s="251" t="s">
        <v>50</v>
      </c>
      <c r="AP4562" s="251" t="s">
        <v>51</v>
      </c>
      <c r="AQ4562" s="262"/>
    </row>
    <row r="4563" spans="1:43" ht="15" customHeight="1">
      <c r="A4563" s="69">
        <v>43441</v>
      </c>
      <c r="B4563" s="263" t="s">
        <v>118</v>
      </c>
      <c r="C4563" s="250" t="s">
        <v>321</v>
      </c>
      <c r="D4563" s="250" t="s">
        <v>322</v>
      </c>
      <c r="E4563" s="246" t="s">
        <v>120</v>
      </c>
      <c r="F4563" s="251">
        <v>10</v>
      </c>
      <c r="G4563" s="252">
        <v>359</v>
      </c>
      <c r="H4563" s="253">
        <v>3590</v>
      </c>
      <c r="I4563" s="254" t="s">
        <v>170</v>
      </c>
      <c r="J4563" s="254" t="s">
        <v>121</v>
      </c>
      <c r="K4563" s="256">
        <v>43479</v>
      </c>
      <c r="W4563" s="310">
        <v>43524</v>
      </c>
      <c r="X4563" s="258">
        <v>43474</v>
      </c>
      <c r="Y4563" s="259" t="s">
        <v>323</v>
      </c>
      <c r="Z4563" s="259"/>
      <c r="AA4563" s="258">
        <v>43522</v>
      </c>
      <c r="AB4563" s="237"/>
      <c r="AC4563" s="244"/>
      <c r="AD4563" s="244"/>
      <c r="AE4563" s="244"/>
      <c r="AF4563" s="244"/>
      <c r="AG4563" s="251" t="s">
        <v>283</v>
      </c>
      <c r="AH4563" s="251"/>
      <c r="AI4563" s="260"/>
      <c r="AJ4563" s="305"/>
      <c r="AK4563" s="260"/>
      <c r="AL4563" s="260"/>
      <c r="AM4563" s="251" t="s">
        <v>49</v>
      </c>
      <c r="AN4563" s="251" t="s">
        <v>284</v>
      </c>
      <c r="AO4563" s="251" t="s">
        <v>50</v>
      </c>
      <c r="AP4563" s="251" t="s">
        <v>51</v>
      </c>
      <c r="AQ4563" s="262"/>
    </row>
    <row r="4564" spans="1:43" ht="15" customHeight="1">
      <c r="A4564" s="311">
        <v>43441</v>
      </c>
      <c r="B4564" s="312" t="s">
        <v>118</v>
      </c>
      <c r="C4564" s="312" t="s">
        <v>321</v>
      </c>
      <c r="D4564" s="250" t="s">
        <v>322</v>
      </c>
      <c r="E4564" s="313" t="s">
        <v>324</v>
      </c>
      <c r="F4564" s="251">
        <v>4</v>
      </c>
      <c r="G4564" s="314">
        <v>577</v>
      </c>
      <c r="H4564" s="253">
        <v>2308</v>
      </c>
      <c r="I4564" s="264" t="s">
        <v>170</v>
      </c>
      <c r="J4564" s="264" t="s">
        <v>121</v>
      </c>
      <c r="K4564" s="256">
        <v>43479</v>
      </c>
      <c r="W4564" s="315">
        <v>43524</v>
      </c>
      <c r="X4564" s="316">
        <v>43474</v>
      </c>
      <c r="Y4564" s="317" t="s">
        <v>323</v>
      </c>
      <c r="Z4564" s="317"/>
      <c r="AA4564" s="258">
        <v>43522</v>
      </c>
      <c r="AB4564" s="237"/>
      <c r="AC4564" s="244"/>
      <c r="AD4564" s="244"/>
      <c r="AE4564" s="244"/>
      <c r="AF4564" s="244"/>
      <c r="AG4564" s="251" t="s">
        <v>283</v>
      </c>
      <c r="AH4564" s="251"/>
      <c r="AI4564" s="260"/>
      <c r="AJ4564" s="305"/>
      <c r="AK4564" s="260"/>
      <c r="AL4564" s="260"/>
      <c r="AM4564" s="251" t="s">
        <v>49</v>
      </c>
      <c r="AN4564" s="251" t="s">
        <v>284</v>
      </c>
      <c r="AO4564" s="251" t="s">
        <v>50</v>
      </c>
      <c r="AP4564" s="251" t="s">
        <v>51</v>
      </c>
      <c r="AQ4564" s="262"/>
    </row>
    <row r="4565" spans="1:43" ht="15" customHeight="1">
      <c r="A4565" s="19">
        <v>43444</v>
      </c>
      <c r="B4565" s="318" t="s">
        <v>325</v>
      </c>
      <c r="C4565" s="250">
        <v>2026605</v>
      </c>
      <c r="D4565" s="308" t="s">
        <v>326</v>
      </c>
      <c r="E4565" s="246" t="s">
        <v>327</v>
      </c>
      <c r="F4565" s="251">
        <v>5</v>
      </c>
      <c r="G4565" s="252">
        <v>607</v>
      </c>
      <c r="H4565" s="253">
        <v>3035</v>
      </c>
      <c r="I4565" s="254" t="s">
        <v>42</v>
      </c>
      <c r="J4565" s="319" t="s">
        <v>328</v>
      </c>
      <c r="K4565" s="256">
        <v>43475</v>
      </c>
      <c r="W4565" s="320">
        <v>43524</v>
      </c>
      <c r="X4565" s="258">
        <v>43479</v>
      </c>
      <c r="Y4565" s="259" t="s">
        <v>329</v>
      </c>
      <c r="Z4565" s="270">
        <v>267795</v>
      </c>
      <c r="AA4565" s="258">
        <v>43525</v>
      </c>
      <c r="AB4565" s="237"/>
      <c r="AC4565" s="244"/>
      <c r="AD4565" s="244"/>
      <c r="AE4565" s="244"/>
      <c r="AF4565" s="244"/>
      <c r="AG4565" s="251" t="s">
        <v>283</v>
      </c>
      <c r="AH4565" s="251"/>
      <c r="AI4565" s="260"/>
      <c r="AJ4565" s="251"/>
      <c r="AK4565" s="260"/>
      <c r="AL4565" s="260"/>
      <c r="AM4565" s="251" t="s">
        <v>49</v>
      </c>
      <c r="AN4565" s="251" t="s">
        <v>284</v>
      </c>
      <c r="AO4565" s="251" t="s">
        <v>50</v>
      </c>
      <c r="AP4565" s="251" t="s">
        <v>51</v>
      </c>
      <c r="AQ4565" s="262"/>
    </row>
    <row r="4566" spans="1:43" ht="15" customHeight="1">
      <c r="A4566" s="19">
        <v>43444</v>
      </c>
      <c r="B4566" s="318" t="s">
        <v>325</v>
      </c>
      <c r="C4566" s="250">
        <v>2026605</v>
      </c>
      <c r="D4566" s="308" t="s">
        <v>326</v>
      </c>
      <c r="E4566" s="246" t="s">
        <v>330</v>
      </c>
      <c r="F4566" s="251">
        <v>5</v>
      </c>
      <c r="G4566" s="252">
        <v>27</v>
      </c>
      <c r="H4566" s="253">
        <v>135</v>
      </c>
      <c r="I4566" s="254" t="s">
        <v>42</v>
      </c>
      <c r="J4566" s="319" t="s">
        <v>328</v>
      </c>
      <c r="K4566" s="256">
        <v>43475</v>
      </c>
      <c r="W4566" s="320">
        <v>43524</v>
      </c>
      <c r="X4566" s="258">
        <v>43479</v>
      </c>
      <c r="Y4566" s="259" t="s">
        <v>329</v>
      </c>
      <c r="Z4566" s="259"/>
      <c r="AA4566" s="258">
        <v>43525</v>
      </c>
      <c r="AB4566" s="237"/>
      <c r="AC4566" s="244"/>
      <c r="AD4566" s="244"/>
      <c r="AE4566" s="244"/>
      <c r="AF4566" s="244"/>
      <c r="AG4566" s="251" t="s">
        <v>283</v>
      </c>
      <c r="AH4566" s="251"/>
      <c r="AI4566" s="260"/>
      <c r="AJ4566" s="251"/>
      <c r="AK4566" s="260"/>
      <c r="AL4566" s="260"/>
      <c r="AM4566" s="251" t="s">
        <v>49</v>
      </c>
      <c r="AN4566" s="251" t="s">
        <v>284</v>
      </c>
      <c r="AO4566" s="251" t="s">
        <v>50</v>
      </c>
      <c r="AP4566" s="251" t="s">
        <v>51</v>
      </c>
      <c r="AQ4566" s="262"/>
    </row>
    <row r="4567" spans="1:43" ht="15" customHeight="1">
      <c r="A4567" s="19">
        <v>43444</v>
      </c>
      <c r="B4567" s="318" t="s">
        <v>325</v>
      </c>
      <c r="C4567" s="250">
        <v>2026605</v>
      </c>
      <c r="D4567" s="308" t="s">
        <v>326</v>
      </c>
      <c r="E4567" s="246" t="s">
        <v>52</v>
      </c>
      <c r="F4567" s="251">
        <v>10</v>
      </c>
      <c r="G4567" s="252">
        <v>31</v>
      </c>
      <c r="H4567" s="253">
        <v>310</v>
      </c>
      <c r="I4567" s="254" t="s">
        <v>42</v>
      </c>
      <c r="J4567" s="319" t="s">
        <v>328</v>
      </c>
      <c r="K4567" s="256">
        <v>43475</v>
      </c>
      <c r="W4567" s="320">
        <v>43524</v>
      </c>
      <c r="X4567" s="258">
        <v>43479</v>
      </c>
      <c r="Y4567" s="259" t="s">
        <v>329</v>
      </c>
      <c r="Z4567" s="259"/>
      <c r="AA4567" s="258">
        <v>43525</v>
      </c>
      <c r="AB4567" s="237"/>
      <c r="AC4567" s="244"/>
      <c r="AD4567" s="244"/>
      <c r="AE4567" s="244"/>
      <c r="AF4567" s="244"/>
      <c r="AG4567" s="251" t="s">
        <v>283</v>
      </c>
      <c r="AH4567" s="251"/>
      <c r="AI4567" s="260"/>
      <c r="AJ4567" s="251"/>
      <c r="AK4567" s="260"/>
      <c r="AL4567" s="260"/>
      <c r="AM4567" s="251" t="s">
        <v>49</v>
      </c>
      <c r="AN4567" s="251" t="s">
        <v>284</v>
      </c>
      <c r="AO4567" s="251" t="s">
        <v>50</v>
      </c>
      <c r="AP4567" s="251" t="s">
        <v>51</v>
      </c>
      <c r="AQ4567" s="262"/>
    </row>
    <row r="4568" spans="1:43" ht="15" customHeight="1">
      <c r="A4568" s="19">
        <v>43444</v>
      </c>
      <c r="B4568" s="318" t="s">
        <v>325</v>
      </c>
      <c r="C4568" s="250">
        <v>2026605</v>
      </c>
      <c r="D4568" s="308" t="s">
        <v>326</v>
      </c>
      <c r="E4568" s="246" t="s">
        <v>58</v>
      </c>
      <c r="F4568" s="251">
        <v>10</v>
      </c>
      <c r="G4568" s="252">
        <v>4</v>
      </c>
      <c r="H4568" s="253">
        <v>40</v>
      </c>
      <c r="I4568" s="254" t="s">
        <v>42</v>
      </c>
      <c r="J4568" s="267" t="s">
        <v>328</v>
      </c>
      <c r="K4568" s="256">
        <v>43475</v>
      </c>
      <c r="W4568" s="320">
        <v>43524</v>
      </c>
      <c r="X4568" s="258">
        <v>43479</v>
      </c>
      <c r="Y4568" s="259" t="s">
        <v>329</v>
      </c>
      <c r="Z4568" s="259"/>
      <c r="AA4568" s="258">
        <v>43525</v>
      </c>
      <c r="AB4568" s="237"/>
      <c r="AC4568" s="244"/>
      <c r="AD4568" s="244"/>
      <c r="AE4568" s="244"/>
      <c r="AF4568" s="244"/>
      <c r="AG4568" s="251" t="s">
        <v>283</v>
      </c>
      <c r="AH4568" s="251"/>
      <c r="AI4568" s="260"/>
      <c r="AJ4568" s="251"/>
      <c r="AK4568" s="260"/>
      <c r="AL4568" s="260"/>
      <c r="AM4568" s="251" t="s">
        <v>49</v>
      </c>
      <c r="AN4568" s="251" t="s">
        <v>284</v>
      </c>
      <c r="AO4568" s="251" t="s">
        <v>50</v>
      </c>
      <c r="AP4568" s="251" t="s">
        <v>51</v>
      </c>
      <c r="AQ4568" s="262"/>
    </row>
    <row r="4569" spans="1:43" ht="15" customHeight="1">
      <c r="A4569" s="19">
        <v>43444</v>
      </c>
      <c r="B4569" s="318" t="s">
        <v>325</v>
      </c>
      <c r="C4569" s="250">
        <v>2026605</v>
      </c>
      <c r="D4569" s="308" t="s">
        <v>326</v>
      </c>
      <c r="E4569" s="246" t="s">
        <v>41</v>
      </c>
      <c r="F4569" s="251">
        <v>10</v>
      </c>
      <c r="G4569" s="252">
        <v>273</v>
      </c>
      <c r="H4569" s="253">
        <v>2730</v>
      </c>
      <c r="I4569" s="254" t="s">
        <v>42</v>
      </c>
      <c r="J4569" s="267" t="s">
        <v>328</v>
      </c>
      <c r="K4569" s="256">
        <v>43475</v>
      </c>
      <c r="W4569" s="321">
        <v>43497</v>
      </c>
      <c r="X4569" s="258">
        <v>43467</v>
      </c>
      <c r="Y4569" s="259" t="s">
        <v>331</v>
      </c>
      <c r="Z4569" s="270">
        <v>67121</v>
      </c>
      <c r="AA4569" s="258">
        <v>43523</v>
      </c>
      <c r="AB4569" s="237"/>
      <c r="AC4569" s="244"/>
      <c r="AD4569" s="244"/>
      <c r="AE4569" s="244"/>
      <c r="AF4569" s="244"/>
      <c r="AG4569" s="251" t="s">
        <v>283</v>
      </c>
      <c r="AH4569" s="251"/>
      <c r="AI4569" s="260"/>
      <c r="AJ4569" s="251"/>
      <c r="AK4569" s="260"/>
      <c r="AL4569" s="260"/>
      <c r="AM4569" s="251" t="s">
        <v>49</v>
      </c>
      <c r="AN4569" s="251" t="s">
        <v>284</v>
      </c>
      <c r="AO4569" s="251" t="s">
        <v>50</v>
      </c>
      <c r="AP4569" s="251" t="s">
        <v>51</v>
      </c>
      <c r="AQ4569" s="262"/>
    </row>
    <row r="4570" spans="1:43" ht="15" customHeight="1">
      <c r="A4570" s="19">
        <v>43444</v>
      </c>
      <c r="B4570" s="318" t="s">
        <v>325</v>
      </c>
      <c r="C4570" s="250">
        <v>2026605</v>
      </c>
      <c r="D4570" s="308" t="s">
        <v>332</v>
      </c>
      <c r="E4570" s="322" t="s">
        <v>60</v>
      </c>
      <c r="F4570" s="251">
        <v>10</v>
      </c>
      <c r="G4570" s="323">
        <v>567</v>
      </c>
      <c r="H4570" s="253">
        <v>5670</v>
      </c>
      <c r="I4570" s="254" t="s">
        <v>42</v>
      </c>
      <c r="J4570" s="267" t="s">
        <v>328</v>
      </c>
      <c r="K4570" s="256">
        <v>43475</v>
      </c>
      <c r="W4570" s="320">
        <v>43524</v>
      </c>
      <c r="X4570" s="258">
        <v>43479</v>
      </c>
      <c r="Y4570" s="259" t="s">
        <v>329</v>
      </c>
      <c r="Z4570" s="259"/>
      <c r="AA4570" s="258">
        <v>43525</v>
      </c>
      <c r="AB4570" s="237"/>
      <c r="AC4570" s="244"/>
      <c r="AD4570" s="244"/>
      <c r="AE4570" s="244"/>
      <c r="AF4570" s="244"/>
      <c r="AG4570" s="251" t="s">
        <v>283</v>
      </c>
      <c r="AH4570" s="251"/>
      <c r="AI4570" s="260"/>
      <c r="AJ4570" s="251"/>
      <c r="AK4570" s="260"/>
      <c r="AL4570" s="260"/>
      <c r="AM4570" s="251" t="s">
        <v>49</v>
      </c>
      <c r="AN4570" s="251" t="s">
        <v>284</v>
      </c>
      <c r="AO4570" s="251" t="s">
        <v>50</v>
      </c>
      <c r="AP4570" s="251" t="s">
        <v>51</v>
      </c>
      <c r="AQ4570" s="262"/>
    </row>
    <row r="4571" spans="1:43" ht="15" customHeight="1">
      <c r="A4571" s="69">
        <v>43446</v>
      </c>
      <c r="B4571" s="263" t="s">
        <v>100</v>
      </c>
      <c r="C4571" s="250" t="s">
        <v>333</v>
      </c>
      <c r="D4571" s="250" t="s">
        <v>334</v>
      </c>
      <c r="E4571" s="322" t="s">
        <v>335</v>
      </c>
      <c r="F4571" s="251">
        <v>1</v>
      </c>
      <c r="G4571" s="323">
        <v>178</v>
      </c>
      <c r="H4571" s="253">
        <v>178</v>
      </c>
      <c r="I4571" s="254" t="s">
        <v>302</v>
      </c>
      <c r="J4571" s="267" t="s">
        <v>289</v>
      </c>
      <c r="K4571" s="256">
        <v>43475</v>
      </c>
      <c r="W4571" s="324">
        <v>43120</v>
      </c>
      <c r="X4571" s="258">
        <v>43454</v>
      </c>
      <c r="Y4571" s="259" t="s">
        <v>336</v>
      </c>
      <c r="Z4571" s="270">
        <v>42305</v>
      </c>
      <c r="AA4571" s="258">
        <v>43528</v>
      </c>
      <c r="AB4571" s="237"/>
      <c r="AC4571" s="244"/>
      <c r="AD4571" s="244"/>
      <c r="AE4571" s="244"/>
      <c r="AF4571" s="244"/>
      <c r="AG4571" s="251" t="s">
        <v>283</v>
      </c>
      <c r="AH4571" s="251"/>
      <c r="AI4571" s="260"/>
      <c r="AJ4571" s="261">
        <v>43521</v>
      </c>
      <c r="AK4571" s="260"/>
      <c r="AL4571" s="260"/>
      <c r="AM4571" s="251" t="s">
        <v>49</v>
      </c>
      <c r="AN4571" s="251" t="s">
        <v>284</v>
      </c>
      <c r="AO4571" s="251" t="s">
        <v>50</v>
      </c>
      <c r="AP4571" s="251" t="s">
        <v>51</v>
      </c>
      <c r="AQ4571" s="262"/>
    </row>
    <row r="4572" spans="1:43" ht="15" customHeight="1">
      <c r="A4572" s="69">
        <v>43446</v>
      </c>
      <c r="B4572" s="263" t="s">
        <v>100</v>
      </c>
      <c r="C4572" s="250" t="s">
        <v>333</v>
      </c>
      <c r="D4572" s="250" t="s">
        <v>334</v>
      </c>
      <c r="E4572" s="325" t="s">
        <v>337</v>
      </c>
      <c r="F4572" s="251">
        <v>1</v>
      </c>
      <c r="G4572" s="323">
        <v>42</v>
      </c>
      <c r="H4572" s="253">
        <v>42</v>
      </c>
      <c r="I4572" s="254" t="s">
        <v>302</v>
      </c>
      <c r="J4572" s="267" t="s">
        <v>289</v>
      </c>
      <c r="K4572" s="256">
        <v>43475</v>
      </c>
      <c r="W4572" s="321">
        <v>43496</v>
      </c>
      <c r="X4572" s="258">
        <v>43454</v>
      </c>
      <c r="Y4572" s="259" t="s">
        <v>338</v>
      </c>
      <c r="Z4572" s="270">
        <v>1134</v>
      </c>
      <c r="AA4572" s="258">
        <v>43495</v>
      </c>
      <c r="AB4572" s="237"/>
      <c r="AC4572" s="244"/>
      <c r="AD4572" s="244"/>
      <c r="AE4572" s="244"/>
      <c r="AF4572" s="244"/>
      <c r="AG4572" s="251" t="s">
        <v>283</v>
      </c>
      <c r="AH4572" s="251"/>
      <c r="AI4572" s="260"/>
      <c r="AJ4572" s="261">
        <v>43521</v>
      </c>
      <c r="AK4572" s="260"/>
      <c r="AL4572" s="260"/>
      <c r="AM4572" s="251" t="s">
        <v>49</v>
      </c>
      <c r="AN4572" s="251" t="s">
        <v>284</v>
      </c>
      <c r="AO4572" s="251" t="s">
        <v>50</v>
      </c>
      <c r="AP4572" s="251" t="s">
        <v>51</v>
      </c>
      <c r="AQ4572" s="262"/>
    </row>
    <row r="4573" spans="1:43" ht="15" customHeight="1">
      <c r="A4573" s="69">
        <v>43446</v>
      </c>
      <c r="B4573" s="263" t="s">
        <v>100</v>
      </c>
      <c r="C4573" s="250" t="s">
        <v>333</v>
      </c>
      <c r="D4573" s="250" t="s">
        <v>334</v>
      </c>
      <c r="E4573" s="322" t="s">
        <v>339</v>
      </c>
      <c r="F4573" s="251">
        <v>1</v>
      </c>
      <c r="G4573" s="323">
        <v>341</v>
      </c>
      <c r="H4573" s="253">
        <v>341</v>
      </c>
      <c r="I4573" s="254" t="s">
        <v>302</v>
      </c>
      <c r="J4573" s="267" t="s">
        <v>289</v>
      </c>
      <c r="K4573" s="256">
        <v>43475</v>
      </c>
      <c r="W4573" s="321">
        <v>43118</v>
      </c>
      <c r="X4573" s="258">
        <v>43453</v>
      </c>
      <c r="Y4573" s="259" t="s">
        <v>340</v>
      </c>
      <c r="Z4573" s="270">
        <v>9400</v>
      </c>
      <c r="AA4573" s="258">
        <v>43483</v>
      </c>
      <c r="AB4573" s="237"/>
      <c r="AC4573" s="244"/>
      <c r="AD4573" s="244"/>
      <c r="AE4573" s="244"/>
      <c r="AF4573" s="244"/>
      <c r="AG4573" s="251" t="s">
        <v>283</v>
      </c>
      <c r="AH4573" s="251"/>
      <c r="AI4573" s="260"/>
      <c r="AJ4573" s="261">
        <v>43521</v>
      </c>
      <c r="AK4573" s="260"/>
      <c r="AL4573" s="260"/>
      <c r="AM4573" s="251" t="s">
        <v>49</v>
      </c>
      <c r="AN4573" s="251" t="s">
        <v>284</v>
      </c>
      <c r="AO4573" s="251" t="s">
        <v>50</v>
      </c>
      <c r="AP4573" s="251" t="s">
        <v>51</v>
      </c>
      <c r="AQ4573" s="262"/>
    </row>
    <row r="4574" spans="1:43" ht="15" customHeight="1">
      <c r="A4574" s="69">
        <v>43446</v>
      </c>
      <c r="B4574" s="263" t="s">
        <v>100</v>
      </c>
      <c r="C4574" s="250" t="s">
        <v>333</v>
      </c>
      <c r="D4574" s="250" t="s">
        <v>334</v>
      </c>
      <c r="E4574" s="246" t="s">
        <v>341</v>
      </c>
      <c r="F4574" s="251">
        <v>1</v>
      </c>
      <c r="G4574" s="252">
        <v>45</v>
      </c>
      <c r="H4574" s="253">
        <v>45</v>
      </c>
      <c r="I4574" s="254" t="s">
        <v>302</v>
      </c>
      <c r="J4574" s="267" t="s">
        <v>289</v>
      </c>
      <c r="K4574" s="256">
        <v>43475</v>
      </c>
      <c r="W4574" s="324">
        <v>43524</v>
      </c>
      <c r="X4574" s="258">
        <v>43472</v>
      </c>
      <c r="Y4574" s="259" t="s">
        <v>342</v>
      </c>
      <c r="Z4574" s="259"/>
      <c r="AA4574" s="258">
        <v>43524</v>
      </c>
      <c r="AB4574" s="237"/>
      <c r="AC4574" s="244"/>
      <c r="AD4574" s="244"/>
      <c r="AE4574" s="244"/>
      <c r="AF4574" s="244"/>
      <c r="AG4574" s="251" t="s">
        <v>283</v>
      </c>
      <c r="AH4574" s="251"/>
      <c r="AI4574" s="260"/>
      <c r="AJ4574" s="261">
        <v>43521</v>
      </c>
      <c r="AK4574" s="260"/>
      <c r="AL4574" s="260"/>
      <c r="AM4574" s="251" t="s">
        <v>49</v>
      </c>
      <c r="AN4574" s="251" t="s">
        <v>284</v>
      </c>
      <c r="AO4574" s="251" t="s">
        <v>50</v>
      </c>
      <c r="AP4574" s="251" t="s">
        <v>51</v>
      </c>
      <c r="AQ4574" s="262"/>
    </row>
    <row r="4575" spans="1:43" ht="15" customHeight="1">
      <c r="A4575" s="69">
        <v>43446</v>
      </c>
      <c r="B4575" s="263" t="s">
        <v>100</v>
      </c>
      <c r="C4575" s="250" t="s">
        <v>333</v>
      </c>
      <c r="D4575" s="326" t="s">
        <v>343</v>
      </c>
      <c r="E4575" s="246" t="s">
        <v>344</v>
      </c>
      <c r="F4575" s="251">
        <v>1</v>
      </c>
      <c r="G4575" s="252">
        <v>592</v>
      </c>
      <c r="H4575" s="253">
        <v>592</v>
      </c>
      <c r="I4575" s="254" t="s">
        <v>302</v>
      </c>
      <c r="J4575" s="267" t="s">
        <v>289</v>
      </c>
      <c r="K4575" s="256">
        <v>43475</v>
      </c>
      <c r="W4575" s="324">
        <v>43524</v>
      </c>
      <c r="X4575" s="258">
        <v>43472</v>
      </c>
      <c r="Y4575" s="259" t="s">
        <v>342</v>
      </c>
      <c r="Z4575" s="270">
        <v>18468</v>
      </c>
      <c r="AA4575" s="258">
        <v>43524</v>
      </c>
      <c r="AB4575" s="237"/>
      <c r="AC4575" s="244"/>
      <c r="AD4575" s="244"/>
      <c r="AE4575" s="244"/>
      <c r="AF4575" s="244"/>
      <c r="AG4575" s="251" t="s">
        <v>283</v>
      </c>
      <c r="AH4575" s="251"/>
      <c r="AI4575" s="260"/>
      <c r="AJ4575" s="261">
        <v>43521</v>
      </c>
      <c r="AK4575" s="260">
        <f>5931.5*30.76</f>
        <v>182452.94</v>
      </c>
      <c r="AL4575" s="260">
        <f>(5938-5931.5)*30.76+(5949-5938)*30.76</f>
        <v>538.29999999999995</v>
      </c>
      <c r="AM4575" s="251" t="s">
        <v>49</v>
      </c>
      <c r="AN4575" s="251" t="s">
        <v>284</v>
      </c>
      <c r="AO4575" s="251" t="s">
        <v>50</v>
      </c>
      <c r="AP4575" s="251" t="s">
        <v>51</v>
      </c>
      <c r="AQ4575" s="262"/>
    </row>
    <row r="4576" spans="1:43" ht="15" customHeight="1">
      <c r="A4576" s="69">
        <v>43446</v>
      </c>
      <c r="B4576" s="263" t="s">
        <v>100</v>
      </c>
      <c r="C4576" s="250" t="s">
        <v>333</v>
      </c>
      <c r="D4576" s="250" t="s">
        <v>345</v>
      </c>
      <c r="E4576" s="35" t="s">
        <v>346</v>
      </c>
      <c r="F4576" s="251">
        <v>1</v>
      </c>
      <c r="G4576" s="252">
        <v>1500</v>
      </c>
      <c r="H4576" s="253">
        <v>1500</v>
      </c>
      <c r="I4576" s="254" t="s">
        <v>302</v>
      </c>
      <c r="J4576" s="267" t="s">
        <v>289</v>
      </c>
      <c r="K4576" s="256">
        <v>43475</v>
      </c>
      <c r="W4576" s="324">
        <v>43513</v>
      </c>
      <c r="X4576" s="258">
        <v>43483</v>
      </c>
      <c r="Y4576" s="259" t="s">
        <v>347</v>
      </c>
      <c r="Z4576" s="270">
        <v>40646</v>
      </c>
      <c r="AA4576" s="258">
        <v>43526</v>
      </c>
      <c r="AB4576" s="237"/>
      <c r="AC4576" s="244"/>
      <c r="AD4576" s="244"/>
      <c r="AE4576" s="244"/>
      <c r="AF4576" s="244"/>
      <c r="AG4576" s="251" t="s">
        <v>283</v>
      </c>
      <c r="AH4576" s="251"/>
      <c r="AI4576" s="260"/>
      <c r="AJ4576" s="261">
        <v>43521</v>
      </c>
      <c r="AK4576" s="260"/>
      <c r="AL4576" s="260"/>
      <c r="AM4576" s="251" t="s">
        <v>49</v>
      </c>
      <c r="AN4576" s="251" t="s">
        <v>284</v>
      </c>
      <c r="AO4576" s="251" t="s">
        <v>50</v>
      </c>
      <c r="AP4576" s="251" t="s">
        <v>51</v>
      </c>
      <c r="AQ4576" s="262"/>
    </row>
    <row r="4577" spans="1:43" ht="15" customHeight="1">
      <c r="A4577" s="69">
        <v>43446</v>
      </c>
      <c r="B4577" s="263" t="s">
        <v>100</v>
      </c>
      <c r="C4577" s="250" t="s">
        <v>348</v>
      </c>
      <c r="D4577" s="326" t="s">
        <v>349</v>
      </c>
      <c r="E4577" s="246" t="s">
        <v>350</v>
      </c>
      <c r="F4577" s="251">
        <v>10</v>
      </c>
      <c r="G4577" s="252">
        <v>93</v>
      </c>
      <c r="H4577" s="253">
        <v>930</v>
      </c>
      <c r="I4577" s="254" t="s">
        <v>302</v>
      </c>
      <c r="J4577" s="267" t="s">
        <v>289</v>
      </c>
      <c r="K4577" s="256">
        <v>43475</v>
      </c>
      <c r="W4577" s="324">
        <v>43521</v>
      </c>
      <c r="X4577" s="258">
        <v>43459</v>
      </c>
      <c r="Y4577" s="259" t="s">
        <v>351</v>
      </c>
      <c r="Z4577" s="270">
        <v>94772</v>
      </c>
      <c r="AA4577" s="258">
        <v>43524</v>
      </c>
      <c r="AB4577" s="237"/>
      <c r="AC4577" s="244"/>
      <c r="AD4577" s="244"/>
      <c r="AE4577" s="244"/>
      <c r="AF4577" s="244"/>
      <c r="AG4577" s="251" t="s">
        <v>283</v>
      </c>
      <c r="AH4577" s="251"/>
      <c r="AI4577" s="260"/>
      <c r="AJ4577" s="261">
        <v>43521</v>
      </c>
      <c r="AK4577" s="260"/>
      <c r="AL4577" s="260"/>
      <c r="AM4577" s="251" t="s">
        <v>49</v>
      </c>
      <c r="AN4577" s="251" t="s">
        <v>284</v>
      </c>
      <c r="AO4577" s="251" t="s">
        <v>50</v>
      </c>
      <c r="AP4577" s="251" t="s">
        <v>51</v>
      </c>
      <c r="AQ4577" s="262"/>
    </row>
    <row r="4578" spans="1:43" ht="15" customHeight="1">
      <c r="A4578" s="69">
        <v>43446</v>
      </c>
      <c r="B4578" s="263" t="s">
        <v>100</v>
      </c>
      <c r="C4578" s="250" t="s">
        <v>348</v>
      </c>
      <c r="D4578" s="326" t="s">
        <v>349</v>
      </c>
      <c r="E4578" s="327" t="s">
        <v>352</v>
      </c>
      <c r="F4578" s="251">
        <v>10</v>
      </c>
      <c r="G4578" s="252">
        <v>73</v>
      </c>
      <c r="H4578" s="253">
        <v>730</v>
      </c>
      <c r="I4578" s="254" t="s">
        <v>302</v>
      </c>
      <c r="J4578" s="267" t="s">
        <v>289</v>
      </c>
      <c r="K4578" s="256">
        <v>43475</v>
      </c>
      <c r="W4578" s="324">
        <v>43521</v>
      </c>
      <c r="X4578" s="258">
        <v>43459</v>
      </c>
      <c r="Y4578" s="259" t="s">
        <v>351</v>
      </c>
      <c r="Z4578" s="259"/>
      <c r="AA4578" s="258">
        <v>43524</v>
      </c>
      <c r="AB4578" s="237"/>
      <c r="AC4578" s="244"/>
      <c r="AD4578" s="244"/>
      <c r="AE4578" s="244"/>
      <c r="AF4578" s="244"/>
      <c r="AG4578" s="251" t="s">
        <v>283</v>
      </c>
      <c r="AH4578" s="251"/>
      <c r="AI4578" s="260"/>
      <c r="AJ4578" s="261">
        <v>43521</v>
      </c>
      <c r="AK4578" s="260"/>
      <c r="AL4578" s="260"/>
      <c r="AM4578" s="251" t="s">
        <v>49</v>
      </c>
      <c r="AN4578" s="251" t="s">
        <v>284</v>
      </c>
      <c r="AO4578" s="251" t="s">
        <v>50</v>
      </c>
      <c r="AP4578" s="251" t="s">
        <v>51</v>
      </c>
      <c r="AQ4578" s="262"/>
    </row>
    <row r="4579" spans="1:43" ht="15" customHeight="1">
      <c r="A4579" s="69">
        <v>43446</v>
      </c>
      <c r="B4579" s="263" t="s">
        <v>100</v>
      </c>
      <c r="C4579" s="250" t="s">
        <v>348</v>
      </c>
      <c r="D4579" s="326" t="s">
        <v>349</v>
      </c>
      <c r="E4579" s="246" t="s">
        <v>353</v>
      </c>
      <c r="F4579" s="251">
        <v>10</v>
      </c>
      <c r="G4579" s="252">
        <v>140</v>
      </c>
      <c r="H4579" s="253">
        <v>1400</v>
      </c>
      <c r="I4579" s="254" t="s">
        <v>302</v>
      </c>
      <c r="J4579" s="267" t="s">
        <v>289</v>
      </c>
      <c r="K4579" s="256">
        <v>43475</v>
      </c>
      <c r="W4579" s="324">
        <v>43521</v>
      </c>
      <c r="X4579" s="258">
        <v>43459</v>
      </c>
      <c r="Y4579" s="259" t="s">
        <v>351</v>
      </c>
      <c r="Z4579" s="259"/>
      <c r="AA4579" s="258">
        <v>43524</v>
      </c>
      <c r="AB4579" s="237"/>
      <c r="AC4579" s="244"/>
      <c r="AD4579" s="244"/>
      <c r="AE4579" s="244"/>
      <c r="AF4579" s="244"/>
      <c r="AG4579" s="251" t="s">
        <v>283</v>
      </c>
      <c r="AH4579" s="251"/>
      <c r="AI4579" s="260"/>
      <c r="AJ4579" s="261">
        <v>43521</v>
      </c>
      <c r="AK4579" s="260"/>
      <c r="AL4579" s="260"/>
      <c r="AM4579" s="251" t="s">
        <v>49</v>
      </c>
      <c r="AN4579" s="251" t="s">
        <v>284</v>
      </c>
      <c r="AO4579" s="251" t="s">
        <v>50</v>
      </c>
      <c r="AP4579" s="251" t="s">
        <v>51</v>
      </c>
      <c r="AQ4579" s="262"/>
    </row>
    <row r="4580" spans="1:43" ht="15" customHeight="1">
      <c r="A4580" s="69">
        <v>43446</v>
      </c>
      <c r="B4580" s="263" t="s">
        <v>100</v>
      </c>
      <c r="C4580" s="250" t="s">
        <v>348</v>
      </c>
      <c r="D4580" s="326" t="s">
        <v>349</v>
      </c>
      <c r="E4580" s="246" t="s">
        <v>354</v>
      </c>
      <c r="F4580" s="251">
        <v>10</v>
      </c>
      <c r="G4580" s="252">
        <v>4</v>
      </c>
      <c r="H4580" s="253">
        <v>40</v>
      </c>
      <c r="I4580" s="254" t="s">
        <v>302</v>
      </c>
      <c r="J4580" s="267" t="s">
        <v>289</v>
      </c>
      <c r="K4580" s="256">
        <v>43475</v>
      </c>
      <c r="W4580" s="324">
        <v>43521</v>
      </c>
      <c r="X4580" s="258">
        <v>43459</v>
      </c>
      <c r="Y4580" s="259" t="s">
        <v>351</v>
      </c>
      <c r="Z4580" s="259"/>
      <c r="AA4580" s="258">
        <v>43524</v>
      </c>
      <c r="AB4580" s="237"/>
      <c r="AC4580" s="244"/>
      <c r="AD4580" s="244"/>
      <c r="AE4580" s="244"/>
      <c r="AF4580" s="244"/>
      <c r="AG4580" s="251" t="s">
        <v>283</v>
      </c>
      <c r="AH4580" s="251"/>
      <c r="AI4580" s="260"/>
      <c r="AJ4580" s="261">
        <v>43521</v>
      </c>
      <c r="AK4580" s="260"/>
      <c r="AL4580" s="260"/>
      <c r="AM4580" s="251" t="s">
        <v>49</v>
      </c>
      <c r="AN4580" s="251" t="s">
        <v>284</v>
      </c>
      <c r="AO4580" s="251" t="s">
        <v>50</v>
      </c>
      <c r="AP4580" s="251" t="s">
        <v>51</v>
      </c>
      <c r="AQ4580" s="262"/>
    </row>
    <row r="4581" spans="1:43" ht="15" customHeight="1">
      <c r="A4581" s="69">
        <v>43446</v>
      </c>
      <c r="B4581" s="263" t="s">
        <v>100</v>
      </c>
      <c r="C4581" s="250" t="s">
        <v>348</v>
      </c>
      <c r="D4581" s="326" t="s">
        <v>349</v>
      </c>
      <c r="E4581" s="246" t="s">
        <v>355</v>
      </c>
      <c r="F4581" s="251">
        <v>10</v>
      </c>
      <c r="G4581" s="252">
        <v>2</v>
      </c>
      <c r="H4581" s="253">
        <v>20</v>
      </c>
      <c r="I4581" s="254" t="s">
        <v>302</v>
      </c>
      <c r="J4581" s="267" t="s">
        <v>289</v>
      </c>
      <c r="K4581" s="256">
        <v>43475</v>
      </c>
      <c r="W4581" s="328"/>
      <c r="X4581" s="329"/>
      <c r="Y4581" s="329"/>
      <c r="Z4581" s="329"/>
      <c r="AA4581" s="329"/>
      <c r="AB4581" s="237"/>
      <c r="AC4581" s="244"/>
      <c r="AD4581" s="244"/>
      <c r="AE4581" s="244"/>
      <c r="AF4581" s="244"/>
      <c r="AG4581" s="251" t="s">
        <v>283</v>
      </c>
      <c r="AH4581" s="251"/>
      <c r="AI4581" s="260"/>
      <c r="AJ4581" s="261">
        <v>43521</v>
      </c>
      <c r="AK4581" s="260"/>
      <c r="AL4581" s="260"/>
      <c r="AM4581" s="251" t="s">
        <v>49</v>
      </c>
      <c r="AN4581" s="251" t="s">
        <v>284</v>
      </c>
      <c r="AO4581" s="251" t="s">
        <v>50</v>
      </c>
      <c r="AP4581" s="251" t="s">
        <v>51</v>
      </c>
      <c r="AQ4581" s="262"/>
    </row>
    <row r="4582" spans="1:43" ht="15" customHeight="1">
      <c r="A4582" s="69">
        <v>43446</v>
      </c>
      <c r="B4582" s="263" t="s">
        <v>100</v>
      </c>
      <c r="C4582" s="250" t="s">
        <v>348</v>
      </c>
      <c r="D4582" s="326" t="s">
        <v>349</v>
      </c>
      <c r="E4582" s="246" t="s">
        <v>356</v>
      </c>
      <c r="F4582" s="251">
        <v>10</v>
      </c>
      <c r="G4582" s="252">
        <v>2.5</v>
      </c>
      <c r="H4582" s="253">
        <v>25</v>
      </c>
      <c r="I4582" s="254" t="s">
        <v>302</v>
      </c>
      <c r="J4582" s="267" t="s">
        <v>289</v>
      </c>
      <c r="K4582" s="256">
        <v>43475</v>
      </c>
      <c r="W4582" s="328"/>
      <c r="X4582" s="329"/>
      <c r="Y4582" s="329"/>
      <c r="Z4582" s="329"/>
      <c r="AA4582" s="329"/>
      <c r="AB4582" s="237"/>
      <c r="AC4582" s="244"/>
      <c r="AD4582" s="244"/>
      <c r="AE4582" s="244"/>
      <c r="AF4582" s="244"/>
      <c r="AG4582" s="251" t="s">
        <v>283</v>
      </c>
      <c r="AH4582" s="251"/>
      <c r="AI4582" s="260"/>
      <c r="AJ4582" s="261">
        <v>43521</v>
      </c>
      <c r="AK4582" s="260"/>
      <c r="AL4582" s="260"/>
      <c r="AM4582" s="251" t="s">
        <v>49</v>
      </c>
      <c r="AN4582" s="251" t="s">
        <v>284</v>
      </c>
      <c r="AO4582" s="251" t="s">
        <v>50</v>
      </c>
      <c r="AP4582" s="251" t="s">
        <v>51</v>
      </c>
      <c r="AQ4582" s="262"/>
    </row>
    <row r="4583" spans="1:43" ht="15" customHeight="1">
      <c r="A4583" s="69">
        <v>43446</v>
      </c>
      <c r="B4583" s="263" t="s">
        <v>100</v>
      </c>
      <c r="C4583" s="250" t="s">
        <v>348</v>
      </c>
      <c r="D4583" s="326" t="s">
        <v>349</v>
      </c>
      <c r="E4583" s="246" t="s">
        <v>357</v>
      </c>
      <c r="F4583" s="251">
        <v>10</v>
      </c>
      <c r="G4583" s="252">
        <v>2.6</v>
      </c>
      <c r="H4583" s="330">
        <v>26</v>
      </c>
      <c r="I4583" s="254" t="s">
        <v>302</v>
      </c>
      <c r="J4583" s="267" t="s">
        <v>289</v>
      </c>
      <c r="K4583" s="256">
        <v>43475</v>
      </c>
      <c r="W4583" s="328"/>
      <c r="X4583" s="329"/>
      <c r="Y4583" s="329"/>
      <c r="Z4583" s="329"/>
      <c r="AA4583" s="329"/>
      <c r="AB4583" s="237"/>
      <c r="AC4583" s="244"/>
      <c r="AD4583" s="244"/>
      <c r="AE4583" s="244"/>
      <c r="AF4583" s="244"/>
      <c r="AG4583" s="251" t="s">
        <v>283</v>
      </c>
      <c r="AH4583" s="251"/>
      <c r="AI4583" s="260"/>
      <c r="AJ4583" s="261">
        <v>43521</v>
      </c>
      <c r="AK4583" s="260"/>
      <c r="AL4583" s="260"/>
      <c r="AM4583" s="251" t="s">
        <v>49</v>
      </c>
      <c r="AN4583" s="251" t="s">
        <v>284</v>
      </c>
      <c r="AO4583" s="251" t="s">
        <v>50</v>
      </c>
      <c r="AP4583" s="251" t="s">
        <v>51</v>
      </c>
      <c r="AQ4583" s="262"/>
    </row>
    <row r="4584" spans="1:43" ht="15" customHeight="1">
      <c r="A4584" s="69">
        <v>43446</v>
      </c>
      <c r="B4584" s="263" t="s">
        <v>100</v>
      </c>
      <c r="C4584" s="250" t="s">
        <v>348</v>
      </c>
      <c r="D4584" s="326" t="s">
        <v>349</v>
      </c>
      <c r="E4584" s="246" t="s">
        <v>358</v>
      </c>
      <c r="F4584" s="251">
        <v>10</v>
      </c>
      <c r="G4584" s="252">
        <v>8</v>
      </c>
      <c r="H4584" s="253">
        <v>80</v>
      </c>
      <c r="I4584" s="254" t="s">
        <v>302</v>
      </c>
      <c r="J4584" s="267" t="s">
        <v>289</v>
      </c>
      <c r="K4584" s="256">
        <v>43475</v>
      </c>
      <c r="W4584" s="328"/>
      <c r="X4584" s="329"/>
      <c r="Y4584" s="329"/>
      <c r="Z4584" s="329"/>
      <c r="AA4584" s="329"/>
      <c r="AB4584" s="237"/>
      <c r="AC4584" s="244"/>
      <c r="AD4584" s="244"/>
      <c r="AE4584" s="244"/>
      <c r="AF4584" s="244"/>
      <c r="AG4584" s="251" t="s">
        <v>283</v>
      </c>
      <c r="AH4584" s="251"/>
      <c r="AI4584" s="260"/>
      <c r="AJ4584" s="261">
        <v>43521</v>
      </c>
      <c r="AK4584" s="260"/>
      <c r="AL4584" s="260"/>
      <c r="AM4584" s="251" t="s">
        <v>49</v>
      </c>
      <c r="AN4584" s="251" t="s">
        <v>284</v>
      </c>
      <c r="AO4584" s="251" t="s">
        <v>50</v>
      </c>
      <c r="AP4584" s="251" t="s">
        <v>51</v>
      </c>
      <c r="AQ4584" s="262"/>
    </row>
    <row r="4585" spans="1:43" ht="15" customHeight="1">
      <c r="A4585" s="69">
        <v>43446</v>
      </c>
      <c r="B4585" s="263" t="s">
        <v>76</v>
      </c>
      <c r="C4585" s="250"/>
      <c r="D4585" s="250" t="s">
        <v>359</v>
      </c>
      <c r="E4585" s="246" t="s">
        <v>360</v>
      </c>
      <c r="F4585" s="251">
        <v>1</v>
      </c>
      <c r="G4585" s="252">
        <v>0</v>
      </c>
      <c r="H4585" s="253">
        <v>0</v>
      </c>
      <c r="I4585" s="254" t="s">
        <v>42</v>
      </c>
      <c r="J4585" s="331" t="s">
        <v>315</v>
      </c>
      <c r="K4585" s="256">
        <v>43469</v>
      </c>
      <c r="W4585" s="332"/>
      <c r="X4585" s="329"/>
      <c r="Y4585" s="329"/>
      <c r="Z4585" s="329"/>
      <c r="AA4585" s="329"/>
      <c r="AB4585" s="237"/>
      <c r="AC4585" s="244"/>
      <c r="AD4585" s="244"/>
      <c r="AE4585" s="244"/>
      <c r="AF4585" s="244"/>
      <c r="AG4585" s="251"/>
      <c r="AH4585" s="251"/>
      <c r="AI4585" s="260"/>
      <c r="AJ4585" s="251"/>
      <c r="AK4585" s="260"/>
      <c r="AL4585" s="260"/>
      <c r="AM4585" s="251" t="s">
        <v>49</v>
      </c>
      <c r="AN4585" s="251" t="s">
        <v>284</v>
      </c>
      <c r="AO4585" s="251" t="s">
        <v>50</v>
      </c>
      <c r="AP4585" s="251" t="s">
        <v>51</v>
      </c>
      <c r="AQ4585" s="262"/>
    </row>
    <row r="4586" spans="1:43" ht="15" customHeight="1">
      <c r="A4586" s="69">
        <v>43446</v>
      </c>
      <c r="B4586" s="263" t="s">
        <v>76</v>
      </c>
      <c r="C4586" s="250">
        <v>1314</v>
      </c>
      <c r="D4586" s="250" t="s">
        <v>359</v>
      </c>
      <c r="E4586" s="246" t="s">
        <v>361</v>
      </c>
      <c r="F4586" s="305">
        <v>40</v>
      </c>
      <c r="G4586" s="252">
        <v>20</v>
      </c>
      <c r="H4586" s="253">
        <v>800</v>
      </c>
      <c r="I4586" s="254" t="s">
        <v>42</v>
      </c>
      <c r="J4586" s="331" t="s">
        <v>315</v>
      </c>
      <c r="K4586" s="256">
        <v>43469</v>
      </c>
      <c r="W4586" s="258">
        <v>43460</v>
      </c>
      <c r="X4586" s="269">
        <v>43448</v>
      </c>
      <c r="Y4586" s="259" t="s">
        <v>362</v>
      </c>
      <c r="Z4586" s="270">
        <v>22546</v>
      </c>
      <c r="AA4586" s="258">
        <v>43472</v>
      </c>
      <c r="AB4586" s="237"/>
      <c r="AC4586" s="244"/>
      <c r="AD4586" s="244"/>
      <c r="AE4586" s="244"/>
      <c r="AF4586" s="244"/>
      <c r="AG4586" s="251"/>
      <c r="AH4586" s="251"/>
      <c r="AI4586" s="260"/>
      <c r="AJ4586" s="251"/>
      <c r="AK4586" s="260"/>
      <c r="AL4586" s="260"/>
      <c r="AM4586" s="251" t="s">
        <v>49</v>
      </c>
      <c r="AN4586" s="251" t="s">
        <v>284</v>
      </c>
      <c r="AO4586" s="251" t="s">
        <v>50</v>
      </c>
      <c r="AP4586" s="251" t="s">
        <v>51</v>
      </c>
      <c r="AQ4586" s="262"/>
    </row>
    <row r="4587" spans="1:43" ht="15" customHeight="1">
      <c r="A4587" s="69">
        <v>43446</v>
      </c>
      <c r="B4587" s="263" t="s">
        <v>100</v>
      </c>
      <c r="C4587" s="250" t="s">
        <v>363</v>
      </c>
      <c r="D4587" s="250" t="s">
        <v>364</v>
      </c>
      <c r="E4587" s="246" t="s">
        <v>365</v>
      </c>
      <c r="F4587" s="305">
        <v>22</v>
      </c>
      <c r="G4587" s="252">
        <v>140</v>
      </c>
      <c r="H4587" s="253">
        <v>3080</v>
      </c>
      <c r="I4587" s="254" t="s">
        <v>302</v>
      </c>
      <c r="J4587" s="267" t="s">
        <v>289</v>
      </c>
      <c r="K4587" s="256">
        <v>43482</v>
      </c>
      <c r="W4587" s="324">
        <v>43524</v>
      </c>
      <c r="X4587" s="258">
        <v>43474</v>
      </c>
      <c r="Y4587" s="259" t="s">
        <v>366</v>
      </c>
      <c r="Z4587" s="270">
        <v>78136</v>
      </c>
      <c r="AA4587" s="258">
        <v>43522</v>
      </c>
      <c r="AB4587" s="237"/>
      <c r="AC4587" s="244"/>
      <c r="AD4587" s="244"/>
      <c r="AE4587" s="244"/>
      <c r="AF4587" s="244"/>
      <c r="AG4587" s="251" t="s">
        <v>283</v>
      </c>
      <c r="AH4587" s="251"/>
      <c r="AI4587" s="260"/>
      <c r="AJ4587" s="261">
        <v>43530</v>
      </c>
      <c r="AK4587" s="260"/>
      <c r="AL4587" s="260"/>
      <c r="AM4587" s="251" t="s">
        <v>49</v>
      </c>
      <c r="AN4587" s="251" t="s">
        <v>284</v>
      </c>
      <c r="AO4587" s="251" t="s">
        <v>50</v>
      </c>
      <c r="AP4587" s="251" t="s">
        <v>51</v>
      </c>
      <c r="AQ4587" s="262"/>
    </row>
    <row r="4588" spans="1:43" ht="15" customHeight="1">
      <c r="A4588" s="69">
        <v>43446</v>
      </c>
      <c r="B4588" s="263" t="s">
        <v>100</v>
      </c>
      <c r="C4588" s="250" t="s">
        <v>363</v>
      </c>
      <c r="D4588" s="326" t="s">
        <v>367</v>
      </c>
      <c r="E4588" s="246" t="s">
        <v>368</v>
      </c>
      <c r="F4588" s="305">
        <v>20</v>
      </c>
      <c r="G4588" s="252">
        <v>76</v>
      </c>
      <c r="H4588" s="253">
        <v>1520</v>
      </c>
      <c r="I4588" s="254" t="s">
        <v>302</v>
      </c>
      <c r="J4588" s="267" t="s">
        <v>289</v>
      </c>
      <c r="K4588" s="256">
        <v>43482</v>
      </c>
      <c r="W4588" s="324">
        <v>43120</v>
      </c>
      <c r="X4588" s="258">
        <v>43454</v>
      </c>
      <c r="Y4588" s="259" t="s">
        <v>336</v>
      </c>
      <c r="Z4588" s="259"/>
      <c r="AA4588" s="258">
        <v>43528</v>
      </c>
      <c r="AB4588" s="237"/>
      <c r="AC4588" s="244"/>
      <c r="AD4588" s="244"/>
      <c r="AE4588" s="244"/>
      <c r="AF4588" s="244"/>
      <c r="AG4588" s="251" t="s">
        <v>283</v>
      </c>
      <c r="AH4588" s="251"/>
      <c r="AI4588" s="260"/>
      <c r="AJ4588" s="261">
        <v>43530</v>
      </c>
      <c r="AK4588" s="260"/>
      <c r="AL4588" s="260"/>
      <c r="AM4588" s="251" t="s">
        <v>49</v>
      </c>
      <c r="AN4588" s="251" t="s">
        <v>284</v>
      </c>
      <c r="AO4588" s="251" t="s">
        <v>50</v>
      </c>
      <c r="AP4588" s="251" t="s">
        <v>51</v>
      </c>
      <c r="AQ4588" s="262"/>
    </row>
    <row r="4589" spans="1:43" ht="15" customHeight="1">
      <c r="A4589" s="69">
        <v>43446</v>
      </c>
      <c r="B4589" s="263" t="s">
        <v>100</v>
      </c>
      <c r="C4589" s="250" t="s">
        <v>363</v>
      </c>
      <c r="D4589" s="333" t="s">
        <v>369</v>
      </c>
      <c r="E4589" s="246" t="s">
        <v>370</v>
      </c>
      <c r="F4589" s="251">
        <v>20</v>
      </c>
      <c r="G4589" s="252">
        <v>331</v>
      </c>
      <c r="H4589" s="253">
        <v>6620</v>
      </c>
      <c r="I4589" s="254" t="s">
        <v>302</v>
      </c>
      <c r="J4589" s="267" t="s">
        <v>289</v>
      </c>
      <c r="K4589" s="256">
        <v>43482</v>
      </c>
      <c r="W4589" s="324">
        <v>43524</v>
      </c>
      <c r="X4589" s="258">
        <v>43479</v>
      </c>
      <c r="Y4589" s="259" t="s">
        <v>371</v>
      </c>
      <c r="Z4589" s="270">
        <v>175443</v>
      </c>
      <c r="AA4589" s="258">
        <v>43524</v>
      </c>
      <c r="AB4589" s="237"/>
      <c r="AC4589" s="244"/>
      <c r="AD4589" s="244"/>
      <c r="AE4589" s="244"/>
      <c r="AF4589" s="244"/>
      <c r="AG4589" s="251" t="s">
        <v>283</v>
      </c>
      <c r="AH4589" s="251"/>
      <c r="AI4589" s="260"/>
      <c r="AJ4589" s="261">
        <v>43530</v>
      </c>
      <c r="AK4589" s="260"/>
      <c r="AL4589" s="260"/>
      <c r="AM4589" s="251" t="s">
        <v>49</v>
      </c>
      <c r="AN4589" s="251" t="s">
        <v>284</v>
      </c>
      <c r="AO4589" s="251" t="s">
        <v>50</v>
      </c>
      <c r="AP4589" s="251" t="s">
        <v>51</v>
      </c>
      <c r="AQ4589" s="262"/>
    </row>
    <row r="4590" spans="1:43" ht="15" customHeight="1">
      <c r="A4590" s="69">
        <v>43446</v>
      </c>
      <c r="B4590" s="263" t="s">
        <v>100</v>
      </c>
      <c r="C4590" s="250" t="s">
        <v>363</v>
      </c>
      <c r="D4590" s="326" t="s">
        <v>367</v>
      </c>
      <c r="E4590" s="246" t="s">
        <v>291</v>
      </c>
      <c r="F4590" s="251">
        <v>20</v>
      </c>
      <c r="G4590" s="252">
        <v>9</v>
      </c>
      <c r="H4590" s="253">
        <v>180</v>
      </c>
      <c r="I4590" s="254" t="s">
        <v>302</v>
      </c>
      <c r="J4590" s="267" t="s">
        <v>289</v>
      </c>
      <c r="K4590" s="256">
        <v>43482</v>
      </c>
      <c r="W4590" s="324">
        <v>43524</v>
      </c>
      <c r="X4590" s="258">
        <v>43479</v>
      </c>
      <c r="Y4590" s="259" t="s">
        <v>371</v>
      </c>
      <c r="Z4590" s="259"/>
      <c r="AA4590" s="258">
        <v>43524</v>
      </c>
      <c r="AB4590" s="237"/>
      <c r="AC4590" s="244"/>
      <c r="AD4590" s="244"/>
      <c r="AE4590" s="244"/>
      <c r="AF4590" s="244"/>
      <c r="AG4590" s="251" t="s">
        <v>283</v>
      </c>
      <c r="AH4590" s="251"/>
      <c r="AI4590" s="260"/>
      <c r="AJ4590" s="261">
        <v>43530</v>
      </c>
      <c r="AK4590" s="260"/>
      <c r="AL4590" s="260"/>
      <c r="AM4590" s="251" t="s">
        <v>49</v>
      </c>
      <c r="AN4590" s="251" t="s">
        <v>284</v>
      </c>
      <c r="AO4590" s="251" t="s">
        <v>50</v>
      </c>
      <c r="AP4590" s="251" t="s">
        <v>51</v>
      </c>
      <c r="AQ4590" s="262"/>
    </row>
    <row r="4591" spans="1:43" ht="15" customHeight="1">
      <c r="A4591" s="69">
        <v>43452</v>
      </c>
      <c r="B4591" s="263" t="s">
        <v>372</v>
      </c>
      <c r="C4591" s="250">
        <v>201812170017</v>
      </c>
      <c r="D4591" s="250" t="s">
        <v>373</v>
      </c>
      <c r="E4591" s="246" t="s">
        <v>374</v>
      </c>
      <c r="F4591" s="305">
        <v>40</v>
      </c>
      <c r="G4591" s="252">
        <v>63</v>
      </c>
      <c r="H4591" s="334">
        <v>2520</v>
      </c>
      <c r="I4591" s="254" t="s">
        <v>42</v>
      </c>
      <c r="J4591" s="254" t="s">
        <v>89</v>
      </c>
      <c r="K4591" s="335">
        <v>43469</v>
      </c>
      <c r="W4591" s="324">
        <v>43524</v>
      </c>
      <c r="X4591" s="258">
        <v>43468</v>
      </c>
      <c r="Y4591" s="259" t="s">
        <v>375</v>
      </c>
      <c r="Z4591" s="270">
        <v>72324</v>
      </c>
      <c r="AA4591" s="258">
        <v>43522</v>
      </c>
      <c r="AB4591" s="237"/>
      <c r="AC4591" s="244"/>
      <c r="AD4591" s="244"/>
      <c r="AE4591" s="244"/>
      <c r="AF4591" s="244"/>
      <c r="AG4591" s="251" t="s">
        <v>376</v>
      </c>
      <c r="AH4591" s="251"/>
      <c r="AI4591" s="260"/>
      <c r="AJ4591" s="251"/>
      <c r="AK4591" s="260"/>
      <c r="AL4591" s="260"/>
      <c r="AM4591" s="251" t="s">
        <v>49</v>
      </c>
      <c r="AN4591" s="251" t="s">
        <v>284</v>
      </c>
      <c r="AO4591" s="251" t="s">
        <v>50</v>
      </c>
      <c r="AP4591" s="251" t="s">
        <v>376</v>
      </c>
      <c r="AQ4591" s="262"/>
    </row>
    <row r="4592" spans="1:43" ht="15" customHeight="1">
      <c r="A4592" s="69">
        <v>43452</v>
      </c>
      <c r="B4592" s="144" t="s">
        <v>377</v>
      </c>
      <c r="C4592" s="250">
        <v>8730</v>
      </c>
      <c r="D4592" s="250" t="s">
        <v>378</v>
      </c>
      <c r="E4592" s="23" t="s">
        <v>379</v>
      </c>
      <c r="F4592" s="305">
        <v>187</v>
      </c>
      <c r="G4592" s="336">
        <v>62</v>
      </c>
      <c r="H4592" s="253">
        <v>11594</v>
      </c>
      <c r="I4592" s="254" t="s">
        <v>170</v>
      </c>
      <c r="J4592" s="267" t="s">
        <v>380</v>
      </c>
      <c r="K4592" s="256">
        <v>43514</v>
      </c>
      <c r="W4592" s="258">
        <v>43529</v>
      </c>
      <c r="X4592" s="258">
        <v>43508</v>
      </c>
      <c r="Y4592" s="259" t="s">
        <v>381</v>
      </c>
      <c r="Z4592" s="270">
        <v>266643</v>
      </c>
      <c r="AA4592" s="258">
        <v>43531</v>
      </c>
      <c r="AB4592" s="237"/>
      <c r="AC4592" s="244"/>
      <c r="AD4592" s="244"/>
      <c r="AE4592" s="244"/>
      <c r="AF4592" s="244"/>
      <c r="AG4592" s="251" t="s">
        <v>283</v>
      </c>
      <c r="AH4592" s="251"/>
      <c r="AI4592" s="260"/>
      <c r="AJ4592" s="251"/>
      <c r="AK4592" s="260">
        <f>(11584-6.5)*30.79</f>
        <v>356471.22499999998</v>
      </c>
      <c r="AL4592" s="260">
        <f>6.5*30.79+10*30.79</f>
        <v>508.03499999999997</v>
      </c>
      <c r="AM4592" s="251" t="s">
        <v>49</v>
      </c>
      <c r="AN4592" s="251" t="s">
        <v>284</v>
      </c>
      <c r="AO4592" s="251" t="s">
        <v>285</v>
      </c>
      <c r="AP4592" s="251" t="s">
        <v>51</v>
      </c>
      <c r="AQ4592" s="262"/>
    </row>
    <row r="4593" spans="1:43" ht="15" customHeight="1">
      <c r="A4593" s="69">
        <v>43452</v>
      </c>
      <c r="B4593" s="144" t="s">
        <v>377</v>
      </c>
      <c r="C4593" s="250">
        <v>8730</v>
      </c>
      <c r="D4593" s="250" t="s">
        <v>378</v>
      </c>
      <c r="E4593" s="23" t="s">
        <v>382</v>
      </c>
      <c r="F4593" s="305">
        <v>187</v>
      </c>
      <c r="G4593" s="336">
        <v>0</v>
      </c>
      <c r="H4593" s="253">
        <v>0</v>
      </c>
      <c r="I4593" s="254" t="s">
        <v>170</v>
      </c>
      <c r="J4593" s="267" t="s">
        <v>380</v>
      </c>
      <c r="K4593" s="256">
        <v>43514</v>
      </c>
      <c r="W4593" s="337"/>
      <c r="X4593" s="329"/>
      <c r="Y4593" s="329"/>
      <c r="Z4593" s="329"/>
      <c r="AA4593" s="329"/>
      <c r="AB4593" s="237"/>
      <c r="AC4593" s="244"/>
      <c r="AD4593" s="244"/>
      <c r="AE4593" s="244"/>
      <c r="AF4593" s="244"/>
      <c r="AG4593" s="251" t="s">
        <v>283</v>
      </c>
      <c r="AH4593" s="251"/>
      <c r="AI4593" s="260"/>
      <c r="AJ4593" s="251"/>
      <c r="AK4593" s="260"/>
      <c r="AL4593" s="260"/>
      <c r="AM4593" s="251" t="s">
        <v>49</v>
      </c>
      <c r="AN4593" s="251" t="s">
        <v>284</v>
      </c>
      <c r="AO4593" s="251" t="s">
        <v>285</v>
      </c>
      <c r="AP4593" s="251" t="s">
        <v>51</v>
      </c>
      <c r="AQ4593" s="262"/>
    </row>
    <row r="4594" spans="1:43" ht="15" customHeight="1">
      <c r="A4594" s="19">
        <v>43453</v>
      </c>
      <c r="B4594" s="338" t="s">
        <v>53</v>
      </c>
      <c r="C4594" s="250" t="s">
        <v>383</v>
      </c>
      <c r="D4594" s="308" t="s">
        <v>384</v>
      </c>
      <c r="E4594" s="23" t="s">
        <v>385</v>
      </c>
      <c r="F4594" s="251">
        <v>10</v>
      </c>
      <c r="G4594" s="252">
        <v>150.15</v>
      </c>
      <c r="H4594" s="265">
        <v>1501.5</v>
      </c>
      <c r="I4594" s="264" t="s">
        <v>42</v>
      </c>
      <c r="J4594" s="267" t="s">
        <v>89</v>
      </c>
      <c r="K4594" s="256">
        <v>43479</v>
      </c>
      <c r="W4594" s="324">
        <v>43524</v>
      </c>
      <c r="X4594" s="258">
        <v>43479</v>
      </c>
      <c r="Y4594" s="259" t="s">
        <v>386</v>
      </c>
      <c r="Z4594" s="270">
        <v>41402</v>
      </c>
      <c r="AA4594" s="258">
        <v>43522</v>
      </c>
      <c r="AB4594" s="237"/>
      <c r="AC4594" s="244"/>
      <c r="AD4594" s="244"/>
      <c r="AE4594" s="244"/>
      <c r="AF4594" s="244"/>
      <c r="AG4594" s="251"/>
      <c r="AH4594" s="251"/>
      <c r="AI4594" s="260"/>
      <c r="AJ4594" s="251"/>
      <c r="AK4594" s="260"/>
      <c r="AL4594" s="260"/>
      <c r="AM4594" s="251" t="s">
        <v>49</v>
      </c>
      <c r="AN4594" s="251" t="s">
        <v>284</v>
      </c>
      <c r="AO4594" s="251" t="s">
        <v>50</v>
      </c>
      <c r="AP4594" s="251" t="s">
        <v>376</v>
      </c>
      <c r="AQ4594" s="262"/>
    </row>
    <row r="4595" spans="1:43" ht="15" customHeight="1">
      <c r="A4595" s="19">
        <v>43455</v>
      </c>
      <c r="B4595" s="51" t="s">
        <v>100</v>
      </c>
      <c r="C4595" s="22" t="s">
        <v>387</v>
      </c>
      <c r="D4595" s="339" t="s">
        <v>388</v>
      </c>
      <c r="E4595" s="23" t="s">
        <v>389</v>
      </c>
      <c r="F4595" s="82">
        <v>3</v>
      </c>
      <c r="G4595" s="47">
        <v>620</v>
      </c>
      <c r="H4595" s="26">
        <v>1860</v>
      </c>
      <c r="I4595" s="61" t="s">
        <v>302</v>
      </c>
      <c r="J4595" s="58" t="s">
        <v>289</v>
      </c>
      <c r="K4595" s="30">
        <v>43522</v>
      </c>
      <c r="W4595" s="292">
        <v>43555</v>
      </c>
      <c r="X4595" s="293">
        <v>43519</v>
      </c>
      <c r="Y4595" s="294" t="s">
        <v>390</v>
      </c>
      <c r="Z4595" s="295">
        <v>73747</v>
      </c>
      <c r="AA4595" s="293">
        <v>43557</v>
      </c>
      <c r="AB4595" s="237"/>
      <c r="AC4595" s="244"/>
      <c r="AD4595" s="244"/>
      <c r="AE4595" s="244"/>
      <c r="AF4595" s="244"/>
      <c r="AG4595" s="296"/>
      <c r="AH4595" s="296"/>
      <c r="AI4595" s="297"/>
      <c r="AJ4595" s="298">
        <v>43602</v>
      </c>
      <c r="AK4595" s="297"/>
      <c r="AL4595" s="297"/>
      <c r="AM4595" s="296" t="s">
        <v>49</v>
      </c>
      <c r="AN4595" s="24" t="s">
        <v>284</v>
      </c>
      <c r="AO4595" s="296" t="s">
        <v>50</v>
      </c>
      <c r="AP4595" s="296" t="s">
        <v>51</v>
      </c>
      <c r="AQ4595" s="234" t="s">
        <v>304</v>
      </c>
    </row>
    <row r="4596" spans="1:43" ht="15" customHeight="1">
      <c r="A4596" s="19">
        <v>43455</v>
      </c>
      <c r="B4596" s="51" t="s">
        <v>100</v>
      </c>
      <c r="C4596" s="22" t="s">
        <v>387</v>
      </c>
      <c r="D4596" s="22" t="s">
        <v>391</v>
      </c>
      <c r="E4596" s="23" t="s">
        <v>392</v>
      </c>
      <c r="F4596" s="82">
        <v>3</v>
      </c>
      <c r="G4596" s="47">
        <v>219</v>
      </c>
      <c r="H4596" s="26">
        <v>657</v>
      </c>
      <c r="I4596" s="61" t="s">
        <v>302</v>
      </c>
      <c r="J4596" s="58" t="s">
        <v>289</v>
      </c>
      <c r="K4596" s="30">
        <v>43522</v>
      </c>
      <c r="W4596" s="292">
        <v>43555</v>
      </c>
      <c r="X4596" s="293">
        <v>43519</v>
      </c>
      <c r="Y4596" s="294" t="s">
        <v>390</v>
      </c>
      <c r="Z4596" s="294"/>
      <c r="AA4596" s="293">
        <v>43557</v>
      </c>
      <c r="AB4596" s="237"/>
      <c r="AC4596" s="244"/>
      <c r="AD4596" s="244"/>
      <c r="AE4596" s="244"/>
      <c r="AF4596" s="244"/>
      <c r="AG4596" s="296"/>
      <c r="AH4596" s="296"/>
      <c r="AI4596" s="297"/>
      <c r="AJ4596" s="298">
        <v>43602</v>
      </c>
      <c r="AK4596" s="297"/>
      <c r="AL4596" s="297"/>
      <c r="AM4596" s="296" t="s">
        <v>49</v>
      </c>
      <c r="AN4596" s="24" t="s">
        <v>284</v>
      </c>
      <c r="AO4596" s="296" t="s">
        <v>50</v>
      </c>
      <c r="AP4596" s="296" t="s">
        <v>51</v>
      </c>
      <c r="AQ4596" s="234" t="s">
        <v>304</v>
      </c>
    </row>
    <row r="4597" spans="1:43" ht="15" customHeight="1">
      <c r="A4597" s="19">
        <v>43455</v>
      </c>
      <c r="B4597" s="51" t="s">
        <v>100</v>
      </c>
      <c r="C4597" s="22" t="s">
        <v>387</v>
      </c>
      <c r="D4597" s="22" t="s">
        <v>391</v>
      </c>
      <c r="E4597" s="23" t="s">
        <v>393</v>
      </c>
      <c r="F4597" s="82">
        <v>3</v>
      </c>
      <c r="G4597" s="47">
        <v>85</v>
      </c>
      <c r="H4597" s="47">
        <v>255</v>
      </c>
      <c r="I4597" s="87" t="s">
        <v>302</v>
      </c>
      <c r="J4597" s="31" t="s">
        <v>289</v>
      </c>
      <c r="K4597" s="30">
        <v>43522</v>
      </c>
      <c r="W4597" s="340" t="s">
        <v>394</v>
      </c>
      <c r="X4597" s="340"/>
      <c r="Y4597" s="340"/>
      <c r="Z4597" s="340"/>
      <c r="AA4597" s="340"/>
      <c r="AB4597" s="237"/>
      <c r="AC4597" s="244"/>
      <c r="AD4597" s="244"/>
      <c r="AE4597" s="244"/>
      <c r="AF4597" s="244"/>
      <c r="AG4597" s="296"/>
      <c r="AH4597" s="296"/>
      <c r="AI4597" s="297"/>
      <c r="AJ4597" s="298">
        <v>43602</v>
      </c>
      <c r="AK4597" s="297"/>
      <c r="AL4597" s="297"/>
      <c r="AM4597" s="296" t="s">
        <v>49</v>
      </c>
      <c r="AN4597" s="24" t="s">
        <v>284</v>
      </c>
      <c r="AO4597" s="296" t="s">
        <v>50</v>
      </c>
      <c r="AP4597" s="296" t="s">
        <v>51</v>
      </c>
      <c r="AQ4597" s="234" t="s">
        <v>304</v>
      </c>
    </row>
    <row r="4598" spans="1:43" ht="15" customHeight="1">
      <c r="A4598" s="341">
        <v>43455</v>
      </c>
      <c r="B4598" s="342" t="s">
        <v>100</v>
      </c>
      <c r="C4598" s="343" t="s">
        <v>387</v>
      </c>
      <c r="D4598" s="343" t="s">
        <v>395</v>
      </c>
      <c r="E4598" s="23" t="s">
        <v>392</v>
      </c>
      <c r="F4598" s="344">
        <v>3</v>
      </c>
      <c r="G4598" s="345">
        <v>219</v>
      </c>
      <c r="H4598" s="26">
        <v>657</v>
      </c>
      <c r="I4598" s="346" t="s">
        <v>302</v>
      </c>
      <c r="J4598" s="347" t="s">
        <v>289</v>
      </c>
      <c r="K4598" s="30">
        <v>43563</v>
      </c>
      <c r="W4598" s="348">
        <v>43616</v>
      </c>
      <c r="X4598" s="349">
        <v>43557</v>
      </c>
      <c r="Y4598" s="350" t="s">
        <v>396</v>
      </c>
      <c r="Z4598" s="350"/>
      <c r="AA4598" s="303">
        <v>43616</v>
      </c>
      <c r="AB4598" s="237"/>
      <c r="AC4598" s="244"/>
      <c r="AD4598" s="244"/>
      <c r="AE4598" s="244"/>
      <c r="AF4598" s="244"/>
      <c r="AG4598" s="24"/>
      <c r="AH4598" s="24">
        <v>30.77</v>
      </c>
      <c r="AI4598" s="55">
        <f>H4598*AH4598</f>
        <v>20215.89</v>
      </c>
      <c r="AJ4598" s="56">
        <v>43565</v>
      </c>
      <c r="AK4598" s="38">
        <f>11409.5*30.78</f>
        <v>351184.41000000003</v>
      </c>
      <c r="AL4598" s="38">
        <f>(11426-11409.5)*30.78</f>
        <v>507.87</v>
      </c>
      <c r="AM4598" s="24" t="s">
        <v>49</v>
      </c>
      <c r="AN4598" s="24" t="s">
        <v>284</v>
      </c>
      <c r="AO4598" s="24" t="s">
        <v>50</v>
      </c>
      <c r="AP4598" s="54" t="s">
        <v>51</v>
      </c>
      <c r="AQ4598" s="57" t="s">
        <v>397</v>
      </c>
    </row>
    <row r="4599" spans="1:43" ht="15" customHeight="1">
      <c r="A4599" s="341">
        <v>43455</v>
      </c>
      <c r="B4599" s="342" t="s">
        <v>100</v>
      </c>
      <c r="C4599" s="343" t="s">
        <v>387</v>
      </c>
      <c r="D4599" s="351" t="s">
        <v>395</v>
      </c>
      <c r="E4599" s="23" t="s">
        <v>398</v>
      </c>
      <c r="F4599" s="344">
        <v>3</v>
      </c>
      <c r="G4599" s="345">
        <v>620</v>
      </c>
      <c r="H4599" s="26">
        <v>1860</v>
      </c>
      <c r="I4599" s="346" t="s">
        <v>302</v>
      </c>
      <c r="J4599" s="347" t="s">
        <v>289</v>
      </c>
      <c r="K4599" s="30">
        <v>43563</v>
      </c>
      <c r="W4599" s="352">
        <v>43616</v>
      </c>
      <c r="X4599" s="349">
        <v>43557</v>
      </c>
      <c r="Y4599" s="350" t="s">
        <v>396</v>
      </c>
      <c r="Z4599" s="350">
        <v>73747</v>
      </c>
      <c r="AA4599" s="303">
        <v>43616</v>
      </c>
      <c r="AB4599" s="237"/>
      <c r="AC4599" s="244"/>
      <c r="AD4599" s="244"/>
      <c r="AE4599" s="244"/>
      <c r="AF4599" s="244"/>
      <c r="AG4599" s="24"/>
      <c r="AH4599" s="24">
        <v>30.77</v>
      </c>
      <c r="AI4599" s="55">
        <f>H4599*AH4599</f>
        <v>57232.2</v>
      </c>
      <c r="AJ4599" s="56">
        <v>43565</v>
      </c>
      <c r="AK4599" s="38"/>
      <c r="AL4599" s="38"/>
      <c r="AM4599" s="24" t="s">
        <v>49</v>
      </c>
      <c r="AN4599" s="24" t="s">
        <v>284</v>
      </c>
      <c r="AO4599" s="24" t="s">
        <v>50</v>
      </c>
      <c r="AP4599" s="54" t="s">
        <v>51</v>
      </c>
      <c r="AQ4599" s="57" t="s">
        <v>397</v>
      </c>
    </row>
    <row r="4600" spans="1:43" ht="15" customHeight="1">
      <c r="A4600" s="341">
        <v>43455</v>
      </c>
      <c r="B4600" s="342" t="s">
        <v>100</v>
      </c>
      <c r="C4600" s="343" t="s">
        <v>387</v>
      </c>
      <c r="D4600" s="343" t="s">
        <v>395</v>
      </c>
      <c r="E4600" s="23" t="s">
        <v>393</v>
      </c>
      <c r="F4600" s="344">
        <v>3</v>
      </c>
      <c r="G4600" s="345">
        <v>85</v>
      </c>
      <c r="H4600" s="26">
        <v>255</v>
      </c>
      <c r="I4600" s="346" t="s">
        <v>302</v>
      </c>
      <c r="J4600" s="347" t="s">
        <v>289</v>
      </c>
      <c r="K4600" s="30">
        <v>43563</v>
      </c>
      <c r="W4600" s="353"/>
      <c r="X4600" s="46"/>
      <c r="Y4600" s="37"/>
      <c r="Z4600" s="354"/>
      <c r="AA4600" s="37"/>
      <c r="AB4600" s="237"/>
      <c r="AC4600" s="244"/>
      <c r="AD4600" s="244"/>
      <c r="AE4600" s="244"/>
      <c r="AF4600" s="244"/>
      <c r="AG4600" s="24"/>
      <c r="AH4600" s="24">
        <v>30.77</v>
      </c>
      <c r="AI4600" s="55">
        <f>H4600*AH4600</f>
        <v>7846.3499999999995</v>
      </c>
      <c r="AJ4600" s="56">
        <v>43565</v>
      </c>
      <c r="AK4600" s="38"/>
      <c r="AL4600" s="38"/>
      <c r="AM4600" s="24" t="s">
        <v>49</v>
      </c>
      <c r="AN4600" s="24" t="s">
        <v>284</v>
      </c>
      <c r="AO4600" s="24" t="s">
        <v>50</v>
      </c>
      <c r="AP4600" s="24" t="s">
        <v>51</v>
      </c>
      <c r="AQ4600" s="40" t="s">
        <v>397</v>
      </c>
    </row>
    <row r="4601" spans="1:43" ht="15" customHeight="1">
      <c r="A4601" s="110">
        <v>43458</v>
      </c>
      <c r="B4601" s="355" t="s">
        <v>399</v>
      </c>
      <c r="C4601" s="356" t="s">
        <v>400</v>
      </c>
      <c r="D4601" s="356" t="s">
        <v>401</v>
      </c>
      <c r="E4601" s="23" t="s">
        <v>402</v>
      </c>
      <c r="F4601" s="357">
        <v>5</v>
      </c>
      <c r="G4601" s="355">
        <v>231</v>
      </c>
      <c r="H4601" s="253">
        <v>1155</v>
      </c>
      <c r="I4601" s="264" t="s">
        <v>302</v>
      </c>
      <c r="J4601" s="267" t="s">
        <v>403</v>
      </c>
      <c r="K4601" s="256">
        <v>43482</v>
      </c>
      <c r="W4601" s="324">
        <v>43524</v>
      </c>
      <c r="X4601" s="258">
        <v>43479</v>
      </c>
      <c r="Y4601" s="259" t="s">
        <v>404</v>
      </c>
      <c r="Z4601" s="270">
        <v>27493</v>
      </c>
      <c r="AA4601" s="258">
        <v>43522</v>
      </c>
      <c r="AB4601" s="237"/>
      <c r="AC4601" s="244"/>
      <c r="AD4601" s="244"/>
      <c r="AE4601" s="244"/>
      <c r="AF4601" s="244"/>
      <c r="AG4601" s="251" t="s">
        <v>283</v>
      </c>
      <c r="AH4601" s="251"/>
      <c r="AI4601" s="260"/>
      <c r="AJ4601" s="251"/>
      <c r="AK4601" s="260"/>
      <c r="AL4601" s="260"/>
      <c r="AM4601" s="251" t="s">
        <v>49</v>
      </c>
      <c r="AN4601" s="251" t="s">
        <v>284</v>
      </c>
      <c r="AO4601" s="251" t="s">
        <v>50</v>
      </c>
      <c r="AP4601" s="251" t="s">
        <v>51</v>
      </c>
      <c r="AQ4601" s="262"/>
    </row>
    <row r="4602" spans="1:43" ht="15" customHeight="1">
      <c r="A4602" s="110">
        <v>43458</v>
      </c>
      <c r="B4602" s="358" t="s">
        <v>405</v>
      </c>
      <c r="C4602" s="358">
        <v>7000143878</v>
      </c>
      <c r="D4602" s="358" t="s">
        <v>406</v>
      </c>
      <c r="E4602" s="23" t="s">
        <v>407</v>
      </c>
      <c r="F4602" s="359">
        <v>1</v>
      </c>
      <c r="G4602" s="360">
        <v>54</v>
      </c>
      <c r="H4602" s="253">
        <v>54</v>
      </c>
      <c r="I4602" s="254" t="s">
        <v>42</v>
      </c>
      <c r="J4602" s="254" t="s">
        <v>408</v>
      </c>
      <c r="K4602" s="256">
        <v>43472</v>
      </c>
      <c r="W4602" s="258">
        <v>43524</v>
      </c>
      <c r="X4602" s="258">
        <v>43468</v>
      </c>
      <c r="Y4602" s="259" t="s">
        <v>409</v>
      </c>
      <c r="Z4602" s="270">
        <v>1491</v>
      </c>
      <c r="AA4602" s="258">
        <v>43523</v>
      </c>
      <c r="AB4602" s="237"/>
      <c r="AC4602" s="244"/>
      <c r="AD4602" s="244"/>
      <c r="AE4602" s="244"/>
      <c r="AF4602" s="244"/>
      <c r="AG4602" s="251" t="s">
        <v>283</v>
      </c>
      <c r="AH4602" s="251"/>
      <c r="AI4602" s="260"/>
      <c r="AJ4602" s="251"/>
      <c r="AK4602" s="260"/>
      <c r="AL4602" s="260"/>
      <c r="AM4602" s="251" t="s">
        <v>49</v>
      </c>
      <c r="AN4602" s="251" t="s">
        <v>284</v>
      </c>
      <c r="AO4602" s="251" t="s">
        <v>50</v>
      </c>
      <c r="AP4602" s="251" t="s">
        <v>51</v>
      </c>
      <c r="AQ4602" s="262"/>
    </row>
    <row r="4603" spans="1:43" ht="15" customHeight="1">
      <c r="A4603" s="110">
        <v>43458</v>
      </c>
      <c r="B4603" s="358" t="s">
        <v>118</v>
      </c>
      <c r="C4603" s="358" t="s">
        <v>410</v>
      </c>
      <c r="D4603" s="358" t="s">
        <v>411</v>
      </c>
      <c r="E4603" s="23" t="s">
        <v>160</v>
      </c>
      <c r="F4603" s="361">
        <v>4</v>
      </c>
      <c r="G4603" s="360">
        <v>485</v>
      </c>
      <c r="H4603" s="362">
        <v>1940</v>
      </c>
      <c r="I4603" s="254" t="s">
        <v>170</v>
      </c>
      <c r="J4603" s="254" t="s">
        <v>121</v>
      </c>
      <c r="K4603" s="256">
        <v>43494</v>
      </c>
      <c r="W4603" s="324">
        <v>43555</v>
      </c>
      <c r="X4603" s="258">
        <v>43493</v>
      </c>
      <c r="Y4603" s="259" t="s">
        <v>412</v>
      </c>
      <c r="Z4603" s="270">
        <v>985443</v>
      </c>
      <c r="AA4603" s="258">
        <v>43532</v>
      </c>
      <c r="AB4603" s="237"/>
      <c r="AC4603" s="244"/>
      <c r="AD4603" s="244"/>
      <c r="AE4603" s="244"/>
      <c r="AF4603" s="244"/>
      <c r="AG4603" s="251" t="s">
        <v>283</v>
      </c>
      <c r="AH4603" s="251"/>
      <c r="AI4603" s="260"/>
      <c r="AJ4603" s="305"/>
      <c r="AK4603" s="260"/>
      <c r="AL4603" s="260"/>
      <c r="AM4603" s="251" t="s">
        <v>49</v>
      </c>
      <c r="AN4603" s="251" t="s">
        <v>284</v>
      </c>
      <c r="AO4603" s="251" t="s">
        <v>50</v>
      </c>
      <c r="AP4603" s="251" t="s">
        <v>51</v>
      </c>
      <c r="AQ4603" s="262"/>
    </row>
    <row r="4604" spans="1:43" ht="15" customHeight="1">
      <c r="A4604" s="110">
        <v>43458</v>
      </c>
      <c r="B4604" s="358" t="s">
        <v>118</v>
      </c>
      <c r="C4604" s="358" t="s">
        <v>410</v>
      </c>
      <c r="D4604" s="358" t="s">
        <v>411</v>
      </c>
      <c r="E4604" s="23" t="s">
        <v>161</v>
      </c>
      <c r="F4604" s="363">
        <v>15</v>
      </c>
      <c r="G4604" s="364">
        <v>738</v>
      </c>
      <c r="H4604" s="362">
        <v>11070</v>
      </c>
      <c r="I4604" s="254" t="s">
        <v>170</v>
      </c>
      <c r="J4604" s="254" t="s">
        <v>121</v>
      </c>
      <c r="K4604" s="256">
        <v>43494</v>
      </c>
      <c r="W4604" s="324">
        <v>43555</v>
      </c>
      <c r="X4604" s="258">
        <v>43493</v>
      </c>
      <c r="Y4604" s="259" t="s">
        <v>412</v>
      </c>
      <c r="Z4604" s="270"/>
      <c r="AA4604" s="258">
        <v>43532</v>
      </c>
      <c r="AB4604" s="237"/>
      <c r="AC4604" s="244"/>
      <c r="AD4604" s="244"/>
      <c r="AE4604" s="244"/>
      <c r="AF4604" s="244"/>
      <c r="AG4604" s="251" t="s">
        <v>283</v>
      </c>
      <c r="AH4604" s="251"/>
      <c r="AI4604" s="260"/>
      <c r="AJ4604" s="305"/>
      <c r="AK4604" s="260"/>
      <c r="AL4604" s="260"/>
      <c r="AM4604" s="251" t="s">
        <v>49</v>
      </c>
      <c r="AN4604" s="251" t="s">
        <v>284</v>
      </c>
      <c r="AO4604" s="251" t="s">
        <v>50</v>
      </c>
      <c r="AP4604" s="251" t="s">
        <v>51</v>
      </c>
      <c r="AQ4604" s="262"/>
    </row>
    <row r="4605" spans="1:43" ht="15" customHeight="1">
      <c r="A4605" s="69">
        <v>43458</v>
      </c>
      <c r="B4605" s="358" t="s">
        <v>118</v>
      </c>
      <c r="C4605" s="358" t="s">
        <v>410</v>
      </c>
      <c r="D4605" s="358" t="s">
        <v>411</v>
      </c>
      <c r="E4605" s="23" t="s">
        <v>120</v>
      </c>
      <c r="F4605" s="359">
        <v>50</v>
      </c>
      <c r="G4605" s="365">
        <v>359</v>
      </c>
      <c r="H4605" s="362">
        <v>17950</v>
      </c>
      <c r="I4605" s="264" t="s">
        <v>170</v>
      </c>
      <c r="J4605" s="254" t="s">
        <v>121</v>
      </c>
      <c r="K4605" s="256">
        <v>43494</v>
      </c>
      <c r="W4605" s="324">
        <v>43555</v>
      </c>
      <c r="X4605" s="258">
        <v>43493</v>
      </c>
      <c r="Y4605" s="259" t="s">
        <v>412</v>
      </c>
      <c r="Z4605" s="270"/>
      <c r="AA4605" s="258">
        <v>43532</v>
      </c>
      <c r="AB4605" s="237"/>
      <c r="AC4605" s="244"/>
      <c r="AD4605" s="244"/>
      <c r="AE4605" s="244"/>
      <c r="AF4605" s="244"/>
      <c r="AG4605" s="251" t="s">
        <v>283</v>
      </c>
      <c r="AH4605" s="251"/>
      <c r="AI4605" s="260"/>
      <c r="AJ4605" s="305"/>
      <c r="AK4605" s="260"/>
      <c r="AL4605" s="260"/>
      <c r="AM4605" s="251" t="s">
        <v>49</v>
      </c>
      <c r="AN4605" s="251" t="s">
        <v>284</v>
      </c>
      <c r="AO4605" s="251" t="s">
        <v>50</v>
      </c>
      <c r="AP4605" s="251" t="s">
        <v>51</v>
      </c>
      <c r="AQ4605" s="262"/>
    </row>
    <row r="4606" spans="1:43" ht="15" customHeight="1">
      <c r="A4606" s="69">
        <v>43458</v>
      </c>
      <c r="B4606" s="366" t="s">
        <v>118</v>
      </c>
      <c r="C4606" s="366" t="s">
        <v>410</v>
      </c>
      <c r="D4606" s="366" t="s">
        <v>411</v>
      </c>
      <c r="E4606" s="23" t="s">
        <v>413</v>
      </c>
      <c r="F4606" s="359">
        <v>4</v>
      </c>
      <c r="G4606" s="365">
        <v>118</v>
      </c>
      <c r="H4606" s="362">
        <v>472</v>
      </c>
      <c r="I4606" s="254" t="s">
        <v>170</v>
      </c>
      <c r="J4606" s="254" t="s">
        <v>121</v>
      </c>
      <c r="K4606" s="256">
        <v>43494</v>
      </c>
      <c r="W4606" s="324">
        <v>43555</v>
      </c>
      <c r="X4606" s="258">
        <v>43493</v>
      </c>
      <c r="Y4606" s="259" t="s">
        <v>412</v>
      </c>
      <c r="Z4606" s="270"/>
      <c r="AA4606" s="258">
        <v>43532</v>
      </c>
      <c r="AB4606" s="237"/>
      <c r="AC4606" s="244"/>
      <c r="AD4606" s="244"/>
      <c r="AE4606" s="244"/>
      <c r="AF4606" s="244"/>
      <c r="AG4606" s="251" t="s">
        <v>283</v>
      </c>
      <c r="AH4606" s="251"/>
      <c r="AI4606" s="260"/>
      <c r="AJ4606" s="305"/>
      <c r="AK4606" s="260"/>
      <c r="AL4606" s="260"/>
      <c r="AM4606" s="251" t="s">
        <v>49</v>
      </c>
      <c r="AN4606" s="251" t="s">
        <v>284</v>
      </c>
      <c r="AO4606" s="251" t="s">
        <v>50</v>
      </c>
      <c r="AP4606" s="251" t="s">
        <v>51</v>
      </c>
      <c r="AQ4606" s="262"/>
    </row>
    <row r="4607" spans="1:43" ht="15" customHeight="1">
      <c r="A4607" s="69">
        <v>43458</v>
      </c>
      <c r="B4607" s="263" t="s">
        <v>118</v>
      </c>
      <c r="C4607" s="250" t="s">
        <v>410</v>
      </c>
      <c r="D4607" s="250" t="s">
        <v>411</v>
      </c>
      <c r="E4607" s="23" t="s">
        <v>414</v>
      </c>
      <c r="F4607" s="251">
        <v>8</v>
      </c>
      <c r="G4607" s="252">
        <v>335</v>
      </c>
      <c r="H4607" s="362">
        <v>2680</v>
      </c>
      <c r="I4607" s="254" t="s">
        <v>170</v>
      </c>
      <c r="J4607" s="254" t="s">
        <v>121</v>
      </c>
      <c r="K4607" s="256">
        <v>43494</v>
      </c>
      <c r="W4607" s="324">
        <v>43555</v>
      </c>
      <c r="X4607" s="258">
        <v>43493</v>
      </c>
      <c r="Y4607" s="259" t="s">
        <v>412</v>
      </c>
      <c r="Z4607" s="270"/>
      <c r="AA4607" s="258">
        <v>43532</v>
      </c>
      <c r="AB4607" s="237"/>
      <c r="AC4607" s="244"/>
      <c r="AD4607" s="244"/>
      <c r="AE4607" s="244"/>
      <c r="AF4607" s="244"/>
      <c r="AG4607" s="251" t="s">
        <v>283</v>
      </c>
      <c r="AH4607" s="251"/>
      <c r="AI4607" s="260"/>
      <c r="AJ4607" s="305"/>
      <c r="AK4607" s="260"/>
      <c r="AL4607" s="260"/>
      <c r="AM4607" s="251" t="s">
        <v>49</v>
      </c>
      <c r="AN4607" s="251" t="s">
        <v>284</v>
      </c>
      <c r="AO4607" s="251" t="s">
        <v>50</v>
      </c>
      <c r="AP4607" s="251" t="s">
        <v>51</v>
      </c>
      <c r="AQ4607" s="262"/>
    </row>
    <row r="4608" spans="1:43" ht="15" customHeight="1">
      <c r="A4608" s="69">
        <v>43458</v>
      </c>
      <c r="B4608" s="263" t="s">
        <v>415</v>
      </c>
      <c r="C4608" s="250" t="s">
        <v>416</v>
      </c>
      <c r="D4608" s="250" t="s">
        <v>417</v>
      </c>
      <c r="E4608" s="23" t="s">
        <v>418</v>
      </c>
      <c r="F4608" s="251">
        <v>4</v>
      </c>
      <c r="G4608" s="252">
        <v>55</v>
      </c>
      <c r="H4608" s="253">
        <v>220</v>
      </c>
      <c r="I4608" s="254" t="s">
        <v>419</v>
      </c>
      <c r="J4608" s="255" t="s">
        <v>420</v>
      </c>
      <c r="K4608" s="256">
        <v>43489</v>
      </c>
      <c r="W4608" s="259" t="s">
        <v>421</v>
      </c>
      <c r="X4608" s="258">
        <v>43486</v>
      </c>
      <c r="Y4608" s="259" t="s">
        <v>422</v>
      </c>
      <c r="Z4608" s="270">
        <v>5040</v>
      </c>
      <c r="AA4608" s="258">
        <v>43494</v>
      </c>
      <c r="AB4608" s="237"/>
      <c r="AC4608" s="244"/>
      <c r="AD4608" s="244"/>
      <c r="AE4608" s="244"/>
      <c r="AF4608" s="244"/>
      <c r="AG4608" s="251" t="s">
        <v>283</v>
      </c>
      <c r="AH4608" s="251"/>
      <c r="AI4608" s="260"/>
      <c r="AJ4608" s="251"/>
      <c r="AK4608" s="260"/>
      <c r="AL4608" s="260"/>
      <c r="AM4608" s="251" t="s">
        <v>49</v>
      </c>
      <c r="AN4608" s="251" t="s">
        <v>284</v>
      </c>
      <c r="AO4608" s="251" t="s">
        <v>50</v>
      </c>
      <c r="AP4608" s="251" t="s">
        <v>51</v>
      </c>
      <c r="AQ4608" s="262"/>
    </row>
    <row r="4609" spans="1:43" ht="15" customHeight="1">
      <c r="A4609" s="69">
        <v>43458</v>
      </c>
      <c r="B4609" s="263" t="s">
        <v>415</v>
      </c>
      <c r="C4609" s="250" t="s">
        <v>416</v>
      </c>
      <c r="D4609" s="250" t="s">
        <v>417</v>
      </c>
      <c r="E4609" s="23" t="s">
        <v>423</v>
      </c>
      <c r="F4609" s="251">
        <v>4</v>
      </c>
      <c r="G4609" s="252">
        <v>352</v>
      </c>
      <c r="H4609" s="253">
        <v>1408</v>
      </c>
      <c r="I4609" s="254" t="s">
        <v>419</v>
      </c>
      <c r="J4609" s="255" t="s">
        <v>420</v>
      </c>
      <c r="K4609" s="256">
        <v>43489</v>
      </c>
      <c r="W4609" s="269">
        <v>43524</v>
      </c>
      <c r="X4609" s="269">
        <v>43480</v>
      </c>
      <c r="Y4609" s="259" t="s">
        <v>424</v>
      </c>
      <c r="Z4609" s="270">
        <v>42672</v>
      </c>
      <c r="AA4609" s="258">
        <v>43523</v>
      </c>
      <c r="AB4609" s="237"/>
      <c r="AC4609" s="244"/>
      <c r="AD4609" s="244"/>
      <c r="AE4609" s="244"/>
      <c r="AF4609" s="244"/>
      <c r="AG4609" s="251" t="s">
        <v>283</v>
      </c>
      <c r="AH4609" s="251"/>
      <c r="AI4609" s="260"/>
      <c r="AJ4609" s="251"/>
      <c r="AK4609" s="260"/>
      <c r="AL4609" s="260"/>
      <c r="AM4609" s="251" t="s">
        <v>49</v>
      </c>
      <c r="AN4609" s="251" t="s">
        <v>284</v>
      </c>
      <c r="AO4609" s="251" t="s">
        <v>50</v>
      </c>
      <c r="AP4609" s="251" t="s">
        <v>51</v>
      </c>
      <c r="AQ4609" s="262"/>
    </row>
    <row r="4610" spans="1:43" ht="15" customHeight="1">
      <c r="A4610" s="69">
        <v>43458</v>
      </c>
      <c r="B4610" s="263" t="s">
        <v>415</v>
      </c>
      <c r="C4610" s="250" t="s">
        <v>416</v>
      </c>
      <c r="D4610" s="250" t="s">
        <v>417</v>
      </c>
      <c r="E4610" s="23" t="s">
        <v>425</v>
      </c>
      <c r="F4610" s="251">
        <v>1</v>
      </c>
      <c r="G4610" s="252">
        <v>264</v>
      </c>
      <c r="H4610" s="253">
        <v>264</v>
      </c>
      <c r="I4610" s="254" t="s">
        <v>419</v>
      </c>
      <c r="J4610" s="255" t="s">
        <v>420</v>
      </c>
      <c r="K4610" s="256">
        <v>43489</v>
      </c>
      <c r="W4610" s="258">
        <v>43524</v>
      </c>
      <c r="X4610" s="258">
        <v>43474</v>
      </c>
      <c r="Y4610" s="259" t="s">
        <v>426</v>
      </c>
      <c r="Z4610" s="270">
        <v>7362</v>
      </c>
      <c r="AA4610" s="258">
        <v>43522</v>
      </c>
      <c r="AB4610" s="237"/>
      <c r="AC4610" s="244"/>
      <c r="AD4610" s="244"/>
      <c r="AE4610" s="244"/>
      <c r="AF4610" s="244"/>
      <c r="AG4610" s="251" t="s">
        <v>283</v>
      </c>
      <c r="AH4610" s="251"/>
      <c r="AI4610" s="260"/>
      <c r="AJ4610" s="251"/>
      <c r="AK4610" s="260"/>
      <c r="AL4610" s="260"/>
      <c r="AM4610" s="251" t="s">
        <v>49</v>
      </c>
      <c r="AN4610" s="251" t="s">
        <v>284</v>
      </c>
      <c r="AO4610" s="251" t="s">
        <v>50</v>
      </c>
      <c r="AP4610" s="251" t="s">
        <v>51</v>
      </c>
      <c r="AQ4610" s="262"/>
    </row>
    <row r="4611" spans="1:43" ht="15" customHeight="1">
      <c r="A4611" s="69">
        <v>43467</v>
      </c>
      <c r="B4611" s="70" t="s">
        <v>76</v>
      </c>
      <c r="C4611" s="290">
        <v>1</v>
      </c>
      <c r="D4611" s="290" t="s">
        <v>427</v>
      </c>
      <c r="E4611" s="23" t="s">
        <v>428</v>
      </c>
      <c r="F4611" s="54">
        <v>1</v>
      </c>
      <c r="G4611" s="48">
        <v>133</v>
      </c>
      <c r="H4611" s="26">
        <v>133</v>
      </c>
      <c r="I4611" s="346" t="s">
        <v>42</v>
      </c>
      <c r="J4611" s="291" t="s">
        <v>315</v>
      </c>
      <c r="K4611" s="29">
        <v>43531</v>
      </c>
      <c r="W4611" s="293">
        <v>43585</v>
      </c>
      <c r="X4611" s="293">
        <v>43528</v>
      </c>
      <c r="Y4611" s="294" t="s">
        <v>429</v>
      </c>
      <c r="Z4611" s="295">
        <v>3776</v>
      </c>
      <c r="AA4611" s="293">
        <v>43557</v>
      </c>
      <c r="AB4611" s="237"/>
      <c r="AC4611" s="244"/>
      <c r="AD4611" s="244"/>
      <c r="AE4611" s="244"/>
      <c r="AF4611" s="244"/>
      <c r="AG4611" s="54"/>
      <c r="AH4611" s="54"/>
      <c r="AI4611" s="55"/>
      <c r="AJ4611" s="54"/>
      <c r="AK4611" s="55"/>
      <c r="AL4611" s="55"/>
      <c r="AM4611" s="54" t="s">
        <v>49</v>
      </c>
      <c r="AN4611" s="24" t="s">
        <v>284</v>
      </c>
      <c r="AO4611" s="54" t="s">
        <v>50</v>
      </c>
      <c r="AP4611" s="54" t="s">
        <v>51</v>
      </c>
      <c r="AQ4611" s="57" t="s">
        <v>397</v>
      </c>
    </row>
    <row r="4612" spans="1:43" ht="15" customHeight="1">
      <c r="A4612" s="19">
        <v>43469</v>
      </c>
      <c r="B4612" s="318" t="s">
        <v>325</v>
      </c>
      <c r="C4612" s="250">
        <v>2026895</v>
      </c>
      <c r="D4612" s="308" t="s">
        <v>430</v>
      </c>
      <c r="E4612" s="23" t="s">
        <v>52</v>
      </c>
      <c r="F4612" s="251">
        <v>10</v>
      </c>
      <c r="G4612" s="252">
        <v>31</v>
      </c>
      <c r="H4612" s="253">
        <v>310</v>
      </c>
      <c r="I4612" s="264" t="s">
        <v>42</v>
      </c>
      <c r="J4612" s="367" t="s">
        <v>328</v>
      </c>
      <c r="K4612" s="256">
        <v>43496</v>
      </c>
      <c r="W4612" s="258">
        <v>43555</v>
      </c>
      <c r="X4612" s="368">
        <v>43494</v>
      </c>
      <c r="Y4612" s="259" t="s">
        <v>431</v>
      </c>
      <c r="Z4612" s="270"/>
      <c r="AA4612" s="258">
        <v>43557</v>
      </c>
      <c r="AB4612" s="237"/>
      <c r="AC4612" s="244"/>
      <c r="AD4612" s="244"/>
      <c r="AE4612" s="244"/>
      <c r="AF4612" s="244"/>
      <c r="AG4612" s="251" t="s">
        <v>283</v>
      </c>
      <c r="AH4612" s="251"/>
      <c r="AI4612" s="260"/>
      <c r="AJ4612" s="251"/>
      <c r="AK4612" s="260"/>
      <c r="AL4612" s="260"/>
      <c r="AM4612" s="251" t="s">
        <v>49</v>
      </c>
      <c r="AN4612" s="251" t="s">
        <v>284</v>
      </c>
      <c r="AO4612" s="251" t="s">
        <v>50</v>
      </c>
      <c r="AP4612" s="251" t="s">
        <v>51</v>
      </c>
      <c r="AQ4612" s="262"/>
    </row>
    <row r="4613" spans="1:43" ht="15" customHeight="1">
      <c r="A4613" s="19">
        <v>43469</v>
      </c>
      <c r="B4613" s="318" t="s">
        <v>325</v>
      </c>
      <c r="C4613" s="263">
        <v>2026895</v>
      </c>
      <c r="D4613" s="318" t="s">
        <v>430</v>
      </c>
      <c r="E4613" s="23" t="s">
        <v>58</v>
      </c>
      <c r="F4613" s="251">
        <v>10</v>
      </c>
      <c r="G4613" s="252">
        <v>4</v>
      </c>
      <c r="H4613" s="253">
        <v>40</v>
      </c>
      <c r="I4613" s="264" t="s">
        <v>42</v>
      </c>
      <c r="J4613" s="367" t="s">
        <v>328</v>
      </c>
      <c r="K4613" s="256">
        <v>43496</v>
      </c>
      <c r="W4613" s="258">
        <v>43555</v>
      </c>
      <c r="X4613" s="368">
        <v>43494</v>
      </c>
      <c r="Y4613" s="259" t="s">
        <v>431</v>
      </c>
      <c r="Z4613" s="270"/>
      <c r="AA4613" s="258">
        <v>43557</v>
      </c>
      <c r="AB4613" s="237"/>
      <c r="AC4613" s="244"/>
      <c r="AD4613" s="244"/>
      <c r="AE4613" s="244"/>
      <c r="AF4613" s="244"/>
      <c r="AG4613" s="251" t="s">
        <v>283</v>
      </c>
      <c r="AH4613" s="251"/>
      <c r="AI4613" s="260"/>
      <c r="AJ4613" s="251"/>
      <c r="AK4613" s="260"/>
      <c r="AL4613" s="260"/>
      <c r="AM4613" s="251" t="s">
        <v>49</v>
      </c>
      <c r="AN4613" s="251" t="s">
        <v>284</v>
      </c>
      <c r="AO4613" s="251" t="s">
        <v>50</v>
      </c>
      <c r="AP4613" s="251" t="s">
        <v>51</v>
      </c>
      <c r="AQ4613" s="262"/>
    </row>
    <row r="4614" spans="1:43" ht="15" customHeight="1">
      <c r="A4614" s="19">
        <v>43469</v>
      </c>
      <c r="B4614" s="318" t="s">
        <v>325</v>
      </c>
      <c r="C4614" s="263">
        <v>2026895</v>
      </c>
      <c r="D4614" s="318" t="s">
        <v>432</v>
      </c>
      <c r="E4614" s="23" t="s">
        <v>41</v>
      </c>
      <c r="F4614" s="251">
        <v>10</v>
      </c>
      <c r="G4614" s="252">
        <v>273</v>
      </c>
      <c r="H4614" s="253">
        <v>2730</v>
      </c>
      <c r="I4614" s="264" t="s">
        <v>42</v>
      </c>
      <c r="J4614" s="367" t="s">
        <v>328</v>
      </c>
      <c r="K4614" s="256">
        <v>43496</v>
      </c>
      <c r="W4614" s="258">
        <v>43514</v>
      </c>
      <c r="X4614" s="269">
        <v>43481</v>
      </c>
      <c r="Y4614" s="259" t="s">
        <v>433</v>
      </c>
      <c r="Z4614" s="270">
        <v>67311</v>
      </c>
      <c r="AA4614" s="258">
        <v>43523</v>
      </c>
      <c r="AB4614" s="237"/>
      <c r="AC4614" s="244"/>
      <c r="AD4614" s="244"/>
      <c r="AE4614" s="244"/>
      <c r="AF4614" s="244"/>
      <c r="AG4614" s="251" t="s">
        <v>283</v>
      </c>
      <c r="AH4614" s="251"/>
      <c r="AI4614" s="260"/>
      <c r="AJ4614" s="251"/>
      <c r="AK4614" s="260"/>
      <c r="AL4614" s="260"/>
      <c r="AM4614" s="251" t="s">
        <v>49</v>
      </c>
      <c r="AN4614" s="251" t="s">
        <v>284</v>
      </c>
      <c r="AO4614" s="251" t="s">
        <v>50</v>
      </c>
      <c r="AP4614" s="251" t="s">
        <v>51</v>
      </c>
      <c r="AQ4614" s="262"/>
    </row>
    <row r="4615" spans="1:43" ht="15" customHeight="1">
      <c r="A4615" s="19">
        <v>43469</v>
      </c>
      <c r="B4615" s="318" t="s">
        <v>325</v>
      </c>
      <c r="C4615" s="263">
        <v>2026895</v>
      </c>
      <c r="D4615" s="318" t="s">
        <v>434</v>
      </c>
      <c r="E4615" s="23" t="s">
        <v>60</v>
      </c>
      <c r="F4615" s="251">
        <v>10</v>
      </c>
      <c r="G4615" s="252">
        <v>567</v>
      </c>
      <c r="H4615" s="253">
        <v>5670</v>
      </c>
      <c r="I4615" s="264" t="s">
        <v>42</v>
      </c>
      <c r="J4615" s="367" t="s">
        <v>328</v>
      </c>
      <c r="K4615" s="256">
        <v>43496</v>
      </c>
      <c r="W4615" s="258">
        <v>43555</v>
      </c>
      <c r="X4615" s="368">
        <v>43494</v>
      </c>
      <c r="Y4615" s="259" t="s">
        <v>431</v>
      </c>
      <c r="Z4615" s="270">
        <v>172763</v>
      </c>
      <c r="AA4615" s="258">
        <v>43557</v>
      </c>
      <c r="AB4615" s="237"/>
      <c r="AC4615" s="244"/>
      <c r="AD4615" s="244"/>
      <c r="AE4615" s="244"/>
      <c r="AF4615" s="244"/>
      <c r="AG4615" s="251" t="s">
        <v>283</v>
      </c>
      <c r="AH4615" s="251"/>
      <c r="AI4615" s="260"/>
      <c r="AJ4615" s="251"/>
      <c r="AK4615" s="260"/>
      <c r="AL4615" s="260"/>
      <c r="AM4615" s="251" t="s">
        <v>49</v>
      </c>
      <c r="AN4615" s="251" t="s">
        <v>284</v>
      </c>
      <c r="AO4615" s="251" t="s">
        <v>50</v>
      </c>
      <c r="AP4615" s="251" t="s">
        <v>51</v>
      </c>
      <c r="AQ4615" s="262"/>
    </row>
    <row r="4616" spans="1:43" ht="15" customHeight="1">
      <c r="A4616" s="19">
        <v>43472</v>
      </c>
      <c r="B4616" s="144" t="s">
        <v>100</v>
      </c>
      <c r="C4616" s="21"/>
      <c r="D4616" s="21" t="s">
        <v>435</v>
      </c>
      <c r="E4616" s="23" t="s">
        <v>436</v>
      </c>
      <c r="F4616" s="296">
        <v>1</v>
      </c>
      <c r="G4616" s="48">
        <v>92</v>
      </c>
      <c r="H4616" s="26">
        <v>92</v>
      </c>
      <c r="I4616" s="49" t="s">
        <v>302</v>
      </c>
      <c r="J4616" s="347" t="s">
        <v>437</v>
      </c>
      <c r="K4616" s="30">
        <v>43539</v>
      </c>
      <c r="W4616" s="293">
        <v>43547</v>
      </c>
      <c r="X4616" s="293">
        <v>43517</v>
      </c>
      <c r="Y4616" s="294" t="s">
        <v>438</v>
      </c>
      <c r="Z4616" s="295">
        <v>1165</v>
      </c>
      <c r="AA4616" s="293">
        <v>43558</v>
      </c>
      <c r="AB4616" s="237"/>
      <c r="AC4616" s="244"/>
      <c r="AD4616" s="244"/>
      <c r="AE4616" s="244"/>
      <c r="AF4616" s="244"/>
      <c r="AG4616" s="369"/>
      <c r="AH4616" s="369">
        <v>30.79</v>
      </c>
      <c r="AI4616" s="370"/>
      <c r="AJ4616" s="371">
        <v>43636</v>
      </c>
      <c r="AK4616" s="370"/>
      <c r="AL4616" s="370"/>
      <c r="AM4616" s="369" t="s">
        <v>49</v>
      </c>
      <c r="AN4616" s="369" t="s">
        <v>284</v>
      </c>
      <c r="AO4616" s="369" t="s">
        <v>285</v>
      </c>
      <c r="AP4616" s="369" t="s">
        <v>51</v>
      </c>
      <c r="AQ4616" s="372" t="s">
        <v>439</v>
      </c>
    </row>
    <row r="4617" spans="1:43" ht="15" customHeight="1">
      <c r="A4617" s="19">
        <v>43472</v>
      </c>
      <c r="B4617" s="144" t="s">
        <v>100</v>
      </c>
      <c r="C4617" s="21"/>
      <c r="D4617" s="21" t="s">
        <v>435</v>
      </c>
      <c r="E4617" s="23" t="s">
        <v>440</v>
      </c>
      <c r="F4617" s="296">
        <v>1</v>
      </c>
      <c r="G4617" s="25">
        <v>1357</v>
      </c>
      <c r="H4617" s="26">
        <v>1357</v>
      </c>
      <c r="I4617" s="49" t="s">
        <v>302</v>
      </c>
      <c r="J4617" s="347" t="s">
        <v>437</v>
      </c>
      <c r="K4617" s="30">
        <v>43539</v>
      </c>
      <c r="W4617" s="294"/>
      <c r="X4617" s="294"/>
      <c r="Y4617" s="294"/>
      <c r="Z4617" s="295"/>
      <c r="AA4617" s="294"/>
      <c r="AB4617" s="237"/>
      <c r="AC4617" s="244"/>
      <c r="AD4617" s="244"/>
      <c r="AE4617" s="244"/>
      <c r="AF4617" s="244"/>
      <c r="AG4617" s="369"/>
      <c r="AH4617" s="369">
        <v>30.79</v>
      </c>
      <c r="AI4617" s="370"/>
      <c r="AJ4617" s="371">
        <v>43636</v>
      </c>
      <c r="AK4617" s="370"/>
      <c r="AL4617" s="370"/>
      <c r="AM4617" s="369" t="s">
        <v>49</v>
      </c>
      <c r="AN4617" s="369" t="s">
        <v>284</v>
      </c>
      <c r="AO4617" s="369" t="s">
        <v>285</v>
      </c>
      <c r="AP4617" s="369" t="s">
        <v>51</v>
      </c>
      <c r="AQ4617" s="372" t="s">
        <v>439</v>
      </c>
    </row>
    <row r="4618" spans="1:43" ht="15" customHeight="1">
      <c r="A4618" s="19">
        <v>43472</v>
      </c>
      <c r="B4618" s="144" t="s">
        <v>100</v>
      </c>
      <c r="C4618" s="21"/>
      <c r="D4618" s="21" t="s">
        <v>435</v>
      </c>
      <c r="E4618" s="23" t="s">
        <v>441</v>
      </c>
      <c r="F4618" s="296">
        <v>1</v>
      </c>
      <c r="G4618" s="25">
        <v>38</v>
      </c>
      <c r="H4618" s="26">
        <v>38</v>
      </c>
      <c r="I4618" s="49" t="s">
        <v>302</v>
      </c>
      <c r="J4618" s="347" t="s">
        <v>437</v>
      </c>
      <c r="K4618" s="30">
        <v>43539</v>
      </c>
      <c r="W4618" s="294"/>
      <c r="X4618" s="294"/>
      <c r="Y4618" s="294"/>
      <c r="Z4618" s="295"/>
      <c r="AA4618" s="294"/>
      <c r="AB4618" s="237"/>
      <c r="AC4618" s="244"/>
      <c r="AD4618" s="244"/>
      <c r="AE4618" s="244"/>
      <c r="AF4618" s="244"/>
      <c r="AG4618" s="369"/>
      <c r="AH4618" s="369">
        <v>30.79</v>
      </c>
      <c r="AI4618" s="370"/>
      <c r="AJ4618" s="371">
        <v>43636</v>
      </c>
      <c r="AK4618" s="370"/>
      <c r="AL4618" s="370"/>
      <c r="AM4618" s="369" t="s">
        <v>49</v>
      </c>
      <c r="AN4618" s="369" t="s">
        <v>284</v>
      </c>
      <c r="AO4618" s="369" t="s">
        <v>285</v>
      </c>
      <c r="AP4618" s="369" t="s">
        <v>51</v>
      </c>
      <c r="AQ4618" s="372" t="s">
        <v>439</v>
      </c>
    </row>
    <row r="4619" spans="1:43" ht="15" customHeight="1">
      <c r="A4619" s="19">
        <v>43472</v>
      </c>
      <c r="B4619" s="144" t="s">
        <v>100</v>
      </c>
      <c r="C4619" s="21"/>
      <c r="D4619" s="21" t="s">
        <v>435</v>
      </c>
      <c r="E4619" s="23" t="s">
        <v>442</v>
      </c>
      <c r="F4619" s="296">
        <v>1</v>
      </c>
      <c r="G4619" s="25">
        <v>85</v>
      </c>
      <c r="H4619" s="26">
        <v>85</v>
      </c>
      <c r="I4619" s="49" t="s">
        <v>302</v>
      </c>
      <c r="J4619" s="347" t="s">
        <v>437</v>
      </c>
      <c r="K4619" s="30">
        <v>43539</v>
      </c>
      <c r="W4619" s="294"/>
      <c r="X4619" s="294"/>
      <c r="Y4619" s="294"/>
      <c r="Z4619" s="295"/>
      <c r="AA4619" s="294"/>
      <c r="AB4619" s="237"/>
      <c r="AC4619" s="244"/>
      <c r="AD4619" s="244"/>
      <c r="AE4619" s="244"/>
      <c r="AF4619" s="244"/>
      <c r="AG4619" s="369"/>
      <c r="AH4619" s="369">
        <v>30.79</v>
      </c>
      <c r="AI4619" s="370"/>
      <c r="AJ4619" s="371">
        <v>43636</v>
      </c>
      <c r="AK4619" s="370"/>
      <c r="AL4619" s="370"/>
      <c r="AM4619" s="369" t="s">
        <v>49</v>
      </c>
      <c r="AN4619" s="369" t="s">
        <v>284</v>
      </c>
      <c r="AO4619" s="369" t="s">
        <v>285</v>
      </c>
      <c r="AP4619" s="369" t="s">
        <v>51</v>
      </c>
      <c r="AQ4619" s="372" t="s">
        <v>439</v>
      </c>
    </row>
    <row r="4620" spans="1:43" ht="15" customHeight="1">
      <c r="A4620" s="19">
        <v>43472</v>
      </c>
      <c r="B4620" s="144" t="s">
        <v>100</v>
      </c>
      <c r="C4620" s="21"/>
      <c r="D4620" s="21" t="s">
        <v>435</v>
      </c>
      <c r="E4620" s="23" t="s">
        <v>443</v>
      </c>
      <c r="F4620" s="296">
        <v>1</v>
      </c>
      <c r="G4620" s="25">
        <v>140</v>
      </c>
      <c r="H4620" s="26">
        <v>140</v>
      </c>
      <c r="I4620" s="49" t="s">
        <v>302</v>
      </c>
      <c r="J4620" s="347" t="s">
        <v>437</v>
      </c>
      <c r="K4620" s="30">
        <v>43539</v>
      </c>
      <c r="W4620" s="294"/>
      <c r="X4620" s="294"/>
      <c r="Y4620" s="294"/>
      <c r="Z4620" s="295"/>
      <c r="AA4620" s="294"/>
      <c r="AB4620" s="237"/>
      <c r="AC4620" s="244"/>
      <c r="AD4620" s="244"/>
      <c r="AE4620" s="244"/>
      <c r="AF4620" s="244"/>
      <c r="AG4620" s="369"/>
      <c r="AH4620" s="369">
        <v>30.79</v>
      </c>
      <c r="AI4620" s="370"/>
      <c r="AJ4620" s="371">
        <v>43636</v>
      </c>
      <c r="AK4620" s="370"/>
      <c r="AL4620" s="370"/>
      <c r="AM4620" s="369" t="s">
        <v>49</v>
      </c>
      <c r="AN4620" s="369" t="s">
        <v>284</v>
      </c>
      <c r="AO4620" s="369" t="s">
        <v>285</v>
      </c>
      <c r="AP4620" s="369" t="s">
        <v>51</v>
      </c>
      <c r="AQ4620" s="372" t="s">
        <v>439</v>
      </c>
    </row>
    <row r="4621" spans="1:43" ht="15" customHeight="1">
      <c r="A4621" s="19">
        <v>43472</v>
      </c>
      <c r="B4621" s="144" t="s">
        <v>100</v>
      </c>
      <c r="C4621" s="70"/>
      <c r="D4621" s="70" t="s">
        <v>435</v>
      </c>
      <c r="E4621" s="23" t="s">
        <v>444</v>
      </c>
      <c r="F4621" s="373">
        <v>1</v>
      </c>
      <c r="G4621" s="25">
        <v>10</v>
      </c>
      <c r="H4621" s="26">
        <v>10</v>
      </c>
      <c r="I4621" s="49" t="s">
        <v>302</v>
      </c>
      <c r="J4621" s="161" t="s">
        <v>437</v>
      </c>
      <c r="K4621" s="30">
        <v>43539</v>
      </c>
      <c r="W4621" s="294"/>
      <c r="X4621" s="294"/>
      <c r="Y4621" s="294"/>
      <c r="Z4621" s="295"/>
      <c r="AA4621" s="294"/>
      <c r="AB4621" s="237"/>
      <c r="AC4621" s="244"/>
      <c r="AD4621" s="244"/>
      <c r="AE4621" s="244"/>
      <c r="AF4621" s="244"/>
      <c r="AG4621" s="369"/>
      <c r="AH4621" s="369"/>
      <c r="AI4621" s="370"/>
      <c r="AJ4621" s="371">
        <v>43636</v>
      </c>
      <c r="AK4621" s="370"/>
      <c r="AL4621" s="370"/>
      <c r="AM4621" s="369" t="s">
        <v>49</v>
      </c>
      <c r="AN4621" s="369" t="s">
        <v>284</v>
      </c>
      <c r="AO4621" s="369" t="s">
        <v>285</v>
      </c>
      <c r="AP4621" s="369" t="s">
        <v>51</v>
      </c>
      <c r="AQ4621" s="372" t="s">
        <v>439</v>
      </c>
    </row>
    <row r="4622" spans="1:43" ht="15" customHeight="1">
      <c r="A4622" s="374">
        <v>43472</v>
      </c>
      <c r="B4622" s="273" t="s">
        <v>100</v>
      </c>
      <c r="C4622" s="375"/>
      <c r="D4622" s="375" t="s">
        <v>445</v>
      </c>
      <c r="E4622" s="376" t="s">
        <v>446</v>
      </c>
      <c r="F4622" s="377">
        <v>1</v>
      </c>
      <c r="G4622" s="378">
        <v>0</v>
      </c>
      <c r="H4622" s="379">
        <v>0</v>
      </c>
      <c r="I4622" s="380" t="s">
        <v>302</v>
      </c>
      <c r="J4622" s="381" t="s">
        <v>437</v>
      </c>
      <c r="K4622" s="382">
        <v>43539</v>
      </c>
      <c r="W4622" s="195"/>
      <c r="X4622" s="199"/>
      <c r="Y4622" s="199"/>
      <c r="Z4622" s="383"/>
      <c r="AA4622" s="199"/>
      <c r="AB4622" s="237"/>
      <c r="AC4622" s="244"/>
      <c r="AD4622" s="244"/>
      <c r="AE4622" s="244"/>
      <c r="AF4622" s="244"/>
      <c r="AG4622" s="200"/>
      <c r="AH4622" s="200"/>
      <c r="AI4622" s="201"/>
      <c r="AJ4622" s="200"/>
      <c r="AK4622" s="201"/>
      <c r="AL4622" s="201"/>
      <c r="AM4622" s="200" t="s">
        <v>49</v>
      </c>
      <c r="AN4622" s="200" t="s">
        <v>284</v>
      </c>
      <c r="AO4622" s="200" t="s">
        <v>285</v>
      </c>
      <c r="AP4622" s="200" t="s">
        <v>51</v>
      </c>
      <c r="AQ4622" s="203"/>
    </row>
    <row r="4623" spans="1:43" ht="15" customHeight="1">
      <c r="A4623" s="19">
        <v>43472</v>
      </c>
      <c r="B4623" s="144" t="s">
        <v>100</v>
      </c>
      <c r="C4623" s="70"/>
      <c r="D4623" s="70" t="s">
        <v>447</v>
      </c>
      <c r="E4623" s="23" t="s">
        <v>448</v>
      </c>
      <c r="F4623" s="373">
        <v>2</v>
      </c>
      <c r="G4623" s="143">
        <v>892</v>
      </c>
      <c r="H4623" s="26">
        <v>1784</v>
      </c>
      <c r="I4623" s="49" t="s">
        <v>302</v>
      </c>
      <c r="J4623" s="161" t="s">
        <v>437</v>
      </c>
      <c r="K4623" s="30">
        <v>43522</v>
      </c>
      <c r="W4623" s="52"/>
      <c r="X4623" s="53"/>
      <c r="Y4623" s="53"/>
      <c r="Z4623" s="384"/>
      <c r="AA4623" s="53"/>
      <c r="AB4623" s="237"/>
      <c r="AC4623" s="244"/>
      <c r="AD4623" s="244"/>
      <c r="AE4623" s="244"/>
      <c r="AF4623" s="244"/>
      <c r="AG4623" s="54"/>
      <c r="AH4623" s="54">
        <v>30.8</v>
      </c>
      <c r="AI4623" s="55"/>
      <c r="AJ4623" s="56">
        <v>43565</v>
      </c>
      <c r="AK4623" s="38"/>
      <c r="AL4623" s="38"/>
      <c r="AM4623" s="54" t="s">
        <v>49</v>
      </c>
      <c r="AN4623" s="24" t="s">
        <v>284</v>
      </c>
      <c r="AO4623" s="54" t="s">
        <v>285</v>
      </c>
      <c r="AP4623" s="54" t="s">
        <v>51</v>
      </c>
      <c r="AQ4623" s="57" t="s">
        <v>397</v>
      </c>
    </row>
    <row r="4624" spans="1:43" ht="15" customHeight="1">
      <c r="A4624" s="19">
        <v>43472</v>
      </c>
      <c r="B4624" s="144" t="s">
        <v>100</v>
      </c>
      <c r="C4624" s="70"/>
      <c r="D4624" s="70" t="s">
        <v>447</v>
      </c>
      <c r="E4624" s="23" t="s">
        <v>441</v>
      </c>
      <c r="F4624" s="373">
        <v>2</v>
      </c>
      <c r="G4624" s="143">
        <v>38</v>
      </c>
      <c r="H4624" s="26">
        <v>76</v>
      </c>
      <c r="I4624" s="49" t="s">
        <v>302</v>
      </c>
      <c r="J4624" s="161" t="s">
        <v>437</v>
      </c>
      <c r="K4624" s="30">
        <v>43522</v>
      </c>
      <c r="W4624" s="52"/>
      <c r="X4624" s="53"/>
      <c r="Y4624" s="53"/>
      <c r="Z4624" s="384"/>
      <c r="AA4624" s="53"/>
      <c r="AB4624" s="237"/>
      <c r="AC4624" s="244"/>
      <c r="AD4624" s="244"/>
      <c r="AE4624" s="244"/>
      <c r="AF4624" s="244"/>
      <c r="AG4624" s="54"/>
      <c r="AH4624" s="54">
        <v>30.8</v>
      </c>
      <c r="AI4624" s="55"/>
      <c r="AJ4624" s="56">
        <v>43565</v>
      </c>
      <c r="AK4624" s="38"/>
      <c r="AL4624" s="38"/>
      <c r="AM4624" s="54" t="s">
        <v>49</v>
      </c>
      <c r="AN4624" s="24" t="s">
        <v>284</v>
      </c>
      <c r="AO4624" s="54" t="s">
        <v>285</v>
      </c>
      <c r="AP4624" s="54" t="s">
        <v>51</v>
      </c>
      <c r="AQ4624" s="57" t="s">
        <v>397</v>
      </c>
    </row>
    <row r="4625" spans="1:43" ht="15" customHeight="1">
      <c r="A4625" s="19">
        <v>43472</v>
      </c>
      <c r="B4625" s="144" t="s">
        <v>100</v>
      </c>
      <c r="C4625" s="70"/>
      <c r="D4625" s="70" t="s">
        <v>447</v>
      </c>
      <c r="E4625" s="23" t="s">
        <v>449</v>
      </c>
      <c r="F4625" s="373">
        <v>2</v>
      </c>
      <c r="G4625" s="143">
        <v>79</v>
      </c>
      <c r="H4625" s="26">
        <v>158</v>
      </c>
      <c r="I4625" s="49" t="s">
        <v>302</v>
      </c>
      <c r="J4625" s="161" t="s">
        <v>437</v>
      </c>
      <c r="K4625" s="30">
        <v>43522</v>
      </c>
      <c r="W4625" s="52"/>
      <c r="X4625" s="53"/>
      <c r="Y4625" s="53"/>
      <c r="Z4625" s="384"/>
      <c r="AA4625" s="53"/>
      <c r="AB4625" s="237"/>
      <c r="AC4625" s="244"/>
      <c r="AD4625" s="244"/>
      <c r="AE4625" s="244"/>
      <c r="AF4625" s="244"/>
      <c r="AG4625" s="54"/>
      <c r="AH4625" s="54">
        <v>30.8</v>
      </c>
      <c r="AI4625" s="55"/>
      <c r="AJ4625" s="56">
        <v>43565</v>
      </c>
      <c r="AK4625" s="38"/>
      <c r="AL4625" s="38"/>
      <c r="AM4625" s="54" t="s">
        <v>49</v>
      </c>
      <c r="AN4625" s="24" t="s">
        <v>284</v>
      </c>
      <c r="AO4625" s="54" t="s">
        <v>285</v>
      </c>
      <c r="AP4625" s="54" t="s">
        <v>51</v>
      </c>
      <c r="AQ4625" s="57" t="s">
        <v>397</v>
      </c>
    </row>
    <row r="4626" spans="1:43" ht="15" customHeight="1">
      <c r="A4626" s="19">
        <v>43472</v>
      </c>
      <c r="B4626" s="144" t="s">
        <v>100</v>
      </c>
      <c r="C4626" s="70"/>
      <c r="D4626" s="70" t="s">
        <v>447</v>
      </c>
      <c r="E4626" s="23" t="s">
        <v>443</v>
      </c>
      <c r="F4626" s="373">
        <v>2</v>
      </c>
      <c r="G4626" s="143">
        <v>140</v>
      </c>
      <c r="H4626" s="26">
        <v>280</v>
      </c>
      <c r="I4626" s="49" t="s">
        <v>302</v>
      </c>
      <c r="J4626" s="161" t="s">
        <v>437</v>
      </c>
      <c r="K4626" s="30">
        <v>43522</v>
      </c>
      <c r="W4626" s="52"/>
      <c r="X4626" s="53"/>
      <c r="Y4626" s="53"/>
      <c r="Z4626" s="384"/>
      <c r="AA4626" s="53"/>
      <c r="AB4626" s="237"/>
      <c r="AC4626" s="244"/>
      <c r="AD4626" s="244"/>
      <c r="AE4626" s="244"/>
      <c r="AF4626" s="244"/>
      <c r="AG4626" s="54"/>
      <c r="AH4626" s="54">
        <v>30.8</v>
      </c>
      <c r="AI4626" s="55"/>
      <c r="AJ4626" s="56">
        <v>43565</v>
      </c>
      <c r="AK4626" s="38"/>
      <c r="AL4626" s="38"/>
      <c r="AM4626" s="54" t="s">
        <v>49</v>
      </c>
      <c r="AN4626" s="24" t="s">
        <v>284</v>
      </c>
      <c r="AO4626" s="54" t="s">
        <v>285</v>
      </c>
      <c r="AP4626" s="54" t="s">
        <v>51</v>
      </c>
      <c r="AQ4626" s="57" t="s">
        <v>397</v>
      </c>
    </row>
    <row r="4627" spans="1:43" ht="15" customHeight="1">
      <c r="A4627" s="19">
        <v>43472</v>
      </c>
      <c r="B4627" s="144" t="s">
        <v>100</v>
      </c>
      <c r="C4627" s="70"/>
      <c r="D4627" s="70" t="s">
        <v>447</v>
      </c>
      <c r="E4627" s="23" t="s">
        <v>436</v>
      </c>
      <c r="F4627" s="373">
        <v>2</v>
      </c>
      <c r="G4627" s="143">
        <v>92</v>
      </c>
      <c r="H4627" s="26">
        <v>184</v>
      </c>
      <c r="I4627" s="49" t="s">
        <v>302</v>
      </c>
      <c r="J4627" s="161" t="s">
        <v>437</v>
      </c>
      <c r="K4627" s="30">
        <v>43522</v>
      </c>
      <c r="W4627" s="52"/>
      <c r="X4627" s="53"/>
      <c r="Y4627" s="53"/>
      <c r="Z4627" s="384"/>
      <c r="AA4627" s="53"/>
      <c r="AB4627" s="237"/>
      <c r="AC4627" s="244"/>
      <c r="AD4627" s="244"/>
      <c r="AE4627" s="244"/>
      <c r="AF4627" s="244"/>
      <c r="AG4627" s="54"/>
      <c r="AH4627" s="54">
        <v>30.8</v>
      </c>
      <c r="AI4627" s="55"/>
      <c r="AJ4627" s="56">
        <v>43565</v>
      </c>
      <c r="AK4627" s="38"/>
      <c r="AL4627" s="38"/>
      <c r="AM4627" s="54" t="s">
        <v>49</v>
      </c>
      <c r="AN4627" s="24" t="s">
        <v>284</v>
      </c>
      <c r="AO4627" s="54" t="s">
        <v>285</v>
      </c>
      <c r="AP4627" s="54" t="s">
        <v>51</v>
      </c>
      <c r="AQ4627" s="57" t="s">
        <v>397</v>
      </c>
    </row>
    <row r="4628" spans="1:43" ht="15" customHeight="1">
      <c r="A4628" s="19">
        <v>43472</v>
      </c>
      <c r="B4628" s="144" t="s">
        <v>100</v>
      </c>
      <c r="C4628" s="70"/>
      <c r="D4628" s="70" t="s">
        <v>447</v>
      </c>
      <c r="E4628" s="23" t="s">
        <v>444</v>
      </c>
      <c r="F4628" s="373">
        <v>2</v>
      </c>
      <c r="G4628" s="385">
        <v>10</v>
      </c>
      <c r="H4628" s="26">
        <v>20</v>
      </c>
      <c r="I4628" s="49" t="s">
        <v>302</v>
      </c>
      <c r="J4628" s="161" t="s">
        <v>437</v>
      </c>
      <c r="K4628" s="30">
        <v>43522</v>
      </c>
      <c r="W4628" s="52"/>
      <c r="X4628" s="53"/>
      <c r="Y4628" s="53"/>
      <c r="Z4628" s="384"/>
      <c r="AA4628" s="53"/>
      <c r="AB4628" s="237"/>
      <c r="AC4628" s="244"/>
      <c r="AD4628" s="244"/>
      <c r="AE4628" s="244"/>
      <c r="AF4628" s="244"/>
      <c r="AG4628" s="54"/>
      <c r="AH4628" s="54">
        <v>30.8</v>
      </c>
      <c r="AI4628" s="55"/>
      <c r="AJ4628" s="56">
        <v>43565</v>
      </c>
      <c r="AK4628" s="38"/>
      <c r="AL4628" s="38"/>
      <c r="AM4628" s="54" t="s">
        <v>49</v>
      </c>
      <c r="AN4628" s="24" t="s">
        <v>284</v>
      </c>
      <c r="AO4628" s="54" t="s">
        <v>285</v>
      </c>
      <c r="AP4628" s="54" t="s">
        <v>51</v>
      </c>
      <c r="AQ4628" s="57" t="s">
        <v>397</v>
      </c>
    </row>
    <row r="4629" spans="1:43" ht="15" customHeight="1">
      <c r="A4629" s="69">
        <v>43472</v>
      </c>
      <c r="B4629" s="386" t="s">
        <v>129</v>
      </c>
      <c r="C4629" s="387" t="s">
        <v>450</v>
      </c>
      <c r="D4629" s="263" t="s">
        <v>451</v>
      </c>
      <c r="E4629" s="23" t="s">
        <v>452</v>
      </c>
      <c r="F4629" s="388">
        <v>20</v>
      </c>
      <c r="G4629" s="389">
        <v>58</v>
      </c>
      <c r="H4629" s="253">
        <v>1160</v>
      </c>
      <c r="I4629" s="264" t="s">
        <v>419</v>
      </c>
      <c r="J4629" s="257" t="s">
        <v>453</v>
      </c>
      <c r="K4629" s="256">
        <v>43494</v>
      </c>
      <c r="W4629" s="258">
        <v>43524</v>
      </c>
      <c r="X4629" s="258">
        <v>43490</v>
      </c>
      <c r="Y4629" s="259" t="s">
        <v>454</v>
      </c>
      <c r="Z4629" s="270">
        <v>33595</v>
      </c>
      <c r="AA4629" s="258">
        <v>43522</v>
      </c>
      <c r="AB4629" s="237"/>
      <c r="AC4629" s="244"/>
      <c r="AD4629" s="244"/>
      <c r="AE4629" s="244"/>
      <c r="AF4629" s="244"/>
      <c r="AG4629" s="251" t="s">
        <v>283</v>
      </c>
      <c r="AH4629" s="251"/>
      <c r="AI4629" s="260"/>
      <c r="AJ4629" s="251"/>
      <c r="AK4629" s="260"/>
      <c r="AL4629" s="260"/>
      <c r="AM4629" s="251" t="s">
        <v>49</v>
      </c>
      <c r="AN4629" s="251" t="s">
        <v>284</v>
      </c>
      <c r="AO4629" s="251" t="s">
        <v>50</v>
      </c>
      <c r="AP4629" s="251" t="s">
        <v>51</v>
      </c>
      <c r="AQ4629" s="262"/>
    </row>
    <row r="4630" spans="1:43" ht="15" customHeight="1">
      <c r="A4630" s="69">
        <v>43473</v>
      </c>
      <c r="B4630" s="263" t="s">
        <v>118</v>
      </c>
      <c r="C4630" s="263" t="s">
        <v>455</v>
      </c>
      <c r="D4630" s="263" t="s">
        <v>456</v>
      </c>
      <c r="E4630" s="23" t="s">
        <v>457</v>
      </c>
      <c r="F4630" s="390">
        <v>3</v>
      </c>
      <c r="G4630" s="389">
        <v>1209</v>
      </c>
      <c r="H4630" s="362">
        <v>3627</v>
      </c>
      <c r="I4630" s="264" t="s">
        <v>170</v>
      </c>
      <c r="J4630" s="264" t="s">
        <v>121</v>
      </c>
      <c r="K4630" s="256">
        <v>43494</v>
      </c>
      <c r="W4630" s="258">
        <v>43555</v>
      </c>
      <c r="X4630" s="258">
        <v>43493</v>
      </c>
      <c r="Y4630" s="259" t="s">
        <v>458</v>
      </c>
      <c r="Z4630" s="270">
        <v>401013</v>
      </c>
      <c r="AA4630" s="258">
        <v>43536</v>
      </c>
      <c r="AB4630" s="237"/>
      <c r="AC4630" s="244"/>
      <c r="AD4630" s="244"/>
      <c r="AE4630" s="244"/>
      <c r="AF4630" s="244"/>
      <c r="AG4630" s="251" t="s">
        <v>283</v>
      </c>
      <c r="AH4630" s="251"/>
      <c r="AI4630" s="260"/>
      <c r="AJ4630" s="305"/>
      <c r="AK4630" s="260"/>
      <c r="AL4630" s="260"/>
      <c r="AM4630" s="251" t="s">
        <v>49</v>
      </c>
      <c r="AN4630" s="251" t="s">
        <v>284</v>
      </c>
      <c r="AO4630" s="251" t="s">
        <v>50</v>
      </c>
      <c r="AP4630" s="251" t="s">
        <v>51</v>
      </c>
      <c r="AQ4630" s="262"/>
    </row>
    <row r="4631" spans="1:43" ht="15" customHeight="1">
      <c r="A4631" s="69">
        <v>43473</v>
      </c>
      <c r="B4631" s="263" t="s">
        <v>118</v>
      </c>
      <c r="C4631" s="263" t="s">
        <v>455</v>
      </c>
      <c r="D4631" s="263" t="s">
        <v>456</v>
      </c>
      <c r="E4631" s="23" t="s">
        <v>161</v>
      </c>
      <c r="F4631" s="390">
        <v>15</v>
      </c>
      <c r="G4631" s="389">
        <v>738</v>
      </c>
      <c r="H4631" s="362">
        <v>11070</v>
      </c>
      <c r="I4631" s="264" t="s">
        <v>170</v>
      </c>
      <c r="J4631" s="264" t="s">
        <v>121</v>
      </c>
      <c r="K4631" s="256">
        <v>43494</v>
      </c>
      <c r="W4631" s="258">
        <v>43555</v>
      </c>
      <c r="X4631" s="258">
        <v>43493</v>
      </c>
      <c r="Y4631" s="259" t="s">
        <v>458</v>
      </c>
      <c r="Z4631" s="270"/>
      <c r="AA4631" s="258">
        <v>43536</v>
      </c>
      <c r="AB4631" s="237"/>
      <c r="AC4631" s="244"/>
      <c r="AD4631" s="244"/>
      <c r="AE4631" s="244"/>
      <c r="AF4631" s="244"/>
      <c r="AG4631" s="251" t="s">
        <v>283</v>
      </c>
      <c r="AH4631" s="251"/>
      <c r="AI4631" s="260"/>
      <c r="AJ4631" s="305"/>
      <c r="AK4631" s="260"/>
      <c r="AL4631" s="260"/>
      <c r="AM4631" s="251" t="s">
        <v>49</v>
      </c>
      <c r="AN4631" s="251" t="s">
        <v>284</v>
      </c>
      <c r="AO4631" s="251" t="s">
        <v>50</v>
      </c>
      <c r="AP4631" s="251" t="s">
        <v>51</v>
      </c>
      <c r="AQ4631" s="262"/>
    </row>
    <row r="4632" spans="1:43" ht="15" customHeight="1">
      <c r="A4632" s="69">
        <v>43473</v>
      </c>
      <c r="B4632" s="263" t="s">
        <v>228</v>
      </c>
      <c r="C4632" s="263" t="s">
        <v>459</v>
      </c>
      <c r="D4632" s="263" t="s">
        <v>460</v>
      </c>
      <c r="E4632" s="23" t="s">
        <v>461</v>
      </c>
      <c r="F4632" s="391">
        <v>35</v>
      </c>
      <c r="G4632" s="389">
        <v>407.4</v>
      </c>
      <c r="H4632" s="253">
        <v>14259</v>
      </c>
      <c r="I4632" s="264" t="s">
        <v>170</v>
      </c>
      <c r="J4632" s="251" t="s">
        <v>89</v>
      </c>
      <c r="K4632" s="256">
        <v>43487</v>
      </c>
      <c r="W4632" s="258">
        <v>43524</v>
      </c>
      <c r="X4632" s="258">
        <v>43487</v>
      </c>
      <c r="Y4632" s="259" t="s">
        <v>462</v>
      </c>
      <c r="Z4632" s="270">
        <v>401368</v>
      </c>
      <c r="AA4632" s="258">
        <v>43522</v>
      </c>
      <c r="AB4632" s="237"/>
      <c r="AC4632" s="244"/>
      <c r="AD4632" s="244"/>
      <c r="AE4632" s="244"/>
      <c r="AF4632" s="244"/>
      <c r="AG4632" s="251"/>
      <c r="AH4632" s="251"/>
      <c r="AI4632" s="260"/>
      <c r="AJ4632" s="251"/>
      <c r="AK4632" s="260"/>
      <c r="AL4632" s="260"/>
      <c r="AM4632" s="251" t="s">
        <v>49</v>
      </c>
      <c r="AN4632" s="251" t="s">
        <v>284</v>
      </c>
      <c r="AO4632" s="251" t="s">
        <v>50</v>
      </c>
      <c r="AP4632" s="251" t="s">
        <v>376</v>
      </c>
      <c r="AQ4632" s="262"/>
    </row>
    <row r="4633" spans="1:43" ht="15" customHeight="1">
      <c r="A4633" s="69">
        <v>43476</v>
      </c>
      <c r="B4633" s="263" t="s">
        <v>463</v>
      </c>
      <c r="C4633" s="263">
        <v>503704</v>
      </c>
      <c r="D4633" s="392" t="s">
        <v>464</v>
      </c>
      <c r="E4633" s="23" t="s">
        <v>465</v>
      </c>
      <c r="F4633" s="391">
        <v>1</v>
      </c>
      <c r="G4633" s="389">
        <v>100</v>
      </c>
      <c r="H4633" s="253">
        <v>100</v>
      </c>
      <c r="I4633" s="264" t="s">
        <v>170</v>
      </c>
      <c r="J4633" s="251" t="s">
        <v>466</v>
      </c>
      <c r="K4633" s="256">
        <v>43539</v>
      </c>
      <c r="W4633" s="258">
        <v>43555</v>
      </c>
      <c r="X4633" s="258">
        <v>43518</v>
      </c>
      <c r="Y4633" s="259" t="s">
        <v>467</v>
      </c>
      <c r="Z4633" s="270"/>
      <c r="AA4633" s="258">
        <v>43557</v>
      </c>
      <c r="AB4633" s="237"/>
      <c r="AC4633" s="244"/>
      <c r="AD4633" s="244"/>
      <c r="AE4633" s="244"/>
      <c r="AF4633" s="244"/>
      <c r="AG4633" s="251"/>
      <c r="AH4633" s="251">
        <v>30.79</v>
      </c>
      <c r="AI4633" s="260"/>
      <c r="AJ4633" s="251"/>
      <c r="AK4633" s="260"/>
      <c r="AL4633" s="260"/>
      <c r="AM4633" s="251" t="s">
        <v>49</v>
      </c>
      <c r="AN4633" s="251" t="s">
        <v>284</v>
      </c>
      <c r="AO4633" s="251" t="s">
        <v>50</v>
      </c>
      <c r="AP4633" s="251" t="s">
        <v>51</v>
      </c>
      <c r="AQ4633" s="262"/>
    </row>
    <row r="4634" spans="1:43" ht="15" customHeight="1">
      <c r="A4634" s="69">
        <v>43476</v>
      </c>
      <c r="B4634" s="263" t="s">
        <v>463</v>
      </c>
      <c r="C4634" s="263">
        <v>503704</v>
      </c>
      <c r="D4634" s="392" t="s">
        <v>468</v>
      </c>
      <c r="E4634" s="23" t="s">
        <v>469</v>
      </c>
      <c r="F4634" s="391">
        <v>1</v>
      </c>
      <c r="G4634" s="389">
        <v>80</v>
      </c>
      <c r="H4634" s="253">
        <v>80</v>
      </c>
      <c r="I4634" s="264" t="s">
        <v>170</v>
      </c>
      <c r="J4634" s="251" t="s">
        <v>466</v>
      </c>
      <c r="K4634" s="256">
        <v>43539</v>
      </c>
      <c r="W4634" s="259" t="s">
        <v>421</v>
      </c>
      <c r="X4634" s="258">
        <v>43510</v>
      </c>
      <c r="Y4634" s="259" t="s">
        <v>470</v>
      </c>
      <c r="Z4634" s="270">
        <v>3766</v>
      </c>
      <c r="AA4634" s="258">
        <v>43512</v>
      </c>
      <c r="AB4634" s="237"/>
      <c r="AC4634" s="244"/>
      <c r="AD4634" s="244"/>
      <c r="AE4634" s="244"/>
      <c r="AF4634" s="244"/>
      <c r="AG4634" s="251"/>
      <c r="AH4634" s="251">
        <v>30.79</v>
      </c>
      <c r="AI4634" s="260"/>
      <c r="AJ4634" s="251"/>
      <c r="AK4634" s="260"/>
      <c r="AL4634" s="260"/>
      <c r="AM4634" s="251" t="s">
        <v>49</v>
      </c>
      <c r="AN4634" s="251" t="s">
        <v>284</v>
      </c>
      <c r="AO4634" s="251" t="s">
        <v>50</v>
      </c>
      <c r="AP4634" s="251" t="s">
        <v>51</v>
      </c>
      <c r="AQ4634" s="262"/>
    </row>
    <row r="4635" spans="1:43" ht="15" customHeight="1">
      <c r="A4635" s="110">
        <v>43476</v>
      </c>
      <c r="B4635" s="250" t="s">
        <v>463</v>
      </c>
      <c r="C4635" s="250">
        <v>503704</v>
      </c>
      <c r="D4635" s="326" t="s">
        <v>468</v>
      </c>
      <c r="E4635" s="23" t="s">
        <v>471</v>
      </c>
      <c r="F4635" s="251">
        <v>1</v>
      </c>
      <c r="G4635" s="265">
        <v>118</v>
      </c>
      <c r="H4635" s="253">
        <v>118</v>
      </c>
      <c r="I4635" s="264" t="s">
        <v>170</v>
      </c>
      <c r="J4635" s="251" t="s">
        <v>466</v>
      </c>
      <c r="K4635" s="256">
        <v>43539</v>
      </c>
      <c r="W4635" s="259" t="s">
        <v>421</v>
      </c>
      <c r="X4635" s="258">
        <v>43510</v>
      </c>
      <c r="Y4635" s="259" t="s">
        <v>470</v>
      </c>
      <c r="Z4635" s="270"/>
      <c r="AA4635" s="258">
        <v>43512</v>
      </c>
      <c r="AB4635" s="237"/>
      <c r="AC4635" s="244"/>
      <c r="AD4635" s="244"/>
      <c r="AE4635" s="244"/>
      <c r="AF4635" s="244"/>
      <c r="AG4635" s="251"/>
      <c r="AH4635" s="251">
        <v>30.79</v>
      </c>
      <c r="AI4635" s="260"/>
      <c r="AJ4635" s="251"/>
      <c r="AK4635" s="260"/>
      <c r="AL4635" s="260"/>
      <c r="AM4635" s="251" t="s">
        <v>49</v>
      </c>
      <c r="AN4635" s="251" t="s">
        <v>284</v>
      </c>
      <c r="AO4635" s="251" t="s">
        <v>50</v>
      </c>
      <c r="AP4635" s="251" t="s">
        <v>51</v>
      </c>
      <c r="AQ4635" s="262"/>
    </row>
    <row r="4636" spans="1:43" ht="15" customHeight="1">
      <c r="A4636" s="110">
        <v>43476</v>
      </c>
      <c r="B4636" s="263" t="s">
        <v>463</v>
      </c>
      <c r="C4636" s="250">
        <v>503704</v>
      </c>
      <c r="D4636" s="326" t="s">
        <v>468</v>
      </c>
      <c r="E4636" s="23" t="s">
        <v>472</v>
      </c>
      <c r="F4636" s="251">
        <v>1</v>
      </c>
      <c r="G4636" s="265">
        <v>160</v>
      </c>
      <c r="H4636" s="253">
        <v>160</v>
      </c>
      <c r="I4636" s="264" t="s">
        <v>170</v>
      </c>
      <c r="J4636" s="251" t="s">
        <v>466</v>
      </c>
      <c r="K4636" s="256">
        <v>43539</v>
      </c>
      <c r="W4636" s="258">
        <v>43541</v>
      </c>
      <c r="X4636" s="258">
        <v>43511</v>
      </c>
      <c r="Y4636" s="259" t="s">
        <v>473</v>
      </c>
      <c r="Z4636" s="270">
        <v>4176</v>
      </c>
      <c r="AA4636" s="258">
        <v>43558</v>
      </c>
      <c r="AB4636" s="237"/>
      <c r="AC4636" s="244"/>
      <c r="AD4636" s="244"/>
      <c r="AE4636" s="244"/>
      <c r="AF4636" s="244"/>
      <c r="AG4636" s="251"/>
      <c r="AH4636" s="251">
        <v>30.79</v>
      </c>
      <c r="AI4636" s="260"/>
      <c r="AJ4636" s="251"/>
      <c r="AK4636" s="260"/>
      <c r="AL4636" s="260"/>
      <c r="AM4636" s="251" t="s">
        <v>49</v>
      </c>
      <c r="AN4636" s="251" t="s">
        <v>284</v>
      </c>
      <c r="AO4636" s="251" t="s">
        <v>50</v>
      </c>
      <c r="AP4636" s="251" t="s">
        <v>51</v>
      </c>
      <c r="AQ4636" s="262"/>
    </row>
    <row r="4637" spans="1:43" ht="15" customHeight="1">
      <c r="A4637" s="110">
        <v>43476</v>
      </c>
      <c r="B4637" s="263" t="s">
        <v>463</v>
      </c>
      <c r="C4637" s="250">
        <v>503704</v>
      </c>
      <c r="D4637" s="326" t="s">
        <v>474</v>
      </c>
      <c r="E4637" s="23" t="s">
        <v>475</v>
      </c>
      <c r="F4637" s="251">
        <v>1</v>
      </c>
      <c r="G4637" s="265">
        <v>4120</v>
      </c>
      <c r="H4637" s="253">
        <v>4120</v>
      </c>
      <c r="I4637" s="264" t="s">
        <v>170</v>
      </c>
      <c r="J4637" s="393" t="s">
        <v>466</v>
      </c>
      <c r="K4637" s="256">
        <v>43539</v>
      </c>
      <c r="W4637" s="258">
        <v>43555</v>
      </c>
      <c r="X4637" s="258">
        <v>43518</v>
      </c>
      <c r="Y4637" s="259" t="s">
        <v>467</v>
      </c>
      <c r="Z4637" s="270">
        <v>121734</v>
      </c>
      <c r="AA4637" s="258">
        <v>43557</v>
      </c>
      <c r="AB4637" s="237"/>
      <c r="AC4637" s="244"/>
      <c r="AD4637" s="244"/>
      <c r="AE4637" s="244"/>
      <c r="AF4637" s="244"/>
      <c r="AG4637" s="251"/>
      <c r="AH4637" s="251">
        <v>30.79</v>
      </c>
      <c r="AI4637" s="260"/>
      <c r="AJ4637" s="305"/>
      <c r="AK4637" s="260">
        <f>4578*30.73-200</f>
        <v>140481.94</v>
      </c>
      <c r="AL4637" s="260">
        <v>200</v>
      </c>
      <c r="AM4637" s="251" t="s">
        <v>49</v>
      </c>
      <c r="AN4637" s="251" t="s">
        <v>284</v>
      </c>
      <c r="AO4637" s="251" t="s">
        <v>50</v>
      </c>
      <c r="AP4637" s="251" t="s">
        <v>51</v>
      </c>
      <c r="AQ4637" s="262"/>
    </row>
    <row r="4638" spans="1:43" ht="15" customHeight="1">
      <c r="A4638" s="110">
        <v>43479</v>
      </c>
      <c r="B4638" s="70" t="s">
        <v>76</v>
      </c>
      <c r="C4638" s="21">
        <v>14</v>
      </c>
      <c r="D4638" s="21" t="s">
        <v>476</v>
      </c>
      <c r="E4638" s="23" t="s">
        <v>477</v>
      </c>
      <c r="F4638" s="82">
        <v>30</v>
      </c>
      <c r="G4638" s="48">
        <v>2.25</v>
      </c>
      <c r="H4638" s="60">
        <v>67.5</v>
      </c>
      <c r="I4638" s="346" t="s">
        <v>42</v>
      </c>
      <c r="J4638" s="58" t="s">
        <v>478</v>
      </c>
      <c r="K4638" s="29">
        <v>43522</v>
      </c>
      <c r="W4638" s="52"/>
      <c r="X4638" s="53"/>
      <c r="Y4638" s="53"/>
      <c r="Z4638" s="384"/>
      <c r="AA4638" s="53"/>
      <c r="AB4638" s="237"/>
      <c r="AC4638" s="244"/>
      <c r="AD4638" s="244"/>
      <c r="AE4638" s="244"/>
      <c r="AF4638" s="244"/>
      <c r="AG4638" s="54"/>
      <c r="AH4638" s="54"/>
      <c r="AI4638" s="55"/>
      <c r="AJ4638" s="54"/>
      <c r="AK4638" s="55"/>
      <c r="AL4638" s="55"/>
      <c r="AM4638" s="54" t="s">
        <v>49</v>
      </c>
      <c r="AN4638" s="24" t="s">
        <v>284</v>
      </c>
      <c r="AO4638" s="54" t="s">
        <v>50</v>
      </c>
      <c r="AP4638" s="54" t="s">
        <v>51</v>
      </c>
      <c r="AQ4638" s="57" t="s">
        <v>397</v>
      </c>
    </row>
    <row r="4639" spans="1:43" ht="15" customHeight="1">
      <c r="A4639" s="110">
        <v>43479</v>
      </c>
      <c r="B4639" s="70" t="s">
        <v>76</v>
      </c>
      <c r="C4639" s="21">
        <v>14</v>
      </c>
      <c r="D4639" s="21" t="s">
        <v>476</v>
      </c>
      <c r="E4639" s="23" t="s">
        <v>477</v>
      </c>
      <c r="F4639" s="82">
        <v>20</v>
      </c>
      <c r="G4639" s="48">
        <v>2.25</v>
      </c>
      <c r="H4639" s="60">
        <v>45</v>
      </c>
      <c r="I4639" s="346" t="s">
        <v>42</v>
      </c>
      <c r="J4639" s="58" t="s">
        <v>478</v>
      </c>
      <c r="K4639" s="29">
        <v>43522</v>
      </c>
      <c r="W4639" s="52"/>
      <c r="X4639" s="53"/>
      <c r="Y4639" s="53"/>
      <c r="Z4639" s="384"/>
      <c r="AA4639" s="53"/>
      <c r="AB4639" s="237"/>
      <c r="AC4639" s="244"/>
      <c r="AD4639" s="244"/>
      <c r="AE4639" s="244"/>
      <c r="AF4639" s="244"/>
      <c r="AG4639" s="54"/>
      <c r="AH4639" s="54"/>
      <c r="AI4639" s="55"/>
      <c r="AJ4639" s="54"/>
      <c r="AK4639" s="55"/>
      <c r="AL4639" s="55"/>
      <c r="AM4639" s="54" t="s">
        <v>49</v>
      </c>
      <c r="AN4639" s="24" t="s">
        <v>284</v>
      </c>
      <c r="AO4639" s="54" t="s">
        <v>50</v>
      </c>
      <c r="AP4639" s="54" t="s">
        <v>51</v>
      </c>
      <c r="AQ4639" s="57" t="s">
        <v>397</v>
      </c>
    </row>
    <row r="4640" spans="1:43" ht="15" customHeight="1">
      <c r="A4640" s="110">
        <v>43481</v>
      </c>
      <c r="B4640" s="263" t="s">
        <v>405</v>
      </c>
      <c r="C4640" s="250">
        <v>7000144298</v>
      </c>
      <c r="D4640" s="250" t="s">
        <v>479</v>
      </c>
      <c r="E4640" s="23" t="s">
        <v>480</v>
      </c>
      <c r="F4640" s="264">
        <v>2</v>
      </c>
      <c r="G4640" s="328">
        <v>137</v>
      </c>
      <c r="H4640" s="334">
        <v>274</v>
      </c>
      <c r="I4640" s="254" t="s">
        <v>42</v>
      </c>
      <c r="J4640" s="264" t="s">
        <v>481</v>
      </c>
      <c r="K4640" s="256">
        <v>43489</v>
      </c>
      <c r="W4640" s="258">
        <v>43524</v>
      </c>
      <c r="X4640" s="368">
        <v>43487</v>
      </c>
      <c r="Y4640" s="259" t="s">
        <v>482</v>
      </c>
      <c r="Z4640" s="270">
        <v>14867</v>
      </c>
      <c r="AA4640" s="258">
        <v>43523</v>
      </c>
      <c r="AB4640" s="237"/>
      <c r="AC4640" s="244"/>
      <c r="AD4640" s="244"/>
      <c r="AE4640" s="244"/>
      <c r="AF4640" s="244"/>
      <c r="AG4640" s="251" t="s">
        <v>283</v>
      </c>
      <c r="AH4640" s="251"/>
      <c r="AI4640" s="260"/>
      <c r="AJ4640" s="251"/>
      <c r="AK4640" s="260"/>
      <c r="AL4640" s="260"/>
      <c r="AM4640" s="251" t="s">
        <v>49</v>
      </c>
      <c r="AN4640" s="251" t="s">
        <v>284</v>
      </c>
      <c r="AO4640" s="251" t="s">
        <v>50</v>
      </c>
      <c r="AP4640" s="251" t="s">
        <v>51</v>
      </c>
      <c r="AQ4640" s="262"/>
    </row>
    <row r="4641" spans="1:43" ht="15" customHeight="1">
      <c r="A4641" s="110">
        <v>43481</v>
      </c>
      <c r="B4641" s="263" t="s">
        <v>405</v>
      </c>
      <c r="C4641" s="250">
        <v>7000144298</v>
      </c>
      <c r="D4641" s="250" t="s">
        <v>479</v>
      </c>
      <c r="E4641" s="23" t="s">
        <v>483</v>
      </c>
      <c r="F4641" s="264">
        <v>1</v>
      </c>
      <c r="G4641" s="328">
        <v>87</v>
      </c>
      <c r="H4641" s="334">
        <v>87</v>
      </c>
      <c r="I4641" s="254" t="s">
        <v>42</v>
      </c>
      <c r="J4641" s="264" t="s">
        <v>481</v>
      </c>
      <c r="K4641" s="256">
        <v>43489</v>
      </c>
      <c r="W4641" s="258">
        <v>43524</v>
      </c>
      <c r="X4641" s="368">
        <v>43487</v>
      </c>
      <c r="Y4641" s="259" t="s">
        <v>482</v>
      </c>
      <c r="Z4641" s="259"/>
      <c r="AA4641" s="258">
        <v>43523</v>
      </c>
      <c r="AB4641" s="237"/>
      <c r="AC4641" s="244"/>
      <c r="AD4641" s="244"/>
      <c r="AE4641" s="244"/>
      <c r="AF4641" s="244"/>
      <c r="AG4641" s="251" t="s">
        <v>283</v>
      </c>
      <c r="AH4641" s="251"/>
      <c r="AI4641" s="260"/>
      <c r="AJ4641" s="251"/>
      <c r="AK4641" s="260"/>
      <c r="AL4641" s="260"/>
      <c r="AM4641" s="251" t="s">
        <v>49</v>
      </c>
      <c r="AN4641" s="251" t="s">
        <v>284</v>
      </c>
      <c r="AO4641" s="251" t="s">
        <v>50</v>
      </c>
      <c r="AP4641" s="251" t="s">
        <v>51</v>
      </c>
      <c r="AQ4641" s="262"/>
    </row>
    <row r="4642" spans="1:43" ht="15" customHeight="1">
      <c r="A4642" s="110">
        <v>43481</v>
      </c>
      <c r="B4642" s="263" t="s">
        <v>405</v>
      </c>
      <c r="C4642" s="250">
        <v>7000144298</v>
      </c>
      <c r="D4642" s="250" t="s">
        <v>479</v>
      </c>
      <c r="E4642" s="23" t="s">
        <v>484</v>
      </c>
      <c r="F4642" s="264">
        <v>1</v>
      </c>
      <c r="G4642" s="328">
        <v>178</v>
      </c>
      <c r="H4642" s="334">
        <v>178</v>
      </c>
      <c r="I4642" s="254" t="s">
        <v>42</v>
      </c>
      <c r="J4642" s="264" t="s">
        <v>481</v>
      </c>
      <c r="K4642" s="256">
        <v>43489</v>
      </c>
      <c r="W4642" s="258">
        <v>43524</v>
      </c>
      <c r="X4642" s="368">
        <v>43487</v>
      </c>
      <c r="Y4642" s="259" t="s">
        <v>482</v>
      </c>
      <c r="Z4642" s="259"/>
      <c r="AA4642" s="258">
        <v>43523</v>
      </c>
      <c r="AB4642" s="237"/>
      <c r="AC4642" s="244"/>
      <c r="AD4642" s="244"/>
      <c r="AE4642" s="244"/>
      <c r="AF4642" s="244"/>
      <c r="AG4642" s="251" t="s">
        <v>283</v>
      </c>
      <c r="AH4642" s="251"/>
      <c r="AI4642" s="260"/>
      <c r="AJ4642" s="251"/>
      <c r="AK4642" s="260"/>
      <c r="AL4642" s="260"/>
      <c r="AM4642" s="251" t="s">
        <v>49</v>
      </c>
      <c r="AN4642" s="251" t="s">
        <v>284</v>
      </c>
      <c r="AO4642" s="251" t="s">
        <v>50</v>
      </c>
      <c r="AP4642" s="251" t="s">
        <v>51</v>
      </c>
      <c r="AQ4642" s="262"/>
    </row>
    <row r="4643" spans="1:43" ht="15" customHeight="1">
      <c r="A4643" s="110">
        <v>43482</v>
      </c>
      <c r="B4643" s="263" t="s">
        <v>100</v>
      </c>
      <c r="C4643" s="250"/>
      <c r="D4643" s="250" t="s">
        <v>485</v>
      </c>
      <c r="E4643" s="23" t="s">
        <v>346</v>
      </c>
      <c r="F4643" s="251">
        <v>1</v>
      </c>
      <c r="G4643" s="252">
        <v>278</v>
      </c>
      <c r="H4643" s="266">
        <v>278</v>
      </c>
      <c r="I4643" s="264" t="s">
        <v>104</v>
      </c>
      <c r="J4643" s="367" t="s">
        <v>289</v>
      </c>
      <c r="K4643" s="256">
        <v>43482</v>
      </c>
      <c r="W4643" s="394">
        <v>43520</v>
      </c>
      <c r="X4643" s="269">
        <v>43490</v>
      </c>
      <c r="Y4643" s="259" t="s">
        <v>486</v>
      </c>
      <c r="Z4643" s="270">
        <v>9218</v>
      </c>
      <c r="AA4643" s="258">
        <v>43526</v>
      </c>
      <c r="AB4643" s="237"/>
      <c r="AC4643" s="244"/>
      <c r="AD4643" s="244"/>
      <c r="AE4643" s="244"/>
      <c r="AF4643" s="244"/>
      <c r="AG4643" s="251" t="s">
        <v>283</v>
      </c>
      <c r="AH4643" s="251"/>
      <c r="AI4643" s="260"/>
      <c r="AJ4643" s="261">
        <v>43530</v>
      </c>
      <c r="AK4643" s="260"/>
      <c r="AL4643" s="260"/>
      <c r="AM4643" s="251" t="s">
        <v>49</v>
      </c>
      <c r="AN4643" s="251" t="s">
        <v>284</v>
      </c>
      <c r="AO4643" s="251" t="s">
        <v>50</v>
      </c>
      <c r="AP4643" s="251" t="s">
        <v>51</v>
      </c>
      <c r="AQ4643" s="262"/>
    </row>
    <row r="4644" spans="1:43" ht="15" customHeight="1">
      <c r="A4644" s="69">
        <v>43483</v>
      </c>
      <c r="B4644" s="70" t="s">
        <v>100</v>
      </c>
      <c r="C4644" s="21" t="s">
        <v>487</v>
      </c>
      <c r="D4644" s="21" t="s">
        <v>488</v>
      </c>
      <c r="E4644" s="23" t="s">
        <v>489</v>
      </c>
      <c r="F4644" s="58">
        <v>1</v>
      </c>
      <c r="G4644" s="47">
        <v>650</v>
      </c>
      <c r="H4644" s="48">
        <v>650</v>
      </c>
      <c r="I4644" s="87" t="s">
        <v>104</v>
      </c>
      <c r="J4644" s="31" t="s">
        <v>289</v>
      </c>
      <c r="K4644" s="29">
        <v>43522</v>
      </c>
      <c r="W4644" s="395" t="s">
        <v>490</v>
      </c>
      <c r="X4644" s="293">
        <v>43521</v>
      </c>
      <c r="Y4644" s="294" t="s">
        <v>491</v>
      </c>
      <c r="Z4644" s="295">
        <v>28294</v>
      </c>
      <c r="AA4644" s="293">
        <v>43512</v>
      </c>
      <c r="AB4644" s="237"/>
      <c r="AC4644" s="244"/>
      <c r="AD4644" s="244"/>
      <c r="AE4644" s="244"/>
      <c r="AF4644" s="244"/>
      <c r="AG4644" s="296"/>
      <c r="AH4644" s="296"/>
      <c r="AI4644" s="297"/>
      <c r="AJ4644" s="298">
        <v>43587</v>
      </c>
      <c r="AK4644" s="297"/>
      <c r="AL4644" s="297"/>
      <c r="AM4644" s="296" t="s">
        <v>49</v>
      </c>
      <c r="AN4644" s="24" t="s">
        <v>284</v>
      </c>
      <c r="AO4644" s="296" t="s">
        <v>50</v>
      </c>
      <c r="AP4644" s="296" t="s">
        <v>51</v>
      </c>
      <c r="AQ4644" s="234" t="s">
        <v>304</v>
      </c>
    </row>
    <row r="4645" spans="1:43" ht="15" customHeight="1">
      <c r="A4645" s="69">
        <v>43483</v>
      </c>
      <c r="B4645" s="70" t="s">
        <v>100</v>
      </c>
      <c r="C4645" s="21" t="s">
        <v>487</v>
      </c>
      <c r="D4645" s="396" t="s">
        <v>488</v>
      </c>
      <c r="E4645" s="23" t="s">
        <v>492</v>
      </c>
      <c r="F4645" s="58">
        <v>1</v>
      </c>
      <c r="G4645" s="47">
        <v>309</v>
      </c>
      <c r="H4645" s="48">
        <v>309</v>
      </c>
      <c r="I4645" s="87" t="s">
        <v>104</v>
      </c>
      <c r="J4645" s="31" t="s">
        <v>289</v>
      </c>
      <c r="K4645" s="29">
        <v>43522</v>
      </c>
      <c r="W4645" s="395" t="s">
        <v>490</v>
      </c>
      <c r="X4645" s="293">
        <v>43521</v>
      </c>
      <c r="Y4645" s="294" t="s">
        <v>491</v>
      </c>
      <c r="Z4645" s="294"/>
      <c r="AA4645" s="293">
        <v>43512</v>
      </c>
      <c r="AB4645" s="237"/>
      <c r="AC4645" s="244"/>
      <c r="AD4645" s="244"/>
      <c r="AE4645" s="244"/>
      <c r="AF4645" s="244"/>
      <c r="AG4645" s="296"/>
      <c r="AH4645" s="296"/>
      <c r="AI4645" s="297"/>
      <c r="AJ4645" s="298">
        <v>43587</v>
      </c>
      <c r="AK4645" s="297"/>
      <c r="AL4645" s="297"/>
      <c r="AM4645" s="296" t="s">
        <v>49</v>
      </c>
      <c r="AN4645" s="24" t="s">
        <v>284</v>
      </c>
      <c r="AO4645" s="296" t="s">
        <v>50</v>
      </c>
      <c r="AP4645" s="296" t="s">
        <v>51</v>
      </c>
      <c r="AQ4645" s="234" t="s">
        <v>304</v>
      </c>
    </row>
    <row r="4646" spans="1:43" ht="15" customHeight="1">
      <c r="A4646" s="397">
        <v>43483</v>
      </c>
      <c r="B4646" s="375" t="s">
        <v>100</v>
      </c>
      <c r="C4646" s="183" t="s">
        <v>487</v>
      </c>
      <c r="D4646" s="183" t="s">
        <v>488</v>
      </c>
      <c r="E4646" s="23" t="s">
        <v>493</v>
      </c>
      <c r="F4646" s="398">
        <v>0</v>
      </c>
      <c r="G4646" s="399">
        <v>309</v>
      </c>
      <c r="H4646" s="399">
        <v>0</v>
      </c>
      <c r="I4646" s="400" t="s">
        <v>104</v>
      </c>
      <c r="J4646" s="381" t="s">
        <v>289</v>
      </c>
      <c r="K4646" s="191">
        <v>43518</v>
      </c>
      <c r="W4646" s="195"/>
      <c r="X4646" s="199"/>
      <c r="Y4646" s="199"/>
      <c r="Z4646" s="383"/>
      <c r="AA4646" s="199"/>
      <c r="AB4646" s="237"/>
      <c r="AC4646" s="244"/>
      <c r="AD4646" s="244"/>
      <c r="AE4646" s="244"/>
      <c r="AF4646" s="244"/>
      <c r="AG4646" s="200"/>
      <c r="AH4646" s="200"/>
      <c r="AI4646" s="201"/>
      <c r="AJ4646" s="200"/>
      <c r="AK4646" s="201"/>
      <c r="AL4646" s="201"/>
      <c r="AM4646" s="200" t="s">
        <v>49</v>
      </c>
      <c r="AN4646" s="200" t="s">
        <v>295</v>
      </c>
      <c r="AO4646" s="200" t="s">
        <v>50</v>
      </c>
      <c r="AP4646" s="200" t="s">
        <v>51</v>
      </c>
      <c r="AQ4646" s="203"/>
    </row>
    <row r="4647" spans="1:43" ht="15" customHeight="1">
      <c r="A4647" s="69">
        <v>43484</v>
      </c>
      <c r="B4647" s="144" t="s">
        <v>166</v>
      </c>
      <c r="C4647" s="250"/>
      <c r="D4647" s="250" t="s">
        <v>494</v>
      </c>
      <c r="E4647" s="23" t="s">
        <v>495</v>
      </c>
      <c r="F4647" s="401">
        <v>3</v>
      </c>
      <c r="G4647" s="265">
        <v>1155</v>
      </c>
      <c r="H4647" s="265">
        <v>3465</v>
      </c>
      <c r="I4647" s="264" t="s">
        <v>104</v>
      </c>
      <c r="J4647" s="401" t="s">
        <v>171</v>
      </c>
      <c r="K4647" s="256">
        <v>43517</v>
      </c>
      <c r="W4647" s="337"/>
      <c r="X4647" s="329"/>
      <c r="Y4647" s="329"/>
      <c r="Z4647" s="402"/>
      <c r="AA4647" s="329"/>
      <c r="AB4647" s="237"/>
      <c r="AC4647" s="244"/>
      <c r="AD4647" s="244"/>
      <c r="AE4647" s="244"/>
      <c r="AF4647" s="244"/>
      <c r="AG4647" s="251" t="s">
        <v>283</v>
      </c>
      <c r="AH4647" s="251">
        <v>30.8</v>
      </c>
      <c r="AI4647" s="260"/>
      <c r="AJ4647" s="251"/>
      <c r="AK4647" s="260"/>
      <c r="AL4647" s="260"/>
      <c r="AM4647" s="251" t="s">
        <v>49</v>
      </c>
      <c r="AN4647" s="251" t="s">
        <v>284</v>
      </c>
      <c r="AO4647" s="251" t="s">
        <v>285</v>
      </c>
      <c r="AP4647" s="251" t="s">
        <v>51</v>
      </c>
      <c r="AQ4647" s="262"/>
    </row>
    <row r="4648" spans="1:43" ht="15" customHeight="1">
      <c r="A4648" s="69">
        <v>43484</v>
      </c>
      <c r="B4648" s="144" t="s">
        <v>166</v>
      </c>
      <c r="C4648" s="250"/>
      <c r="D4648" s="250" t="s">
        <v>494</v>
      </c>
      <c r="E4648" s="23" t="s">
        <v>496</v>
      </c>
      <c r="F4648" s="401">
        <v>3</v>
      </c>
      <c r="G4648" s="265">
        <v>132</v>
      </c>
      <c r="H4648" s="265">
        <v>396</v>
      </c>
      <c r="I4648" s="264" t="s">
        <v>104</v>
      </c>
      <c r="J4648" s="328"/>
      <c r="K4648" s="256">
        <v>43517</v>
      </c>
      <c r="W4648" s="337"/>
      <c r="X4648" s="329"/>
      <c r="Y4648" s="403"/>
      <c r="Z4648" s="402"/>
      <c r="AA4648" s="329"/>
      <c r="AB4648" s="237"/>
      <c r="AC4648" s="244"/>
      <c r="AD4648" s="244"/>
      <c r="AE4648" s="244"/>
      <c r="AF4648" s="244"/>
      <c r="AG4648" s="251" t="s">
        <v>283</v>
      </c>
      <c r="AH4648" s="251">
        <v>30.8</v>
      </c>
      <c r="AI4648" s="260"/>
      <c r="AJ4648" s="251"/>
      <c r="AK4648" s="260"/>
      <c r="AL4648" s="260"/>
      <c r="AM4648" s="251" t="s">
        <v>49</v>
      </c>
      <c r="AN4648" s="251" t="s">
        <v>284</v>
      </c>
      <c r="AO4648" s="251" t="s">
        <v>285</v>
      </c>
      <c r="AP4648" s="251" t="s">
        <v>51</v>
      </c>
      <c r="AQ4648" s="262"/>
    </row>
    <row r="4649" spans="1:43" ht="15" customHeight="1">
      <c r="A4649" s="110">
        <v>43484</v>
      </c>
      <c r="B4649" s="147" t="s">
        <v>166</v>
      </c>
      <c r="C4649" s="250"/>
      <c r="D4649" s="250" t="s">
        <v>494</v>
      </c>
      <c r="E4649" s="23" t="s">
        <v>497</v>
      </c>
      <c r="F4649" s="401">
        <v>3</v>
      </c>
      <c r="G4649" s="265">
        <v>28</v>
      </c>
      <c r="H4649" s="253">
        <v>84</v>
      </c>
      <c r="I4649" s="264" t="s">
        <v>104</v>
      </c>
      <c r="J4649" s="331" t="s">
        <v>171</v>
      </c>
      <c r="K4649" s="256">
        <v>43517</v>
      </c>
      <c r="W4649" s="337"/>
      <c r="X4649" s="329"/>
      <c r="Y4649" s="329"/>
      <c r="Z4649" s="402"/>
      <c r="AA4649" s="329"/>
      <c r="AB4649" s="237"/>
      <c r="AC4649" s="244"/>
      <c r="AD4649" s="244"/>
      <c r="AE4649" s="244"/>
      <c r="AF4649" s="244"/>
      <c r="AG4649" s="251" t="s">
        <v>283</v>
      </c>
      <c r="AH4649" s="251">
        <v>30.8</v>
      </c>
      <c r="AI4649" s="260"/>
      <c r="AJ4649" s="251"/>
      <c r="AK4649" s="260"/>
      <c r="AL4649" s="260"/>
      <c r="AM4649" s="251" t="s">
        <v>49</v>
      </c>
      <c r="AN4649" s="251" t="s">
        <v>284</v>
      </c>
      <c r="AO4649" s="251" t="s">
        <v>285</v>
      </c>
      <c r="AP4649" s="251" t="s">
        <v>51</v>
      </c>
      <c r="AQ4649" s="262"/>
    </row>
    <row r="4650" spans="1:43" ht="15" customHeight="1">
      <c r="A4650" s="110">
        <v>43484</v>
      </c>
      <c r="B4650" s="147" t="s">
        <v>166</v>
      </c>
      <c r="C4650" s="250"/>
      <c r="D4650" s="250" t="s">
        <v>498</v>
      </c>
      <c r="E4650" s="23" t="s">
        <v>499</v>
      </c>
      <c r="F4650" s="401">
        <v>1</v>
      </c>
      <c r="G4650" s="265">
        <v>1155</v>
      </c>
      <c r="H4650" s="253">
        <v>1155</v>
      </c>
      <c r="I4650" s="264" t="s">
        <v>104</v>
      </c>
      <c r="J4650" s="331" t="s">
        <v>171</v>
      </c>
      <c r="K4650" s="256">
        <v>43517</v>
      </c>
      <c r="W4650" s="337"/>
      <c r="X4650" s="329"/>
      <c r="Y4650" s="329"/>
      <c r="Z4650" s="402"/>
      <c r="AA4650" s="329"/>
      <c r="AB4650" s="237"/>
      <c r="AC4650" s="244"/>
      <c r="AD4650" s="244"/>
      <c r="AE4650" s="244"/>
      <c r="AF4650" s="244"/>
      <c r="AG4650" s="251" t="s">
        <v>283</v>
      </c>
      <c r="AH4650" s="251">
        <v>30.8</v>
      </c>
      <c r="AI4650" s="260"/>
      <c r="AJ4650" s="251"/>
      <c r="AK4650" s="260"/>
      <c r="AL4650" s="260"/>
      <c r="AM4650" s="251" t="s">
        <v>49</v>
      </c>
      <c r="AN4650" s="251" t="s">
        <v>284</v>
      </c>
      <c r="AO4650" s="251" t="s">
        <v>285</v>
      </c>
      <c r="AP4650" s="251" t="s">
        <v>51</v>
      </c>
      <c r="AQ4650" s="262"/>
    </row>
    <row r="4651" spans="1:43" ht="15" customHeight="1">
      <c r="A4651" s="110">
        <v>43484</v>
      </c>
      <c r="B4651" s="147" t="s">
        <v>166</v>
      </c>
      <c r="C4651" s="250"/>
      <c r="D4651" s="250" t="s">
        <v>498</v>
      </c>
      <c r="E4651" s="23" t="s">
        <v>500</v>
      </c>
      <c r="F4651" s="401">
        <v>1</v>
      </c>
      <c r="G4651" s="265">
        <v>132</v>
      </c>
      <c r="H4651" s="253">
        <v>132</v>
      </c>
      <c r="I4651" s="264" t="s">
        <v>104</v>
      </c>
      <c r="J4651" s="331" t="s">
        <v>171</v>
      </c>
      <c r="K4651" s="256">
        <v>43517</v>
      </c>
      <c r="W4651" s="337"/>
      <c r="X4651" s="329"/>
      <c r="Y4651" s="329"/>
      <c r="Z4651" s="402"/>
      <c r="AA4651" s="329"/>
      <c r="AB4651" s="237"/>
      <c r="AC4651" s="244"/>
      <c r="AD4651" s="244"/>
      <c r="AE4651" s="244"/>
      <c r="AF4651" s="244"/>
      <c r="AG4651" s="251" t="s">
        <v>283</v>
      </c>
      <c r="AH4651" s="251">
        <v>30.8</v>
      </c>
      <c r="AI4651" s="260"/>
      <c r="AJ4651" s="251"/>
      <c r="AK4651" s="260"/>
      <c r="AL4651" s="260"/>
      <c r="AM4651" s="251" t="s">
        <v>49</v>
      </c>
      <c r="AN4651" s="251" t="s">
        <v>284</v>
      </c>
      <c r="AO4651" s="251" t="s">
        <v>285</v>
      </c>
      <c r="AP4651" s="251" t="s">
        <v>51</v>
      </c>
      <c r="AQ4651" s="262"/>
    </row>
    <row r="4652" spans="1:43" ht="15" customHeight="1">
      <c r="A4652" s="110">
        <v>43484</v>
      </c>
      <c r="B4652" s="147" t="s">
        <v>166</v>
      </c>
      <c r="C4652" s="250"/>
      <c r="D4652" s="250" t="s">
        <v>498</v>
      </c>
      <c r="E4652" s="23" t="s">
        <v>497</v>
      </c>
      <c r="F4652" s="401">
        <v>1</v>
      </c>
      <c r="G4652" s="265">
        <v>28</v>
      </c>
      <c r="H4652" s="253">
        <v>28</v>
      </c>
      <c r="I4652" s="264" t="s">
        <v>104</v>
      </c>
      <c r="J4652" s="331" t="s">
        <v>171</v>
      </c>
      <c r="K4652" s="256">
        <v>43517</v>
      </c>
      <c r="W4652" s="337"/>
      <c r="X4652" s="329"/>
      <c r="Y4652" s="329"/>
      <c r="Z4652" s="402"/>
      <c r="AA4652" s="329"/>
      <c r="AB4652" s="237"/>
      <c r="AC4652" s="244"/>
      <c r="AD4652" s="244"/>
      <c r="AE4652" s="244"/>
      <c r="AF4652" s="244"/>
      <c r="AG4652" s="251" t="s">
        <v>283</v>
      </c>
      <c r="AH4652" s="251">
        <v>30.8</v>
      </c>
      <c r="AI4652" s="260"/>
      <c r="AJ4652" s="251"/>
      <c r="AK4652" s="260"/>
      <c r="AL4652" s="260"/>
      <c r="AM4652" s="251" t="s">
        <v>49</v>
      </c>
      <c r="AN4652" s="251" t="s">
        <v>284</v>
      </c>
      <c r="AO4652" s="251" t="s">
        <v>285</v>
      </c>
      <c r="AP4652" s="251" t="s">
        <v>51</v>
      </c>
      <c r="AQ4652" s="262"/>
    </row>
    <row r="4653" spans="1:43" ht="15" customHeight="1">
      <c r="A4653" s="110">
        <v>43486</v>
      </c>
      <c r="B4653" s="147" t="s">
        <v>139</v>
      </c>
      <c r="C4653" s="21" t="s">
        <v>501</v>
      </c>
      <c r="D4653" s="21" t="s">
        <v>502</v>
      </c>
      <c r="E4653" s="23" t="s">
        <v>503</v>
      </c>
      <c r="F4653" s="58">
        <v>1</v>
      </c>
      <c r="G4653" s="76">
        <v>63</v>
      </c>
      <c r="H4653" s="26">
        <v>63</v>
      </c>
      <c r="I4653" s="87" t="s">
        <v>104</v>
      </c>
      <c r="J4653" s="31" t="s">
        <v>504</v>
      </c>
      <c r="K4653" s="29">
        <v>43510</v>
      </c>
      <c r="W4653" s="303">
        <v>43529</v>
      </c>
      <c r="X4653" s="303">
        <v>43507</v>
      </c>
      <c r="Y4653" s="304" t="s">
        <v>505</v>
      </c>
      <c r="Z4653" s="404">
        <v>6867</v>
      </c>
      <c r="AA4653" s="303">
        <v>43557</v>
      </c>
      <c r="AB4653" s="237"/>
      <c r="AC4653" s="244"/>
      <c r="AD4653" s="244"/>
      <c r="AE4653" s="244"/>
      <c r="AF4653" s="244"/>
      <c r="AG4653" s="296"/>
      <c r="AH4653" s="296"/>
      <c r="AI4653" s="297"/>
      <c r="AJ4653" s="298">
        <v>43676</v>
      </c>
      <c r="AK4653" s="297">
        <f>1074.55*31.03</f>
        <v>33343.286500000002</v>
      </c>
      <c r="AL4653" s="297">
        <f>(1121-1074.55)*31.03</f>
        <v>1441.3435000000015</v>
      </c>
      <c r="AM4653" s="296" t="s">
        <v>49</v>
      </c>
      <c r="AN4653" s="296" t="s">
        <v>284</v>
      </c>
      <c r="AO4653" s="296" t="s">
        <v>285</v>
      </c>
      <c r="AP4653" s="296" t="s">
        <v>51</v>
      </c>
      <c r="AQ4653" s="234" t="s">
        <v>506</v>
      </c>
    </row>
    <row r="4654" spans="1:43" ht="15" customHeight="1">
      <c r="A4654" s="110">
        <v>43486</v>
      </c>
      <c r="B4654" s="147" t="s">
        <v>139</v>
      </c>
      <c r="C4654" s="21" t="s">
        <v>501</v>
      </c>
      <c r="D4654" s="21" t="s">
        <v>502</v>
      </c>
      <c r="E4654" s="23" t="s">
        <v>507</v>
      </c>
      <c r="F4654" s="58">
        <v>1</v>
      </c>
      <c r="G4654" s="76">
        <v>93</v>
      </c>
      <c r="H4654" s="26">
        <v>93</v>
      </c>
      <c r="I4654" s="87" t="s">
        <v>104</v>
      </c>
      <c r="J4654" s="58" t="s">
        <v>504</v>
      </c>
      <c r="K4654" s="29">
        <v>43510</v>
      </c>
      <c r="W4654" s="303">
        <v>43529</v>
      </c>
      <c r="X4654" s="303">
        <v>43507</v>
      </c>
      <c r="Y4654" s="304" t="s">
        <v>505</v>
      </c>
      <c r="Z4654" s="404"/>
      <c r="AA4654" s="303">
        <v>43557</v>
      </c>
      <c r="AB4654" s="237"/>
      <c r="AC4654" s="244"/>
      <c r="AD4654" s="244"/>
      <c r="AE4654" s="244"/>
      <c r="AF4654" s="244"/>
      <c r="AG4654" s="296"/>
      <c r="AH4654" s="296"/>
      <c r="AI4654" s="297"/>
      <c r="AJ4654" s="298">
        <v>43676</v>
      </c>
      <c r="AK4654" s="297"/>
      <c r="AL4654" s="297"/>
      <c r="AM4654" s="296" t="s">
        <v>49</v>
      </c>
      <c r="AN4654" s="296" t="s">
        <v>284</v>
      </c>
      <c r="AO4654" s="296" t="s">
        <v>285</v>
      </c>
      <c r="AP4654" s="296" t="s">
        <v>51</v>
      </c>
      <c r="AQ4654" s="234" t="s">
        <v>506</v>
      </c>
    </row>
    <row r="4655" spans="1:43" ht="15" customHeight="1">
      <c r="A4655" s="110">
        <v>43486</v>
      </c>
      <c r="B4655" s="147" t="s">
        <v>139</v>
      </c>
      <c r="C4655" s="21" t="s">
        <v>501</v>
      </c>
      <c r="D4655" s="21" t="s">
        <v>502</v>
      </c>
      <c r="E4655" s="23" t="s">
        <v>508</v>
      </c>
      <c r="F4655" s="58">
        <v>1</v>
      </c>
      <c r="G4655" s="76">
        <v>93</v>
      </c>
      <c r="H4655" s="26">
        <v>93</v>
      </c>
      <c r="I4655" s="87" t="s">
        <v>104</v>
      </c>
      <c r="J4655" s="31" t="s">
        <v>504</v>
      </c>
      <c r="K4655" s="29">
        <v>43510</v>
      </c>
      <c r="W4655" s="303">
        <v>43529</v>
      </c>
      <c r="X4655" s="303">
        <v>43507</v>
      </c>
      <c r="Y4655" s="304" t="s">
        <v>505</v>
      </c>
      <c r="Z4655" s="404"/>
      <c r="AA4655" s="303">
        <v>43557</v>
      </c>
      <c r="AB4655" s="237"/>
      <c r="AC4655" s="244"/>
      <c r="AD4655" s="244"/>
      <c r="AE4655" s="244"/>
      <c r="AF4655" s="244"/>
      <c r="AG4655" s="296"/>
      <c r="AH4655" s="296"/>
      <c r="AI4655" s="297"/>
      <c r="AJ4655" s="298">
        <v>43676</v>
      </c>
      <c r="AK4655" s="297"/>
      <c r="AL4655" s="297"/>
      <c r="AM4655" s="296" t="s">
        <v>49</v>
      </c>
      <c r="AN4655" s="296" t="s">
        <v>284</v>
      </c>
      <c r="AO4655" s="296" t="s">
        <v>285</v>
      </c>
      <c r="AP4655" s="296" t="s">
        <v>51</v>
      </c>
      <c r="AQ4655" s="234" t="s">
        <v>506</v>
      </c>
    </row>
    <row r="4656" spans="1:43" ht="15" customHeight="1">
      <c r="A4656" s="110">
        <v>43486</v>
      </c>
      <c r="B4656" s="147" t="s">
        <v>139</v>
      </c>
      <c r="C4656" s="21" t="s">
        <v>501</v>
      </c>
      <c r="D4656" s="21" t="s">
        <v>502</v>
      </c>
      <c r="E4656" s="23" t="s">
        <v>509</v>
      </c>
      <c r="F4656" s="58">
        <v>1</v>
      </c>
      <c r="G4656" s="76">
        <v>63</v>
      </c>
      <c r="H4656" s="26">
        <v>63</v>
      </c>
      <c r="I4656" s="87" t="s">
        <v>104</v>
      </c>
      <c r="J4656" s="31" t="s">
        <v>504</v>
      </c>
      <c r="K4656" s="29">
        <v>43510</v>
      </c>
      <c r="W4656" s="303">
        <v>43529</v>
      </c>
      <c r="X4656" s="303">
        <v>43507</v>
      </c>
      <c r="Y4656" s="304" t="s">
        <v>505</v>
      </c>
      <c r="Z4656" s="404"/>
      <c r="AA4656" s="303">
        <v>43557</v>
      </c>
      <c r="AB4656" s="237"/>
      <c r="AC4656" s="244"/>
      <c r="AD4656" s="244"/>
      <c r="AE4656" s="244"/>
      <c r="AF4656" s="244"/>
      <c r="AG4656" s="296"/>
      <c r="AH4656" s="296"/>
      <c r="AI4656" s="297"/>
      <c r="AJ4656" s="298">
        <v>43676</v>
      </c>
      <c r="AK4656" s="297"/>
      <c r="AL4656" s="297"/>
      <c r="AM4656" s="296" t="s">
        <v>49</v>
      </c>
      <c r="AN4656" s="296" t="s">
        <v>284</v>
      </c>
      <c r="AO4656" s="296" t="s">
        <v>285</v>
      </c>
      <c r="AP4656" s="296" t="s">
        <v>51</v>
      </c>
      <c r="AQ4656" s="234" t="s">
        <v>506</v>
      </c>
    </row>
    <row r="4657" spans="1:43" ht="15" customHeight="1">
      <c r="A4657" s="341">
        <v>43486</v>
      </c>
      <c r="B4657" s="147" t="s">
        <v>405</v>
      </c>
      <c r="C4657" s="290">
        <v>7000144378</v>
      </c>
      <c r="D4657" s="35" t="s">
        <v>510</v>
      </c>
      <c r="E4657" s="23" t="s">
        <v>511</v>
      </c>
      <c r="F4657" s="24">
        <v>5</v>
      </c>
      <c r="G4657" s="48">
        <v>39</v>
      </c>
      <c r="H4657" s="26">
        <v>195</v>
      </c>
      <c r="I4657" s="82" t="s">
        <v>42</v>
      </c>
      <c r="J4657" s="405" t="s">
        <v>512</v>
      </c>
      <c r="K4657" s="29">
        <v>43529</v>
      </c>
      <c r="W4657" s="304"/>
      <c r="X4657" s="304"/>
      <c r="Y4657" s="304"/>
      <c r="Z4657" s="404"/>
      <c r="AA4657" s="304"/>
      <c r="AB4657" s="237"/>
      <c r="AC4657" s="244"/>
      <c r="AD4657" s="244"/>
      <c r="AE4657" s="244"/>
      <c r="AF4657" s="244"/>
      <c r="AG4657" s="296"/>
      <c r="AH4657" s="296">
        <v>30.74</v>
      </c>
      <c r="AI4657" s="297"/>
      <c r="AJ4657" s="145">
        <v>43588</v>
      </c>
      <c r="AK4657" s="297"/>
      <c r="AL4657" s="297"/>
      <c r="AM4657" s="296" t="s">
        <v>49</v>
      </c>
      <c r="AN4657" s="24" t="s">
        <v>284</v>
      </c>
      <c r="AO4657" s="296" t="s">
        <v>285</v>
      </c>
      <c r="AP4657" s="296" t="s">
        <v>51</v>
      </c>
      <c r="AQ4657" s="234" t="s">
        <v>304</v>
      </c>
    </row>
    <row r="4658" spans="1:43" ht="15" customHeight="1">
      <c r="A4658" s="341">
        <v>43486</v>
      </c>
      <c r="B4658" s="147" t="s">
        <v>405</v>
      </c>
      <c r="C4658" s="290">
        <v>7000144378</v>
      </c>
      <c r="D4658" s="22" t="s">
        <v>513</v>
      </c>
      <c r="E4658" s="23" t="s">
        <v>514</v>
      </c>
      <c r="F4658" s="24">
        <v>5</v>
      </c>
      <c r="G4658" s="48">
        <v>43</v>
      </c>
      <c r="H4658" s="26">
        <v>215</v>
      </c>
      <c r="I4658" s="82" t="s">
        <v>42</v>
      </c>
      <c r="J4658" s="405" t="s">
        <v>512</v>
      </c>
      <c r="K4658" s="29">
        <v>43529</v>
      </c>
      <c r="W4658" s="304"/>
      <c r="X4658" s="304"/>
      <c r="Y4658" s="304"/>
      <c r="Z4658" s="404"/>
      <c r="AA4658" s="304"/>
      <c r="AB4658" s="237"/>
      <c r="AC4658" s="244"/>
      <c r="AD4658" s="244"/>
      <c r="AE4658" s="244"/>
      <c r="AF4658" s="244"/>
      <c r="AG4658" s="296"/>
      <c r="AH4658" s="296">
        <v>30.74</v>
      </c>
      <c r="AI4658" s="297"/>
      <c r="AJ4658" s="145">
        <v>43588</v>
      </c>
      <c r="AK4658" s="297"/>
      <c r="AL4658" s="297"/>
      <c r="AM4658" s="296" t="s">
        <v>49</v>
      </c>
      <c r="AN4658" s="24" t="s">
        <v>284</v>
      </c>
      <c r="AO4658" s="296" t="s">
        <v>285</v>
      </c>
      <c r="AP4658" s="296" t="s">
        <v>51</v>
      </c>
      <c r="AQ4658" s="234" t="s">
        <v>304</v>
      </c>
    </row>
    <row r="4659" spans="1:43" ht="15" customHeight="1">
      <c r="A4659" s="341">
        <v>43486</v>
      </c>
      <c r="B4659" s="147" t="s">
        <v>405</v>
      </c>
      <c r="C4659" s="290">
        <v>7000144378</v>
      </c>
      <c r="D4659" s="22" t="s">
        <v>515</v>
      </c>
      <c r="E4659" s="23" t="s">
        <v>516</v>
      </c>
      <c r="F4659" s="24">
        <v>5</v>
      </c>
      <c r="G4659" s="48">
        <v>685</v>
      </c>
      <c r="H4659" s="26">
        <v>3425</v>
      </c>
      <c r="I4659" s="82" t="s">
        <v>42</v>
      </c>
      <c r="J4659" s="50" t="s">
        <v>512</v>
      </c>
      <c r="K4659" s="29">
        <v>43529</v>
      </c>
      <c r="W4659" s="304"/>
      <c r="X4659" s="304"/>
      <c r="Y4659" s="304"/>
      <c r="Z4659" s="404"/>
      <c r="AA4659" s="304"/>
      <c r="AB4659" s="237"/>
      <c r="AC4659" s="244"/>
      <c r="AD4659" s="244"/>
      <c r="AE4659" s="244"/>
      <c r="AF4659" s="244"/>
      <c r="AG4659" s="296"/>
      <c r="AH4659" s="296">
        <v>30.74</v>
      </c>
      <c r="AI4659" s="297"/>
      <c r="AJ4659" s="145">
        <v>43588</v>
      </c>
      <c r="AK4659" s="297">
        <f>12939.02*30.87</f>
        <v>399427.54740000004</v>
      </c>
      <c r="AL4659" s="297">
        <f>(20+6.48)*30.87</f>
        <v>817.43760000000009</v>
      </c>
      <c r="AM4659" s="296" t="s">
        <v>49</v>
      </c>
      <c r="AN4659" s="24" t="s">
        <v>284</v>
      </c>
      <c r="AO4659" s="296" t="s">
        <v>285</v>
      </c>
      <c r="AP4659" s="296" t="s">
        <v>51</v>
      </c>
      <c r="AQ4659" s="234" t="s">
        <v>304</v>
      </c>
    </row>
    <row r="4660" spans="1:43" ht="15" customHeight="1">
      <c r="A4660" s="110">
        <v>43488</v>
      </c>
      <c r="B4660" s="250" t="s">
        <v>405</v>
      </c>
      <c r="C4660" s="250">
        <v>7000144486</v>
      </c>
      <c r="D4660" s="250" t="s">
        <v>517</v>
      </c>
      <c r="E4660" s="23" t="s">
        <v>518</v>
      </c>
      <c r="F4660" s="251">
        <v>270</v>
      </c>
      <c r="G4660" s="252">
        <v>141.80000000000001</v>
      </c>
      <c r="H4660" s="253">
        <v>38286</v>
      </c>
      <c r="I4660" s="264" t="s">
        <v>42</v>
      </c>
      <c r="J4660" s="264" t="s">
        <v>519</v>
      </c>
      <c r="K4660" s="256">
        <v>43496</v>
      </c>
      <c r="W4660" s="258">
        <v>43585</v>
      </c>
      <c r="X4660" s="368">
        <v>43495</v>
      </c>
      <c r="Y4660" s="259" t="s">
        <v>520</v>
      </c>
      <c r="Z4660" s="270">
        <v>1109619</v>
      </c>
      <c r="AA4660" s="368">
        <v>43588</v>
      </c>
      <c r="AB4660" s="237"/>
      <c r="AC4660" s="244"/>
      <c r="AD4660" s="244"/>
      <c r="AE4660" s="244"/>
      <c r="AF4660" s="244"/>
      <c r="AG4660" s="251" t="s">
        <v>283</v>
      </c>
      <c r="AH4660" s="251"/>
      <c r="AI4660" s="260"/>
      <c r="AJ4660" s="261">
        <v>43497</v>
      </c>
      <c r="AK4660" s="260">
        <f>38246.87*30.69</f>
        <v>1173796.4403000001</v>
      </c>
      <c r="AL4660" s="260">
        <f>(19.13+20)*30.69</f>
        <v>1200.8996999999999</v>
      </c>
      <c r="AM4660" s="251" t="s">
        <v>49</v>
      </c>
      <c r="AN4660" s="251" t="s">
        <v>284</v>
      </c>
      <c r="AO4660" s="251" t="s">
        <v>50</v>
      </c>
      <c r="AP4660" s="251" t="s">
        <v>51</v>
      </c>
      <c r="AQ4660" s="262"/>
    </row>
    <row r="4661" spans="1:43" ht="15" customHeight="1">
      <c r="A4661" s="341">
        <v>43488</v>
      </c>
      <c r="B4661" s="22" t="s">
        <v>100</v>
      </c>
      <c r="C4661" s="406" t="s">
        <v>521</v>
      </c>
      <c r="D4661" s="407" t="s">
        <v>522</v>
      </c>
      <c r="E4661" s="23" t="s">
        <v>523</v>
      </c>
      <c r="F4661" s="58">
        <v>6</v>
      </c>
      <c r="G4661" s="47">
        <v>48</v>
      </c>
      <c r="H4661" s="26">
        <v>288</v>
      </c>
      <c r="I4661" s="296" t="s">
        <v>104</v>
      </c>
      <c r="J4661" s="161" t="s">
        <v>289</v>
      </c>
      <c r="K4661" s="29">
        <v>43518</v>
      </c>
      <c r="W4661" s="408">
        <v>43555</v>
      </c>
      <c r="X4661" s="293">
        <v>43510</v>
      </c>
      <c r="Y4661" s="294" t="s">
        <v>524</v>
      </c>
      <c r="Z4661" s="295"/>
      <c r="AA4661" s="293">
        <v>43564</v>
      </c>
      <c r="AB4661" s="237"/>
      <c r="AC4661" s="244"/>
      <c r="AD4661" s="244"/>
      <c r="AE4661" s="244"/>
      <c r="AF4661" s="244"/>
      <c r="AG4661" s="54"/>
      <c r="AH4661" s="54"/>
      <c r="AI4661" s="55"/>
      <c r="AJ4661" s="56">
        <v>43565</v>
      </c>
      <c r="AK4661" s="38"/>
      <c r="AL4661" s="38"/>
      <c r="AM4661" s="54" t="s">
        <v>49</v>
      </c>
      <c r="AN4661" s="24" t="s">
        <v>284</v>
      </c>
      <c r="AO4661" s="54" t="s">
        <v>50</v>
      </c>
      <c r="AP4661" s="54" t="s">
        <v>51</v>
      </c>
      <c r="AQ4661" s="57" t="s">
        <v>397</v>
      </c>
    </row>
    <row r="4662" spans="1:43" ht="15" customHeight="1">
      <c r="A4662" s="341">
        <v>43488</v>
      </c>
      <c r="B4662" s="22" t="s">
        <v>100</v>
      </c>
      <c r="C4662" s="406" t="s">
        <v>521</v>
      </c>
      <c r="D4662" s="407" t="s">
        <v>525</v>
      </c>
      <c r="E4662" s="23" t="s">
        <v>526</v>
      </c>
      <c r="F4662" s="58">
        <v>6</v>
      </c>
      <c r="G4662" s="47">
        <v>322</v>
      </c>
      <c r="H4662" s="26">
        <v>1932</v>
      </c>
      <c r="I4662" s="296" t="s">
        <v>104</v>
      </c>
      <c r="J4662" s="161" t="s">
        <v>289</v>
      </c>
      <c r="K4662" s="29">
        <v>43518</v>
      </c>
      <c r="W4662" s="408">
        <v>43555</v>
      </c>
      <c r="X4662" s="293">
        <v>43510</v>
      </c>
      <c r="Y4662" s="294" t="s">
        <v>524</v>
      </c>
      <c r="Z4662" s="295">
        <v>63315</v>
      </c>
      <c r="AA4662" s="293">
        <v>43564</v>
      </c>
      <c r="AB4662" s="237"/>
      <c r="AC4662" s="244"/>
      <c r="AD4662" s="244"/>
      <c r="AE4662" s="244"/>
      <c r="AF4662" s="244"/>
      <c r="AG4662" s="54"/>
      <c r="AH4662" s="54"/>
      <c r="AI4662" s="55"/>
      <c r="AJ4662" s="56">
        <v>43565</v>
      </c>
      <c r="AK4662" s="38"/>
      <c r="AL4662" s="38"/>
      <c r="AM4662" s="54" t="s">
        <v>49</v>
      </c>
      <c r="AN4662" s="24" t="s">
        <v>284</v>
      </c>
      <c r="AO4662" s="54" t="s">
        <v>50</v>
      </c>
      <c r="AP4662" s="54" t="s">
        <v>51</v>
      </c>
      <c r="AQ4662" s="57" t="s">
        <v>397</v>
      </c>
    </row>
    <row r="4663" spans="1:43" ht="15" customHeight="1">
      <c r="A4663" s="341">
        <v>43488</v>
      </c>
      <c r="B4663" s="20" t="s">
        <v>100</v>
      </c>
      <c r="C4663" s="409" t="s">
        <v>521</v>
      </c>
      <c r="D4663" s="410" t="s">
        <v>527</v>
      </c>
      <c r="E4663" s="23" t="s">
        <v>528</v>
      </c>
      <c r="F4663" s="58">
        <v>6</v>
      </c>
      <c r="G4663" s="47">
        <v>56</v>
      </c>
      <c r="H4663" s="47">
        <v>336</v>
      </c>
      <c r="I4663" s="296" t="s">
        <v>104</v>
      </c>
      <c r="J4663" s="161" t="s">
        <v>289</v>
      </c>
      <c r="K4663" s="29">
        <v>43518</v>
      </c>
      <c r="W4663" s="294" t="s">
        <v>421</v>
      </c>
      <c r="X4663" s="411">
        <v>43508</v>
      </c>
      <c r="Y4663" s="340" t="s">
        <v>529</v>
      </c>
      <c r="Z4663" s="412">
        <v>17850</v>
      </c>
      <c r="AA4663" s="293">
        <v>43495</v>
      </c>
      <c r="AB4663" s="237"/>
      <c r="AC4663" s="244"/>
      <c r="AD4663" s="244"/>
      <c r="AE4663" s="244"/>
      <c r="AF4663" s="244"/>
      <c r="AG4663" s="54"/>
      <c r="AH4663" s="54"/>
      <c r="AI4663" s="55"/>
      <c r="AJ4663" s="56">
        <v>43565</v>
      </c>
      <c r="AK4663" s="38"/>
      <c r="AL4663" s="38"/>
      <c r="AM4663" s="54" t="s">
        <v>49</v>
      </c>
      <c r="AN4663" s="24" t="s">
        <v>284</v>
      </c>
      <c r="AO4663" s="54" t="s">
        <v>50</v>
      </c>
      <c r="AP4663" s="54" t="s">
        <v>51</v>
      </c>
      <c r="AQ4663" s="57" t="s">
        <v>397</v>
      </c>
    </row>
    <row r="4664" spans="1:43" ht="15" customHeight="1">
      <c r="A4664" s="341">
        <v>43488</v>
      </c>
      <c r="B4664" s="20" t="s">
        <v>100</v>
      </c>
      <c r="C4664" s="409" t="s">
        <v>521</v>
      </c>
      <c r="D4664" s="410" t="s">
        <v>527</v>
      </c>
      <c r="E4664" s="23" t="s">
        <v>530</v>
      </c>
      <c r="F4664" s="58">
        <v>6</v>
      </c>
      <c r="G4664" s="47">
        <v>85</v>
      </c>
      <c r="H4664" s="47">
        <v>510</v>
      </c>
      <c r="I4664" s="296" t="s">
        <v>104</v>
      </c>
      <c r="J4664" s="161" t="s">
        <v>289</v>
      </c>
      <c r="K4664" s="29">
        <v>43518</v>
      </c>
      <c r="W4664" s="294" t="s">
        <v>421</v>
      </c>
      <c r="X4664" s="411">
        <v>43508</v>
      </c>
      <c r="Y4664" s="340" t="s">
        <v>529</v>
      </c>
      <c r="Z4664" s="412"/>
      <c r="AA4664" s="293">
        <v>43495</v>
      </c>
      <c r="AB4664" s="237"/>
      <c r="AC4664" s="244"/>
      <c r="AD4664" s="244"/>
      <c r="AE4664" s="244"/>
      <c r="AF4664" s="244"/>
      <c r="AG4664" s="54"/>
      <c r="AH4664" s="54"/>
      <c r="AI4664" s="55"/>
      <c r="AJ4664" s="56">
        <v>43565</v>
      </c>
      <c r="AK4664" s="38"/>
      <c r="AL4664" s="38"/>
      <c r="AM4664" s="54" t="s">
        <v>49</v>
      </c>
      <c r="AN4664" s="24" t="s">
        <v>284</v>
      </c>
      <c r="AO4664" s="54" t="s">
        <v>50</v>
      </c>
      <c r="AP4664" s="54" t="s">
        <v>51</v>
      </c>
      <c r="AQ4664" s="57" t="s">
        <v>397</v>
      </c>
    </row>
    <row r="4665" spans="1:43" ht="15" customHeight="1">
      <c r="A4665" s="341">
        <v>43488</v>
      </c>
      <c r="B4665" s="20" t="s">
        <v>100</v>
      </c>
      <c r="C4665" s="409" t="s">
        <v>521</v>
      </c>
      <c r="D4665" s="410" t="s">
        <v>531</v>
      </c>
      <c r="E4665" s="23" t="s">
        <v>346</v>
      </c>
      <c r="F4665" s="58">
        <v>1</v>
      </c>
      <c r="G4665" s="47">
        <v>103</v>
      </c>
      <c r="H4665" s="47">
        <v>103</v>
      </c>
      <c r="I4665" s="296" t="s">
        <v>104</v>
      </c>
      <c r="J4665" s="82" t="s">
        <v>532</v>
      </c>
      <c r="K4665" s="29">
        <v>43518</v>
      </c>
      <c r="W4665" s="293">
        <v>43554</v>
      </c>
      <c r="X4665" s="293">
        <v>43524</v>
      </c>
      <c r="Y4665" s="294" t="s">
        <v>533</v>
      </c>
      <c r="Z4665" s="295">
        <v>9780</v>
      </c>
      <c r="AA4665" s="411">
        <v>43557</v>
      </c>
      <c r="AB4665" s="237"/>
      <c r="AC4665" s="244"/>
      <c r="AD4665" s="244"/>
      <c r="AE4665" s="244"/>
      <c r="AF4665" s="244"/>
      <c r="AG4665" s="54"/>
      <c r="AH4665" s="54"/>
      <c r="AI4665" s="55"/>
      <c r="AJ4665" s="56">
        <v>43565</v>
      </c>
      <c r="AK4665" s="38"/>
      <c r="AL4665" s="38"/>
      <c r="AM4665" s="54" t="s">
        <v>49</v>
      </c>
      <c r="AN4665" s="24" t="s">
        <v>284</v>
      </c>
      <c r="AO4665" s="54" t="s">
        <v>50</v>
      </c>
      <c r="AP4665" s="54" t="s">
        <v>51</v>
      </c>
      <c r="AQ4665" s="57" t="s">
        <v>397</v>
      </c>
    </row>
    <row r="4666" spans="1:43" ht="15" customHeight="1">
      <c r="A4666" s="69">
        <v>43488</v>
      </c>
      <c r="B4666" s="263" t="s">
        <v>118</v>
      </c>
      <c r="C4666" s="250" t="s">
        <v>534</v>
      </c>
      <c r="D4666" s="250" t="s">
        <v>535</v>
      </c>
      <c r="E4666" s="23" t="s">
        <v>536</v>
      </c>
      <c r="F4666" s="251">
        <v>11</v>
      </c>
      <c r="G4666" s="252">
        <v>44</v>
      </c>
      <c r="H4666" s="265">
        <v>484</v>
      </c>
      <c r="I4666" s="264" t="s">
        <v>170</v>
      </c>
      <c r="J4666" s="264" t="s">
        <v>121</v>
      </c>
      <c r="K4666" s="256">
        <v>43510</v>
      </c>
      <c r="W4666" s="258">
        <v>43555</v>
      </c>
      <c r="X4666" s="258">
        <v>43509</v>
      </c>
      <c r="Y4666" s="259" t="s">
        <v>537</v>
      </c>
      <c r="Z4666" s="270">
        <v>784990</v>
      </c>
      <c r="AA4666" s="258">
        <v>43536</v>
      </c>
      <c r="AB4666" s="237"/>
      <c r="AC4666" s="244"/>
      <c r="AD4666" s="244"/>
      <c r="AE4666" s="244"/>
      <c r="AF4666" s="244"/>
      <c r="AG4666" s="251" t="s">
        <v>538</v>
      </c>
      <c r="AH4666" s="251"/>
      <c r="AI4666" s="260"/>
      <c r="AJ4666" s="261">
        <v>43511</v>
      </c>
      <c r="AK4666" s="260">
        <f>21594.18*30.787+6983.5*30.784</f>
        <v>879800.08366</v>
      </c>
      <c r="AL4666" s="260">
        <f>10.82*30.787+6.5*30.784+20*30.787</f>
        <v>1148.9513400000001</v>
      </c>
      <c r="AM4666" s="251" t="s">
        <v>49</v>
      </c>
      <c r="AN4666" s="251" t="s">
        <v>284</v>
      </c>
      <c r="AO4666" s="251" t="s">
        <v>50</v>
      </c>
      <c r="AP4666" s="251" t="s">
        <v>51</v>
      </c>
      <c r="AQ4666" s="262"/>
    </row>
    <row r="4667" spans="1:43" ht="15" customHeight="1">
      <c r="A4667" s="110">
        <v>43488</v>
      </c>
      <c r="B4667" s="366" t="s">
        <v>118</v>
      </c>
      <c r="C4667" s="366" t="s">
        <v>534</v>
      </c>
      <c r="D4667" s="366" t="s">
        <v>535</v>
      </c>
      <c r="E4667" s="23" t="s">
        <v>160</v>
      </c>
      <c r="F4667" s="367">
        <v>25</v>
      </c>
      <c r="G4667" s="252">
        <v>485</v>
      </c>
      <c r="H4667" s="253">
        <v>12125</v>
      </c>
      <c r="I4667" s="264" t="s">
        <v>170</v>
      </c>
      <c r="J4667" s="264" t="s">
        <v>121</v>
      </c>
      <c r="K4667" s="256">
        <v>43510</v>
      </c>
      <c r="W4667" s="258">
        <v>43555</v>
      </c>
      <c r="X4667" s="258">
        <v>43509</v>
      </c>
      <c r="Y4667" s="259" t="s">
        <v>537</v>
      </c>
      <c r="Z4667" s="270"/>
      <c r="AA4667" s="258">
        <v>43536</v>
      </c>
      <c r="AB4667" s="237"/>
      <c r="AC4667" s="244"/>
      <c r="AD4667" s="244"/>
      <c r="AE4667" s="244"/>
      <c r="AF4667" s="244"/>
      <c r="AG4667" s="251" t="s">
        <v>538</v>
      </c>
      <c r="AH4667" s="251"/>
      <c r="AI4667" s="260"/>
      <c r="AJ4667" s="261">
        <v>43511</v>
      </c>
      <c r="AK4667" s="260"/>
      <c r="AL4667" s="260"/>
      <c r="AM4667" s="251" t="s">
        <v>49</v>
      </c>
      <c r="AN4667" s="251" t="s">
        <v>284</v>
      </c>
      <c r="AO4667" s="251" t="s">
        <v>50</v>
      </c>
      <c r="AP4667" s="251" t="s">
        <v>51</v>
      </c>
      <c r="AQ4667" s="262"/>
    </row>
    <row r="4668" spans="1:43" ht="15" customHeight="1">
      <c r="A4668" s="110">
        <v>43488</v>
      </c>
      <c r="B4668" s="366" t="s">
        <v>118</v>
      </c>
      <c r="C4668" s="366" t="s">
        <v>534</v>
      </c>
      <c r="D4668" s="366" t="s">
        <v>535</v>
      </c>
      <c r="E4668" s="23" t="s">
        <v>157</v>
      </c>
      <c r="F4668" s="251">
        <v>6</v>
      </c>
      <c r="G4668" s="265">
        <v>979</v>
      </c>
      <c r="H4668" s="253">
        <v>5874</v>
      </c>
      <c r="I4668" s="264" t="s">
        <v>170</v>
      </c>
      <c r="J4668" s="264" t="s">
        <v>121</v>
      </c>
      <c r="K4668" s="256">
        <v>43510</v>
      </c>
      <c r="W4668" s="258">
        <v>43555</v>
      </c>
      <c r="X4668" s="258">
        <v>43509</v>
      </c>
      <c r="Y4668" s="259" t="s">
        <v>537</v>
      </c>
      <c r="Z4668" s="270"/>
      <c r="AA4668" s="258">
        <v>43536</v>
      </c>
      <c r="AB4668" s="237"/>
      <c r="AC4668" s="244"/>
      <c r="AD4668" s="244"/>
      <c r="AE4668" s="244"/>
      <c r="AF4668" s="244"/>
      <c r="AG4668" s="251" t="s">
        <v>538</v>
      </c>
      <c r="AH4668" s="251"/>
      <c r="AI4668" s="260"/>
      <c r="AJ4668" s="261">
        <v>43511</v>
      </c>
      <c r="AK4668" s="260"/>
      <c r="AL4668" s="260"/>
      <c r="AM4668" s="251" t="s">
        <v>49</v>
      </c>
      <c r="AN4668" s="251" t="s">
        <v>284</v>
      </c>
      <c r="AO4668" s="251" t="s">
        <v>50</v>
      </c>
      <c r="AP4668" s="251" t="s">
        <v>51</v>
      </c>
      <c r="AQ4668" s="262"/>
    </row>
    <row r="4669" spans="1:43" ht="15" customHeight="1">
      <c r="A4669" s="110">
        <v>43488</v>
      </c>
      <c r="B4669" s="366" t="s">
        <v>118</v>
      </c>
      <c r="C4669" s="366" t="s">
        <v>534</v>
      </c>
      <c r="D4669" s="366" t="s">
        <v>535</v>
      </c>
      <c r="E4669" s="23" t="s">
        <v>161</v>
      </c>
      <c r="F4669" s="367">
        <v>4</v>
      </c>
      <c r="G4669" s="265">
        <v>738</v>
      </c>
      <c r="H4669" s="253">
        <v>2952</v>
      </c>
      <c r="I4669" s="264" t="s">
        <v>170</v>
      </c>
      <c r="J4669" s="264" t="s">
        <v>121</v>
      </c>
      <c r="K4669" s="256">
        <v>43510</v>
      </c>
      <c r="W4669" s="258">
        <v>43555</v>
      </c>
      <c r="X4669" s="258">
        <v>43509</v>
      </c>
      <c r="Y4669" s="259" t="s">
        <v>537</v>
      </c>
      <c r="Z4669" s="270"/>
      <c r="AA4669" s="258">
        <v>43536</v>
      </c>
      <c r="AB4669" s="237"/>
      <c r="AC4669" s="244"/>
      <c r="AD4669" s="244"/>
      <c r="AE4669" s="244"/>
      <c r="AF4669" s="244"/>
      <c r="AG4669" s="251" t="s">
        <v>538</v>
      </c>
      <c r="AH4669" s="251"/>
      <c r="AI4669" s="260"/>
      <c r="AJ4669" s="261">
        <v>43511</v>
      </c>
      <c r="AK4669" s="260"/>
      <c r="AL4669" s="260"/>
      <c r="AM4669" s="251" t="s">
        <v>49</v>
      </c>
      <c r="AN4669" s="251" t="s">
        <v>284</v>
      </c>
      <c r="AO4669" s="251" t="s">
        <v>50</v>
      </c>
      <c r="AP4669" s="251" t="s">
        <v>51</v>
      </c>
      <c r="AQ4669" s="262"/>
    </row>
    <row r="4670" spans="1:43" ht="15" customHeight="1">
      <c r="A4670" s="110">
        <v>43488</v>
      </c>
      <c r="B4670" s="366" t="s">
        <v>118</v>
      </c>
      <c r="C4670" s="366" t="s">
        <v>534</v>
      </c>
      <c r="D4670" s="366" t="s">
        <v>535</v>
      </c>
      <c r="E4670" s="23" t="s">
        <v>120</v>
      </c>
      <c r="F4670" s="251">
        <v>20</v>
      </c>
      <c r="G4670" s="328">
        <v>359</v>
      </c>
      <c r="H4670" s="253">
        <v>7180</v>
      </c>
      <c r="I4670" s="264" t="s">
        <v>170</v>
      </c>
      <c r="J4670" s="264" t="s">
        <v>121</v>
      </c>
      <c r="K4670" s="256">
        <v>43510</v>
      </c>
      <c r="W4670" s="258">
        <v>43555</v>
      </c>
      <c r="X4670" s="258">
        <v>43509</v>
      </c>
      <c r="Y4670" s="259" t="s">
        <v>537</v>
      </c>
      <c r="Z4670" s="270"/>
      <c r="AA4670" s="258">
        <v>43536</v>
      </c>
      <c r="AB4670" s="237"/>
      <c r="AC4670" s="244"/>
      <c r="AD4670" s="244"/>
      <c r="AE4670" s="244"/>
      <c r="AF4670" s="244"/>
      <c r="AG4670" s="251" t="s">
        <v>538</v>
      </c>
      <c r="AH4670" s="251"/>
      <c r="AI4670" s="260"/>
      <c r="AJ4670" s="261">
        <v>43511</v>
      </c>
      <c r="AK4670" s="260"/>
      <c r="AL4670" s="260"/>
      <c r="AM4670" s="251" t="s">
        <v>49</v>
      </c>
      <c r="AN4670" s="251" t="s">
        <v>284</v>
      </c>
      <c r="AO4670" s="251" t="s">
        <v>50</v>
      </c>
      <c r="AP4670" s="251" t="s">
        <v>51</v>
      </c>
      <c r="AQ4670" s="262"/>
    </row>
    <row r="4671" spans="1:43" ht="15" customHeight="1">
      <c r="A4671" s="110">
        <v>43488</v>
      </c>
      <c r="B4671" s="71" t="s">
        <v>118</v>
      </c>
      <c r="C4671" s="71" t="s">
        <v>534</v>
      </c>
      <c r="D4671" s="71" t="s">
        <v>539</v>
      </c>
      <c r="E4671" s="23" t="s">
        <v>120</v>
      </c>
      <c r="F4671" s="24">
        <v>68</v>
      </c>
      <c r="G4671" s="150">
        <v>359</v>
      </c>
      <c r="H4671" s="26">
        <v>24412</v>
      </c>
      <c r="I4671" s="296" t="s">
        <v>170</v>
      </c>
      <c r="J4671" s="82" t="s">
        <v>121</v>
      </c>
      <c r="K4671" s="29">
        <v>43532</v>
      </c>
      <c r="W4671" s="293">
        <v>43585</v>
      </c>
      <c r="X4671" s="293">
        <v>43531</v>
      </c>
      <c r="Y4671" s="294" t="s">
        <v>540</v>
      </c>
      <c r="Z4671" s="295">
        <v>728686</v>
      </c>
      <c r="AA4671" s="293">
        <v>43557</v>
      </c>
      <c r="AB4671" s="237"/>
      <c r="AC4671" s="244"/>
      <c r="AD4671" s="244"/>
      <c r="AE4671" s="244"/>
      <c r="AF4671" s="244"/>
      <c r="AG4671" s="54" t="s">
        <v>538</v>
      </c>
      <c r="AH4671" s="54">
        <v>30.74</v>
      </c>
      <c r="AI4671" s="55"/>
      <c r="AJ4671" s="56">
        <v>43551</v>
      </c>
      <c r="AK4671" s="55"/>
      <c r="AL4671" s="55"/>
      <c r="AM4671" s="54" t="s">
        <v>49</v>
      </c>
      <c r="AN4671" s="24" t="s">
        <v>284</v>
      </c>
      <c r="AO4671" s="54" t="s">
        <v>50</v>
      </c>
      <c r="AP4671" s="54" t="s">
        <v>51</v>
      </c>
      <c r="AQ4671" s="57" t="s">
        <v>397</v>
      </c>
    </row>
    <row r="4672" spans="1:43" ht="15" customHeight="1">
      <c r="A4672" s="110">
        <v>43489</v>
      </c>
      <c r="B4672" s="413" t="s">
        <v>100</v>
      </c>
      <c r="C4672" s="406" t="s">
        <v>0</v>
      </c>
      <c r="D4672" s="406" t="s">
        <v>541</v>
      </c>
      <c r="E4672" s="23" t="s">
        <v>542</v>
      </c>
      <c r="F4672" s="296">
        <v>8</v>
      </c>
      <c r="G4672" s="47">
        <f>592</f>
        <v>592</v>
      </c>
      <c r="H4672" s="26">
        <v>4736</v>
      </c>
      <c r="I4672" s="82" t="s">
        <v>302</v>
      </c>
      <c r="J4672" s="58" t="s">
        <v>437</v>
      </c>
      <c r="K4672" s="29">
        <v>43536</v>
      </c>
      <c r="W4672" s="304"/>
      <c r="X4672" s="304"/>
      <c r="Y4672" s="304"/>
      <c r="Z4672" s="404"/>
      <c r="AA4672" s="304"/>
      <c r="AB4672" s="237"/>
      <c r="AC4672" s="244"/>
      <c r="AD4672" s="244"/>
      <c r="AE4672" s="244"/>
      <c r="AF4672" s="244"/>
      <c r="AG4672" s="296"/>
      <c r="AH4672" s="296">
        <v>30.79</v>
      </c>
      <c r="AI4672" s="297"/>
      <c r="AJ4672" s="298">
        <v>43587</v>
      </c>
      <c r="AK4672" s="297"/>
      <c r="AL4672" s="297"/>
      <c r="AM4672" s="296" t="s">
        <v>49</v>
      </c>
      <c r="AN4672" s="24" t="s">
        <v>284</v>
      </c>
      <c r="AO4672" s="296" t="s">
        <v>285</v>
      </c>
      <c r="AP4672" s="296" t="s">
        <v>51</v>
      </c>
      <c r="AQ4672" s="234" t="s">
        <v>304</v>
      </c>
    </row>
    <row r="4673" spans="1:43" ht="15" customHeight="1">
      <c r="A4673" s="110">
        <v>43489</v>
      </c>
      <c r="B4673" s="413" t="s">
        <v>100</v>
      </c>
      <c r="C4673" s="406" t="s">
        <v>0</v>
      </c>
      <c r="D4673" s="406" t="s">
        <v>541</v>
      </c>
      <c r="E4673" s="23" t="s">
        <v>441</v>
      </c>
      <c r="F4673" s="296">
        <v>8</v>
      </c>
      <c r="G4673" s="47">
        <v>38</v>
      </c>
      <c r="H4673" s="26">
        <v>304</v>
      </c>
      <c r="I4673" s="82" t="s">
        <v>302</v>
      </c>
      <c r="J4673" s="58" t="s">
        <v>437</v>
      </c>
      <c r="K4673" s="29">
        <v>43536</v>
      </c>
      <c r="W4673" s="304"/>
      <c r="X4673" s="304"/>
      <c r="Y4673" s="304"/>
      <c r="Z4673" s="404"/>
      <c r="AA4673" s="304"/>
      <c r="AB4673" s="237"/>
      <c r="AC4673" s="244"/>
      <c r="AD4673" s="244"/>
      <c r="AE4673" s="244"/>
      <c r="AF4673" s="244"/>
      <c r="AG4673" s="296"/>
      <c r="AH4673" s="296">
        <v>30.79</v>
      </c>
      <c r="AI4673" s="297"/>
      <c r="AJ4673" s="298">
        <v>43587</v>
      </c>
      <c r="AK4673" s="297"/>
      <c r="AL4673" s="297"/>
      <c r="AM4673" s="296" t="s">
        <v>49</v>
      </c>
      <c r="AN4673" s="24" t="s">
        <v>284</v>
      </c>
      <c r="AO4673" s="296" t="s">
        <v>285</v>
      </c>
      <c r="AP4673" s="296" t="s">
        <v>51</v>
      </c>
      <c r="AQ4673" s="234" t="s">
        <v>304</v>
      </c>
    </row>
    <row r="4674" spans="1:43" ht="15" customHeight="1">
      <c r="A4674" s="110">
        <v>43489</v>
      </c>
      <c r="B4674" s="413" t="s">
        <v>100</v>
      </c>
      <c r="C4674" s="406" t="s">
        <v>0</v>
      </c>
      <c r="D4674" s="406" t="s">
        <v>541</v>
      </c>
      <c r="E4674" s="23" t="s">
        <v>543</v>
      </c>
      <c r="F4674" s="296">
        <v>8</v>
      </c>
      <c r="G4674" s="47">
        <v>76</v>
      </c>
      <c r="H4674" s="26">
        <v>608</v>
      </c>
      <c r="I4674" s="82" t="s">
        <v>302</v>
      </c>
      <c r="J4674" s="58" t="s">
        <v>437</v>
      </c>
      <c r="K4674" s="29">
        <v>43536</v>
      </c>
      <c r="W4674" s="304"/>
      <c r="X4674" s="304"/>
      <c r="Y4674" s="304"/>
      <c r="Z4674" s="404"/>
      <c r="AA4674" s="304"/>
      <c r="AB4674" s="237"/>
      <c r="AC4674" s="244"/>
      <c r="AD4674" s="244"/>
      <c r="AE4674" s="244"/>
      <c r="AF4674" s="244"/>
      <c r="AG4674" s="296"/>
      <c r="AH4674" s="296">
        <v>30.79</v>
      </c>
      <c r="AI4674" s="297"/>
      <c r="AJ4674" s="298">
        <v>43587</v>
      </c>
      <c r="AK4674" s="297"/>
      <c r="AL4674" s="297"/>
      <c r="AM4674" s="296" t="s">
        <v>49</v>
      </c>
      <c r="AN4674" s="24" t="s">
        <v>284</v>
      </c>
      <c r="AO4674" s="296" t="s">
        <v>285</v>
      </c>
      <c r="AP4674" s="296" t="s">
        <v>51</v>
      </c>
      <c r="AQ4674" s="234" t="s">
        <v>304</v>
      </c>
    </row>
    <row r="4675" spans="1:43" ht="15" customHeight="1">
      <c r="A4675" s="110">
        <v>43489</v>
      </c>
      <c r="B4675" s="413" t="s">
        <v>100</v>
      </c>
      <c r="C4675" s="406" t="s">
        <v>0</v>
      </c>
      <c r="D4675" s="406" t="s">
        <v>541</v>
      </c>
      <c r="E4675" s="23" t="s">
        <v>443</v>
      </c>
      <c r="F4675" s="296">
        <v>8</v>
      </c>
      <c r="G4675" s="47">
        <v>140</v>
      </c>
      <c r="H4675" s="26">
        <v>1120</v>
      </c>
      <c r="I4675" s="82" t="s">
        <v>302</v>
      </c>
      <c r="J4675" s="58" t="s">
        <v>437</v>
      </c>
      <c r="K4675" s="29">
        <v>43536</v>
      </c>
      <c r="W4675" s="304"/>
      <c r="X4675" s="304"/>
      <c r="Y4675" s="304"/>
      <c r="Z4675" s="404"/>
      <c r="AA4675" s="304"/>
      <c r="AB4675" s="237"/>
      <c r="AC4675" s="244"/>
      <c r="AD4675" s="244"/>
      <c r="AE4675" s="244"/>
      <c r="AF4675" s="244"/>
      <c r="AG4675" s="296"/>
      <c r="AH4675" s="296">
        <v>30.79</v>
      </c>
      <c r="AI4675" s="297"/>
      <c r="AJ4675" s="298">
        <v>43587</v>
      </c>
      <c r="AK4675" s="297"/>
      <c r="AL4675" s="297"/>
      <c r="AM4675" s="296" t="s">
        <v>49</v>
      </c>
      <c r="AN4675" s="24" t="s">
        <v>284</v>
      </c>
      <c r="AO4675" s="296" t="s">
        <v>285</v>
      </c>
      <c r="AP4675" s="296" t="s">
        <v>51</v>
      </c>
      <c r="AQ4675" s="234" t="s">
        <v>304</v>
      </c>
    </row>
    <row r="4676" spans="1:43" ht="15" customHeight="1">
      <c r="A4676" s="110">
        <v>43489</v>
      </c>
      <c r="B4676" s="413" t="s">
        <v>100</v>
      </c>
      <c r="C4676" s="406" t="s">
        <v>0</v>
      </c>
      <c r="D4676" s="406" t="s">
        <v>541</v>
      </c>
      <c r="E4676" s="23" t="s">
        <v>544</v>
      </c>
      <c r="F4676" s="296">
        <v>8</v>
      </c>
      <c r="G4676" s="47">
        <v>47</v>
      </c>
      <c r="H4676" s="26">
        <v>376</v>
      </c>
      <c r="I4676" s="82" t="s">
        <v>302</v>
      </c>
      <c r="J4676" s="58" t="s">
        <v>437</v>
      </c>
      <c r="K4676" s="29">
        <v>43536</v>
      </c>
      <c r="W4676" s="304"/>
      <c r="X4676" s="304"/>
      <c r="Y4676" s="304"/>
      <c r="Z4676" s="404"/>
      <c r="AA4676" s="304"/>
      <c r="AB4676" s="237"/>
      <c r="AC4676" s="244"/>
      <c r="AD4676" s="244"/>
      <c r="AE4676" s="244"/>
      <c r="AF4676" s="244"/>
      <c r="AG4676" s="296"/>
      <c r="AH4676" s="296">
        <v>30.79</v>
      </c>
      <c r="AI4676" s="297"/>
      <c r="AJ4676" s="298">
        <v>43587</v>
      </c>
      <c r="AK4676" s="297"/>
      <c r="AL4676" s="297"/>
      <c r="AM4676" s="296" t="s">
        <v>49</v>
      </c>
      <c r="AN4676" s="24" t="s">
        <v>284</v>
      </c>
      <c r="AO4676" s="296" t="s">
        <v>285</v>
      </c>
      <c r="AP4676" s="296" t="s">
        <v>51</v>
      </c>
      <c r="AQ4676" s="234" t="s">
        <v>304</v>
      </c>
    </row>
    <row r="4677" spans="1:43" ht="15" customHeight="1">
      <c r="A4677" s="110">
        <v>43489</v>
      </c>
      <c r="B4677" s="413" t="s">
        <v>100</v>
      </c>
      <c r="C4677" s="406" t="s">
        <v>0</v>
      </c>
      <c r="D4677" s="406" t="s">
        <v>541</v>
      </c>
      <c r="E4677" s="23" t="s">
        <v>444</v>
      </c>
      <c r="F4677" s="296">
        <v>8</v>
      </c>
      <c r="G4677" s="47">
        <v>10</v>
      </c>
      <c r="H4677" s="26">
        <v>80</v>
      </c>
      <c r="I4677" s="82" t="s">
        <v>302</v>
      </c>
      <c r="J4677" s="58" t="s">
        <v>437</v>
      </c>
      <c r="K4677" s="29">
        <v>43536</v>
      </c>
      <c r="W4677" s="304"/>
      <c r="X4677" s="304"/>
      <c r="Y4677" s="304"/>
      <c r="Z4677" s="404"/>
      <c r="AA4677" s="304"/>
      <c r="AB4677" s="237"/>
      <c r="AC4677" s="244"/>
      <c r="AD4677" s="244"/>
      <c r="AE4677" s="244"/>
      <c r="AF4677" s="244"/>
      <c r="AG4677" s="296"/>
      <c r="AH4677" s="296">
        <v>30.79</v>
      </c>
      <c r="AI4677" s="297"/>
      <c r="AJ4677" s="298">
        <v>43587</v>
      </c>
      <c r="AK4677" s="297"/>
      <c r="AL4677" s="297"/>
      <c r="AM4677" s="296" t="s">
        <v>49</v>
      </c>
      <c r="AN4677" s="24" t="s">
        <v>284</v>
      </c>
      <c r="AO4677" s="296" t="s">
        <v>285</v>
      </c>
      <c r="AP4677" s="296" t="s">
        <v>51</v>
      </c>
      <c r="AQ4677" s="234" t="s">
        <v>304</v>
      </c>
    </row>
    <row r="4678" spans="1:43" ht="15" customHeight="1">
      <c r="A4678" s="110">
        <v>43489</v>
      </c>
      <c r="B4678" s="414" t="s">
        <v>100</v>
      </c>
      <c r="C4678" s="415" t="s">
        <v>0</v>
      </c>
      <c r="D4678" s="415" t="s">
        <v>541</v>
      </c>
      <c r="E4678" s="23" t="s">
        <v>545</v>
      </c>
      <c r="F4678" s="373">
        <v>8</v>
      </c>
      <c r="G4678" s="385">
        <v>29</v>
      </c>
      <c r="H4678" s="26">
        <v>232</v>
      </c>
      <c r="I4678" s="82" t="s">
        <v>302</v>
      </c>
      <c r="J4678" s="58" t="s">
        <v>437</v>
      </c>
      <c r="K4678" s="29">
        <v>43536</v>
      </c>
      <c r="W4678" s="304"/>
      <c r="X4678" s="304"/>
      <c r="Y4678" s="304"/>
      <c r="Z4678" s="404"/>
      <c r="AA4678" s="304"/>
      <c r="AB4678" s="237"/>
      <c r="AC4678" s="244"/>
      <c r="AD4678" s="244"/>
      <c r="AE4678" s="244"/>
      <c r="AF4678" s="244"/>
      <c r="AG4678" s="296"/>
      <c r="AH4678" s="296">
        <v>30.79</v>
      </c>
      <c r="AI4678" s="297"/>
      <c r="AJ4678" s="298">
        <v>43587</v>
      </c>
      <c r="AK4678" s="297"/>
      <c r="AL4678" s="297"/>
      <c r="AM4678" s="296" t="s">
        <v>49</v>
      </c>
      <c r="AN4678" s="24" t="s">
        <v>284</v>
      </c>
      <c r="AO4678" s="296" t="s">
        <v>285</v>
      </c>
      <c r="AP4678" s="296" t="s">
        <v>51</v>
      </c>
      <c r="AQ4678" s="234" t="s">
        <v>304</v>
      </c>
    </row>
    <row r="4679" spans="1:43" ht="15" customHeight="1">
      <c r="A4679" s="110">
        <v>43489</v>
      </c>
      <c r="B4679" s="312" t="s">
        <v>546</v>
      </c>
      <c r="C4679" s="312" t="s">
        <v>547</v>
      </c>
      <c r="D4679" s="312" t="s">
        <v>548</v>
      </c>
      <c r="E4679" s="23" t="s">
        <v>549</v>
      </c>
      <c r="F4679" s="388">
        <v>3</v>
      </c>
      <c r="G4679" s="416">
        <v>2516</v>
      </c>
      <c r="H4679" s="253">
        <v>7548</v>
      </c>
      <c r="I4679" s="264" t="s">
        <v>302</v>
      </c>
      <c r="J4679" s="367" t="s">
        <v>550</v>
      </c>
      <c r="K4679" s="256">
        <v>43515</v>
      </c>
      <c r="W4679" s="258">
        <v>43585</v>
      </c>
      <c r="X4679" s="258">
        <v>43508</v>
      </c>
      <c r="Y4679" s="259" t="s">
        <v>551</v>
      </c>
      <c r="Z4679" s="270">
        <v>214011</v>
      </c>
      <c r="AA4679" s="368">
        <v>43588</v>
      </c>
      <c r="AB4679" s="237"/>
      <c r="AC4679" s="244"/>
      <c r="AD4679" s="244"/>
      <c r="AE4679" s="244"/>
      <c r="AF4679" s="244"/>
      <c r="AG4679" s="251"/>
      <c r="AH4679" s="251"/>
      <c r="AI4679" s="260"/>
      <c r="AJ4679" s="251"/>
      <c r="AK4679" s="260"/>
      <c r="AL4679" s="260"/>
      <c r="AM4679" s="251" t="s">
        <v>49</v>
      </c>
      <c r="AN4679" s="251" t="s">
        <v>284</v>
      </c>
      <c r="AO4679" s="251" t="s">
        <v>50</v>
      </c>
      <c r="AP4679" s="251" t="s">
        <v>51</v>
      </c>
      <c r="AQ4679" s="262" t="s">
        <v>397</v>
      </c>
    </row>
    <row r="4680" spans="1:43" ht="15" customHeight="1">
      <c r="A4680" s="110">
        <v>43490</v>
      </c>
      <c r="B4680" s="417" t="s">
        <v>76</v>
      </c>
      <c r="C4680" s="417">
        <v>53</v>
      </c>
      <c r="D4680" s="417" t="s">
        <v>552</v>
      </c>
      <c r="E4680" s="23" t="s">
        <v>553</v>
      </c>
      <c r="F4680" s="373">
        <v>50</v>
      </c>
      <c r="G4680" s="418">
        <v>2.5</v>
      </c>
      <c r="H4680" s="26">
        <v>125</v>
      </c>
      <c r="I4680" s="296" t="s">
        <v>42</v>
      </c>
      <c r="J4680" s="58" t="s">
        <v>315</v>
      </c>
      <c r="K4680" s="29">
        <v>43550</v>
      </c>
      <c r="W4680" s="293">
        <v>43560</v>
      </c>
      <c r="X4680" s="293">
        <v>43531</v>
      </c>
      <c r="Y4680" s="294" t="s">
        <v>554</v>
      </c>
      <c r="Z4680" s="295"/>
      <c r="AA4680" s="293">
        <v>43564</v>
      </c>
      <c r="AB4680" s="237"/>
      <c r="AC4680" s="244"/>
      <c r="AD4680" s="244"/>
      <c r="AE4680" s="244"/>
      <c r="AF4680" s="244"/>
      <c r="AG4680" s="296"/>
      <c r="AH4680" s="296">
        <v>30.824999999999999</v>
      </c>
      <c r="AI4680" s="297"/>
      <c r="AJ4680" s="298">
        <v>43580</v>
      </c>
      <c r="AK4680" s="297">
        <f>1931*30.86</f>
        <v>59590.659999999996</v>
      </c>
      <c r="AL4680" s="297">
        <v>0</v>
      </c>
      <c r="AM4680" s="296" t="s">
        <v>49</v>
      </c>
      <c r="AN4680" s="24" t="s">
        <v>284</v>
      </c>
      <c r="AO4680" s="296" t="s">
        <v>50</v>
      </c>
      <c r="AP4680" s="296" t="s">
        <v>51</v>
      </c>
      <c r="AQ4680" s="234" t="s">
        <v>304</v>
      </c>
    </row>
    <row r="4681" spans="1:43" ht="15" customHeight="1">
      <c r="A4681" s="110">
        <v>43490</v>
      </c>
      <c r="B4681" s="312" t="s">
        <v>405</v>
      </c>
      <c r="C4681" s="312">
        <v>7000144555</v>
      </c>
      <c r="D4681" s="312" t="s">
        <v>555</v>
      </c>
      <c r="E4681" s="23" t="s">
        <v>556</v>
      </c>
      <c r="F4681" s="388">
        <v>2</v>
      </c>
      <c r="G4681" s="416">
        <v>148</v>
      </c>
      <c r="H4681" s="253">
        <v>296</v>
      </c>
      <c r="I4681" s="264" t="s">
        <v>42</v>
      </c>
      <c r="J4681" s="264" t="s">
        <v>519</v>
      </c>
      <c r="K4681" s="256">
        <v>43496</v>
      </c>
      <c r="W4681" s="258">
        <v>43585</v>
      </c>
      <c r="X4681" s="258">
        <v>43494</v>
      </c>
      <c r="Y4681" s="259" t="s">
        <v>557</v>
      </c>
      <c r="Z4681" s="270">
        <v>14955</v>
      </c>
      <c r="AA4681" s="368">
        <v>43588</v>
      </c>
      <c r="AB4681" s="237"/>
      <c r="AC4681" s="244"/>
      <c r="AD4681" s="244"/>
      <c r="AE4681" s="244"/>
      <c r="AF4681" s="244"/>
      <c r="AG4681" s="251" t="s">
        <v>283</v>
      </c>
      <c r="AH4681" s="251"/>
      <c r="AI4681" s="260"/>
      <c r="AJ4681" s="251"/>
      <c r="AK4681" s="260"/>
      <c r="AL4681" s="260"/>
      <c r="AM4681" s="251" t="s">
        <v>49</v>
      </c>
      <c r="AN4681" s="251" t="s">
        <v>284</v>
      </c>
      <c r="AO4681" s="251" t="s">
        <v>50</v>
      </c>
      <c r="AP4681" s="251" t="s">
        <v>51</v>
      </c>
      <c r="AQ4681" s="262"/>
    </row>
    <row r="4682" spans="1:43" ht="15" customHeight="1">
      <c r="A4682" s="110">
        <v>43490</v>
      </c>
      <c r="B4682" s="312" t="s">
        <v>405</v>
      </c>
      <c r="C4682" s="312">
        <v>7000144555</v>
      </c>
      <c r="D4682" s="312" t="s">
        <v>555</v>
      </c>
      <c r="E4682" s="23" t="s">
        <v>480</v>
      </c>
      <c r="F4682" s="388">
        <v>1</v>
      </c>
      <c r="G4682" s="416">
        <v>137</v>
      </c>
      <c r="H4682" s="253">
        <v>137</v>
      </c>
      <c r="I4682" s="264" t="s">
        <v>42</v>
      </c>
      <c r="J4682" s="264" t="s">
        <v>519</v>
      </c>
      <c r="K4682" s="256">
        <v>43496</v>
      </c>
      <c r="W4682" s="258">
        <v>43585</v>
      </c>
      <c r="X4682" s="258">
        <v>43494</v>
      </c>
      <c r="Y4682" s="259" t="s">
        <v>557</v>
      </c>
      <c r="Z4682" s="270"/>
      <c r="AA4682" s="368">
        <v>43588</v>
      </c>
      <c r="AB4682" s="237"/>
      <c r="AC4682" s="244"/>
      <c r="AD4682" s="244"/>
      <c r="AE4682" s="244"/>
      <c r="AF4682" s="244"/>
      <c r="AG4682" s="251" t="s">
        <v>283</v>
      </c>
      <c r="AH4682" s="251"/>
      <c r="AI4682" s="260"/>
      <c r="AJ4682" s="251"/>
      <c r="AK4682" s="260"/>
      <c r="AL4682" s="260"/>
      <c r="AM4682" s="251" t="s">
        <v>49</v>
      </c>
      <c r="AN4682" s="251" t="s">
        <v>284</v>
      </c>
      <c r="AO4682" s="251" t="s">
        <v>50</v>
      </c>
      <c r="AP4682" s="251" t="s">
        <v>51</v>
      </c>
      <c r="AQ4682" s="262"/>
    </row>
    <row r="4683" spans="1:43" ht="15" customHeight="1">
      <c r="A4683" s="110">
        <v>43490</v>
      </c>
      <c r="B4683" s="312" t="s">
        <v>405</v>
      </c>
      <c r="C4683" s="312">
        <v>7000144555</v>
      </c>
      <c r="D4683" s="312" t="s">
        <v>555</v>
      </c>
      <c r="E4683" s="23" t="s">
        <v>407</v>
      </c>
      <c r="F4683" s="388">
        <v>2</v>
      </c>
      <c r="G4683" s="416">
        <v>54</v>
      </c>
      <c r="H4683" s="253">
        <v>108</v>
      </c>
      <c r="I4683" s="264" t="s">
        <v>42</v>
      </c>
      <c r="J4683" s="264" t="s">
        <v>519</v>
      </c>
      <c r="K4683" s="256">
        <v>43496</v>
      </c>
      <c r="W4683" s="258">
        <v>43585</v>
      </c>
      <c r="X4683" s="258">
        <v>43494</v>
      </c>
      <c r="Y4683" s="259" t="s">
        <v>557</v>
      </c>
      <c r="Z4683" s="270"/>
      <c r="AA4683" s="368">
        <v>43588</v>
      </c>
      <c r="AB4683" s="237"/>
      <c r="AC4683" s="244"/>
      <c r="AD4683" s="244"/>
      <c r="AE4683" s="244"/>
      <c r="AF4683" s="244"/>
      <c r="AG4683" s="251" t="s">
        <v>283</v>
      </c>
      <c r="AH4683" s="251"/>
      <c r="AI4683" s="260"/>
      <c r="AJ4683" s="251"/>
      <c r="AK4683" s="260"/>
      <c r="AL4683" s="260"/>
      <c r="AM4683" s="251" t="s">
        <v>49</v>
      </c>
      <c r="AN4683" s="251" t="s">
        <v>284</v>
      </c>
      <c r="AO4683" s="251" t="s">
        <v>50</v>
      </c>
      <c r="AP4683" s="251" t="s">
        <v>51</v>
      </c>
      <c r="AQ4683" s="262"/>
    </row>
    <row r="4684" spans="1:43" ht="15" customHeight="1">
      <c r="A4684" s="110">
        <v>43490</v>
      </c>
      <c r="B4684" s="312" t="s">
        <v>558</v>
      </c>
      <c r="C4684" s="312"/>
      <c r="D4684" s="312" t="s">
        <v>559</v>
      </c>
      <c r="E4684" s="23" t="s">
        <v>560</v>
      </c>
      <c r="F4684" s="388">
        <v>1</v>
      </c>
      <c r="G4684" s="416">
        <v>3497.6</v>
      </c>
      <c r="H4684" s="253">
        <v>3497.6</v>
      </c>
      <c r="I4684" s="264" t="s">
        <v>302</v>
      </c>
      <c r="J4684" s="401" t="s">
        <v>561</v>
      </c>
      <c r="K4684" s="256">
        <v>43496</v>
      </c>
      <c r="W4684" s="337"/>
      <c r="X4684" s="329"/>
      <c r="Y4684" s="329"/>
      <c r="Z4684" s="402"/>
      <c r="AA4684" s="329"/>
      <c r="AB4684" s="237"/>
      <c r="AC4684" s="244"/>
      <c r="AD4684" s="244"/>
      <c r="AE4684" s="244"/>
      <c r="AF4684" s="244"/>
      <c r="AG4684" s="251" t="s">
        <v>376</v>
      </c>
      <c r="AH4684" s="251"/>
      <c r="AI4684" s="260"/>
      <c r="AJ4684" s="251"/>
      <c r="AK4684" s="260"/>
      <c r="AL4684" s="260"/>
      <c r="AM4684" s="251" t="s">
        <v>49</v>
      </c>
      <c r="AN4684" s="251" t="s">
        <v>284</v>
      </c>
      <c r="AO4684" s="251" t="s">
        <v>50</v>
      </c>
      <c r="AP4684" s="251" t="s">
        <v>376</v>
      </c>
      <c r="AQ4684" s="262"/>
    </row>
    <row r="4685" spans="1:43" ht="15" customHeight="1">
      <c r="A4685" s="110">
        <v>43490</v>
      </c>
      <c r="B4685" s="250" t="s">
        <v>118</v>
      </c>
      <c r="C4685" s="250" t="s">
        <v>534</v>
      </c>
      <c r="D4685" s="250" t="s">
        <v>562</v>
      </c>
      <c r="E4685" s="23" t="s">
        <v>165</v>
      </c>
      <c r="F4685" s="391">
        <v>4</v>
      </c>
      <c r="G4685" s="252">
        <v>880</v>
      </c>
      <c r="H4685" s="330">
        <v>3520</v>
      </c>
      <c r="I4685" s="264" t="s">
        <v>170</v>
      </c>
      <c r="J4685" s="264" t="s">
        <v>121</v>
      </c>
      <c r="K4685" s="256">
        <v>43521</v>
      </c>
      <c r="W4685" s="258">
        <v>43555</v>
      </c>
      <c r="X4685" s="258">
        <v>43517</v>
      </c>
      <c r="Y4685" s="259" t="s">
        <v>563</v>
      </c>
      <c r="Z4685" s="270">
        <v>262277</v>
      </c>
      <c r="AA4685" s="258">
        <v>43557</v>
      </c>
      <c r="AB4685" s="237"/>
      <c r="AC4685" s="244"/>
      <c r="AD4685" s="244"/>
      <c r="AE4685" s="244"/>
      <c r="AF4685" s="244"/>
      <c r="AG4685" s="251" t="s">
        <v>283</v>
      </c>
      <c r="AH4685" s="251"/>
      <c r="AI4685" s="260"/>
      <c r="AJ4685" s="305"/>
      <c r="AK4685" s="260"/>
      <c r="AL4685" s="260"/>
      <c r="AM4685" s="251" t="s">
        <v>49</v>
      </c>
      <c r="AN4685" s="251" t="s">
        <v>284</v>
      </c>
      <c r="AO4685" s="251" t="s">
        <v>50</v>
      </c>
      <c r="AP4685" s="251" t="s">
        <v>51</v>
      </c>
      <c r="AQ4685" s="262"/>
    </row>
    <row r="4686" spans="1:43" ht="15" customHeight="1">
      <c r="A4686" s="110">
        <v>43490</v>
      </c>
      <c r="B4686" s="263" t="s">
        <v>118</v>
      </c>
      <c r="C4686" s="250" t="s">
        <v>534</v>
      </c>
      <c r="D4686" s="250" t="s">
        <v>562</v>
      </c>
      <c r="E4686" s="23" t="s">
        <v>564</v>
      </c>
      <c r="F4686" s="391">
        <v>40</v>
      </c>
      <c r="G4686" s="252">
        <v>105</v>
      </c>
      <c r="H4686" s="330">
        <v>4200</v>
      </c>
      <c r="I4686" s="264" t="s">
        <v>170</v>
      </c>
      <c r="J4686" s="254" t="s">
        <v>121</v>
      </c>
      <c r="K4686" s="256">
        <v>43521</v>
      </c>
      <c r="W4686" s="258">
        <v>43555</v>
      </c>
      <c r="X4686" s="258">
        <v>43517</v>
      </c>
      <c r="Y4686" s="259" t="s">
        <v>563</v>
      </c>
      <c r="Z4686" s="270"/>
      <c r="AA4686" s="258">
        <v>43557</v>
      </c>
      <c r="AB4686" s="237"/>
      <c r="AC4686" s="244"/>
      <c r="AD4686" s="244"/>
      <c r="AE4686" s="244"/>
      <c r="AF4686" s="244"/>
      <c r="AG4686" s="251" t="s">
        <v>283</v>
      </c>
      <c r="AH4686" s="251"/>
      <c r="AI4686" s="260"/>
      <c r="AJ4686" s="305"/>
      <c r="AK4686" s="260"/>
      <c r="AL4686" s="260"/>
      <c r="AM4686" s="251" t="s">
        <v>49</v>
      </c>
      <c r="AN4686" s="251" t="s">
        <v>284</v>
      </c>
      <c r="AO4686" s="251" t="s">
        <v>50</v>
      </c>
      <c r="AP4686" s="251" t="s">
        <v>51</v>
      </c>
      <c r="AQ4686" s="262"/>
    </row>
    <row r="4687" spans="1:43" ht="15" customHeight="1">
      <c r="A4687" s="110">
        <v>43490</v>
      </c>
      <c r="B4687" s="263" t="s">
        <v>118</v>
      </c>
      <c r="C4687" s="250" t="s">
        <v>534</v>
      </c>
      <c r="D4687" s="250" t="s">
        <v>562</v>
      </c>
      <c r="E4687" s="23" t="s">
        <v>151</v>
      </c>
      <c r="F4687" s="391">
        <v>2</v>
      </c>
      <c r="G4687" s="252">
        <v>1045</v>
      </c>
      <c r="H4687" s="330">
        <v>2090</v>
      </c>
      <c r="I4687" s="264" t="s">
        <v>170</v>
      </c>
      <c r="J4687" s="264" t="s">
        <v>121</v>
      </c>
      <c r="K4687" s="256">
        <v>43521</v>
      </c>
      <c r="W4687" s="258">
        <v>43555</v>
      </c>
      <c r="X4687" s="258">
        <v>43517</v>
      </c>
      <c r="Y4687" s="259" t="s">
        <v>563</v>
      </c>
      <c r="Z4687" s="270"/>
      <c r="AA4687" s="258">
        <v>43557</v>
      </c>
      <c r="AB4687" s="237"/>
      <c r="AC4687" s="244"/>
      <c r="AD4687" s="244"/>
      <c r="AE4687" s="244"/>
      <c r="AF4687" s="244"/>
      <c r="AG4687" s="251" t="s">
        <v>283</v>
      </c>
      <c r="AH4687" s="251"/>
      <c r="AI4687" s="260"/>
      <c r="AJ4687" s="305"/>
      <c r="AK4687" s="260"/>
      <c r="AL4687" s="260"/>
      <c r="AM4687" s="251" t="s">
        <v>49</v>
      </c>
      <c r="AN4687" s="251" t="s">
        <v>284</v>
      </c>
      <c r="AO4687" s="251" t="s">
        <v>50</v>
      </c>
      <c r="AP4687" s="251" t="s">
        <v>51</v>
      </c>
      <c r="AQ4687" s="262"/>
    </row>
    <row r="4688" spans="1:43" ht="15" customHeight="1">
      <c r="A4688" s="110">
        <v>43490</v>
      </c>
      <c r="B4688" s="70" t="s">
        <v>118</v>
      </c>
      <c r="C4688" s="21" t="s">
        <v>534</v>
      </c>
      <c r="D4688" s="21" t="s">
        <v>565</v>
      </c>
      <c r="E4688" s="23" t="s">
        <v>151</v>
      </c>
      <c r="F4688" s="419">
        <v>4</v>
      </c>
      <c r="G4688" s="48">
        <v>1045</v>
      </c>
      <c r="H4688" s="26">
        <v>4180</v>
      </c>
      <c r="I4688" s="296" t="s">
        <v>170</v>
      </c>
      <c r="J4688" s="82" t="s">
        <v>121</v>
      </c>
      <c r="K4688" s="29">
        <v>43532</v>
      </c>
      <c r="W4688" s="293">
        <v>43585</v>
      </c>
      <c r="X4688" s="293">
        <v>43531</v>
      </c>
      <c r="Y4688" s="294" t="s">
        <v>566</v>
      </c>
      <c r="Z4688" s="295">
        <v>118779</v>
      </c>
      <c r="AA4688" s="300">
        <v>43586</v>
      </c>
      <c r="AB4688" s="237"/>
      <c r="AC4688" s="244"/>
      <c r="AD4688" s="244"/>
      <c r="AE4688" s="244"/>
      <c r="AF4688" s="244"/>
      <c r="AG4688" s="54" t="s">
        <v>538</v>
      </c>
      <c r="AH4688" s="54">
        <v>30.74</v>
      </c>
      <c r="AI4688" s="55"/>
      <c r="AJ4688" s="68" t="s">
        <v>567</v>
      </c>
      <c r="AK4688" s="55">
        <f>3931.5*30.783</f>
        <v>121023.36450000001</v>
      </c>
      <c r="AL4688" s="55">
        <f>(3950-3931.5)*30.783</f>
        <v>569.4855</v>
      </c>
      <c r="AM4688" s="54" t="s">
        <v>49</v>
      </c>
      <c r="AN4688" s="24" t="s">
        <v>284</v>
      </c>
      <c r="AO4688" s="54" t="s">
        <v>50</v>
      </c>
      <c r="AP4688" s="54" t="s">
        <v>51</v>
      </c>
      <c r="AQ4688" s="57" t="s">
        <v>397</v>
      </c>
    </row>
    <row r="4689" spans="1:43" ht="15" customHeight="1">
      <c r="A4689" s="110">
        <v>43490</v>
      </c>
      <c r="B4689" s="263" t="s">
        <v>118</v>
      </c>
      <c r="C4689" s="250" t="s">
        <v>534</v>
      </c>
      <c r="D4689" s="250" t="s">
        <v>568</v>
      </c>
      <c r="E4689" s="23" t="s">
        <v>569</v>
      </c>
      <c r="F4689" s="391">
        <v>20</v>
      </c>
      <c r="G4689" s="252">
        <v>350</v>
      </c>
      <c r="H4689" s="330">
        <v>7000</v>
      </c>
      <c r="I4689" s="264" t="s">
        <v>170</v>
      </c>
      <c r="J4689" s="264" t="s">
        <v>121</v>
      </c>
      <c r="K4689" s="256">
        <v>43532</v>
      </c>
      <c r="W4689" s="258">
        <v>43585</v>
      </c>
      <c r="X4689" s="258">
        <v>43536</v>
      </c>
      <c r="Y4689" s="259" t="s">
        <v>570</v>
      </c>
      <c r="Z4689" s="270">
        <v>202424</v>
      </c>
      <c r="AA4689" s="368">
        <v>43588</v>
      </c>
      <c r="AB4689" s="237"/>
      <c r="AC4689" s="244"/>
      <c r="AD4689" s="244"/>
      <c r="AE4689" s="244"/>
      <c r="AF4689" s="244"/>
      <c r="AG4689" s="251" t="s">
        <v>283</v>
      </c>
      <c r="AH4689" s="251">
        <v>30.74</v>
      </c>
      <c r="AI4689" s="260"/>
      <c r="AJ4689" s="305"/>
      <c r="AK4689" s="260"/>
      <c r="AL4689" s="260"/>
      <c r="AM4689" s="251" t="s">
        <v>49</v>
      </c>
      <c r="AN4689" s="251" t="s">
        <v>284</v>
      </c>
      <c r="AO4689" s="251" t="s">
        <v>50</v>
      </c>
      <c r="AP4689" s="251" t="s">
        <v>51</v>
      </c>
      <c r="AQ4689" s="262"/>
    </row>
    <row r="4690" spans="1:43" ht="15" customHeight="1">
      <c r="A4690" s="110">
        <v>43490</v>
      </c>
      <c r="B4690" s="263" t="s">
        <v>118</v>
      </c>
      <c r="C4690" s="250" t="s">
        <v>534</v>
      </c>
      <c r="D4690" s="250" t="s">
        <v>571</v>
      </c>
      <c r="E4690" s="23" t="s">
        <v>569</v>
      </c>
      <c r="F4690" s="391">
        <v>20</v>
      </c>
      <c r="G4690" s="252">
        <v>350</v>
      </c>
      <c r="H4690" s="330">
        <v>7000</v>
      </c>
      <c r="I4690" s="264" t="s">
        <v>170</v>
      </c>
      <c r="J4690" s="264" t="s">
        <v>121</v>
      </c>
      <c r="K4690" s="256">
        <v>43532</v>
      </c>
      <c r="W4690" s="258">
        <v>43585</v>
      </c>
      <c r="X4690" s="258">
        <v>43536</v>
      </c>
      <c r="Y4690" s="259" t="s">
        <v>572</v>
      </c>
      <c r="Z4690" s="270">
        <v>202424</v>
      </c>
      <c r="AA4690" s="368">
        <v>43588</v>
      </c>
      <c r="AB4690" s="237"/>
      <c r="AC4690" s="244"/>
      <c r="AD4690" s="244"/>
      <c r="AE4690" s="244"/>
      <c r="AF4690" s="244"/>
      <c r="AG4690" s="251" t="s">
        <v>283</v>
      </c>
      <c r="AH4690" s="251">
        <v>30.74</v>
      </c>
      <c r="AI4690" s="260"/>
      <c r="AJ4690" s="305"/>
      <c r="AK4690" s="260"/>
      <c r="AL4690" s="260"/>
      <c r="AM4690" s="251" t="s">
        <v>49</v>
      </c>
      <c r="AN4690" s="251" t="s">
        <v>284</v>
      </c>
      <c r="AO4690" s="251" t="s">
        <v>50</v>
      </c>
      <c r="AP4690" s="251" t="s">
        <v>51</v>
      </c>
      <c r="AQ4690" s="262"/>
    </row>
    <row r="4691" spans="1:43" ht="15" customHeight="1">
      <c r="A4691" s="110">
        <v>43492</v>
      </c>
      <c r="B4691" s="250" t="s">
        <v>76</v>
      </c>
      <c r="C4691" s="250"/>
      <c r="D4691" s="250" t="s">
        <v>573</v>
      </c>
      <c r="E4691" s="23" t="s">
        <v>317</v>
      </c>
      <c r="F4691" s="251">
        <v>10</v>
      </c>
      <c r="G4691" s="252">
        <v>0</v>
      </c>
      <c r="H4691" s="253">
        <v>0</v>
      </c>
      <c r="I4691" s="264" t="s">
        <v>42</v>
      </c>
      <c r="J4691" s="255" t="s">
        <v>574</v>
      </c>
      <c r="K4691" s="256">
        <v>43496</v>
      </c>
      <c r="W4691" s="258">
        <v>43555</v>
      </c>
      <c r="X4691" s="258">
        <v>43495</v>
      </c>
      <c r="Y4691" s="259" t="s">
        <v>575</v>
      </c>
      <c r="Z4691" s="270">
        <v>71125</v>
      </c>
      <c r="AA4691" s="258">
        <v>43649</v>
      </c>
      <c r="AB4691" s="237"/>
      <c r="AC4691" s="244"/>
      <c r="AD4691" s="244"/>
      <c r="AE4691" s="244"/>
      <c r="AF4691" s="244"/>
      <c r="AG4691" s="251" t="s">
        <v>576</v>
      </c>
      <c r="AH4691" s="251"/>
      <c r="AI4691" s="260"/>
      <c r="AJ4691" s="251"/>
      <c r="AK4691" s="260"/>
      <c r="AL4691" s="260"/>
      <c r="AM4691" s="251" t="s">
        <v>49</v>
      </c>
      <c r="AN4691" s="251" t="s">
        <v>284</v>
      </c>
      <c r="AO4691" s="251" t="s">
        <v>50</v>
      </c>
      <c r="AP4691" s="251" t="s">
        <v>51</v>
      </c>
      <c r="AQ4691" s="262"/>
    </row>
    <row r="4692" spans="1:43" ht="15" customHeight="1">
      <c r="A4692" s="110">
        <v>43493</v>
      </c>
      <c r="B4692" s="250" t="s">
        <v>577</v>
      </c>
      <c r="C4692" s="250">
        <v>20190128001</v>
      </c>
      <c r="D4692" s="250" t="s">
        <v>578</v>
      </c>
      <c r="E4692" s="23" t="s">
        <v>579</v>
      </c>
      <c r="F4692" s="251">
        <v>4</v>
      </c>
      <c r="G4692" s="323">
        <v>96.6</v>
      </c>
      <c r="H4692" s="253">
        <v>386.4</v>
      </c>
      <c r="I4692" s="264" t="s">
        <v>170</v>
      </c>
      <c r="J4692" s="319" t="s">
        <v>580</v>
      </c>
      <c r="K4692" s="256">
        <v>43495</v>
      </c>
      <c r="W4692" s="394">
        <v>43555</v>
      </c>
      <c r="X4692" s="368">
        <v>43494</v>
      </c>
      <c r="Y4692" s="259" t="s">
        <v>581</v>
      </c>
      <c r="Z4692" s="270">
        <v>10346</v>
      </c>
      <c r="AA4692" s="258">
        <v>43557</v>
      </c>
      <c r="AB4692" s="237"/>
      <c r="AC4692" s="244"/>
      <c r="AD4692" s="244"/>
      <c r="AE4692" s="244"/>
      <c r="AF4692" s="244"/>
      <c r="AG4692" s="251"/>
      <c r="AH4692" s="251"/>
      <c r="AI4692" s="260"/>
      <c r="AJ4692" s="251"/>
      <c r="AK4692" s="260"/>
      <c r="AL4692" s="260"/>
      <c r="AM4692" s="251" t="s">
        <v>49</v>
      </c>
      <c r="AN4692" s="251" t="s">
        <v>284</v>
      </c>
      <c r="AO4692" s="251" t="s">
        <v>50</v>
      </c>
      <c r="AP4692" s="251" t="s">
        <v>376</v>
      </c>
      <c r="AQ4692" s="262"/>
    </row>
    <row r="4693" spans="1:43" ht="15" customHeight="1">
      <c r="A4693" s="110">
        <v>43493</v>
      </c>
      <c r="B4693" s="250" t="s">
        <v>405</v>
      </c>
      <c r="C4693" s="250">
        <v>7000144606</v>
      </c>
      <c r="D4693" s="250" t="s">
        <v>582</v>
      </c>
      <c r="E4693" s="23" t="s">
        <v>583</v>
      </c>
      <c r="F4693" s="251">
        <v>3</v>
      </c>
      <c r="G4693" s="252">
        <v>1069</v>
      </c>
      <c r="H4693" s="253">
        <v>3207</v>
      </c>
      <c r="I4693" s="264" t="s">
        <v>42</v>
      </c>
      <c r="J4693" s="255" t="s">
        <v>512</v>
      </c>
      <c r="K4693" s="256">
        <v>43510</v>
      </c>
      <c r="W4693" s="258">
        <v>43585</v>
      </c>
      <c r="X4693" s="258">
        <v>43508</v>
      </c>
      <c r="Y4693" s="259" t="s">
        <v>584</v>
      </c>
      <c r="Z4693" s="270">
        <v>89813</v>
      </c>
      <c r="AA4693" s="368">
        <v>43588</v>
      </c>
      <c r="AB4693" s="237"/>
      <c r="AC4693" s="244"/>
      <c r="AD4693" s="244"/>
      <c r="AE4693" s="244"/>
      <c r="AF4693" s="244"/>
      <c r="AG4693" s="251" t="s">
        <v>283</v>
      </c>
      <c r="AH4693" s="251"/>
      <c r="AI4693" s="260"/>
      <c r="AJ4693" s="251"/>
      <c r="AK4693" s="260"/>
      <c r="AL4693" s="260"/>
      <c r="AM4693" s="251" t="s">
        <v>49</v>
      </c>
      <c r="AN4693" s="251" t="s">
        <v>284</v>
      </c>
      <c r="AO4693" s="251" t="s">
        <v>50</v>
      </c>
      <c r="AP4693" s="251" t="s">
        <v>51</v>
      </c>
      <c r="AQ4693" s="262"/>
    </row>
    <row r="4694" spans="1:43" ht="15" customHeight="1">
      <c r="A4694" s="110">
        <v>43493</v>
      </c>
      <c r="B4694" s="250" t="s">
        <v>405</v>
      </c>
      <c r="C4694" s="250">
        <v>7000144606</v>
      </c>
      <c r="D4694" s="250" t="s">
        <v>582</v>
      </c>
      <c r="E4694" s="23" t="s">
        <v>585</v>
      </c>
      <c r="F4694" s="251">
        <v>3</v>
      </c>
      <c r="G4694" s="252">
        <v>15</v>
      </c>
      <c r="H4694" s="253">
        <v>45</v>
      </c>
      <c r="I4694" s="264" t="s">
        <v>42</v>
      </c>
      <c r="J4694" s="255" t="s">
        <v>512</v>
      </c>
      <c r="K4694" s="256">
        <v>43510</v>
      </c>
      <c r="W4694" s="258">
        <v>43585</v>
      </c>
      <c r="X4694" s="258">
        <v>43508</v>
      </c>
      <c r="Y4694" s="259" t="s">
        <v>584</v>
      </c>
      <c r="Z4694" s="270"/>
      <c r="AA4694" s="368">
        <v>43588</v>
      </c>
      <c r="AB4694" s="237"/>
      <c r="AC4694" s="244"/>
      <c r="AD4694" s="244"/>
      <c r="AE4694" s="244"/>
      <c r="AF4694" s="244"/>
      <c r="AG4694" s="251" t="s">
        <v>283</v>
      </c>
      <c r="AH4694" s="251"/>
      <c r="AI4694" s="260"/>
      <c r="AJ4694" s="251"/>
      <c r="AK4694" s="260"/>
      <c r="AL4694" s="260"/>
      <c r="AM4694" s="251" t="s">
        <v>49</v>
      </c>
      <c r="AN4694" s="251" t="s">
        <v>284</v>
      </c>
      <c r="AO4694" s="251" t="s">
        <v>50</v>
      </c>
      <c r="AP4694" s="251" t="s">
        <v>51</v>
      </c>
      <c r="AQ4694" s="262"/>
    </row>
    <row r="4695" spans="1:43" ht="15" customHeight="1">
      <c r="A4695" s="110">
        <v>43495</v>
      </c>
      <c r="B4695" s="420" t="s">
        <v>76</v>
      </c>
      <c r="C4695" s="250">
        <v>74</v>
      </c>
      <c r="D4695" s="420" t="s">
        <v>586</v>
      </c>
      <c r="E4695" s="23" t="s">
        <v>587</v>
      </c>
      <c r="F4695" s="251">
        <v>2</v>
      </c>
      <c r="G4695" s="252">
        <v>77</v>
      </c>
      <c r="H4695" s="253">
        <v>154</v>
      </c>
      <c r="I4695" s="264" t="s">
        <v>42</v>
      </c>
      <c r="J4695" s="255" t="s">
        <v>315</v>
      </c>
      <c r="K4695" s="256">
        <v>43496</v>
      </c>
      <c r="W4695" s="258">
        <v>43524</v>
      </c>
      <c r="X4695" s="258">
        <v>43495</v>
      </c>
      <c r="Y4695" s="259" t="s">
        <v>588</v>
      </c>
      <c r="Z4695" s="270">
        <v>1785</v>
      </c>
      <c r="AA4695" s="258">
        <v>43531</v>
      </c>
      <c r="AB4695" s="237"/>
      <c r="AC4695" s="244"/>
      <c r="AD4695" s="244"/>
      <c r="AE4695" s="244"/>
      <c r="AF4695" s="244"/>
      <c r="AG4695" s="251" t="s">
        <v>283</v>
      </c>
      <c r="AH4695" s="251"/>
      <c r="AI4695" s="260"/>
      <c r="AJ4695" s="251"/>
      <c r="AK4695" s="260"/>
      <c r="AL4695" s="260"/>
      <c r="AM4695" s="251" t="s">
        <v>49</v>
      </c>
      <c r="AN4695" s="251" t="s">
        <v>284</v>
      </c>
      <c r="AO4695" s="251" t="s">
        <v>50</v>
      </c>
      <c r="AP4695" s="251" t="s">
        <v>51</v>
      </c>
      <c r="AQ4695" s="262"/>
    </row>
    <row r="4696" spans="1:43" ht="15" customHeight="1">
      <c r="A4696" s="110">
        <v>43495</v>
      </c>
      <c r="B4696" s="32" t="s">
        <v>589</v>
      </c>
      <c r="C4696" s="21"/>
      <c r="D4696" s="21" t="s">
        <v>590</v>
      </c>
      <c r="E4696" s="23" t="s">
        <v>591</v>
      </c>
      <c r="F4696" s="24">
        <v>2</v>
      </c>
      <c r="G4696" s="48">
        <v>30</v>
      </c>
      <c r="H4696" s="421">
        <v>60</v>
      </c>
      <c r="I4696" s="296" t="s">
        <v>302</v>
      </c>
      <c r="J4696" s="422" t="s">
        <v>592</v>
      </c>
      <c r="K4696" s="29">
        <v>43522</v>
      </c>
      <c r="W4696" s="293">
        <v>43534</v>
      </c>
      <c r="X4696" s="293">
        <v>43522</v>
      </c>
      <c r="Y4696" s="294" t="s">
        <v>593</v>
      </c>
      <c r="Z4696" s="295">
        <v>1648</v>
      </c>
      <c r="AA4696" s="293">
        <v>43531</v>
      </c>
      <c r="AB4696" s="237"/>
      <c r="AC4696" s="244"/>
      <c r="AD4696" s="244"/>
      <c r="AE4696" s="244"/>
      <c r="AF4696" s="244"/>
      <c r="AG4696" s="369"/>
      <c r="AH4696" s="369"/>
      <c r="AI4696" s="370"/>
      <c r="AJ4696" s="371">
        <v>43630</v>
      </c>
      <c r="AK4696" s="370">
        <f>1314.64*31.47</f>
        <v>41371.720800000003</v>
      </c>
      <c r="AL4696" s="370">
        <f>(1346-1314.64)*31.47</f>
        <v>986.89919999999677</v>
      </c>
      <c r="AM4696" s="369" t="s">
        <v>49</v>
      </c>
      <c r="AN4696" s="369" t="s">
        <v>284</v>
      </c>
      <c r="AO4696" s="369" t="s">
        <v>50</v>
      </c>
      <c r="AP4696" s="369" t="s">
        <v>51</v>
      </c>
      <c r="AQ4696" s="372" t="s">
        <v>439</v>
      </c>
    </row>
    <row r="4697" spans="1:43" ht="15" customHeight="1">
      <c r="A4697" s="110">
        <v>43496</v>
      </c>
      <c r="B4697" s="21" t="s">
        <v>118</v>
      </c>
      <c r="C4697" s="21" t="s">
        <v>594</v>
      </c>
      <c r="D4697" s="21" t="s">
        <v>595</v>
      </c>
      <c r="E4697" s="23" t="s">
        <v>120</v>
      </c>
      <c r="F4697" s="24">
        <v>50</v>
      </c>
      <c r="G4697" s="48">
        <v>359</v>
      </c>
      <c r="H4697" s="26">
        <v>17950</v>
      </c>
      <c r="I4697" s="296" t="s">
        <v>170</v>
      </c>
      <c r="J4697" s="82" t="s">
        <v>121</v>
      </c>
      <c r="K4697" s="29">
        <v>43539</v>
      </c>
      <c r="W4697" s="293">
        <v>43585</v>
      </c>
      <c r="X4697" s="293">
        <v>43538</v>
      </c>
      <c r="Y4697" s="294" t="s">
        <v>596</v>
      </c>
      <c r="Z4697" s="295">
        <v>536670</v>
      </c>
      <c r="AA4697" s="300">
        <v>43586</v>
      </c>
      <c r="AB4697" s="237"/>
      <c r="AC4697" s="244"/>
      <c r="AD4697" s="244"/>
      <c r="AE4697" s="244"/>
      <c r="AF4697" s="244"/>
      <c r="AG4697" s="54" t="s">
        <v>538</v>
      </c>
      <c r="AH4697" s="54">
        <v>30.79</v>
      </c>
      <c r="AI4697" s="55"/>
      <c r="AJ4697" s="56">
        <v>43551</v>
      </c>
      <c r="AK4697" s="55">
        <f>42560.7*30.798</f>
        <v>1310784.4385999998</v>
      </c>
      <c r="AL4697" s="55">
        <f>(42592-42560.7)*30.798</f>
        <v>963.97740000008957</v>
      </c>
      <c r="AM4697" s="54" t="s">
        <v>49</v>
      </c>
      <c r="AN4697" s="24" t="s">
        <v>284</v>
      </c>
      <c r="AO4697" s="54" t="s">
        <v>50</v>
      </c>
      <c r="AP4697" s="54" t="s">
        <v>51</v>
      </c>
      <c r="AQ4697" s="57" t="s">
        <v>397</v>
      </c>
    </row>
    <row r="4698" spans="1:43" ht="15" customHeight="1">
      <c r="A4698" s="110">
        <v>43496</v>
      </c>
      <c r="B4698" s="250" t="s">
        <v>118</v>
      </c>
      <c r="C4698" s="250" t="s">
        <v>594</v>
      </c>
      <c r="D4698" s="250" t="s">
        <v>597</v>
      </c>
      <c r="E4698" s="23" t="s">
        <v>155</v>
      </c>
      <c r="F4698" s="251">
        <v>3</v>
      </c>
      <c r="G4698" s="252">
        <v>335</v>
      </c>
      <c r="H4698" s="330">
        <v>1005</v>
      </c>
      <c r="I4698" s="264" t="s">
        <v>170</v>
      </c>
      <c r="J4698" s="254" t="s">
        <v>121</v>
      </c>
      <c r="K4698" s="256">
        <v>43521</v>
      </c>
      <c r="W4698" s="258">
        <v>43555</v>
      </c>
      <c r="X4698" s="258">
        <v>43516</v>
      </c>
      <c r="Y4698" s="259" t="s">
        <v>598</v>
      </c>
      <c r="Z4698" s="270"/>
      <c r="AA4698" s="258">
        <v>43532</v>
      </c>
      <c r="AB4698" s="237"/>
      <c r="AC4698" s="244"/>
      <c r="AD4698" s="244"/>
      <c r="AE4698" s="244"/>
      <c r="AF4698" s="244"/>
      <c r="AG4698" s="251" t="s">
        <v>283</v>
      </c>
      <c r="AH4698" s="251"/>
      <c r="AI4698" s="260"/>
      <c r="AJ4698" s="305"/>
      <c r="AK4698" s="260"/>
      <c r="AL4698" s="260"/>
      <c r="AM4698" s="251" t="s">
        <v>49</v>
      </c>
      <c r="AN4698" s="251" t="s">
        <v>284</v>
      </c>
      <c r="AO4698" s="251" t="s">
        <v>50</v>
      </c>
      <c r="AP4698" s="251" t="s">
        <v>51</v>
      </c>
      <c r="AQ4698" s="262"/>
    </row>
    <row r="4699" spans="1:43" ht="15" customHeight="1">
      <c r="A4699" s="110">
        <v>43496</v>
      </c>
      <c r="B4699" s="250" t="s">
        <v>118</v>
      </c>
      <c r="C4699" s="250" t="s">
        <v>594</v>
      </c>
      <c r="D4699" s="250" t="s">
        <v>597</v>
      </c>
      <c r="E4699" s="23" t="s">
        <v>413</v>
      </c>
      <c r="F4699" s="251">
        <v>3</v>
      </c>
      <c r="G4699" s="252">
        <v>118</v>
      </c>
      <c r="H4699" s="330">
        <v>354</v>
      </c>
      <c r="I4699" s="264" t="s">
        <v>170</v>
      </c>
      <c r="J4699" s="264" t="s">
        <v>121</v>
      </c>
      <c r="K4699" s="256">
        <v>43521</v>
      </c>
      <c r="W4699" s="423">
        <v>43555</v>
      </c>
      <c r="X4699" s="424">
        <v>43516</v>
      </c>
      <c r="Y4699" s="259" t="s">
        <v>598</v>
      </c>
      <c r="Z4699" s="270"/>
      <c r="AA4699" s="258">
        <v>43532</v>
      </c>
      <c r="AB4699" s="237"/>
      <c r="AC4699" s="244"/>
      <c r="AD4699" s="244"/>
      <c r="AE4699" s="244"/>
      <c r="AF4699" s="244"/>
      <c r="AG4699" s="251" t="s">
        <v>283</v>
      </c>
      <c r="AH4699" s="251"/>
      <c r="AI4699" s="260"/>
      <c r="AJ4699" s="305"/>
      <c r="AK4699" s="260"/>
      <c r="AL4699" s="260"/>
      <c r="AM4699" s="251" t="s">
        <v>49</v>
      </c>
      <c r="AN4699" s="251" t="s">
        <v>284</v>
      </c>
      <c r="AO4699" s="251" t="s">
        <v>50</v>
      </c>
      <c r="AP4699" s="251" t="s">
        <v>51</v>
      </c>
      <c r="AQ4699" s="262"/>
    </row>
    <row r="4700" spans="1:43" ht="15" customHeight="1">
      <c r="A4700" s="110">
        <v>43496</v>
      </c>
      <c r="B4700" s="263" t="s">
        <v>118</v>
      </c>
      <c r="C4700" s="250" t="s">
        <v>594</v>
      </c>
      <c r="D4700" s="250" t="s">
        <v>597</v>
      </c>
      <c r="E4700" s="23" t="s">
        <v>160</v>
      </c>
      <c r="F4700" s="251">
        <v>5</v>
      </c>
      <c r="G4700" s="252">
        <v>485</v>
      </c>
      <c r="H4700" s="330">
        <v>2425</v>
      </c>
      <c r="I4700" s="264" t="s">
        <v>170</v>
      </c>
      <c r="J4700" s="264" t="s">
        <v>121</v>
      </c>
      <c r="K4700" s="256">
        <v>43521</v>
      </c>
      <c r="W4700" s="258">
        <v>43555</v>
      </c>
      <c r="X4700" s="258">
        <v>43516</v>
      </c>
      <c r="Y4700" s="259" t="s">
        <v>598</v>
      </c>
      <c r="Z4700" s="270"/>
      <c r="AA4700" s="258">
        <v>43532</v>
      </c>
      <c r="AB4700" s="237"/>
      <c r="AC4700" s="244"/>
      <c r="AD4700" s="244"/>
      <c r="AE4700" s="244"/>
      <c r="AF4700" s="244"/>
      <c r="AG4700" s="251" t="s">
        <v>283</v>
      </c>
      <c r="AH4700" s="251"/>
      <c r="AI4700" s="260"/>
      <c r="AJ4700" s="305"/>
      <c r="AK4700" s="260"/>
      <c r="AL4700" s="260"/>
      <c r="AM4700" s="251" t="s">
        <v>49</v>
      </c>
      <c r="AN4700" s="251" t="s">
        <v>284</v>
      </c>
      <c r="AO4700" s="251" t="s">
        <v>50</v>
      </c>
      <c r="AP4700" s="251" t="s">
        <v>51</v>
      </c>
      <c r="AQ4700" s="262"/>
    </row>
    <row r="4701" spans="1:43" ht="15" customHeight="1">
      <c r="A4701" s="110">
        <v>43496</v>
      </c>
      <c r="B4701" s="263" t="s">
        <v>118</v>
      </c>
      <c r="C4701" s="250" t="s">
        <v>594</v>
      </c>
      <c r="D4701" s="250" t="s">
        <v>597</v>
      </c>
      <c r="E4701" s="23" t="s">
        <v>161</v>
      </c>
      <c r="F4701" s="251">
        <v>10</v>
      </c>
      <c r="G4701" s="252">
        <v>738</v>
      </c>
      <c r="H4701" s="330">
        <v>7380</v>
      </c>
      <c r="I4701" s="264" t="s">
        <v>170</v>
      </c>
      <c r="J4701" s="264" t="s">
        <v>121</v>
      </c>
      <c r="K4701" s="256">
        <v>43521</v>
      </c>
      <c r="W4701" s="258">
        <v>43555</v>
      </c>
      <c r="X4701" s="258">
        <v>43516</v>
      </c>
      <c r="Y4701" s="259" t="s">
        <v>598</v>
      </c>
      <c r="Z4701" s="270"/>
      <c r="AA4701" s="258">
        <v>43532</v>
      </c>
      <c r="AB4701" s="237"/>
      <c r="AC4701" s="244"/>
      <c r="AD4701" s="244"/>
      <c r="AE4701" s="244"/>
      <c r="AF4701" s="244"/>
      <c r="AG4701" s="251" t="s">
        <v>283</v>
      </c>
      <c r="AH4701" s="251"/>
      <c r="AI4701" s="260"/>
      <c r="AJ4701" s="305"/>
      <c r="AK4701" s="260"/>
      <c r="AL4701" s="260"/>
      <c r="AM4701" s="251" t="s">
        <v>49</v>
      </c>
      <c r="AN4701" s="251" t="s">
        <v>284</v>
      </c>
      <c r="AO4701" s="251" t="s">
        <v>50</v>
      </c>
      <c r="AP4701" s="251" t="s">
        <v>51</v>
      </c>
      <c r="AQ4701" s="262"/>
    </row>
    <row r="4702" spans="1:43" ht="15" customHeight="1">
      <c r="A4702" s="110">
        <v>43496</v>
      </c>
      <c r="B4702" s="263" t="s">
        <v>599</v>
      </c>
      <c r="C4702" s="250" t="s">
        <v>600</v>
      </c>
      <c r="D4702" s="250" t="s">
        <v>601</v>
      </c>
      <c r="E4702" s="23" t="s">
        <v>602</v>
      </c>
      <c r="F4702" s="251">
        <v>5</v>
      </c>
      <c r="G4702" s="252">
        <v>241.5</v>
      </c>
      <c r="H4702" s="253">
        <v>1207.5</v>
      </c>
      <c r="I4702" s="264" t="s">
        <v>42</v>
      </c>
      <c r="J4702" s="331" t="s">
        <v>603</v>
      </c>
      <c r="K4702" s="256">
        <v>43515</v>
      </c>
      <c r="W4702" s="259" t="s">
        <v>421</v>
      </c>
      <c r="X4702" s="269">
        <v>43510</v>
      </c>
      <c r="Y4702" s="259" t="s">
        <v>604</v>
      </c>
      <c r="Z4702" s="270">
        <v>43384</v>
      </c>
      <c r="AA4702" s="258">
        <v>43531</v>
      </c>
      <c r="AB4702" s="237"/>
      <c r="AC4702" s="244"/>
      <c r="AD4702" s="244"/>
      <c r="AE4702" s="244"/>
      <c r="AF4702" s="244"/>
      <c r="AG4702" s="251"/>
      <c r="AH4702" s="251"/>
      <c r="AI4702" s="260"/>
      <c r="AJ4702" s="251"/>
      <c r="AK4702" s="260"/>
      <c r="AL4702" s="260"/>
      <c r="AM4702" s="251" t="s">
        <v>49</v>
      </c>
      <c r="AN4702" s="251" t="s">
        <v>284</v>
      </c>
      <c r="AO4702" s="251" t="s">
        <v>50</v>
      </c>
      <c r="AP4702" s="251" t="s">
        <v>376</v>
      </c>
      <c r="AQ4702" s="262"/>
    </row>
    <row r="4703" spans="1:43" ht="15" customHeight="1">
      <c r="A4703" s="110">
        <v>43496</v>
      </c>
      <c r="B4703" s="263" t="s">
        <v>599</v>
      </c>
      <c r="C4703" s="250" t="s">
        <v>600</v>
      </c>
      <c r="D4703" s="250" t="s">
        <v>601</v>
      </c>
      <c r="E4703" s="23" t="s">
        <v>605</v>
      </c>
      <c r="F4703" s="251">
        <v>5</v>
      </c>
      <c r="G4703" s="252">
        <v>73.5</v>
      </c>
      <c r="H4703" s="253">
        <v>367.5</v>
      </c>
      <c r="I4703" s="264" t="s">
        <v>42</v>
      </c>
      <c r="J4703" s="401" t="s">
        <v>603</v>
      </c>
      <c r="K4703" s="256">
        <v>43515</v>
      </c>
      <c r="W4703" s="259" t="s">
        <v>421</v>
      </c>
      <c r="X4703" s="269">
        <v>43510</v>
      </c>
      <c r="Y4703" s="259" t="s">
        <v>604</v>
      </c>
      <c r="Z4703" s="259"/>
      <c r="AA4703" s="258">
        <v>43531</v>
      </c>
      <c r="AB4703" s="237"/>
      <c r="AC4703" s="244"/>
      <c r="AD4703" s="244"/>
      <c r="AE4703" s="244"/>
      <c r="AF4703" s="244"/>
      <c r="AG4703" s="251"/>
      <c r="AH4703" s="251"/>
      <c r="AI4703" s="260"/>
      <c r="AJ4703" s="251"/>
      <c r="AK4703" s="260"/>
      <c r="AL4703" s="260"/>
      <c r="AM4703" s="251" t="s">
        <v>49</v>
      </c>
      <c r="AN4703" s="251" t="s">
        <v>284</v>
      </c>
      <c r="AO4703" s="251" t="s">
        <v>50</v>
      </c>
      <c r="AP4703" s="251" t="s">
        <v>376</v>
      </c>
      <c r="AQ4703" s="262"/>
    </row>
    <row r="4704" spans="1:43" ht="15" customHeight="1">
      <c r="A4704" s="110">
        <v>43496</v>
      </c>
      <c r="B4704" s="147" t="s">
        <v>405</v>
      </c>
      <c r="C4704" s="21">
        <v>7000145102</v>
      </c>
      <c r="D4704" s="139" t="s">
        <v>606</v>
      </c>
      <c r="E4704" s="23" t="s">
        <v>607</v>
      </c>
      <c r="F4704" s="24">
        <v>5</v>
      </c>
      <c r="G4704" s="48">
        <v>775</v>
      </c>
      <c r="H4704" s="26">
        <v>3875</v>
      </c>
      <c r="I4704" s="296" t="s">
        <v>42</v>
      </c>
      <c r="J4704" s="425" t="s">
        <v>519</v>
      </c>
      <c r="K4704" s="29">
        <v>43546</v>
      </c>
      <c r="W4704" s="304"/>
      <c r="X4704" s="304"/>
      <c r="Y4704" s="304"/>
      <c r="Z4704" s="404"/>
      <c r="AA4704" s="304"/>
      <c r="AB4704" s="237"/>
      <c r="AC4704" s="244"/>
      <c r="AD4704" s="244"/>
      <c r="AE4704" s="244"/>
      <c r="AF4704" s="244"/>
      <c r="AG4704" s="296"/>
      <c r="AH4704" s="296">
        <v>30.824999999999999</v>
      </c>
      <c r="AI4704" s="297"/>
      <c r="AJ4704" s="145">
        <v>43588</v>
      </c>
      <c r="AK4704" s="297"/>
      <c r="AL4704" s="297"/>
      <c r="AM4704" s="296" t="s">
        <v>49</v>
      </c>
      <c r="AN4704" s="24" t="s">
        <v>284</v>
      </c>
      <c r="AO4704" s="296" t="s">
        <v>285</v>
      </c>
      <c r="AP4704" s="296" t="s">
        <v>51</v>
      </c>
      <c r="AQ4704" s="234" t="s">
        <v>304</v>
      </c>
    </row>
    <row r="4705" spans="1:43" ht="15" customHeight="1">
      <c r="A4705" s="110">
        <v>43496</v>
      </c>
      <c r="B4705" s="250" t="s">
        <v>118</v>
      </c>
      <c r="C4705" s="250" t="s">
        <v>594</v>
      </c>
      <c r="D4705" s="250"/>
      <c r="E4705" s="23" t="s">
        <v>157</v>
      </c>
      <c r="F4705" s="251">
        <v>5</v>
      </c>
      <c r="G4705" s="252">
        <v>979</v>
      </c>
      <c r="H4705" s="330">
        <v>4895</v>
      </c>
      <c r="I4705" s="264" t="s">
        <v>170</v>
      </c>
      <c r="J4705" s="426" t="s">
        <v>121</v>
      </c>
      <c r="K4705" s="256">
        <v>43521</v>
      </c>
      <c r="W4705" s="258">
        <v>43555</v>
      </c>
      <c r="X4705" s="258">
        <v>43516</v>
      </c>
      <c r="Y4705" s="259" t="s">
        <v>598</v>
      </c>
      <c r="Z4705" s="270">
        <v>436313</v>
      </c>
      <c r="AA4705" s="258">
        <v>43532</v>
      </c>
      <c r="AB4705" s="237"/>
      <c r="AC4705" s="244"/>
      <c r="AD4705" s="244"/>
      <c r="AE4705" s="244"/>
      <c r="AF4705" s="244"/>
      <c r="AG4705" s="251" t="s">
        <v>283</v>
      </c>
      <c r="AH4705" s="251"/>
      <c r="AI4705" s="260"/>
      <c r="AJ4705" s="305"/>
      <c r="AK4705" s="260"/>
      <c r="AL4705" s="260"/>
      <c r="AM4705" s="251" t="s">
        <v>49</v>
      </c>
      <c r="AN4705" s="251" t="s">
        <v>284</v>
      </c>
      <c r="AO4705" s="251" t="s">
        <v>50</v>
      </c>
      <c r="AP4705" s="251" t="s">
        <v>51</v>
      </c>
      <c r="AQ4705" s="262"/>
    </row>
    <row r="4706" spans="1:43" ht="15" customHeight="1">
      <c r="A4706" s="110">
        <v>43497</v>
      </c>
      <c r="B4706" s="250" t="s">
        <v>405</v>
      </c>
      <c r="C4706" s="250">
        <v>7000144687</v>
      </c>
      <c r="D4706" s="250" t="s">
        <v>608</v>
      </c>
      <c r="E4706" s="23" t="s">
        <v>609</v>
      </c>
      <c r="F4706" s="251">
        <v>4</v>
      </c>
      <c r="G4706" s="252">
        <v>148</v>
      </c>
      <c r="H4706" s="253">
        <v>592</v>
      </c>
      <c r="I4706" s="264" t="s">
        <v>42</v>
      </c>
      <c r="J4706" s="255" t="s">
        <v>512</v>
      </c>
      <c r="K4706" s="256">
        <v>43510</v>
      </c>
      <c r="W4706" s="258">
        <v>43585</v>
      </c>
      <c r="X4706" s="258">
        <v>43508</v>
      </c>
      <c r="Y4706" s="259" t="s">
        <v>610</v>
      </c>
      <c r="Z4706" s="270">
        <v>16388</v>
      </c>
      <c r="AA4706" s="368">
        <v>43588</v>
      </c>
      <c r="AB4706" s="237"/>
      <c r="AC4706" s="244"/>
      <c r="AD4706" s="244"/>
      <c r="AE4706" s="244"/>
      <c r="AF4706" s="244"/>
      <c r="AG4706" s="251" t="s">
        <v>283</v>
      </c>
      <c r="AH4706" s="251"/>
      <c r="AI4706" s="260"/>
      <c r="AJ4706" s="251"/>
      <c r="AK4706" s="260"/>
      <c r="AL4706" s="260"/>
      <c r="AM4706" s="251" t="s">
        <v>49</v>
      </c>
      <c r="AN4706" s="251" t="s">
        <v>284</v>
      </c>
      <c r="AO4706" s="251" t="s">
        <v>50</v>
      </c>
      <c r="AP4706" s="251" t="s">
        <v>51</v>
      </c>
      <c r="AQ4706" s="262"/>
    </row>
    <row r="4707" spans="1:43" ht="15" customHeight="1">
      <c r="A4707" s="110">
        <v>43497</v>
      </c>
      <c r="B4707" s="250" t="s">
        <v>405</v>
      </c>
      <c r="C4707" s="250">
        <v>7000144687</v>
      </c>
      <c r="D4707" s="250" t="s">
        <v>611</v>
      </c>
      <c r="E4707" s="23" t="s">
        <v>612</v>
      </c>
      <c r="F4707" s="251">
        <v>1</v>
      </c>
      <c r="G4707" s="252">
        <v>298</v>
      </c>
      <c r="H4707" s="253">
        <v>298</v>
      </c>
      <c r="I4707" s="264" t="s">
        <v>42</v>
      </c>
      <c r="J4707" s="255" t="s">
        <v>512</v>
      </c>
      <c r="K4707" s="256">
        <v>43510</v>
      </c>
      <c r="W4707" s="258">
        <v>43585</v>
      </c>
      <c r="X4707" s="258">
        <v>43508</v>
      </c>
      <c r="Y4707" s="259" t="s">
        <v>613</v>
      </c>
      <c r="Z4707" s="270">
        <v>9074</v>
      </c>
      <c r="AA4707" s="368">
        <v>43588</v>
      </c>
      <c r="AB4707" s="237"/>
      <c r="AC4707" s="244"/>
      <c r="AD4707" s="244"/>
      <c r="AE4707" s="244"/>
      <c r="AF4707" s="244"/>
      <c r="AG4707" s="251" t="s">
        <v>283</v>
      </c>
      <c r="AH4707" s="251"/>
      <c r="AI4707" s="260"/>
      <c r="AJ4707" s="251"/>
      <c r="AK4707" s="260"/>
      <c r="AL4707" s="260"/>
      <c r="AM4707" s="251" t="s">
        <v>49</v>
      </c>
      <c r="AN4707" s="251" t="s">
        <v>284</v>
      </c>
      <c r="AO4707" s="251" t="s">
        <v>50</v>
      </c>
      <c r="AP4707" s="251" t="s">
        <v>51</v>
      </c>
      <c r="AQ4707" s="262"/>
    </row>
    <row r="4708" spans="1:43" ht="15" customHeight="1">
      <c r="A4708" s="110">
        <v>43497</v>
      </c>
      <c r="B4708" s="250" t="s">
        <v>405</v>
      </c>
      <c r="C4708" s="250">
        <v>7000144687</v>
      </c>
      <c r="D4708" s="250" t="s">
        <v>611</v>
      </c>
      <c r="E4708" s="23" t="s">
        <v>614</v>
      </c>
      <c r="F4708" s="251">
        <v>1</v>
      </c>
      <c r="G4708" s="252">
        <v>23</v>
      </c>
      <c r="H4708" s="253">
        <v>23</v>
      </c>
      <c r="I4708" s="264" t="s">
        <v>42</v>
      </c>
      <c r="J4708" s="255" t="s">
        <v>512</v>
      </c>
      <c r="K4708" s="256">
        <v>43510</v>
      </c>
      <c r="W4708" s="258">
        <v>43585</v>
      </c>
      <c r="X4708" s="258">
        <v>43508</v>
      </c>
      <c r="Y4708" s="259" t="s">
        <v>613</v>
      </c>
      <c r="Z4708" s="270"/>
      <c r="AA4708" s="368">
        <v>43588</v>
      </c>
      <c r="AB4708" s="237"/>
      <c r="AC4708" s="244"/>
      <c r="AD4708" s="244"/>
      <c r="AE4708" s="244"/>
      <c r="AF4708" s="244"/>
      <c r="AG4708" s="251" t="s">
        <v>283</v>
      </c>
      <c r="AH4708" s="251"/>
      <c r="AI4708" s="260"/>
      <c r="AJ4708" s="251"/>
      <c r="AK4708" s="260"/>
      <c r="AL4708" s="260"/>
      <c r="AM4708" s="251" t="s">
        <v>49</v>
      </c>
      <c r="AN4708" s="251" t="s">
        <v>284</v>
      </c>
      <c r="AO4708" s="251" t="s">
        <v>50</v>
      </c>
      <c r="AP4708" s="251" t="s">
        <v>51</v>
      </c>
      <c r="AQ4708" s="262"/>
    </row>
    <row r="4709" spans="1:43" ht="15" customHeight="1">
      <c r="A4709" s="341">
        <v>43502</v>
      </c>
      <c r="B4709" s="308" t="s">
        <v>325</v>
      </c>
      <c r="C4709" s="250">
        <v>2027408</v>
      </c>
      <c r="D4709" s="308" t="s">
        <v>615</v>
      </c>
      <c r="E4709" s="23" t="s">
        <v>41</v>
      </c>
      <c r="F4709" s="251">
        <v>10</v>
      </c>
      <c r="G4709" s="252">
        <v>273</v>
      </c>
      <c r="H4709" s="253">
        <v>2730</v>
      </c>
      <c r="I4709" s="264" t="s">
        <v>42</v>
      </c>
      <c r="J4709" s="319" t="s">
        <v>328</v>
      </c>
      <c r="K4709" s="256">
        <v>43531</v>
      </c>
      <c r="W4709" s="258">
        <v>43546</v>
      </c>
      <c r="X4709" s="258">
        <v>43516</v>
      </c>
      <c r="Y4709" s="259" t="s">
        <v>616</v>
      </c>
      <c r="Z4709" s="270">
        <v>67368</v>
      </c>
      <c r="AA4709" s="258">
        <v>43558</v>
      </c>
      <c r="AB4709" s="237"/>
      <c r="AC4709" s="244"/>
      <c r="AD4709" s="244"/>
      <c r="AE4709" s="244"/>
      <c r="AF4709" s="244"/>
      <c r="AG4709" s="251" t="s">
        <v>283</v>
      </c>
      <c r="AH4709" s="251"/>
      <c r="AI4709" s="260"/>
      <c r="AJ4709" s="251"/>
      <c r="AK4709" s="260"/>
      <c r="AL4709" s="260"/>
      <c r="AM4709" s="251" t="s">
        <v>49</v>
      </c>
      <c r="AN4709" s="251" t="s">
        <v>284</v>
      </c>
      <c r="AO4709" s="251" t="s">
        <v>50</v>
      </c>
      <c r="AP4709" s="251" t="s">
        <v>51</v>
      </c>
      <c r="AQ4709" s="262"/>
    </row>
    <row r="4710" spans="1:43" ht="15" customHeight="1">
      <c r="A4710" s="341">
        <v>43502</v>
      </c>
      <c r="B4710" s="308" t="s">
        <v>325</v>
      </c>
      <c r="C4710" s="250">
        <v>2027408</v>
      </c>
      <c r="D4710" s="308" t="s">
        <v>615</v>
      </c>
      <c r="E4710" s="23" t="s">
        <v>52</v>
      </c>
      <c r="F4710" s="251">
        <v>10</v>
      </c>
      <c r="G4710" s="252">
        <v>31</v>
      </c>
      <c r="H4710" s="253">
        <v>310</v>
      </c>
      <c r="I4710" s="264" t="s">
        <v>42</v>
      </c>
      <c r="J4710" s="367" t="s">
        <v>328</v>
      </c>
      <c r="K4710" s="256">
        <v>43531</v>
      </c>
      <c r="W4710" s="258">
        <v>43585</v>
      </c>
      <c r="X4710" s="258">
        <v>43528</v>
      </c>
      <c r="Y4710" s="259" t="s">
        <v>617</v>
      </c>
      <c r="Z4710" s="259"/>
      <c r="AA4710" s="368">
        <v>43588</v>
      </c>
      <c r="AB4710" s="237"/>
      <c r="AC4710" s="244"/>
      <c r="AD4710" s="244"/>
      <c r="AE4710" s="244"/>
      <c r="AF4710" s="244"/>
      <c r="AG4710" s="251" t="s">
        <v>283</v>
      </c>
      <c r="AH4710" s="251"/>
      <c r="AI4710" s="260"/>
      <c r="AJ4710" s="251"/>
      <c r="AK4710" s="260"/>
      <c r="AL4710" s="260"/>
      <c r="AM4710" s="251" t="s">
        <v>49</v>
      </c>
      <c r="AN4710" s="251" t="s">
        <v>284</v>
      </c>
      <c r="AO4710" s="251" t="s">
        <v>50</v>
      </c>
      <c r="AP4710" s="251" t="s">
        <v>51</v>
      </c>
      <c r="AQ4710" s="262"/>
    </row>
    <row r="4711" spans="1:43" ht="15" customHeight="1">
      <c r="A4711" s="341">
        <v>43502</v>
      </c>
      <c r="B4711" s="308" t="s">
        <v>325</v>
      </c>
      <c r="C4711" s="250">
        <v>2027408</v>
      </c>
      <c r="D4711" s="308" t="s">
        <v>615</v>
      </c>
      <c r="E4711" s="23" t="s">
        <v>58</v>
      </c>
      <c r="F4711" s="251">
        <v>10</v>
      </c>
      <c r="G4711" s="252">
        <v>4</v>
      </c>
      <c r="H4711" s="253">
        <v>40</v>
      </c>
      <c r="I4711" s="264" t="s">
        <v>42</v>
      </c>
      <c r="J4711" s="367" t="s">
        <v>328</v>
      </c>
      <c r="K4711" s="256">
        <v>43531</v>
      </c>
      <c r="W4711" s="258">
        <v>43585</v>
      </c>
      <c r="X4711" s="258">
        <v>43528</v>
      </c>
      <c r="Y4711" s="259" t="s">
        <v>617</v>
      </c>
      <c r="Z4711" s="259"/>
      <c r="AA4711" s="368">
        <v>43588</v>
      </c>
      <c r="AB4711" s="237"/>
      <c r="AC4711" s="244"/>
      <c r="AD4711" s="244"/>
      <c r="AE4711" s="244"/>
      <c r="AF4711" s="244"/>
      <c r="AG4711" s="251" t="s">
        <v>283</v>
      </c>
      <c r="AH4711" s="251"/>
      <c r="AI4711" s="260"/>
      <c r="AJ4711" s="251"/>
      <c r="AK4711" s="260"/>
      <c r="AL4711" s="260"/>
      <c r="AM4711" s="251" t="s">
        <v>49</v>
      </c>
      <c r="AN4711" s="251" t="s">
        <v>284</v>
      </c>
      <c r="AO4711" s="251" t="s">
        <v>50</v>
      </c>
      <c r="AP4711" s="251" t="s">
        <v>51</v>
      </c>
      <c r="AQ4711" s="262"/>
    </row>
    <row r="4712" spans="1:43" ht="15" customHeight="1">
      <c r="A4712" s="341">
        <v>43502</v>
      </c>
      <c r="B4712" s="318" t="s">
        <v>325</v>
      </c>
      <c r="C4712" s="250">
        <v>2027408</v>
      </c>
      <c r="D4712" s="308" t="s">
        <v>618</v>
      </c>
      <c r="E4712" s="23" t="s">
        <v>60</v>
      </c>
      <c r="F4712" s="251">
        <v>10</v>
      </c>
      <c r="G4712" s="252">
        <v>567</v>
      </c>
      <c r="H4712" s="253">
        <v>5670</v>
      </c>
      <c r="I4712" s="264" t="s">
        <v>42</v>
      </c>
      <c r="J4712" s="367" t="s">
        <v>328</v>
      </c>
      <c r="K4712" s="256">
        <v>43531</v>
      </c>
      <c r="W4712" s="258">
        <v>43585</v>
      </c>
      <c r="X4712" s="258">
        <v>43528</v>
      </c>
      <c r="Y4712" s="259" t="s">
        <v>617</v>
      </c>
      <c r="Z4712" s="270">
        <v>172398</v>
      </c>
      <c r="AA4712" s="368">
        <v>43588</v>
      </c>
      <c r="AB4712" s="237"/>
      <c r="AC4712" s="244"/>
      <c r="AD4712" s="244"/>
      <c r="AE4712" s="244"/>
      <c r="AF4712" s="244"/>
      <c r="AG4712" s="251" t="s">
        <v>283</v>
      </c>
      <c r="AH4712" s="251"/>
      <c r="AI4712" s="260"/>
      <c r="AJ4712" s="251"/>
      <c r="AK4712" s="260"/>
      <c r="AL4712" s="260"/>
      <c r="AM4712" s="251" t="s">
        <v>49</v>
      </c>
      <c r="AN4712" s="251" t="s">
        <v>284</v>
      </c>
      <c r="AO4712" s="251" t="s">
        <v>50</v>
      </c>
      <c r="AP4712" s="251" t="s">
        <v>51</v>
      </c>
      <c r="AQ4712" s="262"/>
    </row>
    <row r="4713" spans="1:43" ht="15" customHeight="1">
      <c r="A4713" s="341">
        <v>43502</v>
      </c>
      <c r="B4713" s="263" t="s">
        <v>619</v>
      </c>
      <c r="C4713" s="250"/>
      <c r="D4713" s="250" t="s">
        <v>620</v>
      </c>
      <c r="E4713" s="23" t="s">
        <v>621</v>
      </c>
      <c r="F4713" s="251">
        <v>1</v>
      </c>
      <c r="G4713" s="252">
        <v>326.55</v>
      </c>
      <c r="H4713" s="253">
        <v>326.55</v>
      </c>
      <c r="I4713" s="264" t="s">
        <v>42</v>
      </c>
      <c r="J4713" s="367" t="s">
        <v>89</v>
      </c>
      <c r="K4713" s="256">
        <v>43516</v>
      </c>
      <c r="W4713" s="258">
        <v>43555</v>
      </c>
      <c r="X4713" s="258">
        <v>43515</v>
      </c>
      <c r="Y4713" s="259" t="s">
        <v>622</v>
      </c>
      <c r="Z4713" s="270">
        <v>9215</v>
      </c>
      <c r="AA4713" s="258">
        <v>43557</v>
      </c>
      <c r="AB4713" s="237"/>
      <c r="AC4713" s="244"/>
      <c r="AD4713" s="244"/>
      <c r="AE4713" s="244"/>
      <c r="AF4713" s="244"/>
      <c r="AG4713" s="251"/>
      <c r="AH4713" s="251"/>
      <c r="AI4713" s="260"/>
      <c r="AJ4713" s="251"/>
      <c r="AK4713" s="260"/>
      <c r="AL4713" s="260"/>
      <c r="AM4713" s="251" t="s">
        <v>49</v>
      </c>
      <c r="AN4713" s="251" t="s">
        <v>284</v>
      </c>
      <c r="AO4713" s="251" t="s">
        <v>50</v>
      </c>
      <c r="AP4713" s="251" t="s">
        <v>376</v>
      </c>
      <c r="AQ4713" s="262"/>
    </row>
    <row r="4714" spans="1:43" ht="15" customHeight="1">
      <c r="A4714" s="69">
        <v>43503</v>
      </c>
      <c r="B4714" s="263" t="s">
        <v>405</v>
      </c>
      <c r="C4714" s="250"/>
      <c r="D4714" s="250" t="s">
        <v>582</v>
      </c>
      <c r="E4714" s="23" t="s">
        <v>623</v>
      </c>
      <c r="F4714" s="251">
        <v>5</v>
      </c>
      <c r="G4714" s="252">
        <v>0</v>
      </c>
      <c r="H4714" s="253">
        <v>0</v>
      </c>
      <c r="I4714" s="264" t="s">
        <v>42</v>
      </c>
      <c r="J4714" s="401" t="s">
        <v>512</v>
      </c>
      <c r="K4714" s="256">
        <v>43510</v>
      </c>
      <c r="W4714" s="337"/>
      <c r="X4714" s="329" t="s">
        <v>576</v>
      </c>
      <c r="Y4714" s="329" t="s">
        <v>576</v>
      </c>
      <c r="Z4714" s="329"/>
      <c r="AA4714" s="329"/>
      <c r="AB4714" s="237"/>
      <c r="AC4714" s="244"/>
      <c r="AD4714" s="244"/>
      <c r="AE4714" s="244"/>
      <c r="AF4714" s="244"/>
      <c r="AG4714" s="251"/>
      <c r="AH4714" s="251"/>
      <c r="AI4714" s="260"/>
      <c r="AJ4714" s="251"/>
      <c r="AK4714" s="260"/>
      <c r="AL4714" s="260"/>
      <c r="AM4714" s="251" t="s">
        <v>49</v>
      </c>
      <c r="AN4714" s="251" t="s">
        <v>284</v>
      </c>
      <c r="AO4714" s="251" t="s">
        <v>50</v>
      </c>
      <c r="AP4714" s="251" t="s">
        <v>51</v>
      </c>
      <c r="AQ4714" s="262"/>
    </row>
    <row r="4715" spans="1:43" ht="15" customHeight="1">
      <c r="A4715" s="69">
        <v>43507</v>
      </c>
      <c r="B4715" s="250" t="s">
        <v>577</v>
      </c>
      <c r="C4715" s="21">
        <v>20190201001</v>
      </c>
      <c r="D4715" s="427" t="s">
        <v>624</v>
      </c>
      <c r="E4715" s="23" t="s">
        <v>625</v>
      </c>
      <c r="F4715" s="24">
        <v>1</v>
      </c>
      <c r="G4715" s="48">
        <v>1643.25</v>
      </c>
      <c r="H4715" s="26">
        <v>1643.25</v>
      </c>
      <c r="I4715" s="296" t="s">
        <v>170</v>
      </c>
      <c r="J4715" s="63" t="s">
        <v>626</v>
      </c>
      <c r="K4715" s="30">
        <v>43553</v>
      </c>
      <c r="W4715" s="52"/>
      <c r="X4715" s="53"/>
      <c r="Y4715" s="53"/>
      <c r="Z4715" s="53"/>
      <c r="AA4715" s="53"/>
      <c r="AB4715" s="237"/>
      <c r="AC4715" s="244"/>
      <c r="AD4715" s="244"/>
      <c r="AE4715" s="244"/>
      <c r="AF4715" s="244"/>
      <c r="AG4715" s="54"/>
      <c r="AH4715" s="54"/>
      <c r="AI4715" s="55"/>
      <c r="AJ4715" s="54"/>
      <c r="AK4715" s="55"/>
      <c r="AL4715" s="55"/>
      <c r="AM4715" s="54" t="s">
        <v>49</v>
      </c>
      <c r="AN4715" s="24" t="s">
        <v>284</v>
      </c>
      <c r="AO4715" s="54" t="s">
        <v>285</v>
      </c>
      <c r="AP4715" s="54" t="s">
        <v>376</v>
      </c>
      <c r="AQ4715" s="57" t="s">
        <v>397</v>
      </c>
    </row>
    <row r="4716" spans="1:43" ht="15" customHeight="1">
      <c r="A4716" s="69">
        <v>43507</v>
      </c>
      <c r="B4716" s="147" t="s">
        <v>577</v>
      </c>
      <c r="C4716" s="21">
        <v>20190201001</v>
      </c>
      <c r="D4716" s="21" t="s">
        <v>627</v>
      </c>
      <c r="E4716" s="23" t="s">
        <v>628</v>
      </c>
      <c r="F4716" s="24">
        <v>2</v>
      </c>
      <c r="G4716" s="48">
        <v>1888.95</v>
      </c>
      <c r="H4716" s="26">
        <v>3777.9</v>
      </c>
      <c r="I4716" s="296" t="s">
        <v>170</v>
      </c>
      <c r="J4716" s="63" t="s">
        <v>626</v>
      </c>
      <c r="K4716" s="29">
        <v>43542</v>
      </c>
      <c r="W4716" s="52"/>
      <c r="X4716" s="53"/>
      <c r="Y4716" s="53"/>
      <c r="Z4716" s="53"/>
      <c r="AA4716" s="53"/>
      <c r="AB4716" s="237"/>
      <c r="AC4716" s="244"/>
      <c r="AD4716" s="244"/>
      <c r="AE4716" s="244"/>
      <c r="AF4716" s="244"/>
      <c r="AG4716" s="54"/>
      <c r="AH4716" s="54"/>
      <c r="AI4716" s="55"/>
      <c r="AJ4716" s="54"/>
      <c r="AK4716" s="55"/>
      <c r="AL4716" s="55"/>
      <c r="AM4716" s="54" t="s">
        <v>49</v>
      </c>
      <c r="AN4716" s="24" t="s">
        <v>284</v>
      </c>
      <c r="AO4716" s="54" t="s">
        <v>285</v>
      </c>
      <c r="AP4716" s="54" t="s">
        <v>376</v>
      </c>
      <c r="AQ4716" s="57" t="s">
        <v>397</v>
      </c>
    </row>
    <row r="4717" spans="1:43" ht="15" customHeight="1">
      <c r="A4717" s="69">
        <v>43508</v>
      </c>
      <c r="B4717" s="70" t="s">
        <v>629</v>
      </c>
      <c r="C4717" s="290" t="s">
        <v>630</v>
      </c>
      <c r="D4717" s="290" t="s">
        <v>631</v>
      </c>
      <c r="E4717" s="23" t="s">
        <v>632</v>
      </c>
      <c r="F4717" s="54">
        <v>25</v>
      </c>
      <c r="G4717" s="47">
        <v>173.25</v>
      </c>
      <c r="H4717" s="26">
        <v>4331.25</v>
      </c>
      <c r="I4717" s="296" t="s">
        <v>170</v>
      </c>
      <c r="J4717" s="63" t="s">
        <v>626</v>
      </c>
      <c r="K4717" s="30">
        <v>43516</v>
      </c>
      <c r="W4717" s="293">
        <v>43529</v>
      </c>
      <c r="X4717" s="293">
        <v>43514</v>
      </c>
      <c r="Y4717" s="294" t="s">
        <v>633</v>
      </c>
      <c r="Z4717" s="295">
        <v>127313</v>
      </c>
      <c r="AA4717" s="293">
        <v>43531</v>
      </c>
      <c r="AB4717" s="237"/>
      <c r="AC4717" s="244"/>
      <c r="AD4717" s="244"/>
      <c r="AE4717" s="244"/>
      <c r="AF4717" s="244"/>
      <c r="AG4717" s="54"/>
      <c r="AH4717" s="54"/>
      <c r="AI4717" s="55"/>
      <c r="AJ4717" s="54"/>
      <c r="AK4717" s="55"/>
      <c r="AL4717" s="55"/>
      <c r="AM4717" s="54" t="s">
        <v>49</v>
      </c>
      <c r="AN4717" s="24" t="s">
        <v>284</v>
      </c>
      <c r="AO4717" s="54" t="s">
        <v>50</v>
      </c>
      <c r="AP4717" s="54" t="s">
        <v>376</v>
      </c>
      <c r="AQ4717" s="57" t="s">
        <v>397</v>
      </c>
    </row>
    <row r="4718" spans="1:43" ht="15" customHeight="1">
      <c r="A4718" s="69">
        <v>43508</v>
      </c>
      <c r="B4718" s="263" t="s">
        <v>463</v>
      </c>
      <c r="C4718" s="250" t="s">
        <v>634</v>
      </c>
      <c r="D4718" s="326" t="s">
        <v>635</v>
      </c>
      <c r="E4718" s="23" t="s">
        <v>636</v>
      </c>
      <c r="F4718" s="251">
        <v>1</v>
      </c>
      <c r="G4718" s="265">
        <v>80</v>
      </c>
      <c r="H4718" s="253">
        <v>80</v>
      </c>
      <c r="I4718" s="264" t="s">
        <v>170</v>
      </c>
      <c r="J4718" s="251" t="s">
        <v>466</v>
      </c>
      <c r="K4718" s="256">
        <v>43550</v>
      </c>
      <c r="W4718" s="259" t="s">
        <v>421</v>
      </c>
      <c r="X4718" s="258">
        <v>43537</v>
      </c>
      <c r="Y4718" s="259" t="s">
        <v>637</v>
      </c>
      <c r="Z4718" s="270">
        <v>3768</v>
      </c>
      <c r="AA4718" s="258">
        <v>43512</v>
      </c>
      <c r="AB4718" s="237"/>
      <c r="AC4718" s="244"/>
      <c r="AD4718" s="244"/>
      <c r="AE4718" s="244"/>
      <c r="AF4718" s="244"/>
      <c r="AG4718" s="251" t="s">
        <v>283</v>
      </c>
      <c r="AH4718" s="251">
        <v>30.824999999999999</v>
      </c>
      <c r="AI4718" s="260"/>
      <c r="AJ4718" s="251"/>
      <c r="AK4718" s="260"/>
      <c r="AL4718" s="260"/>
      <c r="AM4718" s="251" t="s">
        <v>49</v>
      </c>
      <c r="AN4718" s="251" t="s">
        <v>284</v>
      </c>
      <c r="AO4718" s="251" t="s">
        <v>50</v>
      </c>
      <c r="AP4718" s="251" t="s">
        <v>51</v>
      </c>
      <c r="AQ4718" s="262"/>
    </row>
    <row r="4719" spans="1:43" ht="15" customHeight="1">
      <c r="A4719" s="69">
        <v>43508</v>
      </c>
      <c r="B4719" s="263" t="s">
        <v>463</v>
      </c>
      <c r="C4719" s="250" t="s">
        <v>634</v>
      </c>
      <c r="D4719" s="326" t="s">
        <v>635</v>
      </c>
      <c r="E4719" s="23" t="s">
        <v>471</v>
      </c>
      <c r="F4719" s="251">
        <v>1</v>
      </c>
      <c r="G4719" s="265">
        <v>118</v>
      </c>
      <c r="H4719" s="253">
        <v>118</v>
      </c>
      <c r="I4719" s="264" t="s">
        <v>170</v>
      </c>
      <c r="J4719" s="251" t="s">
        <v>466</v>
      </c>
      <c r="K4719" s="256">
        <v>43550</v>
      </c>
      <c r="W4719" s="259" t="s">
        <v>421</v>
      </c>
      <c r="X4719" s="258">
        <v>43537</v>
      </c>
      <c r="Y4719" s="259" t="s">
        <v>637</v>
      </c>
      <c r="Z4719" s="259"/>
      <c r="AA4719" s="258">
        <v>43512</v>
      </c>
      <c r="AB4719" s="237"/>
      <c r="AC4719" s="244"/>
      <c r="AD4719" s="244"/>
      <c r="AE4719" s="244"/>
      <c r="AF4719" s="244"/>
      <c r="AG4719" s="251" t="s">
        <v>283</v>
      </c>
      <c r="AH4719" s="251">
        <v>30.824999999999999</v>
      </c>
      <c r="AI4719" s="260"/>
      <c r="AJ4719" s="251"/>
      <c r="AK4719" s="260"/>
      <c r="AL4719" s="260"/>
      <c r="AM4719" s="251" t="s">
        <v>49</v>
      </c>
      <c r="AN4719" s="251" t="s">
        <v>284</v>
      </c>
      <c r="AO4719" s="251" t="s">
        <v>50</v>
      </c>
      <c r="AP4719" s="251" t="s">
        <v>51</v>
      </c>
      <c r="AQ4719" s="262"/>
    </row>
    <row r="4720" spans="1:43" ht="15" customHeight="1">
      <c r="A4720" s="69">
        <v>43508</v>
      </c>
      <c r="B4720" s="263" t="s">
        <v>463</v>
      </c>
      <c r="C4720" s="250" t="s">
        <v>634</v>
      </c>
      <c r="D4720" s="428" t="s">
        <v>635</v>
      </c>
      <c r="E4720" s="32" t="s">
        <v>472</v>
      </c>
      <c r="F4720" s="251">
        <v>1</v>
      </c>
      <c r="G4720" s="265">
        <v>160</v>
      </c>
      <c r="H4720" s="253">
        <v>160</v>
      </c>
      <c r="I4720" s="254" t="s">
        <v>170</v>
      </c>
      <c r="J4720" s="251" t="s">
        <v>466</v>
      </c>
      <c r="K4720" s="256">
        <v>43550</v>
      </c>
      <c r="W4720" s="269">
        <v>43568</v>
      </c>
      <c r="X4720" s="258">
        <v>43538</v>
      </c>
      <c r="Y4720" s="259" t="s">
        <v>638</v>
      </c>
      <c r="Z4720" s="270">
        <v>41835</v>
      </c>
      <c r="AA4720" s="258">
        <v>43568</v>
      </c>
      <c r="AB4720" s="237"/>
      <c r="AC4720" s="244"/>
      <c r="AD4720" s="244"/>
      <c r="AE4720" s="244"/>
      <c r="AF4720" s="244"/>
      <c r="AG4720" s="251" t="s">
        <v>283</v>
      </c>
      <c r="AH4720" s="251">
        <v>30.824999999999999</v>
      </c>
      <c r="AI4720" s="260"/>
      <c r="AJ4720" s="251"/>
      <c r="AK4720" s="260"/>
      <c r="AL4720" s="260"/>
      <c r="AM4720" s="251" t="s">
        <v>49</v>
      </c>
      <c r="AN4720" s="251" t="s">
        <v>284</v>
      </c>
      <c r="AO4720" s="251" t="s">
        <v>50</v>
      </c>
      <c r="AP4720" s="251" t="s">
        <v>51</v>
      </c>
      <c r="AQ4720" s="262"/>
    </row>
    <row r="4721" spans="1:43" ht="15" customHeight="1">
      <c r="A4721" s="69">
        <v>43508</v>
      </c>
      <c r="B4721" s="263" t="s">
        <v>463</v>
      </c>
      <c r="C4721" s="250" t="s">
        <v>634</v>
      </c>
      <c r="D4721" s="326" t="s">
        <v>635</v>
      </c>
      <c r="E4721" s="23" t="s">
        <v>639</v>
      </c>
      <c r="F4721" s="251">
        <v>1</v>
      </c>
      <c r="G4721" s="265">
        <v>4120</v>
      </c>
      <c r="H4721" s="253">
        <v>4120</v>
      </c>
      <c r="I4721" s="264" t="s">
        <v>170</v>
      </c>
      <c r="J4721" s="251" t="s">
        <v>466</v>
      </c>
      <c r="K4721" s="256">
        <v>43550</v>
      </c>
      <c r="W4721" s="269">
        <v>43585</v>
      </c>
      <c r="X4721" s="258">
        <v>43545</v>
      </c>
      <c r="Y4721" s="259" t="s">
        <v>640</v>
      </c>
      <c r="Z4721" s="270">
        <v>121833</v>
      </c>
      <c r="AA4721" s="368">
        <v>43586</v>
      </c>
      <c r="AB4721" s="237"/>
      <c r="AC4721" s="244"/>
      <c r="AD4721" s="244"/>
      <c r="AE4721" s="244"/>
      <c r="AF4721" s="244"/>
      <c r="AG4721" s="251" t="s">
        <v>283</v>
      </c>
      <c r="AH4721" s="251">
        <v>30.824999999999999</v>
      </c>
      <c r="AI4721" s="260"/>
      <c r="AJ4721" s="251"/>
      <c r="AK4721" s="260"/>
      <c r="AL4721" s="260"/>
      <c r="AM4721" s="251" t="s">
        <v>49</v>
      </c>
      <c r="AN4721" s="251" t="s">
        <v>284</v>
      </c>
      <c r="AO4721" s="251" t="s">
        <v>50</v>
      </c>
      <c r="AP4721" s="251" t="s">
        <v>51</v>
      </c>
      <c r="AQ4721" s="262"/>
    </row>
    <row r="4722" spans="1:43" ht="15" customHeight="1">
      <c r="A4722" s="69">
        <v>43508</v>
      </c>
      <c r="B4722" s="263" t="s">
        <v>463</v>
      </c>
      <c r="C4722" s="250" t="s">
        <v>634</v>
      </c>
      <c r="D4722" s="326" t="s">
        <v>635</v>
      </c>
      <c r="E4722" s="23" t="s">
        <v>465</v>
      </c>
      <c r="F4722" s="251">
        <v>1</v>
      </c>
      <c r="G4722" s="265">
        <v>100</v>
      </c>
      <c r="H4722" s="253">
        <v>100</v>
      </c>
      <c r="I4722" s="264" t="s">
        <v>170</v>
      </c>
      <c r="J4722" s="251" t="s">
        <v>466</v>
      </c>
      <c r="K4722" s="256">
        <v>43550</v>
      </c>
      <c r="W4722" s="269">
        <v>43585</v>
      </c>
      <c r="X4722" s="258">
        <v>43545</v>
      </c>
      <c r="Y4722" s="259" t="s">
        <v>640</v>
      </c>
      <c r="Z4722" s="270"/>
      <c r="AA4722" s="368">
        <v>43586</v>
      </c>
      <c r="AB4722" s="237"/>
      <c r="AC4722" s="244"/>
      <c r="AD4722" s="244"/>
      <c r="AE4722" s="244"/>
      <c r="AF4722" s="244"/>
      <c r="AG4722" s="251" t="s">
        <v>283</v>
      </c>
      <c r="AH4722" s="251">
        <v>30.824999999999999</v>
      </c>
      <c r="AI4722" s="260"/>
      <c r="AJ4722" s="251"/>
      <c r="AK4722" s="260"/>
      <c r="AL4722" s="260"/>
      <c r="AM4722" s="251" t="s">
        <v>49</v>
      </c>
      <c r="AN4722" s="251" t="s">
        <v>284</v>
      </c>
      <c r="AO4722" s="251" t="s">
        <v>50</v>
      </c>
      <c r="AP4722" s="251" t="s">
        <v>51</v>
      </c>
      <c r="AQ4722" s="262"/>
    </row>
    <row r="4723" spans="1:43" ht="15" customHeight="1">
      <c r="A4723" s="69">
        <v>43508</v>
      </c>
      <c r="B4723" s="144" t="s">
        <v>76</v>
      </c>
      <c r="C4723" s="21">
        <v>87</v>
      </c>
      <c r="D4723" s="21" t="s">
        <v>641</v>
      </c>
      <c r="E4723" s="23" t="s">
        <v>642</v>
      </c>
      <c r="F4723" s="24">
        <v>7</v>
      </c>
      <c r="G4723" s="48">
        <v>200</v>
      </c>
      <c r="H4723" s="26">
        <v>1400</v>
      </c>
      <c r="I4723" s="296" t="s">
        <v>42</v>
      </c>
      <c r="J4723" s="58" t="s">
        <v>315</v>
      </c>
      <c r="K4723" s="29">
        <v>43550</v>
      </c>
      <c r="W4723" s="293">
        <v>43560</v>
      </c>
      <c r="X4723" s="293">
        <v>43542</v>
      </c>
      <c r="Y4723" s="294" t="s">
        <v>643</v>
      </c>
      <c r="Z4723" s="295">
        <v>58707</v>
      </c>
      <c r="AA4723" s="293">
        <v>43564</v>
      </c>
      <c r="AB4723" s="237"/>
      <c r="AC4723" s="244"/>
      <c r="AD4723" s="244"/>
      <c r="AE4723" s="244"/>
      <c r="AF4723" s="244"/>
      <c r="AG4723" s="296"/>
      <c r="AH4723" s="296">
        <v>30.824999999999999</v>
      </c>
      <c r="AI4723" s="297"/>
      <c r="AJ4723" s="298">
        <v>43580</v>
      </c>
      <c r="AK4723" s="297"/>
      <c r="AL4723" s="297"/>
      <c r="AM4723" s="296" t="s">
        <v>49</v>
      </c>
      <c r="AN4723" s="24" t="s">
        <v>284</v>
      </c>
      <c r="AO4723" s="296" t="s">
        <v>285</v>
      </c>
      <c r="AP4723" s="296" t="s">
        <v>51</v>
      </c>
      <c r="AQ4723" s="234" t="s">
        <v>304</v>
      </c>
    </row>
    <row r="4724" spans="1:43" ht="15" customHeight="1">
      <c r="A4724" s="69">
        <v>43508</v>
      </c>
      <c r="B4724" s="144" t="s">
        <v>76</v>
      </c>
      <c r="C4724" s="21">
        <v>87</v>
      </c>
      <c r="D4724" s="21" t="s">
        <v>641</v>
      </c>
      <c r="E4724" s="23" t="s">
        <v>644</v>
      </c>
      <c r="F4724" s="24">
        <v>7</v>
      </c>
      <c r="G4724" s="48">
        <v>0</v>
      </c>
      <c r="H4724" s="26">
        <v>0</v>
      </c>
      <c r="I4724" s="296" t="s">
        <v>42</v>
      </c>
      <c r="J4724" s="58" t="s">
        <v>315</v>
      </c>
      <c r="K4724" s="29">
        <v>43550</v>
      </c>
      <c r="W4724" s="293">
        <v>43560</v>
      </c>
      <c r="X4724" s="293">
        <v>43542</v>
      </c>
      <c r="Y4724" s="294" t="s">
        <v>643</v>
      </c>
      <c r="Z4724" s="294"/>
      <c r="AA4724" s="293">
        <v>43564</v>
      </c>
      <c r="AB4724" s="237"/>
      <c r="AC4724" s="244"/>
      <c r="AD4724" s="244"/>
      <c r="AE4724" s="244"/>
      <c r="AF4724" s="244"/>
      <c r="AG4724" s="296"/>
      <c r="AH4724" s="296">
        <v>30.824999999999999</v>
      </c>
      <c r="AI4724" s="297"/>
      <c r="AJ4724" s="298">
        <v>43580</v>
      </c>
      <c r="AK4724" s="297"/>
      <c r="AL4724" s="297"/>
      <c r="AM4724" s="296" t="s">
        <v>49</v>
      </c>
      <c r="AN4724" s="24" t="s">
        <v>284</v>
      </c>
      <c r="AO4724" s="296" t="s">
        <v>285</v>
      </c>
      <c r="AP4724" s="296" t="s">
        <v>51</v>
      </c>
      <c r="AQ4724" s="234" t="s">
        <v>304</v>
      </c>
    </row>
    <row r="4725" spans="1:43" ht="15" customHeight="1">
      <c r="A4725" s="69">
        <v>43508</v>
      </c>
      <c r="B4725" s="144" t="s">
        <v>76</v>
      </c>
      <c r="C4725" s="21">
        <v>87</v>
      </c>
      <c r="D4725" s="21" t="s">
        <v>641</v>
      </c>
      <c r="E4725" s="23" t="s">
        <v>645</v>
      </c>
      <c r="F4725" s="24">
        <v>7</v>
      </c>
      <c r="G4725" s="48">
        <v>0</v>
      </c>
      <c r="H4725" s="26">
        <v>0</v>
      </c>
      <c r="I4725" s="296" t="s">
        <v>42</v>
      </c>
      <c r="J4725" s="58" t="s">
        <v>315</v>
      </c>
      <c r="K4725" s="29">
        <v>43550</v>
      </c>
      <c r="W4725" s="293">
        <v>43560</v>
      </c>
      <c r="X4725" s="293">
        <v>43542</v>
      </c>
      <c r="Y4725" s="294" t="s">
        <v>643</v>
      </c>
      <c r="Z4725" s="294"/>
      <c r="AA4725" s="293">
        <v>43564</v>
      </c>
      <c r="AB4725" s="237"/>
      <c r="AC4725" s="244"/>
      <c r="AD4725" s="244"/>
      <c r="AE4725" s="244"/>
      <c r="AF4725" s="244"/>
      <c r="AG4725" s="296"/>
      <c r="AH4725" s="296">
        <v>30.824999999999999</v>
      </c>
      <c r="AI4725" s="297"/>
      <c r="AJ4725" s="298">
        <v>43580</v>
      </c>
      <c r="AK4725" s="297"/>
      <c r="AL4725" s="297"/>
      <c r="AM4725" s="296" t="s">
        <v>49</v>
      </c>
      <c r="AN4725" s="24" t="s">
        <v>284</v>
      </c>
      <c r="AO4725" s="296" t="s">
        <v>285</v>
      </c>
      <c r="AP4725" s="296" t="s">
        <v>51</v>
      </c>
      <c r="AQ4725" s="234" t="s">
        <v>304</v>
      </c>
    </row>
    <row r="4726" spans="1:43" ht="15" customHeight="1">
      <c r="A4726" s="69">
        <v>43508</v>
      </c>
      <c r="B4726" s="144" t="s">
        <v>76</v>
      </c>
      <c r="C4726" s="21">
        <v>87</v>
      </c>
      <c r="D4726" s="21" t="s">
        <v>641</v>
      </c>
      <c r="E4726" s="23" t="s">
        <v>646</v>
      </c>
      <c r="F4726" s="24">
        <v>7</v>
      </c>
      <c r="G4726" s="48">
        <v>0</v>
      </c>
      <c r="H4726" s="26">
        <v>0</v>
      </c>
      <c r="I4726" s="296" t="s">
        <v>42</v>
      </c>
      <c r="J4726" s="58" t="s">
        <v>315</v>
      </c>
      <c r="K4726" s="29">
        <v>43550</v>
      </c>
      <c r="W4726" s="293">
        <v>43560</v>
      </c>
      <c r="X4726" s="293">
        <v>43542</v>
      </c>
      <c r="Y4726" s="294" t="s">
        <v>643</v>
      </c>
      <c r="Z4726" s="294"/>
      <c r="AA4726" s="293">
        <v>43564</v>
      </c>
      <c r="AB4726" s="237"/>
      <c r="AC4726" s="244"/>
      <c r="AD4726" s="244"/>
      <c r="AE4726" s="244"/>
      <c r="AF4726" s="244"/>
      <c r="AG4726" s="296"/>
      <c r="AH4726" s="296">
        <v>30.824999999999999</v>
      </c>
      <c r="AI4726" s="297"/>
      <c r="AJ4726" s="298">
        <v>43580</v>
      </c>
      <c r="AK4726" s="297"/>
      <c r="AL4726" s="297"/>
      <c r="AM4726" s="296" t="s">
        <v>49</v>
      </c>
      <c r="AN4726" s="24" t="s">
        <v>284</v>
      </c>
      <c r="AO4726" s="296" t="s">
        <v>285</v>
      </c>
      <c r="AP4726" s="296" t="s">
        <v>51</v>
      </c>
      <c r="AQ4726" s="234" t="s">
        <v>304</v>
      </c>
    </row>
    <row r="4727" spans="1:43" ht="15" customHeight="1">
      <c r="A4727" s="69">
        <v>43508</v>
      </c>
      <c r="B4727" s="144" t="s">
        <v>76</v>
      </c>
      <c r="C4727" s="21">
        <v>87</v>
      </c>
      <c r="D4727" s="21" t="s">
        <v>641</v>
      </c>
      <c r="E4727" s="23" t="s">
        <v>647</v>
      </c>
      <c r="F4727" s="24">
        <v>7</v>
      </c>
      <c r="G4727" s="48">
        <v>0</v>
      </c>
      <c r="H4727" s="26">
        <v>0</v>
      </c>
      <c r="I4727" s="296" t="s">
        <v>42</v>
      </c>
      <c r="J4727" s="58" t="s">
        <v>315</v>
      </c>
      <c r="K4727" s="29">
        <v>43550</v>
      </c>
      <c r="W4727" s="293">
        <v>43560</v>
      </c>
      <c r="X4727" s="293">
        <v>43542</v>
      </c>
      <c r="Y4727" s="294" t="s">
        <v>643</v>
      </c>
      <c r="Z4727" s="294"/>
      <c r="AA4727" s="293">
        <v>43564</v>
      </c>
      <c r="AB4727" s="237"/>
      <c r="AC4727" s="244"/>
      <c r="AD4727" s="244"/>
      <c r="AE4727" s="244"/>
      <c r="AF4727" s="244"/>
      <c r="AG4727" s="296"/>
      <c r="AH4727" s="296">
        <v>30.824999999999999</v>
      </c>
      <c r="AI4727" s="297"/>
      <c r="AJ4727" s="298">
        <v>43580</v>
      </c>
      <c r="AK4727" s="297"/>
      <c r="AL4727" s="297"/>
      <c r="AM4727" s="296" t="s">
        <v>49</v>
      </c>
      <c r="AN4727" s="24" t="s">
        <v>284</v>
      </c>
      <c r="AO4727" s="296" t="s">
        <v>285</v>
      </c>
      <c r="AP4727" s="296" t="s">
        <v>51</v>
      </c>
      <c r="AQ4727" s="234" t="s">
        <v>304</v>
      </c>
    </row>
    <row r="4728" spans="1:43" ht="15" customHeight="1">
      <c r="A4728" s="69">
        <v>43508</v>
      </c>
      <c r="B4728" s="144" t="s">
        <v>76</v>
      </c>
      <c r="C4728" s="21">
        <v>87</v>
      </c>
      <c r="D4728" s="21" t="s">
        <v>641</v>
      </c>
      <c r="E4728" s="23" t="s">
        <v>648</v>
      </c>
      <c r="F4728" s="24">
        <v>7</v>
      </c>
      <c r="G4728" s="48">
        <v>2</v>
      </c>
      <c r="H4728" s="26">
        <v>14</v>
      </c>
      <c r="I4728" s="296" t="s">
        <v>42</v>
      </c>
      <c r="J4728" s="58" t="s">
        <v>315</v>
      </c>
      <c r="K4728" s="29">
        <v>43550</v>
      </c>
      <c r="W4728" s="293">
        <v>43560</v>
      </c>
      <c r="X4728" s="293">
        <v>43531</v>
      </c>
      <c r="Y4728" s="294" t="s">
        <v>554</v>
      </c>
      <c r="Z4728" s="295">
        <v>3788</v>
      </c>
      <c r="AA4728" s="293">
        <v>43564</v>
      </c>
      <c r="AB4728" s="237"/>
      <c r="AC4728" s="244"/>
      <c r="AD4728" s="244"/>
      <c r="AE4728" s="244"/>
      <c r="AF4728" s="244"/>
      <c r="AG4728" s="296"/>
      <c r="AH4728" s="296">
        <v>30.824999999999999</v>
      </c>
      <c r="AI4728" s="297"/>
      <c r="AJ4728" s="298">
        <v>43580</v>
      </c>
      <c r="AK4728" s="297"/>
      <c r="AL4728" s="297"/>
      <c r="AM4728" s="296" t="s">
        <v>49</v>
      </c>
      <c r="AN4728" s="24" t="s">
        <v>284</v>
      </c>
      <c r="AO4728" s="296" t="s">
        <v>285</v>
      </c>
      <c r="AP4728" s="296" t="s">
        <v>51</v>
      </c>
      <c r="AQ4728" s="234" t="s">
        <v>304</v>
      </c>
    </row>
    <row r="4729" spans="1:43" ht="15" customHeight="1">
      <c r="A4729" s="69">
        <v>43508</v>
      </c>
      <c r="B4729" s="144" t="s">
        <v>76</v>
      </c>
      <c r="C4729" s="21">
        <v>87</v>
      </c>
      <c r="D4729" s="21" t="s">
        <v>641</v>
      </c>
      <c r="E4729" s="23" t="s">
        <v>649</v>
      </c>
      <c r="F4729" s="24">
        <v>7</v>
      </c>
      <c r="G4729" s="48">
        <v>6</v>
      </c>
      <c r="H4729" s="26">
        <v>42</v>
      </c>
      <c r="I4729" s="296" t="s">
        <v>42</v>
      </c>
      <c r="J4729" s="58" t="s">
        <v>315</v>
      </c>
      <c r="K4729" s="29">
        <v>43550</v>
      </c>
      <c r="W4729" s="293">
        <v>43560</v>
      </c>
      <c r="X4729" s="293">
        <v>43531</v>
      </c>
      <c r="Y4729" s="294" t="s">
        <v>554</v>
      </c>
      <c r="Z4729" s="295"/>
      <c r="AA4729" s="293">
        <v>43564</v>
      </c>
      <c r="AB4729" s="237"/>
      <c r="AC4729" s="244"/>
      <c r="AD4729" s="244"/>
      <c r="AE4729" s="244"/>
      <c r="AF4729" s="244"/>
      <c r="AG4729" s="296"/>
      <c r="AH4729" s="296">
        <v>30.824999999999999</v>
      </c>
      <c r="AI4729" s="297"/>
      <c r="AJ4729" s="298">
        <v>43580</v>
      </c>
      <c r="AK4729" s="297"/>
      <c r="AL4729" s="297"/>
      <c r="AM4729" s="296" t="s">
        <v>49</v>
      </c>
      <c r="AN4729" s="24" t="s">
        <v>284</v>
      </c>
      <c r="AO4729" s="296" t="s">
        <v>285</v>
      </c>
      <c r="AP4729" s="296" t="s">
        <v>51</v>
      </c>
      <c r="AQ4729" s="234" t="s">
        <v>304</v>
      </c>
    </row>
    <row r="4730" spans="1:43" ht="15" customHeight="1">
      <c r="A4730" s="110">
        <v>43508</v>
      </c>
      <c r="B4730" s="147" t="s">
        <v>76</v>
      </c>
      <c r="C4730" s="21">
        <v>87</v>
      </c>
      <c r="D4730" s="21" t="s">
        <v>641</v>
      </c>
      <c r="E4730" s="23" t="s">
        <v>650</v>
      </c>
      <c r="F4730" s="24">
        <v>7</v>
      </c>
      <c r="G4730" s="48">
        <v>0</v>
      </c>
      <c r="H4730" s="26">
        <v>0</v>
      </c>
      <c r="I4730" s="296" t="s">
        <v>42</v>
      </c>
      <c r="J4730" s="58" t="s">
        <v>315</v>
      </c>
      <c r="K4730" s="29">
        <v>43550</v>
      </c>
      <c r="W4730" s="293">
        <v>43560</v>
      </c>
      <c r="X4730" s="293">
        <v>43531</v>
      </c>
      <c r="Y4730" s="294" t="s">
        <v>554</v>
      </c>
      <c r="Z4730" s="295"/>
      <c r="AA4730" s="293">
        <v>43564</v>
      </c>
      <c r="AB4730" s="237"/>
      <c r="AC4730" s="244"/>
      <c r="AD4730" s="244"/>
      <c r="AE4730" s="244"/>
      <c r="AF4730" s="244"/>
      <c r="AG4730" s="296"/>
      <c r="AH4730" s="296">
        <v>30.824999999999999</v>
      </c>
      <c r="AI4730" s="297"/>
      <c r="AJ4730" s="298">
        <v>43580</v>
      </c>
      <c r="AK4730" s="297"/>
      <c r="AL4730" s="297"/>
      <c r="AM4730" s="296" t="s">
        <v>49</v>
      </c>
      <c r="AN4730" s="24" t="s">
        <v>284</v>
      </c>
      <c r="AO4730" s="296" t="s">
        <v>285</v>
      </c>
      <c r="AP4730" s="296" t="s">
        <v>51</v>
      </c>
      <c r="AQ4730" s="234" t="s">
        <v>304</v>
      </c>
    </row>
    <row r="4731" spans="1:43" ht="15" customHeight="1">
      <c r="A4731" s="110">
        <v>43509</v>
      </c>
      <c r="B4731" s="147" t="s">
        <v>405</v>
      </c>
      <c r="C4731" s="21">
        <v>7000145102</v>
      </c>
      <c r="D4731" s="21" t="s">
        <v>651</v>
      </c>
      <c r="E4731" s="23" t="s">
        <v>652</v>
      </c>
      <c r="F4731" s="24">
        <v>1</v>
      </c>
      <c r="G4731" s="48">
        <v>800</v>
      </c>
      <c r="H4731" s="26">
        <v>800</v>
      </c>
      <c r="I4731" s="296" t="s">
        <v>42</v>
      </c>
      <c r="J4731" s="82" t="s">
        <v>519</v>
      </c>
      <c r="K4731" s="29">
        <v>43546</v>
      </c>
      <c r="W4731" s="303"/>
      <c r="X4731" s="303"/>
      <c r="Y4731" s="304"/>
      <c r="Z4731" s="404"/>
      <c r="AA4731" s="304"/>
      <c r="AB4731" s="237"/>
      <c r="AC4731" s="244"/>
      <c r="AD4731" s="244"/>
      <c r="AE4731" s="244"/>
      <c r="AF4731" s="244"/>
      <c r="AG4731" s="296"/>
      <c r="AH4731" s="296">
        <v>30.824999999999999</v>
      </c>
      <c r="AI4731" s="297"/>
      <c r="AJ4731" s="145">
        <v>43588</v>
      </c>
      <c r="AK4731" s="297"/>
      <c r="AL4731" s="297"/>
      <c r="AM4731" s="296" t="s">
        <v>49</v>
      </c>
      <c r="AN4731" s="24" t="s">
        <v>284</v>
      </c>
      <c r="AO4731" s="296" t="s">
        <v>285</v>
      </c>
      <c r="AP4731" s="296" t="s">
        <v>51</v>
      </c>
      <c r="AQ4731" s="234" t="s">
        <v>304</v>
      </c>
    </row>
    <row r="4732" spans="1:43" ht="15" customHeight="1">
      <c r="A4732" s="69">
        <v>43509</v>
      </c>
      <c r="B4732" s="147" t="s">
        <v>405</v>
      </c>
      <c r="C4732" s="21">
        <v>7000145102</v>
      </c>
      <c r="D4732" s="139" t="s">
        <v>653</v>
      </c>
      <c r="E4732" s="23" t="s">
        <v>511</v>
      </c>
      <c r="F4732" s="24">
        <v>5</v>
      </c>
      <c r="G4732" s="25">
        <v>39</v>
      </c>
      <c r="H4732" s="26">
        <v>195</v>
      </c>
      <c r="I4732" s="296" t="s">
        <v>42</v>
      </c>
      <c r="J4732" s="82" t="s">
        <v>519</v>
      </c>
      <c r="K4732" s="29">
        <v>43546</v>
      </c>
      <c r="W4732" s="303"/>
      <c r="X4732" s="303"/>
      <c r="Y4732" s="304"/>
      <c r="Z4732" s="404"/>
      <c r="AA4732" s="304"/>
      <c r="AB4732" s="237"/>
      <c r="AC4732" s="244"/>
      <c r="AD4732" s="244"/>
      <c r="AE4732" s="244"/>
      <c r="AF4732" s="244"/>
      <c r="AG4732" s="296"/>
      <c r="AH4732" s="296">
        <v>30.824999999999999</v>
      </c>
      <c r="AI4732" s="297"/>
      <c r="AJ4732" s="145">
        <v>43588</v>
      </c>
      <c r="AK4732" s="297"/>
      <c r="AL4732" s="297"/>
      <c r="AM4732" s="296" t="s">
        <v>49</v>
      </c>
      <c r="AN4732" s="24" t="s">
        <v>284</v>
      </c>
      <c r="AO4732" s="296" t="s">
        <v>285</v>
      </c>
      <c r="AP4732" s="296" t="s">
        <v>51</v>
      </c>
      <c r="AQ4732" s="234" t="s">
        <v>304</v>
      </c>
    </row>
    <row r="4733" spans="1:43" ht="15" customHeight="1">
      <c r="A4733" s="69">
        <v>43509</v>
      </c>
      <c r="B4733" s="144" t="s">
        <v>405</v>
      </c>
      <c r="C4733" s="21">
        <v>7000145102</v>
      </c>
      <c r="D4733" s="139" t="s">
        <v>653</v>
      </c>
      <c r="E4733" s="23" t="s">
        <v>514</v>
      </c>
      <c r="F4733" s="24">
        <v>5</v>
      </c>
      <c r="G4733" s="25">
        <v>43</v>
      </c>
      <c r="H4733" s="26">
        <v>215</v>
      </c>
      <c r="I4733" s="296" t="s">
        <v>42</v>
      </c>
      <c r="J4733" s="429" t="s">
        <v>519</v>
      </c>
      <c r="K4733" s="29">
        <v>43546</v>
      </c>
      <c r="W4733" s="303"/>
      <c r="X4733" s="303"/>
      <c r="Y4733" s="304"/>
      <c r="Z4733" s="404"/>
      <c r="AA4733" s="304"/>
      <c r="AB4733" s="237"/>
      <c r="AC4733" s="244"/>
      <c r="AD4733" s="244"/>
      <c r="AE4733" s="244"/>
      <c r="AF4733" s="244"/>
      <c r="AG4733" s="296"/>
      <c r="AH4733" s="296">
        <v>30.824999999999999</v>
      </c>
      <c r="AI4733" s="297"/>
      <c r="AJ4733" s="145">
        <v>43588</v>
      </c>
      <c r="AK4733" s="297"/>
      <c r="AL4733" s="297"/>
      <c r="AM4733" s="296" t="s">
        <v>49</v>
      </c>
      <c r="AN4733" s="24" t="s">
        <v>284</v>
      </c>
      <c r="AO4733" s="296" t="s">
        <v>285</v>
      </c>
      <c r="AP4733" s="296" t="s">
        <v>51</v>
      </c>
      <c r="AQ4733" s="234" t="s">
        <v>304</v>
      </c>
    </row>
    <row r="4734" spans="1:43" ht="15" customHeight="1">
      <c r="A4734" s="69">
        <v>43509</v>
      </c>
      <c r="B4734" s="144" t="s">
        <v>405</v>
      </c>
      <c r="C4734" s="21">
        <v>7000145102</v>
      </c>
      <c r="D4734" s="139" t="s">
        <v>654</v>
      </c>
      <c r="E4734" s="23" t="s">
        <v>511</v>
      </c>
      <c r="F4734" s="24">
        <v>5</v>
      </c>
      <c r="G4734" s="25">
        <v>39</v>
      </c>
      <c r="H4734" s="26">
        <v>195</v>
      </c>
      <c r="I4734" s="296" t="s">
        <v>42</v>
      </c>
      <c r="J4734" s="405" t="s">
        <v>512</v>
      </c>
      <c r="K4734" s="29">
        <v>43566</v>
      </c>
      <c r="W4734" s="303"/>
      <c r="X4734" s="303"/>
      <c r="Y4734" s="304"/>
      <c r="Z4734" s="404"/>
      <c r="AA4734" s="304"/>
      <c r="AB4734" s="237"/>
      <c r="AC4734" s="244"/>
      <c r="AD4734" s="244"/>
      <c r="AE4734" s="244"/>
      <c r="AF4734" s="244"/>
      <c r="AG4734" s="296"/>
      <c r="AH4734" s="296">
        <v>30.76</v>
      </c>
      <c r="AI4734" s="430">
        <f>AH4734*H4734</f>
        <v>5998.2000000000007</v>
      </c>
      <c r="AJ4734" s="298">
        <v>43602</v>
      </c>
      <c r="AK4734" s="297"/>
      <c r="AL4734" s="297"/>
      <c r="AM4734" s="296" t="s">
        <v>49</v>
      </c>
      <c r="AN4734" s="24" t="s">
        <v>284</v>
      </c>
      <c r="AO4734" s="296" t="s">
        <v>285</v>
      </c>
      <c r="AP4734" s="296" t="s">
        <v>51</v>
      </c>
      <c r="AQ4734" s="234" t="s">
        <v>304</v>
      </c>
    </row>
    <row r="4735" spans="1:43" ht="15" customHeight="1">
      <c r="A4735" s="69">
        <v>43509</v>
      </c>
      <c r="B4735" s="144" t="s">
        <v>405</v>
      </c>
      <c r="C4735" s="21">
        <v>7000145102</v>
      </c>
      <c r="D4735" s="139" t="s">
        <v>654</v>
      </c>
      <c r="E4735" s="23" t="s">
        <v>514</v>
      </c>
      <c r="F4735" s="24">
        <v>5</v>
      </c>
      <c r="G4735" s="25">
        <v>43</v>
      </c>
      <c r="H4735" s="26">
        <v>215</v>
      </c>
      <c r="I4735" s="296" t="s">
        <v>42</v>
      </c>
      <c r="J4735" s="405" t="s">
        <v>512</v>
      </c>
      <c r="K4735" s="29">
        <v>43566</v>
      </c>
      <c r="W4735" s="303"/>
      <c r="X4735" s="303"/>
      <c r="Y4735" s="304"/>
      <c r="Z4735" s="404"/>
      <c r="AA4735" s="304"/>
      <c r="AB4735" s="237"/>
      <c r="AC4735" s="244"/>
      <c r="AD4735" s="244"/>
      <c r="AE4735" s="244"/>
      <c r="AF4735" s="244"/>
      <c r="AG4735" s="296"/>
      <c r="AH4735" s="296">
        <v>30.76</v>
      </c>
      <c r="AI4735" s="430">
        <f>AH4735*H4735</f>
        <v>6613.4000000000005</v>
      </c>
      <c r="AJ4735" s="298">
        <v>43602</v>
      </c>
      <c r="AK4735" s="297"/>
      <c r="AL4735" s="297"/>
      <c r="AM4735" s="296" t="s">
        <v>49</v>
      </c>
      <c r="AN4735" s="24" t="s">
        <v>284</v>
      </c>
      <c r="AO4735" s="296" t="s">
        <v>285</v>
      </c>
      <c r="AP4735" s="296" t="s">
        <v>51</v>
      </c>
      <c r="AQ4735" s="234" t="s">
        <v>304</v>
      </c>
    </row>
    <row r="4736" spans="1:43" ht="15" customHeight="1">
      <c r="A4736" s="69">
        <v>43509</v>
      </c>
      <c r="B4736" s="144" t="s">
        <v>405</v>
      </c>
      <c r="C4736" s="21">
        <v>7000145102</v>
      </c>
      <c r="D4736" s="139" t="s">
        <v>655</v>
      </c>
      <c r="E4736" s="23" t="s">
        <v>656</v>
      </c>
      <c r="F4736" s="24">
        <v>5</v>
      </c>
      <c r="G4736" s="25">
        <v>775</v>
      </c>
      <c r="H4736" s="26">
        <v>3875</v>
      </c>
      <c r="I4736" s="296" t="s">
        <v>42</v>
      </c>
      <c r="J4736" s="405" t="s">
        <v>512</v>
      </c>
      <c r="K4736" s="29">
        <v>43566</v>
      </c>
      <c r="W4736" s="303"/>
      <c r="X4736" s="303"/>
      <c r="Y4736" s="304"/>
      <c r="Z4736" s="404"/>
      <c r="AA4736" s="304"/>
      <c r="AB4736" s="237"/>
      <c r="AC4736" s="244"/>
      <c r="AD4736" s="244"/>
      <c r="AE4736" s="244"/>
      <c r="AF4736" s="244"/>
      <c r="AG4736" s="296"/>
      <c r="AH4736" s="296">
        <v>30.76</v>
      </c>
      <c r="AI4736" s="430">
        <f>AH4736*H4736</f>
        <v>119195</v>
      </c>
      <c r="AJ4736" s="298">
        <v>43602</v>
      </c>
      <c r="AK4736" s="297">
        <f>5142.57*31.11</f>
        <v>159985.35269999999</v>
      </c>
      <c r="AL4736" s="297">
        <f>(5169-5142.57)*31.11</f>
        <v>822.23730000000899</v>
      </c>
      <c r="AM4736" s="296" t="s">
        <v>49</v>
      </c>
      <c r="AN4736" s="24" t="s">
        <v>284</v>
      </c>
      <c r="AO4736" s="296" t="s">
        <v>285</v>
      </c>
      <c r="AP4736" s="296" t="s">
        <v>51</v>
      </c>
      <c r="AQ4736" s="234" t="s">
        <v>304</v>
      </c>
    </row>
    <row r="4737" spans="1:43" ht="15" customHeight="1">
      <c r="A4737" s="69">
        <v>43509</v>
      </c>
      <c r="B4737" s="144" t="s">
        <v>405</v>
      </c>
      <c r="C4737" s="21">
        <v>7000145102</v>
      </c>
      <c r="D4737" s="139" t="s">
        <v>657</v>
      </c>
      <c r="E4737" s="23" t="s">
        <v>511</v>
      </c>
      <c r="F4737" s="24">
        <v>14</v>
      </c>
      <c r="G4737" s="48">
        <v>39</v>
      </c>
      <c r="H4737" s="26">
        <v>546</v>
      </c>
      <c r="I4737" s="296" t="s">
        <v>42</v>
      </c>
      <c r="J4737" s="82" t="s">
        <v>519</v>
      </c>
      <c r="K4737" s="29">
        <v>43588</v>
      </c>
      <c r="W4737" s="293"/>
      <c r="X4737" s="293"/>
      <c r="Y4737" s="294"/>
      <c r="Z4737" s="295"/>
      <c r="AA4737" s="294"/>
      <c r="AB4737" s="237"/>
      <c r="AC4737" s="244"/>
      <c r="AD4737" s="244"/>
      <c r="AE4737" s="244"/>
      <c r="AF4737" s="244"/>
      <c r="AG4737" s="369"/>
      <c r="AH4737" s="369">
        <v>30.844999999999999</v>
      </c>
      <c r="AI4737" s="370">
        <v>0</v>
      </c>
      <c r="AJ4737" s="371">
        <v>43621</v>
      </c>
      <c r="AK4737" s="370"/>
      <c r="AL4737" s="370"/>
      <c r="AM4737" s="369" t="s">
        <v>49</v>
      </c>
      <c r="AN4737" s="369" t="s">
        <v>284</v>
      </c>
      <c r="AO4737" s="369" t="s">
        <v>285</v>
      </c>
      <c r="AP4737" s="369" t="s">
        <v>51</v>
      </c>
      <c r="AQ4737" s="372" t="s">
        <v>439</v>
      </c>
    </row>
    <row r="4738" spans="1:43" ht="15" customHeight="1">
      <c r="A4738" s="69">
        <v>43509</v>
      </c>
      <c r="B4738" s="144" t="s">
        <v>405</v>
      </c>
      <c r="C4738" s="21">
        <v>7000145102</v>
      </c>
      <c r="D4738" s="139" t="s">
        <v>658</v>
      </c>
      <c r="E4738" s="23" t="s">
        <v>514</v>
      </c>
      <c r="F4738" s="24">
        <v>14</v>
      </c>
      <c r="G4738" s="48">
        <v>43</v>
      </c>
      <c r="H4738" s="26">
        <v>602</v>
      </c>
      <c r="I4738" s="296" t="s">
        <v>42</v>
      </c>
      <c r="J4738" s="429" t="s">
        <v>519</v>
      </c>
      <c r="K4738" s="29">
        <v>43588</v>
      </c>
      <c r="W4738" s="293"/>
      <c r="X4738" s="293"/>
      <c r="Y4738" s="294"/>
      <c r="Z4738" s="295"/>
      <c r="AA4738" s="294"/>
      <c r="AB4738" s="237"/>
      <c r="AC4738" s="244"/>
      <c r="AD4738" s="244"/>
      <c r="AE4738" s="244"/>
      <c r="AF4738" s="244"/>
      <c r="AG4738" s="369"/>
      <c r="AH4738" s="369">
        <v>30.844999999999999</v>
      </c>
      <c r="AI4738" s="370">
        <v>0</v>
      </c>
      <c r="AJ4738" s="371">
        <v>43621</v>
      </c>
      <c r="AK4738" s="370"/>
      <c r="AL4738" s="370"/>
      <c r="AM4738" s="369" t="s">
        <v>49</v>
      </c>
      <c r="AN4738" s="369" t="s">
        <v>284</v>
      </c>
      <c r="AO4738" s="369" t="s">
        <v>285</v>
      </c>
      <c r="AP4738" s="369" t="s">
        <v>51</v>
      </c>
      <c r="AQ4738" s="372" t="s">
        <v>439</v>
      </c>
    </row>
    <row r="4739" spans="1:43" ht="15" customHeight="1">
      <c r="A4739" s="69">
        <v>43509</v>
      </c>
      <c r="B4739" s="144" t="s">
        <v>405</v>
      </c>
      <c r="C4739" s="21">
        <v>7000145102</v>
      </c>
      <c r="D4739" s="139" t="s">
        <v>657</v>
      </c>
      <c r="E4739" s="23" t="s">
        <v>511</v>
      </c>
      <c r="F4739" s="24">
        <v>1</v>
      </c>
      <c r="G4739" s="48">
        <v>39</v>
      </c>
      <c r="H4739" s="26">
        <v>39</v>
      </c>
      <c r="I4739" s="87" t="s">
        <v>42</v>
      </c>
      <c r="J4739" s="429" t="s">
        <v>519</v>
      </c>
      <c r="K4739" s="30">
        <v>43634</v>
      </c>
      <c r="W4739" s="303"/>
      <c r="X4739" s="303"/>
      <c r="Y4739" s="304"/>
      <c r="Z4739" s="404"/>
      <c r="AA4739" s="304"/>
      <c r="AB4739" s="237"/>
      <c r="AC4739" s="244"/>
      <c r="AD4739" s="244"/>
      <c r="AE4739" s="244"/>
      <c r="AF4739" s="244"/>
      <c r="AG4739" s="296"/>
      <c r="AH4739" s="296">
        <v>31.324999999999999</v>
      </c>
      <c r="AI4739" s="297"/>
      <c r="AJ4739" s="298">
        <v>43677</v>
      </c>
      <c r="AK4739" s="297"/>
      <c r="AL4739" s="297"/>
      <c r="AM4739" s="296" t="s">
        <v>49</v>
      </c>
      <c r="AN4739" s="296" t="s">
        <v>284</v>
      </c>
      <c r="AO4739" s="296" t="s">
        <v>285</v>
      </c>
      <c r="AP4739" s="296" t="s">
        <v>51</v>
      </c>
      <c r="AQ4739" s="234" t="s">
        <v>506</v>
      </c>
    </row>
    <row r="4740" spans="1:43" ht="15" customHeight="1">
      <c r="A4740" s="69">
        <v>43509</v>
      </c>
      <c r="B4740" s="144" t="s">
        <v>405</v>
      </c>
      <c r="C4740" s="21">
        <v>7000145102</v>
      </c>
      <c r="D4740" s="139" t="s">
        <v>658</v>
      </c>
      <c r="E4740" s="23" t="s">
        <v>514</v>
      </c>
      <c r="F4740" s="24">
        <v>1</v>
      </c>
      <c r="G4740" s="25">
        <v>43</v>
      </c>
      <c r="H4740" s="115">
        <v>43</v>
      </c>
      <c r="I4740" s="87" t="s">
        <v>42</v>
      </c>
      <c r="J4740" s="429" t="s">
        <v>519</v>
      </c>
      <c r="K4740" s="30">
        <v>43634</v>
      </c>
      <c r="W4740" s="303"/>
      <c r="X4740" s="303"/>
      <c r="Y4740" s="304"/>
      <c r="Z4740" s="404"/>
      <c r="AA4740" s="304"/>
      <c r="AB4740" s="237"/>
      <c r="AC4740" s="244"/>
      <c r="AD4740" s="244"/>
      <c r="AE4740" s="244"/>
      <c r="AF4740" s="244"/>
      <c r="AG4740" s="296"/>
      <c r="AH4740" s="296">
        <v>31.324999999999999</v>
      </c>
      <c r="AI4740" s="297"/>
      <c r="AJ4740" s="298">
        <v>43677</v>
      </c>
      <c r="AK4740" s="297"/>
      <c r="AL4740" s="297"/>
      <c r="AM4740" s="296" t="s">
        <v>49</v>
      </c>
      <c r="AN4740" s="296" t="s">
        <v>284</v>
      </c>
      <c r="AO4740" s="296" t="s">
        <v>285</v>
      </c>
      <c r="AP4740" s="296" t="s">
        <v>51</v>
      </c>
      <c r="AQ4740" s="234" t="s">
        <v>506</v>
      </c>
    </row>
    <row r="4741" spans="1:43" ht="15" customHeight="1">
      <c r="A4741" s="69">
        <v>43509</v>
      </c>
      <c r="B4741" s="144" t="s">
        <v>405</v>
      </c>
      <c r="C4741" s="21">
        <v>7000145102</v>
      </c>
      <c r="D4741" s="139" t="s">
        <v>659</v>
      </c>
      <c r="E4741" s="23" t="s">
        <v>660</v>
      </c>
      <c r="F4741" s="24">
        <v>14</v>
      </c>
      <c r="G4741" s="48">
        <v>775</v>
      </c>
      <c r="H4741" s="26">
        <v>10850</v>
      </c>
      <c r="I4741" s="296" t="s">
        <v>42</v>
      </c>
      <c r="J4741" s="82" t="s">
        <v>519</v>
      </c>
      <c r="K4741" s="29">
        <v>43588</v>
      </c>
      <c r="W4741" s="293"/>
      <c r="X4741" s="293"/>
      <c r="Y4741" s="294"/>
      <c r="Z4741" s="295"/>
      <c r="AA4741" s="294"/>
      <c r="AB4741" s="237"/>
      <c r="AC4741" s="244"/>
      <c r="AD4741" s="244"/>
      <c r="AE4741" s="244"/>
      <c r="AF4741" s="244"/>
      <c r="AG4741" s="369"/>
      <c r="AH4741" s="369">
        <v>30.844999999999999</v>
      </c>
      <c r="AI4741" s="370">
        <f>11998*30.845</f>
        <v>370078.31</v>
      </c>
      <c r="AJ4741" s="371">
        <v>43621</v>
      </c>
      <c r="AK4741" s="370">
        <f>11971.62*31.33</f>
        <v>375070.85460000002</v>
      </c>
      <c r="AL4741" s="370">
        <f>(11998-11971.62)*31.33</f>
        <v>826.4853999999749</v>
      </c>
      <c r="AM4741" s="369" t="s">
        <v>49</v>
      </c>
      <c r="AN4741" s="369" t="s">
        <v>284</v>
      </c>
      <c r="AO4741" s="369" t="s">
        <v>285</v>
      </c>
      <c r="AP4741" s="369" t="s">
        <v>51</v>
      </c>
      <c r="AQ4741" s="372" t="s">
        <v>439</v>
      </c>
    </row>
    <row r="4742" spans="1:43" ht="15" customHeight="1">
      <c r="A4742" s="69">
        <v>43509</v>
      </c>
      <c r="B4742" s="144" t="s">
        <v>405</v>
      </c>
      <c r="C4742" s="21">
        <v>7000145102</v>
      </c>
      <c r="D4742" s="139" t="s">
        <v>659</v>
      </c>
      <c r="E4742" s="23" t="s">
        <v>661</v>
      </c>
      <c r="F4742" s="24">
        <v>1</v>
      </c>
      <c r="G4742" s="48">
        <v>775</v>
      </c>
      <c r="H4742" s="26">
        <v>775</v>
      </c>
      <c r="I4742" s="87" t="s">
        <v>42</v>
      </c>
      <c r="J4742" s="82" t="s">
        <v>519</v>
      </c>
      <c r="K4742" s="30">
        <v>43634</v>
      </c>
      <c r="W4742" s="303"/>
      <c r="X4742" s="303"/>
      <c r="Y4742" s="304"/>
      <c r="Z4742" s="404"/>
      <c r="AA4742" s="304"/>
      <c r="AB4742" s="237"/>
      <c r="AC4742" s="244"/>
      <c r="AD4742" s="244"/>
      <c r="AE4742" s="244"/>
      <c r="AF4742" s="244"/>
      <c r="AG4742" s="296"/>
      <c r="AH4742" s="296">
        <v>31.324999999999999</v>
      </c>
      <c r="AI4742" s="297"/>
      <c r="AJ4742" s="298">
        <v>43677</v>
      </c>
      <c r="AK4742" s="297"/>
      <c r="AL4742" s="297"/>
      <c r="AM4742" s="296" t="s">
        <v>49</v>
      </c>
      <c r="AN4742" s="296" t="s">
        <v>284</v>
      </c>
      <c r="AO4742" s="296" t="s">
        <v>285</v>
      </c>
      <c r="AP4742" s="296" t="s">
        <v>51</v>
      </c>
      <c r="AQ4742" s="234" t="s">
        <v>506</v>
      </c>
    </row>
    <row r="4743" spans="1:43" ht="15" customHeight="1">
      <c r="A4743" s="69">
        <v>43509</v>
      </c>
      <c r="B4743" s="144" t="s">
        <v>405</v>
      </c>
      <c r="C4743" s="21">
        <v>7000145102</v>
      </c>
      <c r="D4743" s="139" t="s">
        <v>662</v>
      </c>
      <c r="E4743" s="23" t="s">
        <v>511</v>
      </c>
      <c r="F4743" s="24">
        <v>25</v>
      </c>
      <c r="G4743" s="25">
        <v>39</v>
      </c>
      <c r="H4743" s="26">
        <v>975</v>
      </c>
      <c r="I4743" s="82" t="s">
        <v>42</v>
      </c>
      <c r="J4743" s="82" t="s">
        <v>519</v>
      </c>
      <c r="K4743" s="30">
        <v>43634</v>
      </c>
      <c r="W4743" s="411"/>
      <c r="X4743" s="411"/>
      <c r="Y4743" s="340"/>
      <c r="Z4743" s="412"/>
      <c r="AA4743" s="340"/>
      <c r="AB4743" s="237"/>
      <c r="AC4743" s="244"/>
      <c r="AD4743" s="244"/>
      <c r="AE4743" s="244"/>
      <c r="AF4743" s="244"/>
      <c r="AG4743" s="431" t="s">
        <v>283</v>
      </c>
      <c r="AH4743" s="431">
        <v>31.324999999999999</v>
      </c>
      <c r="AI4743" s="432"/>
      <c r="AJ4743" s="431"/>
      <c r="AK4743" s="432"/>
      <c r="AL4743" s="432"/>
      <c r="AM4743" s="431" t="s">
        <v>49</v>
      </c>
      <c r="AN4743" s="369" t="s">
        <v>284</v>
      </c>
      <c r="AO4743" s="431" t="s">
        <v>285</v>
      </c>
      <c r="AP4743" s="431" t="s">
        <v>51</v>
      </c>
      <c r="AQ4743" s="372" t="s">
        <v>439</v>
      </c>
    </row>
    <row r="4744" spans="1:43" ht="15" customHeight="1">
      <c r="A4744" s="69">
        <v>43509</v>
      </c>
      <c r="B4744" s="144" t="s">
        <v>405</v>
      </c>
      <c r="C4744" s="21">
        <v>7000145102</v>
      </c>
      <c r="D4744" s="139" t="s">
        <v>662</v>
      </c>
      <c r="E4744" s="23" t="s">
        <v>514</v>
      </c>
      <c r="F4744" s="24">
        <v>25</v>
      </c>
      <c r="G4744" s="48">
        <v>43</v>
      </c>
      <c r="H4744" s="26">
        <v>1075</v>
      </c>
      <c r="I4744" s="82" t="s">
        <v>42</v>
      </c>
      <c r="J4744" s="82" t="s">
        <v>519</v>
      </c>
      <c r="K4744" s="30">
        <v>43634</v>
      </c>
      <c r="W4744" s="411"/>
      <c r="X4744" s="411"/>
      <c r="Y4744" s="340"/>
      <c r="Z4744" s="412"/>
      <c r="AA4744" s="340"/>
      <c r="AB4744" s="237"/>
      <c r="AC4744" s="244"/>
      <c r="AD4744" s="244"/>
      <c r="AE4744" s="244"/>
      <c r="AF4744" s="244"/>
      <c r="AG4744" s="431" t="s">
        <v>283</v>
      </c>
      <c r="AH4744" s="431">
        <v>31.324999999999999</v>
      </c>
      <c r="AI4744" s="432"/>
      <c r="AJ4744" s="431"/>
      <c r="AK4744" s="432"/>
      <c r="AL4744" s="432"/>
      <c r="AM4744" s="431" t="s">
        <v>49</v>
      </c>
      <c r="AN4744" s="369" t="s">
        <v>284</v>
      </c>
      <c r="AO4744" s="431" t="s">
        <v>285</v>
      </c>
      <c r="AP4744" s="431" t="s">
        <v>51</v>
      </c>
      <c r="AQ4744" s="372" t="s">
        <v>439</v>
      </c>
    </row>
    <row r="4745" spans="1:43" ht="15" customHeight="1">
      <c r="A4745" s="69">
        <v>43509</v>
      </c>
      <c r="B4745" s="144" t="s">
        <v>405</v>
      </c>
      <c r="C4745" s="21">
        <v>7000145102</v>
      </c>
      <c r="D4745" s="139" t="s">
        <v>663</v>
      </c>
      <c r="E4745" s="23" t="s">
        <v>664</v>
      </c>
      <c r="F4745" s="24">
        <v>25</v>
      </c>
      <c r="G4745" s="48">
        <v>775</v>
      </c>
      <c r="H4745" s="26">
        <v>19375</v>
      </c>
      <c r="I4745" s="82" t="s">
        <v>42</v>
      </c>
      <c r="J4745" s="82" t="s">
        <v>519</v>
      </c>
      <c r="K4745" s="30">
        <v>43634</v>
      </c>
      <c r="W4745" s="411"/>
      <c r="X4745" s="411"/>
      <c r="Y4745" s="340"/>
      <c r="Z4745" s="412"/>
      <c r="AA4745" s="340"/>
      <c r="AB4745" s="237"/>
      <c r="AC4745" s="244"/>
      <c r="AD4745" s="244"/>
      <c r="AE4745" s="244"/>
      <c r="AF4745" s="244"/>
      <c r="AG4745" s="431" t="s">
        <v>283</v>
      </c>
      <c r="AH4745" s="431">
        <v>31.324999999999999</v>
      </c>
      <c r="AI4745" s="432"/>
      <c r="AJ4745" s="431"/>
      <c r="AK4745" s="432"/>
      <c r="AL4745" s="432"/>
      <c r="AM4745" s="431" t="s">
        <v>49</v>
      </c>
      <c r="AN4745" s="369" t="s">
        <v>284</v>
      </c>
      <c r="AO4745" s="431" t="s">
        <v>285</v>
      </c>
      <c r="AP4745" s="431" t="s">
        <v>51</v>
      </c>
      <c r="AQ4745" s="372" t="s">
        <v>439</v>
      </c>
    </row>
    <row r="4746" spans="1:43" ht="15" customHeight="1">
      <c r="A4746" s="69">
        <v>43509</v>
      </c>
      <c r="B4746" s="144" t="s">
        <v>665</v>
      </c>
      <c r="C4746" s="21"/>
      <c r="D4746" s="21" t="s">
        <v>666</v>
      </c>
      <c r="E4746" s="23" t="s">
        <v>667</v>
      </c>
      <c r="F4746" s="24">
        <v>1</v>
      </c>
      <c r="G4746" s="48">
        <v>765</v>
      </c>
      <c r="H4746" s="26">
        <v>765</v>
      </c>
      <c r="I4746" s="82" t="s">
        <v>170</v>
      </c>
      <c r="J4746" s="161" t="s">
        <v>668</v>
      </c>
      <c r="K4746" s="30">
        <v>43557</v>
      </c>
      <c r="W4746" s="52"/>
      <c r="X4746" s="53"/>
      <c r="Y4746" s="53"/>
      <c r="Z4746" s="53"/>
      <c r="AA4746" s="53"/>
      <c r="AB4746" s="237"/>
      <c r="AC4746" s="244"/>
      <c r="AD4746" s="244"/>
      <c r="AE4746" s="244"/>
      <c r="AF4746" s="244"/>
      <c r="AG4746" s="54"/>
      <c r="AH4746" s="54">
        <v>30.77</v>
      </c>
      <c r="AI4746" s="55">
        <f>H4746*AH4746</f>
        <v>23539.05</v>
      </c>
      <c r="AJ4746" s="56">
        <v>43558</v>
      </c>
      <c r="AK4746" s="55">
        <f>765*30.78</f>
        <v>23546.7</v>
      </c>
      <c r="AL4746" s="55">
        <v>0</v>
      </c>
      <c r="AM4746" s="54" t="s">
        <v>49</v>
      </c>
      <c r="AN4746" s="24" t="s">
        <v>284</v>
      </c>
      <c r="AO4746" s="54" t="s">
        <v>285</v>
      </c>
      <c r="AP4746" s="54" t="s">
        <v>51</v>
      </c>
      <c r="AQ4746" s="57" t="s">
        <v>397</v>
      </c>
    </row>
    <row r="4747" spans="1:43" ht="15" customHeight="1">
      <c r="A4747" s="69">
        <v>43509</v>
      </c>
      <c r="B4747" s="144" t="s">
        <v>377</v>
      </c>
      <c r="C4747" s="21">
        <v>8818</v>
      </c>
      <c r="D4747" s="21" t="s">
        <v>669</v>
      </c>
      <c r="E4747" s="23" t="s">
        <v>379</v>
      </c>
      <c r="F4747" s="433">
        <v>200</v>
      </c>
      <c r="G4747" s="434">
        <v>62</v>
      </c>
      <c r="H4747" s="26">
        <v>12400</v>
      </c>
      <c r="I4747" s="82" t="s">
        <v>170</v>
      </c>
      <c r="J4747" s="58" t="s">
        <v>670</v>
      </c>
      <c r="K4747" s="30">
        <v>43564</v>
      </c>
      <c r="W4747" s="293">
        <v>43590</v>
      </c>
      <c r="X4747" s="300">
        <v>43558</v>
      </c>
      <c r="Y4747" s="294" t="s">
        <v>671</v>
      </c>
      <c r="Z4747" s="294">
        <v>285180</v>
      </c>
      <c r="AA4747" s="300">
        <v>43592</v>
      </c>
      <c r="AB4747" s="237"/>
      <c r="AC4747" s="244"/>
      <c r="AD4747" s="244"/>
      <c r="AE4747" s="244"/>
      <c r="AF4747" s="244"/>
      <c r="AG4747" s="296"/>
      <c r="AH4747" s="296">
        <v>30.77</v>
      </c>
      <c r="AI4747" s="297">
        <f>AH4747*H4747</f>
        <v>381548</v>
      </c>
      <c r="AJ4747" s="298">
        <v>43593</v>
      </c>
      <c r="AK4747" s="297">
        <f>12383.53*30.9</f>
        <v>382651.07699999999</v>
      </c>
      <c r="AL4747" s="297">
        <f>(10+6.47)*30.9</f>
        <v>508.92299999999994</v>
      </c>
      <c r="AM4747" s="296" t="s">
        <v>49</v>
      </c>
      <c r="AN4747" s="24" t="s">
        <v>284</v>
      </c>
      <c r="AO4747" s="296" t="s">
        <v>285</v>
      </c>
      <c r="AP4747" s="296" t="s">
        <v>51</v>
      </c>
      <c r="AQ4747" s="234" t="s">
        <v>304</v>
      </c>
    </row>
    <row r="4748" spans="1:43" ht="15" customHeight="1">
      <c r="A4748" s="110">
        <v>43509</v>
      </c>
      <c r="B4748" s="144" t="s">
        <v>377</v>
      </c>
      <c r="C4748" s="21">
        <v>8818</v>
      </c>
      <c r="D4748" s="21" t="s">
        <v>669</v>
      </c>
      <c r="E4748" s="23" t="s">
        <v>382</v>
      </c>
      <c r="F4748" s="433">
        <v>200</v>
      </c>
      <c r="G4748" s="48">
        <v>0</v>
      </c>
      <c r="H4748" s="26">
        <v>0</v>
      </c>
      <c r="I4748" s="429" t="s">
        <v>170</v>
      </c>
      <c r="J4748" s="58" t="s">
        <v>670</v>
      </c>
      <c r="K4748" s="30">
        <v>43564</v>
      </c>
      <c r="W4748" s="304"/>
      <c r="X4748" s="303"/>
      <c r="Y4748" s="304"/>
      <c r="Z4748" s="304"/>
      <c r="AA4748" s="304"/>
      <c r="AB4748" s="237"/>
      <c r="AC4748" s="244"/>
      <c r="AD4748" s="244"/>
      <c r="AE4748" s="244"/>
      <c r="AF4748" s="244"/>
      <c r="AG4748" s="296"/>
      <c r="AH4748" s="296">
        <v>30.77</v>
      </c>
      <c r="AI4748" s="297">
        <f>AH4748*H4748</f>
        <v>0</v>
      </c>
      <c r="AJ4748" s="298">
        <v>43593</v>
      </c>
      <c r="AK4748" s="297"/>
      <c r="AL4748" s="297"/>
      <c r="AM4748" s="296" t="s">
        <v>49</v>
      </c>
      <c r="AN4748" s="24" t="s">
        <v>284</v>
      </c>
      <c r="AO4748" s="296" t="s">
        <v>285</v>
      </c>
      <c r="AP4748" s="296" t="s">
        <v>51</v>
      </c>
      <c r="AQ4748" s="234" t="s">
        <v>304</v>
      </c>
    </row>
    <row r="4749" spans="1:43" ht="15" customHeight="1">
      <c r="A4749" s="69">
        <v>43511</v>
      </c>
      <c r="B4749" s="263" t="s">
        <v>76</v>
      </c>
      <c r="C4749" s="250"/>
      <c r="D4749" s="250" t="s">
        <v>672</v>
      </c>
      <c r="E4749" s="23" t="s">
        <v>317</v>
      </c>
      <c r="F4749" s="251">
        <v>20</v>
      </c>
      <c r="G4749" s="252">
        <v>0</v>
      </c>
      <c r="H4749" s="253">
        <v>0</v>
      </c>
      <c r="I4749" s="264" t="s">
        <v>42</v>
      </c>
      <c r="J4749" s="331" t="s">
        <v>478</v>
      </c>
      <c r="K4749" s="256">
        <v>43522</v>
      </c>
      <c r="W4749" s="258">
        <v>43555</v>
      </c>
      <c r="X4749" s="258">
        <v>43519</v>
      </c>
      <c r="Y4749" s="259" t="s">
        <v>673</v>
      </c>
      <c r="Z4749" s="270">
        <v>142342</v>
      </c>
      <c r="AA4749" s="258">
        <v>43649</v>
      </c>
      <c r="AB4749" s="237"/>
      <c r="AC4749" s="244"/>
      <c r="AD4749" s="244"/>
      <c r="AE4749" s="244"/>
      <c r="AF4749" s="244"/>
      <c r="AG4749" s="251" t="s">
        <v>576</v>
      </c>
      <c r="AH4749" s="251"/>
      <c r="AI4749" s="260"/>
      <c r="AJ4749" s="251"/>
      <c r="AK4749" s="260"/>
      <c r="AL4749" s="260"/>
      <c r="AM4749" s="251" t="s">
        <v>49</v>
      </c>
      <c r="AN4749" s="251" t="s">
        <v>284</v>
      </c>
      <c r="AO4749" s="251" t="s">
        <v>50</v>
      </c>
      <c r="AP4749" s="251" t="s">
        <v>51</v>
      </c>
      <c r="AQ4749" s="262"/>
    </row>
    <row r="4750" spans="1:43" ht="15" customHeight="1">
      <c r="A4750" s="69">
        <v>43513</v>
      </c>
      <c r="B4750" s="70" t="s">
        <v>405</v>
      </c>
      <c r="C4750" s="290">
        <v>7000145208</v>
      </c>
      <c r="D4750" s="290" t="s">
        <v>674</v>
      </c>
      <c r="E4750" s="23" t="s">
        <v>585</v>
      </c>
      <c r="F4750" s="24">
        <v>3</v>
      </c>
      <c r="G4750" s="48">
        <v>15</v>
      </c>
      <c r="H4750" s="60">
        <v>45</v>
      </c>
      <c r="I4750" s="87" t="s">
        <v>42</v>
      </c>
      <c r="J4750" s="405" t="s">
        <v>512</v>
      </c>
      <c r="K4750" s="29">
        <v>43529</v>
      </c>
      <c r="W4750" s="435">
        <v>43616</v>
      </c>
      <c r="X4750" s="293">
        <v>43528</v>
      </c>
      <c r="Y4750" s="294" t="s">
        <v>675</v>
      </c>
      <c r="Z4750" s="295">
        <v>4491</v>
      </c>
      <c r="AA4750" s="300">
        <v>43616</v>
      </c>
      <c r="AB4750" s="237"/>
      <c r="AC4750" s="244"/>
      <c r="AD4750" s="244"/>
      <c r="AE4750" s="244"/>
      <c r="AF4750" s="244"/>
      <c r="AG4750" s="296"/>
      <c r="AH4750" s="296">
        <v>30.74</v>
      </c>
      <c r="AI4750" s="297"/>
      <c r="AJ4750" s="145">
        <v>43588</v>
      </c>
      <c r="AK4750" s="297"/>
      <c r="AL4750" s="297"/>
      <c r="AM4750" s="296" t="s">
        <v>49</v>
      </c>
      <c r="AN4750" s="296" t="s">
        <v>284</v>
      </c>
      <c r="AO4750" s="296" t="s">
        <v>50</v>
      </c>
      <c r="AP4750" s="296" t="s">
        <v>51</v>
      </c>
      <c r="AQ4750" s="234" t="s">
        <v>304</v>
      </c>
    </row>
    <row r="4751" spans="1:43" ht="15" customHeight="1">
      <c r="A4751" s="69">
        <v>43513</v>
      </c>
      <c r="B4751" s="70" t="s">
        <v>405</v>
      </c>
      <c r="C4751" s="290">
        <v>7000145208</v>
      </c>
      <c r="D4751" s="290" t="s">
        <v>674</v>
      </c>
      <c r="E4751" s="23" t="s">
        <v>676</v>
      </c>
      <c r="F4751" s="24">
        <v>1</v>
      </c>
      <c r="G4751" s="48">
        <v>129</v>
      </c>
      <c r="H4751" s="60">
        <v>129</v>
      </c>
      <c r="I4751" s="87" t="s">
        <v>42</v>
      </c>
      <c r="J4751" s="405" t="s">
        <v>512</v>
      </c>
      <c r="K4751" s="29">
        <v>43529</v>
      </c>
      <c r="W4751" s="435">
        <v>43616</v>
      </c>
      <c r="X4751" s="293">
        <v>43528</v>
      </c>
      <c r="Y4751" s="294" t="s">
        <v>675</v>
      </c>
      <c r="Z4751" s="294"/>
      <c r="AA4751" s="300">
        <v>43616</v>
      </c>
      <c r="AB4751" s="237"/>
      <c r="AC4751" s="244"/>
      <c r="AD4751" s="244"/>
      <c r="AE4751" s="244"/>
      <c r="AF4751" s="244"/>
      <c r="AG4751" s="296"/>
      <c r="AH4751" s="296">
        <v>30.74</v>
      </c>
      <c r="AI4751" s="297"/>
      <c r="AJ4751" s="145">
        <v>43588</v>
      </c>
      <c r="AK4751" s="297"/>
      <c r="AL4751" s="297"/>
      <c r="AM4751" s="296" t="s">
        <v>49</v>
      </c>
      <c r="AN4751" s="296" t="s">
        <v>284</v>
      </c>
      <c r="AO4751" s="296" t="s">
        <v>50</v>
      </c>
      <c r="AP4751" s="296" t="s">
        <v>51</v>
      </c>
      <c r="AQ4751" s="234" t="s">
        <v>304</v>
      </c>
    </row>
    <row r="4752" spans="1:43" ht="15" customHeight="1">
      <c r="A4752" s="69">
        <v>43513</v>
      </c>
      <c r="B4752" s="70" t="s">
        <v>405</v>
      </c>
      <c r="C4752" s="290">
        <v>7000145208</v>
      </c>
      <c r="D4752" s="290" t="s">
        <v>674</v>
      </c>
      <c r="E4752" s="23" t="s">
        <v>677</v>
      </c>
      <c r="F4752" s="24">
        <v>1</v>
      </c>
      <c r="G4752" s="48">
        <v>71</v>
      </c>
      <c r="H4752" s="60">
        <v>71</v>
      </c>
      <c r="I4752" s="87" t="s">
        <v>42</v>
      </c>
      <c r="J4752" s="429" t="s">
        <v>519</v>
      </c>
      <c r="K4752" s="29">
        <v>43546</v>
      </c>
      <c r="W4752" s="435">
        <v>43616</v>
      </c>
      <c r="X4752" s="293">
        <v>43542</v>
      </c>
      <c r="Y4752" s="294" t="s">
        <v>678</v>
      </c>
      <c r="Z4752" s="295">
        <v>1956</v>
      </c>
      <c r="AA4752" s="300">
        <v>43616</v>
      </c>
      <c r="AB4752" s="237"/>
      <c r="AC4752" s="244"/>
      <c r="AD4752" s="244"/>
      <c r="AE4752" s="244"/>
      <c r="AF4752" s="244"/>
      <c r="AG4752" s="296"/>
      <c r="AH4752" s="296">
        <v>30.824999999999999</v>
      </c>
      <c r="AI4752" s="297"/>
      <c r="AJ4752" s="145">
        <v>43588</v>
      </c>
      <c r="AK4752" s="297"/>
      <c r="AL4752" s="297"/>
      <c r="AM4752" s="296" t="s">
        <v>49</v>
      </c>
      <c r="AN4752" s="296" t="s">
        <v>284</v>
      </c>
      <c r="AO4752" s="296" t="s">
        <v>50</v>
      </c>
      <c r="AP4752" s="296" t="s">
        <v>51</v>
      </c>
      <c r="AQ4752" s="234" t="s">
        <v>304</v>
      </c>
    </row>
    <row r="4753" spans="1:43" ht="15" customHeight="1">
      <c r="A4753" s="69">
        <v>43514</v>
      </c>
      <c r="B4753" s="70" t="s">
        <v>118</v>
      </c>
      <c r="C4753" s="21" t="s">
        <v>679</v>
      </c>
      <c r="D4753" s="21" t="s">
        <v>680</v>
      </c>
      <c r="E4753" s="23" t="s">
        <v>160</v>
      </c>
      <c r="F4753" s="82">
        <v>10</v>
      </c>
      <c r="G4753" s="47">
        <v>485</v>
      </c>
      <c r="H4753" s="165">
        <v>4850</v>
      </c>
      <c r="I4753" s="296" t="s">
        <v>170</v>
      </c>
      <c r="J4753" s="429" t="s">
        <v>121</v>
      </c>
      <c r="K4753" s="30">
        <v>43564</v>
      </c>
      <c r="W4753" s="435">
        <v>43585</v>
      </c>
      <c r="X4753" s="293">
        <v>43545</v>
      </c>
      <c r="Y4753" s="294" t="s">
        <v>681</v>
      </c>
      <c r="Z4753" s="295">
        <v>1090921</v>
      </c>
      <c r="AA4753" s="300">
        <v>43586</v>
      </c>
      <c r="AB4753" s="237"/>
      <c r="AC4753" s="244"/>
      <c r="AD4753" s="244"/>
      <c r="AE4753" s="244"/>
      <c r="AF4753" s="244"/>
      <c r="AG4753" s="369"/>
      <c r="AH4753" s="369">
        <v>30.77</v>
      </c>
      <c r="AI4753" s="370">
        <f t="shared" ref="AI4753:AI4759" si="286">AH4753*H4753</f>
        <v>149234.5</v>
      </c>
      <c r="AJ4753" s="431" t="s">
        <v>682</v>
      </c>
      <c r="AK4753" s="370"/>
      <c r="AL4753" s="370"/>
      <c r="AM4753" s="369" t="s">
        <v>49</v>
      </c>
      <c r="AN4753" s="369" t="s">
        <v>284</v>
      </c>
      <c r="AO4753" s="369" t="s">
        <v>50</v>
      </c>
      <c r="AP4753" s="369" t="s">
        <v>51</v>
      </c>
      <c r="AQ4753" s="372" t="s">
        <v>439</v>
      </c>
    </row>
    <row r="4754" spans="1:43" ht="15" customHeight="1">
      <c r="A4754" s="69">
        <v>43514</v>
      </c>
      <c r="B4754" s="70" t="s">
        <v>118</v>
      </c>
      <c r="C4754" s="21" t="s">
        <v>679</v>
      </c>
      <c r="D4754" s="21" t="s">
        <v>680</v>
      </c>
      <c r="E4754" s="23" t="s">
        <v>165</v>
      </c>
      <c r="F4754" s="82">
        <v>5</v>
      </c>
      <c r="G4754" s="47">
        <v>880</v>
      </c>
      <c r="H4754" s="165">
        <v>4400</v>
      </c>
      <c r="I4754" s="296" t="s">
        <v>170</v>
      </c>
      <c r="J4754" s="429" t="s">
        <v>121</v>
      </c>
      <c r="K4754" s="30">
        <v>43564</v>
      </c>
      <c r="W4754" s="435">
        <v>43585</v>
      </c>
      <c r="X4754" s="293">
        <v>43545</v>
      </c>
      <c r="Y4754" s="294" t="s">
        <v>681</v>
      </c>
      <c r="Z4754" s="294"/>
      <c r="AA4754" s="300">
        <v>43586</v>
      </c>
      <c r="AB4754" s="237"/>
      <c r="AC4754" s="244"/>
      <c r="AD4754" s="244"/>
      <c r="AE4754" s="244"/>
      <c r="AF4754" s="244"/>
      <c r="AG4754" s="369"/>
      <c r="AH4754" s="369">
        <v>30.77</v>
      </c>
      <c r="AI4754" s="370">
        <f t="shared" si="286"/>
        <v>135388</v>
      </c>
      <c r="AJ4754" s="371">
        <v>43615</v>
      </c>
      <c r="AK4754" s="370"/>
      <c r="AL4754" s="370"/>
      <c r="AM4754" s="369" t="s">
        <v>49</v>
      </c>
      <c r="AN4754" s="369" t="s">
        <v>284</v>
      </c>
      <c r="AO4754" s="369" t="s">
        <v>50</v>
      </c>
      <c r="AP4754" s="369" t="s">
        <v>51</v>
      </c>
      <c r="AQ4754" s="372" t="s">
        <v>439</v>
      </c>
    </row>
    <row r="4755" spans="1:43" ht="15" customHeight="1">
      <c r="A4755" s="69">
        <v>43514</v>
      </c>
      <c r="B4755" s="70" t="s">
        <v>118</v>
      </c>
      <c r="C4755" s="21" t="s">
        <v>679</v>
      </c>
      <c r="D4755" s="21" t="s">
        <v>680</v>
      </c>
      <c r="E4755" s="23" t="s">
        <v>151</v>
      </c>
      <c r="F4755" s="82">
        <v>12</v>
      </c>
      <c r="G4755" s="47">
        <v>1045</v>
      </c>
      <c r="H4755" s="165">
        <v>12540</v>
      </c>
      <c r="I4755" s="296" t="s">
        <v>170</v>
      </c>
      <c r="J4755" s="429" t="s">
        <v>121</v>
      </c>
      <c r="K4755" s="30">
        <v>43564</v>
      </c>
      <c r="W4755" s="435">
        <v>43585</v>
      </c>
      <c r="X4755" s="293">
        <v>43545</v>
      </c>
      <c r="Y4755" s="294" t="s">
        <v>681</v>
      </c>
      <c r="Z4755" s="294"/>
      <c r="AA4755" s="300">
        <v>43586</v>
      </c>
      <c r="AB4755" s="237"/>
      <c r="AC4755" s="244"/>
      <c r="AD4755" s="244"/>
      <c r="AE4755" s="244"/>
      <c r="AF4755" s="244"/>
      <c r="AG4755" s="54"/>
      <c r="AH4755" s="54">
        <v>30.77</v>
      </c>
      <c r="AI4755" s="55">
        <f t="shared" si="286"/>
        <v>385855.8</v>
      </c>
      <c r="AJ4755" s="56">
        <v>43563</v>
      </c>
      <c r="AK4755" s="55">
        <f>31736.11*30.775</f>
        <v>976678.78524999996</v>
      </c>
      <c r="AL4755" s="55">
        <f>(31764-31736.11)*30.775</f>
        <v>858.31474999998204</v>
      </c>
      <c r="AM4755" s="54" t="s">
        <v>49</v>
      </c>
      <c r="AN4755" s="24" t="s">
        <v>284</v>
      </c>
      <c r="AO4755" s="54" t="s">
        <v>50</v>
      </c>
      <c r="AP4755" s="54" t="s">
        <v>51</v>
      </c>
      <c r="AQ4755" s="57" t="s">
        <v>397</v>
      </c>
    </row>
    <row r="4756" spans="1:43" ht="15" customHeight="1">
      <c r="A4756" s="69">
        <v>43514</v>
      </c>
      <c r="B4756" s="70" t="s">
        <v>118</v>
      </c>
      <c r="C4756" s="21" t="s">
        <v>679</v>
      </c>
      <c r="D4756" s="21" t="s">
        <v>680</v>
      </c>
      <c r="E4756" s="23" t="s">
        <v>413</v>
      </c>
      <c r="F4756" s="82">
        <v>8</v>
      </c>
      <c r="G4756" s="47">
        <v>118</v>
      </c>
      <c r="H4756" s="165">
        <v>944</v>
      </c>
      <c r="I4756" s="296" t="s">
        <v>170</v>
      </c>
      <c r="J4756" s="429" t="s">
        <v>121</v>
      </c>
      <c r="K4756" s="30">
        <v>43564</v>
      </c>
      <c r="W4756" s="435">
        <v>43585</v>
      </c>
      <c r="X4756" s="293">
        <v>43545</v>
      </c>
      <c r="Y4756" s="294" t="s">
        <v>681</v>
      </c>
      <c r="Z4756" s="294"/>
      <c r="AA4756" s="300">
        <v>43586</v>
      </c>
      <c r="AB4756" s="237"/>
      <c r="AC4756" s="244"/>
      <c r="AD4756" s="244"/>
      <c r="AE4756" s="244"/>
      <c r="AF4756" s="244"/>
      <c r="AG4756" s="54"/>
      <c r="AH4756" s="54">
        <v>30.77</v>
      </c>
      <c r="AI4756" s="55">
        <f t="shared" si="286"/>
        <v>29046.880000000001</v>
      </c>
      <c r="AJ4756" s="56">
        <v>43563</v>
      </c>
      <c r="AK4756" s="55"/>
      <c r="AL4756" s="55"/>
      <c r="AM4756" s="54" t="s">
        <v>49</v>
      </c>
      <c r="AN4756" s="24" t="s">
        <v>284</v>
      </c>
      <c r="AO4756" s="54" t="s">
        <v>50</v>
      </c>
      <c r="AP4756" s="54" t="s">
        <v>51</v>
      </c>
      <c r="AQ4756" s="57" t="s">
        <v>397</v>
      </c>
    </row>
    <row r="4757" spans="1:43" ht="15" customHeight="1">
      <c r="A4757" s="69">
        <v>43514</v>
      </c>
      <c r="B4757" s="70" t="s">
        <v>118</v>
      </c>
      <c r="C4757" s="21" t="s">
        <v>679</v>
      </c>
      <c r="D4757" s="21" t="s">
        <v>680</v>
      </c>
      <c r="E4757" s="23" t="s">
        <v>414</v>
      </c>
      <c r="F4757" s="82">
        <v>6</v>
      </c>
      <c r="G4757" s="47">
        <v>335</v>
      </c>
      <c r="H4757" s="165">
        <v>2010</v>
      </c>
      <c r="I4757" s="296" t="s">
        <v>170</v>
      </c>
      <c r="J4757" s="436" t="s">
        <v>121</v>
      </c>
      <c r="K4757" s="30">
        <v>43564</v>
      </c>
      <c r="W4757" s="435">
        <v>43585</v>
      </c>
      <c r="X4757" s="293">
        <v>43545</v>
      </c>
      <c r="Y4757" s="294" t="s">
        <v>681</v>
      </c>
      <c r="Z4757" s="294"/>
      <c r="AA4757" s="300">
        <v>43586</v>
      </c>
      <c r="AB4757" s="237"/>
      <c r="AC4757" s="244"/>
      <c r="AD4757" s="244"/>
      <c r="AE4757" s="244"/>
      <c r="AF4757" s="244"/>
      <c r="AG4757" s="54"/>
      <c r="AH4757" s="54">
        <v>30.77</v>
      </c>
      <c r="AI4757" s="55">
        <f t="shared" si="286"/>
        <v>61847.7</v>
      </c>
      <c r="AJ4757" s="56">
        <v>43563</v>
      </c>
      <c r="AK4757" s="55"/>
      <c r="AL4757" s="55"/>
      <c r="AM4757" s="54" t="s">
        <v>49</v>
      </c>
      <c r="AN4757" s="24" t="s">
        <v>284</v>
      </c>
      <c r="AO4757" s="54" t="s">
        <v>50</v>
      </c>
      <c r="AP4757" s="54" t="s">
        <v>51</v>
      </c>
      <c r="AQ4757" s="57" t="s">
        <v>397</v>
      </c>
    </row>
    <row r="4758" spans="1:43" ht="15" customHeight="1">
      <c r="A4758" s="69">
        <v>43514</v>
      </c>
      <c r="B4758" s="70" t="s">
        <v>118</v>
      </c>
      <c r="C4758" s="21" t="s">
        <v>679</v>
      </c>
      <c r="D4758" s="21" t="s">
        <v>680</v>
      </c>
      <c r="E4758" s="23" t="s">
        <v>324</v>
      </c>
      <c r="F4758" s="82">
        <v>8</v>
      </c>
      <c r="G4758" s="47">
        <v>577</v>
      </c>
      <c r="H4758" s="165">
        <v>4616</v>
      </c>
      <c r="I4758" s="296" t="s">
        <v>170</v>
      </c>
      <c r="J4758" s="82" t="s">
        <v>121</v>
      </c>
      <c r="K4758" s="30">
        <v>43564</v>
      </c>
      <c r="W4758" s="435">
        <v>43585</v>
      </c>
      <c r="X4758" s="293">
        <v>43545</v>
      </c>
      <c r="Y4758" s="294" t="s">
        <v>681</v>
      </c>
      <c r="Z4758" s="294"/>
      <c r="AA4758" s="300">
        <v>43586</v>
      </c>
      <c r="AB4758" s="237"/>
      <c r="AC4758" s="244"/>
      <c r="AD4758" s="244"/>
      <c r="AE4758" s="244"/>
      <c r="AF4758" s="244"/>
      <c r="AG4758" s="296"/>
      <c r="AH4758" s="296">
        <v>30.77</v>
      </c>
      <c r="AI4758" s="297">
        <f t="shared" si="286"/>
        <v>142034.32</v>
      </c>
      <c r="AJ4758" s="145">
        <v>43589</v>
      </c>
      <c r="AK4758" s="297">
        <f>16625.68*30.875</f>
        <v>513317.87</v>
      </c>
      <c r="AL4758" s="297">
        <f>(16646-16625.68)*30.875</f>
        <v>627.37999999999101</v>
      </c>
      <c r="AM4758" s="296" t="s">
        <v>49</v>
      </c>
      <c r="AN4758" s="296" t="s">
        <v>284</v>
      </c>
      <c r="AO4758" s="296" t="s">
        <v>50</v>
      </c>
      <c r="AP4758" s="296" t="s">
        <v>51</v>
      </c>
      <c r="AQ4758" s="234" t="s">
        <v>304</v>
      </c>
    </row>
    <row r="4759" spans="1:43" ht="15" customHeight="1">
      <c r="A4759" s="69">
        <v>43514</v>
      </c>
      <c r="B4759" s="70" t="s">
        <v>118</v>
      </c>
      <c r="C4759" s="21" t="s">
        <v>679</v>
      </c>
      <c r="D4759" s="21" t="s">
        <v>680</v>
      </c>
      <c r="E4759" s="23" t="s">
        <v>120</v>
      </c>
      <c r="F4759" s="82">
        <v>25</v>
      </c>
      <c r="G4759" s="47">
        <v>359</v>
      </c>
      <c r="H4759" s="165">
        <v>8975</v>
      </c>
      <c r="I4759" s="296" t="s">
        <v>170</v>
      </c>
      <c r="J4759" s="82" t="s">
        <v>121</v>
      </c>
      <c r="K4759" s="30">
        <v>43564</v>
      </c>
      <c r="W4759" s="435">
        <v>43585</v>
      </c>
      <c r="X4759" s="293">
        <v>43545</v>
      </c>
      <c r="Y4759" s="294" t="s">
        <v>681</v>
      </c>
      <c r="Z4759" s="294"/>
      <c r="AA4759" s="300">
        <v>43586</v>
      </c>
      <c r="AB4759" s="237"/>
      <c r="AC4759" s="244"/>
      <c r="AD4759" s="244"/>
      <c r="AE4759" s="244"/>
      <c r="AF4759" s="244"/>
      <c r="AG4759" s="369"/>
      <c r="AH4759" s="369">
        <v>30.77</v>
      </c>
      <c r="AI4759" s="370">
        <f t="shared" si="286"/>
        <v>276160.75</v>
      </c>
      <c r="AJ4759" s="371">
        <v>43615</v>
      </c>
      <c r="AK4759" s="370"/>
      <c r="AL4759" s="370"/>
      <c r="AM4759" s="369" t="s">
        <v>49</v>
      </c>
      <c r="AN4759" s="369" t="s">
        <v>284</v>
      </c>
      <c r="AO4759" s="369" t="s">
        <v>50</v>
      </c>
      <c r="AP4759" s="369" t="s">
        <v>51</v>
      </c>
      <c r="AQ4759" s="372" t="s">
        <v>439</v>
      </c>
    </row>
    <row r="4760" spans="1:43" ht="15" customHeight="1">
      <c r="A4760" s="69">
        <v>43515</v>
      </c>
      <c r="B4760" s="70" t="s">
        <v>100</v>
      </c>
      <c r="C4760" s="21"/>
      <c r="D4760" s="21" t="s">
        <v>683</v>
      </c>
      <c r="E4760" s="23" t="s">
        <v>684</v>
      </c>
      <c r="F4760" s="24">
        <v>4</v>
      </c>
      <c r="G4760" s="48">
        <v>399</v>
      </c>
      <c r="H4760" s="26">
        <v>1596</v>
      </c>
      <c r="I4760" s="87" t="s">
        <v>302</v>
      </c>
      <c r="J4760" s="50" t="s">
        <v>532</v>
      </c>
      <c r="K4760" s="29">
        <v>43531</v>
      </c>
      <c r="W4760" s="293">
        <v>43529</v>
      </c>
      <c r="X4760" s="293">
        <v>43519</v>
      </c>
      <c r="Y4760" s="294" t="s">
        <v>685</v>
      </c>
      <c r="Z4760" s="295">
        <v>43260</v>
      </c>
      <c r="AA4760" s="293">
        <v>43531</v>
      </c>
      <c r="AB4760" s="237"/>
      <c r="AC4760" s="244"/>
      <c r="AD4760" s="244"/>
      <c r="AE4760" s="244"/>
      <c r="AF4760" s="244"/>
      <c r="AG4760" s="54"/>
      <c r="AH4760" s="54">
        <v>30.74</v>
      </c>
      <c r="AI4760" s="55"/>
      <c r="AJ4760" s="56">
        <v>43565</v>
      </c>
      <c r="AK4760" s="38"/>
      <c r="AL4760" s="38"/>
      <c r="AM4760" s="54" t="s">
        <v>49</v>
      </c>
      <c r="AN4760" s="24" t="s">
        <v>284</v>
      </c>
      <c r="AO4760" s="54" t="s">
        <v>50</v>
      </c>
      <c r="AP4760" s="54" t="s">
        <v>51</v>
      </c>
      <c r="AQ4760" s="57" t="s">
        <v>397</v>
      </c>
    </row>
    <row r="4761" spans="1:43" ht="15" customHeight="1">
      <c r="A4761" s="69">
        <v>43515</v>
      </c>
      <c r="B4761" s="70" t="s">
        <v>100</v>
      </c>
      <c r="C4761" s="21"/>
      <c r="D4761" s="21" t="s">
        <v>686</v>
      </c>
      <c r="E4761" s="23" t="s">
        <v>687</v>
      </c>
      <c r="F4761" s="24">
        <v>2</v>
      </c>
      <c r="G4761" s="48">
        <v>399</v>
      </c>
      <c r="H4761" s="26">
        <v>798</v>
      </c>
      <c r="I4761" s="87" t="s">
        <v>302</v>
      </c>
      <c r="J4761" s="50" t="s">
        <v>532</v>
      </c>
      <c r="K4761" s="29">
        <v>43531</v>
      </c>
      <c r="W4761" s="293">
        <v>43560</v>
      </c>
      <c r="X4761" s="293">
        <v>43529</v>
      </c>
      <c r="Y4761" s="294" t="s">
        <v>688</v>
      </c>
      <c r="Z4761" s="295">
        <v>21630</v>
      </c>
      <c r="AA4761" s="293">
        <v>43558</v>
      </c>
      <c r="AB4761" s="237"/>
      <c r="AC4761" s="244"/>
      <c r="AD4761" s="244"/>
      <c r="AE4761" s="244"/>
      <c r="AF4761" s="244"/>
      <c r="AG4761" s="54"/>
      <c r="AH4761" s="54">
        <v>30.74</v>
      </c>
      <c r="AI4761" s="55"/>
      <c r="AJ4761" s="56">
        <v>43565</v>
      </c>
      <c r="AK4761" s="38"/>
      <c r="AL4761" s="38"/>
      <c r="AM4761" s="54" t="s">
        <v>49</v>
      </c>
      <c r="AN4761" s="24" t="s">
        <v>284</v>
      </c>
      <c r="AO4761" s="54" t="s">
        <v>50</v>
      </c>
      <c r="AP4761" s="54" t="s">
        <v>51</v>
      </c>
      <c r="AQ4761" s="57" t="s">
        <v>397</v>
      </c>
    </row>
    <row r="4762" spans="1:43" ht="15" customHeight="1">
      <c r="A4762" s="69">
        <v>43515</v>
      </c>
      <c r="B4762" s="144" t="s">
        <v>463</v>
      </c>
      <c r="C4762" s="250" t="s">
        <v>689</v>
      </c>
      <c r="D4762" s="250" t="s">
        <v>690</v>
      </c>
      <c r="E4762" s="23" t="s">
        <v>691</v>
      </c>
      <c r="F4762" s="251">
        <v>1</v>
      </c>
      <c r="G4762" s="252">
        <v>470</v>
      </c>
      <c r="H4762" s="334">
        <v>470</v>
      </c>
      <c r="I4762" s="264" t="s">
        <v>170</v>
      </c>
      <c r="J4762" s="251" t="s">
        <v>466</v>
      </c>
      <c r="K4762" s="256">
        <v>43550</v>
      </c>
      <c r="W4762" s="337"/>
      <c r="X4762" s="329"/>
      <c r="Y4762" s="329"/>
      <c r="Z4762" s="329"/>
      <c r="AA4762" s="329"/>
      <c r="AB4762" s="237"/>
      <c r="AC4762" s="244"/>
      <c r="AD4762" s="244"/>
      <c r="AE4762" s="244"/>
      <c r="AF4762" s="244"/>
      <c r="AG4762" s="251"/>
      <c r="AH4762" s="251">
        <v>30.824999999999999</v>
      </c>
      <c r="AI4762" s="260"/>
      <c r="AJ4762" s="305"/>
      <c r="AK4762" s="260">
        <f>495*30.76-200</f>
        <v>15026.2</v>
      </c>
      <c r="AL4762" s="260">
        <v>200</v>
      </c>
      <c r="AM4762" s="251" t="s">
        <v>49</v>
      </c>
      <c r="AN4762" s="251" t="s">
        <v>284</v>
      </c>
      <c r="AO4762" s="251" t="s">
        <v>285</v>
      </c>
      <c r="AP4762" s="251" t="s">
        <v>51</v>
      </c>
      <c r="AQ4762" s="262"/>
    </row>
    <row r="4763" spans="1:43" ht="15" customHeight="1">
      <c r="A4763" s="69">
        <v>43515</v>
      </c>
      <c r="B4763" s="147" t="s">
        <v>463</v>
      </c>
      <c r="C4763" s="250" t="s">
        <v>689</v>
      </c>
      <c r="D4763" s="250" t="s">
        <v>690</v>
      </c>
      <c r="E4763" s="23" t="s">
        <v>692</v>
      </c>
      <c r="F4763" s="251">
        <v>1</v>
      </c>
      <c r="G4763" s="252">
        <f>25</f>
        <v>25</v>
      </c>
      <c r="H4763" s="334">
        <v>25</v>
      </c>
      <c r="I4763" s="264" t="s">
        <v>170</v>
      </c>
      <c r="J4763" s="393" t="s">
        <v>466</v>
      </c>
      <c r="K4763" s="256">
        <v>43550</v>
      </c>
      <c r="W4763" s="337"/>
      <c r="X4763" s="329"/>
      <c r="Y4763" s="329"/>
      <c r="Z4763" s="329"/>
      <c r="AA4763" s="329"/>
      <c r="AB4763" s="237"/>
      <c r="AC4763" s="244"/>
      <c r="AD4763" s="244"/>
      <c r="AE4763" s="244"/>
      <c r="AF4763" s="244"/>
      <c r="AG4763" s="251"/>
      <c r="AH4763" s="251">
        <v>30.824999999999999</v>
      </c>
      <c r="AI4763" s="260"/>
      <c r="AJ4763" s="251"/>
      <c r="AK4763" s="260"/>
      <c r="AL4763" s="260"/>
      <c r="AM4763" s="251" t="s">
        <v>49</v>
      </c>
      <c r="AN4763" s="251" t="s">
        <v>284</v>
      </c>
      <c r="AO4763" s="251" t="s">
        <v>285</v>
      </c>
      <c r="AP4763" s="251" t="s">
        <v>51</v>
      </c>
      <c r="AQ4763" s="262"/>
    </row>
    <row r="4764" spans="1:43" ht="15" customHeight="1">
      <c r="A4764" s="69">
        <v>43515</v>
      </c>
      <c r="B4764" s="21" t="s">
        <v>100</v>
      </c>
      <c r="C4764" s="21"/>
      <c r="D4764" s="21" t="s">
        <v>693</v>
      </c>
      <c r="E4764" s="23" t="s">
        <v>694</v>
      </c>
      <c r="F4764" s="24">
        <v>2</v>
      </c>
      <c r="G4764" s="47">
        <v>994</v>
      </c>
      <c r="H4764" s="60">
        <v>1988</v>
      </c>
      <c r="I4764" s="87" t="s">
        <v>695</v>
      </c>
      <c r="J4764" s="437" t="s">
        <v>532</v>
      </c>
      <c r="K4764" s="29">
        <v>43536</v>
      </c>
      <c r="W4764" s="293">
        <v>43560</v>
      </c>
      <c r="X4764" s="293">
        <v>43531</v>
      </c>
      <c r="Y4764" s="294" t="s">
        <v>696</v>
      </c>
      <c r="Z4764" s="295">
        <v>56603</v>
      </c>
      <c r="AA4764" s="293">
        <v>43564</v>
      </c>
      <c r="AB4764" s="237"/>
      <c r="AC4764" s="244"/>
      <c r="AD4764" s="244"/>
      <c r="AE4764" s="244"/>
      <c r="AF4764" s="244"/>
      <c r="AG4764" s="296"/>
      <c r="AH4764" s="296">
        <v>30.79</v>
      </c>
      <c r="AI4764" s="297"/>
      <c r="AJ4764" s="298">
        <v>43587</v>
      </c>
      <c r="AK4764" s="297"/>
      <c r="AL4764" s="297"/>
      <c r="AM4764" s="296" t="s">
        <v>49</v>
      </c>
      <c r="AN4764" s="296" t="s">
        <v>284</v>
      </c>
      <c r="AO4764" s="296" t="s">
        <v>50</v>
      </c>
      <c r="AP4764" s="296" t="s">
        <v>51</v>
      </c>
      <c r="AQ4764" s="234" t="s">
        <v>304</v>
      </c>
    </row>
    <row r="4765" spans="1:43" ht="15" customHeight="1">
      <c r="A4765" s="69">
        <v>43516</v>
      </c>
      <c r="B4765" s="147" t="s">
        <v>166</v>
      </c>
      <c r="C4765" s="427"/>
      <c r="D4765" s="427" t="s">
        <v>697</v>
      </c>
      <c r="E4765" s="23" t="s">
        <v>500</v>
      </c>
      <c r="F4765" s="438">
        <v>2</v>
      </c>
      <c r="G4765" s="439">
        <v>132</v>
      </c>
      <c r="H4765" s="440">
        <v>264</v>
      </c>
      <c r="I4765" s="441" t="s">
        <v>104</v>
      </c>
      <c r="J4765" s="442" t="s">
        <v>171</v>
      </c>
      <c r="K4765" s="443">
        <v>43538</v>
      </c>
      <c r="W4765" s="444">
        <v>43590</v>
      </c>
      <c r="X4765" s="445" t="s">
        <v>698</v>
      </c>
      <c r="Y4765" s="445" t="s">
        <v>698</v>
      </c>
      <c r="Z4765" s="445"/>
      <c r="AA4765" s="444">
        <v>43592</v>
      </c>
      <c r="AB4765" s="237"/>
      <c r="AC4765" s="244"/>
      <c r="AD4765" s="244"/>
      <c r="AE4765" s="244"/>
      <c r="AF4765" s="244"/>
      <c r="AG4765" s="438"/>
      <c r="AH4765" s="438"/>
      <c r="AI4765" s="446"/>
      <c r="AJ4765" s="438"/>
      <c r="AK4765" s="446"/>
      <c r="AL4765" s="260"/>
      <c r="AM4765" s="251" t="s">
        <v>49</v>
      </c>
      <c r="AN4765" s="251" t="s">
        <v>284</v>
      </c>
      <c r="AO4765" s="438" t="s">
        <v>285</v>
      </c>
      <c r="AP4765" s="438" t="s">
        <v>51</v>
      </c>
      <c r="AQ4765" s="447"/>
    </row>
    <row r="4766" spans="1:43" ht="15" customHeight="1">
      <c r="A4766" s="69">
        <v>43516</v>
      </c>
      <c r="B4766" s="147" t="s">
        <v>166</v>
      </c>
      <c r="C4766" s="250"/>
      <c r="D4766" s="250" t="s">
        <v>697</v>
      </c>
      <c r="E4766" s="23" t="s">
        <v>699</v>
      </c>
      <c r="F4766" s="251">
        <v>2</v>
      </c>
      <c r="G4766" s="252">
        <v>1155</v>
      </c>
      <c r="H4766" s="334">
        <v>2310</v>
      </c>
      <c r="I4766" s="264" t="s">
        <v>104</v>
      </c>
      <c r="J4766" s="255" t="s">
        <v>171</v>
      </c>
      <c r="K4766" s="256">
        <v>43538</v>
      </c>
      <c r="W4766" s="337"/>
      <c r="X4766" s="329"/>
      <c r="Y4766" s="329"/>
      <c r="Z4766" s="329"/>
      <c r="AA4766" s="329"/>
      <c r="AB4766" s="237"/>
      <c r="AC4766" s="244"/>
      <c r="AD4766" s="244"/>
      <c r="AE4766" s="244"/>
      <c r="AF4766" s="244"/>
      <c r="AG4766" s="251"/>
      <c r="AH4766" s="251"/>
      <c r="AI4766" s="260"/>
      <c r="AJ4766" s="251"/>
      <c r="AK4766" s="260">
        <f>(2590-6.5)*30.76</f>
        <v>79468.460000000006</v>
      </c>
      <c r="AL4766" s="260">
        <f>(40+6.5)*30.76</f>
        <v>1430.3400000000001</v>
      </c>
      <c r="AM4766" s="251" t="s">
        <v>49</v>
      </c>
      <c r="AN4766" s="251" t="s">
        <v>284</v>
      </c>
      <c r="AO4766" s="251" t="s">
        <v>285</v>
      </c>
      <c r="AP4766" s="251" t="s">
        <v>51</v>
      </c>
      <c r="AQ4766" s="262"/>
    </row>
    <row r="4767" spans="1:43" ht="15" customHeight="1">
      <c r="A4767" s="69">
        <v>43516</v>
      </c>
      <c r="B4767" s="147" t="s">
        <v>166</v>
      </c>
      <c r="C4767" s="250"/>
      <c r="D4767" s="250" t="s">
        <v>697</v>
      </c>
      <c r="E4767" s="23" t="s">
        <v>497</v>
      </c>
      <c r="F4767" s="251">
        <v>2</v>
      </c>
      <c r="G4767" s="252">
        <v>28</v>
      </c>
      <c r="H4767" s="334">
        <v>56</v>
      </c>
      <c r="I4767" s="264" t="s">
        <v>104</v>
      </c>
      <c r="J4767" s="255" t="s">
        <v>171</v>
      </c>
      <c r="K4767" s="256">
        <v>43538</v>
      </c>
      <c r="W4767" s="337"/>
      <c r="X4767" s="329"/>
      <c r="Y4767" s="329"/>
      <c r="Z4767" s="329"/>
      <c r="AA4767" s="329"/>
      <c r="AB4767" s="237"/>
      <c r="AC4767" s="244"/>
      <c r="AD4767" s="244"/>
      <c r="AE4767" s="244"/>
      <c r="AF4767" s="244"/>
      <c r="AG4767" s="251"/>
      <c r="AH4767" s="251"/>
      <c r="AI4767" s="260"/>
      <c r="AJ4767" s="251"/>
      <c r="AK4767" s="260"/>
      <c r="AL4767" s="260"/>
      <c r="AM4767" s="251" t="s">
        <v>49</v>
      </c>
      <c r="AN4767" s="251" t="s">
        <v>284</v>
      </c>
      <c r="AO4767" s="251" t="s">
        <v>285</v>
      </c>
      <c r="AP4767" s="251" t="s">
        <v>51</v>
      </c>
      <c r="AQ4767" s="262"/>
    </row>
    <row r="4768" spans="1:43" ht="15" customHeight="1">
      <c r="A4768" s="19">
        <v>43517</v>
      </c>
      <c r="B4768" s="22" t="s">
        <v>325</v>
      </c>
      <c r="C4768" s="21">
        <v>2027687</v>
      </c>
      <c r="D4768" s="22" t="s">
        <v>700</v>
      </c>
      <c r="E4768" s="23" t="s">
        <v>327</v>
      </c>
      <c r="F4768" s="24">
        <v>5</v>
      </c>
      <c r="G4768" s="48">
        <v>607</v>
      </c>
      <c r="H4768" s="26">
        <v>3035</v>
      </c>
      <c r="I4768" s="49" t="s">
        <v>42</v>
      </c>
      <c r="J4768" s="448" t="s">
        <v>328</v>
      </c>
      <c r="K4768" s="29">
        <v>43552</v>
      </c>
      <c r="W4768" s="435">
        <v>43585</v>
      </c>
      <c r="X4768" s="411">
        <v>43544</v>
      </c>
      <c r="Y4768" s="340" t="s">
        <v>701</v>
      </c>
      <c r="Z4768" s="412">
        <v>259063</v>
      </c>
      <c r="AA4768" s="449">
        <v>43588</v>
      </c>
      <c r="AB4768" s="237"/>
      <c r="AC4768" s="244"/>
      <c r="AD4768" s="244"/>
      <c r="AE4768" s="244"/>
      <c r="AF4768" s="244"/>
      <c r="AG4768" s="24"/>
      <c r="AH4768" s="24"/>
      <c r="AI4768" s="38"/>
      <c r="AJ4768" s="24"/>
      <c r="AK4768" s="38"/>
      <c r="AL4768" s="38"/>
      <c r="AM4768" s="24" t="s">
        <v>49</v>
      </c>
      <c r="AN4768" s="24" t="s">
        <v>284</v>
      </c>
      <c r="AO4768" s="24" t="s">
        <v>50</v>
      </c>
      <c r="AP4768" s="24" t="s">
        <v>51</v>
      </c>
      <c r="AQ4768" s="40" t="s">
        <v>397</v>
      </c>
    </row>
    <row r="4769" spans="1:43" ht="15" customHeight="1">
      <c r="A4769" s="19">
        <v>43517</v>
      </c>
      <c r="B4769" s="22" t="s">
        <v>325</v>
      </c>
      <c r="C4769" s="21">
        <v>2027687</v>
      </c>
      <c r="D4769" s="22" t="s">
        <v>700</v>
      </c>
      <c r="E4769" s="23" t="s">
        <v>702</v>
      </c>
      <c r="F4769" s="24">
        <v>5</v>
      </c>
      <c r="G4769" s="48">
        <v>27</v>
      </c>
      <c r="H4769" s="26">
        <v>135</v>
      </c>
      <c r="I4769" s="49" t="s">
        <v>42</v>
      </c>
      <c r="J4769" s="448" t="s">
        <v>328</v>
      </c>
      <c r="K4769" s="29">
        <v>43552</v>
      </c>
      <c r="W4769" s="435">
        <v>43585</v>
      </c>
      <c r="X4769" s="411">
        <v>43544</v>
      </c>
      <c r="Y4769" s="340" t="s">
        <v>701</v>
      </c>
      <c r="Z4769" s="340"/>
      <c r="AA4769" s="449">
        <v>43588</v>
      </c>
      <c r="AB4769" s="237"/>
      <c r="AC4769" s="244"/>
      <c r="AD4769" s="244"/>
      <c r="AE4769" s="244"/>
      <c r="AF4769" s="244"/>
      <c r="AG4769" s="24"/>
      <c r="AH4769" s="24"/>
      <c r="AI4769" s="38"/>
      <c r="AJ4769" s="24"/>
      <c r="AK4769" s="38"/>
      <c r="AL4769" s="38"/>
      <c r="AM4769" s="24" t="s">
        <v>49</v>
      </c>
      <c r="AN4769" s="24" t="s">
        <v>284</v>
      </c>
      <c r="AO4769" s="24" t="s">
        <v>50</v>
      </c>
      <c r="AP4769" s="24" t="s">
        <v>51</v>
      </c>
      <c r="AQ4769" s="40" t="s">
        <v>397</v>
      </c>
    </row>
    <row r="4770" spans="1:43" ht="15" customHeight="1">
      <c r="A4770" s="19">
        <v>43517</v>
      </c>
      <c r="B4770" s="20" t="s">
        <v>325</v>
      </c>
      <c r="C4770" s="21">
        <v>2027687</v>
      </c>
      <c r="D4770" s="22" t="s">
        <v>700</v>
      </c>
      <c r="E4770" s="23" t="s">
        <v>52</v>
      </c>
      <c r="F4770" s="24">
        <v>10</v>
      </c>
      <c r="G4770" s="48">
        <v>31</v>
      </c>
      <c r="H4770" s="26">
        <v>310</v>
      </c>
      <c r="I4770" s="49" t="s">
        <v>42</v>
      </c>
      <c r="J4770" s="161" t="s">
        <v>328</v>
      </c>
      <c r="K4770" s="29">
        <v>43552</v>
      </c>
      <c r="W4770" s="435">
        <v>43585</v>
      </c>
      <c r="X4770" s="411">
        <v>43544</v>
      </c>
      <c r="Y4770" s="340" t="s">
        <v>701</v>
      </c>
      <c r="Z4770" s="340"/>
      <c r="AA4770" s="449">
        <v>43588</v>
      </c>
      <c r="AB4770" s="237"/>
      <c r="AC4770" s="244"/>
      <c r="AD4770" s="244"/>
      <c r="AE4770" s="244"/>
      <c r="AF4770" s="244"/>
      <c r="AG4770" s="24"/>
      <c r="AH4770" s="24"/>
      <c r="AI4770" s="38"/>
      <c r="AJ4770" s="24"/>
      <c r="AK4770" s="38"/>
      <c r="AL4770" s="38"/>
      <c r="AM4770" s="24" t="s">
        <v>49</v>
      </c>
      <c r="AN4770" s="24" t="s">
        <v>284</v>
      </c>
      <c r="AO4770" s="24" t="s">
        <v>50</v>
      </c>
      <c r="AP4770" s="24" t="s">
        <v>51</v>
      </c>
      <c r="AQ4770" s="40" t="s">
        <v>397</v>
      </c>
    </row>
    <row r="4771" spans="1:43" ht="15" customHeight="1">
      <c r="A4771" s="19">
        <v>43517</v>
      </c>
      <c r="B4771" s="20" t="s">
        <v>325</v>
      </c>
      <c r="C4771" s="21">
        <v>2027687</v>
      </c>
      <c r="D4771" s="22" t="s">
        <v>700</v>
      </c>
      <c r="E4771" s="23" t="s">
        <v>58</v>
      </c>
      <c r="F4771" s="24">
        <v>10</v>
      </c>
      <c r="G4771" s="48">
        <v>4</v>
      </c>
      <c r="H4771" s="26">
        <v>40</v>
      </c>
      <c r="I4771" s="49" t="s">
        <v>42</v>
      </c>
      <c r="J4771" s="161" t="s">
        <v>328</v>
      </c>
      <c r="K4771" s="29">
        <v>43552</v>
      </c>
      <c r="W4771" s="435">
        <v>43585</v>
      </c>
      <c r="X4771" s="411">
        <v>43544</v>
      </c>
      <c r="Y4771" s="340" t="s">
        <v>701</v>
      </c>
      <c r="Z4771" s="340"/>
      <c r="AA4771" s="449">
        <v>43588</v>
      </c>
      <c r="AB4771" s="237"/>
      <c r="AC4771" s="244"/>
      <c r="AD4771" s="244"/>
      <c r="AE4771" s="244"/>
      <c r="AF4771" s="244"/>
      <c r="AG4771" s="24"/>
      <c r="AH4771" s="24"/>
      <c r="AI4771" s="38"/>
      <c r="AJ4771" s="24"/>
      <c r="AK4771" s="38"/>
      <c r="AL4771" s="38"/>
      <c r="AM4771" s="24" t="s">
        <v>49</v>
      </c>
      <c r="AN4771" s="24" t="s">
        <v>284</v>
      </c>
      <c r="AO4771" s="24" t="s">
        <v>50</v>
      </c>
      <c r="AP4771" s="24" t="s">
        <v>51</v>
      </c>
      <c r="AQ4771" s="40" t="s">
        <v>397</v>
      </c>
    </row>
    <row r="4772" spans="1:43" ht="15" customHeight="1">
      <c r="A4772" s="19">
        <v>43517</v>
      </c>
      <c r="B4772" s="20" t="s">
        <v>325</v>
      </c>
      <c r="C4772" s="21">
        <v>2027687</v>
      </c>
      <c r="D4772" s="22" t="s">
        <v>700</v>
      </c>
      <c r="E4772" s="23" t="s">
        <v>703</v>
      </c>
      <c r="F4772" s="24">
        <v>10</v>
      </c>
      <c r="G4772" s="48">
        <v>273</v>
      </c>
      <c r="H4772" s="26">
        <v>2730</v>
      </c>
      <c r="I4772" s="49" t="s">
        <v>42</v>
      </c>
      <c r="J4772" s="161" t="s">
        <v>328</v>
      </c>
      <c r="K4772" s="29">
        <v>43552</v>
      </c>
      <c r="W4772" s="435">
        <v>43568</v>
      </c>
      <c r="X4772" s="411">
        <v>43538</v>
      </c>
      <c r="Y4772" s="340" t="s">
        <v>704</v>
      </c>
      <c r="Z4772" s="412">
        <v>67508</v>
      </c>
      <c r="AA4772" s="411">
        <v>43568</v>
      </c>
      <c r="AB4772" s="237"/>
      <c r="AC4772" s="244"/>
      <c r="AD4772" s="244"/>
      <c r="AE4772" s="244"/>
      <c r="AF4772" s="244"/>
      <c r="AG4772" s="24"/>
      <c r="AH4772" s="24"/>
      <c r="AI4772" s="38"/>
      <c r="AJ4772" s="24"/>
      <c r="AK4772" s="38"/>
      <c r="AL4772" s="38"/>
      <c r="AM4772" s="24" t="s">
        <v>49</v>
      </c>
      <c r="AN4772" s="24" t="s">
        <v>284</v>
      </c>
      <c r="AO4772" s="24" t="s">
        <v>50</v>
      </c>
      <c r="AP4772" s="24" t="s">
        <v>51</v>
      </c>
      <c r="AQ4772" s="40" t="s">
        <v>397</v>
      </c>
    </row>
    <row r="4773" spans="1:43" ht="15" customHeight="1">
      <c r="A4773" s="19">
        <v>43517</v>
      </c>
      <c r="B4773" s="20" t="s">
        <v>325</v>
      </c>
      <c r="C4773" s="21">
        <v>2027687</v>
      </c>
      <c r="D4773" s="41" t="s">
        <v>705</v>
      </c>
      <c r="E4773" s="23" t="s">
        <v>60</v>
      </c>
      <c r="F4773" s="24">
        <v>10</v>
      </c>
      <c r="G4773" s="48">
        <v>542</v>
      </c>
      <c r="H4773" s="26">
        <v>5420</v>
      </c>
      <c r="I4773" s="49" t="s">
        <v>42</v>
      </c>
      <c r="J4773" s="347" t="s">
        <v>328</v>
      </c>
      <c r="K4773" s="29">
        <v>43552</v>
      </c>
      <c r="W4773" s="435">
        <v>43585</v>
      </c>
      <c r="X4773" s="411">
        <v>43544</v>
      </c>
      <c r="Y4773" s="340" t="s">
        <v>701</v>
      </c>
      <c r="Z4773" s="340"/>
      <c r="AA4773" s="449">
        <v>43588</v>
      </c>
      <c r="AB4773" s="237"/>
      <c r="AC4773" s="244"/>
      <c r="AD4773" s="244"/>
      <c r="AE4773" s="244"/>
      <c r="AF4773" s="244"/>
      <c r="AG4773" s="24"/>
      <c r="AH4773" s="24"/>
      <c r="AI4773" s="38"/>
      <c r="AJ4773" s="24"/>
      <c r="AK4773" s="38"/>
      <c r="AL4773" s="38"/>
      <c r="AM4773" s="24" t="s">
        <v>49</v>
      </c>
      <c r="AN4773" s="24" t="s">
        <v>284</v>
      </c>
      <c r="AO4773" s="24" t="s">
        <v>50</v>
      </c>
      <c r="AP4773" s="24" t="s">
        <v>51</v>
      </c>
      <c r="AQ4773" s="40" t="s">
        <v>397</v>
      </c>
    </row>
    <row r="4774" spans="1:43" ht="15" customHeight="1">
      <c r="A4774" s="69">
        <v>43517</v>
      </c>
      <c r="B4774" s="263" t="s">
        <v>129</v>
      </c>
      <c r="C4774" s="250" t="s">
        <v>706</v>
      </c>
      <c r="D4774" s="250" t="s">
        <v>707</v>
      </c>
      <c r="E4774" s="23" t="s">
        <v>708</v>
      </c>
      <c r="F4774" s="251">
        <v>10</v>
      </c>
      <c r="G4774" s="252">
        <v>90</v>
      </c>
      <c r="H4774" s="334">
        <v>900</v>
      </c>
      <c r="I4774" s="264" t="s">
        <v>247</v>
      </c>
      <c r="J4774" s="331" t="s">
        <v>133</v>
      </c>
      <c r="K4774" s="256">
        <v>43538</v>
      </c>
      <c r="W4774" s="258">
        <v>43585</v>
      </c>
      <c r="X4774" s="258">
        <v>43529</v>
      </c>
      <c r="Y4774" s="259" t="s">
        <v>709</v>
      </c>
      <c r="Z4774" s="270">
        <v>34859</v>
      </c>
      <c r="AA4774" s="368">
        <v>43586</v>
      </c>
      <c r="AB4774" s="237"/>
      <c r="AC4774" s="244"/>
      <c r="AD4774" s="244"/>
      <c r="AE4774" s="244"/>
      <c r="AF4774" s="244"/>
      <c r="AG4774" s="251" t="s">
        <v>283</v>
      </c>
      <c r="AH4774" s="251">
        <v>30.79</v>
      </c>
      <c r="AI4774" s="260"/>
      <c r="AJ4774" s="251"/>
      <c r="AK4774" s="260"/>
      <c r="AL4774" s="260"/>
      <c r="AM4774" s="251" t="s">
        <v>49</v>
      </c>
      <c r="AN4774" s="251" t="s">
        <v>284</v>
      </c>
      <c r="AO4774" s="251" t="s">
        <v>50</v>
      </c>
      <c r="AP4774" s="251" t="s">
        <v>51</v>
      </c>
      <c r="AQ4774" s="262"/>
    </row>
    <row r="4775" spans="1:43" ht="15" customHeight="1">
      <c r="A4775" s="69">
        <v>43517</v>
      </c>
      <c r="B4775" s="263" t="s">
        <v>129</v>
      </c>
      <c r="C4775" s="250" t="s">
        <v>706</v>
      </c>
      <c r="D4775" s="250" t="s">
        <v>707</v>
      </c>
      <c r="E4775" s="23" t="s">
        <v>710</v>
      </c>
      <c r="F4775" s="251">
        <v>5</v>
      </c>
      <c r="G4775" s="252">
        <v>50</v>
      </c>
      <c r="H4775" s="334">
        <v>250</v>
      </c>
      <c r="I4775" s="264" t="s">
        <v>247</v>
      </c>
      <c r="J4775" s="331" t="s">
        <v>133</v>
      </c>
      <c r="K4775" s="256">
        <v>43538</v>
      </c>
      <c r="W4775" s="258">
        <v>43585</v>
      </c>
      <c r="X4775" s="258">
        <v>43529</v>
      </c>
      <c r="Y4775" s="259" t="s">
        <v>709</v>
      </c>
      <c r="Z4775" s="259"/>
      <c r="AA4775" s="368">
        <v>43586</v>
      </c>
      <c r="AB4775" s="237"/>
      <c r="AC4775" s="244"/>
      <c r="AD4775" s="244"/>
      <c r="AE4775" s="244"/>
      <c r="AF4775" s="244"/>
      <c r="AG4775" s="251" t="s">
        <v>283</v>
      </c>
      <c r="AH4775" s="251">
        <v>30.79</v>
      </c>
      <c r="AI4775" s="260"/>
      <c r="AJ4775" s="251"/>
      <c r="AK4775" s="260"/>
      <c r="AL4775" s="260"/>
      <c r="AM4775" s="251" t="s">
        <v>49</v>
      </c>
      <c r="AN4775" s="251" t="s">
        <v>284</v>
      </c>
      <c r="AO4775" s="251" t="s">
        <v>50</v>
      </c>
      <c r="AP4775" s="251" t="s">
        <v>51</v>
      </c>
      <c r="AQ4775" s="262"/>
    </row>
    <row r="4776" spans="1:43" ht="15" customHeight="1">
      <c r="A4776" s="19">
        <v>43518</v>
      </c>
      <c r="B4776" s="51" t="s">
        <v>76</v>
      </c>
      <c r="C4776" s="21">
        <v>138</v>
      </c>
      <c r="D4776" s="22" t="s">
        <v>711</v>
      </c>
      <c r="E4776" s="23" t="s">
        <v>712</v>
      </c>
      <c r="F4776" s="82">
        <v>50</v>
      </c>
      <c r="G4776" s="47">
        <v>1.9</v>
      </c>
      <c r="H4776" s="26">
        <v>95</v>
      </c>
      <c r="I4776" s="27" t="s">
        <v>42</v>
      </c>
      <c r="J4776" s="31" t="s">
        <v>315</v>
      </c>
      <c r="K4776" s="29">
        <v>43531</v>
      </c>
      <c r="W4776" s="52"/>
      <c r="X4776" s="53"/>
      <c r="Y4776" s="53"/>
      <c r="Z4776" s="53"/>
      <c r="AA4776" s="53"/>
      <c r="AB4776" s="237"/>
      <c r="AC4776" s="244"/>
      <c r="AD4776" s="244"/>
      <c r="AE4776" s="244"/>
      <c r="AF4776" s="244"/>
      <c r="AG4776" s="54"/>
      <c r="AH4776" s="54"/>
      <c r="AI4776" s="55"/>
      <c r="AJ4776" s="54"/>
      <c r="AK4776" s="55"/>
      <c r="AL4776" s="55"/>
      <c r="AM4776" s="54" t="s">
        <v>49</v>
      </c>
      <c r="AN4776" s="24" t="s">
        <v>284</v>
      </c>
      <c r="AO4776" s="54" t="s">
        <v>50</v>
      </c>
      <c r="AP4776" s="54" t="s">
        <v>51</v>
      </c>
      <c r="AQ4776" s="57" t="s">
        <v>397</v>
      </c>
    </row>
    <row r="4777" spans="1:43" ht="15" customHeight="1">
      <c r="A4777" s="69">
        <v>43519</v>
      </c>
      <c r="B4777" s="263" t="s">
        <v>713</v>
      </c>
      <c r="C4777" s="250"/>
      <c r="D4777" s="250" t="s">
        <v>714</v>
      </c>
      <c r="E4777" s="23" t="s">
        <v>715</v>
      </c>
      <c r="F4777" s="251">
        <v>15</v>
      </c>
      <c r="G4777" s="252">
        <v>95</v>
      </c>
      <c r="H4777" s="334">
        <v>1425</v>
      </c>
      <c r="I4777" s="254" t="s">
        <v>247</v>
      </c>
      <c r="J4777" s="450" t="s">
        <v>716</v>
      </c>
      <c r="K4777" s="256">
        <v>43538</v>
      </c>
      <c r="W4777" s="258">
        <v>43585</v>
      </c>
      <c r="X4777" s="258">
        <v>43530</v>
      </c>
      <c r="Y4777" s="259" t="s">
        <v>717</v>
      </c>
      <c r="Z4777" s="270">
        <v>171139</v>
      </c>
      <c r="AA4777" s="368">
        <v>43586</v>
      </c>
      <c r="AB4777" s="237"/>
      <c r="AC4777" s="244"/>
      <c r="AD4777" s="244"/>
      <c r="AE4777" s="244"/>
      <c r="AF4777" s="244"/>
      <c r="AG4777" s="251" t="s">
        <v>283</v>
      </c>
      <c r="AH4777" s="251">
        <v>30.79</v>
      </c>
      <c r="AI4777" s="260"/>
      <c r="AJ4777" s="251"/>
      <c r="AK4777" s="260">
        <f>6453.49*30.736</f>
        <v>198354.46864000001</v>
      </c>
      <c r="AL4777" s="260">
        <f>(6.51+11)*30.736</f>
        <v>538.1873599999999</v>
      </c>
      <c r="AM4777" s="251" t="s">
        <v>49</v>
      </c>
      <c r="AN4777" s="251" t="s">
        <v>284</v>
      </c>
      <c r="AO4777" s="251" t="s">
        <v>50</v>
      </c>
      <c r="AP4777" s="251" t="s">
        <v>51</v>
      </c>
      <c r="AQ4777" s="262"/>
    </row>
    <row r="4778" spans="1:43" ht="15" customHeight="1">
      <c r="A4778" s="69">
        <v>43519</v>
      </c>
      <c r="B4778" s="263" t="s">
        <v>713</v>
      </c>
      <c r="C4778" s="250"/>
      <c r="D4778" s="250" t="s">
        <v>714</v>
      </c>
      <c r="E4778" s="23" t="s">
        <v>718</v>
      </c>
      <c r="F4778" s="251">
        <v>15</v>
      </c>
      <c r="G4778" s="323">
        <v>320</v>
      </c>
      <c r="H4778" s="334">
        <v>4800</v>
      </c>
      <c r="I4778" s="254" t="s">
        <v>247</v>
      </c>
      <c r="J4778" s="450" t="s">
        <v>716</v>
      </c>
      <c r="K4778" s="256">
        <v>43538</v>
      </c>
      <c r="W4778" s="258">
        <v>43585</v>
      </c>
      <c r="X4778" s="258">
        <v>43530</v>
      </c>
      <c r="Y4778" s="259" t="s">
        <v>717</v>
      </c>
      <c r="Z4778" s="259"/>
      <c r="AA4778" s="368">
        <v>43586</v>
      </c>
      <c r="AB4778" s="237"/>
      <c r="AC4778" s="244"/>
      <c r="AD4778" s="244"/>
      <c r="AE4778" s="244"/>
      <c r="AF4778" s="244"/>
      <c r="AG4778" s="251" t="s">
        <v>283</v>
      </c>
      <c r="AH4778" s="251">
        <v>30.79</v>
      </c>
      <c r="AI4778" s="260"/>
      <c r="AJ4778" s="251"/>
      <c r="AK4778" s="260"/>
      <c r="AL4778" s="260"/>
      <c r="AM4778" s="251" t="s">
        <v>49</v>
      </c>
      <c r="AN4778" s="251" t="s">
        <v>284</v>
      </c>
      <c r="AO4778" s="251" t="s">
        <v>50</v>
      </c>
      <c r="AP4778" s="251" t="s">
        <v>51</v>
      </c>
      <c r="AQ4778" s="262"/>
    </row>
    <row r="4779" spans="1:43" ht="15" customHeight="1">
      <c r="A4779" s="69">
        <v>43519</v>
      </c>
      <c r="B4779" s="263" t="s">
        <v>713</v>
      </c>
      <c r="C4779" s="250"/>
      <c r="D4779" s="250" t="s">
        <v>714</v>
      </c>
      <c r="E4779" s="23" t="s">
        <v>719</v>
      </c>
      <c r="F4779" s="251">
        <v>2</v>
      </c>
      <c r="G4779" s="323">
        <v>123</v>
      </c>
      <c r="H4779" s="334">
        <v>246</v>
      </c>
      <c r="I4779" s="254" t="s">
        <v>247</v>
      </c>
      <c r="J4779" s="450" t="s">
        <v>716</v>
      </c>
      <c r="K4779" s="256">
        <v>43538</v>
      </c>
      <c r="W4779" s="258">
        <v>43585</v>
      </c>
      <c r="X4779" s="258">
        <v>43530</v>
      </c>
      <c r="Y4779" s="259" t="s">
        <v>717</v>
      </c>
      <c r="Z4779" s="259"/>
      <c r="AA4779" s="368">
        <v>43586</v>
      </c>
      <c r="AB4779" s="237"/>
      <c r="AC4779" s="244"/>
      <c r="AD4779" s="244"/>
      <c r="AE4779" s="244"/>
      <c r="AF4779" s="244"/>
      <c r="AG4779" s="251" t="s">
        <v>283</v>
      </c>
      <c r="AH4779" s="251">
        <v>30.79</v>
      </c>
      <c r="AI4779" s="260"/>
      <c r="AJ4779" s="251"/>
      <c r="AK4779" s="260"/>
      <c r="AL4779" s="260"/>
      <c r="AM4779" s="251" t="s">
        <v>49</v>
      </c>
      <c r="AN4779" s="251" t="s">
        <v>284</v>
      </c>
      <c r="AO4779" s="251" t="s">
        <v>50</v>
      </c>
      <c r="AP4779" s="251" t="s">
        <v>51</v>
      </c>
      <c r="AQ4779" s="262"/>
    </row>
    <row r="4780" spans="1:43" ht="15" customHeight="1">
      <c r="A4780" s="19">
        <v>43522</v>
      </c>
      <c r="B4780" s="51" t="s">
        <v>100</v>
      </c>
      <c r="C4780" s="22"/>
      <c r="D4780" s="407" t="s">
        <v>720</v>
      </c>
      <c r="E4780" s="23" t="s">
        <v>346</v>
      </c>
      <c r="F4780" s="82">
        <v>1</v>
      </c>
      <c r="G4780" s="143">
        <v>326</v>
      </c>
      <c r="H4780" s="26">
        <v>326</v>
      </c>
      <c r="I4780" s="27" t="s">
        <v>302</v>
      </c>
      <c r="J4780" s="347" t="s">
        <v>289</v>
      </c>
      <c r="K4780" s="30">
        <v>43522</v>
      </c>
      <c r="W4780" s="293">
        <v>43554</v>
      </c>
      <c r="X4780" s="411">
        <v>43524</v>
      </c>
      <c r="Y4780" s="340" t="s">
        <v>533</v>
      </c>
      <c r="Z4780" s="294"/>
      <c r="AA4780" s="411">
        <v>43557</v>
      </c>
      <c r="AB4780" s="237"/>
      <c r="AC4780" s="244"/>
      <c r="AD4780" s="244"/>
      <c r="AE4780" s="244"/>
      <c r="AF4780" s="244"/>
      <c r="AG4780" s="24"/>
      <c r="AH4780" s="24"/>
      <c r="AI4780" s="38"/>
      <c r="AJ4780" s="39">
        <v>43565</v>
      </c>
      <c r="AK4780" s="38"/>
      <c r="AL4780" s="38"/>
      <c r="AM4780" s="24" t="s">
        <v>49</v>
      </c>
      <c r="AN4780" s="24" t="s">
        <v>284</v>
      </c>
      <c r="AO4780" s="24" t="s">
        <v>50</v>
      </c>
      <c r="AP4780" s="54" t="s">
        <v>51</v>
      </c>
      <c r="AQ4780" s="57" t="s">
        <v>397</v>
      </c>
    </row>
    <row r="4781" spans="1:43" ht="15" customHeight="1">
      <c r="A4781" s="69">
        <v>43522</v>
      </c>
      <c r="B4781" s="451" t="s">
        <v>100</v>
      </c>
      <c r="C4781" s="290"/>
      <c r="D4781" s="290" t="s">
        <v>721</v>
      </c>
      <c r="E4781" s="23" t="s">
        <v>346</v>
      </c>
      <c r="F4781" s="50">
        <v>1</v>
      </c>
      <c r="G4781" s="452">
        <v>34</v>
      </c>
      <c r="H4781" s="453">
        <v>34</v>
      </c>
      <c r="I4781" s="61" t="s">
        <v>104</v>
      </c>
      <c r="J4781" s="405" t="s">
        <v>289</v>
      </c>
      <c r="K4781" s="29">
        <v>43522</v>
      </c>
      <c r="W4781" s="293">
        <v>43554</v>
      </c>
      <c r="X4781" s="293">
        <v>43524</v>
      </c>
      <c r="Y4781" s="294" t="s">
        <v>533</v>
      </c>
      <c r="Z4781" s="294"/>
      <c r="AA4781" s="411">
        <v>43557</v>
      </c>
      <c r="AB4781" s="237"/>
      <c r="AC4781" s="244"/>
      <c r="AD4781" s="244"/>
      <c r="AE4781" s="244"/>
      <c r="AF4781" s="244"/>
      <c r="AG4781" s="54"/>
      <c r="AH4781" s="54"/>
      <c r="AI4781" s="55"/>
      <c r="AJ4781" s="56">
        <v>43565</v>
      </c>
      <c r="AK4781" s="38"/>
      <c r="AL4781" s="38"/>
      <c r="AM4781" s="54" t="s">
        <v>49</v>
      </c>
      <c r="AN4781" s="24" t="s">
        <v>284</v>
      </c>
      <c r="AO4781" s="54" t="s">
        <v>50</v>
      </c>
      <c r="AP4781" s="54" t="s">
        <v>51</v>
      </c>
      <c r="AQ4781" s="57" t="s">
        <v>397</v>
      </c>
    </row>
    <row r="4782" spans="1:43" ht="15" customHeight="1">
      <c r="A4782" s="69">
        <v>43522</v>
      </c>
      <c r="B4782" s="70" t="s">
        <v>372</v>
      </c>
      <c r="C4782" s="21">
        <v>201902260013</v>
      </c>
      <c r="D4782" s="21" t="s">
        <v>722</v>
      </c>
      <c r="E4782" s="23" t="s">
        <v>723</v>
      </c>
      <c r="F4782" s="433">
        <v>60</v>
      </c>
      <c r="G4782" s="48">
        <v>63</v>
      </c>
      <c r="H4782" s="60">
        <v>3780</v>
      </c>
      <c r="I4782" s="296" t="s">
        <v>42</v>
      </c>
      <c r="J4782" s="50" t="s">
        <v>89</v>
      </c>
      <c r="K4782" s="29">
        <v>43535</v>
      </c>
      <c r="W4782" s="293">
        <v>43585</v>
      </c>
      <c r="X4782" s="293">
        <v>43532</v>
      </c>
      <c r="Y4782" s="294" t="s">
        <v>724</v>
      </c>
      <c r="Z4782" s="295">
        <v>108451</v>
      </c>
      <c r="AA4782" s="300">
        <v>43586</v>
      </c>
      <c r="AB4782" s="237"/>
      <c r="AC4782" s="244"/>
      <c r="AD4782" s="244"/>
      <c r="AE4782" s="244"/>
      <c r="AF4782" s="244"/>
      <c r="AG4782" s="296"/>
      <c r="AH4782" s="296"/>
      <c r="AI4782" s="297"/>
      <c r="AJ4782" s="298">
        <v>43587</v>
      </c>
      <c r="AK4782" s="297">
        <f>3773.52*30.849</f>
        <v>116409.31848</v>
      </c>
      <c r="AL4782" s="297">
        <f>(3780-3773.52)*30.849</f>
        <v>199.90152000000057</v>
      </c>
      <c r="AM4782" s="296" t="s">
        <v>49</v>
      </c>
      <c r="AN4782" s="296" t="s">
        <v>284</v>
      </c>
      <c r="AO4782" s="296" t="s">
        <v>50</v>
      </c>
      <c r="AP4782" s="296" t="s">
        <v>376</v>
      </c>
      <c r="AQ4782" s="234" t="s">
        <v>304</v>
      </c>
    </row>
    <row r="4783" spans="1:43" ht="15" customHeight="1">
      <c r="A4783" s="69">
        <v>43522</v>
      </c>
      <c r="B4783" s="70" t="s">
        <v>228</v>
      </c>
      <c r="C4783" s="21" t="s">
        <v>725</v>
      </c>
      <c r="D4783" s="21" t="s">
        <v>726</v>
      </c>
      <c r="E4783" s="23" t="s">
        <v>231</v>
      </c>
      <c r="F4783" s="24">
        <v>10</v>
      </c>
      <c r="G4783" s="48">
        <v>407.4</v>
      </c>
      <c r="H4783" s="26">
        <v>4074</v>
      </c>
      <c r="I4783" s="296" t="s">
        <v>170</v>
      </c>
      <c r="J4783" s="54" t="s">
        <v>89</v>
      </c>
      <c r="K4783" s="30">
        <v>43538</v>
      </c>
      <c r="W4783" s="293">
        <v>43585</v>
      </c>
      <c r="X4783" s="293">
        <v>43536</v>
      </c>
      <c r="Y4783" s="294" t="s">
        <v>727</v>
      </c>
      <c r="Z4783" s="295">
        <v>131387</v>
      </c>
      <c r="AA4783" s="300">
        <v>43586</v>
      </c>
      <c r="AB4783" s="237"/>
      <c r="AC4783" s="244"/>
      <c r="AD4783" s="244"/>
      <c r="AE4783" s="244"/>
      <c r="AF4783" s="244"/>
      <c r="AG4783" s="54"/>
      <c r="AH4783" s="54"/>
      <c r="AI4783" s="55"/>
      <c r="AJ4783" s="54"/>
      <c r="AK4783" s="55"/>
      <c r="AL4783" s="55"/>
      <c r="AM4783" s="54" t="s">
        <v>49</v>
      </c>
      <c r="AN4783" s="24" t="s">
        <v>284</v>
      </c>
      <c r="AO4783" s="54" t="s">
        <v>50</v>
      </c>
      <c r="AP4783" s="54" t="s">
        <v>376</v>
      </c>
      <c r="AQ4783" s="57" t="s">
        <v>397</v>
      </c>
    </row>
    <row r="4784" spans="1:43" ht="15" customHeight="1">
      <c r="A4784" s="69">
        <v>43522</v>
      </c>
      <c r="B4784" s="70" t="s">
        <v>228</v>
      </c>
      <c r="C4784" s="21" t="s">
        <v>725</v>
      </c>
      <c r="D4784" s="21" t="s">
        <v>726</v>
      </c>
      <c r="E4784" s="23" t="s">
        <v>728</v>
      </c>
      <c r="F4784" s="24">
        <v>2</v>
      </c>
      <c r="G4784" s="434">
        <v>336</v>
      </c>
      <c r="H4784" s="26">
        <v>672</v>
      </c>
      <c r="I4784" s="296" t="s">
        <v>170</v>
      </c>
      <c r="J4784" s="54" t="s">
        <v>89</v>
      </c>
      <c r="K4784" s="30">
        <v>43538</v>
      </c>
      <c r="W4784" s="293">
        <v>43585</v>
      </c>
      <c r="X4784" s="293">
        <v>43536</v>
      </c>
      <c r="Y4784" s="294" t="s">
        <v>727</v>
      </c>
      <c r="Z4784" s="294"/>
      <c r="AA4784" s="300">
        <v>43586</v>
      </c>
      <c r="AB4784" s="237"/>
      <c r="AC4784" s="244"/>
      <c r="AD4784" s="244"/>
      <c r="AE4784" s="244"/>
      <c r="AF4784" s="244"/>
      <c r="AG4784" s="54"/>
      <c r="AH4784" s="54"/>
      <c r="AI4784" s="55"/>
      <c r="AJ4784" s="54"/>
      <c r="AK4784" s="55"/>
      <c r="AL4784" s="55"/>
      <c r="AM4784" s="54" t="s">
        <v>49</v>
      </c>
      <c r="AN4784" s="24" t="s">
        <v>284</v>
      </c>
      <c r="AO4784" s="54" t="s">
        <v>50</v>
      </c>
      <c r="AP4784" s="54" t="s">
        <v>376</v>
      </c>
      <c r="AQ4784" s="57" t="s">
        <v>397</v>
      </c>
    </row>
    <row r="4785" spans="1:43" ht="15" customHeight="1">
      <c r="A4785" s="69">
        <v>43522</v>
      </c>
      <c r="B4785" s="70" t="s">
        <v>228</v>
      </c>
      <c r="C4785" s="21" t="s">
        <v>725</v>
      </c>
      <c r="D4785" s="21" t="s">
        <v>726</v>
      </c>
      <c r="E4785" s="23" t="s">
        <v>729</v>
      </c>
      <c r="F4785" s="24">
        <v>1</v>
      </c>
      <c r="G4785" s="48">
        <v>21</v>
      </c>
      <c r="H4785" s="26">
        <v>21</v>
      </c>
      <c r="I4785" s="296" t="s">
        <v>170</v>
      </c>
      <c r="J4785" s="54" t="s">
        <v>89</v>
      </c>
      <c r="K4785" s="30">
        <v>43546</v>
      </c>
      <c r="W4785" s="293">
        <v>43585</v>
      </c>
      <c r="X4785" s="293">
        <v>43546</v>
      </c>
      <c r="Y4785" s="294" t="s">
        <v>730</v>
      </c>
      <c r="Z4785" s="294">
        <v>547</v>
      </c>
      <c r="AA4785" s="300">
        <v>43586</v>
      </c>
      <c r="AB4785" s="237"/>
      <c r="AC4785" s="244"/>
      <c r="AD4785" s="244"/>
      <c r="AE4785" s="244"/>
      <c r="AF4785" s="244"/>
      <c r="AG4785" s="54"/>
      <c r="AH4785" s="54"/>
      <c r="AI4785" s="55"/>
      <c r="AJ4785" s="54"/>
      <c r="AK4785" s="55"/>
      <c r="AL4785" s="55"/>
      <c r="AM4785" s="54" t="s">
        <v>49</v>
      </c>
      <c r="AN4785" s="24" t="s">
        <v>284</v>
      </c>
      <c r="AO4785" s="54" t="s">
        <v>50</v>
      </c>
      <c r="AP4785" s="54" t="s">
        <v>376</v>
      </c>
      <c r="AQ4785" s="57" t="s">
        <v>397</v>
      </c>
    </row>
    <row r="4786" spans="1:43" ht="15" customHeight="1">
      <c r="A4786" s="19">
        <v>43523</v>
      </c>
      <c r="B4786" s="20" t="s">
        <v>325</v>
      </c>
      <c r="C4786" s="21">
        <v>2027739</v>
      </c>
      <c r="D4786" s="22" t="s">
        <v>731</v>
      </c>
      <c r="E4786" s="23" t="s">
        <v>52</v>
      </c>
      <c r="F4786" s="24">
        <v>15</v>
      </c>
      <c r="G4786" s="48">
        <v>31</v>
      </c>
      <c r="H4786" s="26">
        <v>465</v>
      </c>
      <c r="I4786" s="27" t="s">
        <v>42</v>
      </c>
      <c r="J4786" s="429" t="s">
        <v>732</v>
      </c>
      <c r="K4786" s="29">
        <v>43585</v>
      </c>
      <c r="W4786" s="349">
        <v>43646</v>
      </c>
      <c r="X4786" s="349">
        <v>43581</v>
      </c>
      <c r="Y4786" s="350" t="s">
        <v>733</v>
      </c>
      <c r="Z4786" s="350">
        <v>244613</v>
      </c>
      <c r="AA4786" s="349">
        <v>43647</v>
      </c>
      <c r="AB4786" s="237"/>
      <c r="AC4786" s="244"/>
      <c r="AD4786" s="244"/>
      <c r="AE4786" s="244"/>
      <c r="AF4786" s="244"/>
      <c r="AG4786" s="82"/>
      <c r="AH4786" s="82">
        <v>30.844999999999999</v>
      </c>
      <c r="AI4786" s="430">
        <v>0</v>
      </c>
      <c r="AJ4786" s="145">
        <v>43606</v>
      </c>
      <c r="AK4786" s="430">
        <v>0</v>
      </c>
      <c r="AL4786" s="430">
        <v>0</v>
      </c>
      <c r="AM4786" s="82" t="s">
        <v>49</v>
      </c>
      <c r="AN4786" s="296" t="s">
        <v>284</v>
      </c>
      <c r="AO4786" s="82" t="s">
        <v>50</v>
      </c>
      <c r="AP4786" s="82" t="s">
        <v>51</v>
      </c>
      <c r="AQ4786" s="234" t="s">
        <v>304</v>
      </c>
    </row>
    <row r="4787" spans="1:43" ht="15" customHeight="1">
      <c r="A4787" s="19">
        <v>43523</v>
      </c>
      <c r="B4787" s="20" t="s">
        <v>325</v>
      </c>
      <c r="C4787" s="21">
        <v>2027739</v>
      </c>
      <c r="D4787" s="22" t="s">
        <v>731</v>
      </c>
      <c r="E4787" s="23" t="s">
        <v>58</v>
      </c>
      <c r="F4787" s="24">
        <v>15</v>
      </c>
      <c r="G4787" s="48">
        <v>4</v>
      </c>
      <c r="H4787" s="26">
        <v>60</v>
      </c>
      <c r="I4787" s="49" t="s">
        <v>42</v>
      </c>
      <c r="J4787" s="82" t="s">
        <v>732</v>
      </c>
      <c r="K4787" s="29">
        <v>43585</v>
      </c>
      <c r="W4787" s="349">
        <v>43646</v>
      </c>
      <c r="X4787" s="349">
        <v>43581</v>
      </c>
      <c r="Y4787" s="350" t="s">
        <v>733</v>
      </c>
      <c r="Z4787" s="350"/>
      <c r="AA4787" s="349">
        <v>43647</v>
      </c>
      <c r="AB4787" s="237"/>
      <c r="AC4787" s="244"/>
      <c r="AD4787" s="244"/>
      <c r="AE4787" s="244"/>
      <c r="AF4787" s="244"/>
      <c r="AG4787" s="82"/>
      <c r="AH4787" s="82">
        <v>30.844999999999999</v>
      </c>
      <c r="AI4787" s="430">
        <v>0</v>
      </c>
      <c r="AJ4787" s="145">
        <v>43606</v>
      </c>
      <c r="AK4787" s="430">
        <v>0</v>
      </c>
      <c r="AL4787" s="430">
        <v>0</v>
      </c>
      <c r="AM4787" s="82" t="s">
        <v>49</v>
      </c>
      <c r="AN4787" s="296" t="s">
        <v>284</v>
      </c>
      <c r="AO4787" s="82" t="s">
        <v>50</v>
      </c>
      <c r="AP4787" s="82" t="s">
        <v>51</v>
      </c>
      <c r="AQ4787" s="234" t="s">
        <v>304</v>
      </c>
    </row>
    <row r="4788" spans="1:43" ht="15" customHeight="1">
      <c r="A4788" s="19">
        <v>43523</v>
      </c>
      <c r="B4788" s="20" t="s">
        <v>325</v>
      </c>
      <c r="C4788" s="21">
        <v>2027739</v>
      </c>
      <c r="D4788" s="22" t="s">
        <v>731</v>
      </c>
      <c r="E4788" s="23" t="s">
        <v>41</v>
      </c>
      <c r="F4788" s="24">
        <v>15</v>
      </c>
      <c r="G4788" s="48">
        <v>273</v>
      </c>
      <c r="H4788" s="26">
        <v>4095</v>
      </c>
      <c r="I4788" s="49" t="s">
        <v>42</v>
      </c>
      <c r="J4788" s="82" t="s">
        <v>732</v>
      </c>
      <c r="K4788" s="29">
        <v>43585</v>
      </c>
      <c r="W4788" s="449">
        <v>43600</v>
      </c>
      <c r="X4788" s="449">
        <v>43570</v>
      </c>
      <c r="Y4788" s="340" t="s">
        <v>734</v>
      </c>
      <c r="Z4788" s="340">
        <v>97272</v>
      </c>
      <c r="AA4788" s="449">
        <v>43600</v>
      </c>
      <c r="AB4788" s="237"/>
      <c r="AC4788" s="244"/>
      <c r="AD4788" s="244"/>
      <c r="AE4788" s="244"/>
      <c r="AF4788" s="244"/>
      <c r="AG4788" s="82"/>
      <c r="AH4788" s="82">
        <v>30.844999999999999</v>
      </c>
      <c r="AI4788" s="430">
        <f>12750*30.845</f>
        <v>393273.75</v>
      </c>
      <c r="AJ4788" s="145">
        <v>43606</v>
      </c>
      <c r="AK4788" s="430">
        <f>12743.63*31.38</f>
        <v>399895.10939999996</v>
      </c>
      <c r="AL4788" s="430">
        <f>(12750-12743.63)*31.38</f>
        <v>199.8906000000251</v>
      </c>
      <c r="AM4788" s="82" t="s">
        <v>49</v>
      </c>
      <c r="AN4788" s="296" t="s">
        <v>284</v>
      </c>
      <c r="AO4788" s="82" t="s">
        <v>50</v>
      </c>
      <c r="AP4788" s="82" t="s">
        <v>51</v>
      </c>
      <c r="AQ4788" s="234" t="s">
        <v>304</v>
      </c>
    </row>
    <row r="4789" spans="1:43" ht="15" customHeight="1">
      <c r="A4789" s="19">
        <v>43523</v>
      </c>
      <c r="B4789" s="20" t="s">
        <v>325</v>
      </c>
      <c r="C4789" s="21">
        <v>2027739</v>
      </c>
      <c r="D4789" s="22" t="s">
        <v>735</v>
      </c>
      <c r="E4789" s="23" t="s">
        <v>60</v>
      </c>
      <c r="F4789" s="24">
        <v>15</v>
      </c>
      <c r="G4789" s="25">
        <v>542</v>
      </c>
      <c r="H4789" s="26">
        <v>8130</v>
      </c>
      <c r="I4789" s="49" t="s">
        <v>42</v>
      </c>
      <c r="J4789" s="82" t="s">
        <v>732</v>
      </c>
      <c r="K4789" s="29">
        <v>43585</v>
      </c>
      <c r="W4789" s="349">
        <v>43646</v>
      </c>
      <c r="X4789" s="349">
        <v>43581</v>
      </c>
      <c r="Y4789" s="350" t="s">
        <v>733</v>
      </c>
      <c r="Z4789" s="350"/>
      <c r="AA4789" s="349">
        <v>43647</v>
      </c>
      <c r="AB4789" s="237"/>
      <c r="AC4789" s="244"/>
      <c r="AD4789" s="244"/>
      <c r="AE4789" s="244"/>
      <c r="AF4789" s="244"/>
      <c r="AG4789" s="82"/>
      <c r="AH4789" s="82">
        <v>30.844999999999999</v>
      </c>
      <c r="AI4789" s="430">
        <v>0</v>
      </c>
      <c r="AJ4789" s="145">
        <v>43606</v>
      </c>
      <c r="AK4789" s="430">
        <v>0</v>
      </c>
      <c r="AL4789" s="430">
        <v>0</v>
      </c>
      <c r="AM4789" s="82" t="s">
        <v>49</v>
      </c>
      <c r="AN4789" s="296" t="s">
        <v>284</v>
      </c>
      <c r="AO4789" s="82" t="s">
        <v>50</v>
      </c>
      <c r="AP4789" s="82" t="s">
        <v>51</v>
      </c>
      <c r="AQ4789" s="234" t="s">
        <v>304</v>
      </c>
    </row>
    <row r="4790" spans="1:43" ht="15" customHeight="1">
      <c r="A4790" s="19">
        <v>43523</v>
      </c>
      <c r="B4790" s="20" t="s">
        <v>325</v>
      </c>
      <c r="C4790" s="21">
        <v>2027739</v>
      </c>
      <c r="D4790" s="454" t="s">
        <v>736</v>
      </c>
      <c r="E4790" s="23" t="s">
        <v>52</v>
      </c>
      <c r="F4790" s="24">
        <v>10</v>
      </c>
      <c r="G4790" s="25">
        <v>31</v>
      </c>
      <c r="H4790" s="26">
        <v>310</v>
      </c>
      <c r="I4790" s="49" t="s">
        <v>42</v>
      </c>
      <c r="J4790" s="82" t="s">
        <v>732</v>
      </c>
      <c r="K4790" s="29">
        <v>43619</v>
      </c>
      <c r="W4790" s="449">
        <v>43677</v>
      </c>
      <c r="X4790" s="449">
        <v>43612</v>
      </c>
      <c r="Y4790" s="340" t="s">
        <v>737</v>
      </c>
      <c r="Z4790" s="340">
        <v>165958</v>
      </c>
      <c r="AA4790" s="449">
        <v>43678</v>
      </c>
      <c r="AB4790" s="237"/>
      <c r="AC4790" s="244"/>
      <c r="AD4790" s="244"/>
      <c r="AE4790" s="244"/>
      <c r="AF4790" s="244"/>
      <c r="AG4790" s="431"/>
      <c r="AH4790" s="431">
        <v>31.454999999999998</v>
      </c>
      <c r="AI4790" s="432"/>
      <c r="AJ4790" s="455">
        <v>43633</v>
      </c>
      <c r="AK4790" s="432"/>
      <c r="AL4790" s="432"/>
      <c r="AM4790" s="431" t="s">
        <v>49</v>
      </c>
      <c r="AN4790" s="369" t="s">
        <v>284</v>
      </c>
      <c r="AO4790" s="431" t="s">
        <v>50</v>
      </c>
      <c r="AP4790" s="431" t="s">
        <v>51</v>
      </c>
      <c r="AQ4790" s="372" t="s">
        <v>439</v>
      </c>
    </row>
    <row r="4791" spans="1:43" ht="15" customHeight="1">
      <c r="A4791" s="19">
        <v>43523</v>
      </c>
      <c r="B4791" s="20" t="s">
        <v>325</v>
      </c>
      <c r="C4791" s="21">
        <v>2027739</v>
      </c>
      <c r="D4791" s="22" t="s">
        <v>736</v>
      </c>
      <c r="E4791" s="23" t="s">
        <v>58</v>
      </c>
      <c r="F4791" s="24">
        <v>10</v>
      </c>
      <c r="G4791" s="25">
        <v>4</v>
      </c>
      <c r="H4791" s="26">
        <v>2730</v>
      </c>
      <c r="I4791" s="49" t="s">
        <v>42</v>
      </c>
      <c r="J4791" s="82" t="s">
        <v>732</v>
      </c>
      <c r="K4791" s="29">
        <v>43619</v>
      </c>
      <c r="W4791" s="449">
        <v>43677</v>
      </c>
      <c r="X4791" s="449">
        <v>43612</v>
      </c>
      <c r="Y4791" s="340" t="s">
        <v>737</v>
      </c>
      <c r="Z4791" s="340"/>
      <c r="AA4791" s="449">
        <v>43678</v>
      </c>
      <c r="AB4791" s="237"/>
      <c r="AC4791" s="244"/>
      <c r="AD4791" s="244"/>
      <c r="AE4791" s="244"/>
      <c r="AF4791" s="244"/>
      <c r="AG4791" s="431"/>
      <c r="AH4791" s="431">
        <v>31.454999999999998</v>
      </c>
      <c r="AI4791" s="432"/>
      <c r="AJ4791" s="455">
        <v>43633</v>
      </c>
      <c r="AK4791" s="432"/>
      <c r="AL4791" s="432"/>
      <c r="AM4791" s="431" t="s">
        <v>49</v>
      </c>
      <c r="AN4791" s="369" t="s">
        <v>284</v>
      </c>
      <c r="AO4791" s="431" t="s">
        <v>50</v>
      </c>
      <c r="AP4791" s="431" t="s">
        <v>51</v>
      </c>
      <c r="AQ4791" s="372" t="s">
        <v>439</v>
      </c>
    </row>
    <row r="4792" spans="1:43" ht="15" customHeight="1">
      <c r="A4792" s="19">
        <v>43523</v>
      </c>
      <c r="B4792" s="20" t="s">
        <v>325</v>
      </c>
      <c r="C4792" s="21">
        <v>2027739</v>
      </c>
      <c r="D4792" s="22" t="s">
        <v>736</v>
      </c>
      <c r="E4792" s="23" t="s">
        <v>41</v>
      </c>
      <c r="F4792" s="24">
        <v>10</v>
      </c>
      <c r="G4792" s="25">
        <v>273</v>
      </c>
      <c r="H4792" s="26">
        <v>2730</v>
      </c>
      <c r="I4792" s="27" t="s">
        <v>42</v>
      </c>
      <c r="J4792" s="82" t="s">
        <v>732</v>
      </c>
      <c r="K4792" s="29">
        <v>43619</v>
      </c>
      <c r="W4792" s="449">
        <v>43646</v>
      </c>
      <c r="X4792" s="449">
        <v>43602</v>
      </c>
      <c r="Y4792" s="340" t="s">
        <v>738</v>
      </c>
      <c r="Z4792" s="340">
        <v>65447</v>
      </c>
      <c r="AA4792" s="411">
        <v>43631</v>
      </c>
      <c r="AB4792" s="237"/>
      <c r="AC4792" s="244"/>
      <c r="AD4792" s="244"/>
      <c r="AE4792" s="244"/>
      <c r="AF4792" s="244"/>
      <c r="AG4792" s="431"/>
      <c r="AH4792" s="431">
        <v>31.454999999999998</v>
      </c>
      <c r="AI4792" s="432"/>
      <c r="AJ4792" s="455">
        <v>43633</v>
      </c>
      <c r="AK4792" s="432">
        <f>16099.96*31.46</f>
        <v>506504.74160000001</v>
      </c>
      <c r="AL4792" s="432">
        <f>(16108-16099.96)*31.46</f>
        <v>252.93840000002749</v>
      </c>
      <c r="AM4792" s="431" t="s">
        <v>49</v>
      </c>
      <c r="AN4792" s="369" t="s">
        <v>284</v>
      </c>
      <c r="AO4792" s="431" t="s">
        <v>50</v>
      </c>
      <c r="AP4792" s="431" t="s">
        <v>51</v>
      </c>
      <c r="AQ4792" s="372" t="s">
        <v>439</v>
      </c>
    </row>
    <row r="4793" spans="1:43" ht="15" customHeight="1">
      <c r="A4793" s="19">
        <v>43523</v>
      </c>
      <c r="B4793" s="20" t="s">
        <v>325</v>
      </c>
      <c r="C4793" s="21">
        <v>2027739</v>
      </c>
      <c r="D4793" s="22" t="s">
        <v>739</v>
      </c>
      <c r="E4793" s="23" t="s">
        <v>60</v>
      </c>
      <c r="F4793" s="24">
        <v>10</v>
      </c>
      <c r="G4793" s="25">
        <v>542</v>
      </c>
      <c r="H4793" s="456"/>
      <c r="I4793" s="27" t="s">
        <v>42</v>
      </c>
      <c r="J4793" s="82" t="s">
        <v>732</v>
      </c>
      <c r="K4793" s="29">
        <v>43619</v>
      </c>
      <c r="W4793" s="449">
        <v>43677</v>
      </c>
      <c r="X4793" s="449">
        <v>43612</v>
      </c>
      <c r="Y4793" s="340" t="s">
        <v>737</v>
      </c>
      <c r="Z4793" s="340"/>
      <c r="AA4793" s="449">
        <v>43678</v>
      </c>
      <c r="AB4793" s="237"/>
      <c r="AC4793" s="244"/>
      <c r="AD4793" s="244"/>
      <c r="AE4793" s="244"/>
      <c r="AF4793" s="244"/>
      <c r="AG4793" s="431"/>
      <c r="AH4793" s="431">
        <v>31.454999999999998</v>
      </c>
      <c r="AI4793" s="432"/>
      <c r="AJ4793" s="455">
        <v>43633</v>
      </c>
      <c r="AK4793" s="432"/>
      <c r="AL4793" s="432"/>
      <c r="AM4793" s="431" t="s">
        <v>49</v>
      </c>
      <c r="AN4793" s="369" t="s">
        <v>284</v>
      </c>
      <c r="AO4793" s="431" t="s">
        <v>50</v>
      </c>
      <c r="AP4793" s="431" t="s">
        <v>51</v>
      </c>
      <c r="AQ4793" s="372" t="s">
        <v>439</v>
      </c>
    </row>
    <row r="4794" spans="1:43" ht="15" customHeight="1">
      <c r="A4794" s="19">
        <v>43523</v>
      </c>
      <c r="B4794" s="20" t="s">
        <v>39</v>
      </c>
      <c r="C4794" s="21">
        <v>2027739</v>
      </c>
      <c r="D4794" s="22" t="s">
        <v>740</v>
      </c>
      <c r="E4794" s="23" t="s">
        <v>52</v>
      </c>
      <c r="F4794" s="24">
        <v>10</v>
      </c>
      <c r="G4794" s="25">
        <v>31</v>
      </c>
      <c r="H4794" s="26">
        <v>310</v>
      </c>
      <c r="I4794" s="27" t="s">
        <v>42</v>
      </c>
      <c r="J4794" s="82" t="s">
        <v>732</v>
      </c>
      <c r="K4794" s="29">
        <v>43648</v>
      </c>
      <c r="W4794" s="349">
        <v>43677</v>
      </c>
      <c r="X4794" s="349">
        <v>43635</v>
      </c>
      <c r="Y4794" s="350" t="s">
        <v>741</v>
      </c>
      <c r="Z4794" s="350">
        <v>166195</v>
      </c>
      <c r="AA4794" s="349">
        <v>43678</v>
      </c>
      <c r="AB4794" s="237"/>
      <c r="AC4794" s="244"/>
      <c r="AD4794" s="244"/>
      <c r="AE4794" s="244"/>
      <c r="AF4794" s="244"/>
      <c r="AG4794" s="82"/>
      <c r="AH4794" s="82"/>
      <c r="AI4794" s="430"/>
      <c r="AJ4794" s="145">
        <v>43668</v>
      </c>
      <c r="AK4794" s="430"/>
      <c r="AL4794" s="430"/>
      <c r="AM4794" s="82" t="s">
        <v>49</v>
      </c>
      <c r="AN4794" s="82" t="s">
        <v>284</v>
      </c>
      <c r="AO4794" s="82" t="s">
        <v>50</v>
      </c>
      <c r="AP4794" s="82" t="s">
        <v>51</v>
      </c>
      <c r="AQ4794" s="457" t="s">
        <v>742</v>
      </c>
    </row>
    <row r="4795" spans="1:43" ht="15" customHeight="1">
      <c r="A4795" s="19">
        <v>43523</v>
      </c>
      <c r="B4795" s="20" t="s">
        <v>39</v>
      </c>
      <c r="C4795" s="21">
        <v>2027739</v>
      </c>
      <c r="D4795" s="22" t="s">
        <v>740</v>
      </c>
      <c r="E4795" s="23" t="s">
        <v>58</v>
      </c>
      <c r="F4795" s="24">
        <v>10</v>
      </c>
      <c r="G4795" s="25">
        <v>4</v>
      </c>
      <c r="H4795" s="26">
        <v>40</v>
      </c>
      <c r="I4795" s="27" t="s">
        <v>42</v>
      </c>
      <c r="J4795" s="82" t="s">
        <v>732</v>
      </c>
      <c r="K4795" s="29">
        <v>43648</v>
      </c>
      <c r="W4795" s="349">
        <v>43677</v>
      </c>
      <c r="X4795" s="349">
        <v>43635</v>
      </c>
      <c r="Y4795" s="350" t="s">
        <v>741</v>
      </c>
      <c r="Z4795" s="350"/>
      <c r="AA4795" s="349">
        <v>43678</v>
      </c>
      <c r="AB4795" s="237"/>
      <c r="AC4795" s="244"/>
      <c r="AD4795" s="244"/>
      <c r="AE4795" s="244"/>
      <c r="AF4795" s="244"/>
      <c r="AG4795" s="82"/>
      <c r="AH4795" s="82"/>
      <c r="AI4795" s="430"/>
      <c r="AJ4795" s="145">
        <v>43668</v>
      </c>
      <c r="AK4795" s="430"/>
      <c r="AL4795" s="430"/>
      <c r="AM4795" s="82" t="s">
        <v>49</v>
      </c>
      <c r="AN4795" s="82" t="s">
        <v>284</v>
      </c>
      <c r="AO4795" s="82" t="s">
        <v>50</v>
      </c>
      <c r="AP4795" s="82" t="s">
        <v>51</v>
      </c>
      <c r="AQ4795" s="457" t="s">
        <v>742</v>
      </c>
    </row>
    <row r="4796" spans="1:43" ht="15" customHeight="1">
      <c r="A4796" s="19">
        <v>43523</v>
      </c>
      <c r="B4796" s="20" t="s">
        <v>39</v>
      </c>
      <c r="C4796" s="21">
        <v>2027739</v>
      </c>
      <c r="D4796" s="22" t="s">
        <v>740</v>
      </c>
      <c r="E4796" s="458" t="s">
        <v>41</v>
      </c>
      <c r="F4796" s="24">
        <v>10</v>
      </c>
      <c r="G4796" s="25">
        <v>273</v>
      </c>
      <c r="H4796" s="26">
        <v>2730</v>
      </c>
      <c r="I4796" s="27" t="s">
        <v>42</v>
      </c>
      <c r="J4796" s="82" t="s">
        <v>732</v>
      </c>
      <c r="K4796" s="29">
        <v>43648</v>
      </c>
      <c r="W4796" s="349">
        <v>43661</v>
      </c>
      <c r="X4796" s="349">
        <v>43630</v>
      </c>
      <c r="Y4796" s="350" t="s">
        <v>743</v>
      </c>
      <c r="Z4796" s="350">
        <v>66175</v>
      </c>
      <c r="AA4796" s="459">
        <v>43661</v>
      </c>
      <c r="AB4796" s="237"/>
      <c r="AC4796" s="244"/>
      <c r="AD4796" s="244"/>
      <c r="AE4796" s="244"/>
      <c r="AF4796" s="244"/>
      <c r="AG4796" s="82"/>
      <c r="AH4796" s="82"/>
      <c r="AI4796" s="430"/>
      <c r="AJ4796" s="145">
        <v>43668</v>
      </c>
      <c r="AK4796" s="430">
        <f>8493.55*31.03</f>
        <v>263554.85649999999</v>
      </c>
      <c r="AL4796" s="430">
        <v>200</v>
      </c>
      <c r="AM4796" s="82" t="s">
        <v>49</v>
      </c>
      <c r="AN4796" s="82" t="s">
        <v>284</v>
      </c>
      <c r="AO4796" s="82" t="s">
        <v>50</v>
      </c>
      <c r="AP4796" s="82" t="s">
        <v>51</v>
      </c>
      <c r="AQ4796" s="457" t="s">
        <v>742</v>
      </c>
    </row>
    <row r="4797" spans="1:43" ht="15" customHeight="1">
      <c r="A4797" s="19">
        <v>43523</v>
      </c>
      <c r="B4797" s="20" t="s">
        <v>39</v>
      </c>
      <c r="C4797" s="21">
        <v>2027739</v>
      </c>
      <c r="D4797" s="22" t="s">
        <v>744</v>
      </c>
      <c r="E4797" s="23" t="s">
        <v>60</v>
      </c>
      <c r="F4797" s="24">
        <v>10</v>
      </c>
      <c r="G4797" s="25">
        <v>542</v>
      </c>
      <c r="H4797" s="26">
        <v>5420</v>
      </c>
      <c r="I4797" s="27" t="s">
        <v>42</v>
      </c>
      <c r="J4797" s="82" t="s">
        <v>732</v>
      </c>
      <c r="K4797" s="29">
        <v>43648</v>
      </c>
      <c r="W4797" s="349">
        <v>43677</v>
      </c>
      <c r="X4797" s="349">
        <v>43635</v>
      </c>
      <c r="Y4797" s="350" t="s">
        <v>741</v>
      </c>
      <c r="Z4797" s="350"/>
      <c r="AA4797" s="349">
        <v>43678</v>
      </c>
      <c r="AB4797" s="237"/>
      <c r="AC4797" s="244"/>
      <c r="AD4797" s="244"/>
      <c r="AE4797" s="244"/>
      <c r="AF4797" s="244"/>
      <c r="AG4797" s="82"/>
      <c r="AH4797" s="82"/>
      <c r="AI4797" s="430"/>
      <c r="AJ4797" s="145">
        <v>43668</v>
      </c>
      <c r="AK4797" s="430"/>
      <c r="AL4797" s="430"/>
      <c r="AM4797" s="82" t="s">
        <v>49</v>
      </c>
      <c r="AN4797" s="82" t="s">
        <v>284</v>
      </c>
      <c r="AO4797" s="82" t="s">
        <v>50</v>
      </c>
      <c r="AP4797" s="82" t="s">
        <v>51</v>
      </c>
      <c r="AQ4797" s="457" t="s">
        <v>742</v>
      </c>
    </row>
    <row r="4798" spans="1:43" ht="15" customHeight="1">
      <c r="A4798" s="19">
        <v>43523</v>
      </c>
      <c r="B4798" s="20" t="s">
        <v>39</v>
      </c>
      <c r="C4798" s="21">
        <v>2027739</v>
      </c>
      <c r="D4798" s="22" t="s">
        <v>745</v>
      </c>
      <c r="E4798" s="23" t="s">
        <v>52</v>
      </c>
      <c r="F4798" s="24">
        <v>10</v>
      </c>
      <c r="G4798" s="25">
        <v>31</v>
      </c>
      <c r="H4798" s="26">
        <v>310</v>
      </c>
      <c r="I4798" s="27" t="s">
        <v>42</v>
      </c>
      <c r="J4798" s="82" t="s">
        <v>732</v>
      </c>
      <c r="K4798" s="146">
        <v>43682</v>
      </c>
      <c r="W4798" s="349">
        <v>43738</v>
      </c>
      <c r="X4798" s="349">
        <v>43672</v>
      </c>
      <c r="Y4798" s="350" t="s">
        <v>746</v>
      </c>
      <c r="Z4798" s="350">
        <v>164133</v>
      </c>
      <c r="AA4798" s="349">
        <v>43738</v>
      </c>
      <c r="AB4798" s="237"/>
      <c r="AC4798" s="244"/>
      <c r="AD4798" s="244"/>
      <c r="AE4798" s="244"/>
      <c r="AF4798" s="244"/>
      <c r="AG4798" s="82"/>
      <c r="AH4798" s="82"/>
      <c r="AI4798" s="430"/>
      <c r="AJ4798" s="145">
        <v>43696</v>
      </c>
      <c r="AK4798" s="430"/>
      <c r="AL4798" s="430"/>
      <c r="AM4798" s="82" t="s">
        <v>49</v>
      </c>
      <c r="AN4798" s="296" t="s">
        <v>284</v>
      </c>
      <c r="AO4798" s="82" t="s">
        <v>50</v>
      </c>
      <c r="AP4798" s="82" t="s">
        <v>51</v>
      </c>
      <c r="AQ4798" s="234" t="s">
        <v>506</v>
      </c>
    </row>
    <row r="4799" spans="1:43" ht="15" customHeight="1">
      <c r="A4799" s="19">
        <v>43523</v>
      </c>
      <c r="B4799" s="20" t="s">
        <v>39</v>
      </c>
      <c r="C4799" s="21">
        <v>2027739</v>
      </c>
      <c r="D4799" s="22" t="s">
        <v>745</v>
      </c>
      <c r="E4799" s="23" t="s">
        <v>58</v>
      </c>
      <c r="F4799" s="24">
        <v>10</v>
      </c>
      <c r="G4799" s="25">
        <v>4</v>
      </c>
      <c r="H4799" s="26">
        <v>40</v>
      </c>
      <c r="I4799" s="27" t="s">
        <v>42</v>
      </c>
      <c r="J4799" s="82" t="s">
        <v>732</v>
      </c>
      <c r="K4799" s="146">
        <v>43682</v>
      </c>
      <c r="W4799" s="349">
        <v>43738</v>
      </c>
      <c r="X4799" s="349">
        <v>43672</v>
      </c>
      <c r="Y4799" s="350" t="s">
        <v>746</v>
      </c>
      <c r="Z4799" s="350"/>
      <c r="AA4799" s="349">
        <v>43738</v>
      </c>
      <c r="AB4799" s="237"/>
      <c r="AC4799" s="244"/>
      <c r="AD4799" s="244"/>
      <c r="AE4799" s="244"/>
      <c r="AF4799" s="244"/>
      <c r="AG4799" s="82"/>
      <c r="AH4799" s="82"/>
      <c r="AI4799" s="430"/>
      <c r="AJ4799" s="145">
        <v>43696</v>
      </c>
      <c r="AK4799" s="430"/>
      <c r="AL4799" s="430"/>
      <c r="AM4799" s="82" t="s">
        <v>49</v>
      </c>
      <c r="AN4799" s="296" t="s">
        <v>284</v>
      </c>
      <c r="AO4799" s="82" t="s">
        <v>50</v>
      </c>
      <c r="AP4799" s="82" t="s">
        <v>51</v>
      </c>
      <c r="AQ4799" s="234" t="s">
        <v>506</v>
      </c>
    </row>
    <row r="4800" spans="1:43" ht="15" customHeight="1">
      <c r="A4800" s="19">
        <v>43523</v>
      </c>
      <c r="B4800" s="20" t="s">
        <v>39</v>
      </c>
      <c r="C4800" s="21">
        <v>2027739</v>
      </c>
      <c r="D4800" s="22" t="s">
        <v>745</v>
      </c>
      <c r="E4800" s="23" t="s">
        <v>41</v>
      </c>
      <c r="F4800" s="24">
        <v>10</v>
      </c>
      <c r="G4800" s="25">
        <v>273</v>
      </c>
      <c r="H4800" s="26">
        <v>2730</v>
      </c>
      <c r="I4800" s="27" t="s">
        <v>42</v>
      </c>
      <c r="J4800" s="82" t="s">
        <v>732</v>
      </c>
      <c r="K4800" s="146">
        <v>43682</v>
      </c>
      <c r="W4800" s="349">
        <v>43695</v>
      </c>
      <c r="X4800" s="349">
        <v>43665</v>
      </c>
      <c r="Y4800" s="350" t="s">
        <v>747</v>
      </c>
      <c r="Z4800" s="350">
        <v>65262</v>
      </c>
      <c r="AA4800" s="349">
        <v>43696</v>
      </c>
      <c r="AB4800" s="237"/>
      <c r="AC4800" s="244"/>
      <c r="AD4800" s="244"/>
      <c r="AE4800" s="244"/>
      <c r="AF4800" s="244"/>
      <c r="AG4800" s="82"/>
      <c r="AH4800" s="82"/>
      <c r="AI4800" s="430"/>
      <c r="AJ4800" s="145">
        <v>43696</v>
      </c>
      <c r="AK4800" s="430">
        <f>8493.61*31.31</f>
        <v>265934.92910000001</v>
      </c>
      <c r="AL4800" s="430">
        <f>(8500-8493.61)*31.31</f>
        <v>200.07089999998178</v>
      </c>
      <c r="AM4800" s="82" t="s">
        <v>49</v>
      </c>
      <c r="AN4800" s="296" t="s">
        <v>284</v>
      </c>
      <c r="AO4800" s="82" t="s">
        <v>50</v>
      </c>
      <c r="AP4800" s="82" t="s">
        <v>51</v>
      </c>
      <c r="AQ4800" s="234" t="s">
        <v>506</v>
      </c>
    </row>
    <row r="4801" spans="1:43" ht="15" customHeight="1">
      <c r="A4801" s="19">
        <v>43523</v>
      </c>
      <c r="B4801" s="20" t="s">
        <v>39</v>
      </c>
      <c r="C4801" s="21">
        <v>2027739</v>
      </c>
      <c r="D4801" s="22" t="s">
        <v>748</v>
      </c>
      <c r="E4801" s="23" t="s">
        <v>60</v>
      </c>
      <c r="F4801" s="24">
        <v>10</v>
      </c>
      <c r="G4801" s="25">
        <v>542</v>
      </c>
      <c r="H4801" s="26">
        <v>5420</v>
      </c>
      <c r="I4801" s="27" t="s">
        <v>42</v>
      </c>
      <c r="J4801" s="82" t="s">
        <v>732</v>
      </c>
      <c r="K4801" s="146">
        <v>43682</v>
      </c>
      <c r="W4801" s="349">
        <v>43738</v>
      </c>
      <c r="X4801" s="349">
        <v>43672</v>
      </c>
      <c r="Y4801" s="350" t="s">
        <v>746</v>
      </c>
      <c r="Z4801" s="350"/>
      <c r="AA4801" s="349">
        <v>43738</v>
      </c>
      <c r="AB4801" s="237"/>
      <c r="AC4801" s="244"/>
      <c r="AD4801" s="244"/>
      <c r="AE4801" s="244"/>
      <c r="AF4801" s="244"/>
      <c r="AG4801" s="82"/>
      <c r="AH4801" s="82"/>
      <c r="AI4801" s="430"/>
      <c r="AJ4801" s="145">
        <v>43696</v>
      </c>
      <c r="AK4801" s="430"/>
      <c r="AL4801" s="430"/>
      <c r="AM4801" s="82" t="s">
        <v>49</v>
      </c>
      <c r="AN4801" s="296" t="s">
        <v>284</v>
      </c>
      <c r="AO4801" s="82" t="s">
        <v>50</v>
      </c>
      <c r="AP4801" s="82" t="s">
        <v>51</v>
      </c>
      <c r="AQ4801" s="234" t="s">
        <v>506</v>
      </c>
    </row>
    <row r="4802" spans="1:43" ht="15" customHeight="1">
      <c r="A4802" s="19">
        <v>43523</v>
      </c>
      <c r="B4802" s="20" t="s">
        <v>39</v>
      </c>
      <c r="C4802" s="21">
        <v>2027739</v>
      </c>
      <c r="D4802" s="22" t="s">
        <v>749</v>
      </c>
      <c r="E4802" s="23" t="s">
        <v>41</v>
      </c>
      <c r="F4802" s="24">
        <v>5</v>
      </c>
      <c r="G4802" s="25">
        <v>273</v>
      </c>
      <c r="H4802" s="26">
        <v>1365</v>
      </c>
      <c r="I4802" s="27" t="s">
        <v>42</v>
      </c>
      <c r="J4802" s="82" t="s">
        <v>732</v>
      </c>
      <c r="K4802" s="29">
        <v>43706</v>
      </c>
      <c r="W4802" s="349">
        <v>43728</v>
      </c>
      <c r="X4802" s="349">
        <v>43698</v>
      </c>
      <c r="Y4802" s="350" t="s">
        <v>750</v>
      </c>
      <c r="Z4802" s="350">
        <v>32975</v>
      </c>
      <c r="AA4802" s="349">
        <v>43728</v>
      </c>
      <c r="AB4802" s="237"/>
      <c r="AC4802" s="244"/>
      <c r="AD4802" s="244"/>
      <c r="AE4802" s="244"/>
      <c r="AF4802" s="244"/>
      <c r="AG4802" s="82"/>
      <c r="AH4802" s="82"/>
      <c r="AI4802" s="430"/>
      <c r="AJ4802" s="145">
        <v>43724</v>
      </c>
      <c r="AK4802" s="430">
        <f>4243.53*30.92</f>
        <v>131209.94759999998</v>
      </c>
      <c r="AL4802" s="430">
        <f>(4250-4243.53)*30.92</f>
        <v>200.05240000000788</v>
      </c>
      <c r="AM4802" s="82" t="s">
        <v>49</v>
      </c>
      <c r="AN4802" s="296" t="s">
        <v>284</v>
      </c>
      <c r="AO4802" s="82" t="s">
        <v>50</v>
      </c>
      <c r="AP4802" s="82" t="s">
        <v>51</v>
      </c>
      <c r="AQ4802" s="234" t="s">
        <v>506</v>
      </c>
    </row>
    <row r="4803" spans="1:43" ht="15" customHeight="1">
      <c r="A4803" s="19">
        <v>43523</v>
      </c>
      <c r="B4803" s="20" t="s">
        <v>39</v>
      </c>
      <c r="C4803" s="21">
        <v>2027739</v>
      </c>
      <c r="D4803" s="22" t="s">
        <v>749</v>
      </c>
      <c r="E4803" s="23" t="s">
        <v>52</v>
      </c>
      <c r="F4803" s="24">
        <v>5</v>
      </c>
      <c r="G4803" s="25">
        <v>31</v>
      </c>
      <c r="H4803" s="26">
        <v>155</v>
      </c>
      <c r="I4803" s="27" t="s">
        <v>42</v>
      </c>
      <c r="J4803" s="82" t="s">
        <v>732</v>
      </c>
      <c r="K4803" s="29">
        <v>43706</v>
      </c>
      <c r="W4803" s="459">
        <v>43769</v>
      </c>
      <c r="X4803" s="349">
        <v>43711</v>
      </c>
      <c r="Y4803" s="350" t="s">
        <v>751</v>
      </c>
      <c r="Z4803" s="350">
        <v>82992</v>
      </c>
      <c r="AA4803" s="350"/>
      <c r="AB4803" s="237"/>
      <c r="AC4803" s="244"/>
      <c r="AD4803" s="244"/>
      <c r="AE4803" s="244"/>
      <c r="AF4803" s="244"/>
      <c r="AG4803" s="82"/>
      <c r="AH4803" s="82"/>
      <c r="AI4803" s="430"/>
      <c r="AJ4803" s="145">
        <v>43724</v>
      </c>
      <c r="AK4803" s="430"/>
      <c r="AL4803" s="430"/>
      <c r="AM4803" s="82" t="s">
        <v>49</v>
      </c>
      <c r="AN4803" s="296" t="s">
        <v>284</v>
      </c>
      <c r="AO4803" s="82" t="s">
        <v>50</v>
      </c>
      <c r="AP4803" s="82" t="s">
        <v>51</v>
      </c>
      <c r="AQ4803" s="234" t="s">
        <v>506</v>
      </c>
    </row>
    <row r="4804" spans="1:43" ht="15" customHeight="1">
      <c r="A4804" s="19">
        <v>43523</v>
      </c>
      <c r="B4804" s="20" t="s">
        <v>39</v>
      </c>
      <c r="C4804" s="21">
        <v>2027739</v>
      </c>
      <c r="D4804" s="22" t="s">
        <v>749</v>
      </c>
      <c r="E4804" s="23" t="s">
        <v>58</v>
      </c>
      <c r="F4804" s="24">
        <v>5</v>
      </c>
      <c r="G4804" s="25">
        <v>4</v>
      </c>
      <c r="H4804" s="26">
        <v>20</v>
      </c>
      <c r="I4804" s="27" t="s">
        <v>42</v>
      </c>
      <c r="J4804" s="82" t="s">
        <v>732</v>
      </c>
      <c r="K4804" s="29">
        <v>43706</v>
      </c>
      <c r="W4804" s="459">
        <v>43769</v>
      </c>
      <c r="X4804" s="349">
        <v>43711</v>
      </c>
      <c r="Y4804" s="350" t="s">
        <v>751</v>
      </c>
      <c r="Z4804" s="350"/>
      <c r="AA4804" s="350"/>
      <c r="AB4804" s="237"/>
      <c r="AC4804" s="244"/>
      <c r="AD4804" s="244"/>
      <c r="AE4804" s="244"/>
      <c r="AF4804" s="244"/>
      <c r="AG4804" s="82"/>
      <c r="AH4804" s="82"/>
      <c r="AI4804" s="430"/>
      <c r="AJ4804" s="145">
        <v>43724</v>
      </c>
      <c r="AK4804" s="430"/>
      <c r="AL4804" s="430"/>
      <c r="AM4804" s="82" t="s">
        <v>49</v>
      </c>
      <c r="AN4804" s="296" t="s">
        <v>284</v>
      </c>
      <c r="AO4804" s="82" t="s">
        <v>50</v>
      </c>
      <c r="AP4804" s="82" t="s">
        <v>51</v>
      </c>
      <c r="AQ4804" s="234" t="s">
        <v>506</v>
      </c>
    </row>
    <row r="4805" spans="1:43" ht="15" customHeight="1">
      <c r="A4805" s="19">
        <v>43523</v>
      </c>
      <c r="B4805" s="20" t="s">
        <v>39</v>
      </c>
      <c r="C4805" s="21">
        <v>2027739</v>
      </c>
      <c r="D4805" s="22" t="s">
        <v>752</v>
      </c>
      <c r="E4805" s="23" t="s">
        <v>60</v>
      </c>
      <c r="F4805" s="24">
        <v>5</v>
      </c>
      <c r="G4805" s="25">
        <v>542</v>
      </c>
      <c r="H4805" s="26">
        <v>2710</v>
      </c>
      <c r="I4805" s="27" t="s">
        <v>42</v>
      </c>
      <c r="J4805" s="82" t="s">
        <v>732</v>
      </c>
      <c r="K4805" s="29">
        <v>43706</v>
      </c>
      <c r="W4805" s="459">
        <v>43769</v>
      </c>
      <c r="X4805" s="349">
        <v>43711</v>
      </c>
      <c r="Y4805" s="350" t="s">
        <v>751</v>
      </c>
      <c r="Z4805" s="350"/>
      <c r="AA4805" s="350"/>
      <c r="AB4805" s="237"/>
      <c r="AC4805" s="244"/>
      <c r="AD4805" s="244"/>
      <c r="AE4805" s="244"/>
      <c r="AF4805" s="244"/>
      <c r="AG4805" s="82"/>
      <c r="AH4805" s="82"/>
      <c r="AI4805" s="430"/>
      <c r="AJ4805" s="145">
        <v>43724</v>
      </c>
      <c r="AK4805" s="430"/>
      <c r="AL4805" s="430"/>
      <c r="AM4805" s="82" t="s">
        <v>49</v>
      </c>
      <c r="AN4805" s="296" t="s">
        <v>284</v>
      </c>
      <c r="AO4805" s="82" t="s">
        <v>50</v>
      </c>
      <c r="AP4805" s="82" t="s">
        <v>51</v>
      </c>
      <c r="AQ4805" s="234" t="s">
        <v>506</v>
      </c>
    </row>
    <row r="4806" spans="1:43" ht="15" customHeight="1">
      <c r="A4806" s="19">
        <v>43523</v>
      </c>
      <c r="B4806" s="20" t="s">
        <v>39</v>
      </c>
      <c r="C4806" s="21">
        <v>2027739</v>
      </c>
      <c r="D4806" s="22" t="s">
        <v>753</v>
      </c>
      <c r="E4806" s="23" t="s">
        <v>52</v>
      </c>
      <c r="F4806" s="24">
        <v>5</v>
      </c>
      <c r="G4806" s="25">
        <v>31</v>
      </c>
      <c r="H4806" s="26">
        <v>155</v>
      </c>
      <c r="I4806" s="27" t="s">
        <v>42</v>
      </c>
      <c r="J4806" s="82" t="s">
        <v>732</v>
      </c>
      <c r="K4806" s="29">
        <v>43740</v>
      </c>
      <c r="W4806" s="459">
        <v>43769</v>
      </c>
      <c r="X4806" s="349">
        <v>43732</v>
      </c>
      <c r="Y4806" s="350" t="s">
        <v>754</v>
      </c>
      <c r="Z4806" s="350">
        <v>81855</v>
      </c>
      <c r="AA4806" s="350"/>
      <c r="AB4806" s="237"/>
      <c r="AC4806" s="244"/>
      <c r="AD4806" s="244"/>
      <c r="AE4806" s="244"/>
      <c r="AF4806" s="244"/>
      <c r="AG4806" s="82"/>
      <c r="AH4806" s="82"/>
      <c r="AI4806" s="430"/>
      <c r="AJ4806" s="30">
        <v>43759</v>
      </c>
      <c r="AK4806" s="430"/>
      <c r="AL4806" s="430"/>
      <c r="AM4806" s="82" t="s">
        <v>49</v>
      </c>
      <c r="AN4806" s="296" t="s">
        <v>284</v>
      </c>
      <c r="AO4806" s="82" t="s">
        <v>50</v>
      </c>
      <c r="AP4806" s="82" t="s">
        <v>51</v>
      </c>
      <c r="AQ4806" s="457" t="s">
        <v>755</v>
      </c>
    </row>
    <row r="4807" spans="1:43" ht="15" customHeight="1">
      <c r="A4807" s="19">
        <v>43523</v>
      </c>
      <c r="B4807" s="20" t="s">
        <v>39</v>
      </c>
      <c r="C4807" s="21">
        <v>2027739</v>
      </c>
      <c r="D4807" s="22" t="s">
        <v>753</v>
      </c>
      <c r="E4807" s="23" t="s">
        <v>41</v>
      </c>
      <c r="F4807" s="24">
        <v>5</v>
      </c>
      <c r="G4807" s="25">
        <v>273</v>
      </c>
      <c r="H4807" s="26">
        <v>1365</v>
      </c>
      <c r="I4807" s="27" t="s">
        <v>42</v>
      </c>
      <c r="J4807" s="82" t="s">
        <v>732</v>
      </c>
      <c r="K4807" s="29">
        <v>43740</v>
      </c>
      <c r="W4807" s="459">
        <v>43753</v>
      </c>
      <c r="X4807" s="349">
        <v>43724</v>
      </c>
      <c r="Y4807" s="350" t="s">
        <v>756</v>
      </c>
      <c r="Z4807" s="350">
        <v>32608</v>
      </c>
      <c r="AA4807" s="349">
        <v>43743</v>
      </c>
      <c r="AB4807" s="237"/>
      <c r="AC4807" s="244"/>
      <c r="AD4807" s="244"/>
      <c r="AE4807" s="244"/>
      <c r="AF4807" s="244"/>
      <c r="AG4807" s="82"/>
      <c r="AH4807" s="82"/>
      <c r="AI4807" s="430"/>
      <c r="AJ4807" s="30">
        <v>43759</v>
      </c>
      <c r="AK4807" s="430">
        <f>4243.44*30.51</f>
        <v>129467.3544</v>
      </c>
      <c r="AL4807" s="430">
        <f>(4250-4243.44)*30.51</f>
        <v>200.14560000001222</v>
      </c>
      <c r="AM4807" s="82" t="s">
        <v>49</v>
      </c>
      <c r="AN4807" s="296" t="s">
        <v>284</v>
      </c>
      <c r="AO4807" s="82" t="s">
        <v>50</v>
      </c>
      <c r="AP4807" s="82" t="s">
        <v>51</v>
      </c>
      <c r="AQ4807" s="457" t="s">
        <v>755</v>
      </c>
    </row>
    <row r="4808" spans="1:43" ht="15" customHeight="1">
      <c r="A4808" s="19">
        <v>43523</v>
      </c>
      <c r="B4808" s="20" t="s">
        <v>39</v>
      </c>
      <c r="C4808" s="21">
        <v>2027739</v>
      </c>
      <c r="D4808" s="22" t="s">
        <v>753</v>
      </c>
      <c r="E4808" s="23" t="s">
        <v>58</v>
      </c>
      <c r="F4808" s="24">
        <v>5</v>
      </c>
      <c r="G4808" s="25">
        <v>4</v>
      </c>
      <c r="H4808" s="26">
        <v>20</v>
      </c>
      <c r="I4808" s="27" t="s">
        <v>42</v>
      </c>
      <c r="J4808" s="82" t="s">
        <v>732</v>
      </c>
      <c r="K4808" s="29">
        <v>43740</v>
      </c>
      <c r="W4808" s="459">
        <v>43769</v>
      </c>
      <c r="X4808" s="349">
        <v>43732</v>
      </c>
      <c r="Y4808" s="350" t="s">
        <v>754</v>
      </c>
      <c r="Z4808" s="350"/>
      <c r="AA4808" s="350"/>
      <c r="AB4808" s="237"/>
      <c r="AC4808" s="244"/>
      <c r="AD4808" s="244"/>
      <c r="AE4808" s="244"/>
      <c r="AF4808" s="244"/>
      <c r="AG4808" s="82"/>
      <c r="AH4808" s="82"/>
      <c r="AI4808" s="430"/>
      <c r="AJ4808" s="30">
        <v>43759</v>
      </c>
      <c r="AK4808" s="430"/>
      <c r="AL4808" s="430"/>
      <c r="AM4808" s="82" t="s">
        <v>49</v>
      </c>
      <c r="AN4808" s="296" t="s">
        <v>284</v>
      </c>
      <c r="AO4808" s="82" t="s">
        <v>50</v>
      </c>
      <c r="AP4808" s="82" t="s">
        <v>51</v>
      </c>
      <c r="AQ4808" s="457" t="s">
        <v>755</v>
      </c>
    </row>
    <row r="4809" spans="1:43" ht="15" customHeight="1">
      <c r="A4809" s="19">
        <v>43523</v>
      </c>
      <c r="B4809" s="20" t="s">
        <v>39</v>
      </c>
      <c r="C4809" s="21">
        <v>2027739</v>
      </c>
      <c r="D4809" s="22" t="s">
        <v>757</v>
      </c>
      <c r="E4809" s="23" t="s">
        <v>60</v>
      </c>
      <c r="F4809" s="24">
        <v>5</v>
      </c>
      <c r="G4809" s="25">
        <v>542</v>
      </c>
      <c r="H4809" s="26">
        <v>2710</v>
      </c>
      <c r="I4809" s="27" t="s">
        <v>42</v>
      </c>
      <c r="J4809" s="82" t="s">
        <v>732</v>
      </c>
      <c r="K4809" s="29">
        <v>43740</v>
      </c>
      <c r="W4809" s="459">
        <v>43769</v>
      </c>
      <c r="X4809" s="349">
        <v>43732</v>
      </c>
      <c r="Y4809" s="350" t="s">
        <v>754</v>
      </c>
      <c r="Z4809" s="350"/>
      <c r="AA4809" s="350"/>
      <c r="AB4809" s="237"/>
      <c r="AC4809" s="244"/>
      <c r="AD4809" s="244"/>
      <c r="AE4809" s="244"/>
      <c r="AF4809" s="244"/>
      <c r="AG4809" s="82"/>
      <c r="AH4809" s="82"/>
      <c r="AI4809" s="430"/>
      <c r="AJ4809" s="30">
        <v>43759</v>
      </c>
      <c r="AK4809" s="430"/>
      <c r="AL4809" s="430"/>
      <c r="AM4809" s="82" t="s">
        <v>49</v>
      </c>
      <c r="AN4809" s="296" t="s">
        <v>284</v>
      </c>
      <c r="AO4809" s="82" t="s">
        <v>50</v>
      </c>
      <c r="AP4809" s="82" t="s">
        <v>51</v>
      </c>
      <c r="AQ4809" s="457" t="s">
        <v>755</v>
      </c>
    </row>
    <row r="4810" spans="1:43" ht="15" customHeight="1">
      <c r="A4810" s="19">
        <v>43523</v>
      </c>
      <c r="B4810" s="20" t="s">
        <v>39</v>
      </c>
      <c r="C4810" s="21">
        <v>2027739</v>
      </c>
      <c r="D4810" s="22" t="s">
        <v>758</v>
      </c>
      <c r="E4810" s="23" t="s">
        <v>41</v>
      </c>
      <c r="F4810" s="24">
        <v>5</v>
      </c>
      <c r="G4810" s="25">
        <v>273</v>
      </c>
      <c r="H4810" s="26">
        <v>1365</v>
      </c>
      <c r="I4810" s="27" t="s">
        <v>42</v>
      </c>
      <c r="J4810" s="82" t="s">
        <v>732</v>
      </c>
      <c r="K4810" s="29">
        <v>43773</v>
      </c>
      <c r="W4810" s="350"/>
      <c r="X4810" s="350"/>
      <c r="Y4810" s="350"/>
      <c r="Z4810" s="350"/>
      <c r="AA4810" s="350"/>
      <c r="AB4810" s="237"/>
      <c r="AC4810" s="244"/>
      <c r="AD4810" s="244"/>
      <c r="AE4810" s="244"/>
      <c r="AF4810" s="244"/>
      <c r="AG4810" s="82"/>
      <c r="AH4810" s="82"/>
      <c r="AI4810" s="430"/>
      <c r="AJ4810" s="30">
        <v>43791</v>
      </c>
      <c r="AK4810" s="430">
        <f>8493.43*30.457</f>
        <v>258684.39751000001</v>
      </c>
      <c r="AL4810" s="430">
        <f>(8500-8493.43)*30.457</f>
        <v>200.10248999999115</v>
      </c>
      <c r="AM4810" s="82" t="s">
        <v>49</v>
      </c>
      <c r="AN4810" s="296" t="s">
        <v>284</v>
      </c>
      <c r="AO4810" s="82" t="s">
        <v>50</v>
      </c>
      <c r="AP4810" s="82" t="s">
        <v>51</v>
      </c>
      <c r="AQ4810" s="457" t="s">
        <v>755</v>
      </c>
    </row>
    <row r="4811" spans="1:43" ht="15" customHeight="1">
      <c r="A4811" s="19">
        <v>43523</v>
      </c>
      <c r="B4811" s="20" t="s">
        <v>39</v>
      </c>
      <c r="C4811" s="21">
        <v>2027739</v>
      </c>
      <c r="D4811" s="22" t="s">
        <v>758</v>
      </c>
      <c r="E4811" s="23" t="s">
        <v>52</v>
      </c>
      <c r="F4811" s="24">
        <v>5</v>
      </c>
      <c r="G4811" s="25">
        <v>31</v>
      </c>
      <c r="H4811" s="26">
        <v>155</v>
      </c>
      <c r="I4811" s="27" t="s">
        <v>42</v>
      </c>
      <c r="J4811" s="82" t="s">
        <v>732</v>
      </c>
      <c r="K4811" s="29">
        <v>43773</v>
      </c>
      <c r="W4811" s="459">
        <v>43830</v>
      </c>
      <c r="X4811" s="459">
        <v>43766</v>
      </c>
      <c r="Y4811" s="350" t="s">
        <v>759</v>
      </c>
      <c r="Z4811" s="350"/>
      <c r="AA4811" s="350"/>
      <c r="AB4811" s="237"/>
      <c r="AC4811" s="244"/>
      <c r="AD4811" s="244"/>
      <c r="AE4811" s="244"/>
      <c r="AF4811" s="244"/>
      <c r="AG4811" s="82"/>
      <c r="AH4811" s="82"/>
      <c r="AI4811" s="430"/>
      <c r="AJ4811" s="30">
        <v>43791</v>
      </c>
      <c r="AK4811" s="430"/>
      <c r="AL4811" s="430"/>
      <c r="AM4811" s="82" t="s">
        <v>49</v>
      </c>
      <c r="AN4811" s="296" t="s">
        <v>284</v>
      </c>
      <c r="AO4811" s="82" t="s">
        <v>50</v>
      </c>
      <c r="AP4811" s="82" t="s">
        <v>51</v>
      </c>
      <c r="AQ4811" s="457" t="s">
        <v>755</v>
      </c>
    </row>
    <row r="4812" spans="1:43" ht="15" customHeight="1">
      <c r="A4812" s="19">
        <v>43523</v>
      </c>
      <c r="B4812" s="20" t="s">
        <v>39</v>
      </c>
      <c r="C4812" s="21">
        <v>2027739</v>
      </c>
      <c r="D4812" s="22" t="s">
        <v>758</v>
      </c>
      <c r="E4812" s="23" t="s">
        <v>58</v>
      </c>
      <c r="F4812" s="24">
        <v>5</v>
      </c>
      <c r="G4812" s="25">
        <v>4</v>
      </c>
      <c r="H4812" s="26">
        <v>20</v>
      </c>
      <c r="I4812" s="27" t="s">
        <v>42</v>
      </c>
      <c r="J4812" s="82" t="s">
        <v>732</v>
      </c>
      <c r="K4812" s="29">
        <v>43773</v>
      </c>
      <c r="W4812" s="459">
        <v>43830</v>
      </c>
      <c r="X4812" s="459">
        <v>43766</v>
      </c>
      <c r="Y4812" s="350" t="s">
        <v>759</v>
      </c>
      <c r="Z4812" s="350"/>
      <c r="AA4812" s="350"/>
      <c r="AB4812" s="237"/>
      <c r="AC4812" s="244"/>
      <c r="AD4812" s="244"/>
      <c r="AE4812" s="244"/>
      <c r="AF4812" s="244"/>
      <c r="AG4812" s="82"/>
      <c r="AH4812" s="82"/>
      <c r="AI4812" s="430"/>
      <c r="AJ4812" s="30">
        <v>43791</v>
      </c>
      <c r="AK4812" s="430"/>
      <c r="AL4812" s="430"/>
      <c r="AM4812" s="82" t="s">
        <v>49</v>
      </c>
      <c r="AN4812" s="296" t="s">
        <v>284</v>
      </c>
      <c r="AO4812" s="82" t="s">
        <v>50</v>
      </c>
      <c r="AP4812" s="82" t="s">
        <v>51</v>
      </c>
      <c r="AQ4812" s="457" t="s">
        <v>755</v>
      </c>
    </row>
    <row r="4813" spans="1:43" ht="15" customHeight="1">
      <c r="A4813" s="19">
        <v>43523</v>
      </c>
      <c r="B4813" s="20" t="s">
        <v>39</v>
      </c>
      <c r="C4813" s="21">
        <v>2027739</v>
      </c>
      <c r="D4813" s="22" t="s">
        <v>760</v>
      </c>
      <c r="E4813" s="23" t="s">
        <v>60</v>
      </c>
      <c r="F4813" s="24">
        <v>5</v>
      </c>
      <c r="G4813" s="25">
        <v>542</v>
      </c>
      <c r="H4813" s="26">
        <v>2710</v>
      </c>
      <c r="I4813" s="27" t="s">
        <v>42</v>
      </c>
      <c r="J4813" s="82" t="s">
        <v>732</v>
      </c>
      <c r="K4813" s="29">
        <v>43773</v>
      </c>
      <c r="W4813" s="459">
        <v>43830</v>
      </c>
      <c r="X4813" s="459">
        <v>43766</v>
      </c>
      <c r="Y4813" s="350" t="s">
        <v>759</v>
      </c>
      <c r="Z4813" s="350"/>
      <c r="AA4813" s="350"/>
      <c r="AB4813" s="237"/>
      <c r="AC4813" s="244"/>
      <c r="AD4813" s="244"/>
      <c r="AE4813" s="244"/>
      <c r="AF4813" s="244"/>
      <c r="AG4813" s="82"/>
      <c r="AH4813" s="82"/>
      <c r="AI4813" s="430"/>
      <c r="AJ4813" s="30">
        <v>43791</v>
      </c>
      <c r="AK4813" s="430"/>
      <c r="AL4813" s="430"/>
      <c r="AM4813" s="82" t="s">
        <v>49</v>
      </c>
      <c r="AN4813" s="296" t="s">
        <v>284</v>
      </c>
      <c r="AO4813" s="82" t="s">
        <v>50</v>
      </c>
      <c r="AP4813" s="82" t="s">
        <v>51</v>
      </c>
      <c r="AQ4813" s="457" t="s">
        <v>755</v>
      </c>
    </row>
    <row r="4814" spans="1:43" ht="15" customHeight="1">
      <c r="A4814" s="19">
        <v>43523</v>
      </c>
      <c r="B4814" s="20" t="s">
        <v>39</v>
      </c>
      <c r="C4814" s="21">
        <v>2027739</v>
      </c>
      <c r="D4814" s="22" t="s">
        <v>761</v>
      </c>
      <c r="E4814" s="23" t="s">
        <v>41</v>
      </c>
      <c r="F4814" s="24">
        <v>5</v>
      </c>
      <c r="G4814" s="25">
        <v>273</v>
      </c>
      <c r="H4814" s="26">
        <v>1365</v>
      </c>
      <c r="I4814" s="27" t="s">
        <v>42</v>
      </c>
      <c r="J4814" s="82" t="s">
        <v>732</v>
      </c>
      <c r="K4814" s="29">
        <v>43773</v>
      </c>
      <c r="W4814" s="459">
        <v>43786</v>
      </c>
      <c r="X4814" s="459">
        <v>43756</v>
      </c>
      <c r="Y4814" s="350" t="s">
        <v>63</v>
      </c>
      <c r="Z4814" s="350">
        <v>64430</v>
      </c>
      <c r="AA4814" s="350"/>
      <c r="AB4814" s="237"/>
      <c r="AC4814" s="244"/>
      <c r="AD4814" s="244"/>
      <c r="AE4814" s="244"/>
      <c r="AF4814" s="244"/>
      <c r="AG4814" s="82"/>
      <c r="AH4814" s="82"/>
      <c r="AI4814" s="430"/>
      <c r="AJ4814" s="30">
        <v>43791</v>
      </c>
      <c r="AK4814" s="430"/>
      <c r="AL4814" s="430"/>
      <c r="AM4814" s="82" t="s">
        <v>49</v>
      </c>
      <c r="AN4814" s="296" t="s">
        <v>284</v>
      </c>
      <c r="AO4814" s="82" t="s">
        <v>50</v>
      </c>
      <c r="AP4814" s="82" t="s">
        <v>51</v>
      </c>
      <c r="AQ4814" s="457" t="s">
        <v>755</v>
      </c>
    </row>
    <row r="4815" spans="1:43" ht="15" customHeight="1">
      <c r="A4815" s="19">
        <v>43523</v>
      </c>
      <c r="B4815" s="20" t="s">
        <v>39</v>
      </c>
      <c r="C4815" s="21">
        <v>2027739</v>
      </c>
      <c r="D4815" s="22" t="s">
        <v>761</v>
      </c>
      <c r="E4815" s="23" t="s">
        <v>52</v>
      </c>
      <c r="F4815" s="24">
        <v>5</v>
      </c>
      <c r="G4815" s="25">
        <v>31</v>
      </c>
      <c r="H4815" s="26">
        <v>155</v>
      </c>
      <c r="I4815" s="27" t="s">
        <v>42</v>
      </c>
      <c r="J4815" s="82" t="s">
        <v>732</v>
      </c>
      <c r="K4815" s="29">
        <v>43773</v>
      </c>
      <c r="W4815" s="459">
        <v>43830</v>
      </c>
      <c r="X4815" s="459">
        <v>43766</v>
      </c>
      <c r="Y4815" s="350" t="s">
        <v>759</v>
      </c>
      <c r="Z4815" s="350">
        <v>161833</v>
      </c>
      <c r="AA4815" s="350"/>
      <c r="AB4815" s="237"/>
      <c r="AC4815" s="244"/>
      <c r="AD4815" s="244"/>
      <c r="AE4815" s="244"/>
      <c r="AF4815" s="244"/>
      <c r="AG4815" s="82"/>
      <c r="AH4815" s="82"/>
      <c r="AI4815" s="430"/>
      <c r="AJ4815" s="30">
        <v>43791</v>
      </c>
      <c r="AK4815" s="430"/>
      <c r="AL4815" s="430"/>
      <c r="AM4815" s="82" t="s">
        <v>49</v>
      </c>
      <c r="AN4815" s="296" t="s">
        <v>284</v>
      </c>
      <c r="AO4815" s="82" t="s">
        <v>50</v>
      </c>
      <c r="AP4815" s="82" t="s">
        <v>51</v>
      </c>
      <c r="AQ4815" s="457" t="s">
        <v>755</v>
      </c>
    </row>
    <row r="4816" spans="1:43" ht="15" customHeight="1">
      <c r="A4816" s="19">
        <v>43523</v>
      </c>
      <c r="B4816" s="20" t="s">
        <v>39</v>
      </c>
      <c r="C4816" s="21">
        <v>2027739</v>
      </c>
      <c r="D4816" s="22" t="s">
        <v>761</v>
      </c>
      <c r="E4816" s="23" t="s">
        <v>58</v>
      </c>
      <c r="F4816" s="24">
        <v>5</v>
      </c>
      <c r="G4816" s="25">
        <v>4</v>
      </c>
      <c r="H4816" s="26">
        <v>20</v>
      </c>
      <c r="I4816" s="27" t="s">
        <v>42</v>
      </c>
      <c r="J4816" s="82" t="s">
        <v>732</v>
      </c>
      <c r="K4816" s="29">
        <v>43773</v>
      </c>
      <c r="W4816" s="459">
        <v>43830</v>
      </c>
      <c r="X4816" s="459">
        <v>43766</v>
      </c>
      <c r="Y4816" s="350" t="s">
        <v>759</v>
      </c>
      <c r="Z4816" s="350"/>
      <c r="AA4816" s="350"/>
      <c r="AB4816" s="237"/>
      <c r="AC4816" s="244"/>
      <c r="AD4816" s="244"/>
      <c r="AE4816" s="244"/>
      <c r="AF4816" s="244"/>
      <c r="AG4816" s="82"/>
      <c r="AH4816" s="82"/>
      <c r="AI4816" s="430"/>
      <c r="AJ4816" s="30">
        <v>43791</v>
      </c>
      <c r="AK4816" s="430"/>
      <c r="AL4816" s="430"/>
      <c r="AM4816" s="82" t="s">
        <v>49</v>
      </c>
      <c r="AN4816" s="296" t="s">
        <v>284</v>
      </c>
      <c r="AO4816" s="82" t="s">
        <v>50</v>
      </c>
      <c r="AP4816" s="82" t="s">
        <v>51</v>
      </c>
      <c r="AQ4816" s="457" t="s">
        <v>755</v>
      </c>
    </row>
    <row r="4817" spans="1:43" ht="15" customHeight="1">
      <c r="A4817" s="19">
        <v>43523</v>
      </c>
      <c r="B4817" s="20" t="s">
        <v>39</v>
      </c>
      <c r="C4817" s="21">
        <v>2027739</v>
      </c>
      <c r="D4817" s="22" t="s">
        <v>762</v>
      </c>
      <c r="E4817" s="23" t="s">
        <v>60</v>
      </c>
      <c r="F4817" s="24">
        <v>5</v>
      </c>
      <c r="G4817" s="25">
        <v>542</v>
      </c>
      <c r="H4817" s="26">
        <v>2710</v>
      </c>
      <c r="I4817" s="27" t="s">
        <v>42</v>
      </c>
      <c r="J4817" s="82" t="s">
        <v>732</v>
      </c>
      <c r="K4817" s="29">
        <v>43773</v>
      </c>
      <c r="W4817" s="459">
        <v>43830</v>
      </c>
      <c r="X4817" s="459">
        <v>43766</v>
      </c>
      <c r="Y4817" s="350" t="s">
        <v>759</v>
      </c>
      <c r="Z4817" s="350"/>
      <c r="AA4817" s="350"/>
      <c r="AB4817" s="237"/>
      <c r="AC4817" s="244"/>
      <c r="AD4817" s="244"/>
      <c r="AE4817" s="244"/>
      <c r="AF4817" s="244"/>
      <c r="AG4817" s="82"/>
      <c r="AH4817" s="82"/>
      <c r="AI4817" s="430"/>
      <c r="AJ4817" s="30">
        <v>43791</v>
      </c>
      <c r="AK4817" s="430"/>
      <c r="AL4817" s="430"/>
      <c r="AM4817" s="82" t="s">
        <v>49</v>
      </c>
      <c r="AN4817" s="296" t="s">
        <v>284</v>
      </c>
      <c r="AO4817" s="82" t="s">
        <v>50</v>
      </c>
      <c r="AP4817" s="82" t="s">
        <v>51</v>
      </c>
      <c r="AQ4817" s="457" t="s">
        <v>755</v>
      </c>
    </row>
    <row r="4818" spans="1:43" ht="15" customHeight="1">
      <c r="A4818" s="19">
        <v>43524</v>
      </c>
      <c r="B4818" s="70" t="s">
        <v>577</v>
      </c>
      <c r="C4818" s="21">
        <v>20190227001</v>
      </c>
      <c r="D4818" s="22" t="s">
        <v>763</v>
      </c>
      <c r="E4818" s="23" t="s">
        <v>764</v>
      </c>
      <c r="F4818" s="82">
        <v>1</v>
      </c>
      <c r="G4818" s="143">
        <v>96.6</v>
      </c>
      <c r="H4818" s="26">
        <v>96.6</v>
      </c>
      <c r="I4818" s="429" t="s">
        <v>170</v>
      </c>
      <c r="J4818" s="161" t="s">
        <v>580</v>
      </c>
      <c r="K4818" s="30">
        <v>43532</v>
      </c>
      <c r="W4818" s="352">
        <v>43585</v>
      </c>
      <c r="X4818" s="411">
        <v>43530</v>
      </c>
      <c r="Y4818" s="340" t="s">
        <v>765</v>
      </c>
      <c r="Z4818" s="412">
        <v>2589</v>
      </c>
      <c r="AA4818" s="449">
        <v>43586</v>
      </c>
      <c r="AB4818" s="237"/>
      <c r="AC4818" s="244"/>
      <c r="AD4818" s="244"/>
      <c r="AE4818" s="244"/>
      <c r="AF4818" s="244"/>
      <c r="AG4818" s="24"/>
      <c r="AH4818" s="24"/>
      <c r="AI4818" s="38"/>
      <c r="AJ4818" s="39">
        <v>43546</v>
      </c>
      <c r="AK4818" s="38"/>
      <c r="AL4818" s="38"/>
      <c r="AM4818" s="24" t="s">
        <v>49</v>
      </c>
      <c r="AN4818" s="24" t="s">
        <v>284</v>
      </c>
      <c r="AO4818" s="24" t="s">
        <v>50</v>
      </c>
      <c r="AP4818" s="24" t="s">
        <v>376</v>
      </c>
      <c r="AQ4818" s="40"/>
    </row>
    <row r="4819" spans="1:43" ht="15" customHeight="1">
      <c r="A4819" s="19">
        <v>43526</v>
      </c>
      <c r="B4819" s="70" t="s">
        <v>118</v>
      </c>
      <c r="C4819" s="21" t="s">
        <v>766</v>
      </c>
      <c r="D4819" s="21" t="s">
        <v>767</v>
      </c>
      <c r="E4819" s="23" t="s">
        <v>324</v>
      </c>
      <c r="F4819" s="24">
        <v>10</v>
      </c>
      <c r="G4819" s="143">
        <v>577</v>
      </c>
      <c r="H4819" s="165">
        <v>5770</v>
      </c>
      <c r="I4819" s="346" t="s">
        <v>170</v>
      </c>
      <c r="J4819" s="82" t="s">
        <v>121</v>
      </c>
      <c r="K4819" s="30">
        <v>43564</v>
      </c>
      <c r="W4819" s="292">
        <v>43585</v>
      </c>
      <c r="X4819" s="408">
        <v>43545</v>
      </c>
      <c r="Y4819" s="294" t="s">
        <v>768</v>
      </c>
      <c r="Z4819" s="295">
        <v>429500</v>
      </c>
      <c r="AA4819" s="300">
        <v>43586</v>
      </c>
      <c r="AB4819" s="237"/>
      <c r="AC4819" s="244"/>
      <c r="AD4819" s="244"/>
      <c r="AE4819" s="244"/>
      <c r="AF4819" s="244"/>
      <c r="AG4819" s="54"/>
      <c r="AH4819" s="54">
        <v>30.77</v>
      </c>
      <c r="AI4819" s="55">
        <f>AH4819*H4819</f>
        <v>177542.9</v>
      </c>
      <c r="AJ4819" s="56">
        <v>43563</v>
      </c>
      <c r="AK4819" s="55"/>
      <c r="AL4819" s="55"/>
      <c r="AM4819" s="54" t="s">
        <v>49</v>
      </c>
      <c r="AN4819" s="24" t="s">
        <v>284</v>
      </c>
      <c r="AO4819" s="54" t="s">
        <v>50</v>
      </c>
      <c r="AP4819" s="54" t="s">
        <v>51</v>
      </c>
      <c r="AQ4819" s="57" t="s">
        <v>397</v>
      </c>
    </row>
    <row r="4820" spans="1:43" ht="15" customHeight="1">
      <c r="A4820" s="19">
        <v>43526</v>
      </c>
      <c r="B4820" s="70" t="s">
        <v>118</v>
      </c>
      <c r="C4820" s="21" t="s">
        <v>766</v>
      </c>
      <c r="D4820" s="21" t="s">
        <v>767</v>
      </c>
      <c r="E4820" s="23" t="s">
        <v>564</v>
      </c>
      <c r="F4820" s="24">
        <v>100</v>
      </c>
      <c r="G4820" s="25">
        <v>105</v>
      </c>
      <c r="H4820" s="60">
        <v>10500</v>
      </c>
      <c r="I4820" s="346" t="s">
        <v>170</v>
      </c>
      <c r="J4820" s="82" t="s">
        <v>121</v>
      </c>
      <c r="K4820" s="30">
        <v>43564</v>
      </c>
      <c r="W4820" s="292">
        <v>43585</v>
      </c>
      <c r="X4820" s="408">
        <v>43545</v>
      </c>
      <c r="Y4820" s="294" t="s">
        <v>768</v>
      </c>
      <c r="Z4820" s="294"/>
      <c r="AA4820" s="300">
        <v>43586</v>
      </c>
      <c r="AB4820" s="237"/>
      <c r="AC4820" s="244"/>
      <c r="AD4820" s="244"/>
      <c r="AE4820" s="244"/>
      <c r="AF4820" s="244"/>
      <c r="AG4820" s="54"/>
      <c r="AH4820" s="54">
        <v>30.77</v>
      </c>
      <c r="AI4820" s="55">
        <f>AH4820*H4820</f>
        <v>323085</v>
      </c>
      <c r="AJ4820" s="56">
        <v>43563</v>
      </c>
      <c r="AK4820" s="55"/>
      <c r="AL4820" s="55"/>
      <c r="AM4820" s="54" t="s">
        <v>49</v>
      </c>
      <c r="AN4820" s="24" t="s">
        <v>284</v>
      </c>
      <c r="AO4820" s="54" t="s">
        <v>50</v>
      </c>
      <c r="AP4820" s="54" t="s">
        <v>51</v>
      </c>
      <c r="AQ4820" s="57" t="s">
        <v>397</v>
      </c>
    </row>
    <row r="4821" spans="1:43" ht="15" customHeight="1">
      <c r="A4821" s="19">
        <v>43526</v>
      </c>
      <c r="B4821" s="70" t="s">
        <v>118</v>
      </c>
      <c r="C4821" s="21" t="s">
        <v>766</v>
      </c>
      <c r="D4821" s="21" t="s">
        <v>767</v>
      </c>
      <c r="E4821" s="23" t="s">
        <v>151</v>
      </c>
      <c r="F4821" s="82">
        <v>10</v>
      </c>
      <c r="G4821" s="143">
        <v>1045</v>
      </c>
      <c r="H4821" s="60">
        <v>10450</v>
      </c>
      <c r="I4821" s="346" t="s">
        <v>170</v>
      </c>
      <c r="J4821" s="82" t="s">
        <v>121</v>
      </c>
      <c r="K4821" s="30">
        <v>43564</v>
      </c>
      <c r="W4821" s="352">
        <v>43616</v>
      </c>
      <c r="X4821" s="449">
        <v>43558</v>
      </c>
      <c r="Y4821" s="340" t="s">
        <v>769</v>
      </c>
      <c r="Z4821" s="340">
        <v>297238</v>
      </c>
      <c r="AA4821" s="449">
        <v>43616</v>
      </c>
      <c r="AB4821" s="237"/>
      <c r="AC4821" s="244"/>
      <c r="AD4821" s="244"/>
      <c r="AE4821" s="244"/>
      <c r="AF4821" s="244"/>
      <c r="AG4821" s="82"/>
      <c r="AH4821" s="296">
        <v>30.77</v>
      </c>
      <c r="AI4821" s="297">
        <f>AH4821*H4821</f>
        <v>321546.5</v>
      </c>
      <c r="AJ4821" s="145">
        <v>43589</v>
      </c>
      <c r="AK4821" s="430"/>
      <c r="AL4821" s="430"/>
      <c r="AM4821" s="82" t="s">
        <v>49</v>
      </c>
      <c r="AN4821" s="296" t="s">
        <v>284</v>
      </c>
      <c r="AO4821" s="82" t="s">
        <v>50</v>
      </c>
      <c r="AP4821" s="82" t="s">
        <v>51</v>
      </c>
      <c r="AQ4821" s="234" t="s">
        <v>304</v>
      </c>
    </row>
    <row r="4822" spans="1:43" ht="15" customHeight="1">
      <c r="A4822" s="69">
        <v>43527</v>
      </c>
      <c r="B4822" s="263" t="s">
        <v>619</v>
      </c>
      <c r="C4822" s="250"/>
      <c r="D4822" s="250" t="s">
        <v>770</v>
      </c>
      <c r="E4822" s="23" t="s">
        <v>771</v>
      </c>
      <c r="F4822" s="251">
        <v>2</v>
      </c>
      <c r="G4822" s="323">
        <v>1002.75</v>
      </c>
      <c r="H4822" s="334">
        <v>2005.5</v>
      </c>
      <c r="I4822" s="254" t="s">
        <v>42</v>
      </c>
      <c r="J4822" s="367" t="s">
        <v>89</v>
      </c>
      <c r="K4822" s="256">
        <v>43538</v>
      </c>
      <c r="W4822" s="258">
        <v>43585</v>
      </c>
      <c r="X4822" s="258">
        <v>43537</v>
      </c>
      <c r="Y4822" s="259" t="s">
        <v>772</v>
      </c>
      <c r="Z4822" s="270">
        <v>132874</v>
      </c>
      <c r="AA4822" s="368">
        <v>43586</v>
      </c>
      <c r="AB4822" s="237"/>
      <c r="AC4822" s="244"/>
      <c r="AD4822" s="244"/>
      <c r="AE4822" s="244"/>
      <c r="AF4822" s="244"/>
      <c r="AG4822" s="251"/>
      <c r="AH4822" s="251"/>
      <c r="AI4822" s="260"/>
      <c r="AJ4822" s="261">
        <v>43546</v>
      </c>
      <c r="AK4822" s="260"/>
      <c r="AL4822" s="260"/>
      <c r="AM4822" s="251" t="s">
        <v>49</v>
      </c>
      <c r="AN4822" s="251" t="s">
        <v>284</v>
      </c>
      <c r="AO4822" s="251" t="s">
        <v>50</v>
      </c>
      <c r="AP4822" s="251" t="s">
        <v>376</v>
      </c>
      <c r="AQ4822" s="262"/>
    </row>
    <row r="4823" spans="1:43" ht="15" customHeight="1">
      <c r="A4823" s="69">
        <v>43527</v>
      </c>
      <c r="B4823" s="263" t="s">
        <v>619</v>
      </c>
      <c r="C4823" s="250"/>
      <c r="D4823" s="250" t="s">
        <v>770</v>
      </c>
      <c r="E4823" s="23" t="s">
        <v>773</v>
      </c>
      <c r="F4823" s="251">
        <v>2</v>
      </c>
      <c r="G4823" s="323">
        <v>59.85</v>
      </c>
      <c r="H4823" s="334">
        <v>119.7</v>
      </c>
      <c r="I4823" s="254" t="s">
        <v>42</v>
      </c>
      <c r="J4823" s="367" t="s">
        <v>89</v>
      </c>
      <c r="K4823" s="256">
        <v>43538</v>
      </c>
      <c r="W4823" s="258">
        <v>43585</v>
      </c>
      <c r="X4823" s="258">
        <v>43537</v>
      </c>
      <c r="Y4823" s="259" t="s">
        <v>772</v>
      </c>
      <c r="Z4823" s="259"/>
      <c r="AA4823" s="368">
        <v>43586</v>
      </c>
      <c r="AB4823" s="237"/>
      <c r="AC4823" s="244"/>
      <c r="AD4823" s="244"/>
      <c r="AE4823" s="244"/>
      <c r="AF4823" s="244"/>
      <c r="AG4823" s="251"/>
      <c r="AH4823" s="251"/>
      <c r="AI4823" s="260"/>
      <c r="AJ4823" s="261">
        <v>43546</v>
      </c>
      <c r="AK4823" s="260"/>
      <c r="AL4823" s="260"/>
      <c r="AM4823" s="251" t="s">
        <v>49</v>
      </c>
      <c r="AN4823" s="251" t="s">
        <v>284</v>
      </c>
      <c r="AO4823" s="251" t="s">
        <v>50</v>
      </c>
      <c r="AP4823" s="251" t="s">
        <v>376</v>
      </c>
      <c r="AQ4823" s="262"/>
    </row>
    <row r="4824" spans="1:43" ht="15" customHeight="1">
      <c r="A4824" s="69">
        <v>43527</v>
      </c>
      <c r="B4824" s="263" t="s">
        <v>619</v>
      </c>
      <c r="C4824" s="250"/>
      <c r="D4824" s="250" t="s">
        <v>770</v>
      </c>
      <c r="E4824" s="23" t="s">
        <v>774</v>
      </c>
      <c r="F4824" s="251">
        <v>4</v>
      </c>
      <c r="G4824" s="252">
        <v>95.55</v>
      </c>
      <c r="H4824" s="334">
        <v>382.2</v>
      </c>
      <c r="I4824" s="264" t="s">
        <v>42</v>
      </c>
      <c r="J4824" s="367" t="s">
        <v>89</v>
      </c>
      <c r="K4824" s="256">
        <v>43538</v>
      </c>
      <c r="W4824" s="258">
        <v>43585</v>
      </c>
      <c r="X4824" s="258">
        <v>43537</v>
      </c>
      <c r="Y4824" s="259" t="s">
        <v>772</v>
      </c>
      <c r="Z4824" s="259"/>
      <c r="AA4824" s="368">
        <v>43586</v>
      </c>
      <c r="AB4824" s="237"/>
      <c r="AC4824" s="244"/>
      <c r="AD4824" s="244"/>
      <c r="AE4824" s="244"/>
      <c r="AF4824" s="244"/>
      <c r="AG4824" s="251"/>
      <c r="AH4824" s="251"/>
      <c r="AI4824" s="260"/>
      <c r="AJ4824" s="261">
        <v>43546</v>
      </c>
      <c r="AK4824" s="260"/>
      <c r="AL4824" s="260"/>
      <c r="AM4824" s="251" t="s">
        <v>49</v>
      </c>
      <c r="AN4824" s="251" t="s">
        <v>284</v>
      </c>
      <c r="AO4824" s="251" t="s">
        <v>50</v>
      </c>
      <c r="AP4824" s="251" t="s">
        <v>376</v>
      </c>
      <c r="AQ4824" s="262"/>
    </row>
    <row r="4825" spans="1:43" ht="15" customHeight="1">
      <c r="A4825" s="69">
        <v>43527</v>
      </c>
      <c r="B4825" s="263" t="s">
        <v>619</v>
      </c>
      <c r="C4825" s="250"/>
      <c r="D4825" s="250" t="s">
        <v>770</v>
      </c>
      <c r="E4825" s="23" t="s">
        <v>775</v>
      </c>
      <c r="F4825" s="251">
        <v>8</v>
      </c>
      <c r="G4825" s="252">
        <v>245.7</v>
      </c>
      <c r="H4825" s="334">
        <v>1965.6</v>
      </c>
      <c r="I4825" s="264" t="s">
        <v>42</v>
      </c>
      <c r="J4825" s="319" t="s">
        <v>89</v>
      </c>
      <c r="K4825" s="256">
        <v>43538</v>
      </c>
      <c r="W4825" s="258">
        <v>43585</v>
      </c>
      <c r="X4825" s="258">
        <v>43537</v>
      </c>
      <c r="Y4825" s="259" t="s">
        <v>772</v>
      </c>
      <c r="Z4825" s="259"/>
      <c r="AA4825" s="368">
        <v>43586</v>
      </c>
      <c r="AB4825" s="237"/>
      <c r="AC4825" s="244"/>
      <c r="AD4825" s="244"/>
      <c r="AE4825" s="244"/>
      <c r="AF4825" s="244"/>
      <c r="AG4825" s="251"/>
      <c r="AH4825" s="251"/>
      <c r="AI4825" s="260"/>
      <c r="AJ4825" s="261">
        <v>43546</v>
      </c>
      <c r="AK4825" s="260"/>
      <c r="AL4825" s="260"/>
      <c r="AM4825" s="251" t="s">
        <v>49</v>
      </c>
      <c r="AN4825" s="251" t="s">
        <v>284</v>
      </c>
      <c r="AO4825" s="251" t="s">
        <v>50</v>
      </c>
      <c r="AP4825" s="251" t="s">
        <v>376</v>
      </c>
      <c r="AQ4825" s="262"/>
    </row>
    <row r="4826" spans="1:43" ht="15" customHeight="1">
      <c r="A4826" s="69">
        <v>43527</v>
      </c>
      <c r="B4826" s="263" t="s">
        <v>619</v>
      </c>
      <c r="C4826" s="250"/>
      <c r="D4826" s="250" t="s">
        <v>770</v>
      </c>
      <c r="E4826" s="23" t="s">
        <v>776</v>
      </c>
      <c r="F4826" s="251">
        <v>2</v>
      </c>
      <c r="G4826" s="252">
        <v>113.4</v>
      </c>
      <c r="H4826" s="334">
        <v>226.8</v>
      </c>
      <c r="I4826" s="264" t="s">
        <v>42</v>
      </c>
      <c r="J4826" s="319" t="s">
        <v>89</v>
      </c>
      <c r="K4826" s="256">
        <v>43538</v>
      </c>
      <c r="W4826" s="258">
        <v>43585</v>
      </c>
      <c r="X4826" s="258">
        <v>43537</v>
      </c>
      <c r="Y4826" s="259" t="s">
        <v>772</v>
      </c>
      <c r="Z4826" s="259"/>
      <c r="AA4826" s="368">
        <v>43586</v>
      </c>
      <c r="AB4826" s="237"/>
      <c r="AC4826" s="244"/>
      <c r="AD4826" s="244"/>
      <c r="AE4826" s="244"/>
      <c r="AF4826" s="244"/>
      <c r="AG4826" s="251"/>
      <c r="AH4826" s="251"/>
      <c r="AI4826" s="260"/>
      <c r="AJ4826" s="261">
        <v>43546</v>
      </c>
      <c r="AK4826" s="260"/>
      <c r="AL4826" s="260"/>
      <c r="AM4826" s="251" t="s">
        <v>49</v>
      </c>
      <c r="AN4826" s="251" t="s">
        <v>284</v>
      </c>
      <c r="AO4826" s="251" t="s">
        <v>50</v>
      </c>
      <c r="AP4826" s="251" t="s">
        <v>376</v>
      </c>
      <c r="AQ4826" s="262"/>
    </row>
    <row r="4827" spans="1:43" ht="15" customHeight="1">
      <c r="A4827" s="69">
        <v>43528</v>
      </c>
      <c r="B4827" s="70" t="s">
        <v>100</v>
      </c>
      <c r="C4827" s="21" t="s">
        <v>777</v>
      </c>
      <c r="D4827" s="21" t="s">
        <v>778</v>
      </c>
      <c r="E4827" s="23" t="s">
        <v>779</v>
      </c>
      <c r="F4827" s="24">
        <v>5</v>
      </c>
      <c r="G4827" s="25">
        <v>399</v>
      </c>
      <c r="H4827" s="60">
        <v>1995</v>
      </c>
      <c r="I4827" s="87" t="s">
        <v>695</v>
      </c>
      <c r="J4827" s="437" t="s">
        <v>532</v>
      </c>
      <c r="K4827" s="29">
        <v>43552</v>
      </c>
      <c r="W4827" s="293">
        <v>43560</v>
      </c>
      <c r="X4827" s="293">
        <v>43544</v>
      </c>
      <c r="Y4827" s="294" t="s">
        <v>780</v>
      </c>
      <c r="Z4827" s="295">
        <v>54075</v>
      </c>
      <c r="AA4827" s="293">
        <v>43558</v>
      </c>
      <c r="AB4827" s="237"/>
      <c r="AC4827" s="244"/>
      <c r="AD4827" s="244"/>
      <c r="AE4827" s="244"/>
      <c r="AF4827" s="244"/>
      <c r="AG4827" s="296"/>
      <c r="AH4827" s="296">
        <v>30.824999999999999</v>
      </c>
      <c r="AI4827" s="297"/>
      <c r="AJ4827" s="298">
        <v>43602</v>
      </c>
      <c r="AK4827" s="297"/>
      <c r="AL4827" s="297"/>
      <c r="AM4827" s="296" t="s">
        <v>49</v>
      </c>
      <c r="AN4827" s="296" t="s">
        <v>284</v>
      </c>
      <c r="AO4827" s="296" t="s">
        <v>50</v>
      </c>
      <c r="AP4827" s="296" t="s">
        <v>51</v>
      </c>
      <c r="AQ4827" s="234" t="s">
        <v>304</v>
      </c>
    </row>
    <row r="4828" spans="1:43" ht="15" customHeight="1">
      <c r="A4828" s="69">
        <v>43528</v>
      </c>
      <c r="B4828" s="70" t="s">
        <v>100</v>
      </c>
      <c r="C4828" s="21" t="s">
        <v>777</v>
      </c>
      <c r="D4828" s="21" t="s">
        <v>781</v>
      </c>
      <c r="E4828" s="23" t="s">
        <v>341</v>
      </c>
      <c r="F4828" s="24">
        <v>4</v>
      </c>
      <c r="G4828" s="25">
        <v>45</v>
      </c>
      <c r="H4828" s="60">
        <v>180</v>
      </c>
      <c r="I4828" s="61" t="s">
        <v>695</v>
      </c>
      <c r="J4828" s="50" t="s">
        <v>532</v>
      </c>
      <c r="K4828" s="30">
        <v>43557</v>
      </c>
      <c r="W4828" s="460">
        <v>43616</v>
      </c>
      <c r="X4828" s="460">
        <v>43552</v>
      </c>
      <c r="Y4828" s="304" t="s">
        <v>782</v>
      </c>
      <c r="Z4828" s="304"/>
      <c r="AA4828" s="460">
        <v>43616</v>
      </c>
      <c r="AB4828" s="237"/>
      <c r="AC4828" s="244"/>
      <c r="AD4828" s="244"/>
      <c r="AE4828" s="244"/>
      <c r="AF4828" s="244"/>
      <c r="AG4828" s="296"/>
      <c r="AH4828" s="296">
        <v>30.77</v>
      </c>
      <c r="AI4828" s="297">
        <f>H4828*AH4828</f>
        <v>5538.6</v>
      </c>
      <c r="AJ4828" s="298">
        <v>43602</v>
      </c>
      <c r="AK4828" s="297"/>
      <c r="AL4828" s="297"/>
      <c r="AM4828" s="296" t="s">
        <v>49</v>
      </c>
      <c r="AN4828" s="296" t="s">
        <v>284</v>
      </c>
      <c r="AO4828" s="296" t="s">
        <v>50</v>
      </c>
      <c r="AP4828" s="296" t="s">
        <v>51</v>
      </c>
      <c r="AQ4828" s="234" t="s">
        <v>304</v>
      </c>
    </row>
    <row r="4829" spans="1:43" ht="15" customHeight="1">
      <c r="A4829" s="69">
        <v>43528</v>
      </c>
      <c r="B4829" s="70" t="s">
        <v>100</v>
      </c>
      <c r="C4829" s="21" t="s">
        <v>777</v>
      </c>
      <c r="D4829" s="21" t="s">
        <v>781</v>
      </c>
      <c r="E4829" s="23" t="s">
        <v>783</v>
      </c>
      <c r="F4829" s="24">
        <v>4</v>
      </c>
      <c r="G4829" s="25">
        <v>12</v>
      </c>
      <c r="H4829" s="60">
        <v>48</v>
      </c>
      <c r="I4829" s="61" t="s">
        <v>695</v>
      </c>
      <c r="J4829" s="50" t="s">
        <v>532</v>
      </c>
      <c r="K4829" s="30">
        <v>43557</v>
      </c>
      <c r="W4829" s="294"/>
      <c r="X4829" s="408">
        <v>43531</v>
      </c>
      <c r="Y4829" s="294" t="s">
        <v>784</v>
      </c>
      <c r="Z4829" s="395"/>
      <c r="AA4829" s="293">
        <v>43564</v>
      </c>
      <c r="AB4829" s="237"/>
      <c r="AC4829" s="244"/>
      <c r="AD4829" s="244"/>
      <c r="AE4829" s="244"/>
      <c r="AF4829" s="244"/>
      <c r="AG4829" s="296"/>
      <c r="AH4829" s="296">
        <v>30.77</v>
      </c>
      <c r="AI4829" s="297">
        <f>H4829*AH4829</f>
        <v>1476.96</v>
      </c>
      <c r="AJ4829" s="298">
        <v>43602</v>
      </c>
      <c r="AK4829" s="297"/>
      <c r="AL4829" s="297"/>
      <c r="AM4829" s="296" t="s">
        <v>49</v>
      </c>
      <c r="AN4829" s="296" t="s">
        <v>284</v>
      </c>
      <c r="AO4829" s="296" t="s">
        <v>50</v>
      </c>
      <c r="AP4829" s="296" t="s">
        <v>51</v>
      </c>
      <c r="AQ4829" s="234" t="s">
        <v>304</v>
      </c>
    </row>
    <row r="4830" spans="1:43" ht="15" customHeight="1">
      <c r="A4830" s="69">
        <v>43528</v>
      </c>
      <c r="B4830" s="70" t="s">
        <v>100</v>
      </c>
      <c r="C4830" s="21" t="s">
        <v>777</v>
      </c>
      <c r="D4830" s="32" t="s">
        <v>785</v>
      </c>
      <c r="E4830" s="23" t="s">
        <v>786</v>
      </c>
      <c r="F4830" s="24">
        <v>4</v>
      </c>
      <c r="G4830" s="25">
        <v>550</v>
      </c>
      <c r="H4830" s="60">
        <v>2200</v>
      </c>
      <c r="I4830" s="61" t="s">
        <v>695</v>
      </c>
      <c r="J4830" s="50" t="s">
        <v>532</v>
      </c>
      <c r="K4830" s="30">
        <v>43557</v>
      </c>
      <c r="W4830" s="460">
        <v>43616</v>
      </c>
      <c r="X4830" s="460">
        <v>43552</v>
      </c>
      <c r="Y4830" s="304" t="s">
        <v>782</v>
      </c>
      <c r="Z4830" s="304">
        <v>69308</v>
      </c>
      <c r="AA4830" s="460">
        <v>43616</v>
      </c>
      <c r="AB4830" s="237"/>
      <c r="AC4830" s="244"/>
      <c r="AD4830" s="244"/>
      <c r="AE4830" s="244"/>
      <c r="AF4830" s="244"/>
      <c r="AG4830" s="296"/>
      <c r="AH4830" s="296">
        <v>30.77</v>
      </c>
      <c r="AI4830" s="297">
        <f>H4830*AH4830</f>
        <v>67694</v>
      </c>
      <c r="AJ4830" s="298">
        <v>43602</v>
      </c>
      <c r="AK4830" s="297"/>
      <c r="AL4830" s="297"/>
      <c r="AM4830" s="296" t="s">
        <v>49</v>
      </c>
      <c r="AN4830" s="296" t="s">
        <v>284</v>
      </c>
      <c r="AO4830" s="296" t="s">
        <v>50</v>
      </c>
      <c r="AP4830" s="296" t="s">
        <v>51</v>
      </c>
      <c r="AQ4830" s="234" t="s">
        <v>304</v>
      </c>
    </row>
    <row r="4831" spans="1:43" ht="15" customHeight="1">
      <c r="A4831" s="69">
        <v>43528</v>
      </c>
      <c r="B4831" s="70" t="s">
        <v>100</v>
      </c>
      <c r="C4831" s="21" t="s">
        <v>777</v>
      </c>
      <c r="D4831" s="21" t="s">
        <v>787</v>
      </c>
      <c r="E4831" s="23" t="s">
        <v>788</v>
      </c>
      <c r="F4831" s="24">
        <v>4</v>
      </c>
      <c r="G4831" s="25">
        <v>352</v>
      </c>
      <c r="H4831" s="60">
        <v>1408</v>
      </c>
      <c r="I4831" s="61" t="s">
        <v>695</v>
      </c>
      <c r="J4831" s="50" t="s">
        <v>532</v>
      </c>
      <c r="K4831" s="30">
        <v>43557</v>
      </c>
      <c r="W4831" s="293">
        <v>43568</v>
      </c>
      <c r="X4831" s="293">
        <v>43538</v>
      </c>
      <c r="Y4831" s="294" t="s">
        <v>638</v>
      </c>
      <c r="Z4831" s="295"/>
      <c r="AA4831" s="411">
        <v>43568</v>
      </c>
      <c r="AB4831" s="237"/>
      <c r="AC4831" s="244"/>
      <c r="AD4831" s="244"/>
      <c r="AE4831" s="244"/>
      <c r="AF4831" s="244"/>
      <c r="AG4831" s="296"/>
      <c r="AH4831" s="296">
        <v>30.77</v>
      </c>
      <c r="AI4831" s="297">
        <f>H4831*AH4831</f>
        <v>43324.159999999996</v>
      </c>
      <c r="AJ4831" s="298">
        <v>43602</v>
      </c>
      <c r="AK4831" s="297"/>
      <c r="AL4831" s="297"/>
      <c r="AM4831" s="296" t="s">
        <v>49</v>
      </c>
      <c r="AN4831" s="296" t="s">
        <v>284</v>
      </c>
      <c r="AO4831" s="296" t="s">
        <v>50</v>
      </c>
      <c r="AP4831" s="296" t="s">
        <v>51</v>
      </c>
      <c r="AQ4831" s="234" t="s">
        <v>304</v>
      </c>
    </row>
    <row r="4832" spans="1:43" ht="15" customHeight="1">
      <c r="A4832" s="69">
        <v>43528</v>
      </c>
      <c r="B4832" s="70" t="s">
        <v>100</v>
      </c>
      <c r="C4832" s="21" t="s">
        <v>777</v>
      </c>
      <c r="D4832" s="32" t="s">
        <v>789</v>
      </c>
      <c r="E4832" s="23" t="s">
        <v>790</v>
      </c>
      <c r="F4832" s="24">
        <v>4</v>
      </c>
      <c r="G4832" s="48">
        <v>79</v>
      </c>
      <c r="H4832" s="60">
        <v>316</v>
      </c>
      <c r="I4832" s="61" t="s">
        <v>695</v>
      </c>
      <c r="J4832" s="50" t="s">
        <v>532</v>
      </c>
      <c r="K4832" s="30">
        <v>43557</v>
      </c>
      <c r="W4832" s="300">
        <v>43590</v>
      </c>
      <c r="X4832" s="293">
        <v>43578</v>
      </c>
      <c r="Y4832" s="294" t="s">
        <v>791</v>
      </c>
      <c r="Z4832" s="295">
        <v>7517</v>
      </c>
      <c r="AA4832" s="300">
        <v>43592</v>
      </c>
      <c r="AB4832" s="237"/>
      <c r="AC4832" s="244"/>
      <c r="AD4832" s="244"/>
      <c r="AE4832" s="244"/>
      <c r="AF4832" s="244"/>
      <c r="AG4832" s="296"/>
      <c r="AH4832" s="296">
        <v>30.77</v>
      </c>
      <c r="AI4832" s="297">
        <f>H4832*AH4832</f>
        <v>9723.32</v>
      </c>
      <c r="AJ4832" s="298">
        <v>43602</v>
      </c>
      <c r="AK4832" s="297"/>
      <c r="AL4832" s="297"/>
      <c r="AM4832" s="296" t="s">
        <v>49</v>
      </c>
      <c r="AN4832" s="296" t="s">
        <v>284</v>
      </c>
      <c r="AO4832" s="296" t="s">
        <v>50</v>
      </c>
      <c r="AP4832" s="296" t="s">
        <v>51</v>
      </c>
      <c r="AQ4832" s="234" t="s">
        <v>304</v>
      </c>
    </row>
    <row r="4833" spans="1:43" ht="15" customHeight="1">
      <c r="A4833" s="69">
        <v>43529</v>
      </c>
      <c r="B4833" s="263" t="s">
        <v>129</v>
      </c>
      <c r="C4833" s="250" t="s">
        <v>706</v>
      </c>
      <c r="D4833" s="250" t="s">
        <v>707</v>
      </c>
      <c r="E4833" s="23" t="s">
        <v>792</v>
      </c>
      <c r="F4833" s="251">
        <v>7</v>
      </c>
      <c r="G4833" s="323">
        <v>35</v>
      </c>
      <c r="H4833" s="334">
        <v>245</v>
      </c>
      <c r="I4833" s="254" t="s">
        <v>247</v>
      </c>
      <c r="J4833" s="401" t="s">
        <v>133</v>
      </c>
      <c r="K4833" s="256">
        <v>43538</v>
      </c>
      <c r="W4833" s="258">
        <v>43585</v>
      </c>
      <c r="X4833" s="258">
        <v>43536</v>
      </c>
      <c r="Y4833" s="259" t="s">
        <v>793</v>
      </c>
      <c r="Z4833" s="270">
        <v>26458</v>
      </c>
      <c r="AA4833" s="368">
        <v>43586</v>
      </c>
      <c r="AB4833" s="237"/>
      <c r="AC4833" s="244"/>
      <c r="AD4833" s="244"/>
      <c r="AE4833" s="244"/>
      <c r="AF4833" s="244"/>
      <c r="AG4833" s="251" t="s">
        <v>283</v>
      </c>
      <c r="AH4833" s="251">
        <v>30.79</v>
      </c>
      <c r="AI4833" s="260"/>
      <c r="AJ4833" s="261">
        <v>43536</v>
      </c>
      <c r="AK4833" s="260"/>
      <c r="AL4833" s="260"/>
      <c r="AM4833" s="251" t="s">
        <v>49</v>
      </c>
      <c r="AN4833" s="251" t="s">
        <v>284</v>
      </c>
      <c r="AO4833" s="251" t="s">
        <v>50</v>
      </c>
      <c r="AP4833" s="251" t="s">
        <v>51</v>
      </c>
      <c r="AQ4833" s="262"/>
    </row>
    <row r="4834" spans="1:43" ht="15" customHeight="1">
      <c r="A4834" s="69">
        <v>43529</v>
      </c>
      <c r="B4834" s="250" t="s">
        <v>129</v>
      </c>
      <c r="C4834" s="250" t="s">
        <v>706</v>
      </c>
      <c r="D4834" s="250" t="s">
        <v>707</v>
      </c>
      <c r="E4834" s="23" t="s">
        <v>794</v>
      </c>
      <c r="F4834" s="251">
        <v>10</v>
      </c>
      <c r="G4834" s="323">
        <v>66</v>
      </c>
      <c r="H4834" s="334">
        <v>660</v>
      </c>
      <c r="I4834" s="254" t="s">
        <v>247</v>
      </c>
      <c r="J4834" s="401" t="s">
        <v>133</v>
      </c>
      <c r="K4834" s="256">
        <v>43538</v>
      </c>
      <c r="W4834" s="258">
        <v>43585</v>
      </c>
      <c r="X4834" s="258">
        <v>43536</v>
      </c>
      <c r="Y4834" s="259" t="s">
        <v>793</v>
      </c>
      <c r="Z4834" s="259"/>
      <c r="AA4834" s="368">
        <v>43586</v>
      </c>
      <c r="AB4834" s="237"/>
      <c r="AC4834" s="244"/>
      <c r="AD4834" s="244"/>
      <c r="AE4834" s="244"/>
      <c r="AF4834" s="244"/>
      <c r="AG4834" s="251" t="s">
        <v>283</v>
      </c>
      <c r="AH4834" s="251">
        <v>30.79</v>
      </c>
      <c r="AI4834" s="260"/>
      <c r="AJ4834" s="251"/>
      <c r="AK4834" s="260"/>
      <c r="AL4834" s="260"/>
      <c r="AM4834" s="251" t="s">
        <v>49</v>
      </c>
      <c r="AN4834" s="251" t="s">
        <v>284</v>
      </c>
      <c r="AO4834" s="251" t="s">
        <v>50</v>
      </c>
      <c r="AP4834" s="251" t="s">
        <v>51</v>
      </c>
      <c r="AQ4834" s="262"/>
    </row>
    <row r="4835" spans="1:43" ht="15" customHeight="1">
      <c r="A4835" s="19">
        <v>43529</v>
      </c>
      <c r="B4835" s="35" t="s">
        <v>53</v>
      </c>
      <c r="C4835" s="21" t="s">
        <v>795</v>
      </c>
      <c r="D4835" s="22" t="s">
        <v>796</v>
      </c>
      <c r="E4835" s="23" t="s">
        <v>385</v>
      </c>
      <c r="F4835" s="24">
        <v>10</v>
      </c>
      <c r="G4835" s="25">
        <v>150.15</v>
      </c>
      <c r="H4835" s="26">
        <v>1501.5</v>
      </c>
      <c r="I4835" s="429" t="s">
        <v>42</v>
      </c>
      <c r="J4835" s="161" t="s">
        <v>89</v>
      </c>
      <c r="K4835" s="30">
        <v>43553</v>
      </c>
      <c r="W4835" s="411">
        <v>43616</v>
      </c>
      <c r="X4835" s="435">
        <v>43552</v>
      </c>
      <c r="Y4835" s="340" t="s">
        <v>797</v>
      </c>
      <c r="Z4835" s="412">
        <v>41429</v>
      </c>
      <c r="AA4835" s="449">
        <v>43616</v>
      </c>
      <c r="AB4835" s="237"/>
      <c r="AC4835" s="244"/>
      <c r="AD4835" s="244"/>
      <c r="AE4835" s="244"/>
      <c r="AF4835" s="244"/>
      <c r="AG4835" s="431"/>
      <c r="AH4835" s="431"/>
      <c r="AI4835" s="432">
        <v>46330</v>
      </c>
      <c r="AJ4835" s="455">
        <v>43612</v>
      </c>
      <c r="AK4835" s="432">
        <v>46315</v>
      </c>
      <c r="AL4835" s="432">
        <v>15</v>
      </c>
      <c r="AM4835" s="431" t="s">
        <v>49</v>
      </c>
      <c r="AN4835" s="369" t="s">
        <v>284</v>
      </c>
      <c r="AO4835" s="431" t="s">
        <v>50</v>
      </c>
      <c r="AP4835" s="431" t="s">
        <v>376</v>
      </c>
      <c r="AQ4835" s="372" t="s">
        <v>439</v>
      </c>
    </row>
    <row r="4836" spans="1:43" ht="15" customHeight="1">
      <c r="A4836" s="69">
        <v>43530</v>
      </c>
      <c r="B4836" s="32" t="s">
        <v>405</v>
      </c>
      <c r="C4836" s="21">
        <v>7000145670</v>
      </c>
      <c r="D4836" s="21" t="s">
        <v>798</v>
      </c>
      <c r="E4836" s="23" t="s">
        <v>799</v>
      </c>
      <c r="F4836" s="24">
        <v>1</v>
      </c>
      <c r="G4836" s="25">
        <v>565</v>
      </c>
      <c r="H4836" s="60">
        <v>565</v>
      </c>
      <c r="I4836" s="61" t="s">
        <v>42</v>
      </c>
      <c r="J4836" s="82" t="s">
        <v>519</v>
      </c>
      <c r="K4836" s="29">
        <v>43546</v>
      </c>
      <c r="W4836" s="293">
        <v>43616</v>
      </c>
      <c r="X4836" s="293">
        <v>43542</v>
      </c>
      <c r="Y4836" s="294" t="s">
        <v>800</v>
      </c>
      <c r="Z4836" s="295">
        <v>15825</v>
      </c>
      <c r="AA4836" s="300">
        <v>43616</v>
      </c>
      <c r="AB4836" s="237"/>
      <c r="AC4836" s="244"/>
      <c r="AD4836" s="244"/>
      <c r="AE4836" s="244"/>
      <c r="AF4836" s="244"/>
      <c r="AG4836" s="296"/>
      <c r="AH4836" s="296">
        <v>30.824999999999999</v>
      </c>
      <c r="AI4836" s="297"/>
      <c r="AJ4836" s="145">
        <v>43588</v>
      </c>
      <c r="AK4836" s="297"/>
      <c r="AL4836" s="297"/>
      <c r="AM4836" s="296" t="s">
        <v>49</v>
      </c>
      <c r="AN4836" s="296" t="s">
        <v>284</v>
      </c>
      <c r="AO4836" s="296" t="s">
        <v>50</v>
      </c>
      <c r="AP4836" s="296" t="s">
        <v>51</v>
      </c>
      <c r="AQ4836" s="234" t="s">
        <v>304</v>
      </c>
    </row>
    <row r="4837" spans="1:43" ht="15" customHeight="1">
      <c r="A4837" s="69">
        <v>43530</v>
      </c>
      <c r="B4837" s="21" t="s">
        <v>405</v>
      </c>
      <c r="C4837" s="21">
        <v>7000145670</v>
      </c>
      <c r="D4837" s="21" t="s">
        <v>798</v>
      </c>
      <c r="E4837" s="23" t="s">
        <v>801</v>
      </c>
      <c r="F4837" s="24">
        <v>1</v>
      </c>
      <c r="G4837" s="25">
        <v>67</v>
      </c>
      <c r="H4837" s="60">
        <v>67</v>
      </c>
      <c r="I4837" s="61" t="s">
        <v>42</v>
      </c>
      <c r="J4837" s="82" t="s">
        <v>519</v>
      </c>
      <c r="K4837" s="29">
        <v>43546</v>
      </c>
      <c r="W4837" s="435">
        <v>43616</v>
      </c>
      <c r="X4837" s="293">
        <v>43542</v>
      </c>
      <c r="Y4837" s="294" t="s">
        <v>802</v>
      </c>
      <c r="Z4837" s="295">
        <v>11319</v>
      </c>
      <c r="AA4837" s="300">
        <v>43616</v>
      </c>
      <c r="AB4837" s="237"/>
      <c r="AC4837" s="244"/>
      <c r="AD4837" s="244"/>
      <c r="AE4837" s="244"/>
      <c r="AF4837" s="244"/>
      <c r="AG4837" s="296"/>
      <c r="AH4837" s="296">
        <v>30.824999999999999</v>
      </c>
      <c r="AI4837" s="297"/>
      <c r="AJ4837" s="145">
        <v>43588</v>
      </c>
      <c r="AK4837" s="297"/>
      <c r="AL4837" s="297"/>
      <c r="AM4837" s="296" t="s">
        <v>49</v>
      </c>
      <c r="AN4837" s="296" t="s">
        <v>284</v>
      </c>
      <c r="AO4837" s="296" t="s">
        <v>50</v>
      </c>
      <c r="AP4837" s="296" t="s">
        <v>51</v>
      </c>
      <c r="AQ4837" s="234" t="s">
        <v>304</v>
      </c>
    </row>
    <row r="4838" spans="1:43" ht="15" customHeight="1">
      <c r="A4838" s="69">
        <v>43530</v>
      </c>
      <c r="B4838" s="21" t="s">
        <v>405</v>
      </c>
      <c r="C4838" s="21">
        <v>7000145670</v>
      </c>
      <c r="D4838" s="21" t="s">
        <v>798</v>
      </c>
      <c r="E4838" s="23" t="s">
        <v>803</v>
      </c>
      <c r="F4838" s="24">
        <v>1</v>
      </c>
      <c r="G4838" s="25">
        <v>291</v>
      </c>
      <c r="H4838" s="60">
        <v>291</v>
      </c>
      <c r="I4838" s="61" t="s">
        <v>42</v>
      </c>
      <c r="J4838" s="82" t="s">
        <v>519</v>
      </c>
      <c r="K4838" s="29">
        <v>43546</v>
      </c>
      <c r="W4838" s="435">
        <v>43616</v>
      </c>
      <c r="X4838" s="293">
        <v>43542</v>
      </c>
      <c r="Y4838" s="294" t="s">
        <v>802</v>
      </c>
      <c r="Z4838" s="294"/>
      <c r="AA4838" s="300">
        <v>43616</v>
      </c>
      <c r="AB4838" s="237"/>
      <c r="AC4838" s="244"/>
      <c r="AD4838" s="244"/>
      <c r="AE4838" s="244"/>
      <c r="AF4838" s="244"/>
      <c r="AG4838" s="296"/>
      <c r="AH4838" s="296">
        <v>30.824999999999999</v>
      </c>
      <c r="AI4838" s="297"/>
      <c r="AJ4838" s="145">
        <v>43588</v>
      </c>
      <c r="AK4838" s="297"/>
      <c r="AL4838" s="297"/>
      <c r="AM4838" s="296" t="s">
        <v>49</v>
      </c>
      <c r="AN4838" s="296" t="s">
        <v>284</v>
      </c>
      <c r="AO4838" s="296" t="s">
        <v>50</v>
      </c>
      <c r="AP4838" s="296" t="s">
        <v>51</v>
      </c>
      <c r="AQ4838" s="234" t="s">
        <v>304</v>
      </c>
    </row>
    <row r="4839" spans="1:43" ht="15" customHeight="1">
      <c r="A4839" s="69">
        <v>43530</v>
      </c>
      <c r="B4839" s="21" t="s">
        <v>405</v>
      </c>
      <c r="C4839" s="21">
        <v>7000145670</v>
      </c>
      <c r="D4839" s="21" t="s">
        <v>798</v>
      </c>
      <c r="E4839" s="23" t="s">
        <v>804</v>
      </c>
      <c r="F4839" s="24">
        <v>1</v>
      </c>
      <c r="G4839" s="25">
        <v>39</v>
      </c>
      <c r="H4839" s="60">
        <v>39</v>
      </c>
      <c r="I4839" s="61" t="s">
        <v>42</v>
      </c>
      <c r="J4839" s="82" t="s">
        <v>519</v>
      </c>
      <c r="K4839" s="29">
        <v>43546</v>
      </c>
      <c r="W4839" s="435">
        <v>43616</v>
      </c>
      <c r="X4839" s="293">
        <v>43542</v>
      </c>
      <c r="Y4839" s="294" t="s">
        <v>802</v>
      </c>
      <c r="Z4839" s="294"/>
      <c r="AA4839" s="300">
        <v>43616</v>
      </c>
      <c r="AB4839" s="237"/>
      <c r="AC4839" s="244"/>
      <c r="AD4839" s="244"/>
      <c r="AE4839" s="244"/>
      <c r="AF4839" s="244"/>
      <c r="AG4839" s="296"/>
      <c r="AH4839" s="296">
        <v>30.824999999999999</v>
      </c>
      <c r="AI4839" s="297"/>
      <c r="AJ4839" s="145">
        <v>43588</v>
      </c>
      <c r="AK4839" s="297"/>
      <c r="AL4839" s="297"/>
      <c r="AM4839" s="296" t="s">
        <v>49</v>
      </c>
      <c r="AN4839" s="296" t="s">
        <v>284</v>
      </c>
      <c r="AO4839" s="296" t="s">
        <v>50</v>
      </c>
      <c r="AP4839" s="296" t="s">
        <v>51</v>
      </c>
      <c r="AQ4839" s="234" t="s">
        <v>304</v>
      </c>
    </row>
    <row r="4840" spans="1:43" ht="15" customHeight="1">
      <c r="A4840" s="69">
        <v>43530</v>
      </c>
      <c r="B4840" s="21" t="s">
        <v>405</v>
      </c>
      <c r="C4840" s="21">
        <v>7000145670</v>
      </c>
      <c r="D4840" s="21" t="s">
        <v>798</v>
      </c>
      <c r="E4840" s="23" t="s">
        <v>805</v>
      </c>
      <c r="F4840" s="24">
        <v>1</v>
      </c>
      <c r="G4840" s="25">
        <v>8.5</v>
      </c>
      <c r="H4840" s="60">
        <v>8.5</v>
      </c>
      <c r="I4840" s="61" t="s">
        <v>42</v>
      </c>
      <c r="J4840" s="82" t="s">
        <v>519</v>
      </c>
      <c r="K4840" s="29">
        <v>43546</v>
      </c>
      <c r="W4840" s="435">
        <v>43616</v>
      </c>
      <c r="X4840" s="293">
        <v>43542</v>
      </c>
      <c r="Y4840" s="461" t="s">
        <v>802</v>
      </c>
      <c r="Z4840" s="461"/>
      <c r="AA4840" s="300">
        <v>43616</v>
      </c>
      <c r="AB4840" s="237"/>
      <c r="AC4840" s="244"/>
      <c r="AD4840" s="244"/>
      <c r="AE4840" s="244"/>
      <c r="AF4840" s="244"/>
      <c r="AG4840" s="296"/>
      <c r="AH4840" s="296">
        <v>30.824999999999999</v>
      </c>
      <c r="AI4840" s="297"/>
      <c r="AJ4840" s="145">
        <v>43588</v>
      </c>
      <c r="AK4840" s="297"/>
      <c r="AL4840" s="297"/>
      <c r="AM4840" s="296" t="s">
        <v>49</v>
      </c>
      <c r="AN4840" s="296" t="s">
        <v>284</v>
      </c>
      <c r="AO4840" s="296" t="s">
        <v>50</v>
      </c>
      <c r="AP4840" s="296" t="s">
        <v>51</v>
      </c>
      <c r="AQ4840" s="234" t="s">
        <v>304</v>
      </c>
    </row>
    <row r="4841" spans="1:43" ht="15" customHeight="1">
      <c r="A4841" s="19">
        <v>43531</v>
      </c>
      <c r="B4841" s="21" t="s">
        <v>100</v>
      </c>
      <c r="C4841" s="21"/>
      <c r="D4841" s="21" t="s">
        <v>806</v>
      </c>
      <c r="E4841" s="23" t="s">
        <v>346</v>
      </c>
      <c r="F4841" s="24">
        <v>1</v>
      </c>
      <c r="G4841" s="25">
        <v>229</v>
      </c>
      <c r="H4841" s="26">
        <v>229</v>
      </c>
      <c r="I4841" s="49" t="s">
        <v>302</v>
      </c>
      <c r="J4841" s="50" t="s">
        <v>532</v>
      </c>
      <c r="K4841" s="29">
        <v>43531</v>
      </c>
      <c r="W4841" s="293">
        <v>43585</v>
      </c>
      <c r="X4841" s="293">
        <v>43539</v>
      </c>
      <c r="Y4841" s="294" t="s">
        <v>807</v>
      </c>
      <c r="Z4841" s="295"/>
      <c r="AA4841" s="300">
        <v>43586</v>
      </c>
      <c r="AB4841" s="237"/>
      <c r="AC4841" s="244"/>
      <c r="AD4841" s="244"/>
      <c r="AE4841" s="244"/>
      <c r="AF4841" s="244"/>
      <c r="AG4841" s="54"/>
      <c r="AH4841" s="54"/>
      <c r="AI4841" s="55"/>
      <c r="AJ4841" s="56">
        <v>43565</v>
      </c>
      <c r="AK4841" s="38"/>
      <c r="AL4841" s="38"/>
      <c r="AM4841" s="54" t="s">
        <v>49</v>
      </c>
      <c r="AN4841" s="24" t="s">
        <v>284</v>
      </c>
      <c r="AO4841" s="54" t="s">
        <v>50</v>
      </c>
      <c r="AP4841" s="54" t="s">
        <v>51</v>
      </c>
      <c r="AQ4841" s="57" t="s">
        <v>397</v>
      </c>
    </row>
    <row r="4842" spans="1:43" ht="15" customHeight="1">
      <c r="A4842" s="69">
        <v>43536</v>
      </c>
      <c r="B4842" s="70" t="s">
        <v>100</v>
      </c>
      <c r="C4842" s="290" t="s">
        <v>0</v>
      </c>
      <c r="D4842" s="21" t="s">
        <v>808</v>
      </c>
      <c r="E4842" s="23" t="s">
        <v>346</v>
      </c>
      <c r="F4842" s="54">
        <v>1</v>
      </c>
      <c r="G4842" s="48">
        <v>742</v>
      </c>
      <c r="H4842" s="26">
        <v>742</v>
      </c>
      <c r="I4842" s="87" t="s">
        <v>302</v>
      </c>
      <c r="J4842" s="82" t="s">
        <v>532</v>
      </c>
      <c r="K4842" s="30">
        <v>43536</v>
      </c>
      <c r="W4842" s="293">
        <v>43585</v>
      </c>
      <c r="X4842" s="293">
        <v>43539</v>
      </c>
      <c r="Y4842" s="294" t="s">
        <v>807</v>
      </c>
      <c r="Z4842" s="295">
        <v>32085</v>
      </c>
      <c r="AA4842" s="300">
        <v>43586</v>
      </c>
      <c r="AB4842" s="237"/>
      <c r="AC4842" s="244"/>
      <c r="AD4842" s="244"/>
      <c r="AE4842" s="244"/>
      <c r="AF4842" s="244"/>
      <c r="AG4842" s="296"/>
      <c r="AH4842" s="296"/>
      <c r="AI4842" s="297"/>
      <c r="AJ4842" s="298">
        <v>43587</v>
      </c>
      <c r="AK4842" s="297"/>
      <c r="AL4842" s="297"/>
      <c r="AM4842" s="296" t="s">
        <v>49</v>
      </c>
      <c r="AN4842" s="296" t="s">
        <v>284</v>
      </c>
      <c r="AO4842" s="296" t="s">
        <v>50</v>
      </c>
      <c r="AP4842" s="296" t="s">
        <v>51</v>
      </c>
      <c r="AQ4842" s="234" t="s">
        <v>304</v>
      </c>
    </row>
    <row r="4843" spans="1:43" ht="15" customHeight="1">
      <c r="A4843" s="69">
        <v>43536</v>
      </c>
      <c r="B4843" s="70" t="s">
        <v>809</v>
      </c>
      <c r="C4843" s="21"/>
      <c r="D4843" s="21" t="s">
        <v>810</v>
      </c>
      <c r="E4843" s="23" t="s">
        <v>236</v>
      </c>
      <c r="F4843" s="24">
        <v>2</v>
      </c>
      <c r="G4843" s="48">
        <v>66</v>
      </c>
      <c r="H4843" s="216">
        <v>132</v>
      </c>
      <c r="I4843" s="296" t="s">
        <v>247</v>
      </c>
      <c r="J4843" s="50" t="s">
        <v>532</v>
      </c>
      <c r="K4843" s="30">
        <v>43552</v>
      </c>
      <c r="W4843" s="293">
        <v>43585</v>
      </c>
      <c r="X4843" s="293">
        <v>43545</v>
      </c>
      <c r="Y4843" s="294" t="s">
        <v>811</v>
      </c>
      <c r="Z4843" s="295">
        <v>3754</v>
      </c>
      <c r="AA4843" s="300">
        <v>43586</v>
      </c>
      <c r="AB4843" s="237"/>
      <c r="AC4843" s="244"/>
      <c r="AD4843" s="244"/>
      <c r="AE4843" s="244"/>
      <c r="AF4843" s="244"/>
      <c r="AG4843" s="54" t="s">
        <v>283</v>
      </c>
      <c r="AH4843" s="54">
        <v>30.824999999999999</v>
      </c>
      <c r="AI4843" s="55"/>
      <c r="AJ4843" s="56">
        <v>43536</v>
      </c>
      <c r="AK4843" s="55"/>
      <c r="AL4843" s="55"/>
      <c r="AM4843" s="54" t="s">
        <v>49</v>
      </c>
      <c r="AN4843" s="24" t="s">
        <v>284</v>
      </c>
      <c r="AO4843" s="54" t="s">
        <v>50</v>
      </c>
      <c r="AP4843" s="54" t="s">
        <v>51</v>
      </c>
      <c r="AQ4843" s="57" t="s">
        <v>397</v>
      </c>
    </row>
    <row r="4844" spans="1:43" ht="15" customHeight="1">
      <c r="A4844" s="69">
        <v>43536</v>
      </c>
      <c r="B4844" s="70" t="s">
        <v>809</v>
      </c>
      <c r="C4844" s="21"/>
      <c r="D4844" s="21" t="s">
        <v>810</v>
      </c>
      <c r="E4844" s="23" t="s">
        <v>692</v>
      </c>
      <c r="F4844" s="24">
        <v>1</v>
      </c>
      <c r="G4844" s="48">
        <v>40</v>
      </c>
      <c r="H4844" s="462">
        <v>40</v>
      </c>
      <c r="I4844" s="87" t="s">
        <v>247</v>
      </c>
      <c r="J4844" s="405" t="s">
        <v>532</v>
      </c>
      <c r="K4844" s="30">
        <v>43552</v>
      </c>
      <c r="W4844" s="52"/>
      <c r="X4844" s="53"/>
      <c r="Y4844" s="53"/>
      <c r="Z4844" s="53"/>
      <c r="AA4844" s="53"/>
      <c r="AB4844" s="237"/>
      <c r="AC4844" s="244"/>
      <c r="AD4844" s="244"/>
      <c r="AE4844" s="244"/>
      <c r="AF4844" s="244"/>
      <c r="AG4844" s="54" t="s">
        <v>283</v>
      </c>
      <c r="AH4844" s="54">
        <v>30.824999999999999</v>
      </c>
      <c r="AI4844" s="55"/>
      <c r="AJ4844" s="56">
        <v>43536</v>
      </c>
      <c r="AK4844" s="55"/>
      <c r="AL4844" s="55"/>
      <c r="AM4844" s="54" t="s">
        <v>49</v>
      </c>
      <c r="AN4844" s="24" t="s">
        <v>284</v>
      </c>
      <c r="AO4844" s="54" t="s">
        <v>50</v>
      </c>
      <c r="AP4844" s="54" t="s">
        <v>51</v>
      </c>
      <c r="AQ4844" s="57" t="s">
        <v>397</v>
      </c>
    </row>
    <row r="4845" spans="1:43" ht="15" customHeight="1">
      <c r="A4845" s="69">
        <v>43536</v>
      </c>
      <c r="B4845" s="70" t="s">
        <v>809</v>
      </c>
      <c r="C4845" s="21"/>
      <c r="D4845" s="21" t="s">
        <v>812</v>
      </c>
      <c r="E4845" s="23" t="s">
        <v>346</v>
      </c>
      <c r="F4845" s="24">
        <v>1</v>
      </c>
      <c r="G4845" s="143">
        <v>28</v>
      </c>
      <c r="H4845" s="60">
        <v>28</v>
      </c>
      <c r="I4845" s="61" t="s">
        <v>247</v>
      </c>
      <c r="J4845" s="50" t="s">
        <v>532</v>
      </c>
      <c r="K4845" s="30">
        <v>43552</v>
      </c>
      <c r="W4845" s="293">
        <v>43585</v>
      </c>
      <c r="X4845" s="293">
        <v>43555</v>
      </c>
      <c r="Y4845" s="294" t="s">
        <v>813</v>
      </c>
      <c r="Z4845" s="294">
        <v>860</v>
      </c>
      <c r="AA4845" s="300">
        <v>43586</v>
      </c>
      <c r="AB4845" s="237"/>
      <c r="AC4845" s="244"/>
      <c r="AD4845" s="244"/>
      <c r="AE4845" s="244"/>
      <c r="AF4845" s="244"/>
      <c r="AG4845" s="54" t="s">
        <v>283</v>
      </c>
      <c r="AH4845" s="54">
        <v>30.824999999999999</v>
      </c>
      <c r="AI4845" s="55"/>
      <c r="AJ4845" s="56">
        <v>43552</v>
      </c>
      <c r="AK4845" s="55">
        <f>28*30.801</f>
        <v>862.428</v>
      </c>
      <c r="AL4845" s="55">
        <v>0</v>
      </c>
      <c r="AM4845" s="54" t="s">
        <v>49</v>
      </c>
      <c r="AN4845" s="24" t="s">
        <v>284</v>
      </c>
      <c r="AO4845" s="54" t="s">
        <v>50</v>
      </c>
      <c r="AP4845" s="54" t="s">
        <v>51</v>
      </c>
      <c r="AQ4845" s="57" t="s">
        <v>397</v>
      </c>
    </row>
    <row r="4846" spans="1:43" ht="15" customHeight="1">
      <c r="A4846" s="69">
        <v>43537</v>
      </c>
      <c r="B4846" s="23" t="s">
        <v>405</v>
      </c>
      <c r="C4846" s="21">
        <v>7000145844</v>
      </c>
      <c r="D4846" s="21" t="s">
        <v>814</v>
      </c>
      <c r="E4846" s="23" t="s">
        <v>407</v>
      </c>
      <c r="F4846" s="24">
        <v>1</v>
      </c>
      <c r="G4846" s="25">
        <v>54</v>
      </c>
      <c r="H4846" s="60">
        <v>54</v>
      </c>
      <c r="I4846" s="61" t="s">
        <v>42</v>
      </c>
      <c r="J4846" s="82" t="s">
        <v>519</v>
      </c>
      <c r="K4846" s="29">
        <v>43546</v>
      </c>
      <c r="W4846" s="293">
        <v>43616</v>
      </c>
      <c r="X4846" s="293">
        <v>43542</v>
      </c>
      <c r="Y4846" s="294" t="s">
        <v>815</v>
      </c>
      <c r="Z4846" s="295">
        <v>78548</v>
      </c>
      <c r="AA4846" s="300">
        <v>43616</v>
      </c>
      <c r="AB4846" s="237"/>
      <c r="AC4846" s="244"/>
      <c r="AD4846" s="244"/>
      <c r="AE4846" s="244"/>
      <c r="AF4846" s="244"/>
      <c r="AG4846" s="296"/>
      <c r="AH4846" s="296">
        <v>30.824999999999999</v>
      </c>
      <c r="AI4846" s="297"/>
      <c r="AJ4846" s="145">
        <v>43588</v>
      </c>
      <c r="AK4846" s="297"/>
      <c r="AL4846" s="297"/>
      <c r="AM4846" s="296" t="s">
        <v>49</v>
      </c>
      <c r="AN4846" s="296" t="s">
        <v>284</v>
      </c>
      <c r="AO4846" s="296" t="s">
        <v>50</v>
      </c>
      <c r="AP4846" s="296" t="s">
        <v>51</v>
      </c>
      <c r="AQ4846" s="234" t="s">
        <v>304</v>
      </c>
    </row>
    <row r="4847" spans="1:43" ht="15" customHeight="1">
      <c r="A4847" s="69">
        <v>43537</v>
      </c>
      <c r="B4847" s="23" t="s">
        <v>405</v>
      </c>
      <c r="C4847" s="21">
        <v>7000145844</v>
      </c>
      <c r="D4847" s="21" t="s">
        <v>814</v>
      </c>
      <c r="E4847" s="23" t="s">
        <v>816</v>
      </c>
      <c r="F4847" s="24">
        <v>3</v>
      </c>
      <c r="G4847" s="25">
        <v>866</v>
      </c>
      <c r="H4847" s="60">
        <v>2598</v>
      </c>
      <c r="I4847" s="61" t="s">
        <v>42</v>
      </c>
      <c r="J4847" s="82" t="s">
        <v>519</v>
      </c>
      <c r="K4847" s="29">
        <v>43546</v>
      </c>
      <c r="W4847" s="293">
        <v>43616</v>
      </c>
      <c r="X4847" s="293">
        <v>43542</v>
      </c>
      <c r="Y4847" s="294" t="s">
        <v>815</v>
      </c>
      <c r="Z4847" s="294"/>
      <c r="AA4847" s="300">
        <v>43616</v>
      </c>
      <c r="AB4847" s="237"/>
      <c r="AC4847" s="244"/>
      <c r="AD4847" s="244"/>
      <c r="AE4847" s="244"/>
      <c r="AF4847" s="244"/>
      <c r="AG4847" s="296"/>
      <c r="AH4847" s="296">
        <v>30.824999999999999</v>
      </c>
      <c r="AI4847" s="297"/>
      <c r="AJ4847" s="145">
        <v>43588</v>
      </c>
      <c r="AK4847" s="297"/>
      <c r="AL4847" s="297"/>
      <c r="AM4847" s="296" t="s">
        <v>49</v>
      </c>
      <c r="AN4847" s="296" t="s">
        <v>284</v>
      </c>
      <c r="AO4847" s="296" t="s">
        <v>50</v>
      </c>
      <c r="AP4847" s="296" t="s">
        <v>51</v>
      </c>
      <c r="AQ4847" s="234" t="s">
        <v>304</v>
      </c>
    </row>
    <row r="4848" spans="1:43" ht="15" customHeight="1">
      <c r="A4848" s="69">
        <v>43537</v>
      </c>
      <c r="B4848" s="23" t="s">
        <v>405</v>
      </c>
      <c r="C4848" s="21">
        <v>7000145844</v>
      </c>
      <c r="D4848" s="21" t="s">
        <v>814</v>
      </c>
      <c r="E4848" s="23" t="s">
        <v>484</v>
      </c>
      <c r="F4848" s="24">
        <v>1</v>
      </c>
      <c r="G4848" s="25">
        <v>178</v>
      </c>
      <c r="H4848" s="60">
        <v>178</v>
      </c>
      <c r="I4848" s="61" t="s">
        <v>42</v>
      </c>
      <c r="J4848" s="82" t="s">
        <v>519</v>
      </c>
      <c r="K4848" s="29">
        <v>43546</v>
      </c>
      <c r="W4848" s="293">
        <v>43616</v>
      </c>
      <c r="X4848" s="293">
        <v>43542</v>
      </c>
      <c r="Y4848" s="294" t="s">
        <v>815</v>
      </c>
      <c r="Z4848" s="294"/>
      <c r="AA4848" s="300">
        <v>43616</v>
      </c>
      <c r="AB4848" s="237"/>
      <c r="AC4848" s="244"/>
      <c r="AD4848" s="244"/>
      <c r="AE4848" s="244"/>
      <c r="AF4848" s="244"/>
      <c r="AG4848" s="296"/>
      <c r="AH4848" s="296">
        <v>30.824999999999999</v>
      </c>
      <c r="AI4848" s="297"/>
      <c r="AJ4848" s="145">
        <v>43588</v>
      </c>
      <c r="AK4848" s="297"/>
      <c r="AL4848" s="297"/>
      <c r="AM4848" s="296" t="s">
        <v>49</v>
      </c>
      <c r="AN4848" s="296" t="s">
        <v>284</v>
      </c>
      <c r="AO4848" s="296" t="s">
        <v>50</v>
      </c>
      <c r="AP4848" s="296" t="s">
        <v>51</v>
      </c>
      <c r="AQ4848" s="234" t="s">
        <v>304</v>
      </c>
    </row>
    <row r="4849" spans="1:43" ht="15" customHeight="1">
      <c r="A4849" s="19">
        <v>43539</v>
      </c>
      <c r="B4849" s="144" t="s">
        <v>100</v>
      </c>
      <c r="C4849" s="21"/>
      <c r="D4849" s="21" t="s">
        <v>817</v>
      </c>
      <c r="E4849" s="23" t="s">
        <v>346</v>
      </c>
      <c r="F4849" s="296">
        <v>1</v>
      </c>
      <c r="G4849" s="47">
        <v>90.5</v>
      </c>
      <c r="H4849" s="26">
        <v>90.5</v>
      </c>
      <c r="I4849" s="27" t="s">
        <v>302</v>
      </c>
      <c r="J4849" s="58" t="s">
        <v>437</v>
      </c>
      <c r="K4849" s="30">
        <v>43539</v>
      </c>
      <c r="W4849" s="293">
        <v>43585</v>
      </c>
      <c r="X4849" s="293">
        <v>43555</v>
      </c>
      <c r="Y4849" s="294" t="s">
        <v>813</v>
      </c>
      <c r="Z4849" s="295">
        <v>2696</v>
      </c>
      <c r="AA4849" s="300">
        <v>43586</v>
      </c>
      <c r="AB4849" s="237"/>
      <c r="AC4849" s="244"/>
      <c r="AD4849" s="244"/>
      <c r="AE4849" s="244"/>
      <c r="AF4849" s="244"/>
      <c r="AG4849" s="296"/>
      <c r="AH4849" s="296"/>
      <c r="AI4849" s="297"/>
      <c r="AJ4849" s="298">
        <v>43587</v>
      </c>
      <c r="AK4849" s="297"/>
      <c r="AL4849" s="297"/>
      <c r="AM4849" s="296" t="s">
        <v>49</v>
      </c>
      <c r="AN4849" s="296" t="s">
        <v>284</v>
      </c>
      <c r="AO4849" s="296" t="s">
        <v>285</v>
      </c>
      <c r="AP4849" s="296" t="s">
        <v>51</v>
      </c>
      <c r="AQ4849" s="234" t="s">
        <v>304</v>
      </c>
    </row>
    <row r="4850" spans="1:43" ht="15" customHeight="1">
      <c r="A4850" s="69">
        <v>43542</v>
      </c>
      <c r="B4850" s="23" t="s">
        <v>76</v>
      </c>
      <c r="C4850" s="21">
        <v>205</v>
      </c>
      <c r="D4850" s="21" t="s">
        <v>818</v>
      </c>
      <c r="E4850" s="23" t="s">
        <v>819</v>
      </c>
      <c r="F4850" s="24">
        <v>25</v>
      </c>
      <c r="G4850" s="25">
        <v>14</v>
      </c>
      <c r="H4850" s="26">
        <v>350</v>
      </c>
      <c r="I4850" s="61" t="s">
        <v>42</v>
      </c>
      <c r="J4850" s="58" t="s">
        <v>315</v>
      </c>
      <c r="K4850" s="29">
        <v>43550</v>
      </c>
      <c r="W4850" s="293">
        <v>43560</v>
      </c>
      <c r="X4850" s="293">
        <v>43559</v>
      </c>
      <c r="Y4850" s="340" t="s">
        <v>820</v>
      </c>
      <c r="Z4850" s="412">
        <v>9708</v>
      </c>
      <c r="AA4850" s="411">
        <v>43564</v>
      </c>
      <c r="AB4850" s="237"/>
      <c r="AC4850" s="244"/>
      <c r="AD4850" s="244"/>
      <c r="AE4850" s="244"/>
      <c r="AF4850" s="244"/>
      <c r="AG4850" s="82"/>
      <c r="AH4850" s="296">
        <v>30.824999999999999</v>
      </c>
      <c r="AI4850" s="297"/>
      <c r="AJ4850" s="298">
        <v>43580</v>
      </c>
      <c r="AK4850" s="297"/>
      <c r="AL4850" s="297"/>
      <c r="AM4850" s="82" t="s">
        <v>49</v>
      </c>
      <c r="AN4850" s="296" t="s">
        <v>284</v>
      </c>
      <c r="AO4850" s="296" t="s">
        <v>50</v>
      </c>
      <c r="AP4850" s="82" t="s">
        <v>51</v>
      </c>
      <c r="AQ4850" s="234" t="s">
        <v>304</v>
      </c>
    </row>
    <row r="4851" spans="1:43" ht="15" customHeight="1">
      <c r="A4851" s="69">
        <v>43542</v>
      </c>
      <c r="B4851" s="70" t="s">
        <v>100</v>
      </c>
      <c r="C4851" s="21" t="s">
        <v>821</v>
      </c>
      <c r="D4851" s="21" t="s">
        <v>822</v>
      </c>
      <c r="E4851" s="23" t="s">
        <v>823</v>
      </c>
      <c r="F4851" s="24">
        <v>1</v>
      </c>
      <c r="G4851" s="25">
        <v>915</v>
      </c>
      <c r="H4851" s="26">
        <v>915</v>
      </c>
      <c r="I4851" s="61" t="s">
        <v>695</v>
      </c>
      <c r="J4851" s="63" t="s">
        <v>262</v>
      </c>
      <c r="K4851" s="29">
        <v>43580</v>
      </c>
      <c r="W4851" s="300">
        <v>43616</v>
      </c>
      <c r="X4851" s="300">
        <v>43577</v>
      </c>
      <c r="Y4851" s="294" t="s">
        <v>824</v>
      </c>
      <c r="Z4851" s="294">
        <v>27183</v>
      </c>
      <c r="AA4851" s="293">
        <v>43616</v>
      </c>
      <c r="AB4851" s="237"/>
      <c r="AC4851" s="244"/>
      <c r="AD4851" s="244"/>
      <c r="AE4851" s="244"/>
      <c r="AF4851" s="244"/>
      <c r="AG4851" s="369"/>
      <c r="AH4851" s="369">
        <v>30.81</v>
      </c>
      <c r="AI4851" s="370">
        <f>AH4851*H4851</f>
        <v>28191.149999999998</v>
      </c>
      <c r="AJ4851" s="371">
        <v>43636</v>
      </c>
      <c r="AK4851" s="370"/>
      <c r="AL4851" s="370"/>
      <c r="AM4851" s="369" t="s">
        <v>49</v>
      </c>
      <c r="AN4851" s="369" t="s">
        <v>284</v>
      </c>
      <c r="AO4851" s="369" t="s">
        <v>50</v>
      </c>
      <c r="AP4851" s="369" t="s">
        <v>51</v>
      </c>
      <c r="AQ4851" s="372" t="s">
        <v>439</v>
      </c>
    </row>
    <row r="4852" spans="1:43" ht="15" customHeight="1">
      <c r="A4852" s="69">
        <v>43542</v>
      </c>
      <c r="B4852" s="70" t="s">
        <v>100</v>
      </c>
      <c r="C4852" s="21" t="s">
        <v>821</v>
      </c>
      <c r="D4852" s="32" t="s">
        <v>825</v>
      </c>
      <c r="E4852" s="23" t="s">
        <v>826</v>
      </c>
      <c r="F4852" s="24">
        <v>1</v>
      </c>
      <c r="G4852" s="25">
        <v>42</v>
      </c>
      <c r="H4852" s="26">
        <v>42</v>
      </c>
      <c r="I4852" s="61" t="s">
        <v>695</v>
      </c>
      <c r="J4852" s="63" t="s">
        <v>827</v>
      </c>
      <c r="K4852" s="29">
        <v>43580</v>
      </c>
      <c r="W4852" s="300">
        <v>43616</v>
      </c>
      <c r="X4852" s="300">
        <v>43577</v>
      </c>
      <c r="Y4852" s="294" t="s">
        <v>824</v>
      </c>
      <c r="Z4852" s="294"/>
      <c r="AA4852" s="293">
        <v>43616</v>
      </c>
      <c r="AB4852" s="237"/>
      <c r="AC4852" s="244"/>
      <c r="AD4852" s="244"/>
      <c r="AE4852" s="244"/>
      <c r="AF4852" s="244"/>
      <c r="AG4852" s="369"/>
      <c r="AH4852" s="369">
        <v>30.81</v>
      </c>
      <c r="AI4852" s="370">
        <f>AH4852*H4852</f>
        <v>1294.02</v>
      </c>
      <c r="AJ4852" s="371">
        <v>43636</v>
      </c>
      <c r="AK4852" s="370"/>
      <c r="AL4852" s="370"/>
      <c r="AM4852" s="369" t="s">
        <v>49</v>
      </c>
      <c r="AN4852" s="369" t="s">
        <v>284</v>
      </c>
      <c r="AO4852" s="369" t="s">
        <v>50</v>
      </c>
      <c r="AP4852" s="369" t="s">
        <v>51</v>
      </c>
      <c r="AQ4852" s="372" t="s">
        <v>439</v>
      </c>
    </row>
    <row r="4853" spans="1:43" ht="15" customHeight="1">
      <c r="A4853" s="69">
        <v>43542</v>
      </c>
      <c r="B4853" s="70" t="s">
        <v>100</v>
      </c>
      <c r="C4853" s="21" t="s">
        <v>821</v>
      </c>
      <c r="D4853" s="32" t="s">
        <v>825</v>
      </c>
      <c r="E4853" s="23" t="s">
        <v>790</v>
      </c>
      <c r="F4853" s="24">
        <v>1</v>
      </c>
      <c r="G4853" s="25">
        <v>79</v>
      </c>
      <c r="H4853" s="26">
        <v>79</v>
      </c>
      <c r="I4853" s="61" t="s">
        <v>695</v>
      </c>
      <c r="J4853" s="63" t="s">
        <v>262</v>
      </c>
      <c r="K4853" s="29">
        <v>43580</v>
      </c>
      <c r="W4853" s="294"/>
      <c r="X4853" s="294"/>
      <c r="Y4853" s="294"/>
      <c r="Z4853" s="294"/>
      <c r="AA4853" s="294"/>
      <c r="AB4853" s="237"/>
      <c r="AC4853" s="244"/>
      <c r="AD4853" s="244"/>
      <c r="AE4853" s="244"/>
      <c r="AF4853" s="244"/>
      <c r="AG4853" s="369"/>
      <c r="AH4853" s="369">
        <v>30.81</v>
      </c>
      <c r="AI4853" s="370">
        <f>AH4853*H4853</f>
        <v>2433.9899999999998</v>
      </c>
      <c r="AJ4853" s="371">
        <v>43636</v>
      </c>
      <c r="AK4853" s="370"/>
      <c r="AL4853" s="370"/>
      <c r="AM4853" s="369" t="s">
        <v>49</v>
      </c>
      <c r="AN4853" s="369" t="s">
        <v>284</v>
      </c>
      <c r="AO4853" s="369" t="s">
        <v>50</v>
      </c>
      <c r="AP4853" s="369" t="s">
        <v>51</v>
      </c>
      <c r="AQ4853" s="372" t="s">
        <v>439</v>
      </c>
    </row>
    <row r="4854" spans="1:43" ht="15" customHeight="1">
      <c r="A4854" s="463">
        <v>43544</v>
      </c>
      <c r="B4854" s="263" t="s">
        <v>415</v>
      </c>
      <c r="C4854" s="250" t="s">
        <v>828</v>
      </c>
      <c r="D4854" s="308" t="s">
        <v>829</v>
      </c>
      <c r="E4854" s="23" t="s">
        <v>830</v>
      </c>
      <c r="F4854" s="251">
        <v>3</v>
      </c>
      <c r="G4854" s="464">
        <v>118</v>
      </c>
      <c r="H4854" s="334">
        <v>354</v>
      </c>
      <c r="I4854" s="254" t="s">
        <v>247</v>
      </c>
      <c r="J4854" s="367" t="s">
        <v>831</v>
      </c>
      <c r="K4854" s="256">
        <v>43549</v>
      </c>
      <c r="W4854" s="258">
        <v>43585</v>
      </c>
      <c r="X4854" s="258">
        <v>43546</v>
      </c>
      <c r="Y4854" s="259" t="s">
        <v>832</v>
      </c>
      <c r="Z4854" s="270">
        <v>10098</v>
      </c>
      <c r="AA4854" s="368">
        <v>43586</v>
      </c>
      <c r="AB4854" s="237"/>
      <c r="AC4854" s="244"/>
      <c r="AD4854" s="244"/>
      <c r="AE4854" s="244"/>
      <c r="AF4854" s="244"/>
      <c r="AG4854" s="251" t="s">
        <v>283</v>
      </c>
      <c r="AH4854" s="251"/>
      <c r="AI4854" s="260"/>
      <c r="AJ4854" s="251"/>
      <c r="AK4854" s="260"/>
      <c r="AL4854" s="260"/>
      <c r="AM4854" s="251" t="s">
        <v>49</v>
      </c>
      <c r="AN4854" s="251" t="s">
        <v>284</v>
      </c>
      <c r="AO4854" s="251" t="s">
        <v>50</v>
      </c>
      <c r="AP4854" s="251" t="s">
        <v>51</v>
      </c>
      <c r="AQ4854" s="262"/>
    </row>
    <row r="4855" spans="1:43" ht="15" customHeight="1">
      <c r="A4855" s="463">
        <v>43544</v>
      </c>
      <c r="B4855" s="263" t="s">
        <v>415</v>
      </c>
      <c r="C4855" s="250" t="s">
        <v>828</v>
      </c>
      <c r="D4855" s="308" t="s">
        <v>829</v>
      </c>
      <c r="E4855" s="23" t="s">
        <v>833</v>
      </c>
      <c r="F4855" s="251">
        <v>1</v>
      </c>
      <c r="G4855" s="464">
        <v>40</v>
      </c>
      <c r="H4855" s="334">
        <v>40</v>
      </c>
      <c r="I4855" s="254" t="s">
        <v>247</v>
      </c>
      <c r="J4855" s="367" t="s">
        <v>831</v>
      </c>
      <c r="K4855" s="256">
        <v>43549</v>
      </c>
      <c r="W4855" s="337"/>
      <c r="X4855" s="329"/>
      <c r="Y4855" s="329"/>
      <c r="Z4855" s="329"/>
      <c r="AA4855" s="329"/>
      <c r="AB4855" s="237"/>
      <c r="AC4855" s="244"/>
      <c r="AD4855" s="244"/>
      <c r="AE4855" s="244"/>
      <c r="AF4855" s="244"/>
      <c r="AG4855" s="251" t="s">
        <v>283</v>
      </c>
      <c r="AH4855" s="251"/>
      <c r="AI4855" s="260"/>
      <c r="AJ4855" s="251"/>
      <c r="AK4855" s="260"/>
      <c r="AL4855" s="260"/>
      <c r="AM4855" s="251" t="s">
        <v>49</v>
      </c>
      <c r="AN4855" s="251" t="s">
        <v>284</v>
      </c>
      <c r="AO4855" s="251" t="s">
        <v>50</v>
      </c>
      <c r="AP4855" s="251" t="s">
        <v>51</v>
      </c>
      <c r="AQ4855" s="262"/>
    </row>
    <row r="4856" spans="1:43" ht="15" customHeight="1">
      <c r="A4856" s="463">
        <v>43544</v>
      </c>
      <c r="B4856" s="23" t="s">
        <v>405</v>
      </c>
      <c r="C4856" s="21">
        <v>7000146024</v>
      </c>
      <c r="D4856" s="406" t="s">
        <v>834</v>
      </c>
      <c r="E4856" s="23" t="s">
        <v>676</v>
      </c>
      <c r="F4856" s="24">
        <v>10</v>
      </c>
      <c r="G4856" s="25">
        <v>127</v>
      </c>
      <c r="H4856" s="60">
        <v>1270</v>
      </c>
      <c r="I4856" s="61" t="s">
        <v>42</v>
      </c>
      <c r="J4856" s="50" t="s">
        <v>512</v>
      </c>
      <c r="K4856" s="29">
        <v>43557</v>
      </c>
      <c r="W4856" s="460">
        <v>43646</v>
      </c>
      <c r="X4856" s="465">
        <v>43550</v>
      </c>
      <c r="Y4856" s="304" t="s">
        <v>835</v>
      </c>
      <c r="Z4856" s="404">
        <v>35711</v>
      </c>
      <c r="AA4856" s="460">
        <v>43647</v>
      </c>
      <c r="AB4856" s="237"/>
      <c r="AC4856" s="244"/>
      <c r="AD4856" s="244"/>
      <c r="AE4856" s="244"/>
      <c r="AF4856" s="244"/>
      <c r="AG4856" s="296"/>
      <c r="AH4856" s="296">
        <v>30.77</v>
      </c>
      <c r="AI4856" s="297">
        <f>H4856*AH4856</f>
        <v>39077.9</v>
      </c>
      <c r="AJ4856" s="298">
        <v>43598</v>
      </c>
      <c r="AK4856" s="297">
        <f>3724.54*30.94</f>
        <v>115237.26760000001</v>
      </c>
      <c r="AL4856" s="297">
        <f>(20+6.46)*30.94</f>
        <v>818.67240000000004</v>
      </c>
      <c r="AM4856" s="296" t="s">
        <v>49</v>
      </c>
      <c r="AN4856" s="296" t="s">
        <v>284</v>
      </c>
      <c r="AO4856" s="296" t="s">
        <v>50</v>
      </c>
      <c r="AP4856" s="296" t="s">
        <v>51</v>
      </c>
      <c r="AQ4856" s="234" t="s">
        <v>304</v>
      </c>
    </row>
    <row r="4857" spans="1:43" ht="15" customHeight="1">
      <c r="A4857" s="463">
        <v>43544</v>
      </c>
      <c r="B4857" s="23" t="s">
        <v>405</v>
      </c>
      <c r="C4857" s="21">
        <v>7000146024</v>
      </c>
      <c r="D4857" s="406" t="s">
        <v>834</v>
      </c>
      <c r="E4857" s="23" t="s">
        <v>836</v>
      </c>
      <c r="F4857" s="24">
        <v>1</v>
      </c>
      <c r="G4857" s="48">
        <v>175</v>
      </c>
      <c r="H4857" s="466">
        <v>175</v>
      </c>
      <c r="I4857" s="61" t="s">
        <v>42</v>
      </c>
      <c r="J4857" s="405" t="s">
        <v>512</v>
      </c>
      <c r="K4857" s="29">
        <v>43566</v>
      </c>
      <c r="W4857" s="460">
        <v>43646</v>
      </c>
      <c r="X4857" s="460">
        <v>43564</v>
      </c>
      <c r="Y4857" s="304" t="s">
        <v>837</v>
      </c>
      <c r="Z4857" s="304">
        <v>4883</v>
      </c>
      <c r="AA4857" s="460">
        <v>43647</v>
      </c>
      <c r="AB4857" s="237"/>
      <c r="AC4857" s="244"/>
      <c r="AD4857" s="244"/>
      <c r="AE4857" s="244"/>
      <c r="AF4857" s="244"/>
      <c r="AG4857" s="296"/>
      <c r="AH4857" s="296">
        <v>30.76</v>
      </c>
      <c r="AI4857" s="430">
        <f>AH4857*H4857</f>
        <v>5383</v>
      </c>
      <c r="AJ4857" s="298">
        <v>43602</v>
      </c>
      <c r="AK4857" s="297"/>
      <c r="AL4857" s="297"/>
      <c r="AM4857" s="296" t="s">
        <v>49</v>
      </c>
      <c r="AN4857" s="296" t="s">
        <v>284</v>
      </c>
      <c r="AO4857" s="296" t="s">
        <v>50</v>
      </c>
      <c r="AP4857" s="296" t="s">
        <v>51</v>
      </c>
      <c r="AQ4857" s="234" t="s">
        <v>304</v>
      </c>
    </row>
    <row r="4858" spans="1:43" ht="15" customHeight="1">
      <c r="A4858" s="463">
        <v>43545</v>
      </c>
      <c r="B4858" s="21" t="s">
        <v>619</v>
      </c>
      <c r="C4858" s="21"/>
      <c r="D4858" s="21" t="s">
        <v>838</v>
      </c>
      <c r="E4858" s="23" t="s">
        <v>839</v>
      </c>
      <c r="F4858" s="24">
        <v>2</v>
      </c>
      <c r="G4858" s="25">
        <v>304.5</v>
      </c>
      <c r="H4858" s="60">
        <v>609</v>
      </c>
      <c r="I4858" s="346" t="s">
        <v>42</v>
      </c>
      <c r="J4858" s="63" t="s">
        <v>89</v>
      </c>
      <c r="K4858" s="29">
        <v>43552</v>
      </c>
      <c r="W4858" s="411">
        <v>43616</v>
      </c>
      <c r="X4858" s="293">
        <v>43551</v>
      </c>
      <c r="Y4858" s="294" t="s">
        <v>840</v>
      </c>
      <c r="Z4858" s="295">
        <v>17219</v>
      </c>
      <c r="AA4858" s="449">
        <v>43616</v>
      </c>
      <c r="AB4858" s="237"/>
      <c r="AC4858" s="244"/>
      <c r="AD4858" s="244"/>
      <c r="AE4858" s="244"/>
      <c r="AF4858" s="244"/>
      <c r="AG4858" s="369"/>
      <c r="AH4858" s="369"/>
      <c r="AI4858" s="370"/>
      <c r="AJ4858" s="371">
        <v>43626</v>
      </c>
      <c r="AK4858" s="370">
        <v>18788</v>
      </c>
      <c r="AL4858" s="370">
        <v>0</v>
      </c>
      <c r="AM4858" s="369" t="s">
        <v>49</v>
      </c>
      <c r="AN4858" s="369" t="s">
        <v>284</v>
      </c>
      <c r="AO4858" s="369" t="s">
        <v>50</v>
      </c>
      <c r="AP4858" s="369" t="s">
        <v>376</v>
      </c>
      <c r="AQ4858" s="372" t="s">
        <v>439</v>
      </c>
    </row>
    <row r="4859" spans="1:43" ht="15" customHeight="1">
      <c r="A4859" s="69">
        <v>43546</v>
      </c>
      <c r="B4859" s="32" t="s">
        <v>405</v>
      </c>
      <c r="C4859" s="21">
        <v>7000146048</v>
      </c>
      <c r="D4859" s="21" t="s">
        <v>841</v>
      </c>
      <c r="E4859" s="23" t="s">
        <v>842</v>
      </c>
      <c r="F4859" s="24">
        <v>1</v>
      </c>
      <c r="G4859" s="25">
        <v>1451</v>
      </c>
      <c r="H4859" s="60">
        <v>1451</v>
      </c>
      <c r="I4859" s="61" t="s">
        <v>42</v>
      </c>
      <c r="J4859" s="50" t="s">
        <v>512</v>
      </c>
      <c r="K4859" s="29">
        <v>43557</v>
      </c>
      <c r="W4859" s="303">
        <v>43646</v>
      </c>
      <c r="X4859" s="460">
        <v>43556</v>
      </c>
      <c r="Y4859" s="304" t="s">
        <v>843</v>
      </c>
      <c r="Z4859" s="304">
        <v>69616</v>
      </c>
      <c r="AA4859" s="460">
        <v>43647</v>
      </c>
      <c r="AB4859" s="237"/>
      <c r="AC4859" s="244"/>
      <c r="AD4859" s="244"/>
      <c r="AE4859" s="244"/>
      <c r="AF4859" s="244"/>
      <c r="AG4859" s="296"/>
      <c r="AH4859" s="296">
        <v>30.77</v>
      </c>
      <c r="AI4859" s="297">
        <f t="shared" ref="AI4859:AI4865" si="287">H4859*AH4859</f>
        <v>44647.27</v>
      </c>
      <c r="AJ4859" s="298">
        <v>43598</v>
      </c>
      <c r="AK4859" s="297"/>
      <c r="AL4859" s="297"/>
      <c r="AM4859" s="296" t="s">
        <v>49</v>
      </c>
      <c r="AN4859" s="296" t="s">
        <v>284</v>
      </c>
      <c r="AO4859" s="296" t="s">
        <v>50</v>
      </c>
      <c r="AP4859" s="296" t="s">
        <v>51</v>
      </c>
      <c r="AQ4859" s="234" t="s">
        <v>304</v>
      </c>
    </row>
    <row r="4860" spans="1:43" ht="15" customHeight="1">
      <c r="A4860" s="69">
        <v>43546</v>
      </c>
      <c r="B4860" s="32" t="s">
        <v>405</v>
      </c>
      <c r="C4860" s="21">
        <v>7000146048</v>
      </c>
      <c r="D4860" s="21" t="s">
        <v>841</v>
      </c>
      <c r="E4860" s="23" t="s">
        <v>844</v>
      </c>
      <c r="F4860" s="24">
        <v>2</v>
      </c>
      <c r="G4860" s="25">
        <v>186</v>
      </c>
      <c r="H4860" s="60">
        <v>372</v>
      </c>
      <c r="I4860" s="61" t="s">
        <v>42</v>
      </c>
      <c r="J4860" s="50" t="s">
        <v>512</v>
      </c>
      <c r="K4860" s="29">
        <v>43557</v>
      </c>
      <c r="W4860" s="303">
        <v>43646</v>
      </c>
      <c r="X4860" s="460">
        <v>43556</v>
      </c>
      <c r="Y4860" s="304" t="s">
        <v>843</v>
      </c>
      <c r="Z4860" s="304"/>
      <c r="AA4860" s="460">
        <v>43647</v>
      </c>
      <c r="AB4860" s="237"/>
      <c r="AC4860" s="244"/>
      <c r="AD4860" s="244"/>
      <c r="AE4860" s="244"/>
      <c r="AF4860" s="244"/>
      <c r="AG4860" s="296"/>
      <c r="AH4860" s="296">
        <v>30.77</v>
      </c>
      <c r="AI4860" s="297">
        <f t="shared" si="287"/>
        <v>11446.44</v>
      </c>
      <c r="AJ4860" s="298">
        <v>43598</v>
      </c>
      <c r="AK4860" s="297"/>
      <c r="AL4860" s="297"/>
      <c r="AM4860" s="296" t="s">
        <v>49</v>
      </c>
      <c r="AN4860" s="296" t="s">
        <v>284</v>
      </c>
      <c r="AO4860" s="296" t="s">
        <v>50</v>
      </c>
      <c r="AP4860" s="296" t="s">
        <v>51</v>
      </c>
      <c r="AQ4860" s="234" t="s">
        <v>304</v>
      </c>
    </row>
    <row r="4861" spans="1:43" ht="15" customHeight="1">
      <c r="A4861" s="69">
        <v>43546</v>
      </c>
      <c r="B4861" s="32" t="s">
        <v>405</v>
      </c>
      <c r="C4861" s="21">
        <v>7000146048</v>
      </c>
      <c r="D4861" s="21" t="s">
        <v>841</v>
      </c>
      <c r="E4861" s="23" t="s">
        <v>801</v>
      </c>
      <c r="F4861" s="24">
        <v>2</v>
      </c>
      <c r="G4861" s="25">
        <v>67</v>
      </c>
      <c r="H4861" s="60">
        <v>134</v>
      </c>
      <c r="I4861" s="61" t="s">
        <v>42</v>
      </c>
      <c r="J4861" s="50" t="s">
        <v>512</v>
      </c>
      <c r="K4861" s="29">
        <v>43557</v>
      </c>
      <c r="W4861" s="303">
        <v>43646</v>
      </c>
      <c r="X4861" s="460">
        <v>43556</v>
      </c>
      <c r="Y4861" s="304" t="s">
        <v>843</v>
      </c>
      <c r="Z4861" s="304"/>
      <c r="AA4861" s="460">
        <v>43647</v>
      </c>
      <c r="AB4861" s="237"/>
      <c r="AC4861" s="244"/>
      <c r="AD4861" s="244"/>
      <c r="AE4861" s="244"/>
      <c r="AF4861" s="244"/>
      <c r="AG4861" s="296"/>
      <c r="AH4861" s="296">
        <v>30.77</v>
      </c>
      <c r="AI4861" s="297">
        <f t="shared" si="287"/>
        <v>4123.18</v>
      </c>
      <c r="AJ4861" s="298">
        <v>43598</v>
      </c>
      <c r="AK4861" s="297"/>
      <c r="AL4861" s="297"/>
      <c r="AM4861" s="296" t="s">
        <v>49</v>
      </c>
      <c r="AN4861" s="296" t="s">
        <v>284</v>
      </c>
      <c r="AO4861" s="296" t="s">
        <v>50</v>
      </c>
      <c r="AP4861" s="296" t="s">
        <v>51</v>
      </c>
      <c r="AQ4861" s="234" t="s">
        <v>304</v>
      </c>
    </row>
    <row r="4862" spans="1:43" ht="15" customHeight="1">
      <c r="A4862" s="69">
        <v>43546</v>
      </c>
      <c r="B4862" s="32" t="s">
        <v>405</v>
      </c>
      <c r="C4862" s="21">
        <v>7000146048</v>
      </c>
      <c r="D4862" s="21" t="s">
        <v>841</v>
      </c>
      <c r="E4862" s="23" t="s">
        <v>845</v>
      </c>
      <c r="F4862" s="24">
        <v>2</v>
      </c>
      <c r="G4862" s="25">
        <v>225</v>
      </c>
      <c r="H4862" s="60">
        <v>450</v>
      </c>
      <c r="I4862" s="61" t="s">
        <v>42</v>
      </c>
      <c r="J4862" s="50" t="s">
        <v>512</v>
      </c>
      <c r="K4862" s="29">
        <v>43557</v>
      </c>
      <c r="W4862" s="303">
        <v>43646</v>
      </c>
      <c r="X4862" s="460">
        <v>43556</v>
      </c>
      <c r="Y4862" s="304" t="s">
        <v>843</v>
      </c>
      <c r="Z4862" s="304"/>
      <c r="AA4862" s="460">
        <v>43647</v>
      </c>
      <c r="AB4862" s="237"/>
      <c r="AC4862" s="244"/>
      <c r="AD4862" s="244"/>
      <c r="AE4862" s="244"/>
      <c r="AF4862" s="244"/>
      <c r="AG4862" s="296"/>
      <c r="AH4862" s="296">
        <v>30.77</v>
      </c>
      <c r="AI4862" s="297">
        <f t="shared" si="287"/>
        <v>13846.5</v>
      </c>
      <c r="AJ4862" s="298">
        <v>43598</v>
      </c>
      <c r="AK4862" s="297"/>
      <c r="AL4862" s="297"/>
      <c r="AM4862" s="296" t="s">
        <v>49</v>
      </c>
      <c r="AN4862" s="296" t="s">
        <v>284</v>
      </c>
      <c r="AO4862" s="296" t="s">
        <v>50</v>
      </c>
      <c r="AP4862" s="296" t="s">
        <v>51</v>
      </c>
      <c r="AQ4862" s="234" t="s">
        <v>304</v>
      </c>
    </row>
    <row r="4863" spans="1:43" ht="15" customHeight="1">
      <c r="A4863" s="69">
        <v>43546</v>
      </c>
      <c r="B4863" s="32" t="s">
        <v>405</v>
      </c>
      <c r="C4863" s="21">
        <v>7000146048</v>
      </c>
      <c r="D4863" s="21" t="s">
        <v>841</v>
      </c>
      <c r="E4863" s="23" t="s">
        <v>846</v>
      </c>
      <c r="F4863" s="24">
        <v>2</v>
      </c>
      <c r="G4863" s="25">
        <v>26</v>
      </c>
      <c r="H4863" s="60">
        <v>52</v>
      </c>
      <c r="I4863" s="61" t="s">
        <v>42</v>
      </c>
      <c r="J4863" s="50" t="s">
        <v>512</v>
      </c>
      <c r="K4863" s="29">
        <v>43557</v>
      </c>
      <c r="W4863" s="303">
        <v>43646</v>
      </c>
      <c r="X4863" s="460">
        <v>43556</v>
      </c>
      <c r="Y4863" s="304" t="s">
        <v>843</v>
      </c>
      <c r="Z4863" s="304"/>
      <c r="AA4863" s="460">
        <v>43647</v>
      </c>
      <c r="AB4863" s="237"/>
      <c r="AC4863" s="244"/>
      <c r="AD4863" s="244"/>
      <c r="AE4863" s="244"/>
      <c r="AF4863" s="244"/>
      <c r="AG4863" s="296"/>
      <c r="AH4863" s="296">
        <v>30.77</v>
      </c>
      <c r="AI4863" s="297">
        <f t="shared" si="287"/>
        <v>1600.04</v>
      </c>
      <c r="AJ4863" s="298">
        <v>43598</v>
      </c>
      <c r="AK4863" s="297"/>
      <c r="AL4863" s="297"/>
      <c r="AM4863" s="296" t="s">
        <v>49</v>
      </c>
      <c r="AN4863" s="296" t="s">
        <v>284</v>
      </c>
      <c r="AO4863" s="296" t="s">
        <v>50</v>
      </c>
      <c r="AP4863" s="296" t="s">
        <v>51</v>
      </c>
      <c r="AQ4863" s="234" t="s">
        <v>304</v>
      </c>
    </row>
    <row r="4864" spans="1:43" ht="15" customHeight="1">
      <c r="A4864" s="69">
        <v>43546</v>
      </c>
      <c r="B4864" s="23" t="s">
        <v>405</v>
      </c>
      <c r="C4864" s="21">
        <v>7000146048</v>
      </c>
      <c r="D4864" s="21" t="s">
        <v>841</v>
      </c>
      <c r="E4864" s="23" t="s">
        <v>847</v>
      </c>
      <c r="F4864" s="24">
        <v>2</v>
      </c>
      <c r="G4864" s="25">
        <v>5</v>
      </c>
      <c r="H4864" s="60">
        <v>10</v>
      </c>
      <c r="I4864" s="61" t="s">
        <v>42</v>
      </c>
      <c r="J4864" s="50" t="s">
        <v>512</v>
      </c>
      <c r="K4864" s="29">
        <v>43557</v>
      </c>
      <c r="W4864" s="303">
        <v>43646</v>
      </c>
      <c r="X4864" s="460">
        <v>43556</v>
      </c>
      <c r="Y4864" s="304" t="s">
        <v>843</v>
      </c>
      <c r="Z4864" s="304"/>
      <c r="AA4864" s="460">
        <v>43647</v>
      </c>
      <c r="AB4864" s="237"/>
      <c r="AC4864" s="244"/>
      <c r="AD4864" s="244"/>
      <c r="AE4864" s="244"/>
      <c r="AF4864" s="244"/>
      <c r="AG4864" s="296"/>
      <c r="AH4864" s="296">
        <v>30.77</v>
      </c>
      <c r="AI4864" s="297">
        <f t="shared" si="287"/>
        <v>307.7</v>
      </c>
      <c r="AJ4864" s="298">
        <v>43598</v>
      </c>
      <c r="AK4864" s="297"/>
      <c r="AL4864" s="297"/>
      <c r="AM4864" s="296" t="s">
        <v>49</v>
      </c>
      <c r="AN4864" s="296" t="s">
        <v>284</v>
      </c>
      <c r="AO4864" s="296" t="s">
        <v>50</v>
      </c>
      <c r="AP4864" s="296" t="s">
        <v>51</v>
      </c>
      <c r="AQ4864" s="234" t="s">
        <v>304</v>
      </c>
    </row>
    <row r="4865" spans="1:43" ht="15" customHeight="1">
      <c r="A4865" s="69">
        <v>43546</v>
      </c>
      <c r="B4865" s="23" t="s">
        <v>405</v>
      </c>
      <c r="C4865" s="21">
        <v>7000146048</v>
      </c>
      <c r="D4865" s="21" t="s">
        <v>841</v>
      </c>
      <c r="E4865" s="23" t="s">
        <v>848</v>
      </c>
      <c r="F4865" s="24">
        <v>2</v>
      </c>
      <c r="G4865" s="25">
        <v>6</v>
      </c>
      <c r="H4865" s="60">
        <v>12</v>
      </c>
      <c r="I4865" s="61" t="s">
        <v>42</v>
      </c>
      <c r="J4865" s="50" t="s">
        <v>512</v>
      </c>
      <c r="K4865" s="29">
        <v>43557</v>
      </c>
      <c r="W4865" s="303">
        <v>43646</v>
      </c>
      <c r="X4865" s="460">
        <v>43556</v>
      </c>
      <c r="Y4865" s="304" t="s">
        <v>843</v>
      </c>
      <c r="Z4865" s="304"/>
      <c r="AA4865" s="460">
        <v>43647</v>
      </c>
      <c r="AB4865" s="237"/>
      <c r="AC4865" s="244"/>
      <c r="AD4865" s="244"/>
      <c r="AE4865" s="244"/>
      <c r="AF4865" s="244"/>
      <c r="AG4865" s="296"/>
      <c r="AH4865" s="296">
        <v>30.77</v>
      </c>
      <c r="AI4865" s="297">
        <f t="shared" si="287"/>
        <v>369.24</v>
      </c>
      <c r="AJ4865" s="298">
        <v>43598</v>
      </c>
      <c r="AK4865" s="297"/>
      <c r="AL4865" s="297"/>
      <c r="AM4865" s="296" t="s">
        <v>49</v>
      </c>
      <c r="AN4865" s="296" t="s">
        <v>284</v>
      </c>
      <c r="AO4865" s="296" t="s">
        <v>50</v>
      </c>
      <c r="AP4865" s="296" t="s">
        <v>51</v>
      </c>
      <c r="AQ4865" s="234" t="s">
        <v>304</v>
      </c>
    </row>
    <row r="4866" spans="1:43" ht="15" customHeight="1">
      <c r="A4866" s="19">
        <v>43547</v>
      </c>
      <c r="B4866" s="51" t="s">
        <v>53</v>
      </c>
      <c r="C4866" s="21" t="s">
        <v>849</v>
      </c>
      <c r="D4866" s="22" t="s">
        <v>850</v>
      </c>
      <c r="E4866" s="23" t="s">
        <v>385</v>
      </c>
      <c r="F4866" s="24">
        <v>5</v>
      </c>
      <c r="G4866" s="25">
        <v>150.15</v>
      </c>
      <c r="H4866" s="26">
        <v>750.75</v>
      </c>
      <c r="I4866" s="429" t="s">
        <v>42</v>
      </c>
      <c r="J4866" s="161" t="s">
        <v>89</v>
      </c>
      <c r="K4866" s="30">
        <v>43571</v>
      </c>
      <c r="W4866" s="300">
        <v>43616</v>
      </c>
      <c r="X4866" s="300">
        <v>43570</v>
      </c>
      <c r="Y4866" s="294" t="s">
        <v>851</v>
      </c>
      <c r="Z4866" s="294">
        <v>20671</v>
      </c>
      <c r="AA4866" s="449">
        <v>43616</v>
      </c>
      <c r="AB4866" s="237"/>
      <c r="AC4866" s="244"/>
      <c r="AD4866" s="244"/>
      <c r="AE4866" s="244"/>
      <c r="AF4866" s="244"/>
      <c r="AG4866" s="369"/>
      <c r="AH4866" s="369"/>
      <c r="AI4866" s="370">
        <v>23172</v>
      </c>
      <c r="AJ4866" s="371">
        <v>43612</v>
      </c>
      <c r="AK4866" s="370">
        <v>23172</v>
      </c>
      <c r="AL4866" s="370">
        <v>0</v>
      </c>
      <c r="AM4866" s="369" t="s">
        <v>49</v>
      </c>
      <c r="AN4866" s="369" t="s">
        <v>284</v>
      </c>
      <c r="AO4866" s="369" t="s">
        <v>50</v>
      </c>
      <c r="AP4866" s="369" t="s">
        <v>376</v>
      </c>
      <c r="AQ4866" s="372" t="s">
        <v>439</v>
      </c>
    </row>
    <row r="4867" spans="1:43" ht="15" customHeight="1">
      <c r="A4867" s="69">
        <v>43550</v>
      </c>
      <c r="B4867" s="70" t="s">
        <v>228</v>
      </c>
      <c r="C4867" s="21"/>
      <c r="D4867" s="21" t="s">
        <v>852</v>
      </c>
      <c r="E4867" s="23" t="s">
        <v>231</v>
      </c>
      <c r="F4867" s="24">
        <v>8</v>
      </c>
      <c r="G4867" s="25">
        <v>407.4</v>
      </c>
      <c r="H4867" s="60">
        <v>3259.2</v>
      </c>
      <c r="I4867" s="346" t="s">
        <v>170</v>
      </c>
      <c r="J4867" s="63" t="s">
        <v>89</v>
      </c>
      <c r="K4867" s="29">
        <v>43538</v>
      </c>
      <c r="W4867" s="293">
        <v>43585</v>
      </c>
      <c r="X4867" s="293">
        <v>43536</v>
      </c>
      <c r="Y4867" s="294" t="s">
        <v>853</v>
      </c>
      <c r="Z4867" s="295">
        <v>91816</v>
      </c>
      <c r="AA4867" s="300">
        <v>43586</v>
      </c>
      <c r="AB4867" s="237"/>
      <c r="AC4867" s="244"/>
      <c r="AD4867" s="244"/>
      <c r="AE4867" s="244"/>
      <c r="AF4867" s="244"/>
      <c r="AG4867" s="54"/>
      <c r="AH4867" s="54"/>
      <c r="AI4867" s="55"/>
      <c r="AJ4867" s="54"/>
      <c r="AK4867" s="55"/>
      <c r="AL4867" s="55"/>
      <c r="AM4867" s="54" t="s">
        <v>49</v>
      </c>
      <c r="AN4867" s="24" t="s">
        <v>284</v>
      </c>
      <c r="AO4867" s="54" t="s">
        <v>50</v>
      </c>
      <c r="AP4867" s="54" t="s">
        <v>376</v>
      </c>
      <c r="AQ4867" s="57" t="s">
        <v>397</v>
      </c>
    </row>
    <row r="4868" spans="1:43" ht="15" customHeight="1">
      <c r="A4868" s="19">
        <v>43552</v>
      </c>
      <c r="B4868" s="70" t="s">
        <v>100</v>
      </c>
      <c r="C4868" s="21" t="s">
        <v>777</v>
      </c>
      <c r="D4868" s="21" t="s">
        <v>854</v>
      </c>
      <c r="E4868" s="23" t="s">
        <v>346</v>
      </c>
      <c r="F4868" s="24">
        <v>1</v>
      </c>
      <c r="G4868" s="25">
        <v>189</v>
      </c>
      <c r="H4868" s="26">
        <v>189</v>
      </c>
      <c r="I4868" s="27" t="s">
        <v>302</v>
      </c>
      <c r="J4868" s="50" t="s">
        <v>532</v>
      </c>
      <c r="K4868" s="30">
        <v>43557</v>
      </c>
      <c r="W4868" s="302">
        <v>43616</v>
      </c>
      <c r="X4868" s="303">
        <v>43567</v>
      </c>
      <c r="Y4868" s="304" t="s">
        <v>855</v>
      </c>
      <c r="Z4868" s="404"/>
      <c r="AA4868" s="46">
        <v>43616</v>
      </c>
      <c r="AB4868" s="237"/>
      <c r="AC4868" s="244"/>
      <c r="AD4868" s="244"/>
      <c r="AE4868" s="244"/>
      <c r="AF4868" s="244"/>
      <c r="AG4868" s="82"/>
      <c r="AH4868" s="82">
        <v>30.77</v>
      </c>
      <c r="AI4868" s="297">
        <f>H4868*AH4868</f>
        <v>5815.53</v>
      </c>
      <c r="AJ4868" s="145">
        <v>43602</v>
      </c>
      <c r="AK4868" s="297"/>
      <c r="AL4868" s="297"/>
      <c r="AM4868" s="296" t="s">
        <v>49</v>
      </c>
      <c r="AN4868" s="296" t="s">
        <v>284</v>
      </c>
      <c r="AO4868" s="82" t="s">
        <v>50</v>
      </c>
      <c r="AP4868" s="82" t="s">
        <v>51</v>
      </c>
      <c r="AQ4868" s="234" t="s">
        <v>304</v>
      </c>
    </row>
    <row r="4869" spans="1:43" ht="15" customHeight="1">
      <c r="A4869" s="467">
        <v>43552</v>
      </c>
      <c r="B4869" s="70" t="s">
        <v>100</v>
      </c>
      <c r="C4869" s="21" t="s">
        <v>777</v>
      </c>
      <c r="D4869" s="21" t="s">
        <v>856</v>
      </c>
      <c r="E4869" s="23" t="s">
        <v>346</v>
      </c>
      <c r="F4869" s="24">
        <v>1</v>
      </c>
      <c r="G4869" s="25">
        <v>232</v>
      </c>
      <c r="H4869" s="60">
        <v>232</v>
      </c>
      <c r="I4869" s="61" t="s">
        <v>695</v>
      </c>
      <c r="J4869" s="50" t="s">
        <v>532</v>
      </c>
      <c r="K4869" s="29">
        <v>43552</v>
      </c>
      <c r="W4869" s="303">
        <v>43616</v>
      </c>
      <c r="X4869" s="303">
        <v>43567</v>
      </c>
      <c r="Y4869" s="304" t="s">
        <v>855</v>
      </c>
      <c r="Z4869" s="404">
        <v>15656</v>
      </c>
      <c r="AA4869" s="46">
        <v>43616</v>
      </c>
      <c r="AB4869" s="237"/>
      <c r="AC4869" s="244"/>
      <c r="AD4869" s="244"/>
      <c r="AE4869" s="244"/>
      <c r="AF4869" s="244"/>
      <c r="AG4869" s="296"/>
      <c r="AH4869" s="296"/>
      <c r="AI4869" s="297"/>
      <c r="AJ4869" s="145">
        <v>43602</v>
      </c>
      <c r="AK4869" s="297"/>
      <c r="AL4869" s="297"/>
      <c r="AM4869" s="296" t="s">
        <v>49</v>
      </c>
      <c r="AN4869" s="296" t="s">
        <v>284</v>
      </c>
      <c r="AO4869" s="296" t="s">
        <v>50</v>
      </c>
      <c r="AP4869" s="296" t="s">
        <v>51</v>
      </c>
      <c r="AQ4869" s="234" t="s">
        <v>304</v>
      </c>
    </row>
    <row r="4870" spans="1:43" ht="15" customHeight="1">
      <c r="A4870" s="69">
        <v>43553</v>
      </c>
      <c r="B4870" s="144" t="s">
        <v>139</v>
      </c>
      <c r="C4870" s="21" t="s">
        <v>857</v>
      </c>
      <c r="D4870" s="21" t="s">
        <v>858</v>
      </c>
      <c r="E4870" s="23" t="s">
        <v>859</v>
      </c>
      <c r="F4870" s="24">
        <v>1</v>
      </c>
      <c r="G4870" s="25">
        <v>49.5</v>
      </c>
      <c r="H4870" s="60">
        <v>49.5</v>
      </c>
      <c r="I4870" s="61" t="s">
        <v>695</v>
      </c>
      <c r="J4870" s="50" t="s">
        <v>860</v>
      </c>
      <c r="K4870" s="29">
        <v>43566</v>
      </c>
      <c r="W4870" s="300">
        <v>43590</v>
      </c>
      <c r="X4870" s="300">
        <v>43563</v>
      </c>
      <c r="Y4870" s="294" t="s">
        <v>861</v>
      </c>
      <c r="Z4870" s="294">
        <v>1935</v>
      </c>
      <c r="AA4870" s="300">
        <v>43592</v>
      </c>
      <c r="AB4870" s="237"/>
      <c r="AC4870" s="244"/>
      <c r="AD4870" s="244"/>
      <c r="AE4870" s="244"/>
      <c r="AF4870" s="244"/>
      <c r="AG4870" s="54"/>
      <c r="AH4870" s="54">
        <v>30.76</v>
      </c>
      <c r="AI4870" s="38">
        <f>AH4870*H4870</f>
        <v>1522.6200000000001</v>
      </c>
      <c r="AJ4870" s="56">
        <v>43574</v>
      </c>
      <c r="AK4870" s="55"/>
      <c r="AL4870" s="55"/>
      <c r="AM4870" s="54" t="s">
        <v>49</v>
      </c>
      <c r="AN4870" s="24" t="s">
        <v>284</v>
      </c>
      <c r="AO4870" s="54" t="s">
        <v>285</v>
      </c>
      <c r="AP4870" s="54" t="s">
        <v>51</v>
      </c>
      <c r="AQ4870" s="57" t="s">
        <v>397</v>
      </c>
    </row>
    <row r="4871" spans="1:43" ht="15" customHeight="1">
      <c r="A4871" s="69">
        <v>43553</v>
      </c>
      <c r="B4871" s="144" t="s">
        <v>139</v>
      </c>
      <c r="C4871" s="21" t="s">
        <v>857</v>
      </c>
      <c r="D4871" s="21" t="s">
        <v>858</v>
      </c>
      <c r="E4871" s="23" t="s">
        <v>862</v>
      </c>
      <c r="F4871" s="24">
        <v>1</v>
      </c>
      <c r="G4871" s="25">
        <v>33</v>
      </c>
      <c r="H4871" s="60">
        <v>33</v>
      </c>
      <c r="I4871" s="61" t="s">
        <v>695</v>
      </c>
      <c r="J4871" s="50" t="s">
        <v>860</v>
      </c>
      <c r="K4871" s="29">
        <v>43566</v>
      </c>
      <c r="W4871" s="293">
        <v>43621</v>
      </c>
      <c r="X4871" s="300">
        <v>43588</v>
      </c>
      <c r="Y4871" s="294" t="s">
        <v>863</v>
      </c>
      <c r="Z4871" s="294">
        <v>701</v>
      </c>
      <c r="AA4871" s="300">
        <v>43621</v>
      </c>
      <c r="AB4871" s="237"/>
      <c r="AC4871" s="244"/>
      <c r="AD4871" s="244"/>
      <c r="AE4871" s="244"/>
      <c r="AF4871" s="244"/>
      <c r="AG4871" s="54"/>
      <c r="AH4871" s="54">
        <v>30.76</v>
      </c>
      <c r="AI4871" s="38">
        <f>AH4871*H4871</f>
        <v>1015.08</v>
      </c>
      <c r="AJ4871" s="56">
        <v>43574</v>
      </c>
      <c r="AK4871" s="55"/>
      <c r="AL4871" s="55"/>
      <c r="AM4871" s="54" t="s">
        <v>49</v>
      </c>
      <c r="AN4871" s="24" t="s">
        <v>284</v>
      </c>
      <c r="AO4871" s="54" t="s">
        <v>285</v>
      </c>
      <c r="AP4871" s="54" t="s">
        <v>51</v>
      </c>
      <c r="AQ4871" s="57"/>
    </row>
    <row r="4872" spans="1:43" ht="15" customHeight="1">
      <c r="A4872" s="69">
        <v>43553</v>
      </c>
      <c r="B4872" s="144" t="s">
        <v>139</v>
      </c>
      <c r="C4872" s="21" t="s">
        <v>857</v>
      </c>
      <c r="D4872" s="21" t="s">
        <v>858</v>
      </c>
      <c r="E4872" s="23" t="s">
        <v>864</v>
      </c>
      <c r="F4872" s="24">
        <v>1</v>
      </c>
      <c r="G4872" s="25">
        <v>590</v>
      </c>
      <c r="H4872" s="60">
        <v>590</v>
      </c>
      <c r="I4872" s="61" t="s">
        <v>695</v>
      </c>
      <c r="J4872" s="50" t="s">
        <v>860</v>
      </c>
      <c r="K4872" s="29">
        <v>43566</v>
      </c>
      <c r="W4872" s="52"/>
      <c r="X4872" s="53"/>
      <c r="Y4872" s="53"/>
      <c r="Z4872" s="53"/>
      <c r="AA4872" s="53"/>
      <c r="AB4872" s="237"/>
      <c r="AC4872" s="244"/>
      <c r="AD4872" s="244"/>
      <c r="AE4872" s="244"/>
      <c r="AF4872" s="244"/>
      <c r="AG4872" s="54"/>
      <c r="AH4872" s="54">
        <v>30.76</v>
      </c>
      <c r="AI4872" s="38">
        <f>AH4872*H4872</f>
        <v>18148.400000000001</v>
      </c>
      <c r="AJ4872" s="56">
        <v>43574</v>
      </c>
      <c r="AK4872" s="55">
        <f>695.6*30.78</f>
        <v>21410.568000000003</v>
      </c>
      <c r="AL4872" s="55">
        <f>6.5*30.78</f>
        <v>200.07</v>
      </c>
      <c r="AM4872" s="54" t="s">
        <v>49</v>
      </c>
      <c r="AN4872" s="24" t="s">
        <v>284</v>
      </c>
      <c r="AO4872" s="54" t="s">
        <v>285</v>
      </c>
      <c r="AP4872" s="54" t="s">
        <v>51</v>
      </c>
      <c r="AQ4872" s="57" t="s">
        <v>397</v>
      </c>
    </row>
    <row r="4873" spans="1:43" ht="15" customHeight="1">
      <c r="A4873" s="69">
        <v>43553</v>
      </c>
      <c r="B4873" s="144" t="s">
        <v>139</v>
      </c>
      <c r="C4873" s="21" t="s">
        <v>857</v>
      </c>
      <c r="D4873" s="21" t="s">
        <v>858</v>
      </c>
      <c r="E4873" s="23" t="s">
        <v>864</v>
      </c>
      <c r="F4873" s="24">
        <v>1</v>
      </c>
      <c r="G4873" s="25">
        <v>-350</v>
      </c>
      <c r="H4873" s="60">
        <v>-350</v>
      </c>
      <c r="I4873" s="61" t="s">
        <v>695</v>
      </c>
      <c r="J4873" s="58"/>
      <c r="K4873" s="30"/>
      <c r="W4873" s="52"/>
      <c r="X4873" s="53"/>
      <c r="Y4873" s="53"/>
      <c r="Z4873" s="53"/>
      <c r="AA4873" s="53"/>
      <c r="AB4873" s="237"/>
      <c r="AC4873" s="244"/>
      <c r="AD4873" s="244"/>
      <c r="AE4873" s="244"/>
      <c r="AF4873" s="244"/>
      <c r="AG4873" s="54"/>
      <c r="AH4873" s="54"/>
      <c r="AI4873" s="55"/>
      <c r="AJ4873" s="56">
        <v>43676</v>
      </c>
      <c r="AK4873" s="55"/>
      <c r="AL4873" s="55"/>
      <c r="AM4873" s="54" t="s">
        <v>49</v>
      </c>
      <c r="AN4873" s="24" t="s">
        <v>284</v>
      </c>
      <c r="AO4873" s="54" t="s">
        <v>285</v>
      </c>
      <c r="AP4873" s="54" t="s">
        <v>51</v>
      </c>
      <c r="AQ4873" s="57"/>
    </row>
    <row r="4874" spans="1:43" ht="15" customHeight="1">
      <c r="A4874" s="69">
        <v>43553</v>
      </c>
      <c r="B4874" s="144" t="s">
        <v>139</v>
      </c>
      <c r="C4874" s="21" t="s">
        <v>857</v>
      </c>
      <c r="D4874" s="21" t="s">
        <v>865</v>
      </c>
      <c r="E4874" s="23" t="s">
        <v>866</v>
      </c>
      <c r="F4874" s="24">
        <v>1</v>
      </c>
      <c r="G4874" s="48">
        <v>26.5</v>
      </c>
      <c r="H4874" s="468">
        <v>26.5</v>
      </c>
      <c r="I4874" s="87" t="s">
        <v>695</v>
      </c>
      <c r="J4874" s="405" t="s">
        <v>860</v>
      </c>
      <c r="K4874" s="29">
        <v>43573</v>
      </c>
      <c r="W4874" s="293">
        <v>43590</v>
      </c>
      <c r="X4874" s="300">
        <v>43558</v>
      </c>
      <c r="Y4874" s="294" t="s">
        <v>867</v>
      </c>
      <c r="Z4874" s="294">
        <v>756</v>
      </c>
      <c r="AA4874" s="300">
        <v>43592</v>
      </c>
      <c r="AB4874" s="237"/>
      <c r="AC4874" s="244"/>
      <c r="AD4874" s="244"/>
      <c r="AE4874" s="244"/>
      <c r="AF4874" s="244"/>
      <c r="AG4874" s="54"/>
      <c r="AH4874" s="54">
        <v>30.76</v>
      </c>
      <c r="AI4874" s="55">
        <f t="shared" ref="AI4874:AI4881" si="288">AH4874*H4874</f>
        <v>815.14</v>
      </c>
      <c r="AJ4874" s="56">
        <v>43574</v>
      </c>
      <c r="AK4874" s="55"/>
      <c r="AL4874" s="55"/>
      <c r="AM4874" s="54" t="s">
        <v>49</v>
      </c>
      <c r="AN4874" s="24" t="s">
        <v>284</v>
      </c>
      <c r="AO4874" s="54" t="s">
        <v>285</v>
      </c>
      <c r="AP4874" s="54" t="s">
        <v>51</v>
      </c>
      <c r="AQ4874" s="57" t="s">
        <v>397</v>
      </c>
    </row>
    <row r="4875" spans="1:43" ht="15" customHeight="1">
      <c r="A4875" s="69">
        <v>43553</v>
      </c>
      <c r="B4875" s="144" t="s">
        <v>139</v>
      </c>
      <c r="C4875" s="21" t="s">
        <v>857</v>
      </c>
      <c r="D4875" s="21" t="s">
        <v>865</v>
      </c>
      <c r="E4875" s="23" t="s">
        <v>868</v>
      </c>
      <c r="F4875" s="24">
        <v>1</v>
      </c>
      <c r="G4875" s="25">
        <v>3.1</v>
      </c>
      <c r="H4875" s="60">
        <v>3.1</v>
      </c>
      <c r="I4875" s="87" t="s">
        <v>695</v>
      </c>
      <c r="J4875" s="50" t="s">
        <v>860</v>
      </c>
      <c r="K4875" s="29">
        <v>43573</v>
      </c>
      <c r="W4875" s="52"/>
      <c r="X4875" s="53"/>
      <c r="Y4875" s="53"/>
      <c r="Z4875" s="53"/>
      <c r="AA4875" s="53"/>
      <c r="AB4875" s="237"/>
      <c r="AC4875" s="244"/>
      <c r="AD4875" s="244"/>
      <c r="AE4875" s="244"/>
      <c r="AF4875" s="244"/>
      <c r="AG4875" s="54"/>
      <c r="AH4875" s="54">
        <v>30.76</v>
      </c>
      <c r="AI4875" s="55">
        <f t="shared" si="288"/>
        <v>95.356000000000009</v>
      </c>
      <c r="AJ4875" s="56">
        <v>43574</v>
      </c>
      <c r="AK4875" s="55"/>
      <c r="AL4875" s="55"/>
      <c r="AM4875" s="54" t="s">
        <v>49</v>
      </c>
      <c r="AN4875" s="24" t="s">
        <v>284</v>
      </c>
      <c r="AO4875" s="54" t="s">
        <v>285</v>
      </c>
      <c r="AP4875" s="54" t="s">
        <v>51</v>
      </c>
      <c r="AQ4875" s="57" t="s">
        <v>397</v>
      </c>
    </row>
    <row r="4876" spans="1:43" ht="15" customHeight="1">
      <c r="A4876" s="69">
        <v>43556</v>
      </c>
      <c r="B4876" s="70" t="s">
        <v>129</v>
      </c>
      <c r="C4876" s="21" t="s">
        <v>869</v>
      </c>
      <c r="D4876" s="21" t="s">
        <v>870</v>
      </c>
      <c r="E4876" s="23" t="s">
        <v>871</v>
      </c>
      <c r="F4876" s="24">
        <v>2</v>
      </c>
      <c r="G4876" s="25">
        <v>6</v>
      </c>
      <c r="H4876" s="60">
        <v>12</v>
      </c>
      <c r="I4876" s="87" t="s">
        <v>247</v>
      </c>
      <c r="J4876" s="63" t="s">
        <v>133</v>
      </c>
      <c r="K4876" s="29">
        <v>43571</v>
      </c>
      <c r="W4876" s="300">
        <v>43616</v>
      </c>
      <c r="X4876" s="300">
        <v>43567</v>
      </c>
      <c r="Y4876" s="294" t="s">
        <v>872</v>
      </c>
      <c r="Z4876" s="294"/>
      <c r="AA4876" s="449">
        <v>43616</v>
      </c>
      <c r="AB4876" s="237"/>
      <c r="AC4876" s="244"/>
      <c r="AD4876" s="244"/>
      <c r="AE4876" s="244"/>
      <c r="AF4876" s="244"/>
      <c r="AG4876" s="54"/>
      <c r="AH4876" s="54">
        <v>30.76</v>
      </c>
      <c r="AI4876" s="55">
        <f t="shared" si="288"/>
        <v>369.12</v>
      </c>
      <c r="AJ4876" s="56">
        <v>43563</v>
      </c>
      <c r="AK4876" s="55">
        <f>1525.5*30.784</f>
        <v>46960.991999999998</v>
      </c>
      <c r="AL4876" s="55">
        <f>(1543-1525.5)*30.784</f>
        <v>538.72</v>
      </c>
      <c r="AM4876" s="54" t="s">
        <v>49</v>
      </c>
      <c r="AN4876" s="24" t="s">
        <v>284</v>
      </c>
      <c r="AO4876" s="54" t="s">
        <v>50</v>
      </c>
      <c r="AP4876" s="54" t="s">
        <v>51</v>
      </c>
      <c r="AQ4876" s="57" t="s">
        <v>397</v>
      </c>
    </row>
    <row r="4877" spans="1:43" ht="15" customHeight="1">
      <c r="A4877" s="69">
        <v>43556</v>
      </c>
      <c r="B4877" s="70" t="s">
        <v>129</v>
      </c>
      <c r="C4877" s="21" t="s">
        <v>869</v>
      </c>
      <c r="D4877" s="21" t="s">
        <v>870</v>
      </c>
      <c r="E4877" s="23" t="s">
        <v>873</v>
      </c>
      <c r="F4877" s="24">
        <v>10</v>
      </c>
      <c r="G4877" s="25">
        <v>4</v>
      </c>
      <c r="H4877" s="60">
        <v>40</v>
      </c>
      <c r="I4877" s="87" t="s">
        <v>247</v>
      </c>
      <c r="J4877" s="63" t="s">
        <v>133</v>
      </c>
      <c r="K4877" s="29">
        <v>43571</v>
      </c>
      <c r="W4877" s="300">
        <v>43616</v>
      </c>
      <c r="X4877" s="300">
        <v>43567</v>
      </c>
      <c r="Y4877" s="294" t="s">
        <v>872</v>
      </c>
      <c r="Z4877" s="294"/>
      <c r="AA4877" s="449">
        <v>43616</v>
      </c>
      <c r="AB4877" s="237"/>
      <c r="AC4877" s="244"/>
      <c r="AD4877" s="244"/>
      <c r="AE4877" s="244"/>
      <c r="AF4877" s="244"/>
      <c r="AG4877" s="54"/>
      <c r="AH4877" s="54">
        <v>30.76</v>
      </c>
      <c r="AI4877" s="55">
        <f t="shared" si="288"/>
        <v>1230.4000000000001</v>
      </c>
      <c r="AJ4877" s="56">
        <v>43563</v>
      </c>
      <c r="AK4877" s="55"/>
      <c r="AL4877" s="55"/>
      <c r="AM4877" s="54" t="s">
        <v>49</v>
      </c>
      <c r="AN4877" s="24" t="s">
        <v>284</v>
      </c>
      <c r="AO4877" s="54" t="s">
        <v>50</v>
      </c>
      <c r="AP4877" s="54" t="s">
        <v>51</v>
      </c>
      <c r="AQ4877" s="57" t="s">
        <v>397</v>
      </c>
    </row>
    <row r="4878" spans="1:43" ht="15" customHeight="1">
      <c r="A4878" s="69">
        <v>43556</v>
      </c>
      <c r="B4878" s="70" t="s">
        <v>129</v>
      </c>
      <c r="C4878" s="21" t="s">
        <v>869</v>
      </c>
      <c r="D4878" s="21" t="s">
        <v>870</v>
      </c>
      <c r="E4878" s="23" t="s">
        <v>243</v>
      </c>
      <c r="F4878" s="24">
        <v>5</v>
      </c>
      <c r="G4878" s="25">
        <v>50</v>
      </c>
      <c r="H4878" s="60">
        <v>250</v>
      </c>
      <c r="I4878" s="87" t="s">
        <v>247</v>
      </c>
      <c r="J4878" s="63" t="s">
        <v>133</v>
      </c>
      <c r="K4878" s="29">
        <v>43571</v>
      </c>
      <c r="W4878" s="300">
        <v>43616</v>
      </c>
      <c r="X4878" s="300">
        <v>43567</v>
      </c>
      <c r="Y4878" s="294" t="s">
        <v>872</v>
      </c>
      <c r="Z4878" s="294"/>
      <c r="AA4878" s="449">
        <v>43616</v>
      </c>
      <c r="AB4878" s="237"/>
      <c r="AC4878" s="244"/>
      <c r="AD4878" s="244"/>
      <c r="AE4878" s="244"/>
      <c r="AF4878" s="244"/>
      <c r="AG4878" s="54"/>
      <c r="AH4878" s="54">
        <v>30.76</v>
      </c>
      <c r="AI4878" s="55">
        <f t="shared" si="288"/>
        <v>7690</v>
      </c>
      <c r="AJ4878" s="56">
        <v>43563</v>
      </c>
      <c r="AK4878" s="55"/>
      <c r="AL4878" s="55"/>
      <c r="AM4878" s="54" t="s">
        <v>49</v>
      </c>
      <c r="AN4878" s="24" t="s">
        <v>284</v>
      </c>
      <c r="AO4878" s="54" t="s">
        <v>50</v>
      </c>
      <c r="AP4878" s="54" t="s">
        <v>51</v>
      </c>
      <c r="AQ4878" s="57" t="s">
        <v>397</v>
      </c>
    </row>
    <row r="4879" spans="1:43" ht="15" customHeight="1">
      <c r="A4879" s="69">
        <v>43556</v>
      </c>
      <c r="B4879" s="70" t="s">
        <v>129</v>
      </c>
      <c r="C4879" s="21" t="s">
        <v>869</v>
      </c>
      <c r="D4879" s="21" t="s">
        <v>870</v>
      </c>
      <c r="E4879" s="23" t="s">
        <v>874</v>
      </c>
      <c r="F4879" s="24">
        <v>5</v>
      </c>
      <c r="G4879" s="25">
        <v>85</v>
      </c>
      <c r="H4879" s="60">
        <v>425</v>
      </c>
      <c r="I4879" s="87" t="s">
        <v>247</v>
      </c>
      <c r="J4879" s="63" t="s">
        <v>133</v>
      </c>
      <c r="K4879" s="29">
        <v>43571</v>
      </c>
      <c r="W4879" s="300">
        <v>43616</v>
      </c>
      <c r="X4879" s="300">
        <v>43567</v>
      </c>
      <c r="Y4879" s="294" t="s">
        <v>872</v>
      </c>
      <c r="Z4879" s="294"/>
      <c r="AA4879" s="449">
        <v>43616</v>
      </c>
      <c r="AB4879" s="237"/>
      <c r="AC4879" s="244"/>
      <c r="AD4879" s="244"/>
      <c r="AE4879" s="244"/>
      <c r="AF4879" s="244"/>
      <c r="AG4879" s="54"/>
      <c r="AH4879" s="54">
        <v>30.76</v>
      </c>
      <c r="AI4879" s="55">
        <f t="shared" si="288"/>
        <v>13073</v>
      </c>
      <c r="AJ4879" s="56">
        <v>43563</v>
      </c>
      <c r="AK4879" s="55"/>
      <c r="AL4879" s="55"/>
      <c r="AM4879" s="54" t="s">
        <v>49</v>
      </c>
      <c r="AN4879" s="24" t="s">
        <v>284</v>
      </c>
      <c r="AO4879" s="54" t="s">
        <v>50</v>
      </c>
      <c r="AP4879" s="54" t="s">
        <v>51</v>
      </c>
      <c r="AQ4879" s="57" t="s">
        <v>397</v>
      </c>
    </row>
    <row r="4880" spans="1:43" ht="15" customHeight="1">
      <c r="A4880" s="69">
        <v>43556</v>
      </c>
      <c r="B4880" s="70" t="s">
        <v>129</v>
      </c>
      <c r="C4880" s="21" t="s">
        <v>869</v>
      </c>
      <c r="D4880" s="21" t="s">
        <v>870</v>
      </c>
      <c r="E4880" s="23" t="s">
        <v>875</v>
      </c>
      <c r="F4880" s="24">
        <v>1</v>
      </c>
      <c r="G4880" s="25">
        <v>96</v>
      </c>
      <c r="H4880" s="60">
        <v>96</v>
      </c>
      <c r="I4880" s="87" t="s">
        <v>247</v>
      </c>
      <c r="J4880" s="63" t="s">
        <v>133</v>
      </c>
      <c r="K4880" s="29">
        <v>43571</v>
      </c>
      <c r="W4880" s="300">
        <v>43616</v>
      </c>
      <c r="X4880" s="300">
        <v>43567</v>
      </c>
      <c r="Y4880" s="294" t="s">
        <v>872</v>
      </c>
      <c r="Z4880" s="294">
        <v>45508</v>
      </c>
      <c r="AA4880" s="449">
        <v>43616</v>
      </c>
      <c r="AB4880" s="237"/>
      <c r="AC4880" s="244"/>
      <c r="AD4880" s="244"/>
      <c r="AE4880" s="244"/>
      <c r="AF4880" s="244"/>
      <c r="AG4880" s="54"/>
      <c r="AH4880" s="54">
        <v>30.76</v>
      </c>
      <c r="AI4880" s="55">
        <f t="shared" si="288"/>
        <v>2952.96</v>
      </c>
      <c r="AJ4880" s="56">
        <v>43563</v>
      </c>
      <c r="AK4880" s="55"/>
      <c r="AL4880" s="55"/>
      <c r="AM4880" s="54" t="s">
        <v>49</v>
      </c>
      <c r="AN4880" s="24" t="s">
        <v>284</v>
      </c>
      <c r="AO4880" s="54" t="s">
        <v>50</v>
      </c>
      <c r="AP4880" s="54" t="s">
        <v>51</v>
      </c>
      <c r="AQ4880" s="57" t="s">
        <v>397</v>
      </c>
    </row>
    <row r="4881" spans="1:43" ht="15" customHeight="1">
      <c r="A4881" s="69">
        <v>43558</v>
      </c>
      <c r="B4881" s="70" t="s">
        <v>129</v>
      </c>
      <c r="C4881" s="21" t="s">
        <v>869</v>
      </c>
      <c r="D4881" s="21" t="s">
        <v>870</v>
      </c>
      <c r="E4881" s="23" t="s">
        <v>876</v>
      </c>
      <c r="F4881" s="24">
        <v>8</v>
      </c>
      <c r="G4881" s="48">
        <v>90</v>
      </c>
      <c r="H4881" s="60">
        <v>720</v>
      </c>
      <c r="I4881" s="87" t="s">
        <v>247</v>
      </c>
      <c r="J4881" s="63" t="s">
        <v>133</v>
      </c>
      <c r="K4881" s="29">
        <v>43571</v>
      </c>
      <c r="W4881" s="300">
        <v>43616</v>
      </c>
      <c r="X4881" s="300">
        <v>43567</v>
      </c>
      <c r="Y4881" s="294" t="s">
        <v>872</v>
      </c>
      <c r="Z4881" s="294"/>
      <c r="AA4881" s="449">
        <v>43616</v>
      </c>
      <c r="AB4881" s="237"/>
      <c r="AC4881" s="244"/>
      <c r="AD4881" s="244"/>
      <c r="AE4881" s="244"/>
      <c r="AF4881" s="244"/>
      <c r="AG4881" s="54"/>
      <c r="AH4881" s="54">
        <v>30.76</v>
      </c>
      <c r="AI4881" s="55">
        <f t="shared" si="288"/>
        <v>22147.200000000001</v>
      </c>
      <c r="AJ4881" s="56">
        <v>43563</v>
      </c>
      <c r="AK4881" s="55"/>
      <c r="AL4881" s="55"/>
      <c r="AM4881" s="54" t="s">
        <v>49</v>
      </c>
      <c r="AN4881" s="24" t="s">
        <v>284</v>
      </c>
      <c r="AO4881" s="54" t="s">
        <v>50</v>
      </c>
      <c r="AP4881" s="54" t="s">
        <v>51</v>
      </c>
      <c r="AQ4881" s="57" t="s">
        <v>397</v>
      </c>
    </row>
    <row r="4882" spans="1:43" ht="15" customHeight="1">
      <c r="A4882" s="69">
        <v>43558</v>
      </c>
      <c r="B4882" s="70" t="s">
        <v>558</v>
      </c>
      <c r="C4882" s="21"/>
      <c r="D4882" s="21" t="s">
        <v>877</v>
      </c>
      <c r="E4882" s="23" t="s">
        <v>878</v>
      </c>
      <c r="F4882" s="24">
        <v>1</v>
      </c>
      <c r="G4882" s="48">
        <v>744</v>
      </c>
      <c r="H4882" s="165">
        <v>744</v>
      </c>
      <c r="I4882" s="87" t="s">
        <v>302</v>
      </c>
      <c r="J4882" s="63"/>
      <c r="K4882" s="29">
        <v>43564</v>
      </c>
      <c r="W4882" s="52"/>
      <c r="X4882" s="53"/>
      <c r="Y4882" s="53"/>
      <c r="Z4882" s="53"/>
      <c r="AA4882" s="53"/>
      <c r="AB4882" s="237"/>
      <c r="AC4882" s="244"/>
      <c r="AD4882" s="244"/>
      <c r="AE4882" s="244"/>
      <c r="AF4882" s="244"/>
      <c r="AG4882" s="54"/>
      <c r="AH4882" s="54"/>
      <c r="AI4882" s="55">
        <v>23451</v>
      </c>
      <c r="AJ4882" s="56">
        <v>43595</v>
      </c>
      <c r="AK4882" s="55">
        <v>23451</v>
      </c>
      <c r="AL4882" s="55">
        <v>0</v>
      </c>
      <c r="AM4882" s="54" t="s">
        <v>49</v>
      </c>
      <c r="AN4882" s="24" t="s">
        <v>284</v>
      </c>
      <c r="AO4882" s="54" t="s">
        <v>50</v>
      </c>
      <c r="AP4882" s="54" t="s">
        <v>376</v>
      </c>
      <c r="AQ4882" s="57"/>
    </row>
    <row r="4883" spans="1:43" ht="15" customHeight="1">
      <c r="A4883" s="69">
        <v>43563</v>
      </c>
      <c r="B4883" s="51" t="s">
        <v>100</v>
      </c>
      <c r="C4883" s="22" t="s">
        <v>387</v>
      </c>
      <c r="D4883" s="469" t="s">
        <v>879</v>
      </c>
      <c r="E4883" s="23" t="s">
        <v>346</v>
      </c>
      <c r="F4883" s="82">
        <v>1</v>
      </c>
      <c r="G4883" s="150">
        <v>144</v>
      </c>
      <c r="H4883" s="26">
        <v>144</v>
      </c>
      <c r="I4883" s="49" t="s">
        <v>302</v>
      </c>
      <c r="J4883" s="58" t="s">
        <v>289</v>
      </c>
      <c r="K4883" s="30">
        <v>43563</v>
      </c>
      <c r="W4883" s="302">
        <v>43616</v>
      </c>
      <c r="X4883" s="303">
        <v>43567</v>
      </c>
      <c r="Y4883" s="304" t="s">
        <v>855</v>
      </c>
      <c r="Z4883" s="404"/>
      <c r="AA4883" s="46">
        <v>43616</v>
      </c>
      <c r="AB4883" s="237"/>
      <c r="AC4883" s="244"/>
      <c r="AD4883" s="244"/>
      <c r="AE4883" s="244"/>
      <c r="AF4883" s="244"/>
      <c r="AG4883" s="82"/>
      <c r="AH4883" s="82">
        <v>30.77</v>
      </c>
      <c r="AI4883" s="297">
        <f>H4883*AH4883</f>
        <v>4430.88</v>
      </c>
      <c r="AJ4883" s="145">
        <v>43602</v>
      </c>
      <c r="AK4883" s="297"/>
      <c r="AL4883" s="297"/>
      <c r="AM4883" s="296" t="s">
        <v>49</v>
      </c>
      <c r="AN4883" s="24" t="s">
        <v>284</v>
      </c>
      <c r="AO4883" s="82" t="s">
        <v>50</v>
      </c>
      <c r="AP4883" s="82" t="s">
        <v>51</v>
      </c>
      <c r="AQ4883" s="234" t="s">
        <v>304</v>
      </c>
    </row>
    <row r="4884" spans="1:43" ht="15" customHeight="1">
      <c r="A4884" s="69">
        <v>43563</v>
      </c>
      <c r="B4884" s="23" t="s">
        <v>405</v>
      </c>
      <c r="C4884" s="21">
        <v>7000146455</v>
      </c>
      <c r="D4884" s="21" t="s">
        <v>880</v>
      </c>
      <c r="E4884" s="23" t="s">
        <v>518</v>
      </c>
      <c r="F4884" s="24">
        <v>5</v>
      </c>
      <c r="G4884" s="48">
        <v>141.80000000000001</v>
      </c>
      <c r="H4884" s="60">
        <v>709</v>
      </c>
      <c r="I4884" s="87" t="s">
        <v>42</v>
      </c>
      <c r="J4884" s="50" t="s">
        <v>512</v>
      </c>
      <c r="K4884" s="29">
        <v>43566</v>
      </c>
      <c r="W4884" s="77">
        <v>43646</v>
      </c>
      <c r="X4884" s="470">
        <v>43565</v>
      </c>
      <c r="Y4884" s="53" t="s">
        <v>881</v>
      </c>
      <c r="Z4884" s="53">
        <v>20549</v>
      </c>
      <c r="AA4884" s="460">
        <v>43647</v>
      </c>
      <c r="AB4884" s="237"/>
      <c r="AC4884" s="244"/>
      <c r="AD4884" s="244"/>
      <c r="AE4884" s="244"/>
      <c r="AF4884" s="244"/>
      <c r="AG4884" s="54"/>
      <c r="AH4884" s="54">
        <v>30.76</v>
      </c>
      <c r="AI4884" s="38">
        <f>AH4884*H4884</f>
        <v>21808.84</v>
      </c>
      <c r="AJ4884" s="298">
        <v>43602</v>
      </c>
      <c r="AK4884" s="55"/>
      <c r="AL4884" s="55"/>
      <c r="AM4884" s="54" t="s">
        <v>49</v>
      </c>
      <c r="AN4884" s="24" t="s">
        <v>284</v>
      </c>
      <c r="AO4884" s="54" t="s">
        <v>50</v>
      </c>
      <c r="AP4884" s="54" t="s">
        <v>51</v>
      </c>
      <c r="AQ4884" s="57"/>
    </row>
    <row r="4885" spans="1:43" ht="15" customHeight="1">
      <c r="A4885" s="19">
        <v>43564</v>
      </c>
      <c r="B4885" s="20" t="s">
        <v>325</v>
      </c>
      <c r="C4885" s="21">
        <v>2028512</v>
      </c>
      <c r="D4885" s="22" t="s">
        <v>882</v>
      </c>
      <c r="E4885" s="23" t="s">
        <v>702</v>
      </c>
      <c r="F4885" s="24">
        <v>12</v>
      </c>
      <c r="G4885" s="48">
        <v>27</v>
      </c>
      <c r="H4885" s="26">
        <v>324</v>
      </c>
      <c r="I4885" s="49" t="s">
        <v>42</v>
      </c>
      <c r="J4885" s="82" t="s">
        <v>732</v>
      </c>
      <c r="K4885" s="29">
        <v>43619</v>
      </c>
      <c r="W4885" s="300">
        <v>43646</v>
      </c>
      <c r="X4885" s="300">
        <v>43585</v>
      </c>
      <c r="Y4885" s="294" t="s">
        <v>883</v>
      </c>
      <c r="Z4885" s="294">
        <v>229264</v>
      </c>
      <c r="AA4885" s="300">
        <v>43647</v>
      </c>
      <c r="AB4885" s="237"/>
      <c r="AC4885" s="244"/>
      <c r="AD4885" s="244"/>
      <c r="AE4885" s="244"/>
      <c r="AF4885" s="244"/>
      <c r="AG4885" s="369"/>
      <c r="AH4885" s="369">
        <v>31.454999999999998</v>
      </c>
      <c r="AI4885" s="370"/>
      <c r="AJ4885" s="371">
        <v>43633</v>
      </c>
      <c r="AK4885" s="432"/>
      <c r="AL4885" s="432"/>
      <c r="AM4885" s="369" t="s">
        <v>49</v>
      </c>
      <c r="AN4885" s="369" t="s">
        <v>284</v>
      </c>
      <c r="AO4885" s="369" t="s">
        <v>50</v>
      </c>
      <c r="AP4885" s="369" t="s">
        <v>51</v>
      </c>
      <c r="AQ4885" s="372" t="s">
        <v>439</v>
      </c>
    </row>
    <row r="4886" spans="1:43" ht="15" customHeight="1">
      <c r="A4886" s="19">
        <v>43564</v>
      </c>
      <c r="B4886" s="20" t="s">
        <v>325</v>
      </c>
      <c r="C4886" s="21">
        <v>2028512</v>
      </c>
      <c r="D4886" s="22" t="s">
        <v>882</v>
      </c>
      <c r="E4886" s="23" t="s">
        <v>327</v>
      </c>
      <c r="F4886" s="24">
        <v>12</v>
      </c>
      <c r="G4886" s="48">
        <v>607</v>
      </c>
      <c r="H4886" s="26">
        <v>7284</v>
      </c>
      <c r="I4886" s="49" t="s">
        <v>42</v>
      </c>
      <c r="J4886" s="82" t="s">
        <v>732</v>
      </c>
      <c r="K4886" s="29">
        <v>43619</v>
      </c>
      <c r="W4886" s="300">
        <v>43646</v>
      </c>
      <c r="X4886" s="300">
        <v>43585</v>
      </c>
      <c r="Y4886" s="294" t="s">
        <v>883</v>
      </c>
      <c r="Z4886" s="294"/>
      <c r="AA4886" s="300">
        <v>43647</v>
      </c>
      <c r="AB4886" s="237"/>
      <c r="AC4886" s="244"/>
      <c r="AD4886" s="244"/>
      <c r="AE4886" s="244"/>
      <c r="AF4886" s="244"/>
      <c r="AG4886" s="369"/>
      <c r="AH4886" s="369">
        <v>31.454999999999998</v>
      </c>
      <c r="AI4886" s="370"/>
      <c r="AJ4886" s="371">
        <v>43633</v>
      </c>
      <c r="AK4886" s="432"/>
      <c r="AL4886" s="432"/>
      <c r="AM4886" s="369" t="s">
        <v>49</v>
      </c>
      <c r="AN4886" s="369" t="s">
        <v>284</v>
      </c>
      <c r="AO4886" s="369" t="s">
        <v>50</v>
      </c>
      <c r="AP4886" s="369" t="s">
        <v>51</v>
      </c>
      <c r="AQ4886" s="372" t="s">
        <v>439</v>
      </c>
    </row>
    <row r="4887" spans="1:43" ht="15" customHeight="1">
      <c r="A4887" s="19">
        <v>43564</v>
      </c>
      <c r="B4887" s="144" t="s">
        <v>76</v>
      </c>
      <c r="C4887" s="21">
        <v>276</v>
      </c>
      <c r="D4887" s="21" t="s">
        <v>884</v>
      </c>
      <c r="E4887" s="23" t="s">
        <v>642</v>
      </c>
      <c r="F4887" s="24">
        <v>7</v>
      </c>
      <c r="G4887" s="48">
        <v>200</v>
      </c>
      <c r="H4887" s="26">
        <v>1400</v>
      </c>
      <c r="I4887" s="49" t="s">
        <v>42</v>
      </c>
      <c r="J4887" s="58" t="s">
        <v>315</v>
      </c>
      <c r="K4887" s="29">
        <v>43601</v>
      </c>
      <c r="W4887" s="300">
        <v>43621</v>
      </c>
      <c r="X4887" s="300">
        <v>43595</v>
      </c>
      <c r="Y4887" s="294" t="s">
        <v>885</v>
      </c>
      <c r="Z4887" s="294">
        <v>35192</v>
      </c>
      <c r="AA4887" s="300">
        <v>43621</v>
      </c>
      <c r="AB4887" s="237"/>
      <c r="AC4887" s="244"/>
      <c r="AD4887" s="244"/>
      <c r="AE4887" s="244"/>
      <c r="AF4887" s="244"/>
      <c r="AG4887" s="369"/>
      <c r="AH4887" s="369">
        <v>30.844999999999999</v>
      </c>
      <c r="AI4887" s="370">
        <v>0</v>
      </c>
      <c r="AJ4887" s="371">
        <v>43633</v>
      </c>
      <c r="AK4887" s="370"/>
      <c r="AL4887" s="370"/>
      <c r="AM4887" s="369" t="s">
        <v>49</v>
      </c>
      <c r="AN4887" s="369" t="s">
        <v>284</v>
      </c>
      <c r="AO4887" s="369" t="s">
        <v>285</v>
      </c>
      <c r="AP4887" s="369" t="s">
        <v>51</v>
      </c>
      <c r="AQ4887" s="372" t="s">
        <v>439</v>
      </c>
    </row>
    <row r="4888" spans="1:43" ht="15" customHeight="1">
      <c r="A4888" s="19">
        <v>43564</v>
      </c>
      <c r="B4888" s="144" t="s">
        <v>76</v>
      </c>
      <c r="C4888" s="21">
        <v>276</v>
      </c>
      <c r="D4888" s="21" t="s">
        <v>884</v>
      </c>
      <c r="E4888" s="23" t="s">
        <v>644</v>
      </c>
      <c r="F4888" s="24">
        <v>7</v>
      </c>
      <c r="G4888" s="48">
        <v>0</v>
      </c>
      <c r="H4888" s="26">
        <v>0</v>
      </c>
      <c r="I4888" s="49" t="s">
        <v>42</v>
      </c>
      <c r="J4888" s="58" t="s">
        <v>315</v>
      </c>
      <c r="K4888" s="29">
        <v>43601</v>
      </c>
      <c r="W4888" s="300">
        <v>43621</v>
      </c>
      <c r="X4888" s="300">
        <v>43595</v>
      </c>
      <c r="Y4888" s="294" t="s">
        <v>885</v>
      </c>
      <c r="Z4888" s="294"/>
      <c r="AA4888" s="300">
        <v>43621</v>
      </c>
      <c r="AB4888" s="237"/>
      <c r="AC4888" s="244"/>
      <c r="AD4888" s="244"/>
      <c r="AE4888" s="244"/>
      <c r="AF4888" s="244"/>
      <c r="AG4888" s="54"/>
      <c r="AH4888" s="54">
        <v>30.844999999999999</v>
      </c>
      <c r="AI4888" s="55">
        <v>0</v>
      </c>
      <c r="AJ4888" s="56">
        <v>43633</v>
      </c>
      <c r="AK4888" s="55"/>
      <c r="AL4888" s="55"/>
      <c r="AM4888" s="54" t="s">
        <v>49</v>
      </c>
      <c r="AN4888" s="54" t="s">
        <v>284</v>
      </c>
      <c r="AO4888" s="54" t="s">
        <v>285</v>
      </c>
      <c r="AP4888" s="54" t="s">
        <v>51</v>
      </c>
      <c r="AQ4888" s="57"/>
    </row>
    <row r="4889" spans="1:43" ht="15" customHeight="1">
      <c r="A4889" s="19">
        <v>43564</v>
      </c>
      <c r="B4889" s="144" t="s">
        <v>76</v>
      </c>
      <c r="C4889" s="21">
        <v>276</v>
      </c>
      <c r="D4889" s="21" t="s">
        <v>884</v>
      </c>
      <c r="E4889" s="23" t="s">
        <v>645</v>
      </c>
      <c r="F4889" s="24">
        <v>7</v>
      </c>
      <c r="G4889" s="48">
        <v>0</v>
      </c>
      <c r="H4889" s="26">
        <v>0</v>
      </c>
      <c r="I4889" s="27" t="s">
        <v>42</v>
      </c>
      <c r="J4889" s="58" t="s">
        <v>315</v>
      </c>
      <c r="K4889" s="29">
        <v>43601</v>
      </c>
      <c r="W4889" s="300">
        <v>43621</v>
      </c>
      <c r="X4889" s="300">
        <v>43595</v>
      </c>
      <c r="Y4889" s="294" t="s">
        <v>885</v>
      </c>
      <c r="Z4889" s="294"/>
      <c r="AA4889" s="300">
        <v>43621</v>
      </c>
      <c r="AB4889" s="237"/>
      <c r="AC4889" s="244"/>
      <c r="AD4889" s="244"/>
      <c r="AE4889" s="244"/>
      <c r="AF4889" s="244"/>
      <c r="AG4889" s="54"/>
      <c r="AH4889" s="54">
        <v>30.844999999999999</v>
      </c>
      <c r="AI4889" s="55">
        <v>0</v>
      </c>
      <c r="AJ4889" s="56">
        <v>43633</v>
      </c>
      <c r="AK4889" s="55"/>
      <c r="AL4889" s="55"/>
      <c r="AM4889" s="54" t="s">
        <v>49</v>
      </c>
      <c r="AN4889" s="54" t="s">
        <v>284</v>
      </c>
      <c r="AO4889" s="54" t="s">
        <v>285</v>
      </c>
      <c r="AP4889" s="54" t="s">
        <v>51</v>
      </c>
      <c r="AQ4889" s="57"/>
    </row>
    <row r="4890" spans="1:43" ht="15" customHeight="1">
      <c r="A4890" s="19">
        <v>43564</v>
      </c>
      <c r="B4890" s="144" t="s">
        <v>76</v>
      </c>
      <c r="C4890" s="21">
        <v>276</v>
      </c>
      <c r="D4890" s="21" t="s">
        <v>884</v>
      </c>
      <c r="E4890" s="23" t="s">
        <v>646</v>
      </c>
      <c r="F4890" s="24">
        <v>7</v>
      </c>
      <c r="G4890" s="48">
        <v>0</v>
      </c>
      <c r="H4890" s="26">
        <v>0</v>
      </c>
      <c r="I4890" s="27" t="s">
        <v>42</v>
      </c>
      <c r="J4890" s="58" t="s">
        <v>315</v>
      </c>
      <c r="K4890" s="29">
        <v>43601</v>
      </c>
      <c r="W4890" s="300">
        <v>43621</v>
      </c>
      <c r="X4890" s="300">
        <v>43595</v>
      </c>
      <c r="Y4890" s="294" t="s">
        <v>885</v>
      </c>
      <c r="Z4890" s="294"/>
      <c r="AA4890" s="300">
        <v>43621</v>
      </c>
      <c r="AB4890" s="237"/>
      <c r="AC4890" s="244"/>
      <c r="AD4890" s="244"/>
      <c r="AE4890" s="244"/>
      <c r="AF4890" s="244"/>
      <c r="AG4890" s="54"/>
      <c r="AH4890" s="54">
        <v>30.844999999999999</v>
      </c>
      <c r="AI4890" s="55">
        <v>0</v>
      </c>
      <c r="AJ4890" s="56">
        <v>43633</v>
      </c>
      <c r="AK4890" s="55"/>
      <c r="AL4890" s="55"/>
      <c r="AM4890" s="54" t="s">
        <v>49</v>
      </c>
      <c r="AN4890" s="54" t="s">
        <v>284</v>
      </c>
      <c r="AO4890" s="54" t="s">
        <v>285</v>
      </c>
      <c r="AP4890" s="54" t="s">
        <v>51</v>
      </c>
      <c r="AQ4890" s="57"/>
    </row>
    <row r="4891" spans="1:43" ht="15" customHeight="1">
      <c r="A4891" s="19">
        <v>43564</v>
      </c>
      <c r="B4891" s="144" t="s">
        <v>76</v>
      </c>
      <c r="C4891" s="21">
        <v>276</v>
      </c>
      <c r="D4891" s="21" t="s">
        <v>884</v>
      </c>
      <c r="E4891" s="23" t="s">
        <v>647</v>
      </c>
      <c r="F4891" s="24">
        <v>7</v>
      </c>
      <c r="G4891" s="48">
        <v>0</v>
      </c>
      <c r="H4891" s="26">
        <v>0</v>
      </c>
      <c r="I4891" s="27" t="s">
        <v>42</v>
      </c>
      <c r="J4891" s="58" t="s">
        <v>315</v>
      </c>
      <c r="K4891" s="29">
        <v>43601</v>
      </c>
      <c r="W4891" s="300">
        <v>43621</v>
      </c>
      <c r="X4891" s="300">
        <v>43595</v>
      </c>
      <c r="Y4891" s="294" t="s">
        <v>885</v>
      </c>
      <c r="Z4891" s="294"/>
      <c r="AA4891" s="300">
        <v>43621</v>
      </c>
      <c r="AB4891" s="237"/>
      <c r="AC4891" s="244"/>
      <c r="AD4891" s="244"/>
      <c r="AE4891" s="244"/>
      <c r="AF4891" s="244"/>
      <c r="AG4891" s="54"/>
      <c r="AH4891" s="54">
        <v>30.844999999999999</v>
      </c>
      <c r="AI4891" s="55">
        <v>0</v>
      </c>
      <c r="AJ4891" s="56">
        <v>43633</v>
      </c>
      <c r="AK4891" s="55"/>
      <c r="AL4891" s="55"/>
      <c r="AM4891" s="54" t="s">
        <v>49</v>
      </c>
      <c r="AN4891" s="54" t="s">
        <v>284</v>
      </c>
      <c r="AO4891" s="54" t="s">
        <v>285</v>
      </c>
      <c r="AP4891" s="54" t="s">
        <v>51</v>
      </c>
      <c r="AQ4891" s="57"/>
    </row>
    <row r="4892" spans="1:43" ht="15" customHeight="1">
      <c r="A4892" s="19">
        <v>43564</v>
      </c>
      <c r="B4892" s="144" t="s">
        <v>76</v>
      </c>
      <c r="C4892" s="21">
        <v>276</v>
      </c>
      <c r="D4892" s="21" t="s">
        <v>884</v>
      </c>
      <c r="E4892" s="23" t="s">
        <v>648</v>
      </c>
      <c r="F4892" s="24">
        <v>7</v>
      </c>
      <c r="G4892" s="48">
        <v>2</v>
      </c>
      <c r="H4892" s="26">
        <v>14</v>
      </c>
      <c r="I4892" s="27" t="s">
        <v>42</v>
      </c>
      <c r="J4892" s="58" t="s">
        <v>315</v>
      </c>
      <c r="K4892" s="29">
        <v>43601</v>
      </c>
      <c r="W4892" s="300">
        <v>43646</v>
      </c>
      <c r="X4892" s="300">
        <v>43593</v>
      </c>
      <c r="Y4892" s="294" t="s">
        <v>886</v>
      </c>
      <c r="Z4892" s="294">
        <v>546</v>
      </c>
      <c r="AA4892" s="300">
        <v>43654</v>
      </c>
      <c r="AB4892" s="237"/>
      <c r="AC4892" s="244"/>
      <c r="AD4892" s="244"/>
      <c r="AE4892" s="244"/>
      <c r="AF4892" s="244"/>
      <c r="AG4892" s="369"/>
      <c r="AH4892" s="369">
        <v>30.844999999999999</v>
      </c>
      <c r="AI4892" s="370">
        <f>1456*30.845</f>
        <v>44910.32</v>
      </c>
      <c r="AJ4892" s="371">
        <v>43633</v>
      </c>
      <c r="AK4892" s="370">
        <f>10046*31.46</f>
        <v>316047.16000000003</v>
      </c>
      <c r="AL4892" s="370">
        <f>0</f>
        <v>0</v>
      </c>
      <c r="AM4892" s="369" t="s">
        <v>49</v>
      </c>
      <c r="AN4892" s="369" t="s">
        <v>284</v>
      </c>
      <c r="AO4892" s="369" t="s">
        <v>285</v>
      </c>
      <c r="AP4892" s="369" t="s">
        <v>51</v>
      </c>
      <c r="AQ4892" s="372" t="s">
        <v>439</v>
      </c>
    </row>
    <row r="4893" spans="1:43" ht="15" customHeight="1">
      <c r="A4893" s="19">
        <v>43564</v>
      </c>
      <c r="B4893" s="144" t="s">
        <v>76</v>
      </c>
      <c r="C4893" s="21">
        <v>276</v>
      </c>
      <c r="D4893" s="21" t="s">
        <v>884</v>
      </c>
      <c r="E4893" s="23" t="s">
        <v>649</v>
      </c>
      <c r="F4893" s="24">
        <v>7</v>
      </c>
      <c r="G4893" s="48">
        <v>6</v>
      </c>
      <c r="H4893" s="26">
        <v>42</v>
      </c>
      <c r="I4893" s="27" t="s">
        <v>42</v>
      </c>
      <c r="J4893" s="58" t="s">
        <v>315</v>
      </c>
      <c r="K4893" s="29">
        <v>43601</v>
      </c>
      <c r="W4893" s="300">
        <v>43646</v>
      </c>
      <c r="X4893" s="300">
        <v>43593</v>
      </c>
      <c r="Y4893" s="294" t="s">
        <v>886</v>
      </c>
      <c r="Z4893" s="294"/>
      <c r="AA4893" s="300">
        <v>43654</v>
      </c>
      <c r="AB4893" s="237"/>
      <c r="AC4893" s="244"/>
      <c r="AD4893" s="244"/>
      <c r="AE4893" s="244"/>
      <c r="AF4893" s="244"/>
      <c r="AG4893" s="369"/>
      <c r="AH4893" s="369">
        <v>30.844999999999999</v>
      </c>
      <c r="AI4893" s="370">
        <v>0</v>
      </c>
      <c r="AJ4893" s="371">
        <v>43633</v>
      </c>
      <c r="AK4893" s="370"/>
      <c r="AL4893" s="370"/>
      <c r="AM4893" s="369" t="s">
        <v>49</v>
      </c>
      <c r="AN4893" s="369" t="s">
        <v>284</v>
      </c>
      <c r="AO4893" s="369" t="s">
        <v>285</v>
      </c>
      <c r="AP4893" s="369" t="s">
        <v>51</v>
      </c>
      <c r="AQ4893" s="372" t="s">
        <v>439</v>
      </c>
    </row>
    <row r="4894" spans="1:43" ht="15" customHeight="1">
      <c r="A4894" s="19">
        <v>43564</v>
      </c>
      <c r="B4894" s="144" t="s">
        <v>76</v>
      </c>
      <c r="C4894" s="21">
        <v>276</v>
      </c>
      <c r="D4894" s="21" t="s">
        <v>884</v>
      </c>
      <c r="E4894" s="23" t="s">
        <v>650</v>
      </c>
      <c r="F4894" s="24">
        <v>7</v>
      </c>
      <c r="G4894" s="48">
        <v>0</v>
      </c>
      <c r="H4894" s="26">
        <v>0</v>
      </c>
      <c r="I4894" s="27" t="s">
        <v>42</v>
      </c>
      <c r="J4894" s="58" t="s">
        <v>315</v>
      </c>
      <c r="K4894" s="29">
        <v>43601</v>
      </c>
      <c r="W4894" s="52"/>
      <c r="X4894" s="53"/>
      <c r="Y4894" s="53"/>
      <c r="Z4894" s="53"/>
      <c r="AA4894" s="53"/>
      <c r="AB4894" s="237"/>
      <c r="AC4894" s="244"/>
      <c r="AD4894" s="244"/>
      <c r="AE4894" s="244"/>
      <c r="AF4894" s="244"/>
      <c r="AG4894" s="54"/>
      <c r="AH4894" s="54">
        <v>30.844999999999999</v>
      </c>
      <c r="AI4894" s="55">
        <v>0</v>
      </c>
      <c r="AJ4894" s="56">
        <v>43633</v>
      </c>
      <c r="AK4894" s="55"/>
      <c r="AL4894" s="55"/>
      <c r="AM4894" s="54" t="s">
        <v>49</v>
      </c>
      <c r="AN4894" s="54" t="s">
        <v>284</v>
      </c>
      <c r="AO4894" s="54" t="s">
        <v>285</v>
      </c>
      <c r="AP4894" s="54" t="s">
        <v>51</v>
      </c>
      <c r="AQ4894" s="57"/>
    </row>
    <row r="4895" spans="1:43" ht="15" customHeight="1">
      <c r="A4895" s="69">
        <v>43566</v>
      </c>
      <c r="B4895" s="70" t="s">
        <v>100</v>
      </c>
      <c r="C4895" s="21" t="s">
        <v>299</v>
      </c>
      <c r="D4895" s="21" t="s">
        <v>887</v>
      </c>
      <c r="E4895" s="23" t="s">
        <v>346</v>
      </c>
      <c r="F4895" s="24">
        <v>1</v>
      </c>
      <c r="G4895" s="48">
        <v>195</v>
      </c>
      <c r="H4895" s="26">
        <v>195</v>
      </c>
      <c r="I4895" s="27" t="s">
        <v>302</v>
      </c>
      <c r="J4895" s="58" t="s">
        <v>262</v>
      </c>
      <c r="K4895" s="30">
        <v>43566</v>
      </c>
      <c r="W4895" s="302">
        <v>43616</v>
      </c>
      <c r="X4895" s="459">
        <v>43574</v>
      </c>
      <c r="Y4895" s="350" t="s">
        <v>888</v>
      </c>
      <c r="Z4895" s="471">
        <v>5235</v>
      </c>
      <c r="AA4895" s="459">
        <v>43616</v>
      </c>
      <c r="AB4895" s="237"/>
      <c r="AC4895" s="244"/>
      <c r="AD4895" s="244"/>
      <c r="AE4895" s="244"/>
      <c r="AF4895" s="244"/>
      <c r="AG4895" s="82"/>
      <c r="AH4895" s="82">
        <v>30.77</v>
      </c>
      <c r="AI4895" s="430">
        <f>AH4895*H4895</f>
        <v>6000.15</v>
      </c>
      <c r="AJ4895" s="298">
        <v>43636</v>
      </c>
      <c r="AK4895" s="430">
        <f>4445.56*31.06</f>
        <v>138079.09359999999</v>
      </c>
      <c r="AL4895" s="430">
        <f>(4462-4445.56)*31.06</f>
        <v>510.62639999998754</v>
      </c>
      <c r="AM4895" s="82" t="s">
        <v>49</v>
      </c>
      <c r="AN4895" s="82" t="s">
        <v>284</v>
      </c>
      <c r="AO4895" s="82" t="s">
        <v>50</v>
      </c>
      <c r="AP4895" s="82" t="s">
        <v>51</v>
      </c>
      <c r="AQ4895" s="457" t="s">
        <v>742</v>
      </c>
    </row>
    <row r="4896" spans="1:43" ht="15" customHeight="1">
      <c r="A4896" s="19">
        <v>43566</v>
      </c>
      <c r="B4896" s="51" t="s">
        <v>53</v>
      </c>
      <c r="C4896" s="21" t="s">
        <v>889</v>
      </c>
      <c r="D4896" s="22" t="s">
        <v>890</v>
      </c>
      <c r="E4896" s="23" t="s">
        <v>385</v>
      </c>
      <c r="F4896" s="24">
        <v>10</v>
      </c>
      <c r="G4896" s="48">
        <v>150.15</v>
      </c>
      <c r="H4896" s="26">
        <v>1501.5</v>
      </c>
      <c r="I4896" s="27" t="s">
        <v>42</v>
      </c>
      <c r="J4896" s="161" t="s">
        <v>89</v>
      </c>
      <c r="K4896" s="30">
        <v>43586</v>
      </c>
      <c r="W4896" s="300">
        <v>43646</v>
      </c>
      <c r="X4896" s="300">
        <v>43584</v>
      </c>
      <c r="Y4896" s="294" t="s">
        <v>891</v>
      </c>
      <c r="Z4896" s="294">
        <v>41409</v>
      </c>
      <c r="AA4896" s="300">
        <v>43647</v>
      </c>
      <c r="AB4896" s="237"/>
      <c r="AC4896" s="244"/>
      <c r="AD4896" s="244"/>
      <c r="AE4896" s="244"/>
      <c r="AF4896" s="244"/>
      <c r="AG4896" s="369"/>
      <c r="AH4896" s="369"/>
      <c r="AI4896" s="370">
        <v>46434</v>
      </c>
      <c r="AJ4896" s="371">
        <v>43641</v>
      </c>
      <c r="AK4896" s="370">
        <v>46419</v>
      </c>
      <c r="AL4896" s="370">
        <v>15</v>
      </c>
      <c r="AM4896" s="369" t="s">
        <v>49</v>
      </c>
      <c r="AN4896" s="369" t="s">
        <v>284</v>
      </c>
      <c r="AO4896" s="369" t="s">
        <v>50</v>
      </c>
      <c r="AP4896" s="369" t="s">
        <v>376</v>
      </c>
      <c r="AQ4896" s="372" t="s">
        <v>439</v>
      </c>
    </row>
    <row r="4897" spans="1:43" ht="15" customHeight="1">
      <c r="A4897" s="69">
        <v>43566</v>
      </c>
      <c r="B4897" s="70" t="s">
        <v>892</v>
      </c>
      <c r="C4897" s="21"/>
      <c r="D4897" s="22" t="s">
        <v>893</v>
      </c>
      <c r="E4897" s="23" t="s">
        <v>894</v>
      </c>
      <c r="F4897" s="24">
        <v>4</v>
      </c>
      <c r="G4897" s="48">
        <v>355</v>
      </c>
      <c r="H4897" s="26">
        <v>1420</v>
      </c>
      <c r="I4897" s="61" t="s">
        <v>302</v>
      </c>
      <c r="J4897" s="63" t="s">
        <v>895</v>
      </c>
      <c r="K4897" s="29">
        <v>43580</v>
      </c>
      <c r="W4897" s="300">
        <v>43616</v>
      </c>
      <c r="X4897" s="300">
        <v>43577</v>
      </c>
      <c r="Y4897" s="294" t="s">
        <v>896</v>
      </c>
      <c r="Z4897" s="294">
        <v>44243</v>
      </c>
      <c r="AA4897" s="449">
        <v>43616</v>
      </c>
      <c r="AB4897" s="237"/>
      <c r="AC4897" s="244"/>
      <c r="AD4897" s="244"/>
      <c r="AE4897" s="244"/>
      <c r="AF4897" s="244"/>
      <c r="AG4897" s="54"/>
      <c r="AH4897" s="54">
        <v>30.81</v>
      </c>
      <c r="AI4897" s="55">
        <f>AH4897*H4897</f>
        <v>43750.2</v>
      </c>
      <c r="AJ4897" s="56">
        <v>43580</v>
      </c>
      <c r="AK4897" s="55">
        <f>1420*30.81</f>
        <v>43750.2</v>
      </c>
      <c r="AL4897" s="55">
        <v>0</v>
      </c>
      <c r="AM4897" s="54" t="s">
        <v>49</v>
      </c>
      <c r="AN4897" s="24" t="s">
        <v>284</v>
      </c>
      <c r="AO4897" s="54" t="s">
        <v>50</v>
      </c>
      <c r="AP4897" s="54" t="s">
        <v>51</v>
      </c>
      <c r="AQ4897" s="57" t="s">
        <v>397</v>
      </c>
    </row>
    <row r="4898" spans="1:43" ht="15" customHeight="1">
      <c r="A4898" s="69">
        <v>43566</v>
      </c>
      <c r="B4898" s="70" t="s">
        <v>892</v>
      </c>
      <c r="C4898" s="21"/>
      <c r="D4898" s="22" t="s">
        <v>893</v>
      </c>
      <c r="E4898" s="23" t="s">
        <v>897</v>
      </c>
      <c r="F4898" s="24">
        <v>4</v>
      </c>
      <c r="G4898" s="48">
        <v>34</v>
      </c>
      <c r="H4898" s="26">
        <v>136</v>
      </c>
      <c r="I4898" s="61" t="s">
        <v>302</v>
      </c>
      <c r="J4898" s="63" t="s">
        <v>895</v>
      </c>
      <c r="K4898" s="29">
        <v>43580</v>
      </c>
      <c r="W4898" s="300">
        <v>43616</v>
      </c>
      <c r="X4898" s="300">
        <v>43577</v>
      </c>
      <c r="Y4898" s="294" t="s">
        <v>896</v>
      </c>
      <c r="Z4898" s="294"/>
      <c r="AA4898" s="449">
        <v>43616</v>
      </c>
      <c r="AB4898" s="237"/>
      <c r="AC4898" s="244"/>
      <c r="AD4898" s="244"/>
      <c r="AE4898" s="244"/>
      <c r="AF4898" s="244"/>
      <c r="AG4898" s="54"/>
      <c r="AH4898" s="54">
        <v>30.81</v>
      </c>
      <c r="AI4898" s="55">
        <f>AH4898*H4898</f>
        <v>4190.16</v>
      </c>
      <c r="AJ4898" s="56">
        <v>43580</v>
      </c>
      <c r="AK4898" s="55">
        <f>136*30.81</f>
        <v>4190.16</v>
      </c>
      <c r="AL4898" s="55">
        <v>0</v>
      </c>
      <c r="AM4898" s="54" t="s">
        <v>49</v>
      </c>
      <c r="AN4898" s="24" t="s">
        <v>284</v>
      </c>
      <c r="AO4898" s="54" t="s">
        <v>50</v>
      </c>
      <c r="AP4898" s="54" t="s">
        <v>51</v>
      </c>
      <c r="AQ4898" s="57" t="s">
        <v>397</v>
      </c>
    </row>
    <row r="4899" spans="1:43" ht="15" customHeight="1">
      <c r="A4899" s="19">
        <v>43566</v>
      </c>
      <c r="B4899" s="20" t="s">
        <v>325</v>
      </c>
      <c r="C4899" s="21" t="s">
        <v>898</v>
      </c>
      <c r="D4899" s="22" t="s">
        <v>899</v>
      </c>
      <c r="E4899" s="23" t="s">
        <v>900</v>
      </c>
      <c r="F4899" s="24">
        <v>1</v>
      </c>
      <c r="G4899" s="48">
        <v>0</v>
      </c>
      <c r="H4899" s="47">
        <v>0</v>
      </c>
      <c r="I4899" s="87" t="s">
        <v>42</v>
      </c>
      <c r="J4899" s="405" t="s">
        <v>901</v>
      </c>
      <c r="K4899" s="29">
        <v>43592</v>
      </c>
      <c r="W4899" s="300">
        <v>43616</v>
      </c>
      <c r="X4899" s="300">
        <v>43578</v>
      </c>
      <c r="Y4899" s="294" t="s">
        <v>902</v>
      </c>
      <c r="Z4899" s="294">
        <v>6091</v>
      </c>
      <c r="AA4899" s="300">
        <v>43616</v>
      </c>
      <c r="AB4899" s="237"/>
      <c r="AC4899" s="244"/>
      <c r="AD4899" s="244"/>
      <c r="AE4899" s="244"/>
      <c r="AF4899" s="244"/>
      <c r="AG4899" s="296"/>
      <c r="AH4899" s="296">
        <v>30.844999999999999</v>
      </c>
      <c r="AI4899" s="297">
        <v>0</v>
      </c>
      <c r="AJ4899" s="298">
        <v>43606</v>
      </c>
      <c r="AK4899" s="297">
        <v>0</v>
      </c>
      <c r="AL4899" s="297">
        <v>0</v>
      </c>
      <c r="AM4899" s="296" t="s">
        <v>49</v>
      </c>
      <c r="AN4899" s="296" t="s">
        <v>284</v>
      </c>
      <c r="AO4899" s="296" t="s">
        <v>50</v>
      </c>
      <c r="AP4899" s="296" t="s">
        <v>51</v>
      </c>
      <c r="AQ4899" s="234" t="s">
        <v>304</v>
      </c>
    </row>
    <row r="4900" spans="1:43" ht="15" customHeight="1">
      <c r="A4900" s="19">
        <v>43566</v>
      </c>
      <c r="B4900" s="20" t="s">
        <v>325</v>
      </c>
      <c r="C4900" s="21" t="s">
        <v>898</v>
      </c>
      <c r="D4900" s="22" t="s">
        <v>899</v>
      </c>
      <c r="E4900" s="23" t="s">
        <v>903</v>
      </c>
      <c r="F4900" s="24">
        <v>1</v>
      </c>
      <c r="G4900" s="48">
        <v>0</v>
      </c>
      <c r="H4900" s="47">
        <v>0</v>
      </c>
      <c r="I4900" s="87" t="s">
        <v>42</v>
      </c>
      <c r="J4900" s="405" t="s">
        <v>901</v>
      </c>
      <c r="K4900" s="29">
        <v>43592</v>
      </c>
      <c r="W4900" s="460">
        <v>43646</v>
      </c>
      <c r="X4900" s="460">
        <v>43588</v>
      </c>
      <c r="Y4900" s="304" t="s">
        <v>904</v>
      </c>
      <c r="Z4900" s="304">
        <v>23049</v>
      </c>
      <c r="AA4900" s="460">
        <v>43647</v>
      </c>
      <c r="AB4900" s="237"/>
      <c r="AC4900" s="244"/>
      <c r="AD4900" s="244"/>
      <c r="AE4900" s="244"/>
      <c r="AF4900" s="244"/>
      <c r="AG4900" s="296"/>
      <c r="AH4900" s="296">
        <v>30.844999999999999</v>
      </c>
      <c r="AI4900" s="297">
        <v>0</v>
      </c>
      <c r="AJ4900" s="298">
        <v>43606</v>
      </c>
      <c r="AK4900" s="297">
        <v>0</v>
      </c>
      <c r="AL4900" s="297">
        <v>0</v>
      </c>
      <c r="AM4900" s="296" t="s">
        <v>49</v>
      </c>
      <c r="AN4900" s="296" t="s">
        <v>284</v>
      </c>
      <c r="AO4900" s="296" t="s">
        <v>50</v>
      </c>
      <c r="AP4900" s="296" t="s">
        <v>51</v>
      </c>
      <c r="AQ4900" s="234" t="s">
        <v>304</v>
      </c>
    </row>
    <row r="4901" spans="1:43" ht="15" customHeight="1">
      <c r="A4901" s="19">
        <v>43566</v>
      </c>
      <c r="B4901" s="20" t="s">
        <v>325</v>
      </c>
      <c r="C4901" s="21" t="s">
        <v>898</v>
      </c>
      <c r="D4901" s="22" t="s">
        <v>905</v>
      </c>
      <c r="E4901" s="23" t="s">
        <v>906</v>
      </c>
      <c r="F4901" s="24">
        <v>1</v>
      </c>
      <c r="G4901" s="48">
        <v>960</v>
      </c>
      <c r="H4901" s="47">
        <v>960</v>
      </c>
      <c r="I4901" s="87" t="s">
        <v>42</v>
      </c>
      <c r="J4901" s="405" t="s">
        <v>901</v>
      </c>
      <c r="K4901" s="29">
        <v>43592</v>
      </c>
      <c r="W4901" s="460">
        <v>43646</v>
      </c>
      <c r="X4901" s="460">
        <v>43588</v>
      </c>
      <c r="Y4901" s="304" t="s">
        <v>904</v>
      </c>
      <c r="Z4901" s="304"/>
      <c r="AA4901" s="460">
        <v>43647</v>
      </c>
      <c r="AB4901" s="237"/>
      <c r="AC4901" s="244"/>
      <c r="AD4901" s="244"/>
      <c r="AE4901" s="244"/>
      <c r="AF4901" s="244"/>
      <c r="AG4901" s="296"/>
      <c r="AH4901" s="296">
        <v>30.844999999999999</v>
      </c>
      <c r="AI4901" s="297">
        <f>960*30.845</f>
        <v>29611.199999999997</v>
      </c>
      <c r="AJ4901" s="298">
        <v>43606</v>
      </c>
      <c r="AK4901" s="297">
        <f>953.65*31.51</f>
        <v>30049.511500000001</v>
      </c>
      <c r="AL4901" s="297">
        <f>(960-953.65)*31.51</f>
        <v>200.08850000000072</v>
      </c>
      <c r="AM4901" s="296" t="s">
        <v>49</v>
      </c>
      <c r="AN4901" s="296" t="s">
        <v>284</v>
      </c>
      <c r="AO4901" s="296" t="s">
        <v>50</v>
      </c>
      <c r="AP4901" s="296" t="s">
        <v>51</v>
      </c>
      <c r="AQ4901" s="234" t="s">
        <v>304</v>
      </c>
    </row>
    <row r="4902" spans="1:43" ht="15" customHeight="1">
      <c r="A4902" s="69">
        <v>43566</v>
      </c>
      <c r="B4902" s="144" t="s">
        <v>139</v>
      </c>
      <c r="C4902" s="21" t="s">
        <v>857</v>
      </c>
      <c r="D4902" s="21" t="s">
        <v>907</v>
      </c>
      <c r="E4902" s="23" t="s">
        <v>908</v>
      </c>
      <c r="F4902" s="24">
        <v>1</v>
      </c>
      <c r="G4902" s="25">
        <v>0</v>
      </c>
      <c r="H4902" s="26">
        <v>0</v>
      </c>
      <c r="I4902" s="49" t="s">
        <v>302</v>
      </c>
      <c r="J4902" s="405" t="s">
        <v>532</v>
      </c>
      <c r="K4902" s="29">
        <v>43532</v>
      </c>
      <c r="W4902" s="293">
        <v>43569</v>
      </c>
      <c r="X4902" s="293">
        <v>43539</v>
      </c>
      <c r="Y4902" s="294" t="s">
        <v>807</v>
      </c>
      <c r="Z4902" s="295"/>
      <c r="AA4902" s="300">
        <v>43586</v>
      </c>
      <c r="AB4902" s="237"/>
      <c r="AC4902" s="244"/>
      <c r="AD4902" s="244"/>
      <c r="AE4902" s="244"/>
      <c r="AF4902" s="244"/>
      <c r="AG4902" s="54"/>
      <c r="AH4902" s="54"/>
      <c r="AI4902" s="55"/>
      <c r="AJ4902" s="56">
        <v>43566</v>
      </c>
      <c r="AK4902" s="55"/>
      <c r="AL4902" s="55"/>
      <c r="AM4902" s="54" t="s">
        <v>49</v>
      </c>
      <c r="AN4902" s="24" t="s">
        <v>284</v>
      </c>
      <c r="AO4902" s="54" t="s">
        <v>285</v>
      </c>
      <c r="AP4902" s="54" t="s">
        <v>51</v>
      </c>
      <c r="AQ4902" s="57" t="s">
        <v>397</v>
      </c>
    </row>
    <row r="4903" spans="1:43" ht="15" customHeight="1">
      <c r="A4903" s="69">
        <v>43567</v>
      </c>
      <c r="B4903" s="273" t="s">
        <v>909</v>
      </c>
      <c r="C4903" s="183"/>
      <c r="D4903" s="183" t="s">
        <v>910</v>
      </c>
      <c r="E4903" s="376" t="s">
        <v>911</v>
      </c>
      <c r="F4903" s="186">
        <v>1</v>
      </c>
      <c r="G4903" s="187">
        <v>0</v>
      </c>
      <c r="H4903" s="399">
        <v>0</v>
      </c>
      <c r="I4903" s="87" t="s">
        <v>170</v>
      </c>
      <c r="J4903" s="63" t="s">
        <v>912</v>
      </c>
      <c r="K4903" s="30">
        <v>43567</v>
      </c>
      <c r="W4903" s="304"/>
      <c r="X4903" s="304"/>
      <c r="Y4903" s="304"/>
      <c r="Z4903" s="304"/>
      <c r="AA4903" s="304"/>
      <c r="AB4903" s="237"/>
      <c r="AC4903" s="244"/>
      <c r="AD4903" s="244"/>
      <c r="AE4903" s="244"/>
      <c r="AF4903" s="244"/>
      <c r="AG4903" s="296"/>
      <c r="AH4903" s="296"/>
      <c r="AI4903" s="297"/>
      <c r="AJ4903" s="472"/>
      <c r="AK4903" s="297"/>
      <c r="AL4903" s="297"/>
      <c r="AM4903" s="296" t="s">
        <v>49</v>
      </c>
      <c r="AN4903" s="296" t="s">
        <v>284</v>
      </c>
      <c r="AO4903" s="296" t="s">
        <v>50</v>
      </c>
      <c r="AP4903" s="296" t="s">
        <v>51</v>
      </c>
      <c r="AQ4903" s="234" t="s">
        <v>506</v>
      </c>
    </row>
    <row r="4904" spans="1:43" ht="15" customHeight="1">
      <c r="A4904" s="69">
        <v>43570</v>
      </c>
      <c r="B4904" s="70" t="s">
        <v>129</v>
      </c>
      <c r="C4904" s="21" t="s">
        <v>913</v>
      </c>
      <c r="D4904" s="21" t="s">
        <v>914</v>
      </c>
      <c r="E4904" s="23" t="s">
        <v>915</v>
      </c>
      <c r="F4904" s="24">
        <v>1</v>
      </c>
      <c r="G4904" s="47">
        <v>112</v>
      </c>
      <c r="H4904" s="468">
        <v>112</v>
      </c>
      <c r="I4904" s="87" t="s">
        <v>247</v>
      </c>
      <c r="J4904" s="50" t="s">
        <v>133</v>
      </c>
      <c r="K4904" s="29">
        <v>43580</v>
      </c>
      <c r="W4904" s="300">
        <v>43616</v>
      </c>
      <c r="X4904" s="300">
        <v>43578</v>
      </c>
      <c r="Y4904" s="294" t="s">
        <v>916</v>
      </c>
      <c r="Z4904" s="294">
        <v>3364</v>
      </c>
      <c r="AA4904" s="449">
        <v>43616</v>
      </c>
      <c r="AB4904" s="237"/>
      <c r="AC4904" s="244"/>
      <c r="AD4904" s="244"/>
      <c r="AE4904" s="244"/>
      <c r="AF4904" s="244"/>
      <c r="AG4904" s="296"/>
      <c r="AH4904" s="296">
        <v>30.81</v>
      </c>
      <c r="AI4904" s="297">
        <f>AH4904*H4904</f>
        <v>3450.72</v>
      </c>
      <c r="AJ4904" s="298">
        <v>43602</v>
      </c>
      <c r="AK4904" s="297">
        <f>(1668-1650.61)*31.296</f>
        <v>544.23744000000318</v>
      </c>
      <c r="AL4904" s="297"/>
      <c r="AM4904" s="296" t="s">
        <v>49</v>
      </c>
      <c r="AN4904" s="296" t="s">
        <v>284</v>
      </c>
      <c r="AO4904" s="296" t="s">
        <v>50</v>
      </c>
      <c r="AP4904" s="296" t="s">
        <v>51</v>
      </c>
      <c r="AQ4904" s="234" t="s">
        <v>304</v>
      </c>
    </row>
    <row r="4905" spans="1:43" ht="15" customHeight="1">
      <c r="A4905" s="69">
        <v>43571</v>
      </c>
      <c r="B4905" s="70" t="s">
        <v>100</v>
      </c>
      <c r="C4905" s="21" t="s">
        <v>917</v>
      </c>
      <c r="D4905" s="21" t="s">
        <v>918</v>
      </c>
      <c r="E4905" s="23" t="s">
        <v>919</v>
      </c>
      <c r="F4905" s="24">
        <v>1</v>
      </c>
      <c r="G4905" s="48">
        <v>0</v>
      </c>
      <c r="H4905" s="47">
        <v>0</v>
      </c>
      <c r="I4905" s="49" t="s">
        <v>302</v>
      </c>
      <c r="J4905" s="431" t="s">
        <v>920</v>
      </c>
      <c r="K4905" s="29">
        <v>43571</v>
      </c>
      <c r="W4905" s="77"/>
      <c r="X4905" s="470"/>
      <c r="Y4905" s="53"/>
      <c r="Z4905" s="53"/>
      <c r="AA4905" s="53"/>
      <c r="AB4905" s="237"/>
      <c r="AC4905" s="244"/>
      <c r="AD4905" s="244"/>
      <c r="AE4905" s="244"/>
      <c r="AF4905" s="244"/>
      <c r="AG4905" s="54"/>
      <c r="AH4905" s="54"/>
      <c r="AI4905" s="55"/>
      <c r="AJ4905" s="54"/>
      <c r="AK4905" s="55"/>
      <c r="AL4905" s="55"/>
      <c r="AM4905" s="54" t="s">
        <v>49</v>
      </c>
      <c r="AN4905" s="54" t="s">
        <v>284</v>
      </c>
      <c r="AO4905" s="54" t="s">
        <v>50</v>
      </c>
      <c r="AP4905" s="54" t="s">
        <v>51</v>
      </c>
      <c r="AQ4905" s="57"/>
    </row>
    <row r="4906" spans="1:43" ht="15" customHeight="1">
      <c r="A4906" s="69">
        <v>43573</v>
      </c>
      <c r="B4906" s="70" t="s">
        <v>76</v>
      </c>
      <c r="C4906" s="21">
        <v>316</v>
      </c>
      <c r="D4906" s="21" t="s">
        <v>921</v>
      </c>
      <c r="E4906" s="23" t="s">
        <v>314</v>
      </c>
      <c r="F4906" s="24">
        <v>7</v>
      </c>
      <c r="G4906" s="48">
        <v>285</v>
      </c>
      <c r="H4906" s="47">
        <v>1995</v>
      </c>
      <c r="I4906" s="49" t="s">
        <v>42</v>
      </c>
      <c r="J4906" s="431" t="s">
        <v>922</v>
      </c>
      <c r="K4906" s="29">
        <v>43588</v>
      </c>
      <c r="W4906" s="460">
        <v>43646</v>
      </c>
      <c r="X4906" s="460">
        <v>43580</v>
      </c>
      <c r="Y4906" s="304" t="s">
        <v>923</v>
      </c>
      <c r="Z4906" s="304"/>
      <c r="AA4906" s="460">
        <v>43649</v>
      </c>
      <c r="AB4906" s="237"/>
      <c r="AC4906" s="244"/>
      <c r="AD4906" s="244"/>
      <c r="AE4906" s="244"/>
      <c r="AF4906" s="244"/>
      <c r="AG4906" s="296"/>
      <c r="AH4906" s="296">
        <v>30.844999999999999</v>
      </c>
      <c r="AI4906" s="297">
        <f>4545*30.845</f>
        <v>140190.52499999999</v>
      </c>
      <c r="AJ4906" s="298">
        <v>43633</v>
      </c>
      <c r="AK4906" s="297"/>
      <c r="AL4906" s="297"/>
      <c r="AM4906" s="296" t="s">
        <v>49</v>
      </c>
      <c r="AN4906" s="82" t="s">
        <v>284</v>
      </c>
      <c r="AO4906" s="296" t="s">
        <v>50</v>
      </c>
      <c r="AP4906" s="296" t="s">
        <v>51</v>
      </c>
      <c r="AQ4906" s="457" t="s">
        <v>742</v>
      </c>
    </row>
    <row r="4907" spans="1:43" ht="15" customHeight="1">
      <c r="A4907" s="69">
        <v>43573</v>
      </c>
      <c r="B4907" s="70" t="s">
        <v>76</v>
      </c>
      <c r="C4907" s="21">
        <v>316</v>
      </c>
      <c r="D4907" s="71" t="s">
        <v>921</v>
      </c>
      <c r="E4907" s="32" t="s">
        <v>317</v>
      </c>
      <c r="F4907" s="433">
        <v>10</v>
      </c>
      <c r="G4907" s="48">
        <v>255</v>
      </c>
      <c r="H4907" s="26">
        <v>2550</v>
      </c>
      <c r="I4907" s="27" t="s">
        <v>42</v>
      </c>
      <c r="J4907" s="431" t="s">
        <v>922</v>
      </c>
      <c r="K4907" s="29">
        <v>43588</v>
      </c>
      <c r="W4907" s="460">
        <v>43646</v>
      </c>
      <c r="X4907" s="460">
        <v>43580</v>
      </c>
      <c r="Y4907" s="304" t="s">
        <v>923</v>
      </c>
      <c r="Z4907" s="304">
        <v>128075</v>
      </c>
      <c r="AA4907" s="460">
        <v>43649</v>
      </c>
      <c r="AB4907" s="237"/>
      <c r="AC4907" s="244"/>
      <c r="AD4907" s="244"/>
      <c r="AE4907" s="244"/>
      <c r="AF4907" s="244"/>
      <c r="AG4907" s="296"/>
      <c r="AH4907" s="296">
        <v>30.844999999999999</v>
      </c>
      <c r="AI4907" s="297">
        <v>0</v>
      </c>
      <c r="AJ4907" s="298">
        <v>43633</v>
      </c>
      <c r="AK4907" s="297"/>
      <c r="AL4907" s="297"/>
      <c r="AM4907" s="296" t="s">
        <v>49</v>
      </c>
      <c r="AN4907" s="82" t="s">
        <v>284</v>
      </c>
      <c r="AO4907" s="296" t="s">
        <v>50</v>
      </c>
      <c r="AP4907" s="296" t="s">
        <v>51</v>
      </c>
      <c r="AQ4907" s="457" t="s">
        <v>742</v>
      </c>
    </row>
    <row r="4908" spans="1:43" ht="15" customHeight="1">
      <c r="A4908" s="69">
        <v>43573</v>
      </c>
      <c r="B4908" s="70" t="s">
        <v>129</v>
      </c>
      <c r="C4908" s="21" t="s">
        <v>924</v>
      </c>
      <c r="D4908" s="21" t="s">
        <v>925</v>
      </c>
      <c r="E4908" s="23" t="s">
        <v>238</v>
      </c>
      <c r="F4908" s="24">
        <v>15</v>
      </c>
      <c r="G4908" s="47">
        <v>58</v>
      </c>
      <c r="H4908" s="468">
        <v>870</v>
      </c>
      <c r="I4908" s="87" t="s">
        <v>247</v>
      </c>
      <c r="J4908" s="50" t="s">
        <v>133</v>
      </c>
      <c r="K4908" s="29">
        <v>43580</v>
      </c>
      <c r="W4908" s="300">
        <v>43616</v>
      </c>
      <c r="X4908" s="300">
        <v>43578</v>
      </c>
      <c r="Y4908" s="294" t="s">
        <v>926</v>
      </c>
      <c r="Z4908" s="294">
        <v>25233</v>
      </c>
      <c r="AA4908" s="449">
        <v>43616</v>
      </c>
      <c r="AB4908" s="237"/>
      <c r="AC4908" s="244"/>
      <c r="AD4908" s="244"/>
      <c r="AE4908" s="244"/>
      <c r="AF4908" s="244"/>
      <c r="AG4908" s="296"/>
      <c r="AH4908" s="296">
        <v>30.81</v>
      </c>
      <c r="AI4908" s="297">
        <f>AH4908*H4908</f>
        <v>26804.699999999997</v>
      </c>
      <c r="AJ4908" s="298">
        <v>43602</v>
      </c>
      <c r="AK4908" s="297"/>
      <c r="AL4908" s="297"/>
      <c r="AM4908" s="296" t="s">
        <v>49</v>
      </c>
      <c r="AN4908" s="296" t="s">
        <v>284</v>
      </c>
      <c r="AO4908" s="296" t="s">
        <v>50</v>
      </c>
      <c r="AP4908" s="296" t="s">
        <v>51</v>
      </c>
      <c r="AQ4908" s="234" t="s">
        <v>304</v>
      </c>
    </row>
    <row r="4909" spans="1:43" ht="15" customHeight="1">
      <c r="A4909" s="69">
        <v>43574</v>
      </c>
      <c r="B4909" s="70" t="s">
        <v>118</v>
      </c>
      <c r="C4909" s="21" t="s">
        <v>927</v>
      </c>
      <c r="D4909" s="21" t="s">
        <v>928</v>
      </c>
      <c r="E4909" s="23" t="s">
        <v>564</v>
      </c>
      <c r="F4909" s="24">
        <v>100</v>
      </c>
      <c r="G4909" s="47">
        <v>105</v>
      </c>
      <c r="H4909" s="468">
        <v>10500</v>
      </c>
      <c r="I4909" s="87" t="s">
        <v>170</v>
      </c>
      <c r="J4909" s="82" t="s">
        <v>121</v>
      </c>
      <c r="K4909" s="29">
        <v>43601</v>
      </c>
      <c r="W4909" s="460">
        <v>43646</v>
      </c>
      <c r="X4909" s="460">
        <v>43594</v>
      </c>
      <c r="Y4909" s="304" t="s">
        <v>929</v>
      </c>
      <c r="Z4909" s="304">
        <v>415852</v>
      </c>
      <c r="AA4909" s="470">
        <v>43647</v>
      </c>
      <c r="AB4909" s="237"/>
      <c r="AC4909" s="244"/>
      <c r="AD4909" s="244"/>
      <c r="AE4909" s="244"/>
      <c r="AF4909" s="244"/>
      <c r="AG4909" s="296"/>
      <c r="AH4909" s="296">
        <v>30.844999999999999</v>
      </c>
      <c r="AI4909" s="297">
        <f>15865*30.845</f>
        <v>489355.92499999999</v>
      </c>
      <c r="AJ4909" s="298">
        <v>43600</v>
      </c>
      <c r="AK4909" s="297">
        <f>16624.69*31.06</f>
        <v>516362.87139999995</v>
      </c>
      <c r="AL4909" s="297">
        <f>(16645-16624.69)*31.06</f>
        <v>630.82860000004064</v>
      </c>
      <c r="AM4909" s="296" t="s">
        <v>49</v>
      </c>
      <c r="AN4909" s="296" t="s">
        <v>284</v>
      </c>
      <c r="AO4909" s="296" t="s">
        <v>50</v>
      </c>
      <c r="AP4909" s="296" t="s">
        <v>51</v>
      </c>
      <c r="AQ4909" s="234" t="s">
        <v>304</v>
      </c>
    </row>
    <row r="4910" spans="1:43" ht="15" customHeight="1">
      <c r="A4910" s="69">
        <v>43574</v>
      </c>
      <c r="B4910" s="70" t="s">
        <v>118</v>
      </c>
      <c r="C4910" s="21" t="s">
        <v>927</v>
      </c>
      <c r="D4910" s="21" t="s">
        <v>928</v>
      </c>
      <c r="E4910" s="23" t="s">
        <v>414</v>
      </c>
      <c r="F4910" s="82">
        <v>5</v>
      </c>
      <c r="G4910" s="47">
        <v>335</v>
      </c>
      <c r="H4910" s="468">
        <v>1675</v>
      </c>
      <c r="I4910" s="87" t="s">
        <v>170</v>
      </c>
      <c r="J4910" s="82" t="s">
        <v>121</v>
      </c>
      <c r="K4910" s="29">
        <v>43601</v>
      </c>
      <c r="W4910" s="460">
        <v>43646</v>
      </c>
      <c r="X4910" s="460">
        <v>43594</v>
      </c>
      <c r="Y4910" s="304" t="s">
        <v>929</v>
      </c>
      <c r="Z4910" s="304"/>
      <c r="AA4910" s="470">
        <v>43647</v>
      </c>
      <c r="AB4910" s="237"/>
      <c r="AC4910" s="244"/>
      <c r="AD4910" s="244"/>
      <c r="AE4910" s="244"/>
      <c r="AF4910" s="244"/>
      <c r="AG4910" s="296"/>
      <c r="AH4910" s="296">
        <v>30.844999999999999</v>
      </c>
      <c r="AI4910" s="297">
        <v>0</v>
      </c>
      <c r="AJ4910" s="298">
        <v>43600</v>
      </c>
      <c r="AK4910" s="297"/>
      <c r="AL4910" s="297"/>
      <c r="AM4910" s="296" t="s">
        <v>49</v>
      </c>
      <c r="AN4910" s="296" t="s">
        <v>284</v>
      </c>
      <c r="AO4910" s="296" t="s">
        <v>50</v>
      </c>
      <c r="AP4910" s="296" t="s">
        <v>51</v>
      </c>
      <c r="AQ4910" s="234" t="s">
        <v>304</v>
      </c>
    </row>
    <row r="4911" spans="1:43" ht="15" customHeight="1">
      <c r="A4911" s="69">
        <v>43574</v>
      </c>
      <c r="B4911" s="70" t="s">
        <v>118</v>
      </c>
      <c r="C4911" s="21" t="s">
        <v>927</v>
      </c>
      <c r="D4911" s="21" t="s">
        <v>928</v>
      </c>
      <c r="E4911" s="23" t="s">
        <v>161</v>
      </c>
      <c r="F4911" s="58">
        <v>5</v>
      </c>
      <c r="G4911" s="47">
        <v>738</v>
      </c>
      <c r="H4911" s="468">
        <v>3690</v>
      </c>
      <c r="I4911" s="87" t="s">
        <v>170</v>
      </c>
      <c r="J4911" s="82" t="s">
        <v>121</v>
      </c>
      <c r="K4911" s="29">
        <v>43601</v>
      </c>
      <c r="W4911" s="460">
        <v>43646</v>
      </c>
      <c r="X4911" s="460">
        <v>43594</v>
      </c>
      <c r="Y4911" s="304" t="s">
        <v>929</v>
      </c>
      <c r="Z4911" s="304"/>
      <c r="AA4911" s="470">
        <v>43647</v>
      </c>
      <c r="AB4911" s="237"/>
      <c r="AC4911" s="244"/>
      <c r="AD4911" s="244"/>
      <c r="AE4911" s="244"/>
      <c r="AF4911" s="244"/>
      <c r="AG4911" s="296"/>
      <c r="AH4911" s="296">
        <v>30.844999999999999</v>
      </c>
      <c r="AI4911" s="297">
        <v>0</v>
      </c>
      <c r="AJ4911" s="298">
        <v>43600</v>
      </c>
      <c r="AK4911" s="297"/>
      <c r="AL4911" s="297"/>
      <c r="AM4911" s="296" t="s">
        <v>49</v>
      </c>
      <c r="AN4911" s="296" t="s">
        <v>284</v>
      </c>
      <c r="AO4911" s="296" t="s">
        <v>50</v>
      </c>
      <c r="AP4911" s="296" t="s">
        <v>51</v>
      </c>
      <c r="AQ4911" s="234" t="s">
        <v>304</v>
      </c>
    </row>
    <row r="4912" spans="1:43" ht="15" customHeight="1">
      <c r="A4912" s="69">
        <v>43574</v>
      </c>
      <c r="B4912" s="144" t="s">
        <v>166</v>
      </c>
      <c r="C4912" s="21" t="s">
        <v>930</v>
      </c>
      <c r="D4912" s="21" t="s">
        <v>931</v>
      </c>
      <c r="E4912" s="23" t="s">
        <v>496</v>
      </c>
      <c r="F4912" s="58">
        <v>1</v>
      </c>
      <c r="G4912" s="47">
        <v>132</v>
      </c>
      <c r="H4912" s="468">
        <v>132</v>
      </c>
      <c r="I4912" s="82" t="s">
        <v>104</v>
      </c>
      <c r="J4912" s="58" t="s">
        <v>171</v>
      </c>
      <c r="K4912" s="145">
        <v>43636</v>
      </c>
      <c r="W4912" s="449">
        <v>43590</v>
      </c>
      <c r="X4912" s="449">
        <v>43578</v>
      </c>
      <c r="Y4912" s="340" t="s">
        <v>932</v>
      </c>
      <c r="Z4912" s="412">
        <v>2764</v>
      </c>
      <c r="AA4912" s="300">
        <v>43592</v>
      </c>
      <c r="AB4912" s="237"/>
      <c r="AC4912" s="244"/>
      <c r="AD4912" s="244"/>
      <c r="AE4912" s="244"/>
      <c r="AF4912" s="244"/>
      <c r="AG4912" s="431" t="s">
        <v>0</v>
      </c>
      <c r="AH4912" s="431">
        <v>31.324999999999999</v>
      </c>
      <c r="AI4912" s="432"/>
      <c r="AJ4912" s="455">
        <v>43584</v>
      </c>
      <c r="AK4912" s="432">
        <f>1530.52*30.85</f>
        <v>47216.542000000001</v>
      </c>
      <c r="AL4912" s="432">
        <f>(40+6.48)*30.85</f>
        <v>1433.9080000000001</v>
      </c>
      <c r="AM4912" s="431" t="s">
        <v>49</v>
      </c>
      <c r="AN4912" s="369" t="s">
        <v>284</v>
      </c>
      <c r="AO4912" s="431" t="s">
        <v>285</v>
      </c>
      <c r="AP4912" s="369" t="s">
        <v>51</v>
      </c>
      <c r="AQ4912" s="372" t="s">
        <v>439</v>
      </c>
    </row>
    <row r="4913" spans="1:43" ht="15" customHeight="1">
      <c r="A4913" s="69">
        <v>43574</v>
      </c>
      <c r="B4913" s="144" t="s">
        <v>166</v>
      </c>
      <c r="C4913" s="21" t="s">
        <v>930</v>
      </c>
      <c r="D4913" s="21" t="s">
        <v>931</v>
      </c>
      <c r="E4913" s="23" t="s">
        <v>933</v>
      </c>
      <c r="F4913" s="58">
        <v>1</v>
      </c>
      <c r="G4913" s="47">
        <v>1445</v>
      </c>
      <c r="H4913" s="473">
        <v>1445</v>
      </c>
      <c r="I4913" s="82" t="s">
        <v>104</v>
      </c>
      <c r="J4913" s="58" t="s">
        <v>171</v>
      </c>
      <c r="K4913" s="145">
        <v>43636</v>
      </c>
      <c r="W4913" s="340"/>
      <c r="X4913" s="340"/>
      <c r="Y4913" s="340"/>
      <c r="Z4913" s="412"/>
      <c r="AA4913" s="340"/>
      <c r="AB4913" s="237"/>
      <c r="AC4913" s="244"/>
      <c r="AD4913" s="244"/>
      <c r="AE4913" s="244"/>
      <c r="AF4913" s="244"/>
      <c r="AG4913" s="431" t="s">
        <v>0</v>
      </c>
      <c r="AH4913" s="431">
        <v>31.324999999999999</v>
      </c>
      <c r="AI4913" s="432"/>
      <c r="AJ4913" s="455">
        <v>43584</v>
      </c>
      <c r="AK4913" s="432"/>
      <c r="AL4913" s="432"/>
      <c r="AM4913" s="431" t="s">
        <v>49</v>
      </c>
      <c r="AN4913" s="369" t="s">
        <v>284</v>
      </c>
      <c r="AO4913" s="431" t="s">
        <v>285</v>
      </c>
      <c r="AP4913" s="369" t="s">
        <v>51</v>
      </c>
      <c r="AQ4913" s="372" t="s">
        <v>439</v>
      </c>
    </row>
    <row r="4914" spans="1:43" ht="15" customHeight="1">
      <c r="A4914" s="69">
        <v>43574</v>
      </c>
      <c r="B4914" s="70" t="s">
        <v>129</v>
      </c>
      <c r="C4914" s="21" t="s">
        <v>934</v>
      </c>
      <c r="D4914" s="21" t="s">
        <v>935</v>
      </c>
      <c r="E4914" s="23" t="s">
        <v>936</v>
      </c>
      <c r="F4914" s="40">
        <v>1</v>
      </c>
      <c r="G4914" s="47">
        <v>245</v>
      </c>
      <c r="H4914" s="60">
        <v>245</v>
      </c>
      <c r="I4914" s="61" t="s">
        <v>247</v>
      </c>
      <c r="J4914" s="50" t="s">
        <v>133</v>
      </c>
      <c r="K4914" s="29">
        <v>43580</v>
      </c>
      <c r="W4914" s="300">
        <v>43616</v>
      </c>
      <c r="X4914" s="300">
        <v>43578</v>
      </c>
      <c r="Y4914" s="294" t="s">
        <v>937</v>
      </c>
      <c r="Z4914" s="294">
        <v>20640</v>
      </c>
      <c r="AA4914" s="300">
        <v>43616</v>
      </c>
      <c r="AB4914" s="237"/>
      <c r="AC4914" s="244"/>
      <c r="AD4914" s="244"/>
      <c r="AE4914" s="244"/>
      <c r="AF4914" s="244"/>
      <c r="AG4914" s="296"/>
      <c r="AH4914" s="296">
        <v>30.81</v>
      </c>
      <c r="AI4914" s="297">
        <f>AH4914*H4914</f>
        <v>7548.45</v>
      </c>
      <c r="AJ4914" s="298">
        <v>43602</v>
      </c>
      <c r="AK4914" s="297"/>
      <c r="AL4914" s="297"/>
      <c r="AM4914" s="296" t="s">
        <v>49</v>
      </c>
      <c r="AN4914" s="296" t="s">
        <v>284</v>
      </c>
      <c r="AO4914" s="296" t="s">
        <v>50</v>
      </c>
      <c r="AP4914" s="296" t="s">
        <v>51</v>
      </c>
      <c r="AQ4914" s="234" t="s">
        <v>304</v>
      </c>
    </row>
    <row r="4915" spans="1:43" ht="15" customHeight="1">
      <c r="A4915" s="69">
        <v>43574</v>
      </c>
      <c r="B4915" s="70" t="s">
        <v>129</v>
      </c>
      <c r="C4915" s="21" t="s">
        <v>934</v>
      </c>
      <c r="D4915" s="21" t="s">
        <v>935</v>
      </c>
      <c r="E4915" s="23" t="s">
        <v>938</v>
      </c>
      <c r="F4915" s="24">
        <v>1</v>
      </c>
      <c r="G4915" s="47">
        <v>441</v>
      </c>
      <c r="H4915" s="60">
        <v>441</v>
      </c>
      <c r="I4915" s="61" t="s">
        <v>247</v>
      </c>
      <c r="J4915" s="50" t="s">
        <v>133</v>
      </c>
      <c r="K4915" s="29">
        <v>43580</v>
      </c>
      <c r="W4915" s="300">
        <v>43616</v>
      </c>
      <c r="X4915" s="300">
        <v>43578</v>
      </c>
      <c r="Y4915" s="294" t="s">
        <v>937</v>
      </c>
      <c r="Z4915" s="294"/>
      <c r="AA4915" s="300">
        <v>43616</v>
      </c>
      <c r="AB4915" s="237"/>
      <c r="AC4915" s="244"/>
      <c r="AD4915" s="244"/>
      <c r="AE4915" s="244"/>
      <c r="AF4915" s="244"/>
      <c r="AG4915" s="296"/>
      <c r="AH4915" s="296">
        <v>30.81</v>
      </c>
      <c r="AI4915" s="297">
        <f>AH4915*H4915</f>
        <v>13587.21</v>
      </c>
      <c r="AJ4915" s="298">
        <v>43602</v>
      </c>
      <c r="AK4915" s="297"/>
      <c r="AL4915" s="297"/>
      <c r="AM4915" s="296" t="s">
        <v>49</v>
      </c>
      <c r="AN4915" s="296" t="s">
        <v>284</v>
      </c>
      <c r="AO4915" s="296" t="s">
        <v>50</v>
      </c>
      <c r="AP4915" s="296" t="s">
        <v>51</v>
      </c>
      <c r="AQ4915" s="234" t="s">
        <v>304</v>
      </c>
    </row>
    <row r="4916" spans="1:43" ht="15" customHeight="1">
      <c r="A4916" s="69">
        <v>43577</v>
      </c>
      <c r="B4916" s="70" t="s">
        <v>76</v>
      </c>
      <c r="C4916" s="21">
        <v>327</v>
      </c>
      <c r="D4916" s="21" t="s">
        <v>939</v>
      </c>
      <c r="E4916" s="23" t="s">
        <v>314</v>
      </c>
      <c r="F4916" s="24">
        <v>6</v>
      </c>
      <c r="G4916" s="48">
        <v>285</v>
      </c>
      <c r="H4916" s="26">
        <v>1710</v>
      </c>
      <c r="I4916" s="49" t="s">
        <v>42</v>
      </c>
      <c r="J4916" s="431" t="s">
        <v>922</v>
      </c>
      <c r="K4916" s="29">
        <v>43588</v>
      </c>
      <c r="W4916" s="300">
        <v>43646</v>
      </c>
      <c r="X4916" s="300">
        <v>43580</v>
      </c>
      <c r="Y4916" s="294" t="s">
        <v>940</v>
      </c>
      <c r="Z4916" s="294">
        <v>112835</v>
      </c>
      <c r="AA4916" s="300">
        <v>43649</v>
      </c>
      <c r="AB4916" s="237"/>
      <c r="AC4916" s="244"/>
      <c r="AD4916" s="244"/>
      <c r="AE4916" s="244"/>
      <c r="AF4916" s="244"/>
      <c r="AG4916" s="369"/>
      <c r="AH4916" s="369">
        <v>30.844999999999999</v>
      </c>
      <c r="AI4916" s="370">
        <f>4005*30.845</f>
        <v>123534.22499999999</v>
      </c>
      <c r="AJ4916" s="371">
        <v>43633</v>
      </c>
      <c r="AK4916" s="370"/>
      <c r="AL4916" s="370"/>
      <c r="AM4916" s="369" t="s">
        <v>49</v>
      </c>
      <c r="AN4916" s="369" t="s">
        <v>284</v>
      </c>
      <c r="AO4916" s="369" t="s">
        <v>50</v>
      </c>
      <c r="AP4916" s="369" t="s">
        <v>51</v>
      </c>
      <c r="AQ4916" s="372" t="s">
        <v>439</v>
      </c>
    </row>
    <row r="4917" spans="1:43" ht="15" customHeight="1">
      <c r="A4917" s="69">
        <v>43577</v>
      </c>
      <c r="B4917" s="70" t="s">
        <v>76</v>
      </c>
      <c r="C4917" s="21">
        <v>327</v>
      </c>
      <c r="D4917" s="21" t="s">
        <v>939</v>
      </c>
      <c r="E4917" s="23" t="s">
        <v>317</v>
      </c>
      <c r="F4917" s="433">
        <v>9</v>
      </c>
      <c r="G4917" s="25">
        <v>255</v>
      </c>
      <c r="H4917" s="26">
        <v>2295</v>
      </c>
      <c r="I4917" s="49" t="s">
        <v>42</v>
      </c>
      <c r="J4917" s="431" t="s">
        <v>922</v>
      </c>
      <c r="K4917" s="29">
        <v>43588</v>
      </c>
      <c r="W4917" s="300">
        <v>43646</v>
      </c>
      <c r="X4917" s="300">
        <v>43580</v>
      </c>
      <c r="Y4917" s="294" t="s">
        <v>940</v>
      </c>
      <c r="Z4917" s="294"/>
      <c r="AA4917" s="300">
        <v>43649</v>
      </c>
      <c r="AB4917" s="237"/>
      <c r="AC4917" s="244"/>
      <c r="AD4917" s="244"/>
      <c r="AE4917" s="244"/>
      <c r="AF4917" s="244"/>
      <c r="AG4917" s="369"/>
      <c r="AH4917" s="369">
        <v>30.844999999999999</v>
      </c>
      <c r="AI4917" s="370">
        <v>0</v>
      </c>
      <c r="AJ4917" s="371">
        <v>43633</v>
      </c>
      <c r="AK4917" s="370"/>
      <c r="AL4917" s="370"/>
      <c r="AM4917" s="369" t="s">
        <v>49</v>
      </c>
      <c r="AN4917" s="369" t="s">
        <v>284</v>
      </c>
      <c r="AO4917" s="369" t="s">
        <v>50</v>
      </c>
      <c r="AP4917" s="369" t="s">
        <v>51</v>
      </c>
      <c r="AQ4917" s="372" t="s">
        <v>439</v>
      </c>
    </row>
    <row r="4918" spans="1:43" ht="15" customHeight="1">
      <c r="A4918" s="69">
        <v>43577</v>
      </c>
      <c r="B4918" s="23" t="s">
        <v>405</v>
      </c>
      <c r="C4918" s="21">
        <v>7000146822</v>
      </c>
      <c r="D4918" s="21" t="s">
        <v>941</v>
      </c>
      <c r="E4918" s="23" t="s">
        <v>942</v>
      </c>
      <c r="F4918" s="24">
        <v>2</v>
      </c>
      <c r="G4918" s="48">
        <v>266</v>
      </c>
      <c r="H4918" s="26">
        <v>532</v>
      </c>
      <c r="I4918" s="49" t="s">
        <v>42</v>
      </c>
      <c r="J4918" s="50" t="s">
        <v>512</v>
      </c>
      <c r="K4918" s="29">
        <v>43591</v>
      </c>
      <c r="W4918" s="460">
        <v>43646</v>
      </c>
      <c r="X4918" s="460">
        <v>43578</v>
      </c>
      <c r="Y4918" s="304" t="s">
        <v>943</v>
      </c>
      <c r="Z4918" s="350">
        <v>63063</v>
      </c>
      <c r="AA4918" s="460">
        <v>43647</v>
      </c>
      <c r="AB4918" s="237"/>
      <c r="AC4918" s="244"/>
      <c r="AD4918" s="244"/>
      <c r="AE4918" s="244"/>
      <c r="AF4918" s="244"/>
      <c r="AG4918" s="296"/>
      <c r="AH4918" s="296">
        <v>30.844999999999999</v>
      </c>
      <c r="AI4918" s="297">
        <f>2214.4*30.845</f>
        <v>68303.168000000005</v>
      </c>
      <c r="AJ4918" s="298">
        <v>43650</v>
      </c>
      <c r="AK4918" s="297"/>
      <c r="AL4918" s="297"/>
      <c r="AM4918" s="296" t="s">
        <v>49</v>
      </c>
      <c r="AN4918" s="82" t="s">
        <v>284</v>
      </c>
      <c r="AO4918" s="296" t="s">
        <v>50</v>
      </c>
      <c r="AP4918" s="296" t="s">
        <v>51</v>
      </c>
      <c r="AQ4918" s="457" t="s">
        <v>742</v>
      </c>
    </row>
    <row r="4919" spans="1:43" ht="15" customHeight="1">
      <c r="A4919" s="69">
        <v>43577</v>
      </c>
      <c r="B4919" s="23" t="s">
        <v>405</v>
      </c>
      <c r="C4919" s="21">
        <v>7000146822</v>
      </c>
      <c r="D4919" s="21" t="s">
        <v>941</v>
      </c>
      <c r="E4919" s="23" t="s">
        <v>944</v>
      </c>
      <c r="F4919" s="24">
        <v>5</v>
      </c>
      <c r="G4919" s="48">
        <v>74</v>
      </c>
      <c r="H4919" s="26">
        <v>370</v>
      </c>
      <c r="I4919" s="49" t="s">
        <v>42</v>
      </c>
      <c r="J4919" s="50" t="s">
        <v>512</v>
      </c>
      <c r="K4919" s="29">
        <v>43591</v>
      </c>
      <c r="W4919" s="460">
        <v>43646</v>
      </c>
      <c r="X4919" s="460">
        <v>43578</v>
      </c>
      <c r="Y4919" s="304" t="s">
        <v>943</v>
      </c>
      <c r="Z4919" s="304"/>
      <c r="AA4919" s="460">
        <v>43647</v>
      </c>
      <c r="AB4919" s="237"/>
      <c r="AC4919" s="244"/>
      <c r="AD4919" s="244"/>
      <c r="AE4919" s="244"/>
      <c r="AF4919" s="244"/>
      <c r="AG4919" s="296"/>
      <c r="AH4919" s="296">
        <v>30.844999999999999</v>
      </c>
      <c r="AI4919" s="297">
        <v>0</v>
      </c>
      <c r="AJ4919" s="298">
        <v>43650</v>
      </c>
      <c r="AK4919" s="297"/>
      <c r="AL4919" s="297"/>
      <c r="AM4919" s="296" t="s">
        <v>49</v>
      </c>
      <c r="AN4919" s="82" t="s">
        <v>284</v>
      </c>
      <c r="AO4919" s="296" t="s">
        <v>50</v>
      </c>
      <c r="AP4919" s="296" t="s">
        <v>51</v>
      </c>
      <c r="AQ4919" s="457" t="s">
        <v>742</v>
      </c>
    </row>
    <row r="4920" spans="1:43" ht="15" customHeight="1">
      <c r="A4920" s="69">
        <v>43577</v>
      </c>
      <c r="B4920" s="32" t="s">
        <v>405</v>
      </c>
      <c r="C4920" s="21">
        <v>7000146822</v>
      </c>
      <c r="D4920" s="21" t="s">
        <v>941</v>
      </c>
      <c r="E4920" s="23" t="s">
        <v>518</v>
      </c>
      <c r="F4920" s="24">
        <v>8</v>
      </c>
      <c r="G4920" s="48">
        <v>141.80000000000001</v>
      </c>
      <c r="H4920" s="26">
        <v>1134.4000000000001</v>
      </c>
      <c r="I4920" s="49" t="s">
        <v>42</v>
      </c>
      <c r="J4920" s="50" t="s">
        <v>512</v>
      </c>
      <c r="K4920" s="29">
        <v>43591</v>
      </c>
      <c r="W4920" s="460">
        <v>43646</v>
      </c>
      <c r="X4920" s="460">
        <v>43578</v>
      </c>
      <c r="Y4920" s="304" t="s">
        <v>943</v>
      </c>
      <c r="Z4920" s="304"/>
      <c r="AA4920" s="460">
        <v>43647</v>
      </c>
      <c r="AB4920" s="237"/>
      <c r="AC4920" s="244"/>
      <c r="AD4920" s="244"/>
      <c r="AE4920" s="244"/>
      <c r="AF4920" s="244"/>
      <c r="AG4920" s="296"/>
      <c r="AH4920" s="296">
        <v>30.844999999999999</v>
      </c>
      <c r="AI4920" s="297">
        <v>0</v>
      </c>
      <c r="AJ4920" s="298">
        <v>43650</v>
      </c>
      <c r="AK4920" s="297"/>
      <c r="AL4920" s="297"/>
      <c r="AM4920" s="296" t="s">
        <v>49</v>
      </c>
      <c r="AN4920" s="82" t="s">
        <v>284</v>
      </c>
      <c r="AO4920" s="296" t="s">
        <v>50</v>
      </c>
      <c r="AP4920" s="296" t="s">
        <v>51</v>
      </c>
      <c r="AQ4920" s="457" t="s">
        <v>742</v>
      </c>
    </row>
    <row r="4921" spans="1:43" ht="15" customHeight="1">
      <c r="A4921" s="69">
        <v>43577</v>
      </c>
      <c r="B4921" s="32" t="s">
        <v>405</v>
      </c>
      <c r="C4921" s="21">
        <v>7000146822</v>
      </c>
      <c r="D4921" s="21" t="s">
        <v>941</v>
      </c>
      <c r="E4921" s="23" t="s">
        <v>484</v>
      </c>
      <c r="F4921" s="24">
        <v>1</v>
      </c>
      <c r="G4921" s="48">
        <v>178</v>
      </c>
      <c r="H4921" s="26">
        <v>178</v>
      </c>
      <c r="I4921" s="49" t="s">
        <v>42</v>
      </c>
      <c r="J4921" s="50" t="s">
        <v>512</v>
      </c>
      <c r="K4921" s="29">
        <v>43591</v>
      </c>
      <c r="W4921" s="460">
        <v>43646</v>
      </c>
      <c r="X4921" s="460">
        <v>43578</v>
      </c>
      <c r="Y4921" s="304" t="s">
        <v>943</v>
      </c>
      <c r="Z4921" s="304"/>
      <c r="AA4921" s="460">
        <v>43647</v>
      </c>
      <c r="AB4921" s="237"/>
      <c r="AC4921" s="244"/>
      <c r="AD4921" s="244"/>
      <c r="AE4921" s="244"/>
      <c r="AF4921" s="244"/>
      <c r="AG4921" s="296"/>
      <c r="AH4921" s="296">
        <v>30.844999999999999</v>
      </c>
      <c r="AI4921" s="297">
        <v>0</v>
      </c>
      <c r="AJ4921" s="298">
        <v>43650</v>
      </c>
      <c r="AK4921" s="297"/>
      <c r="AL4921" s="297"/>
      <c r="AM4921" s="296" t="s">
        <v>49</v>
      </c>
      <c r="AN4921" s="82" t="s">
        <v>284</v>
      </c>
      <c r="AO4921" s="296" t="s">
        <v>50</v>
      </c>
      <c r="AP4921" s="296" t="s">
        <v>51</v>
      </c>
      <c r="AQ4921" s="457" t="s">
        <v>742</v>
      </c>
    </row>
    <row r="4922" spans="1:43" ht="15" customHeight="1">
      <c r="A4922" s="463">
        <v>43577</v>
      </c>
      <c r="B4922" s="70" t="s">
        <v>892</v>
      </c>
      <c r="C4922" s="21" t="s">
        <v>945</v>
      </c>
      <c r="D4922" s="32" t="s">
        <v>946</v>
      </c>
      <c r="E4922" s="23" t="s">
        <v>947</v>
      </c>
      <c r="F4922" s="24">
        <v>16</v>
      </c>
      <c r="G4922" s="48">
        <v>340</v>
      </c>
      <c r="H4922" s="26">
        <v>5440</v>
      </c>
      <c r="I4922" s="49" t="s">
        <v>104</v>
      </c>
      <c r="J4922" s="50">
        <v>102299130</v>
      </c>
      <c r="K4922" s="30">
        <v>43598</v>
      </c>
      <c r="W4922" s="459">
        <v>43646</v>
      </c>
      <c r="X4922" s="459">
        <v>43595</v>
      </c>
      <c r="Y4922" s="350" t="s">
        <v>948</v>
      </c>
      <c r="Z4922" s="471">
        <v>162729</v>
      </c>
      <c r="AA4922" s="470">
        <v>43647</v>
      </c>
      <c r="AB4922" s="237"/>
      <c r="AC4922" s="244"/>
      <c r="AD4922" s="244"/>
      <c r="AE4922" s="244"/>
      <c r="AF4922" s="244"/>
      <c r="AG4922" s="82"/>
      <c r="AH4922" s="82">
        <v>30.844999999999999</v>
      </c>
      <c r="AI4922" s="430">
        <f>5880.8*30.845</f>
        <v>181393.27600000001</v>
      </c>
      <c r="AJ4922" s="145">
        <v>43592</v>
      </c>
      <c r="AK4922" s="430">
        <f>12495.8*30.86</f>
        <v>385620.38799999998</v>
      </c>
      <c r="AL4922" s="430">
        <v>7</v>
      </c>
      <c r="AM4922" s="82" t="s">
        <v>49</v>
      </c>
      <c r="AN4922" s="296" t="s">
        <v>284</v>
      </c>
      <c r="AO4922" s="82" t="s">
        <v>50</v>
      </c>
      <c r="AP4922" s="82" t="s">
        <v>51</v>
      </c>
      <c r="AQ4922" s="234" t="s">
        <v>304</v>
      </c>
    </row>
    <row r="4923" spans="1:43" ht="15" customHeight="1">
      <c r="A4923" s="463">
        <v>43577</v>
      </c>
      <c r="B4923" s="70" t="s">
        <v>892</v>
      </c>
      <c r="C4923" s="21" t="s">
        <v>945</v>
      </c>
      <c r="D4923" s="32" t="s">
        <v>946</v>
      </c>
      <c r="E4923" s="23" t="s">
        <v>949</v>
      </c>
      <c r="F4923" s="24">
        <v>76</v>
      </c>
      <c r="G4923" s="48">
        <v>5.8</v>
      </c>
      <c r="H4923" s="26">
        <v>440.8</v>
      </c>
      <c r="I4923" s="49" t="s">
        <v>104</v>
      </c>
      <c r="J4923" s="50">
        <v>102299130</v>
      </c>
      <c r="K4923" s="30">
        <v>43598</v>
      </c>
      <c r="W4923" s="459">
        <v>43646</v>
      </c>
      <c r="X4923" s="459">
        <v>43595</v>
      </c>
      <c r="Y4923" s="350" t="s">
        <v>948</v>
      </c>
      <c r="Z4923" s="471"/>
      <c r="AA4923" s="470">
        <v>43647</v>
      </c>
      <c r="AB4923" s="237"/>
      <c r="AC4923" s="244"/>
      <c r="AD4923" s="244"/>
      <c r="AE4923" s="244"/>
      <c r="AF4923" s="244"/>
      <c r="AG4923" s="82"/>
      <c r="AH4923" s="82">
        <v>30.844999999999999</v>
      </c>
      <c r="AI4923" s="430">
        <v>0</v>
      </c>
      <c r="AJ4923" s="145">
        <v>43592</v>
      </c>
      <c r="AK4923" s="430"/>
      <c r="AL4923" s="430"/>
      <c r="AM4923" s="82" t="s">
        <v>49</v>
      </c>
      <c r="AN4923" s="296" t="s">
        <v>284</v>
      </c>
      <c r="AO4923" s="82" t="s">
        <v>50</v>
      </c>
      <c r="AP4923" s="82" t="s">
        <v>51</v>
      </c>
      <c r="AQ4923" s="234" t="s">
        <v>304</v>
      </c>
    </row>
    <row r="4924" spans="1:43" ht="15" customHeight="1">
      <c r="A4924" s="69">
        <v>43578</v>
      </c>
      <c r="B4924" s="70" t="s">
        <v>228</v>
      </c>
      <c r="C4924" s="21" t="s">
        <v>950</v>
      </c>
      <c r="D4924" s="21" t="s">
        <v>951</v>
      </c>
      <c r="E4924" s="23" t="s">
        <v>231</v>
      </c>
      <c r="F4924" s="24">
        <v>15</v>
      </c>
      <c r="G4924" s="48">
        <v>407.4</v>
      </c>
      <c r="H4924" s="26">
        <v>6111</v>
      </c>
      <c r="I4924" s="61" t="s">
        <v>170</v>
      </c>
      <c r="J4924" s="63" t="s">
        <v>89</v>
      </c>
      <c r="K4924" s="29">
        <v>43592</v>
      </c>
      <c r="W4924" s="300">
        <v>43646</v>
      </c>
      <c r="X4924" s="300">
        <v>43588</v>
      </c>
      <c r="Y4924" s="294" t="s">
        <v>952</v>
      </c>
      <c r="Z4924" s="294">
        <v>172462</v>
      </c>
      <c r="AA4924" s="300">
        <v>43647</v>
      </c>
      <c r="AB4924" s="237"/>
      <c r="AC4924" s="244"/>
      <c r="AD4924" s="244"/>
      <c r="AE4924" s="244"/>
      <c r="AF4924" s="244"/>
      <c r="AG4924" s="369"/>
      <c r="AH4924" s="369"/>
      <c r="AI4924" s="370"/>
      <c r="AJ4924" s="371">
        <v>43635</v>
      </c>
      <c r="AK4924" s="370">
        <v>188769</v>
      </c>
      <c r="AL4924" s="370">
        <v>0</v>
      </c>
      <c r="AM4924" s="369" t="s">
        <v>49</v>
      </c>
      <c r="AN4924" s="369" t="s">
        <v>284</v>
      </c>
      <c r="AO4924" s="369" t="s">
        <v>50</v>
      </c>
      <c r="AP4924" s="369" t="s">
        <v>376</v>
      </c>
      <c r="AQ4924" s="372" t="s">
        <v>439</v>
      </c>
    </row>
    <row r="4925" spans="1:43" ht="15" customHeight="1">
      <c r="A4925" s="69">
        <v>43579</v>
      </c>
      <c r="B4925" s="70" t="s">
        <v>892</v>
      </c>
      <c r="C4925" s="21" t="s">
        <v>945</v>
      </c>
      <c r="D4925" s="21" t="s">
        <v>953</v>
      </c>
      <c r="E4925" s="23" t="s">
        <v>954</v>
      </c>
      <c r="F4925" s="24">
        <v>13</v>
      </c>
      <c r="G4925" s="48">
        <v>305</v>
      </c>
      <c r="H4925" s="26">
        <v>3965</v>
      </c>
      <c r="I4925" s="27" t="s">
        <v>302</v>
      </c>
      <c r="J4925" s="50">
        <v>102299130</v>
      </c>
      <c r="K4925" s="30">
        <v>43598</v>
      </c>
      <c r="W4925" s="460">
        <v>43646</v>
      </c>
      <c r="X4925" s="460">
        <v>43584</v>
      </c>
      <c r="Y4925" s="304" t="s">
        <v>955</v>
      </c>
      <c r="Z4925" s="304">
        <v>191191</v>
      </c>
      <c r="AA4925" s="460">
        <v>43647</v>
      </c>
      <c r="AB4925" s="237"/>
      <c r="AC4925" s="244"/>
      <c r="AD4925" s="244"/>
      <c r="AE4925" s="244"/>
      <c r="AF4925" s="244"/>
      <c r="AG4925" s="296"/>
      <c r="AH4925" s="82">
        <v>30.844999999999999</v>
      </c>
      <c r="AI4925" s="297">
        <f>6615*30.845</f>
        <v>204039.67499999999</v>
      </c>
      <c r="AJ4925" s="145">
        <v>43592</v>
      </c>
      <c r="AK4925" s="430"/>
      <c r="AL4925" s="430"/>
      <c r="AM4925" s="296" t="s">
        <v>49</v>
      </c>
      <c r="AN4925" s="296" t="s">
        <v>284</v>
      </c>
      <c r="AO4925" s="296" t="s">
        <v>50</v>
      </c>
      <c r="AP4925" s="296" t="s">
        <v>51</v>
      </c>
      <c r="AQ4925" s="234" t="s">
        <v>304</v>
      </c>
    </row>
    <row r="4926" spans="1:43" ht="15" customHeight="1">
      <c r="A4926" s="69">
        <v>43579</v>
      </c>
      <c r="B4926" s="70" t="s">
        <v>892</v>
      </c>
      <c r="C4926" s="21" t="s">
        <v>945</v>
      </c>
      <c r="D4926" s="21" t="s">
        <v>953</v>
      </c>
      <c r="E4926" s="23" t="s">
        <v>956</v>
      </c>
      <c r="F4926" s="24">
        <v>25</v>
      </c>
      <c r="G4926" s="48">
        <v>106</v>
      </c>
      <c r="H4926" s="26">
        <v>2650</v>
      </c>
      <c r="I4926" s="27" t="s">
        <v>302</v>
      </c>
      <c r="J4926" s="50">
        <v>102299130</v>
      </c>
      <c r="K4926" s="30">
        <v>43598</v>
      </c>
      <c r="W4926" s="460">
        <v>43646</v>
      </c>
      <c r="X4926" s="460">
        <v>43584</v>
      </c>
      <c r="Y4926" s="304" t="s">
        <v>955</v>
      </c>
      <c r="Z4926" s="304"/>
      <c r="AA4926" s="460">
        <v>43647</v>
      </c>
      <c r="AB4926" s="237"/>
      <c r="AC4926" s="244"/>
      <c r="AD4926" s="244"/>
      <c r="AE4926" s="244"/>
      <c r="AF4926" s="244"/>
      <c r="AG4926" s="296"/>
      <c r="AH4926" s="82">
        <v>30.844999999999999</v>
      </c>
      <c r="AI4926" s="297">
        <v>0</v>
      </c>
      <c r="AJ4926" s="145">
        <v>43592</v>
      </c>
      <c r="AK4926" s="430"/>
      <c r="AL4926" s="430"/>
      <c r="AM4926" s="296" t="s">
        <v>49</v>
      </c>
      <c r="AN4926" s="296" t="s">
        <v>284</v>
      </c>
      <c r="AO4926" s="296" t="s">
        <v>50</v>
      </c>
      <c r="AP4926" s="296" t="s">
        <v>51</v>
      </c>
      <c r="AQ4926" s="234" t="s">
        <v>304</v>
      </c>
    </row>
    <row r="4927" spans="1:43" ht="15" customHeight="1">
      <c r="A4927" s="463">
        <v>43580</v>
      </c>
      <c r="B4927" s="70" t="s">
        <v>100</v>
      </c>
      <c r="C4927" s="21" t="s">
        <v>0</v>
      </c>
      <c r="D4927" s="32" t="s">
        <v>957</v>
      </c>
      <c r="E4927" s="23" t="s">
        <v>346</v>
      </c>
      <c r="F4927" s="24">
        <v>1</v>
      </c>
      <c r="G4927" s="48">
        <v>57</v>
      </c>
      <c r="H4927" s="26">
        <v>57</v>
      </c>
      <c r="I4927" s="61" t="s">
        <v>695</v>
      </c>
      <c r="J4927" s="50" t="s">
        <v>262</v>
      </c>
      <c r="K4927" s="29">
        <v>43580</v>
      </c>
      <c r="W4927" s="459">
        <v>43616</v>
      </c>
      <c r="X4927" s="459">
        <v>43585</v>
      </c>
      <c r="Y4927" s="350" t="s">
        <v>958</v>
      </c>
      <c r="Z4927" s="471">
        <v>1581</v>
      </c>
      <c r="AA4927" s="46">
        <v>43616</v>
      </c>
      <c r="AB4927" s="237"/>
      <c r="AC4927" s="244"/>
      <c r="AD4927" s="244"/>
      <c r="AE4927" s="244"/>
      <c r="AF4927" s="244"/>
      <c r="AG4927" s="82"/>
      <c r="AH4927" s="296">
        <v>30.81</v>
      </c>
      <c r="AI4927" s="297">
        <f>AH4927*H4927</f>
        <v>1756.1699999999998</v>
      </c>
      <c r="AJ4927" s="145">
        <v>43602</v>
      </c>
      <c r="AK4927" s="297"/>
      <c r="AL4927" s="297"/>
      <c r="AM4927" s="296" t="s">
        <v>49</v>
      </c>
      <c r="AN4927" s="296" t="s">
        <v>284</v>
      </c>
      <c r="AO4927" s="82" t="s">
        <v>50</v>
      </c>
      <c r="AP4927" s="82" t="s">
        <v>51</v>
      </c>
      <c r="AQ4927" s="234" t="s">
        <v>304</v>
      </c>
    </row>
    <row r="4928" spans="1:43" ht="15" customHeight="1">
      <c r="A4928" s="69">
        <v>43581</v>
      </c>
      <c r="B4928" s="70" t="s">
        <v>629</v>
      </c>
      <c r="C4928" s="21" t="s">
        <v>959</v>
      </c>
      <c r="D4928" s="21" t="s">
        <v>960</v>
      </c>
      <c r="E4928" s="23" t="s">
        <v>961</v>
      </c>
      <c r="F4928" s="24">
        <v>1</v>
      </c>
      <c r="G4928" s="47">
        <v>87</v>
      </c>
      <c r="H4928" s="60">
        <v>87</v>
      </c>
      <c r="I4928" s="346" t="s">
        <v>247</v>
      </c>
      <c r="J4928" s="63" t="s">
        <v>962</v>
      </c>
      <c r="K4928" s="474">
        <v>43594</v>
      </c>
      <c r="W4928" s="300">
        <v>43646</v>
      </c>
      <c r="X4928" s="300">
        <v>43592</v>
      </c>
      <c r="Y4928" s="294" t="s">
        <v>963</v>
      </c>
      <c r="Z4928" s="294">
        <v>2473</v>
      </c>
      <c r="AA4928" s="300">
        <v>43647</v>
      </c>
      <c r="AB4928" s="237"/>
      <c r="AC4928" s="244"/>
      <c r="AD4928" s="244"/>
      <c r="AE4928" s="244"/>
      <c r="AF4928" s="244"/>
      <c r="AG4928" s="369"/>
      <c r="AH4928" s="369"/>
      <c r="AI4928" s="370"/>
      <c r="AJ4928" s="371">
        <v>43613</v>
      </c>
      <c r="AK4928" s="370">
        <v>3541</v>
      </c>
      <c r="AL4928" s="370">
        <v>30</v>
      </c>
      <c r="AM4928" s="369" t="s">
        <v>49</v>
      </c>
      <c r="AN4928" s="369" t="s">
        <v>284</v>
      </c>
      <c r="AO4928" s="369" t="s">
        <v>50</v>
      </c>
      <c r="AP4928" s="369" t="s">
        <v>376</v>
      </c>
      <c r="AQ4928" s="372" t="s">
        <v>439</v>
      </c>
    </row>
    <row r="4929" spans="1:43" ht="15" customHeight="1">
      <c r="A4929" s="69">
        <v>43581</v>
      </c>
      <c r="B4929" s="70" t="s">
        <v>629</v>
      </c>
      <c r="C4929" s="21" t="s">
        <v>959</v>
      </c>
      <c r="D4929" s="21" t="s">
        <v>960</v>
      </c>
      <c r="E4929" s="23" t="s">
        <v>964</v>
      </c>
      <c r="F4929" s="24">
        <v>1</v>
      </c>
      <c r="G4929" s="47">
        <v>23</v>
      </c>
      <c r="H4929" s="60">
        <v>23</v>
      </c>
      <c r="I4929" s="346" t="s">
        <v>247</v>
      </c>
      <c r="J4929" s="63" t="s">
        <v>965</v>
      </c>
      <c r="K4929" s="474">
        <v>43594</v>
      </c>
      <c r="W4929" s="294"/>
      <c r="X4929" s="294"/>
      <c r="Y4929" s="294"/>
      <c r="Z4929" s="294"/>
      <c r="AA4929" s="294"/>
      <c r="AB4929" s="237"/>
      <c r="AC4929" s="244"/>
      <c r="AD4929" s="244"/>
      <c r="AE4929" s="244"/>
      <c r="AF4929" s="244"/>
      <c r="AG4929" s="369"/>
      <c r="AH4929" s="369"/>
      <c r="AI4929" s="370"/>
      <c r="AJ4929" s="371">
        <v>43613</v>
      </c>
      <c r="AK4929" s="370"/>
      <c r="AL4929" s="370"/>
      <c r="AM4929" s="369" t="s">
        <v>49</v>
      </c>
      <c r="AN4929" s="369" t="s">
        <v>284</v>
      </c>
      <c r="AO4929" s="369" t="s">
        <v>50</v>
      </c>
      <c r="AP4929" s="369" t="s">
        <v>376</v>
      </c>
      <c r="AQ4929" s="372" t="s">
        <v>439</v>
      </c>
    </row>
    <row r="4930" spans="1:43" ht="15" customHeight="1">
      <c r="A4930" s="69">
        <v>43581</v>
      </c>
      <c r="B4930" s="70" t="s">
        <v>76</v>
      </c>
      <c r="C4930" s="21"/>
      <c r="D4930" s="32" t="s">
        <v>966</v>
      </c>
      <c r="E4930" s="23" t="s">
        <v>967</v>
      </c>
      <c r="F4930" s="24">
        <v>1</v>
      </c>
      <c r="G4930" s="48">
        <v>40</v>
      </c>
      <c r="H4930" s="26">
        <v>40</v>
      </c>
      <c r="I4930" s="27" t="s">
        <v>42</v>
      </c>
      <c r="J4930" s="431" t="s">
        <v>922</v>
      </c>
      <c r="K4930" s="29">
        <v>43585</v>
      </c>
      <c r="W4930" s="300">
        <v>43646</v>
      </c>
      <c r="X4930" s="300">
        <v>43581</v>
      </c>
      <c r="Y4930" s="294" t="s">
        <v>968</v>
      </c>
      <c r="Z4930" s="294">
        <v>1298</v>
      </c>
      <c r="AA4930" s="300">
        <v>43649</v>
      </c>
      <c r="AB4930" s="237"/>
      <c r="AC4930" s="244"/>
      <c r="AD4930" s="244"/>
      <c r="AE4930" s="244"/>
      <c r="AF4930" s="244"/>
      <c r="AG4930" s="369"/>
      <c r="AH4930" s="369">
        <v>30.844999999999999</v>
      </c>
      <c r="AI4930" s="370">
        <f>40*30.845</f>
        <v>1233.8</v>
      </c>
      <c r="AJ4930" s="371">
        <v>43633</v>
      </c>
      <c r="AK4930" s="370"/>
      <c r="AL4930" s="370"/>
      <c r="AM4930" s="369" t="s">
        <v>49</v>
      </c>
      <c r="AN4930" s="369" t="s">
        <v>284</v>
      </c>
      <c r="AO4930" s="369" t="s">
        <v>969</v>
      </c>
      <c r="AP4930" s="369" t="s">
        <v>51</v>
      </c>
      <c r="AQ4930" s="372" t="s">
        <v>439</v>
      </c>
    </row>
    <row r="4931" spans="1:43" ht="15" customHeight="1">
      <c r="A4931" s="69">
        <v>43587</v>
      </c>
      <c r="B4931" s="70" t="s">
        <v>463</v>
      </c>
      <c r="C4931" s="21">
        <v>504264</v>
      </c>
      <c r="D4931" s="475" t="s">
        <v>970</v>
      </c>
      <c r="E4931" s="23" t="s">
        <v>636</v>
      </c>
      <c r="F4931" s="24">
        <v>1</v>
      </c>
      <c r="G4931" s="47">
        <v>80</v>
      </c>
      <c r="H4931" s="26">
        <v>80</v>
      </c>
      <c r="I4931" s="27" t="s">
        <v>302</v>
      </c>
      <c r="J4931" s="24" t="s">
        <v>466</v>
      </c>
      <c r="K4931" s="298">
        <v>43614</v>
      </c>
      <c r="W4931" s="300">
        <v>43608</v>
      </c>
      <c r="X4931" s="300">
        <v>43612</v>
      </c>
      <c r="Y4931" s="294" t="s">
        <v>971</v>
      </c>
      <c r="Z4931" s="294">
        <v>7564</v>
      </c>
      <c r="AA4931" s="258">
        <v>43608</v>
      </c>
      <c r="AB4931" s="237"/>
      <c r="AC4931" s="244"/>
      <c r="AD4931" s="244"/>
      <c r="AE4931" s="244"/>
      <c r="AF4931" s="244"/>
      <c r="AG4931" s="369"/>
      <c r="AH4931" s="369">
        <v>31.05</v>
      </c>
      <c r="AI4931" s="370">
        <f>4578*31.05</f>
        <v>142146.9</v>
      </c>
      <c r="AJ4931" s="371">
        <v>43612</v>
      </c>
      <c r="AK4931" s="370">
        <f>4571.64*31.43</f>
        <v>143686.6452</v>
      </c>
      <c r="AL4931" s="370">
        <f>(4578-4571.64)*31.43</f>
        <v>199.89479999998971</v>
      </c>
      <c r="AM4931" s="369" t="s">
        <v>49</v>
      </c>
      <c r="AN4931" s="369" t="s">
        <v>284</v>
      </c>
      <c r="AO4931" s="369" t="s">
        <v>50</v>
      </c>
      <c r="AP4931" s="369" t="s">
        <v>51</v>
      </c>
      <c r="AQ4931" s="372" t="s">
        <v>439</v>
      </c>
    </row>
    <row r="4932" spans="1:43" ht="15" customHeight="1">
      <c r="A4932" s="69">
        <v>43587</v>
      </c>
      <c r="B4932" s="70" t="s">
        <v>463</v>
      </c>
      <c r="C4932" s="21">
        <v>504264</v>
      </c>
      <c r="D4932" s="475" t="s">
        <v>970</v>
      </c>
      <c r="E4932" s="23" t="s">
        <v>471</v>
      </c>
      <c r="F4932" s="24">
        <v>1</v>
      </c>
      <c r="G4932" s="47">
        <v>118</v>
      </c>
      <c r="H4932" s="26">
        <v>118</v>
      </c>
      <c r="I4932" s="27" t="s">
        <v>302</v>
      </c>
      <c r="J4932" s="24" t="s">
        <v>466</v>
      </c>
      <c r="K4932" s="298">
        <v>43614</v>
      </c>
      <c r="W4932" s="300">
        <v>43608</v>
      </c>
      <c r="X4932" s="300">
        <v>43612</v>
      </c>
      <c r="Y4932" s="294" t="s">
        <v>971</v>
      </c>
      <c r="Z4932" s="294"/>
      <c r="AA4932" s="258">
        <v>43608</v>
      </c>
      <c r="AB4932" s="237"/>
      <c r="AC4932" s="244"/>
      <c r="AD4932" s="244"/>
      <c r="AE4932" s="244"/>
      <c r="AF4932" s="244"/>
      <c r="AG4932" s="369"/>
      <c r="AH4932" s="369">
        <v>31.05</v>
      </c>
      <c r="AI4932" s="370">
        <v>0</v>
      </c>
      <c r="AJ4932" s="371">
        <v>43612</v>
      </c>
      <c r="AK4932" s="370"/>
      <c r="AL4932" s="370"/>
      <c r="AM4932" s="369" t="s">
        <v>49</v>
      </c>
      <c r="AN4932" s="369" t="s">
        <v>284</v>
      </c>
      <c r="AO4932" s="369" t="s">
        <v>50</v>
      </c>
      <c r="AP4932" s="369" t="s">
        <v>51</v>
      </c>
      <c r="AQ4932" s="372" t="s">
        <v>439</v>
      </c>
    </row>
    <row r="4933" spans="1:43" ht="15" customHeight="1">
      <c r="A4933" s="69">
        <v>43587</v>
      </c>
      <c r="B4933" s="70" t="s">
        <v>463</v>
      </c>
      <c r="C4933" s="21">
        <v>504264</v>
      </c>
      <c r="D4933" s="475" t="s">
        <v>970</v>
      </c>
      <c r="E4933" s="23" t="s">
        <v>472</v>
      </c>
      <c r="F4933" s="24">
        <v>1</v>
      </c>
      <c r="G4933" s="143">
        <v>160</v>
      </c>
      <c r="H4933" s="26">
        <v>160</v>
      </c>
      <c r="I4933" s="27" t="s">
        <v>302</v>
      </c>
      <c r="J4933" s="24" t="s">
        <v>466</v>
      </c>
      <c r="K4933" s="298">
        <v>43614</v>
      </c>
      <c r="W4933" s="300">
        <v>43646</v>
      </c>
      <c r="X4933" s="300">
        <v>43608</v>
      </c>
      <c r="Y4933" s="294" t="s">
        <v>972</v>
      </c>
      <c r="Z4933" s="294">
        <v>8542</v>
      </c>
      <c r="AA4933" s="293">
        <v>43631</v>
      </c>
      <c r="AB4933" s="237"/>
      <c r="AC4933" s="244"/>
      <c r="AD4933" s="244"/>
      <c r="AE4933" s="244"/>
      <c r="AF4933" s="244"/>
      <c r="AG4933" s="369"/>
      <c r="AH4933" s="369">
        <v>31.05</v>
      </c>
      <c r="AI4933" s="370">
        <v>0</v>
      </c>
      <c r="AJ4933" s="371">
        <v>43612</v>
      </c>
      <c r="AK4933" s="370"/>
      <c r="AL4933" s="370"/>
      <c r="AM4933" s="369" t="s">
        <v>49</v>
      </c>
      <c r="AN4933" s="369" t="s">
        <v>284</v>
      </c>
      <c r="AO4933" s="369" t="s">
        <v>50</v>
      </c>
      <c r="AP4933" s="369" t="s">
        <v>51</v>
      </c>
      <c r="AQ4933" s="372" t="s">
        <v>439</v>
      </c>
    </row>
    <row r="4934" spans="1:43" ht="15" customHeight="1">
      <c r="A4934" s="69">
        <v>43587</v>
      </c>
      <c r="B4934" s="70" t="s">
        <v>463</v>
      </c>
      <c r="C4934" s="21">
        <v>504264</v>
      </c>
      <c r="D4934" s="475" t="s">
        <v>970</v>
      </c>
      <c r="E4934" s="23" t="s">
        <v>973</v>
      </c>
      <c r="F4934" s="24">
        <v>1</v>
      </c>
      <c r="G4934" s="47">
        <v>4120</v>
      </c>
      <c r="H4934" s="26">
        <v>4120</v>
      </c>
      <c r="I4934" s="27" t="s">
        <v>302</v>
      </c>
      <c r="J4934" s="24" t="s">
        <v>466</v>
      </c>
      <c r="K4934" s="298">
        <v>43614</v>
      </c>
      <c r="W4934" s="300">
        <v>43677</v>
      </c>
      <c r="X4934" s="300">
        <v>43612</v>
      </c>
      <c r="Y4934" s="294" t="s">
        <v>974</v>
      </c>
      <c r="Z4934" s="294">
        <v>122722</v>
      </c>
      <c r="AA4934" s="470">
        <v>43677</v>
      </c>
      <c r="AB4934" s="237"/>
      <c r="AC4934" s="244"/>
      <c r="AD4934" s="244"/>
      <c r="AE4934" s="244"/>
      <c r="AF4934" s="244"/>
      <c r="AG4934" s="369"/>
      <c r="AH4934" s="369">
        <v>31.05</v>
      </c>
      <c r="AI4934" s="370">
        <v>0</v>
      </c>
      <c r="AJ4934" s="371">
        <v>43612</v>
      </c>
      <c r="AK4934" s="370"/>
      <c r="AL4934" s="370"/>
      <c r="AM4934" s="369" t="s">
        <v>49</v>
      </c>
      <c r="AN4934" s="369" t="s">
        <v>284</v>
      </c>
      <c r="AO4934" s="369" t="s">
        <v>50</v>
      </c>
      <c r="AP4934" s="369" t="s">
        <v>51</v>
      </c>
      <c r="AQ4934" s="372" t="s">
        <v>439</v>
      </c>
    </row>
    <row r="4935" spans="1:43" ht="15" customHeight="1">
      <c r="A4935" s="69">
        <v>43587</v>
      </c>
      <c r="B4935" s="70" t="s">
        <v>463</v>
      </c>
      <c r="C4935" s="21">
        <v>504264</v>
      </c>
      <c r="D4935" s="475" t="s">
        <v>970</v>
      </c>
      <c r="E4935" s="23" t="s">
        <v>465</v>
      </c>
      <c r="F4935" s="24">
        <v>1</v>
      </c>
      <c r="G4935" s="47">
        <v>100</v>
      </c>
      <c r="H4935" s="26">
        <v>100</v>
      </c>
      <c r="I4935" s="27" t="s">
        <v>302</v>
      </c>
      <c r="J4935" s="24" t="s">
        <v>466</v>
      </c>
      <c r="K4935" s="298">
        <v>43614</v>
      </c>
      <c r="W4935" s="300">
        <v>43677</v>
      </c>
      <c r="X4935" s="300">
        <v>43612</v>
      </c>
      <c r="Y4935" s="294" t="s">
        <v>974</v>
      </c>
      <c r="Z4935" s="294"/>
      <c r="AA4935" s="470">
        <v>43677</v>
      </c>
      <c r="AB4935" s="237"/>
      <c r="AC4935" s="244"/>
      <c r="AD4935" s="244"/>
      <c r="AE4935" s="244"/>
      <c r="AF4935" s="244"/>
      <c r="AG4935" s="369"/>
      <c r="AH4935" s="369">
        <v>31.05</v>
      </c>
      <c r="AI4935" s="370">
        <v>0</v>
      </c>
      <c r="AJ4935" s="371">
        <v>43612</v>
      </c>
      <c r="AK4935" s="370"/>
      <c r="AL4935" s="370"/>
      <c r="AM4935" s="369" t="s">
        <v>49</v>
      </c>
      <c r="AN4935" s="369" t="s">
        <v>284</v>
      </c>
      <c r="AO4935" s="369" t="s">
        <v>50</v>
      </c>
      <c r="AP4935" s="369" t="s">
        <v>51</v>
      </c>
      <c r="AQ4935" s="372" t="s">
        <v>439</v>
      </c>
    </row>
    <row r="4936" spans="1:43" ht="15" customHeight="1">
      <c r="A4936" s="397">
        <v>43587</v>
      </c>
      <c r="B4936" s="476" t="s">
        <v>399</v>
      </c>
      <c r="C4936" s="477" t="s">
        <v>975</v>
      </c>
      <c r="D4936" s="478" t="s">
        <v>976</v>
      </c>
      <c r="E4936" s="23" t="s">
        <v>402</v>
      </c>
      <c r="F4936" s="479">
        <v>0</v>
      </c>
      <c r="G4936" s="480">
        <v>231</v>
      </c>
      <c r="H4936" s="379">
        <v>0</v>
      </c>
      <c r="I4936" s="481" t="s">
        <v>302</v>
      </c>
      <c r="J4936" s="381" t="s">
        <v>403</v>
      </c>
      <c r="K4936" s="400"/>
      <c r="W4936" s="195"/>
      <c r="X4936" s="199"/>
      <c r="Y4936" s="199"/>
      <c r="Z4936" s="199"/>
      <c r="AA4936" s="199"/>
      <c r="AB4936" s="237"/>
      <c r="AC4936" s="244"/>
      <c r="AD4936" s="244"/>
      <c r="AE4936" s="244"/>
      <c r="AF4936" s="244"/>
      <c r="AG4936" s="200"/>
      <c r="AH4936" s="200"/>
      <c r="AI4936" s="201"/>
      <c r="AJ4936" s="54"/>
      <c r="AK4936" s="201"/>
      <c r="AL4936" s="201"/>
      <c r="AM4936" s="200" t="s">
        <v>49</v>
      </c>
      <c r="AN4936" s="200" t="s">
        <v>295</v>
      </c>
      <c r="AO4936" s="200" t="s">
        <v>50</v>
      </c>
      <c r="AP4936" s="200" t="s">
        <v>51</v>
      </c>
      <c r="AQ4936" s="203"/>
    </row>
    <row r="4937" spans="1:43" ht="15" customHeight="1">
      <c r="A4937" s="397">
        <v>43587</v>
      </c>
      <c r="B4937" s="482" t="s">
        <v>399</v>
      </c>
      <c r="C4937" s="483" t="s">
        <v>975</v>
      </c>
      <c r="D4937" s="484" t="s">
        <v>976</v>
      </c>
      <c r="E4937" s="23" t="s">
        <v>833</v>
      </c>
      <c r="F4937" s="485">
        <v>0</v>
      </c>
      <c r="G4937" s="486">
        <v>25</v>
      </c>
      <c r="H4937" s="379">
        <v>0</v>
      </c>
      <c r="I4937" s="487" t="s">
        <v>302</v>
      </c>
      <c r="J4937" s="488" t="s">
        <v>403</v>
      </c>
      <c r="K4937" s="400"/>
      <c r="W4937" s="195"/>
      <c r="X4937" s="199"/>
      <c r="Y4937" s="199"/>
      <c r="Z4937" s="199"/>
      <c r="AA4937" s="199"/>
      <c r="AB4937" s="237"/>
      <c r="AC4937" s="244"/>
      <c r="AD4937" s="244"/>
      <c r="AE4937" s="244"/>
      <c r="AF4937" s="244"/>
      <c r="AG4937" s="200"/>
      <c r="AH4937" s="200"/>
      <c r="AI4937" s="201"/>
      <c r="AJ4937" s="54"/>
      <c r="AK4937" s="201"/>
      <c r="AL4937" s="201"/>
      <c r="AM4937" s="200" t="s">
        <v>49</v>
      </c>
      <c r="AN4937" s="200" t="s">
        <v>295</v>
      </c>
      <c r="AO4937" s="200" t="s">
        <v>50</v>
      </c>
      <c r="AP4937" s="200" t="s">
        <v>51</v>
      </c>
      <c r="AQ4937" s="203"/>
    </row>
    <row r="4938" spans="1:43" ht="15" customHeight="1">
      <c r="A4938" s="69">
        <v>43587</v>
      </c>
      <c r="B4938" s="489" t="s">
        <v>977</v>
      </c>
      <c r="C4938" s="489" t="s">
        <v>978</v>
      </c>
      <c r="D4938" s="489" t="s">
        <v>979</v>
      </c>
      <c r="E4938" s="23" t="s">
        <v>980</v>
      </c>
      <c r="F4938" s="24">
        <v>20</v>
      </c>
      <c r="G4938" s="48">
        <v>33.6</v>
      </c>
      <c r="H4938" s="165">
        <v>672</v>
      </c>
      <c r="I4938" s="27" t="s">
        <v>247</v>
      </c>
      <c r="J4938" s="405" t="s">
        <v>962</v>
      </c>
      <c r="K4938" s="29">
        <v>43595</v>
      </c>
      <c r="W4938" s="460">
        <v>43646</v>
      </c>
      <c r="X4938" s="460">
        <v>43595</v>
      </c>
      <c r="Y4938" s="304" t="s">
        <v>981</v>
      </c>
      <c r="Z4938" s="304">
        <v>142504</v>
      </c>
      <c r="AA4938" s="470">
        <v>43647</v>
      </c>
      <c r="AB4938" s="237"/>
      <c r="AC4938" s="244"/>
      <c r="AD4938" s="244"/>
      <c r="AE4938" s="244"/>
      <c r="AF4938" s="244"/>
      <c r="AG4938" s="296"/>
      <c r="AH4938" s="296"/>
      <c r="AI4938" s="297">
        <v>20971</v>
      </c>
      <c r="AJ4938" s="298">
        <v>43601</v>
      </c>
      <c r="AK4938" s="297">
        <v>194325</v>
      </c>
      <c r="AL4938" s="297">
        <v>0</v>
      </c>
      <c r="AM4938" s="296" t="s">
        <v>49</v>
      </c>
      <c r="AN4938" s="296" t="s">
        <v>284</v>
      </c>
      <c r="AO4938" s="296" t="s">
        <v>50</v>
      </c>
      <c r="AP4938" s="296" t="s">
        <v>376</v>
      </c>
      <c r="AQ4938" s="234" t="s">
        <v>304</v>
      </c>
    </row>
    <row r="4939" spans="1:43" ht="15" customHeight="1">
      <c r="A4939" s="69">
        <v>43587</v>
      </c>
      <c r="B4939" s="70" t="s">
        <v>977</v>
      </c>
      <c r="C4939" s="21" t="s">
        <v>978</v>
      </c>
      <c r="D4939" s="21" t="s">
        <v>979</v>
      </c>
      <c r="E4939" s="23" t="s">
        <v>982</v>
      </c>
      <c r="F4939" s="24">
        <v>20</v>
      </c>
      <c r="G4939" s="48">
        <v>215.25</v>
      </c>
      <c r="H4939" s="60">
        <v>4305</v>
      </c>
      <c r="I4939" s="61" t="s">
        <v>247</v>
      </c>
      <c r="J4939" s="50" t="s">
        <v>962</v>
      </c>
      <c r="K4939" s="29">
        <v>43595</v>
      </c>
      <c r="W4939" s="460">
        <v>43646</v>
      </c>
      <c r="X4939" s="460">
        <v>43595</v>
      </c>
      <c r="Y4939" s="304" t="s">
        <v>981</v>
      </c>
      <c r="Z4939" s="304"/>
      <c r="AA4939" s="470">
        <v>43647</v>
      </c>
      <c r="AB4939" s="237"/>
      <c r="AC4939" s="244"/>
      <c r="AD4939" s="244"/>
      <c r="AE4939" s="244"/>
      <c r="AF4939" s="244"/>
      <c r="AG4939" s="296"/>
      <c r="AH4939" s="296"/>
      <c r="AI4939" s="297">
        <v>134345</v>
      </c>
      <c r="AJ4939" s="298">
        <v>43601</v>
      </c>
      <c r="AK4939" s="297"/>
      <c r="AL4939" s="297"/>
      <c r="AM4939" s="296" t="s">
        <v>49</v>
      </c>
      <c r="AN4939" s="296" t="s">
        <v>284</v>
      </c>
      <c r="AO4939" s="296" t="s">
        <v>50</v>
      </c>
      <c r="AP4939" s="296" t="s">
        <v>376</v>
      </c>
      <c r="AQ4939" s="234" t="s">
        <v>304</v>
      </c>
    </row>
    <row r="4940" spans="1:43" ht="15" customHeight="1">
      <c r="A4940" s="69">
        <v>43587</v>
      </c>
      <c r="B4940" s="70" t="s">
        <v>100</v>
      </c>
      <c r="C4940" s="21"/>
      <c r="D4940" s="21" t="s">
        <v>983</v>
      </c>
      <c r="E4940" s="23" t="s">
        <v>984</v>
      </c>
      <c r="F4940" s="24">
        <v>1</v>
      </c>
      <c r="G4940" s="48">
        <v>0</v>
      </c>
      <c r="H4940" s="216">
        <v>0</v>
      </c>
      <c r="I4940" s="61" t="s">
        <v>695</v>
      </c>
      <c r="J4940" s="63" t="s">
        <v>920</v>
      </c>
      <c r="K4940" s="43"/>
      <c r="W4940" s="460">
        <v>43646</v>
      </c>
      <c r="X4940" s="460">
        <v>43609</v>
      </c>
      <c r="Y4940" s="304" t="s">
        <v>985</v>
      </c>
      <c r="Z4940" s="304">
        <v>1129</v>
      </c>
      <c r="AA4940" s="460">
        <v>43647</v>
      </c>
      <c r="AB4940" s="237"/>
      <c r="AC4940" s="244"/>
      <c r="AD4940" s="244"/>
      <c r="AE4940" s="244"/>
      <c r="AF4940" s="244"/>
      <c r="AG4940" s="296"/>
      <c r="AH4940" s="296"/>
      <c r="AI4940" s="297"/>
      <c r="AJ4940" s="296"/>
      <c r="AK4940" s="297"/>
      <c r="AL4940" s="297"/>
      <c r="AM4940" s="296" t="s">
        <v>49</v>
      </c>
      <c r="AN4940" s="296" t="s">
        <v>284</v>
      </c>
      <c r="AO4940" s="296" t="s">
        <v>50</v>
      </c>
      <c r="AP4940" s="296" t="s">
        <v>51</v>
      </c>
      <c r="AQ4940" s="234" t="s">
        <v>506</v>
      </c>
    </row>
    <row r="4941" spans="1:43" ht="15" customHeight="1">
      <c r="A4941" s="69">
        <v>43587</v>
      </c>
      <c r="B4941" s="375" t="s">
        <v>986</v>
      </c>
      <c r="C4941" s="183" t="s">
        <v>987</v>
      </c>
      <c r="D4941" s="183" t="s">
        <v>988</v>
      </c>
      <c r="E4941" s="376" t="s">
        <v>989</v>
      </c>
      <c r="F4941" s="186"/>
      <c r="G4941" s="187">
        <v>379</v>
      </c>
      <c r="H4941" s="490"/>
      <c r="I4941" s="61" t="s">
        <v>104</v>
      </c>
      <c r="J4941" s="63" t="s">
        <v>990</v>
      </c>
      <c r="K4941" s="44"/>
      <c r="W4941" s="52"/>
      <c r="X4941" s="53"/>
      <c r="Y4941" s="53"/>
      <c r="Z4941" s="53"/>
      <c r="AA4941" s="53"/>
      <c r="AB4941" s="237"/>
      <c r="AC4941" s="244"/>
      <c r="AD4941" s="244"/>
      <c r="AE4941" s="244"/>
      <c r="AF4941" s="244"/>
      <c r="AG4941" s="54"/>
      <c r="AH4941" s="54"/>
      <c r="AI4941" s="55"/>
      <c r="AJ4941" s="68"/>
      <c r="AK4941" s="55"/>
      <c r="AL4941" s="55"/>
      <c r="AM4941" s="54" t="s">
        <v>295</v>
      </c>
      <c r="AN4941" s="54" t="s">
        <v>295</v>
      </c>
      <c r="AO4941" s="54" t="s">
        <v>50</v>
      </c>
      <c r="AP4941" s="54" t="s">
        <v>51</v>
      </c>
      <c r="AQ4941" s="57"/>
    </row>
    <row r="4942" spans="1:43" ht="15" customHeight="1">
      <c r="A4942" s="69">
        <v>43592</v>
      </c>
      <c r="B4942" s="70" t="s">
        <v>977</v>
      </c>
      <c r="C4942" s="70"/>
      <c r="D4942" s="21" t="s">
        <v>991</v>
      </c>
      <c r="E4942" s="23" t="s">
        <v>992</v>
      </c>
      <c r="F4942" s="24">
        <v>50</v>
      </c>
      <c r="G4942" s="48">
        <v>26.25</v>
      </c>
      <c r="H4942" s="60">
        <v>1312.5</v>
      </c>
      <c r="I4942" s="87" t="s">
        <v>247</v>
      </c>
      <c r="J4942" s="50" t="s">
        <v>962</v>
      </c>
      <c r="K4942" s="29">
        <v>43602</v>
      </c>
      <c r="W4942" s="460">
        <v>43646</v>
      </c>
      <c r="X4942" s="460">
        <v>43595</v>
      </c>
      <c r="Y4942" s="304" t="s">
        <v>993</v>
      </c>
      <c r="Z4942" s="304">
        <v>38055</v>
      </c>
      <c r="AA4942" s="470">
        <v>43647</v>
      </c>
      <c r="AB4942" s="237"/>
      <c r="AC4942" s="244"/>
      <c r="AD4942" s="244"/>
      <c r="AE4942" s="244"/>
      <c r="AF4942" s="244"/>
      <c r="AG4942" s="296"/>
      <c r="AH4942" s="296"/>
      <c r="AI4942" s="297">
        <v>39009</v>
      </c>
      <c r="AJ4942" s="298">
        <v>43601</v>
      </c>
      <c r="AK4942" s="297"/>
      <c r="AL4942" s="297"/>
      <c r="AM4942" s="296" t="s">
        <v>49</v>
      </c>
      <c r="AN4942" s="296" t="s">
        <v>284</v>
      </c>
      <c r="AO4942" s="296" t="s">
        <v>50</v>
      </c>
      <c r="AP4942" s="296" t="s">
        <v>376</v>
      </c>
      <c r="AQ4942" s="234" t="s">
        <v>304</v>
      </c>
    </row>
    <row r="4943" spans="1:43" ht="15" customHeight="1">
      <c r="A4943" s="69">
        <v>43592</v>
      </c>
      <c r="B4943" s="23" t="s">
        <v>405</v>
      </c>
      <c r="C4943" s="21">
        <v>7000147214</v>
      </c>
      <c r="D4943" s="21" t="s">
        <v>994</v>
      </c>
      <c r="E4943" s="23" t="s">
        <v>995</v>
      </c>
      <c r="F4943" s="24">
        <v>1</v>
      </c>
      <c r="G4943" s="48">
        <v>468</v>
      </c>
      <c r="H4943" s="60">
        <v>468</v>
      </c>
      <c r="I4943" s="87" t="s">
        <v>42</v>
      </c>
      <c r="J4943" s="50" t="s">
        <v>512</v>
      </c>
      <c r="K4943" s="29">
        <v>43606</v>
      </c>
      <c r="W4943" s="460">
        <v>43677</v>
      </c>
      <c r="X4943" s="460">
        <v>43601</v>
      </c>
      <c r="Y4943" s="304" t="s">
        <v>996</v>
      </c>
      <c r="Z4943" s="304">
        <v>49113</v>
      </c>
      <c r="AA4943" s="460">
        <v>43677</v>
      </c>
      <c r="AB4943" s="237"/>
      <c r="AC4943" s="244"/>
      <c r="AD4943" s="244"/>
      <c r="AE4943" s="244"/>
      <c r="AF4943" s="244"/>
      <c r="AG4943" s="296"/>
      <c r="AH4943" s="296">
        <v>31.05</v>
      </c>
      <c r="AI4943" s="297">
        <f>1771*31.05</f>
        <v>54989.55</v>
      </c>
      <c r="AJ4943" s="298">
        <v>43650</v>
      </c>
      <c r="AK4943" s="297"/>
      <c r="AL4943" s="297"/>
      <c r="AM4943" s="296" t="s">
        <v>49</v>
      </c>
      <c r="AN4943" s="82" t="s">
        <v>284</v>
      </c>
      <c r="AO4943" s="296" t="s">
        <v>50</v>
      </c>
      <c r="AP4943" s="296" t="s">
        <v>51</v>
      </c>
      <c r="AQ4943" s="457" t="s">
        <v>742</v>
      </c>
    </row>
    <row r="4944" spans="1:43" ht="15" customHeight="1">
      <c r="A4944" s="69">
        <v>43592</v>
      </c>
      <c r="B4944" s="32" t="s">
        <v>405</v>
      </c>
      <c r="C4944" s="21">
        <v>7000147214</v>
      </c>
      <c r="D4944" s="21" t="s">
        <v>994</v>
      </c>
      <c r="E4944" s="23" t="s">
        <v>997</v>
      </c>
      <c r="F4944" s="24">
        <v>7</v>
      </c>
      <c r="G4944" s="48">
        <v>87</v>
      </c>
      <c r="H4944" s="60">
        <v>609</v>
      </c>
      <c r="I4944" s="87" t="s">
        <v>42</v>
      </c>
      <c r="J4944" s="50" t="s">
        <v>512</v>
      </c>
      <c r="K4944" s="29">
        <v>43606</v>
      </c>
      <c r="W4944" s="460">
        <v>43677</v>
      </c>
      <c r="X4944" s="460">
        <v>43601</v>
      </c>
      <c r="Y4944" s="304" t="s">
        <v>996</v>
      </c>
      <c r="Z4944" s="304"/>
      <c r="AA4944" s="460">
        <v>43677</v>
      </c>
      <c r="AB4944" s="237"/>
      <c r="AC4944" s="244"/>
      <c r="AD4944" s="244"/>
      <c r="AE4944" s="244"/>
      <c r="AF4944" s="244"/>
      <c r="AG4944" s="296"/>
      <c r="AH4944" s="296">
        <v>31.05</v>
      </c>
      <c r="AI4944" s="297">
        <v>0</v>
      </c>
      <c r="AJ4944" s="298">
        <v>43650</v>
      </c>
      <c r="AK4944" s="297"/>
      <c r="AL4944" s="297"/>
      <c r="AM4944" s="296" t="s">
        <v>49</v>
      </c>
      <c r="AN4944" s="82" t="s">
        <v>284</v>
      </c>
      <c r="AO4944" s="296" t="s">
        <v>50</v>
      </c>
      <c r="AP4944" s="296" t="s">
        <v>51</v>
      </c>
      <c r="AQ4944" s="457" t="s">
        <v>742</v>
      </c>
    </row>
    <row r="4945" spans="1:43" ht="15" customHeight="1">
      <c r="A4945" s="69">
        <v>43592</v>
      </c>
      <c r="B4945" s="32" t="s">
        <v>405</v>
      </c>
      <c r="C4945" s="21">
        <v>7000147214</v>
      </c>
      <c r="D4945" s="21" t="s">
        <v>994</v>
      </c>
      <c r="E4945" s="23" t="s">
        <v>799</v>
      </c>
      <c r="F4945" s="24">
        <v>1</v>
      </c>
      <c r="G4945" s="48">
        <v>565</v>
      </c>
      <c r="H4945" s="165">
        <v>565</v>
      </c>
      <c r="I4945" s="87" t="s">
        <v>42</v>
      </c>
      <c r="J4945" s="50" t="s">
        <v>512</v>
      </c>
      <c r="K4945" s="29">
        <v>43606</v>
      </c>
      <c r="W4945" s="460">
        <v>43677</v>
      </c>
      <c r="X4945" s="460">
        <v>43601</v>
      </c>
      <c r="Y4945" s="304" t="s">
        <v>996</v>
      </c>
      <c r="Z4945" s="304"/>
      <c r="AA4945" s="460">
        <v>43677</v>
      </c>
      <c r="AB4945" s="237"/>
      <c r="AC4945" s="244"/>
      <c r="AD4945" s="244"/>
      <c r="AE4945" s="244"/>
      <c r="AF4945" s="244"/>
      <c r="AG4945" s="296"/>
      <c r="AH4945" s="296">
        <v>31.05</v>
      </c>
      <c r="AI4945" s="297">
        <v>0</v>
      </c>
      <c r="AJ4945" s="298">
        <v>43650</v>
      </c>
      <c r="AK4945" s="297"/>
      <c r="AL4945" s="297"/>
      <c r="AM4945" s="296" t="s">
        <v>49</v>
      </c>
      <c r="AN4945" s="82" t="s">
        <v>284</v>
      </c>
      <c r="AO4945" s="296" t="s">
        <v>50</v>
      </c>
      <c r="AP4945" s="296" t="s">
        <v>51</v>
      </c>
      <c r="AQ4945" s="457" t="s">
        <v>742</v>
      </c>
    </row>
    <row r="4946" spans="1:43" ht="15" customHeight="1">
      <c r="A4946" s="69">
        <v>43592</v>
      </c>
      <c r="B4946" s="32" t="s">
        <v>405</v>
      </c>
      <c r="C4946" s="21">
        <v>7000147214</v>
      </c>
      <c r="D4946" s="21" t="s">
        <v>994</v>
      </c>
      <c r="E4946" s="23" t="s">
        <v>676</v>
      </c>
      <c r="F4946" s="24">
        <v>1</v>
      </c>
      <c r="G4946" s="48">
        <v>129</v>
      </c>
      <c r="H4946" s="165">
        <v>129</v>
      </c>
      <c r="I4946" s="87" t="s">
        <v>42</v>
      </c>
      <c r="J4946" s="50" t="s">
        <v>512</v>
      </c>
      <c r="K4946" s="29">
        <v>43606</v>
      </c>
      <c r="W4946" s="460">
        <v>43677</v>
      </c>
      <c r="X4946" s="460">
        <v>43601</v>
      </c>
      <c r="Y4946" s="304" t="s">
        <v>996</v>
      </c>
      <c r="Z4946" s="304"/>
      <c r="AA4946" s="460">
        <v>43677</v>
      </c>
      <c r="AB4946" s="237"/>
      <c r="AC4946" s="244"/>
      <c r="AD4946" s="244"/>
      <c r="AE4946" s="244"/>
      <c r="AF4946" s="244"/>
      <c r="AG4946" s="296"/>
      <c r="AH4946" s="296">
        <v>31.05</v>
      </c>
      <c r="AI4946" s="297">
        <v>0</v>
      </c>
      <c r="AJ4946" s="298">
        <v>43650</v>
      </c>
      <c r="AK4946" s="297"/>
      <c r="AL4946" s="297"/>
      <c r="AM4946" s="296" t="s">
        <v>49</v>
      </c>
      <c r="AN4946" s="82" t="s">
        <v>284</v>
      </c>
      <c r="AO4946" s="296" t="s">
        <v>50</v>
      </c>
      <c r="AP4946" s="296" t="s">
        <v>51</v>
      </c>
      <c r="AQ4946" s="457" t="s">
        <v>742</v>
      </c>
    </row>
    <row r="4947" spans="1:43" ht="15" customHeight="1">
      <c r="A4947" s="69">
        <v>43593</v>
      </c>
      <c r="B4947" s="21" t="s">
        <v>577</v>
      </c>
      <c r="C4947" s="21">
        <v>20190507001</v>
      </c>
      <c r="D4947" s="22" t="s">
        <v>998</v>
      </c>
      <c r="E4947" s="23" t="s">
        <v>999</v>
      </c>
      <c r="F4947" s="82">
        <v>2</v>
      </c>
      <c r="G4947" s="47">
        <v>96.6</v>
      </c>
      <c r="H4947" s="60">
        <v>193.2</v>
      </c>
      <c r="I4947" s="87" t="s">
        <v>170</v>
      </c>
      <c r="J4947" s="63" t="s">
        <v>580</v>
      </c>
      <c r="K4947" s="29">
        <v>43601</v>
      </c>
      <c r="W4947" s="300">
        <v>43646</v>
      </c>
      <c r="X4947" s="300">
        <v>43600</v>
      </c>
      <c r="Y4947" s="294" t="s">
        <v>1000</v>
      </c>
      <c r="Z4947" s="294">
        <v>5193</v>
      </c>
      <c r="AA4947" s="300">
        <v>43647</v>
      </c>
      <c r="AB4947" s="237"/>
      <c r="AC4947" s="244"/>
      <c r="AD4947" s="244"/>
      <c r="AE4947" s="244"/>
      <c r="AF4947" s="244"/>
      <c r="AG4947" s="369"/>
      <c r="AH4947" s="369"/>
      <c r="AI4947" s="370"/>
      <c r="AJ4947" s="371">
        <v>43633</v>
      </c>
      <c r="AK4947" s="370">
        <v>17810</v>
      </c>
      <c r="AL4947" s="370">
        <v>30</v>
      </c>
      <c r="AM4947" s="369" t="s">
        <v>49</v>
      </c>
      <c r="AN4947" s="369" t="s">
        <v>284</v>
      </c>
      <c r="AO4947" s="369" t="s">
        <v>50</v>
      </c>
      <c r="AP4947" s="369" t="s">
        <v>376</v>
      </c>
      <c r="AQ4947" s="372" t="s">
        <v>439</v>
      </c>
    </row>
    <row r="4948" spans="1:43" ht="15" customHeight="1">
      <c r="A4948" s="69">
        <v>43593</v>
      </c>
      <c r="B4948" s="21" t="s">
        <v>100</v>
      </c>
      <c r="C4948" s="21" t="s">
        <v>1001</v>
      </c>
      <c r="D4948" s="21" t="s">
        <v>1002</v>
      </c>
      <c r="E4948" s="23" t="s">
        <v>1003</v>
      </c>
      <c r="F4948" s="24">
        <v>2</v>
      </c>
      <c r="G4948" s="143">
        <v>309</v>
      </c>
      <c r="H4948" s="60">
        <v>618</v>
      </c>
      <c r="I4948" s="87" t="s">
        <v>302</v>
      </c>
      <c r="J4948" s="63" t="s">
        <v>1004</v>
      </c>
      <c r="K4948" s="29">
        <v>43606</v>
      </c>
      <c r="W4948" s="300">
        <v>43646</v>
      </c>
      <c r="X4948" s="300">
        <v>43599</v>
      </c>
      <c r="Y4948" s="294" t="s">
        <v>1005</v>
      </c>
      <c r="Z4948" s="294">
        <v>18115</v>
      </c>
      <c r="AA4948" s="300">
        <v>43647</v>
      </c>
      <c r="AB4948" s="237"/>
      <c r="AC4948" s="244"/>
      <c r="AD4948" s="244"/>
      <c r="AE4948" s="244"/>
      <c r="AF4948" s="244"/>
      <c r="AG4948" s="369"/>
      <c r="AH4948" s="369">
        <v>31.05</v>
      </c>
      <c r="AI4948" s="370"/>
      <c r="AJ4948" s="371">
        <v>43636</v>
      </c>
      <c r="AK4948" s="370"/>
      <c r="AL4948" s="370"/>
      <c r="AM4948" s="369" t="s">
        <v>49</v>
      </c>
      <c r="AN4948" s="369" t="s">
        <v>284</v>
      </c>
      <c r="AO4948" s="369" t="s">
        <v>50</v>
      </c>
      <c r="AP4948" s="369" t="s">
        <v>51</v>
      </c>
      <c r="AQ4948" s="372" t="s">
        <v>439</v>
      </c>
    </row>
    <row r="4949" spans="1:43" ht="15" customHeight="1">
      <c r="A4949" s="69">
        <v>43593</v>
      </c>
      <c r="B4949" s="70" t="s">
        <v>100</v>
      </c>
      <c r="C4949" s="21" t="s">
        <v>1001</v>
      </c>
      <c r="D4949" s="21" t="s">
        <v>1002</v>
      </c>
      <c r="E4949" s="23" t="s">
        <v>1006</v>
      </c>
      <c r="F4949" s="24">
        <v>3</v>
      </c>
      <c r="G4949" s="143">
        <v>130</v>
      </c>
      <c r="H4949" s="60">
        <v>390</v>
      </c>
      <c r="I4949" s="87" t="s">
        <v>302</v>
      </c>
      <c r="J4949" s="63" t="s">
        <v>1004</v>
      </c>
      <c r="K4949" s="29">
        <v>43606</v>
      </c>
      <c r="W4949" s="300">
        <v>43646</v>
      </c>
      <c r="X4949" s="300">
        <v>43602</v>
      </c>
      <c r="Y4949" s="294" t="s">
        <v>1007</v>
      </c>
      <c r="Z4949" s="294">
        <v>11076</v>
      </c>
      <c r="AA4949" s="300">
        <v>43647</v>
      </c>
      <c r="AB4949" s="237"/>
      <c r="AC4949" s="244"/>
      <c r="AD4949" s="244"/>
      <c r="AE4949" s="244"/>
      <c r="AF4949" s="244"/>
      <c r="AG4949" s="369"/>
      <c r="AH4949" s="369">
        <v>31.05</v>
      </c>
      <c r="AI4949" s="370"/>
      <c r="AJ4949" s="371">
        <v>43636</v>
      </c>
      <c r="AK4949" s="370"/>
      <c r="AL4949" s="370"/>
      <c r="AM4949" s="369" t="s">
        <v>49</v>
      </c>
      <c r="AN4949" s="369" t="s">
        <v>284</v>
      </c>
      <c r="AO4949" s="369" t="s">
        <v>50</v>
      </c>
      <c r="AP4949" s="369" t="s">
        <v>51</v>
      </c>
      <c r="AQ4949" s="372" t="s">
        <v>439</v>
      </c>
    </row>
    <row r="4950" spans="1:43" ht="15" customHeight="1">
      <c r="A4950" s="69">
        <v>43593</v>
      </c>
      <c r="B4950" s="70" t="s">
        <v>100</v>
      </c>
      <c r="C4950" s="21" t="s">
        <v>1001</v>
      </c>
      <c r="D4950" s="21" t="s">
        <v>1002</v>
      </c>
      <c r="E4950" s="23" t="s">
        <v>1008</v>
      </c>
      <c r="F4950" s="24">
        <v>1</v>
      </c>
      <c r="G4950" s="143">
        <v>313</v>
      </c>
      <c r="H4950" s="60">
        <v>313</v>
      </c>
      <c r="I4950" s="87" t="s">
        <v>302</v>
      </c>
      <c r="J4950" s="63" t="s">
        <v>1004</v>
      </c>
      <c r="K4950" s="29">
        <v>43606</v>
      </c>
      <c r="W4950" s="300">
        <v>43646</v>
      </c>
      <c r="X4950" s="300">
        <v>43601</v>
      </c>
      <c r="Y4950" s="294" t="s">
        <v>1009</v>
      </c>
      <c r="Z4950" s="294">
        <v>13860</v>
      </c>
      <c r="AA4950" s="300">
        <v>43647</v>
      </c>
      <c r="AB4950" s="237"/>
      <c r="AC4950" s="244"/>
      <c r="AD4950" s="244"/>
      <c r="AE4950" s="244"/>
      <c r="AF4950" s="244"/>
      <c r="AG4950" s="369"/>
      <c r="AH4950" s="369">
        <v>31.05</v>
      </c>
      <c r="AI4950" s="370"/>
      <c r="AJ4950" s="371">
        <v>43636</v>
      </c>
      <c r="AK4950" s="370"/>
      <c r="AL4950" s="370"/>
      <c r="AM4950" s="369" t="s">
        <v>49</v>
      </c>
      <c r="AN4950" s="369" t="s">
        <v>284</v>
      </c>
      <c r="AO4950" s="369" t="s">
        <v>50</v>
      </c>
      <c r="AP4950" s="369" t="s">
        <v>51</v>
      </c>
      <c r="AQ4950" s="372" t="s">
        <v>439</v>
      </c>
    </row>
    <row r="4951" spans="1:43" ht="15" customHeight="1">
      <c r="A4951" s="69">
        <v>43593</v>
      </c>
      <c r="B4951" s="70" t="s">
        <v>100</v>
      </c>
      <c r="C4951" s="21" t="s">
        <v>1001</v>
      </c>
      <c r="D4951" s="21" t="s">
        <v>1002</v>
      </c>
      <c r="E4951" s="23" t="s">
        <v>1010</v>
      </c>
      <c r="F4951" s="24">
        <v>1</v>
      </c>
      <c r="G4951" s="143">
        <v>9</v>
      </c>
      <c r="H4951" s="60">
        <v>9</v>
      </c>
      <c r="I4951" s="87" t="s">
        <v>302</v>
      </c>
      <c r="J4951" s="63" t="s">
        <v>1004</v>
      </c>
      <c r="K4951" s="29">
        <v>43606</v>
      </c>
      <c r="W4951" s="300">
        <v>43646</v>
      </c>
      <c r="X4951" s="300">
        <v>43601</v>
      </c>
      <c r="Y4951" s="294" t="s">
        <v>1009</v>
      </c>
      <c r="Z4951" s="294"/>
      <c r="AA4951" s="300">
        <v>43647</v>
      </c>
      <c r="AB4951" s="237"/>
      <c r="AC4951" s="244"/>
      <c r="AD4951" s="244"/>
      <c r="AE4951" s="244"/>
      <c r="AF4951" s="244"/>
      <c r="AG4951" s="369"/>
      <c r="AH4951" s="369">
        <v>31.05</v>
      </c>
      <c r="AI4951" s="370"/>
      <c r="AJ4951" s="371">
        <v>43636</v>
      </c>
      <c r="AK4951" s="370"/>
      <c r="AL4951" s="370"/>
      <c r="AM4951" s="369" t="s">
        <v>49</v>
      </c>
      <c r="AN4951" s="369" t="s">
        <v>284</v>
      </c>
      <c r="AO4951" s="369" t="s">
        <v>50</v>
      </c>
      <c r="AP4951" s="369" t="s">
        <v>51</v>
      </c>
      <c r="AQ4951" s="372" t="s">
        <v>439</v>
      </c>
    </row>
    <row r="4952" spans="1:43" ht="15" customHeight="1">
      <c r="A4952" s="69">
        <v>43593</v>
      </c>
      <c r="B4952" s="70" t="s">
        <v>100</v>
      </c>
      <c r="C4952" s="21" t="s">
        <v>1001</v>
      </c>
      <c r="D4952" s="21" t="s">
        <v>1002</v>
      </c>
      <c r="E4952" s="23" t="s">
        <v>1011</v>
      </c>
      <c r="F4952" s="24">
        <v>1</v>
      </c>
      <c r="G4952" s="143">
        <v>9</v>
      </c>
      <c r="H4952" s="60">
        <v>9</v>
      </c>
      <c r="I4952" s="87" t="s">
        <v>302</v>
      </c>
      <c r="J4952" s="63" t="s">
        <v>1004</v>
      </c>
      <c r="K4952" s="29">
        <v>43606</v>
      </c>
      <c r="W4952" s="300">
        <v>43646</v>
      </c>
      <c r="X4952" s="300">
        <v>43601</v>
      </c>
      <c r="Y4952" s="294" t="s">
        <v>1009</v>
      </c>
      <c r="Z4952" s="294"/>
      <c r="AA4952" s="300">
        <v>43647</v>
      </c>
      <c r="AB4952" s="237"/>
      <c r="AC4952" s="244"/>
      <c r="AD4952" s="244"/>
      <c r="AE4952" s="244"/>
      <c r="AF4952" s="244"/>
      <c r="AG4952" s="369"/>
      <c r="AH4952" s="369">
        <v>31.05</v>
      </c>
      <c r="AI4952" s="370"/>
      <c r="AJ4952" s="371">
        <v>43636</v>
      </c>
      <c r="AK4952" s="370"/>
      <c r="AL4952" s="370"/>
      <c r="AM4952" s="369" t="s">
        <v>49</v>
      </c>
      <c r="AN4952" s="369" t="s">
        <v>284</v>
      </c>
      <c r="AO4952" s="369" t="s">
        <v>50</v>
      </c>
      <c r="AP4952" s="369" t="s">
        <v>51</v>
      </c>
      <c r="AQ4952" s="372" t="s">
        <v>439</v>
      </c>
    </row>
    <row r="4953" spans="1:43" ht="15" customHeight="1">
      <c r="A4953" s="69">
        <v>43593</v>
      </c>
      <c r="B4953" s="70" t="s">
        <v>100</v>
      </c>
      <c r="C4953" s="21" t="s">
        <v>1001</v>
      </c>
      <c r="D4953" s="21" t="s">
        <v>1002</v>
      </c>
      <c r="E4953" s="23" t="s">
        <v>1012</v>
      </c>
      <c r="F4953" s="24">
        <v>1</v>
      </c>
      <c r="G4953" s="143">
        <v>170</v>
      </c>
      <c r="H4953" s="60">
        <v>170</v>
      </c>
      <c r="I4953" s="87" t="s">
        <v>302</v>
      </c>
      <c r="J4953" s="63" t="s">
        <v>1004</v>
      </c>
      <c r="K4953" s="29">
        <v>43606</v>
      </c>
      <c r="W4953" s="300">
        <v>43646</v>
      </c>
      <c r="X4953" s="300">
        <v>43601</v>
      </c>
      <c r="Y4953" s="294" t="s">
        <v>1009</v>
      </c>
      <c r="Z4953" s="294"/>
      <c r="AA4953" s="300">
        <v>43647</v>
      </c>
      <c r="AB4953" s="237"/>
      <c r="AC4953" s="244"/>
      <c r="AD4953" s="244"/>
      <c r="AE4953" s="244"/>
      <c r="AF4953" s="244"/>
      <c r="AG4953" s="369"/>
      <c r="AH4953" s="369">
        <v>31.05</v>
      </c>
      <c r="AI4953" s="370"/>
      <c r="AJ4953" s="371">
        <v>43636</v>
      </c>
      <c r="AK4953" s="370"/>
      <c r="AL4953" s="370"/>
      <c r="AM4953" s="369" t="s">
        <v>49</v>
      </c>
      <c r="AN4953" s="369" t="s">
        <v>284</v>
      </c>
      <c r="AO4953" s="369" t="s">
        <v>50</v>
      </c>
      <c r="AP4953" s="369" t="s">
        <v>51</v>
      </c>
      <c r="AQ4953" s="372" t="s">
        <v>439</v>
      </c>
    </row>
    <row r="4954" spans="1:43" ht="15" customHeight="1">
      <c r="A4954" s="467">
        <v>43593</v>
      </c>
      <c r="B4954" s="70" t="s">
        <v>100</v>
      </c>
      <c r="C4954" s="21" t="s">
        <v>1001</v>
      </c>
      <c r="D4954" s="21" t="s">
        <v>1013</v>
      </c>
      <c r="E4954" s="23" t="s">
        <v>1006</v>
      </c>
      <c r="F4954" s="24">
        <v>1</v>
      </c>
      <c r="G4954" s="143">
        <v>130</v>
      </c>
      <c r="H4954" s="60">
        <v>130</v>
      </c>
      <c r="I4954" s="87" t="s">
        <v>302</v>
      </c>
      <c r="J4954" s="50" t="s">
        <v>1014</v>
      </c>
      <c r="K4954" s="298">
        <v>43620</v>
      </c>
      <c r="W4954" s="460">
        <v>43677</v>
      </c>
      <c r="X4954" s="460">
        <v>43616</v>
      </c>
      <c r="Y4954" s="304" t="s">
        <v>1015</v>
      </c>
      <c r="Z4954" s="304">
        <v>3717</v>
      </c>
      <c r="AA4954" s="460">
        <v>43677</v>
      </c>
      <c r="AB4954" s="237"/>
      <c r="AC4954" s="244"/>
      <c r="AD4954" s="244"/>
      <c r="AE4954" s="244"/>
      <c r="AF4954" s="244"/>
      <c r="AG4954" s="296"/>
      <c r="AH4954" s="296"/>
      <c r="AI4954" s="297"/>
      <c r="AJ4954" s="298">
        <v>43663</v>
      </c>
      <c r="AK4954" s="297"/>
      <c r="AL4954" s="297"/>
      <c r="AM4954" s="296" t="s">
        <v>49</v>
      </c>
      <c r="AN4954" s="82" t="s">
        <v>284</v>
      </c>
      <c r="AO4954" s="296" t="s">
        <v>50</v>
      </c>
      <c r="AP4954" s="296" t="s">
        <v>51</v>
      </c>
      <c r="AQ4954" s="457" t="s">
        <v>742</v>
      </c>
    </row>
    <row r="4955" spans="1:43" ht="15" customHeight="1">
      <c r="A4955" s="69">
        <v>43593</v>
      </c>
      <c r="B4955" s="144" t="s">
        <v>1016</v>
      </c>
      <c r="C4955" s="21" t="s">
        <v>1017</v>
      </c>
      <c r="D4955" s="491" t="s">
        <v>1018</v>
      </c>
      <c r="E4955" s="23" t="s">
        <v>1019</v>
      </c>
      <c r="F4955" s="24">
        <v>3</v>
      </c>
      <c r="G4955" s="25">
        <v>78</v>
      </c>
      <c r="H4955" s="60">
        <v>234</v>
      </c>
      <c r="I4955" s="87" t="s">
        <v>302</v>
      </c>
      <c r="J4955" s="50" t="s">
        <v>1020</v>
      </c>
      <c r="K4955" s="298">
        <v>43644</v>
      </c>
      <c r="W4955" s="460">
        <v>43621</v>
      </c>
      <c r="X4955" s="460">
        <v>43609</v>
      </c>
      <c r="Y4955" s="304" t="s">
        <v>1021</v>
      </c>
      <c r="Z4955" s="304">
        <v>7796</v>
      </c>
      <c r="AA4955" s="460">
        <v>43621</v>
      </c>
      <c r="AB4955" s="237"/>
      <c r="AC4955" s="244"/>
      <c r="AD4955" s="244"/>
      <c r="AE4955" s="244"/>
      <c r="AF4955" s="244"/>
      <c r="AG4955" s="296"/>
      <c r="AH4955" s="296"/>
      <c r="AI4955" s="297"/>
      <c r="AJ4955" s="298">
        <v>43643</v>
      </c>
      <c r="AK4955" s="297"/>
      <c r="AL4955" s="297"/>
      <c r="AM4955" s="296" t="s">
        <v>49</v>
      </c>
      <c r="AN4955" s="82" t="s">
        <v>284</v>
      </c>
      <c r="AO4955" s="296" t="s">
        <v>285</v>
      </c>
      <c r="AP4955" s="296" t="s">
        <v>51</v>
      </c>
      <c r="AQ4955" s="457" t="s">
        <v>742</v>
      </c>
    </row>
    <row r="4956" spans="1:43" ht="15" customHeight="1">
      <c r="A4956" s="69">
        <v>43593</v>
      </c>
      <c r="B4956" s="144" t="s">
        <v>1016</v>
      </c>
      <c r="C4956" s="21" t="s">
        <v>1017</v>
      </c>
      <c r="D4956" s="491" t="s">
        <v>1018</v>
      </c>
      <c r="E4956" s="23" t="s">
        <v>1022</v>
      </c>
      <c r="F4956" s="24">
        <v>3</v>
      </c>
      <c r="G4956" s="25">
        <v>35</v>
      </c>
      <c r="H4956" s="60">
        <v>105</v>
      </c>
      <c r="I4956" s="87" t="s">
        <v>302</v>
      </c>
      <c r="J4956" s="50" t="s">
        <v>1023</v>
      </c>
      <c r="K4956" s="298">
        <v>43644</v>
      </c>
      <c r="W4956" s="460">
        <v>43614</v>
      </c>
      <c r="X4956" s="460">
        <v>43614</v>
      </c>
      <c r="Y4956" s="304" t="s">
        <v>1024</v>
      </c>
      <c r="Z4956" s="304">
        <v>3900</v>
      </c>
      <c r="AA4956" s="460">
        <v>43614</v>
      </c>
      <c r="AB4956" s="237"/>
      <c r="AC4956" s="244"/>
      <c r="AD4956" s="244"/>
      <c r="AE4956" s="244"/>
      <c r="AF4956" s="244"/>
      <c r="AG4956" s="296"/>
      <c r="AH4956" s="296"/>
      <c r="AI4956" s="297"/>
      <c r="AJ4956" s="298">
        <v>43643</v>
      </c>
      <c r="AK4956" s="297"/>
      <c r="AL4956" s="297"/>
      <c r="AM4956" s="296" t="s">
        <v>49</v>
      </c>
      <c r="AN4956" s="82" t="s">
        <v>284</v>
      </c>
      <c r="AO4956" s="296" t="s">
        <v>285</v>
      </c>
      <c r="AP4956" s="296" t="s">
        <v>51</v>
      </c>
      <c r="AQ4956" s="457" t="s">
        <v>742</v>
      </c>
    </row>
    <row r="4957" spans="1:43" ht="15" customHeight="1">
      <c r="A4957" s="69">
        <v>43593</v>
      </c>
      <c r="B4957" s="144" t="s">
        <v>1016</v>
      </c>
      <c r="C4957" s="21" t="s">
        <v>1017</v>
      </c>
      <c r="D4957" s="491" t="s">
        <v>1018</v>
      </c>
      <c r="E4957" s="23" t="s">
        <v>1025</v>
      </c>
      <c r="F4957" s="24">
        <v>3</v>
      </c>
      <c r="G4957" s="48">
        <v>2023</v>
      </c>
      <c r="H4957" s="60">
        <v>6069</v>
      </c>
      <c r="I4957" s="87" t="s">
        <v>302</v>
      </c>
      <c r="J4957" s="50" t="s">
        <v>1020</v>
      </c>
      <c r="K4957" s="298">
        <v>43644</v>
      </c>
      <c r="W4957" s="304"/>
      <c r="X4957" s="304"/>
      <c r="Y4957" s="304"/>
      <c r="Z4957" s="304"/>
      <c r="AA4957" s="304"/>
      <c r="AB4957" s="237"/>
      <c r="AC4957" s="244"/>
      <c r="AD4957" s="244"/>
      <c r="AE4957" s="244"/>
      <c r="AF4957" s="244"/>
      <c r="AG4957" s="296"/>
      <c r="AH4957" s="296"/>
      <c r="AI4957" s="297"/>
      <c r="AJ4957" s="298">
        <v>43643</v>
      </c>
      <c r="AK4957" s="297">
        <f>8612.42*31</f>
        <v>266985.02</v>
      </c>
      <c r="AL4957" s="297">
        <f>(8652.87-8612.42)*31</f>
        <v>1253.9500000000226</v>
      </c>
      <c r="AM4957" s="296" t="s">
        <v>49</v>
      </c>
      <c r="AN4957" s="82" t="s">
        <v>284</v>
      </c>
      <c r="AO4957" s="296" t="s">
        <v>285</v>
      </c>
      <c r="AP4957" s="296" t="s">
        <v>51</v>
      </c>
      <c r="AQ4957" s="457" t="s">
        <v>742</v>
      </c>
    </row>
    <row r="4958" spans="1:43" ht="15" customHeight="1">
      <c r="A4958" s="69">
        <v>43593</v>
      </c>
      <c r="B4958" s="144" t="s">
        <v>1016</v>
      </c>
      <c r="C4958" s="21" t="s">
        <v>1017</v>
      </c>
      <c r="D4958" s="491" t="s">
        <v>1018</v>
      </c>
      <c r="E4958" s="23" t="s">
        <v>1025</v>
      </c>
      <c r="F4958" s="24">
        <v>3</v>
      </c>
      <c r="G4958" s="48">
        <v>-257</v>
      </c>
      <c r="H4958" s="60">
        <v>-771</v>
      </c>
      <c r="I4958" s="87" t="s">
        <v>302</v>
      </c>
      <c r="J4958" s="63"/>
      <c r="K4958" s="29"/>
      <c r="W4958" s="460"/>
      <c r="X4958" s="460"/>
      <c r="Y4958" s="304"/>
      <c r="Z4958" s="304"/>
      <c r="AA4958" s="460"/>
      <c r="AB4958" s="237"/>
      <c r="AC4958" s="244"/>
      <c r="AD4958" s="244"/>
      <c r="AE4958" s="244"/>
      <c r="AF4958" s="244"/>
      <c r="AG4958" s="296"/>
      <c r="AH4958" s="296"/>
      <c r="AI4958" s="297"/>
      <c r="AJ4958" s="296" t="s">
        <v>1026</v>
      </c>
      <c r="AK4958" s="297"/>
      <c r="AL4958" s="297"/>
      <c r="AM4958" s="296" t="s">
        <v>49</v>
      </c>
      <c r="AN4958" s="82" t="s">
        <v>284</v>
      </c>
      <c r="AO4958" s="296" t="s">
        <v>285</v>
      </c>
      <c r="AP4958" s="296" t="s">
        <v>51</v>
      </c>
      <c r="AQ4958" s="457" t="s">
        <v>742</v>
      </c>
    </row>
    <row r="4959" spans="1:43" ht="15" customHeight="1">
      <c r="A4959" s="69">
        <v>43593</v>
      </c>
      <c r="B4959" s="70" t="s">
        <v>222</v>
      </c>
      <c r="C4959" s="21" t="s">
        <v>1027</v>
      </c>
      <c r="D4959" s="21" t="s">
        <v>1028</v>
      </c>
      <c r="E4959" s="23" t="s">
        <v>1029</v>
      </c>
      <c r="F4959" s="24">
        <v>4</v>
      </c>
      <c r="G4959" s="48">
        <v>131.25</v>
      </c>
      <c r="H4959" s="60">
        <v>525</v>
      </c>
      <c r="I4959" s="87" t="s">
        <v>247</v>
      </c>
      <c r="J4959" s="63" t="s">
        <v>89</v>
      </c>
      <c r="K4959" s="29">
        <v>43605</v>
      </c>
      <c r="W4959" s="460">
        <v>43646</v>
      </c>
      <c r="X4959" s="460">
        <v>43602</v>
      </c>
      <c r="Y4959" s="304" t="s">
        <v>1030</v>
      </c>
      <c r="Z4959" s="304">
        <v>14769</v>
      </c>
      <c r="AA4959" s="460">
        <v>43647</v>
      </c>
      <c r="AB4959" s="237"/>
      <c r="AC4959" s="244"/>
      <c r="AD4959" s="244"/>
      <c r="AE4959" s="244"/>
      <c r="AF4959" s="244"/>
      <c r="AG4959" s="296"/>
      <c r="AH4959" s="296"/>
      <c r="AI4959" s="297"/>
      <c r="AJ4959" s="298">
        <v>43649</v>
      </c>
      <c r="AK4959" s="297">
        <v>16425</v>
      </c>
      <c r="AL4959" s="297">
        <v>28</v>
      </c>
      <c r="AM4959" s="296" t="s">
        <v>49</v>
      </c>
      <c r="AN4959" s="82" t="s">
        <v>284</v>
      </c>
      <c r="AO4959" s="296" t="s">
        <v>50</v>
      </c>
      <c r="AP4959" s="296" t="s">
        <v>376</v>
      </c>
      <c r="AQ4959" s="457" t="s">
        <v>742</v>
      </c>
    </row>
    <row r="4960" spans="1:43" ht="15" customHeight="1">
      <c r="A4960" s="69">
        <v>43593</v>
      </c>
      <c r="B4960" s="70" t="s">
        <v>129</v>
      </c>
      <c r="C4960" s="21"/>
      <c r="D4960" s="21" t="s">
        <v>1031</v>
      </c>
      <c r="E4960" s="23" t="s">
        <v>992</v>
      </c>
      <c r="F4960" s="24">
        <v>50</v>
      </c>
      <c r="G4960" s="48">
        <v>25</v>
      </c>
      <c r="H4960" s="60">
        <v>1250</v>
      </c>
      <c r="I4960" s="87" t="s">
        <v>247</v>
      </c>
      <c r="J4960" s="50" t="s">
        <v>133</v>
      </c>
      <c r="K4960" s="30">
        <v>43741</v>
      </c>
      <c r="W4960" s="303">
        <v>43769</v>
      </c>
      <c r="X4960" s="460">
        <v>43733</v>
      </c>
      <c r="Y4960" s="304" t="s">
        <v>1032</v>
      </c>
      <c r="Z4960" s="304">
        <v>162997</v>
      </c>
      <c r="AA4960" s="304"/>
      <c r="AB4960" s="237"/>
      <c r="AC4960" s="244"/>
      <c r="AD4960" s="244"/>
      <c r="AE4960" s="244"/>
      <c r="AF4960" s="244"/>
      <c r="AG4960" s="296"/>
      <c r="AH4960" s="296"/>
      <c r="AI4960" s="297"/>
      <c r="AJ4960" s="29">
        <v>43756</v>
      </c>
      <c r="AK4960" s="297">
        <f>5809.46*30.57</f>
        <v>177595.19219999999</v>
      </c>
      <c r="AL4960" s="297">
        <f>(5832-5809.46)*30.57</f>
        <v>689.04779999999892</v>
      </c>
      <c r="AM4960" s="296" t="s">
        <v>49</v>
      </c>
      <c r="AN4960" s="296" t="s">
        <v>284</v>
      </c>
      <c r="AO4960" s="296" t="s">
        <v>50</v>
      </c>
      <c r="AP4960" s="296" t="s">
        <v>376</v>
      </c>
      <c r="AQ4960" s="457" t="s">
        <v>755</v>
      </c>
    </row>
    <row r="4961" spans="1:43" ht="15" customHeight="1">
      <c r="A4961" s="69">
        <v>43594</v>
      </c>
      <c r="B4961" s="70" t="s">
        <v>463</v>
      </c>
      <c r="C4961" s="21">
        <v>504301</v>
      </c>
      <c r="D4961" s="475" t="s">
        <v>1033</v>
      </c>
      <c r="E4961" s="23" t="s">
        <v>636</v>
      </c>
      <c r="F4961" s="24">
        <v>1</v>
      </c>
      <c r="G4961" s="47">
        <v>80</v>
      </c>
      <c r="H4961" s="26">
        <v>80</v>
      </c>
      <c r="I4961" s="49" t="s">
        <v>302</v>
      </c>
      <c r="J4961" s="24" t="s">
        <v>466</v>
      </c>
      <c r="K4961" s="298">
        <v>43614</v>
      </c>
      <c r="W4961" s="300">
        <v>43608</v>
      </c>
      <c r="X4961" s="300">
        <v>43612</v>
      </c>
      <c r="Y4961" s="294" t="s">
        <v>971</v>
      </c>
      <c r="Z4961" s="294"/>
      <c r="AA4961" s="258">
        <v>43608</v>
      </c>
      <c r="AB4961" s="237"/>
      <c r="AC4961" s="244"/>
      <c r="AD4961" s="244"/>
      <c r="AE4961" s="244"/>
      <c r="AF4961" s="244"/>
      <c r="AG4961" s="369"/>
      <c r="AH4961" s="369">
        <v>31.05</v>
      </c>
      <c r="AI4961" s="370">
        <f>4578*31.05</f>
        <v>142146.9</v>
      </c>
      <c r="AJ4961" s="371">
        <v>43612</v>
      </c>
      <c r="AK4961" s="370">
        <f>4571.64*31.43</f>
        <v>143686.6452</v>
      </c>
      <c r="AL4961" s="370">
        <f>(4578-4571.64)*31.43</f>
        <v>199.89479999998971</v>
      </c>
      <c r="AM4961" s="369" t="s">
        <v>49</v>
      </c>
      <c r="AN4961" s="369" t="s">
        <v>284</v>
      </c>
      <c r="AO4961" s="369" t="s">
        <v>50</v>
      </c>
      <c r="AP4961" s="369" t="s">
        <v>51</v>
      </c>
      <c r="AQ4961" s="372" t="s">
        <v>439</v>
      </c>
    </row>
    <row r="4962" spans="1:43" ht="15" customHeight="1">
      <c r="A4962" s="69">
        <v>43594</v>
      </c>
      <c r="B4962" s="70" t="s">
        <v>463</v>
      </c>
      <c r="C4962" s="21">
        <v>504301</v>
      </c>
      <c r="D4962" s="475" t="s">
        <v>1033</v>
      </c>
      <c r="E4962" s="23" t="s">
        <v>471</v>
      </c>
      <c r="F4962" s="24">
        <v>1</v>
      </c>
      <c r="G4962" s="47">
        <v>118</v>
      </c>
      <c r="H4962" s="26">
        <v>118</v>
      </c>
      <c r="I4962" s="49" t="s">
        <v>302</v>
      </c>
      <c r="J4962" s="24" t="s">
        <v>466</v>
      </c>
      <c r="K4962" s="298">
        <v>43614</v>
      </c>
      <c r="W4962" s="300">
        <v>43608</v>
      </c>
      <c r="X4962" s="300">
        <v>43612</v>
      </c>
      <c r="Y4962" s="294" t="s">
        <v>971</v>
      </c>
      <c r="Z4962" s="294"/>
      <c r="AA4962" s="258">
        <v>43608</v>
      </c>
      <c r="AB4962" s="237"/>
      <c r="AC4962" s="244"/>
      <c r="AD4962" s="244"/>
      <c r="AE4962" s="244"/>
      <c r="AF4962" s="244"/>
      <c r="AG4962" s="369"/>
      <c r="AH4962" s="369">
        <v>31.05</v>
      </c>
      <c r="AI4962" s="370">
        <v>0</v>
      </c>
      <c r="AJ4962" s="371">
        <v>43612</v>
      </c>
      <c r="AK4962" s="370"/>
      <c r="AL4962" s="370"/>
      <c r="AM4962" s="369" t="s">
        <v>49</v>
      </c>
      <c r="AN4962" s="369" t="s">
        <v>284</v>
      </c>
      <c r="AO4962" s="369" t="s">
        <v>50</v>
      </c>
      <c r="AP4962" s="369" t="s">
        <v>51</v>
      </c>
      <c r="AQ4962" s="372" t="s">
        <v>439</v>
      </c>
    </row>
    <row r="4963" spans="1:43" ht="15" customHeight="1">
      <c r="A4963" s="69">
        <v>43594</v>
      </c>
      <c r="B4963" s="70" t="s">
        <v>463</v>
      </c>
      <c r="C4963" s="21">
        <v>504301</v>
      </c>
      <c r="D4963" s="475" t="s">
        <v>1033</v>
      </c>
      <c r="E4963" s="23" t="s">
        <v>472</v>
      </c>
      <c r="F4963" s="24">
        <v>1</v>
      </c>
      <c r="G4963" s="47">
        <v>160</v>
      </c>
      <c r="H4963" s="26">
        <v>160</v>
      </c>
      <c r="I4963" s="27" t="s">
        <v>302</v>
      </c>
      <c r="J4963" s="24" t="s">
        <v>466</v>
      </c>
      <c r="K4963" s="298">
        <v>43614</v>
      </c>
      <c r="W4963" s="300">
        <v>43646</v>
      </c>
      <c r="X4963" s="300">
        <v>43608</v>
      </c>
      <c r="Y4963" s="294" t="s">
        <v>972</v>
      </c>
      <c r="Z4963" s="294"/>
      <c r="AA4963" s="293">
        <v>43631</v>
      </c>
      <c r="AB4963" s="237"/>
      <c r="AC4963" s="244"/>
      <c r="AD4963" s="244"/>
      <c r="AE4963" s="244"/>
      <c r="AF4963" s="244"/>
      <c r="AG4963" s="369"/>
      <c r="AH4963" s="369">
        <v>31.05</v>
      </c>
      <c r="AI4963" s="370">
        <v>0</v>
      </c>
      <c r="AJ4963" s="371">
        <v>43612</v>
      </c>
      <c r="AK4963" s="370"/>
      <c r="AL4963" s="370"/>
      <c r="AM4963" s="369" t="s">
        <v>49</v>
      </c>
      <c r="AN4963" s="369" t="s">
        <v>284</v>
      </c>
      <c r="AO4963" s="369" t="s">
        <v>50</v>
      </c>
      <c r="AP4963" s="369" t="s">
        <v>51</v>
      </c>
      <c r="AQ4963" s="372" t="s">
        <v>439</v>
      </c>
    </row>
    <row r="4964" spans="1:43" ht="15" customHeight="1">
      <c r="A4964" s="69">
        <v>43594</v>
      </c>
      <c r="B4964" s="70" t="s">
        <v>463</v>
      </c>
      <c r="C4964" s="21">
        <v>504301</v>
      </c>
      <c r="D4964" s="475" t="s">
        <v>1033</v>
      </c>
      <c r="E4964" s="23" t="s">
        <v>973</v>
      </c>
      <c r="F4964" s="24">
        <v>1</v>
      </c>
      <c r="G4964" s="47">
        <v>4120</v>
      </c>
      <c r="H4964" s="26">
        <v>4120</v>
      </c>
      <c r="I4964" s="27" t="s">
        <v>302</v>
      </c>
      <c r="J4964" s="24" t="s">
        <v>466</v>
      </c>
      <c r="K4964" s="298">
        <v>43614</v>
      </c>
      <c r="W4964" s="300">
        <v>43677</v>
      </c>
      <c r="X4964" s="300">
        <v>43612</v>
      </c>
      <c r="Y4964" s="294" t="s">
        <v>1034</v>
      </c>
      <c r="Z4964" s="294">
        <v>122722</v>
      </c>
      <c r="AA4964" s="470">
        <v>43677</v>
      </c>
      <c r="AB4964" s="237"/>
      <c r="AC4964" s="244"/>
      <c r="AD4964" s="244"/>
      <c r="AE4964" s="244"/>
      <c r="AF4964" s="244"/>
      <c r="AG4964" s="369"/>
      <c r="AH4964" s="369">
        <v>31.05</v>
      </c>
      <c r="AI4964" s="370">
        <v>0</v>
      </c>
      <c r="AJ4964" s="371">
        <v>43612</v>
      </c>
      <c r="AK4964" s="370"/>
      <c r="AL4964" s="370"/>
      <c r="AM4964" s="369" t="s">
        <v>49</v>
      </c>
      <c r="AN4964" s="369" t="s">
        <v>284</v>
      </c>
      <c r="AO4964" s="369" t="s">
        <v>50</v>
      </c>
      <c r="AP4964" s="369" t="s">
        <v>51</v>
      </c>
      <c r="AQ4964" s="372" t="s">
        <v>439</v>
      </c>
    </row>
    <row r="4965" spans="1:43" ht="15" customHeight="1">
      <c r="A4965" s="69">
        <v>43594</v>
      </c>
      <c r="B4965" s="70" t="s">
        <v>463</v>
      </c>
      <c r="C4965" s="21">
        <v>504301</v>
      </c>
      <c r="D4965" s="475" t="s">
        <v>1033</v>
      </c>
      <c r="E4965" s="23" t="s">
        <v>465</v>
      </c>
      <c r="F4965" s="24">
        <v>1</v>
      </c>
      <c r="G4965" s="47">
        <v>100</v>
      </c>
      <c r="H4965" s="26">
        <v>100</v>
      </c>
      <c r="I4965" s="27" t="s">
        <v>302</v>
      </c>
      <c r="J4965" s="24" t="s">
        <v>466</v>
      </c>
      <c r="K4965" s="298">
        <v>43614</v>
      </c>
      <c r="W4965" s="300">
        <v>43677</v>
      </c>
      <c r="X4965" s="300">
        <v>43612</v>
      </c>
      <c r="Y4965" s="294" t="s">
        <v>1034</v>
      </c>
      <c r="Z4965" s="294"/>
      <c r="AA4965" s="470">
        <v>43677</v>
      </c>
      <c r="AB4965" s="237"/>
      <c r="AC4965" s="244"/>
      <c r="AD4965" s="244"/>
      <c r="AE4965" s="244"/>
      <c r="AF4965" s="244"/>
      <c r="AG4965" s="369"/>
      <c r="AH4965" s="369">
        <v>31.05</v>
      </c>
      <c r="AI4965" s="370">
        <v>0</v>
      </c>
      <c r="AJ4965" s="371">
        <v>43612</v>
      </c>
      <c r="AK4965" s="370"/>
      <c r="AL4965" s="370"/>
      <c r="AM4965" s="369" t="s">
        <v>49</v>
      </c>
      <c r="AN4965" s="369" t="s">
        <v>284</v>
      </c>
      <c r="AO4965" s="369" t="s">
        <v>50</v>
      </c>
      <c r="AP4965" s="369" t="s">
        <v>51</v>
      </c>
      <c r="AQ4965" s="372" t="s">
        <v>439</v>
      </c>
    </row>
    <row r="4966" spans="1:43" ht="15" customHeight="1">
      <c r="A4966" s="397">
        <v>43594</v>
      </c>
      <c r="B4966" s="375" t="s">
        <v>100</v>
      </c>
      <c r="C4966" s="183">
        <v>19000175</v>
      </c>
      <c r="D4966" s="492" t="s">
        <v>1035</v>
      </c>
      <c r="E4966" s="376" t="s">
        <v>1036</v>
      </c>
      <c r="F4966" s="186">
        <v>0</v>
      </c>
      <c r="G4966" s="399">
        <v>576</v>
      </c>
      <c r="H4966" s="379">
        <v>0</v>
      </c>
      <c r="I4966" s="487" t="s">
        <v>302</v>
      </c>
      <c r="J4966" s="493" t="s">
        <v>860</v>
      </c>
      <c r="K4966" s="191">
        <v>43641</v>
      </c>
      <c r="W4966" s="52"/>
      <c r="X4966" s="53"/>
      <c r="Y4966" s="53"/>
      <c r="Z4966" s="53"/>
      <c r="AA4966" s="53"/>
      <c r="AB4966" s="237"/>
      <c r="AC4966" s="244"/>
      <c r="AD4966" s="244"/>
      <c r="AE4966" s="244"/>
      <c r="AF4966" s="244"/>
      <c r="AG4966" s="54"/>
      <c r="AH4966" s="54"/>
      <c r="AI4966" s="55"/>
      <c r="AJ4966" s="54"/>
      <c r="AK4966" s="55"/>
      <c r="AL4966" s="55"/>
      <c r="AM4966" s="54" t="s">
        <v>49</v>
      </c>
      <c r="AN4966" s="54" t="s">
        <v>295</v>
      </c>
      <c r="AO4966" s="54" t="s">
        <v>50</v>
      </c>
      <c r="AP4966" s="54" t="s">
        <v>51</v>
      </c>
      <c r="AQ4966" s="57"/>
    </row>
    <row r="4967" spans="1:43" ht="15" customHeight="1">
      <c r="A4967" s="397">
        <v>43594</v>
      </c>
      <c r="B4967" s="375" t="s">
        <v>100</v>
      </c>
      <c r="C4967" s="183">
        <v>19000175</v>
      </c>
      <c r="D4967" s="492" t="s">
        <v>1035</v>
      </c>
      <c r="E4967" s="376" t="s">
        <v>1037</v>
      </c>
      <c r="F4967" s="494">
        <v>0</v>
      </c>
      <c r="G4967" s="399">
        <v>219</v>
      </c>
      <c r="H4967" s="379">
        <v>0</v>
      </c>
      <c r="I4967" s="487" t="s">
        <v>302</v>
      </c>
      <c r="J4967" s="493" t="s">
        <v>860</v>
      </c>
      <c r="K4967" s="191">
        <v>43641</v>
      </c>
      <c r="W4967" s="52"/>
      <c r="X4967" s="53"/>
      <c r="Y4967" s="53"/>
      <c r="Z4967" s="53"/>
      <c r="AA4967" s="53"/>
      <c r="AB4967" s="237"/>
      <c r="AC4967" s="244"/>
      <c r="AD4967" s="244"/>
      <c r="AE4967" s="244"/>
      <c r="AF4967" s="244"/>
      <c r="AG4967" s="54"/>
      <c r="AH4967" s="54"/>
      <c r="AI4967" s="55"/>
      <c r="AJ4967" s="54"/>
      <c r="AK4967" s="55"/>
      <c r="AL4967" s="55"/>
      <c r="AM4967" s="54" t="s">
        <v>49</v>
      </c>
      <c r="AN4967" s="54" t="s">
        <v>295</v>
      </c>
      <c r="AO4967" s="54" t="s">
        <v>50</v>
      </c>
      <c r="AP4967" s="54" t="s">
        <v>51</v>
      </c>
      <c r="AQ4967" s="57"/>
    </row>
    <row r="4968" spans="1:43" ht="15" customHeight="1">
      <c r="A4968" s="397">
        <v>43594</v>
      </c>
      <c r="B4968" s="375" t="s">
        <v>100</v>
      </c>
      <c r="C4968" s="183">
        <v>19000175</v>
      </c>
      <c r="D4968" s="492" t="s">
        <v>1035</v>
      </c>
      <c r="E4968" s="376" t="s">
        <v>1038</v>
      </c>
      <c r="F4968" s="186">
        <v>0</v>
      </c>
      <c r="G4968" s="399">
        <v>85</v>
      </c>
      <c r="H4968" s="379">
        <v>0</v>
      </c>
      <c r="I4968" s="487" t="s">
        <v>302</v>
      </c>
      <c r="J4968" s="493" t="s">
        <v>860</v>
      </c>
      <c r="K4968" s="191">
        <v>43641</v>
      </c>
      <c r="W4968" s="52"/>
      <c r="X4968" s="53"/>
      <c r="Y4968" s="53"/>
      <c r="Z4968" s="53"/>
      <c r="AA4968" s="53"/>
      <c r="AB4968" s="237"/>
      <c r="AC4968" s="244"/>
      <c r="AD4968" s="244"/>
      <c r="AE4968" s="244"/>
      <c r="AF4968" s="244"/>
      <c r="AG4968" s="54"/>
      <c r="AH4968" s="54"/>
      <c r="AI4968" s="55"/>
      <c r="AJ4968" s="54"/>
      <c r="AK4968" s="55"/>
      <c r="AL4968" s="55"/>
      <c r="AM4968" s="54" t="s">
        <v>49</v>
      </c>
      <c r="AN4968" s="54" t="s">
        <v>295</v>
      </c>
      <c r="AO4968" s="54" t="s">
        <v>50</v>
      </c>
      <c r="AP4968" s="54" t="s">
        <v>51</v>
      </c>
      <c r="AQ4968" s="57"/>
    </row>
    <row r="4969" spans="1:43" ht="15" customHeight="1">
      <c r="A4969" s="69">
        <v>43594</v>
      </c>
      <c r="B4969" s="70" t="s">
        <v>100</v>
      </c>
      <c r="C4969" s="21" t="s">
        <v>1039</v>
      </c>
      <c r="D4969" s="32" t="s">
        <v>1040</v>
      </c>
      <c r="E4969" s="23" t="s">
        <v>1041</v>
      </c>
      <c r="F4969" s="24">
        <v>10</v>
      </c>
      <c r="G4969" s="47">
        <v>610</v>
      </c>
      <c r="H4969" s="26">
        <v>6100</v>
      </c>
      <c r="I4969" s="27" t="s">
        <v>302</v>
      </c>
      <c r="J4969" s="79" t="s">
        <v>1042</v>
      </c>
      <c r="K4969" s="30">
        <v>43620</v>
      </c>
      <c r="W4969" s="460">
        <v>43677</v>
      </c>
      <c r="X4969" s="460">
        <v>43619</v>
      </c>
      <c r="Y4969" s="304" t="s">
        <v>1043</v>
      </c>
      <c r="Z4969" s="304">
        <v>246981</v>
      </c>
      <c r="AA4969" s="460">
        <v>43677</v>
      </c>
      <c r="AB4969" s="237"/>
      <c r="AC4969" s="244"/>
      <c r="AD4969" s="244"/>
      <c r="AE4969" s="244"/>
      <c r="AF4969" s="244"/>
      <c r="AG4969" s="296"/>
      <c r="AH4969" s="296"/>
      <c r="AI4969" s="297"/>
      <c r="AJ4969" s="298">
        <v>43663</v>
      </c>
      <c r="AK4969" s="297"/>
      <c r="AL4969" s="297"/>
      <c r="AM4969" s="296" t="s">
        <v>49</v>
      </c>
      <c r="AN4969" s="82" t="s">
        <v>284</v>
      </c>
      <c r="AO4969" s="296" t="s">
        <v>50</v>
      </c>
      <c r="AP4969" s="296" t="s">
        <v>51</v>
      </c>
      <c r="AQ4969" s="457" t="s">
        <v>742</v>
      </c>
    </row>
    <row r="4970" spans="1:43" ht="15" customHeight="1">
      <c r="A4970" s="69">
        <v>43594</v>
      </c>
      <c r="B4970" s="70" t="s">
        <v>100</v>
      </c>
      <c r="C4970" s="21" t="s">
        <v>1039</v>
      </c>
      <c r="D4970" s="32" t="s">
        <v>1044</v>
      </c>
      <c r="E4970" s="23" t="s">
        <v>1045</v>
      </c>
      <c r="F4970" s="24">
        <v>10</v>
      </c>
      <c r="G4970" s="47">
        <v>219</v>
      </c>
      <c r="H4970" s="26">
        <v>2190</v>
      </c>
      <c r="I4970" s="27" t="s">
        <v>302</v>
      </c>
      <c r="J4970" s="63" t="s">
        <v>1042</v>
      </c>
      <c r="K4970" s="30">
        <v>43620</v>
      </c>
      <c r="W4970" s="460">
        <v>43677</v>
      </c>
      <c r="X4970" s="460">
        <v>43619</v>
      </c>
      <c r="Y4970" s="304" t="s">
        <v>1043</v>
      </c>
      <c r="Z4970" s="304"/>
      <c r="AA4970" s="460">
        <v>43677</v>
      </c>
      <c r="AB4970" s="237"/>
      <c r="AC4970" s="244"/>
      <c r="AD4970" s="244"/>
      <c r="AE4970" s="244"/>
      <c r="AF4970" s="244"/>
      <c r="AG4970" s="296"/>
      <c r="AH4970" s="296"/>
      <c r="AI4970" s="297"/>
      <c r="AJ4970" s="298">
        <v>43663</v>
      </c>
      <c r="AK4970" s="297"/>
      <c r="AL4970" s="297"/>
      <c r="AM4970" s="296" t="s">
        <v>49</v>
      </c>
      <c r="AN4970" s="82" t="s">
        <v>284</v>
      </c>
      <c r="AO4970" s="296" t="s">
        <v>50</v>
      </c>
      <c r="AP4970" s="296" t="s">
        <v>51</v>
      </c>
      <c r="AQ4970" s="457" t="s">
        <v>742</v>
      </c>
    </row>
    <row r="4971" spans="1:43" ht="15" customHeight="1">
      <c r="A4971" s="69">
        <v>43594</v>
      </c>
      <c r="B4971" s="70" t="s">
        <v>100</v>
      </c>
      <c r="C4971" s="21" t="s">
        <v>1039</v>
      </c>
      <c r="D4971" s="32" t="s">
        <v>1044</v>
      </c>
      <c r="E4971" s="23" t="s">
        <v>1046</v>
      </c>
      <c r="F4971" s="24">
        <v>10</v>
      </c>
      <c r="G4971" s="47">
        <v>85</v>
      </c>
      <c r="H4971" s="26">
        <v>850</v>
      </c>
      <c r="I4971" s="27" t="s">
        <v>302</v>
      </c>
      <c r="J4971" s="63" t="s">
        <v>1042</v>
      </c>
      <c r="K4971" s="29">
        <v>43620</v>
      </c>
      <c r="W4971" s="304"/>
      <c r="X4971" s="304"/>
      <c r="Y4971" s="304"/>
      <c r="Z4971" s="304"/>
      <c r="AA4971" s="304"/>
      <c r="AB4971" s="237"/>
      <c r="AC4971" s="244"/>
      <c r="AD4971" s="244"/>
      <c r="AE4971" s="244"/>
      <c r="AF4971" s="244"/>
      <c r="AG4971" s="296"/>
      <c r="AH4971" s="296"/>
      <c r="AI4971" s="297"/>
      <c r="AJ4971" s="298">
        <v>43663</v>
      </c>
      <c r="AK4971" s="297"/>
      <c r="AL4971" s="297"/>
      <c r="AM4971" s="296" t="s">
        <v>49</v>
      </c>
      <c r="AN4971" s="82" t="s">
        <v>284</v>
      </c>
      <c r="AO4971" s="296" t="s">
        <v>50</v>
      </c>
      <c r="AP4971" s="296" t="s">
        <v>51</v>
      </c>
      <c r="AQ4971" s="457" t="s">
        <v>742</v>
      </c>
    </row>
    <row r="4972" spans="1:43" ht="15" customHeight="1">
      <c r="A4972" s="69">
        <v>43598</v>
      </c>
      <c r="B4972" s="23" t="s">
        <v>405</v>
      </c>
      <c r="C4972" s="21">
        <v>7000147307</v>
      </c>
      <c r="D4972" s="21" t="s">
        <v>1047</v>
      </c>
      <c r="E4972" s="23" t="s">
        <v>1048</v>
      </c>
      <c r="F4972" s="24">
        <v>1</v>
      </c>
      <c r="G4972" s="48">
        <v>275</v>
      </c>
      <c r="H4972" s="26">
        <v>275</v>
      </c>
      <c r="I4972" s="61" t="s">
        <v>42</v>
      </c>
      <c r="J4972" s="50" t="s">
        <v>512</v>
      </c>
      <c r="K4972" s="29">
        <v>43606</v>
      </c>
      <c r="W4972" s="460">
        <v>43677</v>
      </c>
      <c r="X4972" s="460">
        <v>43601</v>
      </c>
      <c r="Y4972" s="304" t="s">
        <v>1049</v>
      </c>
      <c r="Z4972" s="304">
        <v>9131</v>
      </c>
      <c r="AA4972" s="460">
        <v>43677</v>
      </c>
      <c r="AB4972" s="237"/>
      <c r="AC4972" s="244"/>
      <c r="AD4972" s="244"/>
      <c r="AE4972" s="244"/>
      <c r="AF4972" s="244"/>
      <c r="AG4972" s="296"/>
      <c r="AH4972" s="296">
        <v>31.05</v>
      </c>
      <c r="AI4972" s="297">
        <f>331.5*31.05</f>
        <v>10293.075000000001</v>
      </c>
      <c r="AJ4972" s="298">
        <v>43650</v>
      </c>
      <c r="AK4972" s="297"/>
      <c r="AL4972" s="297"/>
      <c r="AM4972" s="296" t="s">
        <v>49</v>
      </c>
      <c r="AN4972" s="82" t="s">
        <v>284</v>
      </c>
      <c r="AO4972" s="296" t="s">
        <v>50</v>
      </c>
      <c r="AP4972" s="296" t="s">
        <v>51</v>
      </c>
      <c r="AQ4972" s="457" t="s">
        <v>742</v>
      </c>
    </row>
    <row r="4973" spans="1:43" ht="15" customHeight="1">
      <c r="A4973" s="69">
        <v>43598</v>
      </c>
      <c r="B4973" s="23" t="s">
        <v>405</v>
      </c>
      <c r="C4973" s="21">
        <v>7000147307</v>
      </c>
      <c r="D4973" s="21" t="s">
        <v>1047</v>
      </c>
      <c r="E4973" s="23" t="s">
        <v>804</v>
      </c>
      <c r="F4973" s="24">
        <v>1</v>
      </c>
      <c r="G4973" s="48">
        <v>43</v>
      </c>
      <c r="H4973" s="26">
        <v>43</v>
      </c>
      <c r="I4973" s="61" t="s">
        <v>42</v>
      </c>
      <c r="J4973" s="50" t="s">
        <v>512</v>
      </c>
      <c r="K4973" s="29">
        <v>43606</v>
      </c>
      <c r="W4973" s="460">
        <v>43677</v>
      </c>
      <c r="X4973" s="460">
        <v>43601</v>
      </c>
      <c r="Y4973" s="304" t="s">
        <v>1049</v>
      </c>
      <c r="Z4973" s="495"/>
      <c r="AA4973" s="460">
        <v>43677</v>
      </c>
      <c r="AB4973" s="237"/>
      <c r="AC4973" s="244"/>
      <c r="AD4973" s="244"/>
      <c r="AE4973" s="244"/>
      <c r="AF4973" s="244"/>
      <c r="AG4973" s="296"/>
      <c r="AH4973" s="296">
        <v>31.05</v>
      </c>
      <c r="AI4973" s="297">
        <v>0</v>
      </c>
      <c r="AJ4973" s="298">
        <v>43650</v>
      </c>
      <c r="AK4973" s="297"/>
      <c r="AL4973" s="297"/>
      <c r="AM4973" s="296" t="s">
        <v>49</v>
      </c>
      <c r="AN4973" s="82" t="s">
        <v>284</v>
      </c>
      <c r="AO4973" s="296" t="s">
        <v>50</v>
      </c>
      <c r="AP4973" s="296" t="s">
        <v>51</v>
      </c>
      <c r="AQ4973" s="457" t="s">
        <v>742</v>
      </c>
    </row>
    <row r="4974" spans="1:43" ht="15" customHeight="1">
      <c r="A4974" s="69">
        <v>43598</v>
      </c>
      <c r="B4974" s="23" t="s">
        <v>405</v>
      </c>
      <c r="C4974" s="21">
        <v>7000147307</v>
      </c>
      <c r="D4974" s="21" t="s">
        <v>1047</v>
      </c>
      <c r="E4974" s="23" t="s">
        <v>1050</v>
      </c>
      <c r="F4974" s="24">
        <v>1</v>
      </c>
      <c r="G4974" s="48">
        <v>5</v>
      </c>
      <c r="H4974" s="26">
        <v>5</v>
      </c>
      <c r="I4974" s="61" t="s">
        <v>42</v>
      </c>
      <c r="J4974" s="50" t="s">
        <v>512</v>
      </c>
      <c r="K4974" s="29">
        <v>43606</v>
      </c>
      <c r="W4974" s="460">
        <v>43677</v>
      </c>
      <c r="X4974" s="460">
        <v>43601</v>
      </c>
      <c r="Y4974" s="304" t="s">
        <v>1049</v>
      </c>
      <c r="Z4974" s="495"/>
      <c r="AA4974" s="460">
        <v>43677</v>
      </c>
      <c r="AB4974" s="237"/>
      <c r="AC4974" s="244"/>
      <c r="AD4974" s="244"/>
      <c r="AE4974" s="244"/>
      <c r="AF4974" s="244"/>
      <c r="AG4974" s="296"/>
      <c r="AH4974" s="296">
        <v>31.05</v>
      </c>
      <c r="AI4974" s="297">
        <v>0</v>
      </c>
      <c r="AJ4974" s="298">
        <v>43650</v>
      </c>
      <c r="AK4974" s="297"/>
      <c r="AL4974" s="297"/>
      <c r="AM4974" s="296" t="s">
        <v>49</v>
      </c>
      <c r="AN4974" s="82" t="s">
        <v>284</v>
      </c>
      <c r="AO4974" s="296" t="s">
        <v>50</v>
      </c>
      <c r="AP4974" s="296" t="s">
        <v>51</v>
      </c>
      <c r="AQ4974" s="457" t="s">
        <v>742</v>
      </c>
    </row>
    <row r="4975" spans="1:43" ht="15" customHeight="1">
      <c r="A4975" s="69">
        <v>43598</v>
      </c>
      <c r="B4975" s="23" t="s">
        <v>405</v>
      </c>
      <c r="C4975" s="21">
        <v>7000147307</v>
      </c>
      <c r="D4975" s="21" t="s">
        <v>1047</v>
      </c>
      <c r="E4975" s="23" t="s">
        <v>805</v>
      </c>
      <c r="F4975" s="24">
        <v>1</v>
      </c>
      <c r="G4975" s="48">
        <v>8.5</v>
      </c>
      <c r="H4975" s="26">
        <v>8.5</v>
      </c>
      <c r="I4975" s="61" t="s">
        <v>42</v>
      </c>
      <c r="J4975" s="50" t="s">
        <v>512</v>
      </c>
      <c r="K4975" s="29">
        <v>43606</v>
      </c>
      <c r="W4975" s="460">
        <v>43677</v>
      </c>
      <c r="X4975" s="460">
        <v>43601</v>
      </c>
      <c r="Y4975" s="304" t="s">
        <v>1049</v>
      </c>
      <c r="Z4975" s="495"/>
      <c r="AA4975" s="460">
        <v>43677</v>
      </c>
      <c r="AB4975" s="237"/>
      <c r="AC4975" s="244"/>
      <c r="AD4975" s="244"/>
      <c r="AE4975" s="244"/>
      <c r="AF4975" s="244"/>
      <c r="AG4975" s="296"/>
      <c r="AH4975" s="296">
        <v>31.05</v>
      </c>
      <c r="AI4975" s="297">
        <v>0</v>
      </c>
      <c r="AJ4975" s="298">
        <v>43650</v>
      </c>
      <c r="AK4975" s="297"/>
      <c r="AL4975" s="297"/>
      <c r="AM4975" s="296" t="s">
        <v>49</v>
      </c>
      <c r="AN4975" s="82" t="s">
        <v>284</v>
      </c>
      <c r="AO4975" s="296" t="s">
        <v>50</v>
      </c>
      <c r="AP4975" s="296" t="s">
        <v>51</v>
      </c>
      <c r="AQ4975" s="457" t="s">
        <v>742</v>
      </c>
    </row>
    <row r="4976" spans="1:43" ht="15" customHeight="1">
      <c r="A4976" s="69">
        <v>43598</v>
      </c>
      <c r="B4976" s="70" t="s">
        <v>372</v>
      </c>
      <c r="C4976" s="21">
        <v>201905090033</v>
      </c>
      <c r="D4976" s="21" t="s">
        <v>1051</v>
      </c>
      <c r="E4976" s="23" t="s">
        <v>1052</v>
      </c>
      <c r="F4976" s="24">
        <v>60</v>
      </c>
      <c r="G4976" s="48">
        <v>61.95</v>
      </c>
      <c r="H4976" s="60">
        <v>3717</v>
      </c>
      <c r="I4976" s="61" t="s">
        <v>42</v>
      </c>
      <c r="J4976" s="63" t="s">
        <v>89</v>
      </c>
      <c r="K4976" s="29">
        <v>43606</v>
      </c>
      <c r="W4976" s="460">
        <v>43646</v>
      </c>
      <c r="X4976" s="460">
        <v>43605</v>
      </c>
      <c r="Y4976" s="304" t="s">
        <v>1053</v>
      </c>
      <c r="Z4976" s="304">
        <v>108821</v>
      </c>
      <c r="AA4976" s="460">
        <v>43647</v>
      </c>
      <c r="AB4976" s="237"/>
      <c r="AC4976" s="244"/>
      <c r="AD4976" s="244"/>
      <c r="AE4976" s="244"/>
      <c r="AF4976" s="244"/>
      <c r="AG4976" s="296"/>
      <c r="AH4976" s="296"/>
      <c r="AI4976" s="297"/>
      <c r="AJ4976" s="298">
        <v>43647</v>
      </c>
      <c r="AK4976" s="297"/>
      <c r="AL4976" s="297"/>
      <c r="AM4976" s="296" t="s">
        <v>49</v>
      </c>
      <c r="AN4976" s="82" t="s">
        <v>284</v>
      </c>
      <c r="AO4976" s="296" t="s">
        <v>50</v>
      </c>
      <c r="AP4976" s="296" t="s">
        <v>376</v>
      </c>
      <c r="AQ4976" s="457" t="s">
        <v>742</v>
      </c>
    </row>
    <row r="4977" spans="1:43" ht="15" customHeight="1">
      <c r="A4977" s="69">
        <v>43598</v>
      </c>
      <c r="B4977" s="70" t="s">
        <v>372</v>
      </c>
      <c r="C4977" s="21">
        <v>201905090033</v>
      </c>
      <c r="D4977" s="21" t="s">
        <v>1054</v>
      </c>
      <c r="E4977" s="23" t="s">
        <v>1052</v>
      </c>
      <c r="F4977" s="24">
        <v>60</v>
      </c>
      <c r="G4977" s="48">
        <v>61.95</v>
      </c>
      <c r="H4977" s="60">
        <v>3717</v>
      </c>
      <c r="I4977" s="61" t="s">
        <v>42</v>
      </c>
      <c r="J4977" s="63" t="s">
        <v>89</v>
      </c>
      <c r="K4977" s="29">
        <v>43623</v>
      </c>
      <c r="W4977" s="460">
        <v>43677</v>
      </c>
      <c r="X4977" s="460">
        <v>43622</v>
      </c>
      <c r="Y4977" s="304" t="s">
        <v>1055</v>
      </c>
      <c r="Z4977" s="304">
        <v>110973</v>
      </c>
      <c r="AA4977" s="460">
        <v>43677</v>
      </c>
      <c r="AB4977" s="237"/>
      <c r="AC4977" s="244"/>
      <c r="AD4977" s="244"/>
      <c r="AE4977" s="244"/>
      <c r="AF4977" s="244"/>
      <c r="AG4977" s="296"/>
      <c r="AH4977" s="296"/>
      <c r="AI4977" s="297"/>
      <c r="AJ4977" s="298">
        <v>43700</v>
      </c>
      <c r="AK4977" s="297">
        <f>3710.61*31.313</f>
        <v>116190.33093</v>
      </c>
      <c r="AL4977" s="297">
        <f>(3717-3710.61)*31.313</f>
        <v>200.09006999999602</v>
      </c>
      <c r="AM4977" s="296" t="s">
        <v>49</v>
      </c>
      <c r="AN4977" s="296" t="s">
        <v>284</v>
      </c>
      <c r="AO4977" s="296" t="s">
        <v>50</v>
      </c>
      <c r="AP4977" s="296" t="s">
        <v>376</v>
      </c>
      <c r="AQ4977" s="234" t="s">
        <v>506</v>
      </c>
    </row>
    <row r="4978" spans="1:43" ht="15" customHeight="1">
      <c r="A4978" s="69">
        <v>43600</v>
      </c>
      <c r="B4978" s="23" t="s">
        <v>405</v>
      </c>
      <c r="C4978" s="21">
        <v>7000147355</v>
      </c>
      <c r="D4978" s="21" t="s">
        <v>1056</v>
      </c>
      <c r="E4978" s="23" t="s">
        <v>1057</v>
      </c>
      <c r="F4978" s="24">
        <v>100</v>
      </c>
      <c r="G4978" s="48">
        <v>138</v>
      </c>
      <c r="H4978" s="60">
        <v>13800</v>
      </c>
      <c r="I4978" s="61" t="s">
        <v>42</v>
      </c>
      <c r="J4978" s="50" t="s">
        <v>512</v>
      </c>
      <c r="K4978" s="29">
        <v>43620</v>
      </c>
      <c r="W4978" s="349">
        <v>43646</v>
      </c>
      <c r="X4978" s="349">
        <v>43614</v>
      </c>
      <c r="Y4978" s="350" t="s">
        <v>1058</v>
      </c>
      <c r="Z4978" s="350">
        <v>423145</v>
      </c>
      <c r="AA4978" s="459">
        <v>43658</v>
      </c>
      <c r="AB4978" s="237"/>
      <c r="AC4978" s="244"/>
      <c r="AD4978" s="244"/>
      <c r="AE4978" s="244"/>
      <c r="AF4978" s="244"/>
      <c r="AG4978" s="82"/>
      <c r="AH4978" s="82">
        <v>31.454999999999998</v>
      </c>
      <c r="AI4978" s="430"/>
      <c r="AJ4978" s="145">
        <v>43657</v>
      </c>
      <c r="AK4978" s="430">
        <f>14030.99*30.97</f>
        <v>434539.76029999997</v>
      </c>
      <c r="AL4978" s="430">
        <f>(14058-14030.99)*30.97</f>
        <v>836.49970000000678</v>
      </c>
      <c r="AM4978" s="82" t="s">
        <v>49</v>
      </c>
      <c r="AN4978" s="82" t="s">
        <v>284</v>
      </c>
      <c r="AO4978" s="82" t="s">
        <v>50</v>
      </c>
      <c r="AP4978" s="82" t="s">
        <v>51</v>
      </c>
      <c r="AQ4978" s="457" t="s">
        <v>742</v>
      </c>
    </row>
    <row r="4979" spans="1:43" ht="15" customHeight="1">
      <c r="A4979" s="69">
        <v>43600</v>
      </c>
      <c r="B4979" s="70" t="s">
        <v>665</v>
      </c>
      <c r="C4979" s="21"/>
      <c r="D4979" s="21" t="s">
        <v>1059</v>
      </c>
      <c r="E4979" s="23" t="s">
        <v>1060</v>
      </c>
      <c r="F4979" s="24">
        <v>5</v>
      </c>
      <c r="G4979" s="48">
        <v>250</v>
      </c>
      <c r="H4979" s="60">
        <v>1250</v>
      </c>
      <c r="I4979" s="61" t="s">
        <v>170</v>
      </c>
      <c r="J4979" s="161" t="s">
        <v>668</v>
      </c>
      <c r="K4979" s="29">
        <v>43619</v>
      </c>
      <c r="W4979" s="300">
        <v>43602</v>
      </c>
      <c r="X4979" s="300">
        <v>43614</v>
      </c>
      <c r="Y4979" s="294" t="s">
        <v>1061</v>
      </c>
      <c r="Z4979" s="294">
        <v>107901</v>
      </c>
      <c r="AA4979" s="293">
        <v>43602</v>
      </c>
      <c r="AB4979" s="237"/>
      <c r="AC4979" s="244"/>
      <c r="AD4979" s="244"/>
      <c r="AE4979" s="244"/>
      <c r="AF4979" s="244"/>
      <c r="AG4979" s="369"/>
      <c r="AH4979" s="369">
        <v>31.454999999999998</v>
      </c>
      <c r="AI4979" s="370"/>
      <c r="AJ4979" s="371">
        <v>43615</v>
      </c>
      <c r="AK4979" s="370">
        <f>3743.66*31.57</f>
        <v>118187.3462</v>
      </c>
      <c r="AL4979" s="370">
        <f>6.34*31.57</f>
        <v>200.15379999999999</v>
      </c>
      <c r="AM4979" s="369" t="s">
        <v>49</v>
      </c>
      <c r="AN4979" s="369" t="s">
        <v>284</v>
      </c>
      <c r="AO4979" s="369" t="s">
        <v>50</v>
      </c>
      <c r="AP4979" s="369" t="s">
        <v>51</v>
      </c>
      <c r="AQ4979" s="372" t="s">
        <v>439</v>
      </c>
    </row>
    <row r="4980" spans="1:43" ht="15" customHeight="1">
      <c r="A4980" s="69">
        <v>43600</v>
      </c>
      <c r="B4980" s="70" t="s">
        <v>1016</v>
      </c>
      <c r="C4980" s="21">
        <v>19000180</v>
      </c>
      <c r="D4980" s="21" t="s">
        <v>1062</v>
      </c>
      <c r="E4980" s="23" t="s">
        <v>1063</v>
      </c>
      <c r="F4980" s="24">
        <v>1</v>
      </c>
      <c r="G4980" s="48">
        <v>150.5</v>
      </c>
      <c r="H4980" s="60">
        <v>150.5</v>
      </c>
      <c r="I4980" s="61" t="s">
        <v>302</v>
      </c>
      <c r="J4980" s="50" t="s">
        <v>860</v>
      </c>
      <c r="K4980" s="29">
        <v>43608</v>
      </c>
      <c r="W4980" s="460">
        <v>43646</v>
      </c>
      <c r="X4980" s="460">
        <v>43607</v>
      </c>
      <c r="Y4980" s="304" t="s">
        <v>1064</v>
      </c>
      <c r="Z4980" s="304">
        <v>40694</v>
      </c>
      <c r="AA4980" s="460">
        <v>43647</v>
      </c>
      <c r="AB4980" s="237"/>
      <c r="AC4980" s="244"/>
      <c r="AD4980" s="244"/>
      <c r="AE4980" s="244"/>
      <c r="AF4980" s="244"/>
      <c r="AG4980" s="296"/>
      <c r="AH4980" s="296">
        <v>31.05</v>
      </c>
      <c r="AI4980" s="297">
        <f>1394.5*31.05</f>
        <v>43299.224999999999</v>
      </c>
      <c r="AJ4980" s="298">
        <v>43643</v>
      </c>
      <c r="AK4980" s="297"/>
      <c r="AL4980" s="297"/>
      <c r="AM4980" s="296" t="s">
        <v>49</v>
      </c>
      <c r="AN4980" s="82" t="s">
        <v>284</v>
      </c>
      <c r="AO4980" s="296" t="s">
        <v>50</v>
      </c>
      <c r="AP4980" s="296" t="s">
        <v>51</v>
      </c>
      <c r="AQ4980" s="457" t="s">
        <v>742</v>
      </c>
    </row>
    <row r="4981" spans="1:43" ht="15" customHeight="1">
      <c r="A4981" s="69">
        <v>43600</v>
      </c>
      <c r="B4981" s="70" t="s">
        <v>1016</v>
      </c>
      <c r="C4981" s="21">
        <v>19000180</v>
      </c>
      <c r="D4981" s="21" t="s">
        <v>1062</v>
      </c>
      <c r="E4981" s="23" t="s">
        <v>1065</v>
      </c>
      <c r="F4981" s="24">
        <v>1</v>
      </c>
      <c r="G4981" s="48">
        <v>84</v>
      </c>
      <c r="H4981" s="60">
        <v>84</v>
      </c>
      <c r="I4981" s="61" t="s">
        <v>302</v>
      </c>
      <c r="J4981" s="50" t="s">
        <v>860</v>
      </c>
      <c r="K4981" s="29">
        <v>43608</v>
      </c>
      <c r="W4981" s="460">
        <v>43646</v>
      </c>
      <c r="X4981" s="460">
        <v>43607</v>
      </c>
      <c r="Y4981" s="304" t="s">
        <v>1064</v>
      </c>
      <c r="Z4981" s="304"/>
      <c r="AA4981" s="460">
        <v>43647</v>
      </c>
      <c r="AB4981" s="237"/>
      <c r="AC4981" s="244"/>
      <c r="AD4981" s="244"/>
      <c r="AE4981" s="244"/>
      <c r="AF4981" s="244"/>
      <c r="AG4981" s="296"/>
      <c r="AH4981" s="296">
        <v>31.05</v>
      </c>
      <c r="AI4981" s="297">
        <v>0</v>
      </c>
      <c r="AJ4981" s="298">
        <v>43643</v>
      </c>
      <c r="AK4981" s="297"/>
      <c r="AL4981" s="297"/>
      <c r="AM4981" s="296" t="s">
        <v>49</v>
      </c>
      <c r="AN4981" s="82" t="s">
        <v>284</v>
      </c>
      <c r="AO4981" s="296" t="s">
        <v>50</v>
      </c>
      <c r="AP4981" s="296" t="s">
        <v>51</v>
      </c>
      <c r="AQ4981" s="457" t="s">
        <v>742</v>
      </c>
    </row>
    <row r="4982" spans="1:43" ht="15" customHeight="1">
      <c r="A4982" s="69">
        <v>43600</v>
      </c>
      <c r="B4982" s="70" t="s">
        <v>1016</v>
      </c>
      <c r="C4982" s="21">
        <v>19000180</v>
      </c>
      <c r="D4982" s="21" t="s">
        <v>1062</v>
      </c>
      <c r="E4982" s="23" t="s">
        <v>1066</v>
      </c>
      <c r="F4982" s="24">
        <v>2</v>
      </c>
      <c r="G4982" s="48">
        <v>113</v>
      </c>
      <c r="H4982" s="60">
        <v>226</v>
      </c>
      <c r="I4982" s="61" t="s">
        <v>302</v>
      </c>
      <c r="J4982" s="50" t="s">
        <v>860</v>
      </c>
      <c r="K4982" s="29">
        <v>43608</v>
      </c>
      <c r="W4982" s="460">
        <v>43646</v>
      </c>
      <c r="X4982" s="460">
        <v>43607</v>
      </c>
      <c r="Y4982" s="304" t="s">
        <v>1064</v>
      </c>
      <c r="Z4982" s="304"/>
      <c r="AA4982" s="460">
        <v>43647</v>
      </c>
      <c r="AB4982" s="237"/>
      <c r="AC4982" s="244"/>
      <c r="AD4982" s="244"/>
      <c r="AE4982" s="244"/>
      <c r="AF4982" s="244"/>
      <c r="AG4982" s="296"/>
      <c r="AH4982" s="296">
        <v>31.05</v>
      </c>
      <c r="AI4982" s="297">
        <v>0</v>
      </c>
      <c r="AJ4982" s="298">
        <v>43643</v>
      </c>
      <c r="AK4982" s="297"/>
      <c r="AL4982" s="297"/>
      <c r="AM4982" s="296" t="s">
        <v>49</v>
      </c>
      <c r="AN4982" s="82" t="s">
        <v>284</v>
      </c>
      <c r="AO4982" s="296" t="s">
        <v>50</v>
      </c>
      <c r="AP4982" s="296" t="s">
        <v>51</v>
      </c>
      <c r="AQ4982" s="457" t="s">
        <v>742</v>
      </c>
    </row>
    <row r="4983" spans="1:43" ht="15" customHeight="1">
      <c r="A4983" s="69">
        <v>43600</v>
      </c>
      <c r="B4983" s="70" t="s">
        <v>1016</v>
      </c>
      <c r="C4983" s="21">
        <v>19000180</v>
      </c>
      <c r="D4983" s="21" t="s">
        <v>1062</v>
      </c>
      <c r="E4983" s="23" t="s">
        <v>1067</v>
      </c>
      <c r="F4983" s="24">
        <v>2</v>
      </c>
      <c r="G4983" s="48">
        <v>409</v>
      </c>
      <c r="H4983" s="60">
        <v>818</v>
      </c>
      <c r="I4983" s="61" t="s">
        <v>302</v>
      </c>
      <c r="J4983" s="50" t="s">
        <v>860</v>
      </c>
      <c r="K4983" s="29">
        <v>43608</v>
      </c>
      <c r="W4983" s="460">
        <v>43646</v>
      </c>
      <c r="X4983" s="460">
        <v>43607</v>
      </c>
      <c r="Y4983" s="304" t="s">
        <v>1064</v>
      </c>
      <c r="Z4983" s="304"/>
      <c r="AA4983" s="460">
        <v>43647</v>
      </c>
      <c r="AB4983" s="237"/>
      <c r="AC4983" s="244"/>
      <c r="AD4983" s="244"/>
      <c r="AE4983" s="244"/>
      <c r="AF4983" s="244"/>
      <c r="AG4983" s="296"/>
      <c r="AH4983" s="296">
        <v>31.05</v>
      </c>
      <c r="AI4983" s="297">
        <v>0</v>
      </c>
      <c r="AJ4983" s="298">
        <v>43643</v>
      </c>
      <c r="AK4983" s="297"/>
      <c r="AL4983" s="297"/>
      <c r="AM4983" s="296" t="s">
        <v>49</v>
      </c>
      <c r="AN4983" s="82" t="s">
        <v>284</v>
      </c>
      <c r="AO4983" s="296" t="s">
        <v>50</v>
      </c>
      <c r="AP4983" s="296" t="s">
        <v>51</v>
      </c>
      <c r="AQ4983" s="457" t="s">
        <v>742</v>
      </c>
    </row>
    <row r="4984" spans="1:43" ht="15" customHeight="1">
      <c r="A4984" s="69">
        <v>43600</v>
      </c>
      <c r="B4984" s="70" t="s">
        <v>1016</v>
      </c>
      <c r="C4984" s="21">
        <v>19000180</v>
      </c>
      <c r="D4984" s="21" t="s">
        <v>1062</v>
      </c>
      <c r="E4984" s="23" t="s">
        <v>1068</v>
      </c>
      <c r="F4984" s="24">
        <v>4</v>
      </c>
      <c r="G4984" s="48">
        <v>29</v>
      </c>
      <c r="H4984" s="60">
        <v>116</v>
      </c>
      <c r="I4984" s="61" t="s">
        <v>302</v>
      </c>
      <c r="J4984" s="50" t="s">
        <v>860</v>
      </c>
      <c r="K4984" s="29">
        <v>43608</v>
      </c>
      <c r="W4984" s="460">
        <v>43646</v>
      </c>
      <c r="X4984" s="460">
        <v>43607</v>
      </c>
      <c r="Y4984" s="304" t="s">
        <v>1064</v>
      </c>
      <c r="Z4984" s="304"/>
      <c r="AA4984" s="460">
        <v>43647</v>
      </c>
      <c r="AB4984" s="237"/>
      <c r="AC4984" s="244"/>
      <c r="AD4984" s="244"/>
      <c r="AE4984" s="244"/>
      <c r="AF4984" s="244"/>
      <c r="AG4984" s="296"/>
      <c r="AH4984" s="296">
        <v>31.05</v>
      </c>
      <c r="AI4984" s="297">
        <v>0</v>
      </c>
      <c r="AJ4984" s="298">
        <v>43643</v>
      </c>
      <c r="AK4984" s="297"/>
      <c r="AL4984" s="297"/>
      <c r="AM4984" s="296" t="s">
        <v>49</v>
      </c>
      <c r="AN4984" s="82" t="s">
        <v>284</v>
      </c>
      <c r="AO4984" s="296" t="s">
        <v>50</v>
      </c>
      <c r="AP4984" s="296" t="s">
        <v>51</v>
      </c>
      <c r="AQ4984" s="457" t="s">
        <v>742</v>
      </c>
    </row>
    <row r="4985" spans="1:43" ht="15" customHeight="1">
      <c r="A4985" s="69">
        <v>43602</v>
      </c>
      <c r="B4985" s="70" t="s">
        <v>665</v>
      </c>
      <c r="C4985" s="21"/>
      <c r="D4985" s="21" t="s">
        <v>1069</v>
      </c>
      <c r="E4985" s="23" t="s">
        <v>1060</v>
      </c>
      <c r="F4985" s="24">
        <v>10</v>
      </c>
      <c r="G4985" s="48">
        <v>250</v>
      </c>
      <c r="H4985" s="60">
        <v>2500</v>
      </c>
      <c r="I4985" s="61" t="s">
        <v>170</v>
      </c>
      <c r="J4985" s="161" t="s">
        <v>668</v>
      </c>
      <c r="K4985" s="29">
        <v>43619</v>
      </c>
      <c r="W4985" s="300">
        <v>43602</v>
      </c>
      <c r="X4985" s="300">
        <v>43614</v>
      </c>
      <c r="Y4985" s="294" t="s">
        <v>1061</v>
      </c>
      <c r="Z4985" s="294">
        <v>107901</v>
      </c>
      <c r="AA4985" s="293">
        <v>43608</v>
      </c>
      <c r="AB4985" s="237"/>
      <c r="AC4985" s="244"/>
      <c r="AD4985" s="244"/>
      <c r="AE4985" s="244"/>
      <c r="AF4985" s="244"/>
      <c r="AG4985" s="369"/>
      <c r="AH4985" s="369">
        <v>31.454999999999998</v>
      </c>
      <c r="AI4985" s="370"/>
      <c r="AJ4985" s="371">
        <v>43615</v>
      </c>
      <c r="AK4985" s="370"/>
      <c r="AL4985" s="370">
        <v>0</v>
      </c>
      <c r="AM4985" s="369" t="s">
        <v>49</v>
      </c>
      <c r="AN4985" s="369" t="s">
        <v>284</v>
      </c>
      <c r="AO4985" s="369" t="s">
        <v>50</v>
      </c>
      <c r="AP4985" s="369" t="s">
        <v>51</v>
      </c>
      <c r="AQ4985" s="372" t="s">
        <v>439</v>
      </c>
    </row>
    <row r="4986" spans="1:43" ht="15" customHeight="1">
      <c r="A4986" s="69">
        <v>43602</v>
      </c>
      <c r="B4986" s="70" t="s">
        <v>1070</v>
      </c>
      <c r="C4986" s="21" t="s">
        <v>1071</v>
      </c>
      <c r="D4986" s="21" t="s">
        <v>1072</v>
      </c>
      <c r="E4986" s="23" t="s">
        <v>1073</v>
      </c>
      <c r="F4986" s="24">
        <v>1</v>
      </c>
      <c r="G4986" s="48">
        <v>155.4</v>
      </c>
      <c r="H4986" s="60">
        <v>155.4</v>
      </c>
      <c r="I4986" s="61" t="s">
        <v>247</v>
      </c>
      <c r="J4986" s="161" t="s">
        <v>1074</v>
      </c>
      <c r="K4986" s="29">
        <v>43608</v>
      </c>
      <c r="W4986" s="294"/>
      <c r="X4986" s="294"/>
      <c r="Y4986" s="294"/>
      <c r="Z4986" s="294"/>
      <c r="AA4986" s="294"/>
      <c r="AB4986" s="237"/>
      <c r="AC4986" s="244"/>
      <c r="AD4986" s="244"/>
      <c r="AE4986" s="244"/>
      <c r="AF4986" s="244"/>
      <c r="AG4986" s="369"/>
      <c r="AH4986" s="369"/>
      <c r="AI4986" s="370"/>
      <c r="AJ4986" s="371">
        <v>43621</v>
      </c>
      <c r="AK4986" s="370">
        <v>4900</v>
      </c>
      <c r="AL4986" s="370">
        <v>0</v>
      </c>
      <c r="AM4986" s="369" t="s">
        <v>49</v>
      </c>
      <c r="AN4986" s="369" t="s">
        <v>284</v>
      </c>
      <c r="AO4986" s="369" t="s">
        <v>50</v>
      </c>
      <c r="AP4986" s="369" t="s">
        <v>376</v>
      </c>
      <c r="AQ4986" s="372" t="s">
        <v>439</v>
      </c>
    </row>
    <row r="4987" spans="1:43" ht="15" customHeight="1">
      <c r="A4987" s="69">
        <v>43605</v>
      </c>
      <c r="B4987" s="70" t="s">
        <v>222</v>
      </c>
      <c r="C4987" s="21" t="s">
        <v>1075</v>
      </c>
      <c r="D4987" s="21" t="s">
        <v>1076</v>
      </c>
      <c r="E4987" s="23" t="s">
        <v>1077</v>
      </c>
      <c r="F4987" s="24">
        <v>3</v>
      </c>
      <c r="G4987" s="48">
        <v>22.353333330000002</v>
      </c>
      <c r="H4987" s="60">
        <v>67.06</v>
      </c>
      <c r="I4987" s="61" t="s">
        <v>247</v>
      </c>
      <c r="J4987" s="63" t="s">
        <v>89</v>
      </c>
      <c r="K4987" s="29">
        <v>43609</v>
      </c>
      <c r="W4987" s="460">
        <v>43677</v>
      </c>
      <c r="X4987" s="460">
        <v>43634</v>
      </c>
      <c r="Y4987" s="304" t="s">
        <v>1078</v>
      </c>
      <c r="Z4987" s="304">
        <v>1909</v>
      </c>
      <c r="AA4987" s="460">
        <v>43677</v>
      </c>
      <c r="AB4987" s="237"/>
      <c r="AC4987" s="244"/>
      <c r="AD4987" s="244"/>
      <c r="AE4987" s="244"/>
      <c r="AF4987" s="244"/>
      <c r="AG4987" s="296"/>
      <c r="AH4987" s="296"/>
      <c r="AI4987" s="297"/>
      <c r="AJ4987" s="298">
        <v>43649</v>
      </c>
      <c r="AK4987" s="297">
        <v>2114</v>
      </c>
      <c r="AL4987" s="297">
        <v>0</v>
      </c>
      <c r="AM4987" s="296" t="s">
        <v>49</v>
      </c>
      <c r="AN4987" s="82" t="s">
        <v>284</v>
      </c>
      <c r="AO4987" s="296" t="s">
        <v>50</v>
      </c>
      <c r="AP4987" s="296" t="s">
        <v>376</v>
      </c>
      <c r="AQ4987" s="457" t="s">
        <v>742</v>
      </c>
    </row>
    <row r="4988" spans="1:43" ht="15" customHeight="1">
      <c r="A4988" s="69">
        <v>43606</v>
      </c>
      <c r="B4988" s="70" t="s">
        <v>100</v>
      </c>
      <c r="C4988" s="21" t="s">
        <v>1001</v>
      </c>
      <c r="D4988" s="21" t="s">
        <v>1079</v>
      </c>
      <c r="E4988" s="23" t="s">
        <v>346</v>
      </c>
      <c r="F4988" s="24">
        <v>1</v>
      </c>
      <c r="G4988" s="47">
        <v>92</v>
      </c>
      <c r="H4988" s="60">
        <v>92</v>
      </c>
      <c r="I4988" s="61" t="s">
        <v>302</v>
      </c>
      <c r="J4988" s="50" t="s">
        <v>1004</v>
      </c>
      <c r="K4988" s="298">
        <v>43606</v>
      </c>
      <c r="W4988" s="460">
        <v>43646</v>
      </c>
      <c r="X4988" s="460">
        <v>43609</v>
      </c>
      <c r="Y4988" s="304" t="s">
        <v>1080</v>
      </c>
      <c r="Z4988" s="304">
        <v>2412</v>
      </c>
      <c r="AA4988" s="460">
        <v>43665</v>
      </c>
      <c r="AB4988" s="237"/>
      <c r="AC4988" s="244"/>
      <c r="AD4988" s="244"/>
      <c r="AE4988" s="244"/>
      <c r="AF4988" s="244"/>
      <c r="AG4988" s="296"/>
      <c r="AH4988" s="296"/>
      <c r="AI4988" s="297"/>
      <c r="AJ4988" s="298">
        <v>43663</v>
      </c>
      <c r="AK4988" s="297">
        <f>9335.55*31.02</f>
        <v>289588.761</v>
      </c>
      <c r="AL4988" s="297">
        <f>26.45*31.02</f>
        <v>820.47899999999993</v>
      </c>
      <c r="AM4988" s="296" t="s">
        <v>49</v>
      </c>
      <c r="AN4988" s="82" t="s">
        <v>284</v>
      </c>
      <c r="AO4988" s="296" t="s">
        <v>50</v>
      </c>
      <c r="AP4988" s="296" t="s">
        <v>51</v>
      </c>
      <c r="AQ4988" s="457" t="s">
        <v>742</v>
      </c>
    </row>
    <row r="4989" spans="1:43" ht="15" customHeight="1">
      <c r="A4989" s="69">
        <v>43606</v>
      </c>
      <c r="B4989" s="70" t="s">
        <v>76</v>
      </c>
      <c r="C4989" s="21">
        <v>385</v>
      </c>
      <c r="D4989" s="21" t="s">
        <v>1081</v>
      </c>
      <c r="E4989" s="23" t="s">
        <v>1082</v>
      </c>
      <c r="F4989" s="24">
        <v>50</v>
      </c>
      <c r="G4989" s="48">
        <v>2.7</v>
      </c>
      <c r="H4989" s="60">
        <v>135</v>
      </c>
      <c r="I4989" s="87" t="s">
        <v>42</v>
      </c>
      <c r="J4989" s="58" t="s">
        <v>1083</v>
      </c>
      <c r="K4989" s="29">
        <v>43622</v>
      </c>
      <c r="W4989" s="460">
        <v>43651</v>
      </c>
      <c r="X4989" s="460">
        <v>43620</v>
      </c>
      <c r="Y4989" s="304" t="s">
        <v>1084</v>
      </c>
      <c r="Z4989" s="304">
        <v>3150</v>
      </c>
      <c r="AA4989" s="460">
        <v>43654</v>
      </c>
      <c r="AB4989" s="237"/>
      <c r="AC4989" s="244"/>
      <c r="AD4989" s="244"/>
      <c r="AE4989" s="244"/>
      <c r="AF4989" s="244"/>
      <c r="AG4989" s="296"/>
      <c r="AH4989" s="296"/>
      <c r="AI4989" s="297"/>
      <c r="AJ4989" s="298">
        <v>43649</v>
      </c>
      <c r="AK4989" s="297">
        <f>135*31.04</f>
        <v>4190.3999999999996</v>
      </c>
      <c r="AL4989" s="297">
        <v>0</v>
      </c>
      <c r="AM4989" s="296" t="s">
        <v>49</v>
      </c>
      <c r="AN4989" s="82" t="s">
        <v>284</v>
      </c>
      <c r="AO4989" s="296" t="s">
        <v>50</v>
      </c>
      <c r="AP4989" s="296" t="s">
        <v>51</v>
      </c>
      <c r="AQ4989" s="457" t="s">
        <v>742</v>
      </c>
    </row>
    <row r="4990" spans="1:43" ht="15" customHeight="1">
      <c r="A4990" s="69">
        <v>43608</v>
      </c>
      <c r="B4990" s="23" t="s">
        <v>405</v>
      </c>
      <c r="C4990" s="21">
        <v>7000147355</v>
      </c>
      <c r="D4990" s="21" t="s">
        <v>1056</v>
      </c>
      <c r="E4990" s="23" t="s">
        <v>676</v>
      </c>
      <c r="F4990" s="24">
        <v>2</v>
      </c>
      <c r="G4990" s="48">
        <v>129</v>
      </c>
      <c r="H4990" s="60">
        <v>258</v>
      </c>
      <c r="I4990" s="87" t="s">
        <v>42</v>
      </c>
      <c r="J4990" s="50" t="s">
        <v>512</v>
      </c>
      <c r="K4990" s="29">
        <v>43620</v>
      </c>
      <c r="W4990" s="460">
        <v>43708</v>
      </c>
      <c r="X4990" s="460">
        <v>43614</v>
      </c>
      <c r="Y4990" s="304" t="s">
        <v>1085</v>
      </c>
      <c r="Z4990" s="304">
        <v>7222</v>
      </c>
      <c r="AA4990" s="460">
        <v>43710</v>
      </c>
      <c r="AB4990" s="237"/>
      <c r="AC4990" s="244"/>
      <c r="AD4990" s="244"/>
      <c r="AE4990" s="244"/>
      <c r="AF4990" s="244"/>
      <c r="AG4990" s="296"/>
      <c r="AH4990" s="296">
        <v>31.454999999999998</v>
      </c>
      <c r="AI4990" s="297"/>
      <c r="AJ4990" s="298">
        <v>43657</v>
      </c>
      <c r="AK4990" s="297"/>
      <c r="AL4990" s="297"/>
      <c r="AM4990" s="296" t="s">
        <v>49</v>
      </c>
      <c r="AN4990" s="82" t="s">
        <v>284</v>
      </c>
      <c r="AO4990" s="296" t="s">
        <v>50</v>
      </c>
      <c r="AP4990" s="296" t="s">
        <v>51</v>
      </c>
      <c r="AQ4990" s="457" t="s">
        <v>742</v>
      </c>
    </row>
    <row r="4991" spans="1:43" ht="15" customHeight="1">
      <c r="A4991" s="69">
        <v>43608</v>
      </c>
      <c r="B4991" s="70" t="s">
        <v>228</v>
      </c>
      <c r="C4991" s="21" t="s">
        <v>1086</v>
      </c>
      <c r="D4991" s="21" t="s">
        <v>1087</v>
      </c>
      <c r="E4991" s="23" t="s">
        <v>231</v>
      </c>
      <c r="F4991" s="24">
        <v>15</v>
      </c>
      <c r="G4991" s="48">
        <v>407.4</v>
      </c>
      <c r="H4991" s="60">
        <v>6111</v>
      </c>
      <c r="I4991" s="61" t="s">
        <v>170</v>
      </c>
      <c r="J4991" s="63" t="s">
        <v>232</v>
      </c>
      <c r="K4991" s="29">
        <v>43629</v>
      </c>
      <c r="W4991" s="460">
        <v>43677</v>
      </c>
      <c r="X4991" s="460">
        <v>43628</v>
      </c>
      <c r="Y4991" s="304" t="s">
        <v>1088</v>
      </c>
      <c r="Z4991" s="304">
        <v>183599</v>
      </c>
      <c r="AA4991" s="460">
        <v>43677</v>
      </c>
      <c r="AB4991" s="237"/>
      <c r="AC4991" s="244"/>
      <c r="AD4991" s="244"/>
      <c r="AE4991" s="244"/>
      <c r="AF4991" s="244"/>
      <c r="AG4991" s="296"/>
      <c r="AH4991" s="296"/>
      <c r="AI4991" s="297"/>
      <c r="AJ4991" s="296" t="s">
        <v>1089</v>
      </c>
      <c r="AK4991" s="297">
        <f>170334+32231</f>
        <v>202565</v>
      </c>
      <c r="AL4991" s="297">
        <v>0</v>
      </c>
      <c r="AM4991" s="296" t="s">
        <v>49</v>
      </c>
      <c r="AN4991" s="296" t="s">
        <v>284</v>
      </c>
      <c r="AO4991" s="296" t="s">
        <v>50</v>
      </c>
      <c r="AP4991" s="296" t="s">
        <v>376</v>
      </c>
      <c r="AQ4991" s="234" t="s">
        <v>506</v>
      </c>
    </row>
    <row r="4992" spans="1:43" ht="15" customHeight="1">
      <c r="A4992" s="69">
        <v>43608</v>
      </c>
      <c r="B4992" s="70" t="s">
        <v>228</v>
      </c>
      <c r="C4992" s="21" t="s">
        <v>1086</v>
      </c>
      <c r="D4992" s="21" t="s">
        <v>1087</v>
      </c>
      <c r="E4992" s="23" t="s">
        <v>728</v>
      </c>
      <c r="F4992" s="24">
        <v>1</v>
      </c>
      <c r="G4992" s="434">
        <v>336</v>
      </c>
      <c r="H4992" s="60">
        <v>336</v>
      </c>
      <c r="I4992" s="61" t="s">
        <v>170</v>
      </c>
      <c r="J4992" s="63" t="s">
        <v>232</v>
      </c>
      <c r="K4992" s="29">
        <v>43629</v>
      </c>
      <c r="W4992" s="460">
        <v>43677</v>
      </c>
      <c r="X4992" s="460">
        <v>43628</v>
      </c>
      <c r="Y4992" s="304" t="s">
        <v>1088</v>
      </c>
      <c r="Z4992" s="304"/>
      <c r="AA4992" s="460">
        <v>43677</v>
      </c>
      <c r="AB4992" s="237"/>
      <c r="AC4992" s="244"/>
      <c r="AD4992" s="244"/>
      <c r="AE4992" s="244"/>
      <c r="AF4992" s="244"/>
      <c r="AG4992" s="296"/>
      <c r="AH4992" s="296"/>
      <c r="AI4992" s="297"/>
      <c r="AJ4992" s="298">
        <v>43683</v>
      </c>
      <c r="AK4992" s="297"/>
      <c r="AL4992" s="297">
        <v>0</v>
      </c>
      <c r="AM4992" s="296" t="s">
        <v>49</v>
      </c>
      <c r="AN4992" s="296" t="s">
        <v>284</v>
      </c>
      <c r="AO4992" s="296" t="s">
        <v>50</v>
      </c>
      <c r="AP4992" s="296" t="s">
        <v>376</v>
      </c>
      <c r="AQ4992" s="234" t="s">
        <v>506</v>
      </c>
    </row>
    <row r="4993" spans="1:43" ht="15" customHeight="1">
      <c r="A4993" s="69">
        <v>43608</v>
      </c>
      <c r="B4993" s="70" t="s">
        <v>589</v>
      </c>
      <c r="C4993" s="21">
        <v>64505</v>
      </c>
      <c r="D4993" s="21" t="s">
        <v>1090</v>
      </c>
      <c r="E4993" s="23" t="s">
        <v>1091</v>
      </c>
      <c r="F4993" s="24">
        <v>2</v>
      </c>
      <c r="G4993" s="434">
        <v>515</v>
      </c>
      <c r="H4993" s="496">
        <v>1030</v>
      </c>
      <c r="I4993" s="61" t="s">
        <v>302</v>
      </c>
      <c r="J4993" s="63" t="s">
        <v>592</v>
      </c>
      <c r="K4993" s="30">
        <v>43634</v>
      </c>
      <c r="W4993" s="300">
        <v>43646</v>
      </c>
      <c r="X4993" s="300">
        <v>43628</v>
      </c>
      <c r="Y4993" s="294" t="s">
        <v>1092</v>
      </c>
      <c r="Z4993" s="294">
        <v>36291</v>
      </c>
      <c r="AA4993" s="300">
        <v>43647</v>
      </c>
      <c r="AB4993" s="237"/>
      <c r="AC4993" s="244"/>
      <c r="AD4993" s="244"/>
      <c r="AE4993" s="244"/>
      <c r="AF4993" s="244"/>
      <c r="AG4993" s="369"/>
      <c r="AH4993" s="369">
        <v>31.324999999999999</v>
      </c>
      <c r="AI4993" s="370"/>
      <c r="AJ4993" s="371">
        <v>43630</v>
      </c>
      <c r="AK4993" s="370"/>
      <c r="AL4993" s="370"/>
      <c r="AM4993" s="369" t="s">
        <v>49</v>
      </c>
      <c r="AN4993" s="369" t="s">
        <v>284</v>
      </c>
      <c r="AO4993" s="369" t="s">
        <v>50</v>
      </c>
      <c r="AP4993" s="369" t="s">
        <v>51</v>
      </c>
      <c r="AQ4993" s="372" t="s">
        <v>439</v>
      </c>
    </row>
    <row r="4994" spans="1:43" ht="15" customHeight="1">
      <c r="A4994" s="69">
        <v>43608</v>
      </c>
      <c r="B4994" s="70" t="s">
        <v>589</v>
      </c>
      <c r="C4994" s="21">
        <v>64505</v>
      </c>
      <c r="D4994" s="21" t="s">
        <v>1090</v>
      </c>
      <c r="E4994" s="23" t="s">
        <v>1093</v>
      </c>
      <c r="F4994" s="24">
        <v>2</v>
      </c>
      <c r="G4994" s="434">
        <v>21</v>
      </c>
      <c r="H4994" s="496">
        <v>42</v>
      </c>
      <c r="I4994" s="61" t="s">
        <v>302</v>
      </c>
      <c r="J4994" s="63" t="s">
        <v>592</v>
      </c>
      <c r="K4994" s="30">
        <v>43634</v>
      </c>
      <c r="W4994" s="300">
        <v>43646</v>
      </c>
      <c r="X4994" s="300">
        <v>43628</v>
      </c>
      <c r="Y4994" s="294" t="s">
        <v>1092</v>
      </c>
      <c r="Z4994" s="294"/>
      <c r="AA4994" s="300">
        <v>43647</v>
      </c>
      <c r="AB4994" s="237"/>
      <c r="AC4994" s="244"/>
      <c r="AD4994" s="244"/>
      <c r="AE4994" s="244"/>
      <c r="AF4994" s="244"/>
      <c r="AG4994" s="369"/>
      <c r="AH4994" s="369">
        <v>31.324999999999999</v>
      </c>
      <c r="AI4994" s="370"/>
      <c r="AJ4994" s="371">
        <v>43630</v>
      </c>
      <c r="AK4994" s="370"/>
      <c r="AL4994" s="370"/>
      <c r="AM4994" s="369" t="s">
        <v>49</v>
      </c>
      <c r="AN4994" s="369" t="s">
        <v>284</v>
      </c>
      <c r="AO4994" s="369" t="s">
        <v>50</v>
      </c>
      <c r="AP4994" s="369" t="s">
        <v>51</v>
      </c>
      <c r="AQ4994" s="372" t="s">
        <v>439</v>
      </c>
    </row>
    <row r="4995" spans="1:43" ht="15" customHeight="1">
      <c r="A4995" s="69">
        <v>43608</v>
      </c>
      <c r="B4995" s="70" t="s">
        <v>589</v>
      </c>
      <c r="C4995" s="21">
        <v>64505</v>
      </c>
      <c r="D4995" s="21" t="s">
        <v>1090</v>
      </c>
      <c r="E4995" s="23" t="s">
        <v>1094</v>
      </c>
      <c r="F4995" s="24">
        <v>2</v>
      </c>
      <c r="G4995" s="434">
        <v>55</v>
      </c>
      <c r="H4995" s="496">
        <v>110</v>
      </c>
      <c r="I4995" s="61" t="s">
        <v>302</v>
      </c>
      <c r="J4995" s="63" t="s">
        <v>592</v>
      </c>
      <c r="K4995" s="30">
        <v>43634</v>
      </c>
      <c r="W4995" s="300">
        <v>43646</v>
      </c>
      <c r="X4995" s="300">
        <v>43628</v>
      </c>
      <c r="Y4995" s="294" t="s">
        <v>1092</v>
      </c>
      <c r="Z4995" s="294"/>
      <c r="AA4995" s="300">
        <v>43647</v>
      </c>
      <c r="AB4995" s="237"/>
      <c r="AC4995" s="244"/>
      <c r="AD4995" s="244"/>
      <c r="AE4995" s="244"/>
      <c r="AF4995" s="244"/>
      <c r="AG4995" s="369"/>
      <c r="AH4995" s="369">
        <v>31.324999999999999</v>
      </c>
      <c r="AI4995" s="370"/>
      <c r="AJ4995" s="371">
        <v>43630</v>
      </c>
      <c r="AK4995" s="370"/>
      <c r="AL4995" s="370"/>
      <c r="AM4995" s="369" t="s">
        <v>49</v>
      </c>
      <c r="AN4995" s="369" t="s">
        <v>284</v>
      </c>
      <c r="AO4995" s="369" t="s">
        <v>50</v>
      </c>
      <c r="AP4995" s="369" t="s">
        <v>51</v>
      </c>
      <c r="AQ4995" s="57"/>
    </row>
    <row r="4996" spans="1:43" ht="15" customHeight="1">
      <c r="A4996" s="69">
        <v>43608</v>
      </c>
      <c r="B4996" s="70" t="s">
        <v>589</v>
      </c>
      <c r="C4996" s="21">
        <v>64505</v>
      </c>
      <c r="D4996" s="21" t="s">
        <v>1090</v>
      </c>
      <c r="E4996" s="23" t="s">
        <v>1095</v>
      </c>
      <c r="F4996" s="24">
        <v>2</v>
      </c>
      <c r="G4996" s="434">
        <v>32</v>
      </c>
      <c r="H4996" s="496">
        <v>64</v>
      </c>
      <c r="I4996" s="61" t="s">
        <v>302</v>
      </c>
      <c r="J4996" s="63" t="s">
        <v>592</v>
      </c>
      <c r="K4996" s="30">
        <v>43634</v>
      </c>
      <c r="W4996" s="300">
        <v>43646</v>
      </c>
      <c r="X4996" s="300">
        <v>43628</v>
      </c>
      <c r="Y4996" s="294" t="s">
        <v>1092</v>
      </c>
      <c r="Z4996" s="294"/>
      <c r="AA4996" s="300">
        <v>43647</v>
      </c>
      <c r="AB4996" s="237"/>
      <c r="AC4996" s="244"/>
      <c r="AD4996" s="244"/>
      <c r="AE4996" s="244"/>
      <c r="AF4996" s="244"/>
      <c r="AG4996" s="369"/>
      <c r="AH4996" s="369">
        <v>31.324999999999999</v>
      </c>
      <c r="AI4996" s="370"/>
      <c r="AJ4996" s="371">
        <v>43630</v>
      </c>
      <c r="AK4996" s="370"/>
      <c r="AL4996" s="370"/>
      <c r="AM4996" s="369" t="s">
        <v>49</v>
      </c>
      <c r="AN4996" s="369" t="s">
        <v>284</v>
      </c>
      <c r="AO4996" s="369" t="s">
        <v>50</v>
      </c>
      <c r="AP4996" s="369" t="s">
        <v>51</v>
      </c>
      <c r="AQ4996" s="372" t="s">
        <v>439</v>
      </c>
    </row>
    <row r="4997" spans="1:43" ht="15" customHeight="1">
      <c r="A4997" s="69">
        <v>43608</v>
      </c>
      <c r="B4997" s="70" t="s">
        <v>589</v>
      </c>
      <c r="C4997" s="21">
        <v>64505</v>
      </c>
      <c r="D4997" s="21" t="s">
        <v>1090</v>
      </c>
      <c r="E4997" s="23" t="s">
        <v>1096</v>
      </c>
      <c r="F4997" s="24">
        <v>1</v>
      </c>
      <c r="G4997" s="434">
        <v>40</v>
      </c>
      <c r="H4997" s="496">
        <v>40</v>
      </c>
      <c r="I4997" s="61" t="s">
        <v>302</v>
      </c>
      <c r="J4997" s="63" t="s">
        <v>592</v>
      </c>
      <c r="K4997" s="30">
        <v>43634</v>
      </c>
      <c r="W4997" s="52"/>
      <c r="X4997" s="53"/>
      <c r="Y4997" s="53"/>
      <c r="Z4997" s="53"/>
      <c r="AA4997" s="53"/>
      <c r="AB4997" s="237"/>
      <c r="AC4997" s="244"/>
      <c r="AD4997" s="244"/>
      <c r="AE4997" s="244"/>
      <c r="AF4997" s="244"/>
      <c r="AG4997" s="54"/>
      <c r="AH4997" s="54">
        <v>31.324999999999999</v>
      </c>
      <c r="AI4997" s="55"/>
      <c r="AJ4997" s="56">
        <v>43630</v>
      </c>
      <c r="AK4997" s="55"/>
      <c r="AL4997" s="55"/>
      <c r="AM4997" s="54" t="s">
        <v>49</v>
      </c>
      <c r="AN4997" s="54" t="s">
        <v>284</v>
      </c>
      <c r="AO4997" s="54" t="s">
        <v>50</v>
      </c>
      <c r="AP4997" s="54" t="s">
        <v>51</v>
      </c>
      <c r="AQ4997" s="57"/>
    </row>
    <row r="4998" spans="1:43" ht="15" customHeight="1">
      <c r="A4998" s="69">
        <v>43609</v>
      </c>
      <c r="B4998" s="70" t="s">
        <v>1097</v>
      </c>
      <c r="C4998" s="21"/>
      <c r="D4998" s="21" t="s">
        <v>1098</v>
      </c>
      <c r="E4998" s="497" t="s">
        <v>1099</v>
      </c>
      <c r="F4998" s="24">
        <v>4</v>
      </c>
      <c r="G4998" s="48">
        <v>42</v>
      </c>
      <c r="H4998" s="60">
        <v>168</v>
      </c>
      <c r="I4998" s="61" t="s">
        <v>247</v>
      </c>
      <c r="J4998" s="63" t="s">
        <v>262</v>
      </c>
      <c r="K4998" s="30">
        <v>43630</v>
      </c>
      <c r="W4998" s="300">
        <v>43708</v>
      </c>
      <c r="X4998" s="300">
        <v>43614</v>
      </c>
      <c r="Y4998" s="294" t="s">
        <v>1100</v>
      </c>
      <c r="Z4998" s="294">
        <v>25326</v>
      </c>
      <c r="AA4998" s="300">
        <v>43710</v>
      </c>
      <c r="AB4998" s="237"/>
      <c r="AC4998" s="244"/>
      <c r="AD4998" s="244"/>
      <c r="AE4998" s="244"/>
      <c r="AF4998" s="244"/>
      <c r="AG4998" s="369"/>
      <c r="AH4998" s="369">
        <v>31.324999999999999</v>
      </c>
      <c r="AI4998" s="370"/>
      <c r="AJ4998" s="371">
        <v>43613</v>
      </c>
      <c r="AK4998" s="370">
        <f>898.64*31.467</f>
        <v>28277.504879999997</v>
      </c>
      <c r="AL4998" s="370">
        <f>(916-898.64)*31.467</f>
        <v>546.26712000000043</v>
      </c>
      <c r="AM4998" s="369" t="s">
        <v>49</v>
      </c>
      <c r="AN4998" s="369" t="s">
        <v>284</v>
      </c>
      <c r="AO4998" s="369" t="s">
        <v>50</v>
      </c>
      <c r="AP4998" s="369" t="s">
        <v>51</v>
      </c>
      <c r="AQ4998" s="372" t="s">
        <v>439</v>
      </c>
    </row>
    <row r="4999" spans="1:43" ht="15" customHeight="1">
      <c r="A4999" s="69">
        <v>43609</v>
      </c>
      <c r="B4999" s="76" t="s">
        <v>1097</v>
      </c>
      <c r="C4999" s="21"/>
      <c r="D4999" s="21" t="s">
        <v>1098</v>
      </c>
      <c r="E4999" s="498" t="s">
        <v>1101</v>
      </c>
      <c r="F4999" s="24">
        <v>1</v>
      </c>
      <c r="G4999" s="48">
        <v>133</v>
      </c>
      <c r="H4999" s="60">
        <v>133</v>
      </c>
      <c r="I4999" s="61" t="s">
        <v>247</v>
      </c>
      <c r="J4999" s="63" t="s">
        <v>262</v>
      </c>
      <c r="K4999" s="30">
        <v>43630</v>
      </c>
      <c r="W4999" s="300">
        <v>43708</v>
      </c>
      <c r="X4999" s="300">
        <v>43614</v>
      </c>
      <c r="Y4999" s="294" t="s">
        <v>1100</v>
      </c>
      <c r="Z4999" s="294"/>
      <c r="AA4999" s="300">
        <v>43710</v>
      </c>
      <c r="AB4999" s="237"/>
      <c r="AC4999" s="244"/>
      <c r="AD4999" s="244"/>
      <c r="AE4999" s="244"/>
      <c r="AF4999" s="244"/>
      <c r="AG4999" s="369"/>
      <c r="AH4999" s="369">
        <v>31.324999999999999</v>
      </c>
      <c r="AI4999" s="370"/>
      <c r="AJ4999" s="371">
        <v>43613</v>
      </c>
      <c r="AK4999" s="370"/>
      <c r="AL4999" s="370"/>
      <c r="AM4999" s="369" t="s">
        <v>49</v>
      </c>
      <c r="AN4999" s="369" t="s">
        <v>284</v>
      </c>
      <c r="AO4999" s="369" t="s">
        <v>50</v>
      </c>
      <c r="AP4999" s="369" t="s">
        <v>51</v>
      </c>
      <c r="AQ4999" s="372" t="s">
        <v>439</v>
      </c>
    </row>
    <row r="5000" spans="1:43" ht="15" customHeight="1">
      <c r="A5000" s="69">
        <v>43609</v>
      </c>
      <c r="B5000" s="21" t="s">
        <v>1097</v>
      </c>
      <c r="C5000" s="21"/>
      <c r="D5000" s="21" t="s">
        <v>1098</v>
      </c>
      <c r="E5000" s="498" t="s">
        <v>1102</v>
      </c>
      <c r="F5000" s="24">
        <v>5</v>
      </c>
      <c r="G5000" s="48">
        <v>123</v>
      </c>
      <c r="H5000" s="60">
        <v>615</v>
      </c>
      <c r="I5000" s="61" t="s">
        <v>247</v>
      </c>
      <c r="J5000" s="63" t="s">
        <v>262</v>
      </c>
      <c r="K5000" s="30">
        <v>43630</v>
      </c>
      <c r="W5000" s="300">
        <v>43708</v>
      </c>
      <c r="X5000" s="300">
        <v>43614</v>
      </c>
      <c r="Y5000" s="294" t="s">
        <v>1100</v>
      </c>
      <c r="Z5000" s="294"/>
      <c r="AA5000" s="300">
        <v>43710</v>
      </c>
      <c r="AB5000" s="237"/>
      <c r="AC5000" s="244"/>
      <c r="AD5000" s="244"/>
      <c r="AE5000" s="244"/>
      <c r="AF5000" s="244"/>
      <c r="AG5000" s="369"/>
      <c r="AH5000" s="369">
        <v>31.324999999999999</v>
      </c>
      <c r="AI5000" s="370"/>
      <c r="AJ5000" s="371">
        <v>43613</v>
      </c>
      <c r="AK5000" s="370"/>
      <c r="AL5000" s="370"/>
      <c r="AM5000" s="369" t="s">
        <v>49</v>
      </c>
      <c r="AN5000" s="369" t="s">
        <v>284</v>
      </c>
      <c r="AO5000" s="369" t="s">
        <v>50</v>
      </c>
      <c r="AP5000" s="369" t="s">
        <v>51</v>
      </c>
      <c r="AQ5000" s="372" t="s">
        <v>439</v>
      </c>
    </row>
    <row r="5001" spans="1:43" ht="15" customHeight="1">
      <c r="A5001" s="69">
        <v>43609</v>
      </c>
      <c r="B5001" s="147" t="s">
        <v>377</v>
      </c>
      <c r="C5001" s="21" t="s">
        <v>1103</v>
      </c>
      <c r="D5001" s="21" t="s">
        <v>1104</v>
      </c>
      <c r="E5001" s="32" t="s">
        <v>1105</v>
      </c>
      <c r="F5001" s="24">
        <v>1</v>
      </c>
      <c r="G5001" s="48">
        <v>2000</v>
      </c>
      <c r="H5001" s="60">
        <v>2000</v>
      </c>
      <c r="I5001" s="61" t="s">
        <v>1106</v>
      </c>
      <c r="J5001" s="161" t="s">
        <v>1107</v>
      </c>
      <c r="K5001" s="298">
        <v>43654</v>
      </c>
      <c r="W5001" s="460">
        <v>43621</v>
      </c>
      <c r="X5001" s="460">
        <v>43665</v>
      </c>
      <c r="Y5001" s="304" t="s">
        <v>1108</v>
      </c>
      <c r="Z5001" s="304">
        <v>33133</v>
      </c>
      <c r="AA5001" s="303">
        <v>43621</v>
      </c>
      <c r="AB5001" s="237"/>
      <c r="AC5001" s="244"/>
      <c r="AD5001" s="244"/>
      <c r="AE5001" s="244"/>
      <c r="AF5001" s="244"/>
      <c r="AG5001" s="296"/>
      <c r="AH5001" s="296"/>
      <c r="AI5001" s="297"/>
      <c r="AJ5001" s="298">
        <v>43672</v>
      </c>
      <c r="AK5001" s="297">
        <f>9737.56*31.05</f>
        <v>302351.23800000001</v>
      </c>
      <c r="AL5001" s="297">
        <f>(9754-9737.56)*31.05</f>
        <v>510.46200000001585</v>
      </c>
      <c r="AM5001" s="296" t="s">
        <v>49</v>
      </c>
      <c r="AN5001" s="296" t="s">
        <v>284</v>
      </c>
      <c r="AO5001" s="296" t="s">
        <v>285</v>
      </c>
      <c r="AP5001" s="296" t="s">
        <v>51</v>
      </c>
      <c r="AQ5001" s="234" t="s">
        <v>506</v>
      </c>
    </row>
    <row r="5002" spans="1:43" ht="15" customHeight="1">
      <c r="A5002" s="69">
        <v>43609</v>
      </c>
      <c r="B5002" s="144" t="s">
        <v>377</v>
      </c>
      <c r="C5002" s="21" t="s">
        <v>1103</v>
      </c>
      <c r="D5002" s="21" t="s">
        <v>1104</v>
      </c>
      <c r="E5002" s="23" t="s">
        <v>1109</v>
      </c>
      <c r="F5002" s="24">
        <v>1</v>
      </c>
      <c r="G5002" s="48">
        <v>350</v>
      </c>
      <c r="H5002" s="60">
        <v>350</v>
      </c>
      <c r="I5002" s="61" t="s">
        <v>1106</v>
      </c>
      <c r="J5002" s="161" t="s">
        <v>1107</v>
      </c>
      <c r="K5002" s="298">
        <v>43654</v>
      </c>
      <c r="W5002" s="460">
        <v>43621</v>
      </c>
      <c r="X5002" s="460">
        <v>43665</v>
      </c>
      <c r="Y5002" s="304" t="s">
        <v>1108</v>
      </c>
      <c r="Z5002" s="304">
        <v>16566</v>
      </c>
      <c r="AA5002" s="303">
        <v>43621</v>
      </c>
      <c r="AB5002" s="237"/>
      <c r="AC5002" s="244"/>
      <c r="AD5002" s="244"/>
      <c r="AE5002" s="244"/>
      <c r="AF5002" s="244"/>
      <c r="AG5002" s="296"/>
      <c r="AH5002" s="296"/>
      <c r="AI5002" s="297"/>
      <c r="AJ5002" s="298">
        <v>43672</v>
      </c>
      <c r="AK5002" s="297"/>
      <c r="AL5002" s="297"/>
      <c r="AM5002" s="296" t="s">
        <v>49</v>
      </c>
      <c r="AN5002" s="296" t="s">
        <v>284</v>
      </c>
      <c r="AO5002" s="296" t="s">
        <v>285</v>
      </c>
      <c r="AP5002" s="296" t="s">
        <v>51</v>
      </c>
      <c r="AQ5002" s="234" t="s">
        <v>506</v>
      </c>
    </row>
    <row r="5003" spans="1:43" ht="15" customHeight="1">
      <c r="A5003" s="69">
        <v>43609</v>
      </c>
      <c r="B5003" s="144" t="s">
        <v>377</v>
      </c>
      <c r="C5003" s="21" t="s">
        <v>1103</v>
      </c>
      <c r="D5003" s="21" t="s">
        <v>1110</v>
      </c>
      <c r="E5003" s="151" t="s">
        <v>1111</v>
      </c>
      <c r="F5003" s="24">
        <v>10</v>
      </c>
      <c r="G5003" s="48">
        <v>301</v>
      </c>
      <c r="H5003" s="60">
        <v>3010</v>
      </c>
      <c r="I5003" s="61" t="s">
        <v>1106</v>
      </c>
      <c r="J5003" s="161" t="s">
        <v>1107</v>
      </c>
      <c r="K5003" s="298">
        <v>43689</v>
      </c>
      <c r="W5003" s="460">
        <v>43664</v>
      </c>
      <c r="X5003" s="460">
        <v>43665</v>
      </c>
      <c r="Y5003" s="304" t="s">
        <v>1112</v>
      </c>
      <c r="Z5003" s="304">
        <v>109338</v>
      </c>
      <c r="AA5003" s="303">
        <v>43664</v>
      </c>
      <c r="AB5003" s="237"/>
      <c r="AC5003" s="244"/>
      <c r="AD5003" s="244"/>
      <c r="AE5003" s="244"/>
      <c r="AF5003" s="244"/>
      <c r="AG5003" s="296"/>
      <c r="AH5003" s="296"/>
      <c r="AI5003" s="297"/>
      <c r="AJ5003" s="298">
        <v>43672</v>
      </c>
      <c r="AK5003" s="297"/>
      <c r="AL5003" s="297"/>
      <c r="AM5003" s="296" t="s">
        <v>49</v>
      </c>
      <c r="AN5003" s="296" t="s">
        <v>284</v>
      </c>
      <c r="AO5003" s="296" t="s">
        <v>285</v>
      </c>
      <c r="AP5003" s="296" t="s">
        <v>51</v>
      </c>
      <c r="AQ5003" s="234" t="s">
        <v>506</v>
      </c>
    </row>
    <row r="5004" spans="1:43" ht="15" customHeight="1">
      <c r="A5004" s="69">
        <v>43609</v>
      </c>
      <c r="B5004" s="144" t="s">
        <v>377</v>
      </c>
      <c r="C5004" s="21" t="s">
        <v>1103</v>
      </c>
      <c r="D5004" s="21" t="s">
        <v>1110</v>
      </c>
      <c r="E5004" s="246" t="s">
        <v>1113</v>
      </c>
      <c r="F5004" s="24">
        <v>10</v>
      </c>
      <c r="G5004" s="48">
        <v>0</v>
      </c>
      <c r="H5004" s="60">
        <v>0</v>
      </c>
      <c r="I5004" s="61" t="s">
        <v>1106</v>
      </c>
      <c r="J5004" s="161" t="s">
        <v>1107</v>
      </c>
      <c r="K5004" s="298">
        <v>43689</v>
      </c>
      <c r="W5004" s="460">
        <v>43713</v>
      </c>
      <c r="X5004" s="460">
        <v>43684</v>
      </c>
      <c r="Y5004" s="304" t="s">
        <v>1114</v>
      </c>
      <c r="Z5004" s="304">
        <v>27300</v>
      </c>
      <c r="AA5004" s="460">
        <v>43713</v>
      </c>
      <c r="AB5004" s="237"/>
      <c r="AC5004" s="244"/>
      <c r="AD5004" s="244"/>
      <c r="AE5004" s="244"/>
      <c r="AF5004" s="244"/>
      <c r="AG5004" s="296"/>
      <c r="AH5004" s="296"/>
      <c r="AI5004" s="297"/>
      <c r="AJ5004" s="296"/>
      <c r="AK5004" s="297"/>
      <c r="AL5004" s="297"/>
      <c r="AM5004" s="296" t="s">
        <v>49</v>
      </c>
      <c r="AN5004" s="296" t="s">
        <v>284</v>
      </c>
      <c r="AO5004" s="296" t="s">
        <v>285</v>
      </c>
      <c r="AP5004" s="296" t="s">
        <v>51</v>
      </c>
      <c r="AQ5004" s="234" t="s">
        <v>506</v>
      </c>
    </row>
    <row r="5005" spans="1:43" ht="15" customHeight="1">
      <c r="A5005" s="69">
        <v>43609</v>
      </c>
      <c r="B5005" s="144" t="s">
        <v>377</v>
      </c>
      <c r="C5005" s="21" t="s">
        <v>1103</v>
      </c>
      <c r="D5005" s="21" t="s">
        <v>1110</v>
      </c>
      <c r="E5005" s="246" t="s">
        <v>1115</v>
      </c>
      <c r="F5005" s="24">
        <v>10</v>
      </c>
      <c r="G5005" s="48">
        <v>0</v>
      </c>
      <c r="H5005" s="60">
        <v>0</v>
      </c>
      <c r="I5005" s="61" t="s">
        <v>1106</v>
      </c>
      <c r="J5005" s="161" t="s">
        <v>1107</v>
      </c>
      <c r="K5005" s="30">
        <v>43693</v>
      </c>
      <c r="W5005" s="304"/>
      <c r="X5005" s="304"/>
      <c r="Y5005" s="304"/>
      <c r="Z5005" s="304"/>
      <c r="AA5005" s="304"/>
      <c r="AB5005" s="237"/>
      <c r="AC5005" s="244"/>
      <c r="AD5005" s="244"/>
      <c r="AE5005" s="244"/>
      <c r="AF5005" s="244"/>
      <c r="AG5005" s="296"/>
      <c r="AH5005" s="296"/>
      <c r="AI5005" s="297"/>
      <c r="AJ5005" s="296"/>
      <c r="AK5005" s="297"/>
      <c r="AL5005" s="297"/>
      <c r="AM5005" s="296" t="s">
        <v>49</v>
      </c>
      <c r="AN5005" s="296" t="s">
        <v>284</v>
      </c>
      <c r="AO5005" s="296" t="s">
        <v>285</v>
      </c>
      <c r="AP5005" s="296" t="s">
        <v>51</v>
      </c>
      <c r="AQ5005" s="234" t="s">
        <v>506</v>
      </c>
    </row>
    <row r="5006" spans="1:43" ht="15" customHeight="1">
      <c r="A5006" s="69">
        <v>43609</v>
      </c>
      <c r="B5006" s="144" t="s">
        <v>377</v>
      </c>
      <c r="C5006" s="21" t="s">
        <v>1103</v>
      </c>
      <c r="D5006" s="21" t="s">
        <v>1116</v>
      </c>
      <c r="E5006" s="246" t="s">
        <v>1117</v>
      </c>
      <c r="F5006" s="24">
        <v>10</v>
      </c>
      <c r="G5006" s="48">
        <v>301</v>
      </c>
      <c r="H5006" s="60">
        <v>3010</v>
      </c>
      <c r="I5006" s="61" t="s">
        <v>1106</v>
      </c>
      <c r="J5006" s="161" t="s">
        <v>1107</v>
      </c>
      <c r="K5006" s="30">
        <v>43727</v>
      </c>
      <c r="W5006" s="460">
        <v>43664</v>
      </c>
      <c r="X5006" s="460">
        <v>43665</v>
      </c>
      <c r="Y5006" s="304" t="s">
        <v>1112</v>
      </c>
      <c r="Z5006" s="304"/>
      <c r="AA5006" s="303">
        <v>43664</v>
      </c>
      <c r="AB5006" s="237"/>
      <c r="AC5006" s="244"/>
      <c r="AD5006" s="244"/>
      <c r="AE5006" s="244"/>
      <c r="AF5006" s="244"/>
      <c r="AG5006" s="296"/>
      <c r="AH5006" s="296"/>
      <c r="AI5006" s="297"/>
      <c r="AJ5006" s="298">
        <v>43707</v>
      </c>
      <c r="AK5006" s="297">
        <f>3447.61*31.31</f>
        <v>107944.6691</v>
      </c>
      <c r="AL5006" s="297">
        <f>16.39*31.31</f>
        <v>513.17089999999996</v>
      </c>
      <c r="AM5006" s="296" t="s">
        <v>49</v>
      </c>
      <c r="AN5006" s="296" t="s">
        <v>284</v>
      </c>
      <c r="AO5006" s="296" t="s">
        <v>285</v>
      </c>
      <c r="AP5006" s="296" t="s">
        <v>51</v>
      </c>
      <c r="AQ5006" s="234" t="s">
        <v>1118</v>
      </c>
    </row>
    <row r="5007" spans="1:43" ht="15" customHeight="1">
      <c r="A5007" s="69">
        <v>43609</v>
      </c>
      <c r="B5007" s="144" t="s">
        <v>377</v>
      </c>
      <c r="C5007" s="21" t="s">
        <v>1103</v>
      </c>
      <c r="D5007" s="21" t="s">
        <v>1116</v>
      </c>
      <c r="E5007" s="246" t="s">
        <v>1119</v>
      </c>
      <c r="F5007" s="24">
        <v>10</v>
      </c>
      <c r="G5007" s="48">
        <v>0</v>
      </c>
      <c r="H5007" s="60">
        <v>0</v>
      </c>
      <c r="I5007" s="61" t="s">
        <v>1106</v>
      </c>
      <c r="J5007" s="161" t="s">
        <v>1107</v>
      </c>
      <c r="K5007" s="30">
        <v>43727</v>
      </c>
      <c r="W5007" s="460">
        <v>43743</v>
      </c>
      <c r="X5007" s="460">
        <v>43718</v>
      </c>
      <c r="Y5007" s="304" t="s">
        <v>1120</v>
      </c>
      <c r="Z5007" s="304">
        <v>27300</v>
      </c>
      <c r="AA5007" s="460">
        <v>43743</v>
      </c>
      <c r="AB5007" s="237"/>
      <c r="AC5007" s="244"/>
      <c r="AD5007" s="244"/>
      <c r="AE5007" s="244"/>
      <c r="AF5007" s="244"/>
      <c r="AG5007" s="296"/>
      <c r="AH5007" s="296"/>
      <c r="AI5007" s="297"/>
      <c r="AJ5007" s="296"/>
      <c r="AK5007" s="297"/>
      <c r="AL5007" s="297"/>
      <c r="AM5007" s="296" t="s">
        <v>49</v>
      </c>
      <c r="AN5007" s="296" t="s">
        <v>284</v>
      </c>
      <c r="AO5007" s="296" t="s">
        <v>285</v>
      </c>
      <c r="AP5007" s="296" t="s">
        <v>51</v>
      </c>
      <c r="AQ5007" s="234" t="s">
        <v>1118</v>
      </c>
    </row>
    <row r="5008" spans="1:43" ht="15" customHeight="1">
      <c r="A5008" s="69">
        <v>43609</v>
      </c>
      <c r="B5008" s="144" t="s">
        <v>377</v>
      </c>
      <c r="C5008" s="21" t="s">
        <v>1103</v>
      </c>
      <c r="D5008" s="21" t="s">
        <v>1116</v>
      </c>
      <c r="E5008" s="246" t="s">
        <v>1115</v>
      </c>
      <c r="F5008" s="24">
        <v>10</v>
      </c>
      <c r="G5008" s="48">
        <v>0</v>
      </c>
      <c r="H5008" s="60">
        <v>0</v>
      </c>
      <c r="I5008" s="61" t="s">
        <v>1106</v>
      </c>
      <c r="J5008" s="161" t="s">
        <v>1107</v>
      </c>
      <c r="K5008" s="30">
        <v>43727</v>
      </c>
      <c r="W5008" s="304"/>
      <c r="X5008" s="53"/>
      <c r="Y5008" s="53"/>
      <c r="Z5008" s="53"/>
      <c r="AA5008" s="53"/>
      <c r="AB5008" s="237"/>
      <c r="AC5008" s="244"/>
      <c r="AD5008" s="244"/>
      <c r="AE5008" s="244"/>
      <c r="AF5008" s="244"/>
      <c r="AG5008" s="54"/>
      <c r="AH5008" s="54"/>
      <c r="AI5008" s="55"/>
      <c r="AJ5008" s="56">
        <v>43707</v>
      </c>
      <c r="AK5008" s="55"/>
      <c r="AL5008" s="55"/>
      <c r="AM5008" s="54" t="s">
        <v>49</v>
      </c>
      <c r="AN5008" s="54" t="s">
        <v>284</v>
      </c>
      <c r="AO5008" s="54" t="s">
        <v>285</v>
      </c>
      <c r="AP5008" s="54" t="s">
        <v>51</v>
      </c>
      <c r="AQ5008" s="57"/>
    </row>
    <row r="5009" spans="1:43" ht="15" customHeight="1">
      <c r="A5009" s="69">
        <v>43614</v>
      </c>
      <c r="B5009" s="70" t="s">
        <v>713</v>
      </c>
      <c r="C5009" s="21"/>
      <c r="D5009" s="21" t="s">
        <v>1121</v>
      </c>
      <c r="E5009" s="32" t="s">
        <v>1122</v>
      </c>
      <c r="F5009" s="24">
        <v>1</v>
      </c>
      <c r="G5009" s="48">
        <v>517</v>
      </c>
      <c r="H5009" s="60">
        <v>517</v>
      </c>
      <c r="I5009" s="346" t="s">
        <v>247</v>
      </c>
      <c r="J5009" s="58" t="s">
        <v>1123</v>
      </c>
      <c r="K5009" s="30">
        <v>43626</v>
      </c>
      <c r="W5009" s="300">
        <v>43677</v>
      </c>
      <c r="X5009" s="300">
        <v>43621</v>
      </c>
      <c r="Y5009" s="294" t="s">
        <v>1124</v>
      </c>
      <c r="Z5009" s="294">
        <v>15028</v>
      </c>
      <c r="AA5009" s="470">
        <v>43677</v>
      </c>
      <c r="AB5009" s="237"/>
      <c r="AC5009" s="244"/>
      <c r="AD5009" s="244"/>
      <c r="AE5009" s="244"/>
      <c r="AF5009" s="244"/>
      <c r="AG5009" s="369"/>
      <c r="AH5009" s="369"/>
      <c r="AI5009" s="370"/>
      <c r="AJ5009" s="371">
        <v>43616</v>
      </c>
      <c r="AK5009" s="370">
        <f>524.66*31.545</f>
        <v>16550.399699999998</v>
      </c>
      <c r="AL5009" s="370">
        <f>(542-524.66)*31.545</f>
        <v>546.99030000000107</v>
      </c>
      <c r="AM5009" s="369" t="s">
        <v>49</v>
      </c>
      <c r="AN5009" s="369" t="s">
        <v>284</v>
      </c>
      <c r="AO5009" s="369" t="s">
        <v>50</v>
      </c>
      <c r="AP5009" s="369" t="s">
        <v>51</v>
      </c>
      <c r="AQ5009" s="372" t="s">
        <v>439</v>
      </c>
    </row>
    <row r="5010" spans="1:43" ht="15" customHeight="1">
      <c r="A5010" s="69">
        <v>43614</v>
      </c>
      <c r="B5010" s="70" t="s">
        <v>713</v>
      </c>
      <c r="C5010" s="21"/>
      <c r="D5010" s="21" t="s">
        <v>1121</v>
      </c>
      <c r="E5010" s="23" t="s">
        <v>833</v>
      </c>
      <c r="F5010" s="24">
        <v>1</v>
      </c>
      <c r="G5010" s="48">
        <v>25</v>
      </c>
      <c r="H5010" s="60">
        <v>25</v>
      </c>
      <c r="I5010" s="346" t="s">
        <v>247</v>
      </c>
      <c r="J5010" s="31" t="s">
        <v>1123</v>
      </c>
      <c r="K5010" s="30">
        <v>43626</v>
      </c>
      <c r="W5010" s="52"/>
      <c r="X5010" s="53"/>
      <c r="Y5010" s="53"/>
      <c r="Z5010" s="53"/>
      <c r="AA5010" s="53"/>
      <c r="AB5010" s="237"/>
      <c r="AC5010" s="244"/>
      <c r="AD5010" s="244"/>
      <c r="AE5010" s="244"/>
      <c r="AF5010" s="244"/>
      <c r="AG5010" s="54"/>
      <c r="AH5010" s="54"/>
      <c r="AI5010" s="55"/>
      <c r="AJ5010" s="56">
        <v>43616</v>
      </c>
      <c r="AK5010" s="55"/>
      <c r="AL5010" s="55"/>
      <c r="AM5010" s="54" t="s">
        <v>49</v>
      </c>
      <c r="AN5010" s="54" t="s">
        <v>284</v>
      </c>
      <c r="AO5010" s="54" t="s">
        <v>50</v>
      </c>
      <c r="AP5010" s="54" t="s">
        <v>51</v>
      </c>
      <c r="AQ5010" s="57"/>
    </row>
    <row r="5011" spans="1:43" ht="15" customHeight="1">
      <c r="A5011" s="69">
        <v>43615</v>
      </c>
      <c r="B5011" s="70" t="s">
        <v>1097</v>
      </c>
      <c r="C5011" s="21"/>
      <c r="D5011" s="21" t="s">
        <v>1125</v>
      </c>
      <c r="E5011" s="23" t="s">
        <v>1126</v>
      </c>
      <c r="F5011" s="24">
        <v>3</v>
      </c>
      <c r="G5011" s="48">
        <v>265</v>
      </c>
      <c r="H5011" s="60">
        <v>795</v>
      </c>
      <c r="I5011" s="61" t="s">
        <v>247</v>
      </c>
      <c r="J5011" s="79" t="s">
        <v>262</v>
      </c>
      <c r="K5011" s="30">
        <v>43630</v>
      </c>
      <c r="W5011" s="300">
        <v>43651</v>
      </c>
      <c r="X5011" s="300">
        <v>43620</v>
      </c>
      <c r="Y5011" s="294" t="s">
        <v>1127</v>
      </c>
      <c r="Z5011" s="294">
        <v>22050</v>
      </c>
      <c r="AA5011" s="300">
        <v>43654</v>
      </c>
      <c r="AB5011" s="237"/>
      <c r="AC5011" s="244"/>
      <c r="AD5011" s="244"/>
      <c r="AE5011" s="244"/>
      <c r="AF5011" s="244"/>
      <c r="AG5011" s="369"/>
      <c r="AH5011" s="369">
        <v>31.324999999999999</v>
      </c>
      <c r="AI5011" s="370"/>
      <c r="AJ5011" s="371">
        <v>43620</v>
      </c>
      <c r="AK5011" s="370">
        <f>777.63*31.386</f>
        <v>24406.695179999999</v>
      </c>
      <c r="AL5011" s="370">
        <f>(795-777.63)*31.386</f>
        <v>545.17482000000018</v>
      </c>
      <c r="AM5011" s="369" t="s">
        <v>49</v>
      </c>
      <c r="AN5011" s="369" t="s">
        <v>284</v>
      </c>
      <c r="AO5011" s="369" t="s">
        <v>50</v>
      </c>
      <c r="AP5011" s="369" t="s">
        <v>51</v>
      </c>
      <c r="AQ5011" s="372" t="s">
        <v>439</v>
      </c>
    </row>
    <row r="5012" spans="1:43" ht="15" customHeight="1">
      <c r="A5012" s="69">
        <v>43616</v>
      </c>
      <c r="B5012" s="70" t="s">
        <v>222</v>
      </c>
      <c r="C5012" s="21" t="s">
        <v>1128</v>
      </c>
      <c r="D5012" s="21" t="s">
        <v>1129</v>
      </c>
      <c r="E5012" s="23" t="s">
        <v>1130</v>
      </c>
      <c r="F5012" s="24">
        <v>1</v>
      </c>
      <c r="G5012" s="48">
        <v>805.35</v>
      </c>
      <c r="H5012" s="60">
        <v>805.35</v>
      </c>
      <c r="I5012" s="61" t="s">
        <v>247</v>
      </c>
      <c r="J5012" s="79" t="s">
        <v>962</v>
      </c>
      <c r="K5012" s="30">
        <v>43622</v>
      </c>
      <c r="W5012" s="460">
        <v>43677</v>
      </c>
      <c r="X5012" s="460">
        <v>43621</v>
      </c>
      <c r="Y5012" s="304" t="s">
        <v>1131</v>
      </c>
      <c r="Z5012" s="304">
        <v>23053</v>
      </c>
      <c r="AA5012" s="460">
        <v>43677</v>
      </c>
      <c r="AB5012" s="237"/>
      <c r="AC5012" s="244"/>
      <c r="AD5012" s="244"/>
      <c r="AE5012" s="244"/>
      <c r="AF5012" s="244"/>
      <c r="AG5012" s="296"/>
      <c r="AH5012" s="296"/>
      <c r="AI5012" s="297"/>
      <c r="AJ5012" s="298">
        <v>43682</v>
      </c>
      <c r="AK5012" s="297">
        <v>38044</v>
      </c>
      <c r="AL5012" s="297">
        <v>28</v>
      </c>
      <c r="AM5012" s="296" t="s">
        <v>49</v>
      </c>
      <c r="AN5012" s="296" t="s">
        <v>284</v>
      </c>
      <c r="AO5012" s="296" t="s">
        <v>50</v>
      </c>
      <c r="AP5012" s="296" t="s">
        <v>376</v>
      </c>
      <c r="AQ5012" s="234" t="s">
        <v>506</v>
      </c>
    </row>
    <row r="5013" spans="1:43" ht="15" customHeight="1">
      <c r="A5013" s="69">
        <v>43619</v>
      </c>
      <c r="B5013" s="21" t="s">
        <v>118</v>
      </c>
      <c r="C5013" s="21" t="s">
        <v>1132</v>
      </c>
      <c r="D5013" s="21" t="s">
        <v>1133</v>
      </c>
      <c r="E5013" s="497" t="s">
        <v>1134</v>
      </c>
      <c r="F5013" s="24">
        <v>10</v>
      </c>
      <c r="G5013" s="48">
        <v>485</v>
      </c>
      <c r="H5013" s="60">
        <v>4850</v>
      </c>
      <c r="I5013" s="61" t="s">
        <v>247</v>
      </c>
      <c r="J5013" s="82" t="s">
        <v>121</v>
      </c>
      <c r="K5013" s="30">
        <v>43669</v>
      </c>
      <c r="W5013" s="460">
        <v>43677</v>
      </c>
      <c r="X5013" s="460">
        <v>43634</v>
      </c>
      <c r="Y5013" s="304" t="s">
        <v>1135</v>
      </c>
      <c r="Z5013" s="304">
        <v>994237</v>
      </c>
      <c r="AA5013" s="460">
        <v>43677</v>
      </c>
      <c r="AB5013" s="237"/>
      <c r="AC5013" s="244"/>
      <c r="AD5013" s="244"/>
      <c r="AE5013" s="244"/>
      <c r="AF5013" s="244"/>
      <c r="AG5013" s="296"/>
      <c r="AH5013" s="296"/>
      <c r="AI5013" s="297"/>
      <c r="AJ5013" s="296" t="s">
        <v>1136</v>
      </c>
      <c r="AK5013" s="297"/>
      <c r="AL5013" s="297"/>
      <c r="AM5013" s="296" t="s">
        <v>49</v>
      </c>
      <c r="AN5013" s="296" t="s">
        <v>284</v>
      </c>
      <c r="AO5013" s="296" t="s">
        <v>50</v>
      </c>
      <c r="AP5013" s="296" t="s">
        <v>51</v>
      </c>
      <c r="AQ5013" s="234" t="s">
        <v>506</v>
      </c>
    </row>
    <row r="5014" spans="1:43" ht="15" customHeight="1">
      <c r="A5014" s="69">
        <v>43619</v>
      </c>
      <c r="B5014" s="70" t="s">
        <v>118</v>
      </c>
      <c r="C5014" s="21" t="s">
        <v>1132</v>
      </c>
      <c r="D5014" s="21" t="s">
        <v>1133</v>
      </c>
      <c r="E5014" s="497" t="s">
        <v>1137</v>
      </c>
      <c r="F5014" s="24">
        <v>8</v>
      </c>
      <c r="G5014" s="48">
        <v>880</v>
      </c>
      <c r="H5014" s="60">
        <v>7040</v>
      </c>
      <c r="I5014" s="61" t="s">
        <v>247</v>
      </c>
      <c r="J5014" s="82" t="s">
        <v>121</v>
      </c>
      <c r="K5014" s="30">
        <v>43669</v>
      </c>
      <c r="W5014" s="460">
        <v>43677</v>
      </c>
      <c r="X5014" s="460">
        <v>43634</v>
      </c>
      <c r="Y5014" s="304" t="s">
        <v>1135</v>
      </c>
      <c r="Z5014" s="304"/>
      <c r="AA5014" s="460">
        <v>43677</v>
      </c>
      <c r="AB5014" s="237"/>
      <c r="AC5014" s="244"/>
      <c r="AD5014" s="244"/>
      <c r="AE5014" s="244"/>
      <c r="AF5014" s="244"/>
      <c r="AG5014" s="296"/>
      <c r="AH5014" s="296"/>
      <c r="AI5014" s="297"/>
      <c r="AJ5014" s="296" t="s">
        <v>1138</v>
      </c>
      <c r="AK5014" s="297"/>
      <c r="AL5014" s="297"/>
      <c r="AM5014" s="296" t="s">
        <v>49</v>
      </c>
      <c r="AN5014" s="296" t="s">
        <v>284</v>
      </c>
      <c r="AO5014" s="296" t="s">
        <v>50</v>
      </c>
      <c r="AP5014" s="296" t="s">
        <v>51</v>
      </c>
      <c r="AQ5014" s="234" t="s">
        <v>506</v>
      </c>
    </row>
    <row r="5015" spans="1:43" ht="15" customHeight="1">
      <c r="A5015" s="69">
        <v>43619</v>
      </c>
      <c r="B5015" s="70" t="s">
        <v>118</v>
      </c>
      <c r="C5015" s="21" t="s">
        <v>1132</v>
      </c>
      <c r="D5015" s="21" t="s">
        <v>1133</v>
      </c>
      <c r="E5015" s="499" t="s">
        <v>151</v>
      </c>
      <c r="F5015" s="24">
        <v>10</v>
      </c>
      <c r="G5015" s="48">
        <v>1045</v>
      </c>
      <c r="H5015" s="60">
        <v>10450</v>
      </c>
      <c r="I5015" s="61" t="s">
        <v>247</v>
      </c>
      <c r="J5015" s="82" t="s">
        <v>121</v>
      </c>
      <c r="K5015" s="30">
        <v>43669</v>
      </c>
      <c r="W5015" s="460">
        <v>43677</v>
      </c>
      <c r="X5015" s="460">
        <v>43634</v>
      </c>
      <c r="Y5015" s="304" t="s">
        <v>1135</v>
      </c>
      <c r="Z5015" s="304"/>
      <c r="AA5015" s="470">
        <v>43677</v>
      </c>
      <c r="AB5015" s="237"/>
      <c r="AC5015" s="244"/>
      <c r="AD5015" s="244"/>
      <c r="AE5015" s="244"/>
      <c r="AF5015" s="244"/>
      <c r="AG5015" s="296"/>
      <c r="AH5015" s="296"/>
      <c r="AI5015" s="297"/>
      <c r="AJ5015" s="298">
        <v>43665</v>
      </c>
      <c r="AK5015" s="297"/>
      <c r="AL5015" s="297"/>
      <c r="AM5015" s="296" t="s">
        <v>49</v>
      </c>
      <c r="AN5015" s="82" t="s">
        <v>284</v>
      </c>
      <c r="AO5015" s="296" t="s">
        <v>50</v>
      </c>
      <c r="AP5015" s="296" t="s">
        <v>51</v>
      </c>
      <c r="AQ5015" s="457" t="s">
        <v>742</v>
      </c>
    </row>
    <row r="5016" spans="1:43" ht="15" customHeight="1">
      <c r="A5016" s="69">
        <v>43619</v>
      </c>
      <c r="B5016" s="70" t="s">
        <v>118</v>
      </c>
      <c r="C5016" s="21" t="s">
        <v>1132</v>
      </c>
      <c r="D5016" s="21" t="s">
        <v>1133</v>
      </c>
      <c r="E5016" s="498" t="s">
        <v>324</v>
      </c>
      <c r="F5016" s="24">
        <v>4</v>
      </c>
      <c r="G5016" s="48">
        <v>577</v>
      </c>
      <c r="H5016" s="60">
        <v>2308</v>
      </c>
      <c r="I5016" s="61" t="s">
        <v>247</v>
      </c>
      <c r="J5016" s="82" t="s">
        <v>121</v>
      </c>
      <c r="K5016" s="30">
        <v>43669</v>
      </c>
      <c r="W5016" s="460">
        <v>43677</v>
      </c>
      <c r="X5016" s="460">
        <v>43634</v>
      </c>
      <c r="Y5016" s="304" t="s">
        <v>1135</v>
      </c>
      <c r="Z5016" s="304"/>
      <c r="AA5016" s="470">
        <v>43677</v>
      </c>
      <c r="AB5016" s="237"/>
      <c r="AC5016" s="244"/>
      <c r="AD5016" s="244"/>
      <c r="AE5016" s="244"/>
      <c r="AF5016" s="244"/>
      <c r="AG5016" s="296"/>
      <c r="AH5016" s="296"/>
      <c r="AI5016" s="297"/>
      <c r="AJ5016" s="298">
        <v>43665</v>
      </c>
      <c r="AK5016" s="297"/>
      <c r="AL5016" s="297"/>
      <c r="AM5016" s="296" t="s">
        <v>49</v>
      </c>
      <c r="AN5016" s="82" t="s">
        <v>284</v>
      </c>
      <c r="AO5016" s="296" t="s">
        <v>50</v>
      </c>
      <c r="AP5016" s="296" t="s">
        <v>51</v>
      </c>
      <c r="AQ5016" s="457" t="s">
        <v>742</v>
      </c>
    </row>
    <row r="5017" spans="1:43" ht="15" customHeight="1">
      <c r="A5017" s="69">
        <v>43619</v>
      </c>
      <c r="B5017" s="70" t="s">
        <v>118</v>
      </c>
      <c r="C5017" s="21" t="s">
        <v>1132</v>
      </c>
      <c r="D5017" s="21" t="s">
        <v>1133</v>
      </c>
      <c r="E5017" s="498" t="s">
        <v>156</v>
      </c>
      <c r="F5017" s="24">
        <v>2</v>
      </c>
      <c r="G5017" s="48">
        <v>118</v>
      </c>
      <c r="H5017" s="60">
        <v>236</v>
      </c>
      <c r="I5017" s="61" t="s">
        <v>247</v>
      </c>
      <c r="J5017" s="82" t="s">
        <v>121</v>
      </c>
      <c r="K5017" s="30">
        <v>43669</v>
      </c>
      <c r="W5017" s="460">
        <v>43677</v>
      </c>
      <c r="X5017" s="460">
        <v>43634</v>
      </c>
      <c r="Y5017" s="304" t="s">
        <v>1135</v>
      </c>
      <c r="Z5017" s="304"/>
      <c r="AA5017" s="470">
        <v>43677</v>
      </c>
      <c r="AB5017" s="237"/>
      <c r="AC5017" s="244"/>
      <c r="AD5017" s="244"/>
      <c r="AE5017" s="244"/>
      <c r="AF5017" s="244"/>
      <c r="AG5017" s="296"/>
      <c r="AH5017" s="296"/>
      <c r="AI5017" s="297"/>
      <c r="AJ5017" s="298">
        <v>43665</v>
      </c>
      <c r="AK5017" s="297"/>
      <c r="AL5017" s="297"/>
      <c r="AM5017" s="296" t="s">
        <v>49</v>
      </c>
      <c r="AN5017" s="82" t="s">
        <v>284</v>
      </c>
      <c r="AO5017" s="296" t="s">
        <v>50</v>
      </c>
      <c r="AP5017" s="296" t="s">
        <v>51</v>
      </c>
      <c r="AQ5017" s="457" t="s">
        <v>742</v>
      </c>
    </row>
    <row r="5018" spans="1:43" ht="15" customHeight="1">
      <c r="A5018" s="69">
        <v>43619</v>
      </c>
      <c r="B5018" s="70" t="s">
        <v>118</v>
      </c>
      <c r="C5018" s="21" t="s">
        <v>1132</v>
      </c>
      <c r="D5018" s="21" t="s">
        <v>1133</v>
      </c>
      <c r="E5018" s="498" t="s">
        <v>161</v>
      </c>
      <c r="F5018" s="24">
        <v>15</v>
      </c>
      <c r="G5018" s="48">
        <v>738</v>
      </c>
      <c r="H5018" s="60">
        <v>11070</v>
      </c>
      <c r="I5018" s="61" t="s">
        <v>247</v>
      </c>
      <c r="J5018" s="82" t="s">
        <v>121</v>
      </c>
      <c r="K5018" s="30">
        <v>43669</v>
      </c>
      <c r="W5018" s="460">
        <v>43677</v>
      </c>
      <c r="X5018" s="460">
        <v>43634</v>
      </c>
      <c r="Y5018" s="304" t="s">
        <v>1135</v>
      </c>
      <c r="Z5018" s="304"/>
      <c r="AA5018" s="460">
        <v>43677</v>
      </c>
      <c r="AB5018" s="237"/>
      <c r="AC5018" s="244"/>
      <c r="AD5018" s="244"/>
      <c r="AE5018" s="244"/>
      <c r="AF5018" s="244"/>
      <c r="AG5018" s="296"/>
      <c r="AH5018" s="296"/>
      <c r="AI5018" s="297"/>
      <c r="AJ5018" s="298">
        <v>43724</v>
      </c>
      <c r="AK5018" s="297">
        <f>14436.79*30.92</f>
        <v>446385.54680000007</v>
      </c>
      <c r="AL5018" s="297">
        <f>(14454-14436.79)*30.92</f>
        <v>532.13319999997304</v>
      </c>
      <c r="AM5018" s="296" t="s">
        <v>49</v>
      </c>
      <c r="AN5018" s="296" t="s">
        <v>284</v>
      </c>
      <c r="AO5018" s="296" t="s">
        <v>50</v>
      </c>
      <c r="AP5018" s="296" t="s">
        <v>51</v>
      </c>
      <c r="AQ5018" s="234" t="s">
        <v>506</v>
      </c>
    </row>
    <row r="5019" spans="1:43" ht="15" customHeight="1">
      <c r="A5019" s="69">
        <v>43620</v>
      </c>
      <c r="B5019" s="307" t="s">
        <v>100</v>
      </c>
      <c r="C5019" s="22" t="s">
        <v>1139</v>
      </c>
      <c r="D5019" s="59" t="s">
        <v>1140</v>
      </c>
      <c r="E5019" s="22" t="s">
        <v>1141</v>
      </c>
      <c r="F5019" s="24">
        <v>8</v>
      </c>
      <c r="G5019" s="48">
        <v>621</v>
      </c>
      <c r="H5019" s="60">
        <v>4968</v>
      </c>
      <c r="I5019" s="61" t="s">
        <v>104</v>
      </c>
      <c r="J5019" s="63" t="s">
        <v>1004</v>
      </c>
      <c r="K5019" s="29">
        <v>43651</v>
      </c>
      <c r="W5019" s="304"/>
      <c r="X5019" s="304"/>
      <c r="Y5019" s="304"/>
      <c r="Z5019" s="304"/>
      <c r="AA5019" s="304"/>
      <c r="AB5019" s="237"/>
      <c r="AC5019" s="244"/>
      <c r="AD5019" s="244"/>
      <c r="AE5019" s="244"/>
      <c r="AF5019" s="244"/>
      <c r="AG5019" s="296"/>
      <c r="AH5019" s="296"/>
      <c r="AI5019" s="297"/>
      <c r="AJ5019" s="298">
        <v>43704</v>
      </c>
      <c r="AK5019" s="297">
        <f>9416.62*31.34</f>
        <v>295116.87080000003</v>
      </c>
      <c r="AL5019" s="297">
        <f>(9443-9416.62)*31.34</f>
        <v>826.74919999997496</v>
      </c>
      <c r="AM5019" s="296" t="s">
        <v>49</v>
      </c>
      <c r="AN5019" s="296" t="s">
        <v>284</v>
      </c>
      <c r="AO5019" s="296" t="s">
        <v>285</v>
      </c>
      <c r="AP5019" s="296" t="s">
        <v>51</v>
      </c>
      <c r="AQ5019" s="234" t="s">
        <v>506</v>
      </c>
    </row>
    <row r="5020" spans="1:43" ht="15" customHeight="1">
      <c r="A5020" s="69">
        <v>43620</v>
      </c>
      <c r="B5020" s="307" t="s">
        <v>100</v>
      </c>
      <c r="C5020" s="22" t="s">
        <v>1139</v>
      </c>
      <c r="D5020" s="22" t="s">
        <v>1140</v>
      </c>
      <c r="E5020" s="35" t="s">
        <v>1142</v>
      </c>
      <c r="F5020" s="24">
        <v>8</v>
      </c>
      <c r="G5020" s="48">
        <v>71</v>
      </c>
      <c r="H5020" s="60">
        <v>568</v>
      </c>
      <c r="I5020" s="61" t="s">
        <v>104</v>
      </c>
      <c r="J5020" s="63" t="s">
        <v>1004</v>
      </c>
      <c r="K5020" s="29">
        <v>43651</v>
      </c>
      <c r="W5020" s="304"/>
      <c r="X5020" s="304"/>
      <c r="Y5020" s="304"/>
      <c r="Z5020" s="304"/>
      <c r="AA5020" s="304"/>
      <c r="AB5020" s="237"/>
      <c r="AC5020" s="244"/>
      <c r="AD5020" s="244"/>
      <c r="AE5020" s="244"/>
      <c r="AF5020" s="244"/>
      <c r="AG5020" s="296"/>
      <c r="AH5020" s="296"/>
      <c r="AI5020" s="297"/>
      <c r="AJ5020" s="298">
        <v>43704</v>
      </c>
      <c r="AK5020" s="297"/>
      <c r="AL5020" s="297"/>
      <c r="AM5020" s="296" t="s">
        <v>49</v>
      </c>
      <c r="AN5020" s="296" t="s">
        <v>284</v>
      </c>
      <c r="AO5020" s="296" t="s">
        <v>285</v>
      </c>
      <c r="AP5020" s="296" t="s">
        <v>51</v>
      </c>
      <c r="AQ5020" s="234" t="s">
        <v>506</v>
      </c>
    </row>
    <row r="5021" spans="1:43" ht="15" customHeight="1">
      <c r="A5021" s="69">
        <v>43620</v>
      </c>
      <c r="B5021" s="307" t="s">
        <v>100</v>
      </c>
      <c r="C5021" s="22" t="s">
        <v>1139</v>
      </c>
      <c r="D5021" s="22" t="s">
        <v>1140</v>
      </c>
      <c r="E5021" s="35" t="s">
        <v>1143</v>
      </c>
      <c r="F5021" s="24">
        <v>8</v>
      </c>
      <c r="G5021" s="48">
        <v>60</v>
      </c>
      <c r="H5021" s="60">
        <v>480</v>
      </c>
      <c r="I5021" s="61" t="s">
        <v>104</v>
      </c>
      <c r="J5021" s="63" t="s">
        <v>1004</v>
      </c>
      <c r="K5021" s="29">
        <v>43651</v>
      </c>
      <c r="W5021" s="304"/>
      <c r="X5021" s="304"/>
      <c r="Y5021" s="304"/>
      <c r="Z5021" s="304"/>
      <c r="AA5021" s="304"/>
      <c r="AB5021" s="237"/>
      <c r="AC5021" s="244"/>
      <c r="AD5021" s="244"/>
      <c r="AE5021" s="244"/>
      <c r="AF5021" s="244"/>
      <c r="AG5021" s="296"/>
      <c r="AH5021" s="296"/>
      <c r="AI5021" s="297"/>
      <c r="AJ5021" s="298">
        <v>43704</v>
      </c>
      <c r="AK5021" s="297"/>
      <c r="AL5021" s="297"/>
      <c r="AM5021" s="296" t="s">
        <v>49</v>
      </c>
      <c r="AN5021" s="296" t="s">
        <v>284</v>
      </c>
      <c r="AO5021" s="296" t="s">
        <v>285</v>
      </c>
      <c r="AP5021" s="296" t="s">
        <v>51</v>
      </c>
      <c r="AQ5021" s="234" t="s">
        <v>506</v>
      </c>
    </row>
    <row r="5022" spans="1:43" ht="15" customHeight="1">
      <c r="A5022" s="110">
        <v>43620</v>
      </c>
      <c r="B5022" s="500" t="s">
        <v>100</v>
      </c>
      <c r="C5022" s="59" t="s">
        <v>1139</v>
      </c>
      <c r="D5022" s="59" t="s">
        <v>1140</v>
      </c>
      <c r="E5022" s="59" t="s">
        <v>1144</v>
      </c>
      <c r="F5022" s="24">
        <v>8</v>
      </c>
      <c r="G5022" s="48">
        <v>38</v>
      </c>
      <c r="H5022" s="60">
        <v>304</v>
      </c>
      <c r="I5022" s="61" t="s">
        <v>104</v>
      </c>
      <c r="J5022" s="63" t="s">
        <v>1004</v>
      </c>
      <c r="K5022" s="29">
        <v>43651</v>
      </c>
      <c r="W5022" s="304"/>
      <c r="X5022" s="304"/>
      <c r="Y5022" s="304"/>
      <c r="Z5022" s="304"/>
      <c r="AA5022" s="304"/>
      <c r="AB5022" s="237"/>
      <c r="AC5022" s="244"/>
      <c r="AD5022" s="244"/>
      <c r="AE5022" s="244"/>
      <c r="AF5022" s="244"/>
      <c r="AG5022" s="296"/>
      <c r="AH5022" s="296"/>
      <c r="AI5022" s="297"/>
      <c r="AJ5022" s="298">
        <v>43704</v>
      </c>
      <c r="AK5022" s="297"/>
      <c r="AL5022" s="297"/>
      <c r="AM5022" s="296" t="s">
        <v>49</v>
      </c>
      <c r="AN5022" s="296" t="s">
        <v>284</v>
      </c>
      <c r="AO5022" s="296" t="s">
        <v>285</v>
      </c>
      <c r="AP5022" s="296" t="s">
        <v>51</v>
      </c>
      <c r="AQ5022" s="234" t="s">
        <v>506</v>
      </c>
    </row>
    <row r="5023" spans="1:43" ht="15" customHeight="1">
      <c r="A5023" s="69">
        <v>43620</v>
      </c>
      <c r="B5023" s="307" t="s">
        <v>100</v>
      </c>
      <c r="C5023" s="20" t="s">
        <v>1139</v>
      </c>
      <c r="D5023" s="20" t="s">
        <v>1140</v>
      </c>
      <c r="E5023" s="20" t="s">
        <v>1145</v>
      </c>
      <c r="F5023" s="24">
        <v>8</v>
      </c>
      <c r="G5023" s="48">
        <v>10</v>
      </c>
      <c r="H5023" s="60">
        <v>80</v>
      </c>
      <c r="I5023" s="61" t="s">
        <v>104</v>
      </c>
      <c r="J5023" s="63" t="s">
        <v>1004</v>
      </c>
      <c r="K5023" s="29">
        <v>43651</v>
      </c>
      <c r="W5023" s="304"/>
      <c r="X5023" s="304"/>
      <c r="Y5023" s="304"/>
      <c r="Z5023" s="304"/>
      <c r="AA5023" s="304"/>
      <c r="AB5023" s="237"/>
      <c r="AC5023" s="244"/>
      <c r="AD5023" s="244"/>
      <c r="AE5023" s="244"/>
      <c r="AF5023" s="244"/>
      <c r="AG5023" s="296"/>
      <c r="AH5023" s="296"/>
      <c r="AI5023" s="297"/>
      <c r="AJ5023" s="298">
        <v>43704</v>
      </c>
      <c r="AK5023" s="297"/>
      <c r="AL5023" s="297"/>
      <c r="AM5023" s="296" t="s">
        <v>49</v>
      </c>
      <c r="AN5023" s="296" t="s">
        <v>284</v>
      </c>
      <c r="AO5023" s="296" t="s">
        <v>285</v>
      </c>
      <c r="AP5023" s="296" t="s">
        <v>51</v>
      </c>
      <c r="AQ5023" s="234" t="s">
        <v>506</v>
      </c>
    </row>
    <row r="5024" spans="1:43" ht="15" customHeight="1">
      <c r="A5024" s="69">
        <v>43620</v>
      </c>
      <c r="B5024" s="307" t="s">
        <v>100</v>
      </c>
      <c r="C5024" s="20" t="s">
        <v>1139</v>
      </c>
      <c r="D5024" s="20" t="s">
        <v>1140</v>
      </c>
      <c r="E5024" s="20" t="s">
        <v>1146</v>
      </c>
      <c r="F5024" s="24">
        <v>8</v>
      </c>
      <c r="G5024" s="48">
        <v>47</v>
      </c>
      <c r="H5024" s="60">
        <v>376</v>
      </c>
      <c r="I5024" s="61" t="s">
        <v>104</v>
      </c>
      <c r="J5024" s="63" t="s">
        <v>1004</v>
      </c>
      <c r="K5024" s="29">
        <v>43651</v>
      </c>
      <c r="W5024" s="304"/>
      <c r="X5024" s="304"/>
      <c r="Y5024" s="304"/>
      <c r="Z5024" s="304"/>
      <c r="AA5024" s="304"/>
      <c r="AB5024" s="237"/>
      <c r="AC5024" s="244"/>
      <c r="AD5024" s="244"/>
      <c r="AE5024" s="244"/>
      <c r="AF5024" s="244"/>
      <c r="AG5024" s="296"/>
      <c r="AH5024" s="296"/>
      <c r="AI5024" s="297"/>
      <c r="AJ5024" s="298">
        <v>43704</v>
      </c>
      <c r="AK5024" s="297"/>
      <c r="AL5024" s="297"/>
      <c r="AM5024" s="296" t="s">
        <v>49</v>
      </c>
      <c r="AN5024" s="296" t="s">
        <v>284</v>
      </c>
      <c r="AO5024" s="296" t="s">
        <v>285</v>
      </c>
      <c r="AP5024" s="296" t="s">
        <v>51</v>
      </c>
      <c r="AQ5024" s="234" t="s">
        <v>506</v>
      </c>
    </row>
    <row r="5025" spans="1:43" ht="15" customHeight="1">
      <c r="A5025" s="69">
        <v>43620</v>
      </c>
      <c r="B5025" s="70" t="s">
        <v>1070</v>
      </c>
      <c r="C5025" s="70" t="s">
        <v>1147</v>
      </c>
      <c r="D5025" s="70" t="s">
        <v>1148</v>
      </c>
      <c r="E5025" s="23" t="s">
        <v>1073</v>
      </c>
      <c r="F5025" s="24">
        <v>6</v>
      </c>
      <c r="G5025" s="48">
        <v>155.4</v>
      </c>
      <c r="H5025" s="440">
        <v>932.40000000000009</v>
      </c>
      <c r="I5025" s="61" t="s">
        <v>247</v>
      </c>
      <c r="J5025" s="161" t="s">
        <v>1149</v>
      </c>
      <c r="K5025" s="29">
        <v>43622</v>
      </c>
      <c r="W5025" s="304"/>
      <c r="X5025" s="304"/>
      <c r="Y5025" s="304"/>
      <c r="Z5025" s="304"/>
      <c r="AA5025" s="304"/>
      <c r="AB5025" s="237"/>
      <c r="AC5025" s="244"/>
      <c r="AD5025" s="244"/>
      <c r="AE5025" s="244"/>
      <c r="AF5025" s="244"/>
      <c r="AG5025" s="296"/>
      <c r="AH5025" s="296"/>
      <c r="AI5025" s="297"/>
      <c r="AJ5025" s="298">
        <v>43651</v>
      </c>
      <c r="AK5025" s="297">
        <v>0</v>
      </c>
      <c r="AL5025" s="297">
        <v>0</v>
      </c>
      <c r="AM5025" s="296" t="s">
        <v>49</v>
      </c>
      <c r="AN5025" s="296" t="s">
        <v>284</v>
      </c>
      <c r="AO5025" s="296" t="s">
        <v>285</v>
      </c>
      <c r="AP5025" s="296" t="s">
        <v>376</v>
      </c>
      <c r="AQ5025" s="234" t="s">
        <v>506</v>
      </c>
    </row>
    <row r="5026" spans="1:43" ht="15" customHeight="1">
      <c r="A5026" s="69">
        <v>43620</v>
      </c>
      <c r="B5026" s="70" t="s">
        <v>577</v>
      </c>
      <c r="C5026" s="501"/>
      <c r="D5026" s="70" t="s">
        <v>1150</v>
      </c>
      <c r="E5026" s="497" t="s">
        <v>1151</v>
      </c>
      <c r="F5026" s="24">
        <v>2</v>
      </c>
      <c r="G5026" s="48">
        <v>194.25</v>
      </c>
      <c r="H5026" s="60">
        <v>388.5</v>
      </c>
      <c r="I5026" s="61" t="s">
        <v>247</v>
      </c>
      <c r="J5026" s="63" t="s">
        <v>580</v>
      </c>
      <c r="K5026" s="29">
        <v>43628</v>
      </c>
      <c r="W5026" s="300">
        <v>43677</v>
      </c>
      <c r="X5026" s="300">
        <v>43626</v>
      </c>
      <c r="Y5026" s="294" t="s">
        <v>1152</v>
      </c>
      <c r="Z5026" s="294">
        <v>10570</v>
      </c>
      <c r="AA5026" s="300">
        <v>43677</v>
      </c>
      <c r="AB5026" s="237"/>
      <c r="AC5026" s="244"/>
      <c r="AD5026" s="244"/>
      <c r="AE5026" s="244"/>
      <c r="AF5026" s="244"/>
      <c r="AG5026" s="369"/>
      <c r="AH5026" s="369"/>
      <c r="AI5026" s="370"/>
      <c r="AJ5026" s="371">
        <v>43633</v>
      </c>
      <c r="AK5026" s="370"/>
      <c r="AL5026" s="370"/>
      <c r="AM5026" s="369" t="s">
        <v>49</v>
      </c>
      <c r="AN5026" s="369" t="s">
        <v>284</v>
      </c>
      <c r="AO5026" s="369" t="s">
        <v>50</v>
      </c>
      <c r="AP5026" s="369" t="s">
        <v>376</v>
      </c>
      <c r="AQ5026" s="372" t="s">
        <v>439</v>
      </c>
    </row>
    <row r="5027" spans="1:43" ht="15" customHeight="1">
      <c r="A5027" s="69">
        <v>43620</v>
      </c>
      <c r="B5027" s="70" t="s">
        <v>129</v>
      </c>
      <c r="C5027" s="70" t="s">
        <v>1153</v>
      </c>
      <c r="D5027" s="70" t="s">
        <v>1154</v>
      </c>
      <c r="E5027" s="497" t="s">
        <v>936</v>
      </c>
      <c r="F5027" s="24">
        <v>1</v>
      </c>
      <c r="G5027" s="48">
        <v>245</v>
      </c>
      <c r="H5027" s="60">
        <v>245</v>
      </c>
      <c r="I5027" s="61" t="s">
        <v>247</v>
      </c>
      <c r="J5027" s="63" t="s">
        <v>133</v>
      </c>
      <c r="K5027" s="29">
        <v>43636</v>
      </c>
      <c r="W5027" s="460">
        <v>43677</v>
      </c>
      <c r="X5027" s="460">
        <v>43630</v>
      </c>
      <c r="Y5027" s="304" t="s">
        <v>1155</v>
      </c>
      <c r="Z5027" s="304">
        <v>63710</v>
      </c>
      <c r="AA5027" s="460">
        <v>43677</v>
      </c>
      <c r="AB5027" s="237"/>
      <c r="AC5027" s="244"/>
      <c r="AD5027" s="244"/>
      <c r="AE5027" s="244"/>
      <c r="AF5027" s="244"/>
      <c r="AG5027" s="296"/>
      <c r="AH5027" s="296">
        <v>31.324999999999999</v>
      </c>
      <c r="AI5027" s="297"/>
      <c r="AJ5027" s="298">
        <v>43654</v>
      </c>
      <c r="AK5027" s="297">
        <f>2282.58*31.13</f>
        <v>71056.715400000001</v>
      </c>
      <c r="AL5027" s="297">
        <f>17.42*31.13</f>
        <v>542.28460000000007</v>
      </c>
      <c r="AM5027" s="296" t="s">
        <v>49</v>
      </c>
      <c r="AN5027" s="82" t="s">
        <v>284</v>
      </c>
      <c r="AO5027" s="296" t="s">
        <v>50</v>
      </c>
      <c r="AP5027" s="296" t="s">
        <v>51</v>
      </c>
      <c r="AQ5027" s="457" t="s">
        <v>742</v>
      </c>
    </row>
    <row r="5028" spans="1:43" ht="15" customHeight="1">
      <c r="A5028" s="69">
        <v>43620</v>
      </c>
      <c r="B5028" s="70" t="s">
        <v>129</v>
      </c>
      <c r="C5028" s="70" t="s">
        <v>1153</v>
      </c>
      <c r="D5028" s="70" t="s">
        <v>1154</v>
      </c>
      <c r="E5028" s="23" t="s">
        <v>876</v>
      </c>
      <c r="F5028" s="24">
        <v>5</v>
      </c>
      <c r="G5028" s="48">
        <v>90</v>
      </c>
      <c r="H5028" s="60">
        <v>450</v>
      </c>
      <c r="I5028" s="61" t="s">
        <v>247</v>
      </c>
      <c r="J5028" s="63" t="s">
        <v>133</v>
      </c>
      <c r="K5028" s="29">
        <v>43636</v>
      </c>
      <c r="W5028" s="460">
        <v>43677</v>
      </c>
      <c r="X5028" s="460">
        <v>43630</v>
      </c>
      <c r="Y5028" s="304" t="s">
        <v>1155</v>
      </c>
      <c r="Z5028" s="304"/>
      <c r="AA5028" s="460">
        <v>43677</v>
      </c>
      <c r="AB5028" s="237"/>
      <c r="AC5028" s="244"/>
      <c r="AD5028" s="244"/>
      <c r="AE5028" s="244"/>
      <c r="AF5028" s="244"/>
      <c r="AG5028" s="296"/>
      <c r="AH5028" s="296">
        <v>31.324999999999999</v>
      </c>
      <c r="AI5028" s="297"/>
      <c r="AJ5028" s="298">
        <v>43654</v>
      </c>
      <c r="AK5028" s="297"/>
      <c r="AL5028" s="297"/>
      <c r="AM5028" s="296" t="s">
        <v>49</v>
      </c>
      <c r="AN5028" s="82" t="s">
        <v>284</v>
      </c>
      <c r="AO5028" s="296" t="s">
        <v>50</v>
      </c>
      <c r="AP5028" s="296" t="s">
        <v>51</v>
      </c>
      <c r="AQ5028" s="457" t="s">
        <v>742</v>
      </c>
    </row>
    <row r="5029" spans="1:43" ht="15" customHeight="1">
      <c r="A5029" s="69">
        <v>43620</v>
      </c>
      <c r="B5029" s="70" t="s">
        <v>129</v>
      </c>
      <c r="C5029" s="21" t="s">
        <v>1153</v>
      </c>
      <c r="D5029" s="21" t="s">
        <v>1154</v>
      </c>
      <c r="E5029" s="23" t="s">
        <v>873</v>
      </c>
      <c r="F5029" s="24">
        <v>8</v>
      </c>
      <c r="G5029" s="48">
        <v>4</v>
      </c>
      <c r="H5029" s="60">
        <v>32</v>
      </c>
      <c r="I5029" s="87" t="s">
        <v>247</v>
      </c>
      <c r="J5029" s="63" t="s">
        <v>133</v>
      </c>
      <c r="K5029" s="29">
        <v>43636</v>
      </c>
      <c r="W5029" s="460">
        <v>43677</v>
      </c>
      <c r="X5029" s="460">
        <v>43630</v>
      </c>
      <c r="Y5029" s="304" t="s">
        <v>1155</v>
      </c>
      <c r="Z5029" s="304"/>
      <c r="AA5029" s="460">
        <v>43677</v>
      </c>
      <c r="AB5029" s="237"/>
      <c r="AC5029" s="244"/>
      <c r="AD5029" s="244"/>
      <c r="AE5029" s="244"/>
      <c r="AF5029" s="244"/>
      <c r="AG5029" s="296"/>
      <c r="AH5029" s="296">
        <v>31.324999999999999</v>
      </c>
      <c r="AI5029" s="297"/>
      <c r="AJ5029" s="298">
        <v>43654</v>
      </c>
      <c r="AK5029" s="297"/>
      <c r="AL5029" s="297"/>
      <c r="AM5029" s="296" t="s">
        <v>49</v>
      </c>
      <c r="AN5029" s="82" t="s">
        <v>284</v>
      </c>
      <c r="AO5029" s="296" t="s">
        <v>50</v>
      </c>
      <c r="AP5029" s="296" t="s">
        <v>51</v>
      </c>
      <c r="AQ5029" s="457" t="s">
        <v>742</v>
      </c>
    </row>
    <row r="5030" spans="1:43" ht="15" customHeight="1">
      <c r="A5030" s="69">
        <v>43620</v>
      </c>
      <c r="B5030" s="21" t="s">
        <v>129</v>
      </c>
      <c r="C5030" s="240" t="s">
        <v>1153</v>
      </c>
      <c r="D5030" s="21" t="s">
        <v>1154</v>
      </c>
      <c r="E5030" s="32" t="s">
        <v>238</v>
      </c>
      <c r="F5030" s="24">
        <v>25</v>
      </c>
      <c r="G5030" s="48">
        <v>58</v>
      </c>
      <c r="H5030" s="60">
        <v>1450</v>
      </c>
      <c r="I5030" s="87" t="s">
        <v>247</v>
      </c>
      <c r="J5030" s="63" t="s">
        <v>133</v>
      </c>
      <c r="K5030" s="29">
        <v>43636</v>
      </c>
      <c r="W5030" s="460">
        <v>43677</v>
      </c>
      <c r="X5030" s="460">
        <v>43630</v>
      </c>
      <c r="Y5030" s="304" t="s">
        <v>1155</v>
      </c>
      <c r="Z5030" s="304"/>
      <c r="AA5030" s="460">
        <v>43677</v>
      </c>
      <c r="AB5030" s="237"/>
      <c r="AC5030" s="244"/>
      <c r="AD5030" s="244"/>
      <c r="AE5030" s="244"/>
      <c r="AF5030" s="244"/>
      <c r="AG5030" s="296"/>
      <c r="AH5030" s="296">
        <v>31.324999999999999</v>
      </c>
      <c r="AI5030" s="297"/>
      <c r="AJ5030" s="298">
        <v>43654</v>
      </c>
      <c r="AK5030" s="297"/>
      <c r="AL5030" s="297"/>
      <c r="AM5030" s="296" t="s">
        <v>49</v>
      </c>
      <c r="AN5030" s="82" t="s">
        <v>284</v>
      </c>
      <c r="AO5030" s="296" t="s">
        <v>50</v>
      </c>
      <c r="AP5030" s="296" t="s">
        <v>51</v>
      </c>
      <c r="AQ5030" s="457" t="s">
        <v>742</v>
      </c>
    </row>
    <row r="5031" spans="1:43" ht="15" customHeight="1">
      <c r="A5031" s="69">
        <v>43621</v>
      </c>
      <c r="B5031" s="70" t="s">
        <v>1097</v>
      </c>
      <c r="C5031" s="21"/>
      <c r="D5031" s="21" t="s">
        <v>1156</v>
      </c>
      <c r="E5031" s="32" t="s">
        <v>1157</v>
      </c>
      <c r="F5031" s="24">
        <v>6</v>
      </c>
      <c r="G5031" s="48">
        <v>3</v>
      </c>
      <c r="H5031" s="60">
        <v>18</v>
      </c>
      <c r="I5031" s="87" t="s">
        <v>247</v>
      </c>
      <c r="J5031" s="63" t="s">
        <v>262</v>
      </c>
      <c r="K5031" s="30">
        <v>43630</v>
      </c>
      <c r="W5031" s="300">
        <v>43622</v>
      </c>
      <c r="X5031" s="300">
        <v>43621</v>
      </c>
      <c r="Y5031" s="294" t="s">
        <v>1158</v>
      </c>
      <c r="Z5031" s="294">
        <v>315</v>
      </c>
      <c r="AA5031" s="300">
        <v>43622</v>
      </c>
      <c r="AB5031" s="237"/>
      <c r="AC5031" s="244"/>
      <c r="AD5031" s="244"/>
      <c r="AE5031" s="244"/>
      <c r="AF5031" s="244"/>
      <c r="AG5031" s="369"/>
      <c r="AH5031" s="369">
        <v>31.324999999999999</v>
      </c>
      <c r="AI5031" s="370"/>
      <c r="AJ5031" s="371">
        <v>43626</v>
      </c>
      <c r="AK5031" s="370"/>
      <c r="AL5031" s="370"/>
      <c r="AM5031" s="369" t="s">
        <v>49</v>
      </c>
      <c r="AN5031" s="369" t="s">
        <v>284</v>
      </c>
      <c r="AO5031" s="369" t="s">
        <v>50</v>
      </c>
      <c r="AP5031" s="369" t="s">
        <v>51</v>
      </c>
      <c r="AQ5031" s="372" t="s">
        <v>439</v>
      </c>
    </row>
    <row r="5032" spans="1:43" ht="15" customHeight="1">
      <c r="A5032" s="69">
        <v>43621</v>
      </c>
      <c r="B5032" s="70" t="s">
        <v>1097</v>
      </c>
      <c r="C5032" s="21"/>
      <c r="D5032" s="21" t="s">
        <v>1156</v>
      </c>
      <c r="E5032" s="23" t="s">
        <v>1159</v>
      </c>
      <c r="F5032" s="24">
        <v>3</v>
      </c>
      <c r="G5032" s="48">
        <v>152</v>
      </c>
      <c r="H5032" s="60">
        <v>456</v>
      </c>
      <c r="I5032" s="87" t="s">
        <v>247</v>
      </c>
      <c r="J5032" s="79" t="s">
        <v>262</v>
      </c>
      <c r="K5032" s="30">
        <v>43630</v>
      </c>
      <c r="W5032" s="300">
        <v>43708</v>
      </c>
      <c r="X5032" s="300">
        <v>43627</v>
      </c>
      <c r="Y5032" s="294" t="s">
        <v>1160</v>
      </c>
      <c r="Z5032" s="294">
        <v>22646</v>
      </c>
      <c r="AA5032" s="300">
        <v>43710</v>
      </c>
      <c r="AB5032" s="237"/>
      <c r="AC5032" s="244"/>
      <c r="AD5032" s="244"/>
      <c r="AE5032" s="244"/>
      <c r="AF5032" s="244"/>
      <c r="AG5032" s="369"/>
      <c r="AH5032" s="369">
        <v>31.324999999999999</v>
      </c>
      <c r="AI5032" s="370"/>
      <c r="AJ5032" s="371">
        <v>43626</v>
      </c>
      <c r="AK5032" s="370">
        <f>736.63*31.373</f>
        <v>23110.292990000002</v>
      </c>
      <c r="AL5032" s="370">
        <f>(754-736.63)*31.373</f>
        <v>544.94901000000016</v>
      </c>
      <c r="AM5032" s="369" t="s">
        <v>49</v>
      </c>
      <c r="AN5032" s="369" t="s">
        <v>284</v>
      </c>
      <c r="AO5032" s="369" t="s">
        <v>50</v>
      </c>
      <c r="AP5032" s="369" t="s">
        <v>51</v>
      </c>
      <c r="AQ5032" s="372" t="s">
        <v>439</v>
      </c>
    </row>
    <row r="5033" spans="1:43" ht="15" customHeight="1">
      <c r="A5033" s="69">
        <v>43621</v>
      </c>
      <c r="B5033" s="70" t="s">
        <v>1097</v>
      </c>
      <c r="C5033" s="21"/>
      <c r="D5033" s="21" t="s">
        <v>1156</v>
      </c>
      <c r="E5033" s="23" t="s">
        <v>1161</v>
      </c>
      <c r="F5033" s="24">
        <v>1</v>
      </c>
      <c r="G5033" s="48">
        <v>280</v>
      </c>
      <c r="H5033" s="60">
        <v>280</v>
      </c>
      <c r="I5033" s="87" t="s">
        <v>247</v>
      </c>
      <c r="J5033" s="79" t="s">
        <v>262</v>
      </c>
      <c r="K5033" s="30">
        <v>43630</v>
      </c>
      <c r="W5033" s="300">
        <v>43708</v>
      </c>
      <c r="X5033" s="300">
        <v>43627</v>
      </c>
      <c r="Y5033" s="294" t="s">
        <v>1160</v>
      </c>
      <c r="Z5033" s="294"/>
      <c r="AA5033" s="300">
        <v>43710</v>
      </c>
      <c r="AB5033" s="237"/>
      <c r="AC5033" s="244"/>
      <c r="AD5033" s="244"/>
      <c r="AE5033" s="244"/>
      <c r="AF5033" s="244"/>
      <c r="AG5033" s="369"/>
      <c r="AH5033" s="369">
        <v>31.324999999999999</v>
      </c>
      <c r="AI5033" s="370"/>
      <c r="AJ5033" s="371">
        <v>43626</v>
      </c>
      <c r="AK5033" s="370"/>
      <c r="AL5033" s="370"/>
      <c r="AM5033" s="369" t="s">
        <v>49</v>
      </c>
      <c r="AN5033" s="369" t="s">
        <v>284</v>
      </c>
      <c r="AO5033" s="369" t="s">
        <v>50</v>
      </c>
      <c r="AP5033" s="369" t="s">
        <v>51</v>
      </c>
      <c r="AQ5033" s="372" t="s">
        <v>439</v>
      </c>
    </row>
    <row r="5034" spans="1:43" ht="15" customHeight="1">
      <c r="A5034" s="69">
        <v>43622</v>
      </c>
      <c r="B5034" s="70" t="s">
        <v>629</v>
      </c>
      <c r="C5034" s="21" t="s">
        <v>1162</v>
      </c>
      <c r="D5034" s="21" t="s">
        <v>1163</v>
      </c>
      <c r="E5034" s="23" t="s">
        <v>632</v>
      </c>
      <c r="F5034" s="24">
        <v>10</v>
      </c>
      <c r="G5034" s="48">
        <v>173.25</v>
      </c>
      <c r="H5034" s="165">
        <v>1732.5</v>
      </c>
      <c r="I5034" s="87" t="s">
        <v>247</v>
      </c>
      <c r="J5034" s="79" t="s">
        <v>1164</v>
      </c>
      <c r="K5034" s="30">
        <v>43627</v>
      </c>
      <c r="W5034" s="460">
        <v>43651</v>
      </c>
      <c r="X5034" s="460">
        <v>43626</v>
      </c>
      <c r="Y5034" s="304" t="s">
        <v>1165</v>
      </c>
      <c r="Z5034" s="304">
        <v>50925</v>
      </c>
      <c r="AA5034" s="460">
        <v>43654</v>
      </c>
      <c r="AB5034" s="237"/>
      <c r="AC5034" s="244"/>
      <c r="AD5034" s="244"/>
      <c r="AE5034" s="244"/>
      <c r="AF5034" s="244"/>
      <c r="AG5034" s="296"/>
      <c r="AH5034" s="296"/>
      <c r="AI5034" s="297"/>
      <c r="AJ5034" s="298">
        <v>43664</v>
      </c>
      <c r="AK5034" s="297">
        <v>54452</v>
      </c>
      <c r="AL5034" s="297">
        <v>0</v>
      </c>
      <c r="AM5034" s="296" t="s">
        <v>49</v>
      </c>
      <c r="AN5034" s="82" t="s">
        <v>284</v>
      </c>
      <c r="AO5034" s="296" t="s">
        <v>50</v>
      </c>
      <c r="AP5034" s="296" t="s">
        <v>376</v>
      </c>
      <c r="AQ5034" s="457" t="s">
        <v>742</v>
      </c>
    </row>
    <row r="5035" spans="1:43" ht="15" customHeight="1">
      <c r="A5035" s="69">
        <v>43622</v>
      </c>
      <c r="B5035" s="21" t="s">
        <v>1166</v>
      </c>
      <c r="C5035" s="21"/>
      <c r="D5035" s="21" t="s">
        <v>1167</v>
      </c>
      <c r="E5035" s="23" t="s">
        <v>1168</v>
      </c>
      <c r="F5035" s="24">
        <v>6</v>
      </c>
      <c r="G5035" s="48">
        <v>101</v>
      </c>
      <c r="H5035" s="60">
        <v>606</v>
      </c>
      <c r="I5035" s="87" t="s">
        <v>247</v>
      </c>
      <c r="J5035" s="50" t="s">
        <v>1169</v>
      </c>
      <c r="K5035" s="30">
        <v>43658</v>
      </c>
      <c r="W5035" s="460">
        <v>43708</v>
      </c>
      <c r="X5035" s="460">
        <v>43648</v>
      </c>
      <c r="Y5035" s="304" t="s">
        <v>1170</v>
      </c>
      <c r="Z5035" s="304">
        <v>17396</v>
      </c>
      <c r="AA5035" s="460">
        <v>43706</v>
      </c>
      <c r="AB5035" s="237"/>
      <c r="AC5035" s="244"/>
      <c r="AD5035" s="244"/>
      <c r="AE5035" s="244"/>
      <c r="AF5035" s="244"/>
      <c r="AG5035" s="296"/>
      <c r="AH5035" s="296"/>
      <c r="AI5035" s="297"/>
      <c r="AJ5035" s="298">
        <v>43656</v>
      </c>
      <c r="AK5035" s="297">
        <f>617.56*31.08</f>
        <v>19193.764799999997</v>
      </c>
      <c r="AL5035" s="297">
        <f>28.44*31.08</f>
        <v>883.91520000000003</v>
      </c>
      <c r="AM5035" s="296" t="s">
        <v>49</v>
      </c>
      <c r="AN5035" s="82" t="s">
        <v>284</v>
      </c>
      <c r="AO5035" s="296" t="s">
        <v>50</v>
      </c>
      <c r="AP5035" s="296" t="s">
        <v>51</v>
      </c>
      <c r="AQ5035" s="457" t="s">
        <v>742</v>
      </c>
    </row>
    <row r="5036" spans="1:43" ht="15" customHeight="1">
      <c r="A5036" s="69">
        <v>43622</v>
      </c>
      <c r="B5036" s="21" t="s">
        <v>1166</v>
      </c>
      <c r="C5036" s="21"/>
      <c r="D5036" s="21" t="s">
        <v>1167</v>
      </c>
      <c r="E5036" s="32" t="s">
        <v>833</v>
      </c>
      <c r="F5036" s="24">
        <v>1</v>
      </c>
      <c r="G5036" s="48">
        <v>40</v>
      </c>
      <c r="H5036" s="60">
        <v>40</v>
      </c>
      <c r="I5036" s="87" t="s">
        <v>247</v>
      </c>
      <c r="J5036" s="50" t="s">
        <v>1169</v>
      </c>
      <c r="K5036" s="30">
        <v>43658</v>
      </c>
      <c r="W5036" s="52"/>
      <c r="X5036" s="53"/>
      <c r="Y5036" s="53"/>
      <c r="Z5036" s="53"/>
      <c r="AA5036" s="53"/>
      <c r="AB5036" s="237"/>
      <c r="AC5036" s="244"/>
      <c r="AD5036" s="244"/>
      <c r="AE5036" s="244"/>
      <c r="AF5036" s="244"/>
      <c r="AG5036" s="54"/>
      <c r="AH5036" s="54"/>
      <c r="AI5036" s="55"/>
      <c r="AJ5036" s="56">
        <v>43656</v>
      </c>
      <c r="AK5036" s="55"/>
      <c r="AL5036" s="55"/>
      <c r="AM5036" s="54" t="s">
        <v>49</v>
      </c>
      <c r="AN5036" s="24" t="s">
        <v>284</v>
      </c>
      <c r="AO5036" s="54" t="s">
        <v>50</v>
      </c>
      <c r="AP5036" s="54" t="s">
        <v>51</v>
      </c>
      <c r="AQ5036" s="57"/>
    </row>
    <row r="5037" spans="1:43" ht="15" customHeight="1">
      <c r="A5037" s="69">
        <v>43622</v>
      </c>
      <c r="B5037" s="70" t="s">
        <v>118</v>
      </c>
      <c r="C5037" s="21" t="s">
        <v>1171</v>
      </c>
      <c r="D5037" s="21" t="s">
        <v>1172</v>
      </c>
      <c r="E5037" s="32" t="s">
        <v>164</v>
      </c>
      <c r="F5037" s="24">
        <v>100</v>
      </c>
      <c r="G5037" s="48">
        <v>105</v>
      </c>
      <c r="H5037" s="60">
        <v>10500</v>
      </c>
      <c r="I5037" s="87" t="s">
        <v>247</v>
      </c>
      <c r="J5037" s="82" t="s">
        <v>121</v>
      </c>
      <c r="K5037" s="30">
        <v>43669</v>
      </c>
      <c r="W5037" s="460">
        <v>43677</v>
      </c>
      <c r="X5037" s="460">
        <v>43634</v>
      </c>
      <c r="Y5037" s="304" t="s">
        <v>1173</v>
      </c>
      <c r="Z5037" s="304">
        <v>269708</v>
      </c>
      <c r="AA5037" s="460">
        <v>43677</v>
      </c>
      <c r="AB5037" s="237"/>
      <c r="AC5037" s="244"/>
      <c r="AD5037" s="244"/>
      <c r="AE5037" s="244"/>
      <c r="AF5037" s="244"/>
      <c r="AG5037" s="296"/>
      <c r="AH5037" s="296"/>
      <c r="AI5037" s="297"/>
      <c r="AJ5037" s="298">
        <v>43770</v>
      </c>
      <c r="AK5037" s="297">
        <f>10483.43*30.44</f>
        <v>319115.60920000001</v>
      </c>
      <c r="AL5037" s="297">
        <f>(10500-10483.43)*30.44</f>
        <v>504.39079999999115</v>
      </c>
      <c r="AM5037" s="296" t="s">
        <v>49</v>
      </c>
      <c r="AN5037" s="296" t="s">
        <v>284</v>
      </c>
      <c r="AO5037" s="296" t="s">
        <v>50</v>
      </c>
      <c r="AP5037" s="296" t="s">
        <v>51</v>
      </c>
      <c r="AQ5037" s="234" t="s">
        <v>506</v>
      </c>
    </row>
    <row r="5038" spans="1:43" ht="15" customHeight="1">
      <c r="A5038" s="69">
        <v>43622</v>
      </c>
      <c r="B5038" s="144" t="s">
        <v>76</v>
      </c>
      <c r="C5038" s="21">
        <v>425</v>
      </c>
      <c r="D5038" s="21" t="s">
        <v>1174</v>
      </c>
      <c r="E5038" s="32" t="s">
        <v>642</v>
      </c>
      <c r="F5038" s="24">
        <v>2</v>
      </c>
      <c r="G5038" s="48">
        <v>200</v>
      </c>
      <c r="H5038" s="26">
        <v>400</v>
      </c>
      <c r="I5038" s="87" t="s">
        <v>42</v>
      </c>
      <c r="J5038" s="58" t="s">
        <v>315</v>
      </c>
      <c r="K5038" s="29">
        <v>43643</v>
      </c>
      <c r="W5038" s="460">
        <v>43651</v>
      </c>
      <c r="X5038" s="460">
        <v>43636</v>
      </c>
      <c r="Y5038" s="304" t="s">
        <v>1175</v>
      </c>
      <c r="Z5038" s="304">
        <v>10055</v>
      </c>
      <c r="AA5038" s="460">
        <v>43656</v>
      </c>
      <c r="AB5038" s="237"/>
      <c r="AC5038" s="244"/>
      <c r="AD5038" s="244"/>
      <c r="AE5038" s="244"/>
      <c r="AF5038" s="244"/>
      <c r="AG5038" s="296"/>
      <c r="AH5038" s="296"/>
      <c r="AI5038" s="297"/>
      <c r="AJ5038" s="298">
        <v>43679</v>
      </c>
      <c r="AK5038" s="297"/>
      <c r="AL5038" s="297"/>
      <c r="AM5038" s="296" t="s">
        <v>49</v>
      </c>
      <c r="AN5038" s="296" t="s">
        <v>284</v>
      </c>
      <c r="AO5038" s="296" t="s">
        <v>285</v>
      </c>
      <c r="AP5038" s="296" t="s">
        <v>51</v>
      </c>
      <c r="AQ5038" s="234" t="s">
        <v>506</v>
      </c>
    </row>
    <row r="5039" spans="1:43" ht="15" customHeight="1">
      <c r="A5039" s="69">
        <v>43622</v>
      </c>
      <c r="B5039" s="147" t="s">
        <v>76</v>
      </c>
      <c r="C5039" s="21">
        <v>425</v>
      </c>
      <c r="D5039" s="21" t="s">
        <v>1174</v>
      </c>
      <c r="E5039" s="32" t="s">
        <v>648</v>
      </c>
      <c r="F5039" s="24">
        <v>2</v>
      </c>
      <c r="G5039" s="48">
        <v>2</v>
      </c>
      <c r="H5039" s="26">
        <v>4</v>
      </c>
      <c r="I5039" s="87" t="s">
        <v>42</v>
      </c>
      <c r="J5039" s="58" t="s">
        <v>315</v>
      </c>
      <c r="K5039" s="29">
        <v>43643</v>
      </c>
      <c r="W5039" s="304"/>
      <c r="X5039" s="304"/>
      <c r="Y5039" s="304"/>
      <c r="Z5039" s="304"/>
      <c r="AA5039" s="304"/>
      <c r="AB5039" s="237"/>
      <c r="AC5039" s="244"/>
      <c r="AD5039" s="244"/>
      <c r="AE5039" s="244"/>
      <c r="AF5039" s="244"/>
      <c r="AG5039" s="296"/>
      <c r="AH5039" s="296"/>
      <c r="AI5039" s="297"/>
      <c r="AJ5039" s="298">
        <v>43679</v>
      </c>
      <c r="AK5039" s="297">
        <f>541*31.29</f>
        <v>16927.89</v>
      </c>
      <c r="AL5039" s="297">
        <v>0</v>
      </c>
      <c r="AM5039" s="296" t="s">
        <v>49</v>
      </c>
      <c r="AN5039" s="296" t="s">
        <v>284</v>
      </c>
      <c r="AO5039" s="296" t="s">
        <v>285</v>
      </c>
      <c r="AP5039" s="296" t="s">
        <v>51</v>
      </c>
      <c r="AQ5039" s="234" t="s">
        <v>506</v>
      </c>
    </row>
    <row r="5040" spans="1:43" ht="15" customHeight="1">
      <c r="A5040" s="69">
        <v>43622</v>
      </c>
      <c r="B5040" s="144" t="s">
        <v>76</v>
      </c>
      <c r="C5040" s="21">
        <v>425</v>
      </c>
      <c r="D5040" s="21" t="s">
        <v>1174</v>
      </c>
      <c r="E5040" s="32" t="s">
        <v>649</v>
      </c>
      <c r="F5040" s="24">
        <v>2</v>
      </c>
      <c r="G5040" s="48">
        <v>6</v>
      </c>
      <c r="H5040" s="26">
        <v>12</v>
      </c>
      <c r="I5040" s="87" t="s">
        <v>42</v>
      </c>
      <c r="J5040" s="58" t="s">
        <v>315</v>
      </c>
      <c r="K5040" s="29">
        <v>43643</v>
      </c>
      <c r="W5040" s="304"/>
      <c r="X5040" s="304"/>
      <c r="Y5040" s="304"/>
      <c r="Z5040" s="304"/>
      <c r="AA5040" s="304"/>
      <c r="AB5040" s="237"/>
      <c r="AC5040" s="244"/>
      <c r="AD5040" s="244"/>
      <c r="AE5040" s="244"/>
      <c r="AF5040" s="244"/>
      <c r="AG5040" s="296"/>
      <c r="AH5040" s="296"/>
      <c r="AI5040" s="297"/>
      <c r="AJ5040" s="298">
        <v>43679</v>
      </c>
      <c r="AK5040" s="297"/>
      <c r="AL5040" s="297"/>
      <c r="AM5040" s="296" t="s">
        <v>49</v>
      </c>
      <c r="AN5040" s="296" t="s">
        <v>284</v>
      </c>
      <c r="AO5040" s="296" t="s">
        <v>285</v>
      </c>
      <c r="AP5040" s="296" t="s">
        <v>51</v>
      </c>
      <c r="AQ5040" s="234" t="s">
        <v>506</v>
      </c>
    </row>
    <row r="5041" spans="1:43" ht="15" customHeight="1">
      <c r="A5041" s="69">
        <v>43622</v>
      </c>
      <c r="B5041" s="144" t="s">
        <v>76</v>
      </c>
      <c r="C5041" s="21">
        <v>425</v>
      </c>
      <c r="D5041" s="21" t="s">
        <v>1174</v>
      </c>
      <c r="E5041" s="32" t="s">
        <v>644</v>
      </c>
      <c r="F5041" s="24">
        <v>2</v>
      </c>
      <c r="G5041" s="48">
        <v>0</v>
      </c>
      <c r="H5041" s="26">
        <v>0</v>
      </c>
      <c r="I5041" s="87" t="s">
        <v>42</v>
      </c>
      <c r="J5041" s="58" t="s">
        <v>315</v>
      </c>
      <c r="K5041" s="29">
        <v>43643</v>
      </c>
      <c r="W5041" s="304"/>
      <c r="X5041" s="304"/>
      <c r="Y5041" s="304"/>
      <c r="Z5041" s="304"/>
      <c r="AA5041" s="304"/>
      <c r="AB5041" s="237"/>
      <c r="AC5041" s="244"/>
      <c r="AD5041" s="244"/>
      <c r="AE5041" s="244"/>
      <c r="AF5041" s="244"/>
      <c r="AG5041" s="296"/>
      <c r="AH5041" s="296"/>
      <c r="AI5041" s="297"/>
      <c r="AJ5041" s="298">
        <v>43679</v>
      </c>
      <c r="AK5041" s="297"/>
      <c r="AL5041" s="297"/>
      <c r="AM5041" s="296" t="s">
        <v>49</v>
      </c>
      <c r="AN5041" s="296" t="s">
        <v>284</v>
      </c>
      <c r="AO5041" s="296" t="s">
        <v>285</v>
      </c>
      <c r="AP5041" s="296" t="s">
        <v>51</v>
      </c>
      <c r="AQ5041" s="234" t="s">
        <v>506</v>
      </c>
    </row>
    <row r="5042" spans="1:43" ht="15" customHeight="1">
      <c r="A5042" s="69">
        <v>43622</v>
      </c>
      <c r="B5042" s="144" t="s">
        <v>76</v>
      </c>
      <c r="C5042" s="21">
        <v>425</v>
      </c>
      <c r="D5042" s="21" t="s">
        <v>1174</v>
      </c>
      <c r="E5042" s="23" t="s">
        <v>645</v>
      </c>
      <c r="F5042" s="24">
        <v>2</v>
      </c>
      <c r="G5042" s="48">
        <v>0</v>
      </c>
      <c r="H5042" s="26">
        <v>0</v>
      </c>
      <c r="I5042" s="61" t="s">
        <v>42</v>
      </c>
      <c r="J5042" s="58" t="s">
        <v>315</v>
      </c>
      <c r="K5042" s="29">
        <v>43643</v>
      </c>
      <c r="W5042" s="304"/>
      <c r="X5042" s="304"/>
      <c r="Y5042" s="304"/>
      <c r="Z5042" s="304"/>
      <c r="AA5042" s="304"/>
      <c r="AB5042" s="237"/>
      <c r="AC5042" s="244"/>
      <c r="AD5042" s="244"/>
      <c r="AE5042" s="244"/>
      <c r="AF5042" s="244"/>
      <c r="AG5042" s="296"/>
      <c r="AH5042" s="296"/>
      <c r="AI5042" s="297"/>
      <c r="AJ5042" s="298">
        <v>43679</v>
      </c>
      <c r="AK5042" s="297"/>
      <c r="AL5042" s="297"/>
      <c r="AM5042" s="296" t="s">
        <v>49</v>
      </c>
      <c r="AN5042" s="296" t="s">
        <v>284</v>
      </c>
      <c r="AO5042" s="296" t="s">
        <v>285</v>
      </c>
      <c r="AP5042" s="296" t="s">
        <v>51</v>
      </c>
      <c r="AQ5042" s="234" t="s">
        <v>506</v>
      </c>
    </row>
    <row r="5043" spans="1:43" ht="15" customHeight="1">
      <c r="A5043" s="69">
        <v>43622</v>
      </c>
      <c r="B5043" s="144" t="s">
        <v>76</v>
      </c>
      <c r="C5043" s="21">
        <v>425</v>
      </c>
      <c r="D5043" s="21" t="s">
        <v>1174</v>
      </c>
      <c r="E5043" s="23" t="s">
        <v>646</v>
      </c>
      <c r="F5043" s="24">
        <v>2</v>
      </c>
      <c r="G5043" s="48">
        <v>0</v>
      </c>
      <c r="H5043" s="26">
        <v>0</v>
      </c>
      <c r="I5043" s="61" t="s">
        <v>42</v>
      </c>
      <c r="J5043" s="58" t="s">
        <v>315</v>
      </c>
      <c r="K5043" s="29">
        <v>43643</v>
      </c>
      <c r="W5043" s="304"/>
      <c r="X5043" s="304"/>
      <c r="Y5043" s="304"/>
      <c r="Z5043" s="304"/>
      <c r="AA5043" s="304"/>
      <c r="AB5043" s="237"/>
      <c r="AC5043" s="244"/>
      <c r="AD5043" s="244"/>
      <c r="AE5043" s="244"/>
      <c r="AF5043" s="244"/>
      <c r="AG5043" s="296"/>
      <c r="AH5043" s="296"/>
      <c r="AI5043" s="297"/>
      <c r="AJ5043" s="298">
        <v>43679</v>
      </c>
      <c r="AK5043" s="297"/>
      <c r="AL5043" s="297"/>
      <c r="AM5043" s="296" t="s">
        <v>49</v>
      </c>
      <c r="AN5043" s="296" t="s">
        <v>284</v>
      </c>
      <c r="AO5043" s="296" t="s">
        <v>285</v>
      </c>
      <c r="AP5043" s="296" t="s">
        <v>51</v>
      </c>
      <c r="AQ5043" s="234" t="s">
        <v>506</v>
      </c>
    </row>
    <row r="5044" spans="1:43" ht="15" customHeight="1">
      <c r="A5044" s="69">
        <v>43622</v>
      </c>
      <c r="B5044" s="144" t="s">
        <v>76</v>
      </c>
      <c r="C5044" s="21">
        <v>425</v>
      </c>
      <c r="D5044" s="21" t="s">
        <v>1174</v>
      </c>
      <c r="E5044" s="23" t="s">
        <v>647</v>
      </c>
      <c r="F5044" s="24">
        <v>2</v>
      </c>
      <c r="G5044" s="48">
        <v>0</v>
      </c>
      <c r="H5044" s="26">
        <v>0</v>
      </c>
      <c r="I5044" s="61" t="s">
        <v>42</v>
      </c>
      <c r="J5044" s="58" t="s">
        <v>315</v>
      </c>
      <c r="K5044" s="29">
        <v>43643</v>
      </c>
      <c r="W5044" s="304"/>
      <c r="X5044" s="304"/>
      <c r="Y5044" s="304"/>
      <c r="Z5044" s="304"/>
      <c r="AA5044" s="304"/>
      <c r="AB5044" s="237"/>
      <c r="AC5044" s="244"/>
      <c r="AD5044" s="244"/>
      <c r="AE5044" s="244"/>
      <c r="AF5044" s="244"/>
      <c r="AG5044" s="296"/>
      <c r="AH5044" s="296"/>
      <c r="AI5044" s="297"/>
      <c r="AJ5044" s="298">
        <v>43679</v>
      </c>
      <c r="AK5044" s="297"/>
      <c r="AL5044" s="297"/>
      <c r="AM5044" s="296" t="s">
        <v>49</v>
      </c>
      <c r="AN5044" s="296" t="s">
        <v>284</v>
      </c>
      <c r="AO5044" s="296" t="s">
        <v>285</v>
      </c>
      <c r="AP5044" s="296" t="s">
        <v>51</v>
      </c>
      <c r="AQ5044" s="234" t="s">
        <v>506</v>
      </c>
    </row>
    <row r="5045" spans="1:43" ht="15" customHeight="1">
      <c r="A5045" s="69">
        <v>43622</v>
      </c>
      <c r="B5045" s="144" t="s">
        <v>76</v>
      </c>
      <c r="C5045" s="21">
        <v>425</v>
      </c>
      <c r="D5045" s="21" t="s">
        <v>1174</v>
      </c>
      <c r="E5045" s="23" t="s">
        <v>650</v>
      </c>
      <c r="F5045" s="24">
        <v>2</v>
      </c>
      <c r="G5045" s="48">
        <v>0</v>
      </c>
      <c r="H5045" s="26">
        <v>0</v>
      </c>
      <c r="I5045" s="61" t="s">
        <v>42</v>
      </c>
      <c r="J5045" s="58" t="s">
        <v>315</v>
      </c>
      <c r="K5045" s="29">
        <v>43643</v>
      </c>
      <c r="W5045" s="304"/>
      <c r="X5045" s="304"/>
      <c r="Y5045" s="304"/>
      <c r="Z5045" s="304"/>
      <c r="AA5045" s="304"/>
      <c r="AB5045" s="237"/>
      <c r="AC5045" s="244"/>
      <c r="AD5045" s="244"/>
      <c r="AE5045" s="244"/>
      <c r="AF5045" s="244"/>
      <c r="AG5045" s="296"/>
      <c r="AH5045" s="296"/>
      <c r="AI5045" s="297"/>
      <c r="AJ5045" s="298">
        <v>43679</v>
      </c>
      <c r="AK5045" s="297"/>
      <c r="AL5045" s="297"/>
      <c r="AM5045" s="296" t="s">
        <v>49</v>
      </c>
      <c r="AN5045" s="296" t="s">
        <v>284</v>
      </c>
      <c r="AO5045" s="296" t="s">
        <v>285</v>
      </c>
      <c r="AP5045" s="296" t="s">
        <v>51</v>
      </c>
      <c r="AQ5045" s="234" t="s">
        <v>506</v>
      </c>
    </row>
    <row r="5046" spans="1:43" ht="15" customHeight="1">
      <c r="A5046" s="69">
        <v>43623</v>
      </c>
      <c r="B5046" s="23" t="s">
        <v>405</v>
      </c>
      <c r="C5046" s="21">
        <v>7000147891</v>
      </c>
      <c r="D5046" s="21" t="s">
        <v>1176</v>
      </c>
      <c r="E5046" s="23" t="s">
        <v>556</v>
      </c>
      <c r="F5046" s="24">
        <v>3</v>
      </c>
      <c r="G5046" s="48">
        <v>148</v>
      </c>
      <c r="H5046" s="26">
        <v>444</v>
      </c>
      <c r="I5046" s="61" t="s">
        <v>42</v>
      </c>
      <c r="J5046" s="50" t="s">
        <v>512</v>
      </c>
      <c r="K5046" s="29">
        <v>43629</v>
      </c>
      <c r="W5046" s="460">
        <v>43708</v>
      </c>
      <c r="X5046" s="460">
        <v>43627</v>
      </c>
      <c r="Y5046" s="304" t="s">
        <v>1177</v>
      </c>
      <c r="Z5046" s="304">
        <v>13813</v>
      </c>
      <c r="AA5046" s="460">
        <v>43710</v>
      </c>
      <c r="AB5046" s="237"/>
      <c r="AC5046" s="244"/>
      <c r="AD5046" s="244"/>
      <c r="AE5046" s="244"/>
      <c r="AF5046" s="244"/>
      <c r="AG5046" s="296"/>
      <c r="AH5046" s="296">
        <v>31.324999999999999</v>
      </c>
      <c r="AI5046" s="297"/>
      <c r="AJ5046" s="298">
        <v>43677</v>
      </c>
      <c r="AK5046" s="297"/>
      <c r="AL5046" s="297"/>
      <c r="AM5046" s="296" t="s">
        <v>49</v>
      </c>
      <c r="AN5046" s="296" t="s">
        <v>284</v>
      </c>
      <c r="AO5046" s="296" t="s">
        <v>50</v>
      </c>
      <c r="AP5046" s="296" t="s">
        <v>51</v>
      </c>
      <c r="AQ5046" s="234" t="s">
        <v>506</v>
      </c>
    </row>
    <row r="5047" spans="1:43" ht="15" customHeight="1">
      <c r="A5047" s="69">
        <v>43625</v>
      </c>
      <c r="B5047" s="23" t="s">
        <v>405</v>
      </c>
      <c r="C5047" s="21">
        <v>7000147924</v>
      </c>
      <c r="D5047" s="21" t="s">
        <v>1178</v>
      </c>
      <c r="E5047" s="23" t="s">
        <v>799</v>
      </c>
      <c r="F5047" s="24">
        <v>1</v>
      </c>
      <c r="G5047" s="48">
        <v>565</v>
      </c>
      <c r="H5047" s="60">
        <v>565</v>
      </c>
      <c r="I5047" s="61" t="s">
        <v>42</v>
      </c>
      <c r="J5047" s="50" t="s">
        <v>512</v>
      </c>
      <c r="K5047" s="29">
        <v>43636</v>
      </c>
      <c r="W5047" s="460">
        <v>43708</v>
      </c>
      <c r="X5047" s="460">
        <v>43630</v>
      </c>
      <c r="Y5047" s="304" t="s">
        <v>1179</v>
      </c>
      <c r="Z5047" s="304">
        <v>15825</v>
      </c>
      <c r="AA5047" s="460">
        <v>43710</v>
      </c>
      <c r="AB5047" s="237"/>
      <c r="AC5047" s="244"/>
      <c r="AD5047" s="244"/>
      <c r="AE5047" s="244"/>
      <c r="AF5047" s="244"/>
      <c r="AG5047" s="296"/>
      <c r="AH5047" s="296">
        <v>31.324999999999999</v>
      </c>
      <c r="AI5047" s="297"/>
      <c r="AJ5047" s="298">
        <v>43677</v>
      </c>
      <c r="AK5047" s="297"/>
      <c r="AL5047" s="297"/>
      <c r="AM5047" s="296" t="s">
        <v>49</v>
      </c>
      <c r="AN5047" s="296" t="s">
        <v>284</v>
      </c>
      <c r="AO5047" s="296" t="s">
        <v>50</v>
      </c>
      <c r="AP5047" s="296" t="s">
        <v>51</v>
      </c>
      <c r="AQ5047" s="234" t="s">
        <v>506</v>
      </c>
    </row>
    <row r="5048" spans="1:43" ht="15" customHeight="1">
      <c r="A5048" s="69">
        <v>43626</v>
      </c>
      <c r="B5048" s="144" t="s">
        <v>166</v>
      </c>
      <c r="C5048" s="502" t="s">
        <v>1180</v>
      </c>
      <c r="D5048" s="491" t="s">
        <v>1181</v>
      </c>
      <c r="E5048" s="23" t="s">
        <v>1182</v>
      </c>
      <c r="F5048" s="24">
        <v>1</v>
      </c>
      <c r="G5048" s="48">
        <v>132</v>
      </c>
      <c r="H5048" s="60">
        <v>132</v>
      </c>
      <c r="I5048" s="346" t="s">
        <v>104</v>
      </c>
      <c r="J5048" s="58" t="s">
        <v>171</v>
      </c>
      <c r="K5048" s="29">
        <v>43664</v>
      </c>
      <c r="W5048" s="460">
        <v>43682</v>
      </c>
      <c r="X5048" s="460">
        <v>43649</v>
      </c>
      <c r="Y5048" s="304" t="s">
        <v>1183</v>
      </c>
      <c r="Z5048" s="304"/>
      <c r="AA5048" s="460">
        <v>43682</v>
      </c>
      <c r="AB5048" s="237"/>
      <c r="AC5048" s="244"/>
      <c r="AD5048" s="244"/>
      <c r="AE5048" s="244"/>
      <c r="AF5048" s="244"/>
      <c r="AG5048" s="296"/>
      <c r="AH5048" s="296"/>
      <c r="AI5048" s="297"/>
      <c r="AJ5048" s="298">
        <v>43629</v>
      </c>
      <c r="AK5048" s="297"/>
      <c r="AL5048" s="297"/>
      <c r="AM5048" s="296" t="s">
        <v>49</v>
      </c>
      <c r="AN5048" s="82" t="s">
        <v>284</v>
      </c>
      <c r="AO5048" s="296" t="s">
        <v>285</v>
      </c>
      <c r="AP5048" s="296" t="s">
        <v>51</v>
      </c>
      <c r="AQ5048" s="457" t="s">
        <v>742</v>
      </c>
    </row>
    <row r="5049" spans="1:43" ht="15" customHeight="1">
      <c r="A5049" s="69">
        <v>43626</v>
      </c>
      <c r="B5049" s="144" t="s">
        <v>166</v>
      </c>
      <c r="C5049" s="502" t="s">
        <v>1180</v>
      </c>
      <c r="D5049" s="503" t="s">
        <v>1181</v>
      </c>
      <c r="E5049" s="23" t="s">
        <v>1184</v>
      </c>
      <c r="F5049" s="24">
        <v>1</v>
      </c>
      <c r="G5049" s="48">
        <v>1608</v>
      </c>
      <c r="H5049" s="60">
        <v>1608</v>
      </c>
      <c r="I5049" s="346" t="s">
        <v>104</v>
      </c>
      <c r="J5049" s="58" t="s">
        <v>171</v>
      </c>
      <c r="K5049" s="29">
        <v>43664</v>
      </c>
      <c r="W5049" s="304"/>
      <c r="X5049" s="304"/>
      <c r="Y5049" s="304"/>
      <c r="Z5049" s="304"/>
      <c r="AA5049" s="304"/>
      <c r="AB5049" s="237"/>
      <c r="AC5049" s="244"/>
      <c r="AD5049" s="244"/>
      <c r="AE5049" s="244"/>
      <c r="AF5049" s="244"/>
      <c r="AG5049" s="296"/>
      <c r="AH5049" s="296"/>
      <c r="AI5049" s="297"/>
      <c r="AJ5049" s="298">
        <v>43629</v>
      </c>
      <c r="AK5049" s="297"/>
      <c r="AL5049" s="297"/>
      <c r="AM5049" s="296" t="s">
        <v>49</v>
      </c>
      <c r="AN5049" s="82" t="s">
        <v>284</v>
      </c>
      <c r="AO5049" s="296" t="s">
        <v>285</v>
      </c>
      <c r="AP5049" s="296" t="s">
        <v>51</v>
      </c>
      <c r="AQ5049" s="457" t="s">
        <v>742</v>
      </c>
    </row>
    <row r="5050" spans="1:43" ht="15" customHeight="1">
      <c r="A5050" s="69">
        <v>43626</v>
      </c>
      <c r="B5050" s="144" t="s">
        <v>166</v>
      </c>
      <c r="C5050" s="502" t="s">
        <v>1180</v>
      </c>
      <c r="D5050" s="503" t="s">
        <v>1185</v>
      </c>
      <c r="E5050" s="32" t="s">
        <v>1182</v>
      </c>
      <c r="F5050" s="24">
        <v>1</v>
      </c>
      <c r="G5050" s="48">
        <v>132</v>
      </c>
      <c r="H5050" s="60">
        <v>132</v>
      </c>
      <c r="I5050" s="346" t="s">
        <v>104</v>
      </c>
      <c r="J5050" s="58" t="s">
        <v>171</v>
      </c>
      <c r="K5050" s="145">
        <v>43710</v>
      </c>
      <c r="W5050" s="460">
        <v>43682</v>
      </c>
      <c r="X5050" s="460">
        <v>43649</v>
      </c>
      <c r="Y5050" s="304" t="s">
        <v>1183</v>
      </c>
      <c r="Z5050" s="304">
        <v>9837</v>
      </c>
      <c r="AA5050" s="460">
        <v>43682</v>
      </c>
      <c r="AB5050" s="237"/>
      <c r="AC5050" s="244"/>
      <c r="AD5050" s="244"/>
      <c r="AE5050" s="244"/>
      <c r="AF5050" s="244"/>
      <c r="AG5050" s="296"/>
      <c r="AH5050" s="296"/>
      <c r="AI5050" s="297"/>
      <c r="AJ5050" s="298">
        <v>43629</v>
      </c>
      <c r="AK5050" s="297"/>
      <c r="AL5050" s="297"/>
      <c r="AM5050" s="296" t="s">
        <v>49</v>
      </c>
      <c r="AN5050" s="82" t="s">
        <v>284</v>
      </c>
      <c r="AO5050" s="296" t="s">
        <v>285</v>
      </c>
      <c r="AP5050" s="296" t="s">
        <v>51</v>
      </c>
      <c r="AQ5050" s="457" t="s">
        <v>742</v>
      </c>
    </row>
    <row r="5051" spans="1:43" ht="15" customHeight="1">
      <c r="A5051" s="69">
        <v>43626</v>
      </c>
      <c r="B5051" s="144" t="s">
        <v>166</v>
      </c>
      <c r="C5051" s="502" t="s">
        <v>1180</v>
      </c>
      <c r="D5051" s="503" t="s">
        <v>1185</v>
      </c>
      <c r="E5051" s="23" t="s">
        <v>1186</v>
      </c>
      <c r="F5051" s="24">
        <v>1</v>
      </c>
      <c r="G5051" s="48">
        <v>1667</v>
      </c>
      <c r="H5051" s="60">
        <v>1667</v>
      </c>
      <c r="I5051" s="346" t="s">
        <v>104</v>
      </c>
      <c r="J5051" s="58" t="s">
        <v>171</v>
      </c>
      <c r="K5051" s="145">
        <v>43711</v>
      </c>
      <c r="W5051" s="304"/>
      <c r="X5051" s="304"/>
      <c r="Y5051" s="304"/>
      <c r="Z5051" s="304"/>
      <c r="AA5051" s="304"/>
      <c r="AB5051" s="237"/>
      <c r="AC5051" s="244"/>
      <c r="AD5051" s="244"/>
      <c r="AE5051" s="244"/>
      <c r="AF5051" s="244"/>
      <c r="AG5051" s="296"/>
      <c r="AH5051" s="296"/>
      <c r="AI5051" s="297"/>
      <c r="AJ5051" s="298">
        <v>43629</v>
      </c>
      <c r="AK5051" s="297">
        <f>3492.64*31.47</f>
        <v>109913.3808</v>
      </c>
      <c r="AL5051" s="297">
        <f>46.36*31.47</f>
        <v>1458.9492</v>
      </c>
      <c r="AM5051" s="296" t="s">
        <v>49</v>
      </c>
      <c r="AN5051" s="82" t="s">
        <v>284</v>
      </c>
      <c r="AO5051" s="296" t="s">
        <v>285</v>
      </c>
      <c r="AP5051" s="296" t="s">
        <v>51</v>
      </c>
      <c r="AQ5051" s="457" t="s">
        <v>742</v>
      </c>
    </row>
    <row r="5052" spans="1:43" ht="15" customHeight="1">
      <c r="A5052" s="69">
        <v>43627</v>
      </c>
      <c r="B5052" s="70" t="s">
        <v>129</v>
      </c>
      <c r="C5052" s="21" t="s">
        <v>1187</v>
      </c>
      <c r="D5052" s="504" t="s">
        <v>169</v>
      </c>
      <c r="E5052" s="23" t="s">
        <v>1029</v>
      </c>
      <c r="F5052" s="24">
        <v>1</v>
      </c>
      <c r="G5052" s="48">
        <v>123</v>
      </c>
      <c r="H5052" s="60">
        <v>123</v>
      </c>
      <c r="I5052" s="61" t="s">
        <v>247</v>
      </c>
      <c r="J5052" s="63" t="s">
        <v>133</v>
      </c>
      <c r="K5052" s="29">
        <v>43636</v>
      </c>
      <c r="W5052" s="460">
        <v>43677</v>
      </c>
      <c r="X5052" s="460">
        <v>43634</v>
      </c>
      <c r="Y5052" s="304" t="s">
        <v>1188</v>
      </c>
      <c r="Z5052" s="304">
        <v>3750</v>
      </c>
      <c r="AA5052" s="460">
        <v>43677</v>
      </c>
      <c r="AB5052" s="237"/>
      <c r="AC5052" s="244"/>
      <c r="AD5052" s="244"/>
      <c r="AE5052" s="244"/>
      <c r="AF5052" s="244"/>
      <c r="AG5052" s="296"/>
      <c r="AH5052" s="296">
        <v>31.324999999999999</v>
      </c>
      <c r="AI5052" s="297"/>
      <c r="AJ5052" s="298">
        <v>43654</v>
      </c>
      <c r="AK5052" s="297"/>
      <c r="AL5052" s="297"/>
      <c r="AM5052" s="296" t="s">
        <v>49</v>
      </c>
      <c r="AN5052" s="82" t="s">
        <v>284</v>
      </c>
      <c r="AO5052" s="296" t="s">
        <v>50</v>
      </c>
      <c r="AP5052" s="296" t="s">
        <v>51</v>
      </c>
      <c r="AQ5052" s="457" t="s">
        <v>742</v>
      </c>
    </row>
    <row r="5053" spans="1:43" ht="15" customHeight="1">
      <c r="A5053" s="69">
        <v>43628</v>
      </c>
      <c r="B5053" s="70" t="s">
        <v>1189</v>
      </c>
      <c r="C5053" s="21" t="s">
        <v>1190</v>
      </c>
      <c r="D5053" s="21" t="s">
        <v>1191</v>
      </c>
      <c r="E5053" s="23" t="s">
        <v>1192</v>
      </c>
      <c r="F5053" s="24">
        <v>2</v>
      </c>
      <c r="G5053" s="48">
        <v>120</v>
      </c>
      <c r="H5053" s="60">
        <v>240</v>
      </c>
      <c r="I5053" s="61" t="s">
        <v>42</v>
      </c>
      <c r="J5053" s="50" t="s">
        <v>1193</v>
      </c>
      <c r="K5053" s="29">
        <v>43643</v>
      </c>
      <c r="W5053" s="460">
        <v>43708</v>
      </c>
      <c r="X5053" s="460">
        <v>43634</v>
      </c>
      <c r="Y5053" s="304" t="s">
        <v>1194</v>
      </c>
      <c r="Z5053" s="304">
        <v>6640</v>
      </c>
      <c r="AA5053" s="460">
        <v>43710</v>
      </c>
      <c r="AB5053" s="237"/>
      <c r="AC5053" s="244"/>
      <c r="AD5053" s="244"/>
      <c r="AE5053" s="244"/>
      <c r="AF5053" s="244"/>
      <c r="AG5053" s="296"/>
      <c r="AH5053" s="296"/>
      <c r="AI5053" s="297"/>
      <c r="AJ5053" s="298">
        <v>43636</v>
      </c>
      <c r="AK5053" s="297"/>
      <c r="AL5053" s="297"/>
      <c r="AM5053" s="296" t="s">
        <v>49</v>
      </c>
      <c r="AN5053" s="82" t="s">
        <v>284</v>
      </c>
      <c r="AO5053" s="296" t="s">
        <v>50</v>
      </c>
      <c r="AP5053" s="296" t="s">
        <v>51</v>
      </c>
      <c r="AQ5053" s="457" t="s">
        <v>742</v>
      </c>
    </row>
    <row r="5054" spans="1:43" ht="15" customHeight="1">
      <c r="A5054" s="69">
        <v>43628</v>
      </c>
      <c r="B5054" s="23" t="s">
        <v>405</v>
      </c>
      <c r="C5054" s="21">
        <v>7000148034</v>
      </c>
      <c r="D5054" s="21" t="s">
        <v>1195</v>
      </c>
      <c r="E5054" s="23" t="s">
        <v>676</v>
      </c>
      <c r="F5054" s="24">
        <v>2</v>
      </c>
      <c r="G5054" s="48">
        <v>129</v>
      </c>
      <c r="H5054" s="60">
        <v>258</v>
      </c>
      <c r="I5054" s="61" t="s">
        <v>42</v>
      </c>
      <c r="J5054" s="50" t="s">
        <v>512</v>
      </c>
      <c r="K5054" s="29">
        <v>43636</v>
      </c>
      <c r="W5054" s="460">
        <v>43708</v>
      </c>
      <c r="X5054" s="460">
        <v>43633</v>
      </c>
      <c r="Y5054" s="304" t="s">
        <v>1196</v>
      </c>
      <c r="Z5054" s="304">
        <v>7245</v>
      </c>
      <c r="AA5054" s="460">
        <v>43710</v>
      </c>
      <c r="AB5054" s="237"/>
      <c r="AC5054" s="244"/>
      <c r="AD5054" s="244"/>
      <c r="AE5054" s="244"/>
      <c r="AF5054" s="244"/>
      <c r="AG5054" s="296"/>
      <c r="AH5054" s="296">
        <v>31.324999999999999</v>
      </c>
      <c r="AI5054" s="297"/>
      <c r="AJ5054" s="298">
        <v>43677</v>
      </c>
      <c r="AK5054" s="297"/>
      <c r="AL5054" s="297"/>
      <c r="AM5054" s="296" t="s">
        <v>49</v>
      </c>
      <c r="AN5054" s="296" t="s">
        <v>284</v>
      </c>
      <c r="AO5054" s="296" t="s">
        <v>50</v>
      </c>
      <c r="AP5054" s="296" t="s">
        <v>51</v>
      </c>
      <c r="AQ5054" s="234" t="s">
        <v>506</v>
      </c>
    </row>
    <row r="5055" spans="1:43" ht="15" customHeight="1">
      <c r="A5055" s="69">
        <v>43628</v>
      </c>
      <c r="B5055" s="70" t="s">
        <v>1189</v>
      </c>
      <c r="C5055" s="21" t="s">
        <v>1190</v>
      </c>
      <c r="D5055" s="21" t="s">
        <v>1197</v>
      </c>
      <c r="E5055" s="23" t="s">
        <v>961</v>
      </c>
      <c r="F5055" s="24">
        <v>1</v>
      </c>
      <c r="G5055" s="48">
        <v>88</v>
      </c>
      <c r="H5055" s="60">
        <v>88</v>
      </c>
      <c r="I5055" s="61" t="s">
        <v>42</v>
      </c>
      <c r="J5055" s="50" t="s">
        <v>1193</v>
      </c>
      <c r="K5055" s="29">
        <v>43643</v>
      </c>
      <c r="W5055" s="460">
        <v>43677</v>
      </c>
      <c r="X5055" s="460">
        <v>43636</v>
      </c>
      <c r="Y5055" s="304" t="s">
        <v>1198</v>
      </c>
      <c r="Z5055" s="304">
        <v>2511</v>
      </c>
      <c r="AA5055" s="460">
        <v>43677</v>
      </c>
      <c r="AB5055" s="237"/>
      <c r="AC5055" s="244"/>
      <c r="AD5055" s="244"/>
      <c r="AE5055" s="244"/>
      <c r="AF5055" s="244"/>
      <c r="AG5055" s="296"/>
      <c r="AH5055" s="296"/>
      <c r="AI5055" s="297"/>
      <c r="AJ5055" s="298">
        <v>43636</v>
      </c>
      <c r="AK5055" s="297">
        <f>291.55*31</f>
        <v>9038.0500000000011</v>
      </c>
      <c r="AL5055" s="297">
        <f>(328-291.55)*31</f>
        <v>1129.9499999999996</v>
      </c>
      <c r="AM5055" s="296" t="s">
        <v>49</v>
      </c>
      <c r="AN5055" s="82" t="s">
        <v>284</v>
      </c>
      <c r="AO5055" s="296" t="s">
        <v>50</v>
      </c>
      <c r="AP5055" s="296" t="s">
        <v>51</v>
      </c>
      <c r="AQ5055" s="457" t="s">
        <v>742</v>
      </c>
    </row>
    <row r="5056" spans="1:43" ht="15" customHeight="1">
      <c r="A5056" s="69">
        <v>43629</v>
      </c>
      <c r="B5056" s="70" t="s">
        <v>222</v>
      </c>
      <c r="C5056" s="21" t="s">
        <v>1199</v>
      </c>
      <c r="D5056" s="21" t="s">
        <v>1200</v>
      </c>
      <c r="E5056" s="32" t="s">
        <v>1201</v>
      </c>
      <c r="F5056" s="24">
        <v>3</v>
      </c>
      <c r="G5056" s="48">
        <v>135.44999999999999</v>
      </c>
      <c r="H5056" s="60">
        <v>426.66749999999996</v>
      </c>
      <c r="I5056" s="61" t="s">
        <v>247</v>
      </c>
      <c r="J5056" s="63" t="s">
        <v>89</v>
      </c>
      <c r="K5056" s="29">
        <v>43634</v>
      </c>
      <c r="W5056" s="460">
        <v>43677</v>
      </c>
      <c r="X5056" s="460">
        <v>43633</v>
      </c>
      <c r="Y5056" s="304" t="s">
        <v>1202</v>
      </c>
      <c r="Z5056" s="304">
        <v>11940</v>
      </c>
      <c r="AA5056" s="460">
        <v>43677</v>
      </c>
      <c r="AB5056" s="237"/>
      <c r="AC5056" s="244"/>
      <c r="AD5056" s="244"/>
      <c r="AE5056" s="244"/>
      <c r="AF5056" s="244"/>
      <c r="AG5056" s="296"/>
      <c r="AH5056" s="296"/>
      <c r="AI5056" s="297"/>
      <c r="AJ5056" s="298">
        <v>43682</v>
      </c>
      <c r="AK5056" s="297"/>
      <c r="AL5056" s="297"/>
      <c r="AM5056" s="296" t="s">
        <v>49</v>
      </c>
      <c r="AN5056" s="296" t="s">
        <v>284</v>
      </c>
      <c r="AO5056" s="296" t="s">
        <v>50</v>
      </c>
      <c r="AP5056" s="296" t="s">
        <v>376</v>
      </c>
      <c r="AQ5056" s="234" t="s">
        <v>506</v>
      </c>
    </row>
    <row r="5057" spans="1:43" ht="15" customHeight="1">
      <c r="A5057" s="69">
        <v>43633</v>
      </c>
      <c r="B5057" s="70" t="s">
        <v>76</v>
      </c>
      <c r="C5057" s="21">
        <v>450</v>
      </c>
      <c r="D5057" s="21" t="s">
        <v>1203</v>
      </c>
      <c r="E5057" s="32" t="s">
        <v>1204</v>
      </c>
      <c r="F5057" s="24">
        <v>50</v>
      </c>
      <c r="G5057" s="48">
        <v>2.5</v>
      </c>
      <c r="H5057" s="60">
        <v>125</v>
      </c>
      <c r="I5057" s="61" t="s">
        <v>42</v>
      </c>
      <c r="J5057" s="58" t="s">
        <v>315</v>
      </c>
      <c r="K5057" s="29">
        <v>43643</v>
      </c>
      <c r="W5057" s="460">
        <v>43651</v>
      </c>
      <c r="X5057" s="460">
        <v>43635</v>
      </c>
      <c r="Y5057" s="304" t="s">
        <v>1205</v>
      </c>
      <c r="Z5057" s="304">
        <v>1890</v>
      </c>
      <c r="AA5057" s="460">
        <v>43654</v>
      </c>
      <c r="AB5057" s="237"/>
      <c r="AC5057" s="244"/>
      <c r="AD5057" s="244"/>
      <c r="AE5057" s="244"/>
      <c r="AF5057" s="244"/>
      <c r="AG5057" s="296"/>
      <c r="AH5057" s="296"/>
      <c r="AI5057" s="297"/>
      <c r="AJ5057" s="298">
        <v>43679</v>
      </c>
      <c r="AK5057" s="297"/>
      <c r="AL5057" s="297"/>
      <c r="AM5057" s="296" t="s">
        <v>49</v>
      </c>
      <c r="AN5057" s="296" t="s">
        <v>284</v>
      </c>
      <c r="AO5057" s="296" t="s">
        <v>50</v>
      </c>
      <c r="AP5057" s="296" t="s">
        <v>51</v>
      </c>
      <c r="AQ5057" s="234" t="s">
        <v>506</v>
      </c>
    </row>
    <row r="5058" spans="1:43" ht="15" customHeight="1">
      <c r="A5058" s="69">
        <v>43635</v>
      </c>
      <c r="B5058" s="70" t="s">
        <v>1016</v>
      </c>
      <c r="C5058" s="21" t="s">
        <v>1206</v>
      </c>
      <c r="D5058" s="21" t="s">
        <v>1207</v>
      </c>
      <c r="E5058" s="21" t="s">
        <v>1208</v>
      </c>
      <c r="F5058" s="24">
        <v>6</v>
      </c>
      <c r="G5058" s="48">
        <v>134</v>
      </c>
      <c r="H5058" s="60">
        <v>804</v>
      </c>
      <c r="I5058" s="61" t="s">
        <v>104</v>
      </c>
      <c r="J5058" s="63" t="s">
        <v>1023</v>
      </c>
      <c r="K5058" s="29">
        <v>43644</v>
      </c>
      <c r="W5058" s="460">
        <v>43677</v>
      </c>
      <c r="X5058" s="460">
        <v>43640</v>
      </c>
      <c r="Y5058" s="304" t="s">
        <v>1209</v>
      </c>
      <c r="Z5058" s="304">
        <v>23788</v>
      </c>
      <c r="AA5058" s="460">
        <v>43677</v>
      </c>
      <c r="AB5058" s="237"/>
      <c r="AC5058" s="244"/>
      <c r="AD5058" s="244"/>
      <c r="AE5058" s="244"/>
      <c r="AF5058" s="244"/>
      <c r="AG5058" s="296"/>
      <c r="AH5058" s="296"/>
      <c r="AI5058" s="297"/>
      <c r="AJ5058" s="298">
        <v>43643</v>
      </c>
      <c r="AK5058" s="297"/>
      <c r="AL5058" s="297"/>
      <c r="AM5058" s="296" t="s">
        <v>49</v>
      </c>
      <c r="AN5058" s="82" t="s">
        <v>284</v>
      </c>
      <c r="AO5058" s="296" t="s">
        <v>50</v>
      </c>
      <c r="AP5058" s="296" t="s">
        <v>51</v>
      </c>
      <c r="AQ5058" s="457" t="s">
        <v>742</v>
      </c>
    </row>
    <row r="5059" spans="1:43" ht="15" customHeight="1">
      <c r="A5059" s="69">
        <v>43636</v>
      </c>
      <c r="B5059" s="144" t="s">
        <v>377</v>
      </c>
      <c r="C5059" s="21">
        <v>8998</v>
      </c>
      <c r="D5059" s="21" t="s">
        <v>1210</v>
      </c>
      <c r="E5059" s="32" t="s">
        <v>379</v>
      </c>
      <c r="F5059" s="433">
        <v>90</v>
      </c>
      <c r="G5059" s="434">
        <v>62</v>
      </c>
      <c r="H5059" s="60">
        <v>5580</v>
      </c>
      <c r="I5059" s="61" t="s">
        <v>1106</v>
      </c>
      <c r="J5059" s="161" t="s">
        <v>1107</v>
      </c>
      <c r="K5059" s="474">
        <v>43676</v>
      </c>
      <c r="W5059" s="460">
        <v>43682</v>
      </c>
      <c r="X5059" s="460">
        <v>43668</v>
      </c>
      <c r="Y5059" s="304" t="s">
        <v>1211</v>
      </c>
      <c r="Z5059" s="304">
        <v>128331</v>
      </c>
      <c r="AA5059" s="460">
        <v>43682</v>
      </c>
      <c r="AB5059" s="237"/>
      <c r="AC5059" s="244"/>
      <c r="AD5059" s="244"/>
      <c r="AE5059" s="244"/>
      <c r="AF5059" s="244"/>
      <c r="AG5059" s="296"/>
      <c r="AH5059" s="296"/>
      <c r="AI5059" s="297"/>
      <c r="AJ5059" s="298">
        <v>43711</v>
      </c>
      <c r="AK5059" s="297">
        <f>5563.6*31.24</f>
        <v>173806.864</v>
      </c>
      <c r="AL5059" s="297">
        <f>(5580-5563.6)*31.24</f>
        <v>512.33599999998864</v>
      </c>
      <c r="AM5059" s="296" t="s">
        <v>49</v>
      </c>
      <c r="AN5059" s="296" t="s">
        <v>284</v>
      </c>
      <c r="AO5059" s="296" t="s">
        <v>285</v>
      </c>
      <c r="AP5059" s="296" t="s">
        <v>51</v>
      </c>
      <c r="AQ5059" s="234" t="s">
        <v>506</v>
      </c>
    </row>
    <row r="5060" spans="1:43" ht="15" customHeight="1">
      <c r="A5060" s="69">
        <v>43636</v>
      </c>
      <c r="B5060" s="144" t="s">
        <v>377</v>
      </c>
      <c r="C5060" s="21">
        <v>8998</v>
      </c>
      <c r="D5060" s="21" t="s">
        <v>1210</v>
      </c>
      <c r="E5060" s="32" t="s">
        <v>382</v>
      </c>
      <c r="F5060" s="433">
        <v>90</v>
      </c>
      <c r="G5060" s="48">
        <v>0</v>
      </c>
      <c r="H5060" s="60">
        <v>0</v>
      </c>
      <c r="I5060" s="61" t="s">
        <v>1106</v>
      </c>
      <c r="J5060" s="161" t="s">
        <v>1107</v>
      </c>
      <c r="K5060" s="474">
        <v>43676</v>
      </c>
      <c r="W5060" s="304"/>
      <c r="X5060" s="304"/>
      <c r="Y5060" s="304"/>
      <c r="Z5060" s="304"/>
      <c r="AA5060" s="304"/>
      <c r="AB5060" s="237"/>
      <c r="AC5060" s="244"/>
      <c r="AD5060" s="244"/>
      <c r="AE5060" s="244"/>
      <c r="AF5060" s="244"/>
      <c r="AG5060" s="296"/>
      <c r="AH5060" s="296"/>
      <c r="AI5060" s="297"/>
      <c r="AJ5060" s="296"/>
      <c r="AK5060" s="297"/>
      <c r="AL5060" s="297"/>
      <c r="AM5060" s="296" t="s">
        <v>1212</v>
      </c>
      <c r="AN5060" s="296" t="s">
        <v>284</v>
      </c>
      <c r="AO5060" s="296" t="s">
        <v>285</v>
      </c>
      <c r="AP5060" s="296" t="s">
        <v>51</v>
      </c>
      <c r="AQ5060" s="234" t="s">
        <v>506</v>
      </c>
    </row>
    <row r="5061" spans="1:43" ht="15" customHeight="1">
      <c r="A5061" s="69">
        <v>43636</v>
      </c>
      <c r="B5061" s="144" t="s">
        <v>377</v>
      </c>
      <c r="C5061" s="21">
        <v>8998</v>
      </c>
      <c r="D5061" s="21" t="s">
        <v>1213</v>
      </c>
      <c r="E5061" s="23" t="s">
        <v>379</v>
      </c>
      <c r="F5061" s="24">
        <v>200</v>
      </c>
      <c r="G5061" s="434">
        <v>62</v>
      </c>
      <c r="H5061" s="60">
        <v>12400</v>
      </c>
      <c r="I5061" s="61" t="s">
        <v>143</v>
      </c>
      <c r="J5061" s="58" t="s">
        <v>1107</v>
      </c>
      <c r="K5061" s="30">
        <v>43781</v>
      </c>
      <c r="W5061" s="460">
        <v>43804</v>
      </c>
      <c r="X5061" s="460">
        <v>43770</v>
      </c>
      <c r="Y5061" s="304" t="s">
        <v>1214</v>
      </c>
      <c r="Z5061" s="304"/>
      <c r="AA5061" s="304"/>
      <c r="AB5061" s="237"/>
      <c r="AC5061" s="244"/>
      <c r="AD5061" s="244"/>
      <c r="AE5061" s="244"/>
      <c r="AF5061" s="244"/>
      <c r="AG5061" s="296"/>
      <c r="AH5061" s="296"/>
      <c r="AI5061" s="297"/>
      <c r="AJ5061" s="298">
        <v>43775</v>
      </c>
      <c r="AK5061" s="297"/>
      <c r="AL5061" s="297"/>
      <c r="AM5061" s="296" t="s">
        <v>49</v>
      </c>
      <c r="AN5061" s="296" t="s">
        <v>284</v>
      </c>
      <c r="AO5061" s="296" t="s">
        <v>285</v>
      </c>
      <c r="AP5061" s="296" t="s">
        <v>51</v>
      </c>
      <c r="AQ5061" s="457" t="s">
        <v>755</v>
      </c>
    </row>
    <row r="5062" spans="1:43" ht="15" customHeight="1">
      <c r="A5062" s="69">
        <v>43636</v>
      </c>
      <c r="B5062" s="144" t="s">
        <v>377</v>
      </c>
      <c r="C5062" s="21">
        <v>8998</v>
      </c>
      <c r="D5062" s="21" t="s">
        <v>1215</v>
      </c>
      <c r="E5062" s="23" t="s">
        <v>382</v>
      </c>
      <c r="F5062" s="24">
        <v>200</v>
      </c>
      <c r="G5062" s="48">
        <v>0</v>
      </c>
      <c r="H5062" s="60">
        <v>0</v>
      </c>
      <c r="I5062" s="61" t="s">
        <v>143</v>
      </c>
      <c r="J5062" s="58" t="s">
        <v>1107</v>
      </c>
      <c r="K5062" s="30">
        <v>43781</v>
      </c>
      <c r="W5062" s="304"/>
      <c r="X5062" s="304"/>
      <c r="Y5062" s="304"/>
      <c r="Z5062" s="304"/>
      <c r="AA5062" s="304"/>
      <c r="AB5062" s="237"/>
      <c r="AC5062" s="244"/>
      <c r="AD5062" s="244"/>
      <c r="AE5062" s="244"/>
      <c r="AF5062" s="244"/>
      <c r="AG5062" s="296"/>
      <c r="AH5062" s="296"/>
      <c r="AI5062" s="297"/>
      <c r="AJ5062" s="296"/>
      <c r="AK5062" s="297"/>
      <c r="AL5062" s="297"/>
      <c r="AM5062" s="296" t="s">
        <v>1212</v>
      </c>
      <c r="AN5062" s="296" t="s">
        <v>284</v>
      </c>
      <c r="AO5062" s="296" t="s">
        <v>285</v>
      </c>
      <c r="AP5062" s="296" t="s">
        <v>51</v>
      </c>
      <c r="AQ5062" s="457" t="s">
        <v>755</v>
      </c>
    </row>
    <row r="5063" spans="1:43" ht="15" customHeight="1">
      <c r="A5063" s="69">
        <v>43636</v>
      </c>
      <c r="B5063" s="144" t="s">
        <v>377</v>
      </c>
      <c r="C5063" s="21">
        <v>8998</v>
      </c>
      <c r="D5063" s="21" t="s">
        <v>1216</v>
      </c>
      <c r="E5063" s="23" t="s">
        <v>382</v>
      </c>
      <c r="F5063" s="24">
        <v>120</v>
      </c>
      <c r="G5063" s="48">
        <v>0</v>
      </c>
      <c r="H5063" s="60">
        <v>0</v>
      </c>
      <c r="I5063" s="61" t="s">
        <v>143</v>
      </c>
      <c r="J5063" s="58" t="s">
        <v>1107</v>
      </c>
      <c r="K5063" s="30">
        <v>43781</v>
      </c>
      <c r="W5063" s="304"/>
      <c r="X5063" s="304"/>
      <c r="Y5063" s="304"/>
      <c r="Z5063" s="304"/>
      <c r="AA5063" s="304"/>
      <c r="AB5063" s="237"/>
      <c r="AC5063" s="244"/>
      <c r="AD5063" s="244"/>
      <c r="AE5063" s="244"/>
      <c r="AF5063" s="244"/>
      <c r="AG5063" s="296"/>
      <c r="AH5063" s="296"/>
      <c r="AI5063" s="297"/>
      <c r="AJ5063" s="296"/>
      <c r="AK5063" s="297"/>
      <c r="AL5063" s="297"/>
      <c r="AM5063" s="296" t="s">
        <v>1212</v>
      </c>
      <c r="AN5063" s="296" t="s">
        <v>284</v>
      </c>
      <c r="AO5063" s="296" t="s">
        <v>285</v>
      </c>
      <c r="AP5063" s="296" t="s">
        <v>51</v>
      </c>
      <c r="AQ5063" s="457" t="s">
        <v>755</v>
      </c>
    </row>
    <row r="5064" spans="1:43" ht="15" customHeight="1">
      <c r="A5064" s="69">
        <v>43636</v>
      </c>
      <c r="B5064" s="144" t="s">
        <v>377</v>
      </c>
      <c r="C5064" s="21">
        <v>8998</v>
      </c>
      <c r="D5064" s="21" t="s">
        <v>1217</v>
      </c>
      <c r="E5064" s="23" t="s">
        <v>379</v>
      </c>
      <c r="F5064" s="24">
        <v>120</v>
      </c>
      <c r="G5064" s="434">
        <v>62</v>
      </c>
      <c r="H5064" s="60">
        <v>7440</v>
      </c>
      <c r="I5064" s="61" t="s">
        <v>143</v>
      </c>
      <c r="J5064" s="58" t="s">
        <v>1107</v>
      </c>
      <c r="K5064" s="30">
        <v>43781</v>
      </c>
      <c r="W5064" s="460">
        <v>43804</v>
      </c>
      <c r="X5064" s="460">
        <v>43770</v>
      </c>
      <c r="Y5064" s="304" t="s">
        <v>1214</v>
      </c>
      <c r="Z5064" s="304">
        <v>456288</v>
      </c>
      <c r="AA5064" s="304"/>
      <c r="AB5064" s="237"/>
      <c r="AC5064" s="244"/>
      <c r="AD5064" s="244"/>
      <c r="AE5064" s="244"/>
      <c r="AF5064" s="244"/>
      <c r="AG5064" s="296"/>
      <c r="AH5064" s="296"/>
      <c r="AI5064" s="297"/>
      <c r="AJ5064" s="298">
        <v>43775</v>
      </c>
      <c r="AK5064" s="297">
        <f>19820.08*30.35</f>
        <v>601539.42800000007</v>
      </c>
      <c r="AL5064" s="297">
        <f>(19840-19820.08)*30.35</f>
        <v>604.57199999994702</v>
      </c>
      <c r="AM5064" s="296" t="s">
        <v>49</v>
      </c>
      <c r="AN5064" s="296" t="s">
        <v>284</v>
      </c>
      <c r="AO5064" s="296" t="s">
        <v>285</v>
      </c>
      <c r="AP5064" s="296" t="s">
        <v>51</v>
      </c>
      <c r="AQ5064" s="457" t="s">
        <v>755</v>
      </c>
    </row>
    <row r="5065" spans="1:43" ht="15" customHeight="1">
      <c r="A5065" s="69">
        <v>43641</v>
      </c>
      <c r="B5065" s="70" t="s">
        <v>76</v>
      </c>
      <c r="C5065" s="21">
        <v>471</v>
      </c>
      <c r="D5065" s="21" t="s">
        <v>1218</v>
      </c>
      <c r="E5065" s="151" t="s">
        <v>314</v>
      </c>
      <c r="F5065" s="24">
        <v>20</v>
      </c>
      <c r="G5065" s="48">
        <v>285</v>
      </c>
      <c r="H5065" s="26">
        <v>5700</v>
      </c>
      <c r="I5065" s="27" t="s">
        <v>42</v>
      </c>
      <c r="J5065" s="431" t="s">
        <v>922</v>
      </c>
      <c r="K5065" s="29">
        <v>43707</v>
      </c>
      <c r="W5065" s="459">
        <v>43769</v>
      </c>
      <c r="X5065" s="459">
        <v>43705</v>
      </c>
      <c r="Y5065" s="350" t="s">
        <v>1219</v>
      </c>
      <c r="Z5065" s="471">
        <v>346185</v>
      </c>
      <c r="AA5065" s="459"/>
      <c r="AB5065" s="237"/>
      <c r="AC5065" s="244"/>
      <c r="AD5065" s="244"/>
      <c r="AE5065" s="244"/>
      <c r="AF5065" s="244"/>
      <c r="AG5065" s="82"/>
      <c r="AH5065" s="82"/>
      <c r="AI5065" s="430"/>
      <c r="AJ5065" s="145">
        <v>43739</v>
      </c>
      <c r="AK5065" s="430">
        <f>12075*30.98</f>
        <v>374083.5</v>
      </c>
      <c r="AL5065" s="430">
        <v>0</v>
      </c>
      <c r="AM5065" s="82" t="s">
        <v>49</v>
      </c>
      <c r="AN5065" s="296" t="s">
        <v>284</v>
      </c>
      <c r="AO5065" s="296" t="s">
        <v>50</v>
      </c>
      <c r="AP5065" s="296" t="s">
        <v>51</v>
      </c>
      <c r="AQ5065" s="234" t="s">
        <v>506</v>
      </c>
    </row>
    <row r="5066" spans="1:43" ht="15" customHeight="1">
      <c r="A5066" s="69">
        <v>43641</v>
      </c>
      <c r="B5066" s="70" t="s">
        <v>76</v>
      </c>
      <c r="C5066" s="21">
        <v>471</v>
      </c>
      <c r="D5066" s="21" t="s">
        <v>1218</v>
      </c>
      <c r="E5066" s="151" t="s">
        <v>317</v>
      </c>
      <c r="F5066" s="433">
        <v>25</v>
      </c>
      <c r="G5066" s="48">
        <v>255</v>
      </c>
      <c r="H5066" s="26">
        <v>6375</v>
      </c>
      <c r="I5066" s="27" t="s">
        <v>42</v>
      </c>
      <c r="J5066" s="431" t="s">
        <v>922</v>
      </c>
      <c r="K5066" s="29">
        <v>43707</v>
      </c>
      <c r="W5066" s="459">
        <v>43769</v>
      </c>
      <c r="X5066" s="459">
        <v>43705</v>
      </c>
      <c r="Y5066" s="350" t="s">
        <v>1219</v>
      </c>
      <c r="Z5066" s="350"/>
      <c r="AA5066" s="459"/>
      <c r="AB5066" s="237"/>
      <c r="AC5066" s="244"/>
      <c r="AD5066" s="244"/>
      <c r="AE5066" s="244"/>
      <c r="AF5066" s="244"/>
      <c r="AG5066" s="82"/>
      <c r="AH5066" s="82"/>
      <c r="AI5066" s="430"/>
      <c r="AJ5066" s="145">
        <v>43739</v>
      </c>
      <c r="AK5066" s="430"/>
      <c r="AL5066" s="430">
        <v>0</v>
      </c>
      <c r="AM5066" s="82" t="s">
        <v>49</v>
      </c>
      <c r="AN5066" s="296" t="s">
        <v>284</v>
      </c>
      <c r="AO5066" s="296" t="s">
        <v>50</v>
      </c>
      <c r="AP5066" s="296" t="s">
        <v>51</v>
      </c>
      <c r="AQ5066" s="234" t="s">
        <v>506</v>
      </c>
    </row>
    <row r="5067" spans="1:43" ht="15" customHeight="1">
      <c r="A5067" s="110">
        <v>43641</v>
      </c>
      <c r="B5067" s="147" t="s">
        <v>166</v>
      </c>
      <c r="C5067" s="502" t="s">
        <v>1220</v>
      </c>
      <c r="D5067" s="21" t="s">
        <v>1221</v>
      </c>
      <c r="E5067" s="23" t="s">
        <v>176</v>
      </c>
      <c r="F5067" s="58">
        <v>4</v>
      </c>
      <c r="G5067" s="47">
        <v>105</v>
      </c>
      <c r="H5067" s="26">
        <v>420</v>
      </c>
      <c r="I5067" s="82" t="s">
        <v>104</v>
      </c>
      <c r="J5067" s="58" t="s">
        <v>171</v>
      </c>
      <c r="K5067" s="39">
        <v>43682</v>
      </c>
      <c r="W5067" s="460">
        <v>43682</v>
      </c>
      <c r="X5067" s="460">
        <v>43649</v>
      </c>
      <c r="Y5067" s="304" t="s">
        <v>1183</v>
      </c>
      <c r="Z5067" s="304"/>
      <c r="AA5067" s="460">
        <v>43682</v>
      </c>
      <c r="AB5067" s="237"/>
      <c r="AC5067" s="244"/>
      <c r="AD5067" s="244"/>
      <c r="AE5067" s="244"/>
      <c r="AF5067" s="244"/>
      <c r="AG5067" s="296"/>
      <c r="AH5067" s="296"/>
      <c r="AI5067" s="297"/>
      <c r="AJ5067" s="298">
        <v>43644</v>
      </c>
      <c r="AK5067" s="297"/>
      <c r="AL5067" s="297"/>
      <c r="AM5067" s="296" t="s">
        <v>49</v>
      </c>
      <c r="AN5067" s="296" t="s">
        <v>284</v>
      </c>
      <c r="AO5067" s="296" t="s">
        <v>285</v>
      </c>
      <c r="AP5067" s="296" t="s">
        <v>51</v>
      </c>
      <c r="AQ5067" s="234" t="s">
        <v>506</v>
      </c>
    </row>
    <row r="5068" spans="1:43" ht="15" customHeight="1">
      <c r="A5068" s="69">
        <v>43641</v>
      </c>
      <c r="B5068" s="144" t="s">
        <v>166</v>
      </c>
      <c r="C5068" s="502" t="s">
        <v>1220</v>
      </c>
      <c r="D5068" s="21" t="s">
        <v>1221</v>
      </c>
      <c r="E5068" s="23" t="s">
        <v>1222</v>
      </c>
      <c r="F5068" s="58">
        <v>4</v>
      </c>
      <c r="G5068" s="47">
        <v>1429</v>
      </c>
      <c r="H5068" s="26">
        <v>5716</v>
      </c>
      <c r="I5068" s="429" t="s">
        <v>104</v>
      </c>
      <c r="J5068" s="58" t="s">
        <v>171</v>
      </c>
      <c r="K5068" s="39">
        <v>43682</v>
      </c>
      <c r="W5068" s="304"/>
      <c r="X5068" s="304"/>
      <c r="Y5068" s="304"/>
      <c r="Z5068" s="304"/>
      <c r="AA5068" s="304"/>
      <c r="AB5068" s="237"/>
      <c r="AC5068" s="244"/>
      <c r="AD5068" s="244"/>
      <c r="AE5068" s="244"/>
      <c r="AF5068" s="244"/>
      <c r="AG5068" s="296"/>
      <c r="AH5068" s="296"/>
      <c r="AI5068" s="297"/>
      <c r="AJ5068" s="298">
        <v>43644</v>
      </c>
      <c r="AK5068" s="297"/>
      <c r="AL5068" s="297"/>
      <c r="AM5068" s="296" t="s">
        <v>49</v>
      </c>
      <c r="AN5068" s="296" t="s">
        <v>284</v>
      </c>
      <c r="AO5068" s="296" t="s">
        <v>285</v>
      </c>
      <c r="AP5068" s="296" t="s">
        <v>51</v>
      </c>
      <c r="AQ5068" s="234" t="s">
        <v>506</v>
      </c>
    </row>
    <row r="5069" spans="1:43" ht="15" customHeight="1">
      <c r="A5069" s="69">
        <v>43641</v>
      </c>
      <c r="B5069" s="144" t="s">
        <v>166</v>
      </c>
      <c r="C5069" s="502" t="s">
        <v>1220</v>
      </c>
      <c r="D5069" s="21" t="s">
        <v>1223</v>
      </c>
      <c r="E5069" s="23" t="s">
        <v>176</v>
      </c>
      <c r="F5069" s="58">
        <v>1</v>
      </c>
      <c r="G5069" s="47">
        <v>105</v>
      </c>
      <c r="H5069" s="26">
        <v>105</v>
      </c>
      <c r="I5069" s="429" t="s">
        <v>104</v>
      </c>
      <c r="J5069" s="58" t="s">
        <v>171</v>
      </c>
      <c r="K5069" s="145">
        <v>43703</v>
      </c>
      <c r="W5069" s="460">
        <v>43682</v>
      </c>
      <c r="X5069" s="460">
        <v>43649</v>
      </c>
      <c r="Y5069" s="304" t="s">
        <v>1183</v>
      </c>
      <c r="Z5069" s="304"/>
      <c r="AA5069" s="460">
        <v>43682</v>
      </c>
      <c r="AB5069" s="237"/>
      <c r="AC5069" s="244"/>
      <c r="AD5069" s="244"/>
      <c r="AE5069" s="244"/>
      <c r="AF5069" s="244"/>
      <c r="AG5069" s="296"/>
      <c r="AH5069" s="296"/>
      <c r="AI5069" s="297"/>
      <c r="AJ5069" s="298"/>
      <c r="AK5069" s="297"/>
      <c r="AL5069" s="297"/>
      <c r="AM5069" s="296" t="s">
        <v>49</v>
      </c>
      <c r="AN5069" s="296" t="s">
        <v>284</v>
      </c>
      <c r="AO5069" s="296" t="s">
        <v>285</v>
      </c>
      <c r="AP5069" s="296" t="s">
        <v>51</v>
      </c>
      <c r="AQ5069" s="234" t="s">
        <v>506</v>
      </c>
    </row>
    <row r="5070" spans="1:43" ht="15" customHeight="1">
      <c r="A5070" s="69">
        <v>43641</v>
      </c>
      <c r="B5070" s="144" t="s">
        <v>166</v>
      </c>
      <c r="C5070" s="502" t="s">
        <v>1220</v>
      </c>
      <c r="D5070" s="21" t="s">
        <v>1223</v>
      </c>
      <c r="E5070" s="23" t="s">
        <v>1224</v>
      </c>
      <c r="F5070" s="58">
        <v>1</v>
      </c>
      <c r="G5070" s="47">
        <v>1429</v>
      </c>
      <c r="H5070" s="26">
        <v>1429</v>
      </c>
      <c r="I5070" s="429" t="s">
        <v>104</v>
      </c>
      <c r="J5070" s="58" t="s">
        <v>171</v>
      </c>
      <c r="K5070" s="30">
        <v>43703</v>
      </c>
      <c r="W5070" s="460"/>
      <c r="X5070" s="460"/>
      <c r="Y5070" s="304"/>
      <c r="Z5070" s="304"/>
      <c r="AA5070" s="304"/>
      <c r="AB5070" s="237"/>
      <c r="AC5070" s="244"/>
      <c r="AD5070" s="244"/>
      <c r="AE5070" s="244"/>
      <c r="AF5070" s="244"/>
      <c r="AG5070" s="296"/>
      <c r="AH5070" s="296"/>
      <c r="AI5070" s="297"/>
      <c r="AJ5070" s="298"/>
      <c r="AK5070" s="297"/>
      <c r="AL5070" s="297"/>
      <c r="AM5070" s="296" t="s">
        <v>49</v>
      </c>
      <c r="AN5070" s="296" t="s">
        <v>284</v>
      </c>
      <c r="AO5070" s="296" t="s">
        <v>285</v>
      </c>
      <c r="AP5070" s="296" t="s">
        <v>51</v>
      </c>
      <c r="AQ5070" s="234" t="s">
        <v>506</v>
      </c>
    </row>
    <row r="5071" spans="1:43" ht="15" customHeight="1">
      <c r="A5071" s="69">
        <v>43641</v>
      </c>
      <c r="B5071" s="70" t="s">
        <v>1016</v>
      </c>
      <c r="C5071" s="21">
        <v>19000247</v>
      </c>
      <c r="D5071" s="21" t="s">
        <v>1225</v>
      </c>
      <c r="E5071" s="23" t="s">
        <v>1226</v>
      </c>
      <c r="F5071" s="24">
        <v>1</v>
      </c>
      <c r="G5071" s="48">
        <v>46.37</v>
      </c>
      <c r="H5071" s="26">
        <v>46.37</v>
      </c>
      <c r="I5071" s="61" t="s">
        <v>104</v>
      </c>
      <c r="J5071" s="50" t="s">
        <v>1023</v>
      </c>
      <c r="K5071" s="29">
        <v>43644</v>
      </c>
      <c r="W5071" s="460">
        <v>43708</v>
      </c>
      <c r="X5071" s="460">
        <v>43642</v>
      </c>
      <c r="Y5071" s="304" t="s">
        <v>1227</v>
      </c>
      <c r="Z5071" s="304">
        <v>1421</v>
      </c>
      <c r="AA5071" s="460">
        <v>43706</v>
      </c>
      <c r="AB5071" s="237"/>
      <c r="AC5071" s="244"/>
      <c r="AD5071" s="244"/>
      <c r="AE5071" s="244"/>
      <c r="AF5071" s="244"/>
      <c r="AG5071" s="296"/>
      <c r="AH5071" s="296"/>
      <c r="AI5071" s="297"/>
      <c r="AJ5071" s="298">
        <v>43643</v>
      </c>
      <c r="AK5071" s="297"/>
      <c r="AL5071" s="297"/>
      <c r="AM5071" s="296" t="s">
        <v>49</v>
      </c>
      <c r="AN5071" s="82" t="s">
        <v>284</v>
      </c>
      <c r="AO5071" s="296" t="s">
        <v>50</v>
      </c>
      <c r="AP5071" s="296" t="s">
        <v>51</v>
      </c>
      <c r="AQ5071" s="457" t="s">
        <v>742</v>
      </c>
    </row>
    <row r="5072" spans="1:43" ht="15" customHeight="1">
      <c r="A5072" s="19">
        <v>43642</v>
      </c>
      <c r="B5072" s="51" t="s">
        <v>76</v>
      </c>
      <c r="C5072" s="21">
        <v>487</v>
      </c>
      <c r="D5072" s="22" t="s">
        <v>1228</v>
      </c>
      <c r="E5072" s="22" t="s">
        <v>1229</v>
      </c>
      <c r="F5072" s="433">
        <v>15</v>
      </c>
      <c r="G5072" s="47">
        <v>2.2999999999999998</v>
      </c>
      <c r="H5072" s="26">
        <v>34.5</v>
      </c>
      <c r="I5072" s="61" t="s">
        <v>42</v>
      </c>
      <c r="J5072" s="505" t="s">
        <v>922</v>
      </c>
      <c r="K5072" s="29">
        <v>43700</v>
      </c>
      <c r="W5072" s="460">
        <v>43682</v>
      </c>
      <c r="X5072" s="460">
        <v>43665</v>
      </c>
      <c r="Y5072" s="304" t="s">
        <v>1230</v>
      </c>
      <c r="Z5072" s="304">
        <v>866</v>
      </c>
      <c r="AA5072" s="460">
        <v>43682</v>
      </c>
      <c r="AB5072" s="237"/>
      <c r="AC5072" s="244"/>
      <c r="AD5072" s="244"/>
      <c r="AE5072" s="244"/>
      <c r="AF5072" s="244"/>
      <c r="AG5072" s="296"/>
      <c r="AH5072" s="296"/>
      <c r="AI5072" s="297"/>
      <c r="AJ5072" s="298">
        <v>43731</v>
      </c>
      <c r="AK5072" s="297">
        <f>14587*30.96</f>
        <v>451613.52</v>
      </c>
      <c r="AL5072" s="297">
        <v>0</v>
      </c>
      <c r="AM5072" s="296" t="s">
        <v>49</v>
      </c>
      <c r="AN5072" s="296" t="s">
        <v>284</v>
      </c>
      <c r="AO5072" s="296" t="s">
        <v>50</v>
      </c>
      <c r="AP5072" s="296" t="s">
        <v>51</v>
      </c>
      <c r="AQ5072" s="234" t="s">
        <v>506</v>
      </c>
    </row>
    <row r="5073" spans="1:43" ht="15" customHeight="1">
      <c r="A5073" s="19">
        <v>43642</v>
      </c>
      <c r="B5073" s="51" t="s">
        <v>76</v>
      </c>
      <c r="C5073" s="21">
        <v>487</v>
      </c>
      <c r="D5073" s="22" t="s">
        <v>1228</v>
      </c>
      <c r="E5073" s="246" t="s">
        <v>361</v>
      </c>
      <c r="F5073" s="433">
        <v>15</v>
      </c>
      <c r="G5073" s="48">
        <v>20</v>
      </c>
      <c r="H5073" s="26">
        <v>300</v>
      </c>
      <c r="I5073" s="61" t="s">
        <v>42</v>
      </c>
      <c r="J5073" s="505" t="s">
        <v>922</v>
      </c>
      <c r="K5073" s="29">
        <v>43700</v>
      </c>
      <c r="W5073" s="460">
        <v>43708</v>
      </c>
      <c r="X5073" s="460">
        <v>43692</v>
      </c>
      <c r="Y5073" s="304" t="s">
        <v>1231</v>
      </c>
      <c r="Z5073" s="304">
        <v>16514</v>
      </c>
      <c r="AA5073" s="460">
        <v>43710</v>
      </c>
      <c r="AB5073" s="237"/>
      <c r="AC5073" s="244"/>
      <c r="AD5073" s="244"/>
      <c r="AE5073" s="244"/>
      <c r="AF5073" s="244"/>
      <c r="AG5073" s="296"/>
      <c r="AH5073" s="296"/>
      <c r="AI5073" s="297"/>
      <c r="AJ5073" s="298">
        <v>43731</v>
      </c>
      <c r="AK5073" s="297"/>
      <c r="AL5073" s="297"/>
      <c r="AM5073" s="296" t="s">
        <v>49</v>
      </c>
      <c r="AN5073" s="296" t="s">
        <v>284</v>
      </c>
      <c r="AO5073" s="296" t="s">
        <v>50</v>
      </c>
      <c r="AP5073" s="296" t="s">
        <v>51</v>
      </c>
      <c r="AQ5073" s="234" t="s">
        <v>506</v>
      </c>
    </row>
    <row r="5074" spans="1:43" ht="15" customHeight="1">
      <c r="A5074" s="69">
        <v>43642</v>
      </c>
      <c r="B5074" s="70" t="s">
        <v>222</v>
      </c>
      <c r="C5074" s="21" t="s">
        <v>1232</v>
      </c>
      <c r="D5074" s="21" t="s">
        <v>1233</v>
      </c>
      <c r="E5074" s="23" t="s">
        <v>1234</v>
      </c>
      <c r="F5074" s="24">
        <v>5</v>
      </c>
      <c r="G5074" s="48">
        <v>112.35</v>
      </c>
      <c r="H5074" s="26">
        <v>562</v>
      </c>
      <c r="I5074" s="61" t="s">
        <v>247</v>
      </c>
      <c r="J5074" s="63" t="s">
        <v>89</v>
      </c>
      <c r="K5074" s="29">
        <v>43650</v>
      </c>
      <c r="W5074" s="460">
        <v>43708</v>
      </c>
      <c r="X5074" s="460">
        <v>43649</v>
      </c>
      <c r="Y5074" s="304" t="s">
        <v>1235</v>
      </c>
      <c r="Z5074" s="304">
        <v>15881</v>
      </c>
      <c r="AA5074" s="460">
        <v>43706</v>
      </c>
      <c r="AB5074" s="237"/>
      <c r="AC5074" s="244"/>
      <c r="AD5074" s="244"/>
      <c r="AE5074" s="244"/>
      <c r="AF5074" s="244"/>
      <c r="AG5074" s="296"/>
      <c r="AH5074" s="296"/>
      <c r="AI5074" s="297"/>
      <c r="AJ5074" s="298">
        <v>43683</v>
      </c>
      <c r="AK5074" s="297">
        <v>55253</v>
      </c>
      <c r="AL5074" s="297">
        <v>15</v>
      </c>
      <c r="AM5074" s="296" t="s">
        <v>49</v>
      </c>
      <c r="AN5074" s="296" t="s">
        <v>284</v>
      </c>
      <c r="AO5074" s="296" t="s">
        <v>50</v>
      </c>
      <c r="AP5074" s="296" t="s">
        <v>376</v>
      </c>
      <c r="AQ5074" s="234" t="s">
        <v>506</v>
      </c>
    </row>
    <row r="5075" spans="1:43" ht="15" customHeight="1">
      <c r="A5075" s="69">
        <v>43644</v>
      </c>
      <c r="B5075" s="70" t="s">
        <v>1236</v>
      </c>
      <c r="C5075" s="506" t="s">
        <v>1237</v>
      </c>
      <c r="D5075" s="21" t="s">
        <v>1238</v>
      </c>
      <c r="E5075" s="23" t="s">
        <v>1239</v>
      </c>
      <c r="F5075" s="24">
        <v>2</v>
      </c>
      <c r="G5075" s="48">
        <v>994</v>
      </c>
      <c r="H5075" s="26">
        <v>1988</v>
      </c>
      <c r="I5075" s="61" t="s">
        <v>104</v>
      </c>
      <c r="J5075" s="63" t="s">
        <v>1042</v>
      </c>
      <c r="K5075" s="29">
        <v>43668</v>
      </c>
      <c r="W5075" s="460">
        <v>43682</v>
      </c>
      <c r="X5075" s="460">
        <v>43663</v>
      </c>
      <c r="Y5075" s="304" t="s">
        <v>1240</v>
      </c>
      <c r="Z5075" s="304">
        <v>57410</v>
      </c>
      <c r="AA5075" s="460">
        <v>43682</v>
      </c>
      <c r="AB5075" s="237"/>
      <c r="AC5075" s="244"/>
      <c r="AD5075" s="244"/>
      <c r="AE5075" s="244"/>
      <c r="AF5075" s="244"/>
      <c r="AG5075" s="296"/>
      <c r="AH5075" s="296"/>
      <c r="AI5075" s="297"/>
      <c r="AJ5075" s="298">
        <v>43704</v>
      </c>
      <c r="AK5075" s="297"/>
      <c r="AL5075" s="297"/>
      <c r="AM5075" s="296" t="s">
        <v>49</v>
      </c>
      <c r="AN5075" s="296" t="s">
        <v>284</v>
      </c>
      <c r="AO5075" s="296" t="s">
        <v>50</v>
      </c>
      <c r="AP5075" s="296" t="s">
        <v>51</v>
      </c>
      <c r="AQ5075" s="234" t="s">
        <v>506</v>
      </c>
    </row>
    <row r="5076" spans="1:43" ht="15" customHeight="1">
      <c r="A5076" s="69">
        <v>43644</v>
      </c>
      <c r="B5076" s="70" t="s">
        <v>986</v>
      </c>
      <c r="C5076" s="21" t="s">
        <v>1241</v>
      </c>
      <c r="D5076" s="21" t="s">
        <v>1242</v>
      </c>
      <c r="E5076" s="23" t="s">
        <v>1243</v>
      </c>
      <c r="F5076" s="24">
        <v>28</v>
      </c>
      <c r="G5076" s="48">
        <v>80</v>
      </c>
      <c r="H5076" s="26">
        <v>2240</v>
      </c>
      <c r="I5076" s="61" t="s">
        <v>104</v>
      </c>
      <c r="J5076" s="63" t="s">
        <v>1244</v>
      </c>
      <c r="K5076" s="29">
        <v>43651</v>
      </c>
      <c r="W5076" s="460">
        <v>43708</v>
      </c>
      <c r="X5076" s="460">
        <v>43649</v>
      </c>
      <c r="Y5076" s="304" t="s">
        <v>1245</v>
      </c>
      <c r="Z5076" s="304">
        <v>68410</v>
      </c>
      <c r="AA5076" s="460">
        <v>43706</v>
      </c>
      <c r="AB5076" s="237"/>
      <c r="AC5076" s="244"/>
      <c r="AD5076" s="244"/>
      <c r="AE5076" s="244"/>
      <c r="AF5076" s="244"/>
      <c r="AG5076" s="296"/>
      <c r="AH5076" s="296"/>
      <c r="AI5076" s="297"/>
      <c r="AJ5076" s="298">
        <v>43685</v>
      </c>
      <c r="AK5076" s="297">
        <f>2240*31.34</f>
        <v>70201.600000000006</v>
      </c>
      <c r="AL5076" s="297">
        <v>0</v>
      </c>
      <c r="AM5076" s="296" t="s">
        <v>49</v>
      </c>
      <c r="AN5076" s="296" t="s">
        <v>284</v>
      </c>
      <c r="AO5076" s="296" t="s">
        <v>50</v>
      </c>
      <c r="AP5076" s="296" t="s">
        <v>51</v>
      </c>
      <c r="AQ5076" s="234" t="s">
        <v>506</v>
      </c>
    </row>
    <row r="5077" spans="1:43" ht="15" customHeight="1">
      <c r="A5077" s="69">
        <v>43647</v>
      </c>
      <c r="B5077" s="70" t="s">
        <v>222</v>
      </c>
      <c r="C5077" s="21" t="s">
        <v>1246</v>
      </c>
      <c r="D5077" s="21" t="s">
        <v>1247</v>
      </c>
      <c r="E5077" s="23" t="s">
        <v>1248</v>
      </c>
      <c r="F5077" s="24">
        <v>2</v>
      </c>
      <c r="G5077" s="48">
        <f>500*1.05</f>
        <v>525</v>
      </c>
      <c r="H5077" s="60">
        <v>1050</v>
      </c>
      <c r="I5077" s="61" t="s">
        <v>247</v>
      </c>
      <c r="J5077" s="63" t="s">
        <v>89</v>
      </c>
      <c r="K5077" s="30">
        <v>43657</v>
      </c>
      <c r="W5077" s="460">
        <v>43708</v>
      </c>
      <c r="X5077" s="460">
        <v>43656</v>
      </c>
      <c r="Y5077" s="304" t="s">
        <v>1249</v>
      </c>
      <c r="Z5077" s="304">
        <v>23129</v>
      </c>
      <c r="AA5077" s="460">
        <v>43706</v>
      </c>
      <c r="AB5077" s="237"/>
      <c r="AC5077" s="244"/>
      <c r="AD5077" s="244"/>
      <c r="AE5077" s="244"/>
      <c r="AF5077" s="244"/>
      <c r="AG5077" s="296"/>
      <c r="AH5077" s="296"/>
      <c r="AI5077" s="297"/>
      <c r="AJ5077" s="298">
        <v>43683</v>
      </c>
      <c r="AK5077" s="297"/>
      <c r="AL5077" s="297"/>
      <c r="AM5077" s="296" t="s">
        <v>49</v>
      </c>
      <c r="AN5077" s="296" t="s">
        <v>284</v>
      </c>
      <c r="AO5077" s="296" t="s">
        <v>50</v>
      </c>
      <c r="AP5077" s="296" t="s">
        <v>376</v>
      </c>
      <c r="AQ5077" s="234" t="s">
        <v>506</v>
      </c>
    </row>
    <row r="5078" spans="1:43" ht="15" customHeight="1">
      <c r="A5078" s="69">
        <v>43647</v>
      </c>
      <c r="B5078" s="70" t="s">
        <v>577</v>
      </c>
      <c r="C5078" s="21">
        <v>20190701003</v>
      </c>
      <c r="D5078" s="21" t="s">
        <v>1250</v>
      </c>
      <c r="E5078" s="32" t="s">
        <v>1251</v>
      </c>
      <c r="F5078" s="24">
        <v>6</v>
      </c>
      <c r="G5078" s="48">
        <v>96.6</v>
      </c>
      <c r="H5078" s="440">
        <v>579.59999999999991</v>
      </c>
      <c r="I5078" s="61" t="s">
        <v>247</v>
      </c>
      <c r="J5078" s="63" t="s">
        <v>580</v>
      </c>
      <c r="K5078" s="30">
        <v>43655</v>
      </c>
      <c r="W5078" s="460">
        <v>43708</v>
      </c>
      <c r="X5078" s="460">
        <v>43654</v>
      </c>
      <c r="Y5078" s="304" t="s">
        <v>1252</v>
      </c>
      <c r="Z5078" s="304">
        <v>15626</v>
      </c>
      <c r="AA5078" s="460">
        <v>43710</v>
      </c>
      <c r="AB5078" s="237"/>
      <c r="AC5078" s="244"/>
      <c r="AD5078" s="244"/>
      <c r="AE5078" s="244"/>
      <c r="AF5078" s="244"/>
      <c r="AG5078" s="296"/>
      <c r="AH5078" s="296"/>
      <c r="AI5078" s="297"/>
      <c r="AJ5078" s="298">
        <v>43661</v>
      </c>
      <c r="AK5078" s="297">
        <v>17968</v>
      </c>
      <c r="AL5078" s="297">
        <v>0</v>
      </c>
      <c r="AM5078" s="296" t="s">
        <v>49</v>
      </c>
      <c r="AN5078" s="82" t="s">
        <v>284</v>
      </c>
      <c r="AO5078" s="296" t="s">
        <v>50</v>
      </c>
      <c r="AP5078" s="296" t="s">
        <v>376</v>
      </c>
      <c r="AQ5078" s="457" t="s">
        <v>742</v>
      </c>
    </row>
    <row r="5079" spans="1:43" ht="15" customHeight="1">
      <c r="A5079" s="69">
        <v>43648</v>
      </c>
      <c r="B5079" s="70" t="s">
        <v>228</v>
      </c>
      <c r="C5079" s="21">
        <v>190702</v>
      </c>
      <c r="D5079" s="21" t="s">
        <v>1253</v>
      </c>
      <c r="E5079" s="32" t="s">
        <v>231</v>
      </c>
      <c r="F5079" s="24">
        <v>13</v>
      </c>
      <c r="G5079" s="48">
        <v>407.4</v>
      </c>
      <c r="H5079" s="60">
        <v>5296.2</v>
      </c>
      <c r="I5079" s="61" t="s">
        <v>170</v>
      </c>
      <c r="J5079" s="63" t="s">
        <v>89</v>
      </c>
      <c r="K5079" s="30">
        <v>43664</v>
      </c>
      <c r="W5079" s="460">
        <v>43708</v>
      </c>
      <c r="X5079" s="460">
        <v>43663</v>
      </c>
      <c r="Y5079" s="304" t="s">
        <v>1254</v>
      </c>
      <c r="Z5079" s="304">
        <v>168293</v>
      </c>
      <c r="AA5079" s="460">
        <v>43706</v>
      </c>
      <c r="AB5079" s="237"/>
      <c r="AC5079" s="244"/>
      <c r="AD5079" s="244"/>
      <c r="AE5079" s="244"/>
      <c r="AF5079" s="244"/>
      <c r="AG5079" s="296"/>
      <c r="AH5079" s="296"/>
      <c r="AI5079" s="297"/>
      <c r="AJ5079" s="298">
        <v>43683</v>
      </c>
      <c r="AK5079" s="297"/>
      <c r="AL5079" s="297">
        <v>0</v>
      </c>
      <c r="AM5079" s="296" t="s">
        <v>49</v>
      </c>
      <c r="AN5079" s="296" t="s">
        <v>284</v>
      </c>
      <c r="AO5079" s="296" t="s">
        <v>50</v>
      </c>
      <c r="AP5079" s="296" t="s">
        <v>376</v>
      </c>
      <c r="AQ5079" s="234" t="s">
        <v>506</v>
      </c>
    </row>
    <row r="5080" spans="1:43" ht="15" customHeight="1">
      <c r="A5080" s="69">
        <v>43648</v>
      </c>
      <c r="B5080" s="70" t="s">
        <v>228</v>
      </c>
      <c r="C5080" s="21">
        <v>190702</v>
      </c>
      <c r="D5080" s="21" t="s">
        <v>1253</v>
      </c>
      <c r="E5080" s="32" t="s">
        <v>728</v>
      </c>
      <c r="F5080" s="24">
        <v>2</v>
      </c>
      <c r="G5080" s="434">
        <v>336</v>
      </c>
      <c r="H5080" s="60">
        <v>672</v>
      </c>
      <c r="I5080" s="61" t="s">
        <v>170</v>
      </c>
      <c r="J5080" s="63" t="s">
        <v>89</v>
      </c>
      <c r="K5080" s="30">
        <v>43664</v>
      </c>
      <c r="W5080" s="460">
        <v>43708</v>
      </c>
      <c r="X5080" s="460">
        <v>43663</v>
      </c>
      <c r="Y5080" s="304" t="s">
        <v>1254</v>
      </c>
      <c r="Z5080" s="304"/>
      <c r="AA5080" s="460">
        <v>43706</v>
      </c>
      <c r="AB5080" s="237"/>
      <c r="AC5080" s="244"/>
      <c r="AD5080" s="244"/>
      <c r="AE5080" s="244"/>
      <c r="AF5080" s="244"/>
      <c r="AG5080" s="296"/>
      <c r="AH5080" s="296"/>
      <c r="AI5080" s="297"/>
      <c r="AJ5080" s="298">
        <v>43683</v>
      </c>
      <c r="AK5080" s="297"/>
      <c r="AL5080" s="297">
        <v>0</v>
      </c>
      <c r="AM5080" s="296" t="s">
        <v>49</v>
      </c>
      <c r="AN5080" s="296" t="s">
        <v>284</v>
      </c>
      <c r="AO5080" s="296" t="s">
        <v>50</v>
      </c>
      <c r="AP5080" s="296" t="s">
        <v>376</v>
      </c>
      <c r="AQ5080" s="234" t="s">
        <v>506</v>
      </c>
    </row>
    <row r="5081" spans="1:43" ht="15" customHeight="1">
      <c r="A5081" s="69">
        <v>43648</v>
      </c>
      <c r="B5081" s="70" t="s">
        <v>228</v>
      </c>
      <c r="C5081" s="21">
        <v>190702</v>
      </c>
      <c r="D5081" s="21" t="s">
        <v>1253</v>
      </c>
      <c r="E5081" s="32" t="s">
        <v>729</v>
      </c>
      <c r="F5081" s="24">
        <v>2</v>
      </c>
      <c r="G5081" s="48">
        <v>21</v>
      </c>
      <c r="H5081" s="60">
        <v>42</v>
      </c>
      <c r="I5081" s="61" t="s">
        <v>170</v>
      </c>
      <c r="J5081" s="63" t="s">
        <v>89</v>
      </c>
      <c r="K5081" s="30">
        <v>43664</v>
      </c>
      <c r="W5081" s="460">
        <v>43708</v>
      </c>
      <c r="X5081" s="460">
        <v>43663</v>
      </c>
      <c r="Y5081" s="304" t="s">
        <v>1254</v>
      </c>
      <c r="Z5081" s="304"/>
      <c r="AA5081" s="460">
        <v>43706</v>
      </c>
      <c r="AB5081" s="237"/>
      <c r="AC5081" s="244"/>
      <c r="AD5081" s="244"/>
      <c r="AE5081" s="244"/>
      <c r="AF5081" s="244"/>
      <c r="AG5081" s="296"/>
      <c r="AH5081" s="296"/>
      <c r="AI5081" s="297"/>
      <c r="AJ5081" s="298">
        <v>43683</v>
      </c>
      <c r="AK5081" s="297"/>
      <c r="AL5081" s="297">
        <v>0</v>
      </c>
      <c r="AM5081" s="296" t="s">
        <v>49</v>
      </c>
      <c r="AN5081" s="296" t="s">
        <v>284</v>
      </c>
      <c r="AO5081" s="296" t="s">
        <v>50</v>
      </c>
      <c r="AP5081" s="296" t="s">
        <v>376</v>
      </c>
      <c r="AQ5081" s="234" t="s">
        <v>506</v>
      </c>
    </row>
    <row r="5082" spans="1:43" ht="15" customHeight="1">
      <c r="A5082" s="69">
        <v>43649</v>
      </c>
      <c r="B5082" s="70" t="s">
        <v>377</v>
      </c>
      <c r="C5082" s="21" t="s">
        <v>1255</v>
      </c>
      <c r="D5082" s="21" t="s">
        <v>1256</v>
      </c>
      <c r="E5082" s="32" t="s">
        <v>1257</v>
      </c>
      <c r="F5082" s="24">
        <v>1</v>
      </c>
      <c r="G5082" s="48">
        <v>60</v>
      </c>
      <c r="H5082" s="60">
        <v>60</v>
      </c>
      <c r="I5082" s="87" t="s">
        <v>1106</v>
      </c>
      <c r="J5082" s="161" t="s">
        <v>1107</v>
      </c>
      <c r="K5082" s="29">
        <v>43655</v>
      </c>
      <c r="W5082" s="460">
        <v>43682</v>
      </c>
      <c r="X5082" s="460">
        <v>43655</v>
      </c>
      <c r="Y5082" s="304" t="s">
        <v>1258</v>
      </c>
      <c r="Z5082" s="304">
        <v>3024</v>
      </c>
      <c r="AA5082" s="460">
        <v>43682</v>
      </c>
      <c r="AB5082" s="237"/>
      <c r="AC5082" s="244"/>
      <c r="AD5082" s="244"/>
      <c r="AE5082" s="244"/>
      <c r="AF5082" s="244"/>
      <c r="AG5082" s="296"/>
      <c r="AH5082" s="296"/>
      <c r="AI5082" s="297"/>
      <c r="AJ5082" s="298">
        <v>43672</v>
      </c>
      <c r="AK5082" s="297"/>
      <c r="AL5082" s="297"/>
      <c r="AM5082" s="296" t="s">
        <v>49</v>
      </c>
      <c r="AN5082" s="296" t="s">
        <v>284</v>
      </c>
      <c r="AO5082" s="296" t="s">
        <v>50</v>
      </c>
      <c r="AP5082" s="296" t="s">
        <v>51</v>
      </c>
      <c r="AQ5082" s="234" t="s">
        <v>506</v>
      </c>
    </row>
    <row r="5083" spans="1:43" ht="15" customHeight="1">
      <c r="A5083" s="69">
        <v>43649</v>
      </c>
      <c r="B5083" s="70" t="s">
        <v>377</v>
      </c>
      <c r="C5083" s="21" t="s">
        <v>1255</v>
      </c>
      <c r="D5083" s="21" t="s">
        <v>1256</v>
      </c>
      <c r="E5083" s="32" t="s">
        <v>1259</v>
      </c>
      <c r="F5083" s="24">
        <v>1</v>
      </c>
      <c r="G5083" s="48">
        <v>70</v>
      </c>
      <c r="H5083" s="60">
        <v>70</v>
      </c>
      <c r="I5083" s="507" t="s">
        <v>1106</v>
      </c>
      <c r="J5083" s="161" t="s">
        <v>1107</v>
      </c>
      <c r="K5083" s="29">
        <v>43655</v>
      </c>
      <c r="W5083" s="460">
        <v>43682</v>
      </c>
      <c r="X5083" s="460">
        <v>43655</v>
      </c>
      <c r="Y5083" s="304" t="s">
        <v>1258</v>
      </c>
      <c r="Z5083" s="304"/>
      <c r="AA5083" s="460">
        <v>43682</v>
      </c>
      <c r="AB5083" s="237"/>
      <c r="AC5083" s="244"/>
      <c r="AD5083" s="244"/>
      <c r="AE5083" s="244"/>
      <c r="AF5083" s="244"/>
      <c r="AG5083" s="296"/>
      <c r="AH5083" s="296"/>
      <c r="AI5083" s="297"/>
      <c r="AJ5083" s="298">
        <v>43672</v>
      </c>
      <c r="AK5083" s="297"/>
      <c r="AL5083" s="297"/>
      <c r="AM5083" s="296" t="s">
        <v>49</v>
      </c>
      <c r="AN5083" s="296" t="s">
        <v>284</v>
      </c>
      <c r="AO5083" s="296" t="s">
        <v>50</v>
      </c>
      <c r="AP5083" s="296" t="s">
        <v>51</v>
      </c>
      <c r="AQ5083" s="234" t="s">
        <v>506</v>
      </c>
    </row>
    <row r="5084" spans="1:43" ht="15" customHeight="1">
      <c r="A5084" s="69">
        <v>43649</v>
      </c>
      <c r="B5084" s="70" t="s">
        <v>76</v>
      </c>
      <c r="C5084" s="240">
        <v>492</v>
      </c>
      <c r="D5084" s="21" t="s">
        <v>1260</v>
      </c>
      <c r="E5084" s="246" t="s">
        <v>314</v>
      </c>
      <c r="F5084" s="24">
        <v>30</v>
      </c>
      <c r="G5084" s="48">
        <v>285</v>
      </c>
      <c r="H5084" s="26">
        <v>8550</v>
      </c>
      <c r="I5084" s="508" t="s">
        <v>42</v>
      </c>
      <c r="J5084" s="431" t="s">
        <v>922</v>
      </c>
      <c r="K5084" s="29">
        <v>43700</v>
      </c>
      <c r="W5084" s="460">
        <v>43738</v>
      </c>
      <c r="X5084" s="460">
        <v>43689</v>
      </c>
      <c r="Y5084" s="304" t="s">
        <v>1261</v>
      </c>
      <c r="Z5084" s="304">
        <v>246803</v>
      </c>
      <c r="AA5084" s="460">
        <v>43739</v>
      </c>
      <c r="AB5084" s="237"/>
      <c r="AC5084" s="244"/>
      <c r="AD5084" s="244"/>
      <c r="AE5084" s="244"/>
      <c r="AF5084" s="244"/>
      <c r="AG5084" s="296"/>
      <c r="AH5084" s="296"/>
      <c r="AI5084" s="297"/>
      <c r="AJ5084" s="298">
        <v>43731</v>
      </c>
      <c r="AK5084" s="297"/>
      <c r="AL5084" s="297"/>
      <c r="AM5084" s="296" t="s">
        <v>49</v>
      </c>
      <c r="AN5084" s="296" t="s">
        <v>284</v>
      </c>
      <c r="AO5084" s="296" t="s">
        <v>50</v>
      </c>
      <c r="AP5084" s="296" t="s">
        <v>51</v>
      </c>
      <c r="AQ5084" s="234" t="s">
        <v>506</v>
      </c>
    </row>
    <row r="5085" spans="1:43" ht="15" customHeight="1">
      <c r="A5085" s="69">
        <v>43650</v>
      </c>
      <c r="B5085" s="307" t="s">
        <v>100</v>
      </c>
      <c r="C5085" s="22" t="s">
        <v>0</v>
      </c>
      <c r="D5085" s="509" t="s">
        <v>1262</v>
      </c>
      <c r="E5085" s="22" t="s">
        <v>1263</v>
      </c>
      <c r="F5085" s="24">
        <v>1</v>
      </c>
      <c r="G5085" s="48">
        <v>655</v>
      </c>
      <c r="H5085" s="60">
        <v>655</v>
      </c>
      <c r="I5085" s="61" t="s">
        <v>104</v>
      </c>
      <c r="J5085" s="50" t="s">
        <v>532</v>
      </c>
      <c r="K5085" s="145">
        <v>43671</v>
      </c>
      <c r="W5085" s="460"/>
      <c r="X5085" s="460"/>
      <c r="Y5085" s="304"/>
      <c r="Z5085" s="304"/>
      <c r="AA5085" s="304"/>
      <c r="AB5085" s="237"/>
      <c r="AC5085" s="244"/>
      <c r="AD5085" s="244"/>
      <c r="AE5085" s="244"/>
      <c r="AF5085" s="244"/>
      <c r="AG5085" s="296"/>
      <c r="AH5085" s="296"/>
      <c r="AI5085" s="297"/>
      <c r="AJ5085" s="298">
        <v>43734</v>
      </c>
      <c r="AK5085" s="297"/>
      <c r="AL5085" s="297"/>
      <c r="AM5085" s="296" t="s">
        <v>49</v>
      </c>
      <c r="AN5085" s="296" t="s">
        <v>284</v>
      </c>
      <c r="AO5085" s="296" t="s">
        <v>285</v>
      </c>
      <c r="AP5085" s="296" t="s">
        <v>51</v>
      </c>
      <c r="AQ5085" s="234" t="s">
        <v>506</v>
      </c>
    </row>
    <row r="5086" spans="1:43" ht="15" customHeight="1">
      <c r="A5086" s="69">
        <v>43650</v>
      </c>
      <c r="B5086" s="21" t="s">
        <v>1264</v>
      </c>
      <c r="C5086" s="21">
        <v>45719</v>
      </c>
      <c r="D5086" s="21" t="s">
        <v>1265</v>
      </c>
      <c r="E5086" s="32" t="s">
        <v>1266</v>
      </c>
      <c r="F5086" s="24">
        <v>1</v>
      </c>
      <c r="G5086" s="47">
        <v>1020</v>
      </c>
      <c r="H5086" s="26">
        <v>1020</v>
      </c>
      <c r="I5086" s="61" t="s">
        <v>104</v>
      </c>
      <c r="J5086" s="62" t="s">
        <v>1267</v>
      </c>
      <c r="K5086" s="29">
        <v>43669</v>
      </c>
      <c r="W5086" s="460">
        <v>43708</v>
      </c>
      <c r="X5086" s="460">
        <v>43664</v>
      </c>
      <c r="Y5086" s="304" t="s">
        <v>1268</v>
      </c>
      <c r="Z5086" s="304">
        <v>29307</v>
      </c>
      <c r="AA5086" s="460">
        <v>43710</v>
      </c>
      <c r="AB5086" s="237"/>
      <c r="AC5086" s="244"/>
      <c r="AD5086" s="244"/>
      <c r="AE5086" s="244"/>
      <c r="AF5086" s="244"/>
      <c r="AG5086" s="296"/>
      <c r="AH5086" s="296"/>
      <c r="AI5086" s="297"/>
      <c r="AJ5086" s="298">
        <v>43669</v>
      </c>
      <c r="AK5086" s="297">
        <f>1020*31.02</f>
        <v>31640.399999999998</v>
      </c>
      <c r="AL5086" s="297">
        <v>0</v>
      </c>
      <c r="AM5086" s="296" t="s">
        <v>49</v>
      </c>
      <c r="AN5086" s="82" t="s">
        <v>284</v>
      </c>
      <c r="AO5086" s="296" t="s">
        <v>50</v>
      </c>
      <c r="AP5086" s="296" t="s">
        <v>51</v>
      </c>
      <c r="AQ5086" s="457" t="s">
        <v>742</v>
      </c>
    </row>
    <row r="5087" spans="1:43" ht="15" customHeight="1">
      <c r="A5087" s="69">
        <v>43651</v>
      </c>
      <c r="B5087" s="307" t="s">
        <v>100</v>
      </c>
      <c r="C5087" s="22" t="s">
        <v>1139</v>
      </c>
      <c r="D5087" s="22" t="s">
        <v>1269</v>
      </c>
      <c r="E5087" s="20" t="s">
        <v>346</v>
      </c>
      <c r="F5087" s="24">
        <v>1</v>
      </c>
      <c r="G5087" s="48">
        <v>427</v>
      </c>
      <c r="H5087" s="60">
        <v>427</v>
      </c>
      <c r="I5087" s="61" t="s">
        <v>104</v>
      </c>
      <c r="J5087" s="63" t="s">
        <v>1004</v>
      </c>
      <c r="K5087" s="29">
        <v>43651</v>
      </c>
      <c r="W5087" s="460">
        <v>43677</v>
      </c>
      <c r="X5087" s="460">
        <v>43658</v>
      </c>
      <c r="Y5087" s="304" t="s">
        <v>1270</v>
      </c>
      <c r="Z5087" s="304">
        <v>12228</v>
      </c>
      <c r="AA5087" s="460">
        <v>43677</v>
      </c>
      <c r="AB5087" s="237"/>
      <c r="AC5087" s="244"/>
      <c r="AD5087" s="244"/>
      <c r="AE5087" s="244"/>
      <c r="AF5087" s="244"/>
      <c r="AG5087" s="296"/>
      <c r="AH5087" s="296"/>
      <c r="AI5087" s="297"/>
      <c r="AJ5087" s="298">
        <v>43704</v>
      </c>
      <c r="AK5087" s="297"/>
      <c r="AL5087" s="297"/>
      <c r="AM5087" s="296" t="s">
        <v>49</v>
      </c>
      <c r="AN5087" s="296" t="s">
        <v>284</v>
      </c>
      <c r="AO5087" s="296" t="s">
        <v>285</v>
      </c>
      <c r="AP5087" s="296" t="s">
        <v>51</v>
      </c>
      <c r="AQ5087" s="234" t="s">
        <v>506</v>
      </c>
    </row>
    <row r="5088" spans="1:43" ht="15" customHeight="1">
      <c r="A5088" s="69">
        <v>43654</v>
      </c>
      <c r="B5088" s="70" t="s">
        <v>129</v>
      </c>
      <c r="C5088" s="21" t="s">
        <v>1271</v>
      </c>
      <c r="D5088" s="21" t="s">
        <v>1272</v>
      </c>
      <c r="E5088" s="23" t="s">
        <v>240</v>
      </c>
      <c r="F5088" s="55">
        <v>20</v>
      </c>
      <c r="G5088" s="48">
        <v>90</v>
      </c>
      <c r="H5088" s="409">
        <v>1800</v>
      </c>
      <c r="I5088" s="61" t="s">
        <v>247</v>
      </c>
      <c r="J5088" s="63" t="s">
        <v>133</v>
      </c>
      <c r="K5088" s="30">
        <v>43668</v>
      </c>
      <c r="W5088" s="460">
        <v>43708</v>
      </c>
      <c r="X5088" s="460">
        <v>43665</v>
      </c>
      <c r="Y5088" s="304" t="s">
        <v>1273</v>
      </c>
      <c r="Z5088" s="304">
        <v>71714</v>
      </c>
      <c r="AA5088" s="460">
        <v>43706</v>
      </c>
      <c r="AB5088" s="237"/>
      <c r="AC5088" s="244"/>
      <c r="AD5088" s="244"/>
      <c r="AE5088" s="244"/>
      <c r="AF5088" s="244"/>
      <c r="AG5088" s="296"/>
      <c r="AH5088" s="296"/>
      <c r="AI5088" s="297"/>
      <c r="AJ5088" s="298">
        <v>43685</v>
      </c>
      <c r="AK5088" s="297">
        <f>4532.64*31.43</f>
        <v>142460.87520000001</v>
      </c>
      <c r="AL5088" s="297">
        <f>(4555-4532.64)*31.43</f>
        <v>702.77479999998968</v>
      </c>
      <c r="AM5088" s="296" t="s">
        <v>49</v>
      </c>
      <c r="AN5088" s="296" t="s">
        <v>284</v>
      </c>
      <c r="AO5088" s="296" t="s">
        <v>50</v>
      </c>
      <c r="AP5088" s="296" t="s">
        <v>51</v>
      </c>
      <c r="AQ5088" s="234" t="s">
        <v>506</v>
      </c>
    </row>
    <row r="5089" spans="1:43" ht="15" customHeight="1">
      <c r="A5089" s="69">
        <v>43654</v>
      </c>
      <c r="B5089" s="70" t="s">
        <v>129</v>
      </c>
      <c r="C5089" s="21" t="s">
        <v>1271</v>
      </c>
      <c r="D5089" s="21" t="s">
        <v>1272</v>
      </c>
      <c r="E5089" s="23" t="s">
        <v>873</v>
      </c>
      <c r="F5089" s="24">
        <v>20</v>
      </c>
      <c r="G5089" s="48">
        <v>4</v>
      </c>
      <c r="H5089" s="409">
        <v>80</v>
      </c>
      <c r="I5089" s="61" t="s">
        <v>247</v>
      </c>
      <c r="J5089" s="63" t="s">
        <v>133</v>
      </c>
      <c r="K5089" s="30">
        <v>43668</v>
      </c>
      <c r="W5089" s="460">
        <v>43708</v>
      </c>
      <c r="X5089" s="460">
        <v>43665</v>
      </c>
      <c r="Y5089" s="304" t="s">
        <v>1273</v>
      </c>
      <c r="Z5089" s="304"/>
      <c r="AA5089" s="460">
        <v>43706</v>
      </c>
      <c r="AB5089" s="237"/>
      <c r="AC5089" s="244"/>
      <c r="AD5089" s="244"/>
      <c r="AE5089" s="244"/>
      <c r="AF5089" s="244"/>
      <c r="AG5089" s="296"/>
      <c r="AH5089" s="296"/>
      <c r="AI5089" s="297"/>
      <c r="AJ5089" s="298">
        <v>43685</v>
      </c>
      <c r="AK5089" s="297"/>
      <c r="AL5089" s="297"/>
      <c r="AM5089" s="296" t="s">
        <v>49</v>
      </c>
      <c r="AN5089" s="296" t="s">
        <v>284</v>
      </c>
      <c r="AO5089" s="296" t="s">
        <v>50</v>
      </c>
      <c r="AP5089" s="296" t="s">
        <v>51</v>
      </c>
      <c r="AQ5089" s="234" t="s">
        <v>506</v>
      </c>
    </row>
    <row r="5090" spans="1:43" ht="15" customHeight="1">
      <c r="A5090" s="69">
        <v>43654</v>
      </c>
      <c r="B5090" s="70" t="s">
        <v>129</v>
      </c>
      <c r="C5090" s="21" t="s">
        <v>1271</v>
      </c>
      <c r="D5090" s="21" t="s">
        <v>1272</v>
      </c>
      <c r="E5090" s="23" t="s">
        <v>241</v>
      </c>
      <c r="F5090" s="24">
        <v>10</v>
      </c>
      <c r="G5090" s="48">
        <v>66</v>
      </c>
      <c r="H5090" s="409">
        <v>660</v>
      </c>
      <c r="I5090" s="61" t="s">
        <v>247</v>
      </c>
      <c r="J5090" s="63" t="s">
        <v>133</v>
      </c>
      <c r="K5090" s="30">
        <v>43668</v>
      </c>
      <c r="W5090" s="510">
        <v>43708</v>
      </c>
      <c r="X5090" s="510">
        <v>43665</v>
      </c>
      <c r="Y5090" s="511" t="s">
        <v>1273</v>
      </c>
      <c r="Z5090" s="304"/>
      <c r="AA5090" s="460">
        <v>43706</v>
      </c>
      <c r="AB5090" s="237"/>
      <c r="AC5090" s="244"/>
      <c r="AD5090" s="244"/>
      <c r="AE5090" s="244"/>
      <c r="AF5090" s="244"/>
      <c r="AG5090" s="296"/>
      <c r="AH5090" s="296"/>
      <c r="AI5090" s="297"/>
      <c r="AJ5090" s="298">
        <v>43685</v>
      </c>
      <c r="AK5090" s="297"/>
      <c r="AL5090" s="297"/>
      <c r="AM5090" s="296" t="s">
        <v>49</v>
      </c>
      <c r="AN5090" s="296" t="s">
        <v>284</v>
      </c>
      <c r="AO5090" s="296" t="s">
        <v>50</v>
      </c>
      <c r="AP5090" s="296" t="s">
        <v>51</v>
      </c>
      <c r="AQ5090" s="234" t="s">
        <v>506</v>
      </c>
    </row>
    <row r="5091" spans="1:43" ht="15" customHeight="1">
      <c r="A5091" s="69">
        <v>43655</v>
      </c>
      <c r="B5091" s="144" t="s">
        <v>665</v>
      </c>
      <c r="C5091" s="32" t="s">
        <v>1274</v>
      </c>
      <c r="D5091" s="21" t="s">
        <v>1275</v>
      </c>
      <c r="E5091" s="23" t="s">
        <v>1276</v>
      </c>
      <c r="F5091" s="24">
        <v>1</v>
      </c>
      <c r="G5091" s="76">
        <v>277</v>
      </c>
      <c r="H5091" s="409">
        <v>277</v>
      </c>
      <c r="I5091" s="61" t="s">
        <v>104</v>
      </c>
      <c r="J5091" s="63" t="s">
        <v>1277</v>
      </c>
      <c r="K5091" s="29">
        <v>43656</v>
      </c>
      <c r="W5091" s="304"/>
      <c r="X5091" s="304"/>
      <c r="Y5091" s="304"/>
      <c r="Z5091" s="304"/>
      <c r="AA5091" s="304"/>
      <c r="AB5091" s="237"/>
      <c r="AC5091" s="244"/>
      <c r="AD5091" s="244"/>
      <c r="AE5091" s="244"/>
      <c r="AF5091" s="244"/>
      <c r="AG5091" s="296"/>
      <c r="AH5091" s="296"/>
      <c r="AI5091" s="297"/>
      <c r="AJ5091" s="298">
        <v>43655</v>
      </c>
      <c r="AK5091" s="297"/>
      <c r="AL5091" s="297"/>
      <c r="AM5091" s="296" t="s">
        <v>49</v>
      </c>
      <c r="AN5091" s="82" t="s">
        <v>284</v>
      </c>
      <c r="AO5091" s="296" t="s">
        <v>285</v>
      </c>
      <c r="AP5091" s="296" t="s">
        <v>51</v>
      </c>
      <c r="AQ5091" s="457" t="s">
        <v>742</v>
      </c>
    </row>
    <row r="5092" spans="1:43" ht="15" customHeight="1">
      <c r="A5092" s="69">
        <v>43657</v>
      </c>
      <c r="B5092" s="70" t="s">
        <v>986</v>
      </c>
      <c r="C5092" s="21" t="s">
        <v>1278</v>
      </c>
      <c r="D5092" s="21" t="s">
        <v>1279</v>
      </c>
      <c r="E5092" s="23" t="s">
        <v>1280</v>
      </c>
      <c r="F5092" s="24">
        <v>3</v>
      </c>
      <c r="G5092" s="48">
        <v>277</v>
      </c>
      <c r="H5092" s="409">
        <v>831</v>
      </c>
      <c r="I5092" s="61" t="s">
        <v>104</v>
      </c>
      <c r="J5092" s="63" t="s">
        <v>1281</v>
      </c>
      <c r="K5092" s="298">
        <v>43662</v>
      </c>
      <c r="W5092" s="460">
        <v>43708</v>
      </c>
      <c r="X5092" s="460">
        <v>43658</v>
      </c>
      <c r="Y5092" s="304" t="s">
        <v>1282</v>
      </c>
      <c r="Z5092" s="304">
        <v>23837</v>
      </c>
      <c r="AA5092" s="460">
        <v>43706</v>
      </c>
      <c r="AB5092" s="237"/>
      <c r="AC5092" s="244"/>
      <c r="AD5092" s="244"/>
      <c r="AE5092" s="244"/>
      <c r="AF5092" s="244"/>
      <c r="AG5092" s="296"/>
      <c r="AH5092" s="296"/>
      <c r="AI5092" s="297"/>
      <c r="AJ5092" s="298">
        <v>43658</v>
      </c>
      <c r="AK5092" s="297">
        <f>831*31.03</f>
        <v>25785.93</v>
      </c>
      <c r="AL5092" s="297">
        <v>0</v>
      </c>
      <c r="AM5092" s="296" t="s">
        <v>49</v>
      </c>
      <c r="AN5092" s="82" t="s">
        <v>284</v>
      </c>
      <c r="AO5092" s="296" t="s">
        <v>50</v>
      </c>
      <c r="AP5092" s="296" t="s">
        <v>51</v>
      </c>
      <c r="AQ5092" s="457" t="s">
        <v>742</v>
      </c>
    </row>
    <row r="5093" spans="1:43" ht="15" customHeight="1">
      <c r="A5093" s="69">
        <v>43657</v>
      </c>
      <c r="B5093" s="70" t="s">
        <v>129</v>
      </c>
      <c r="C5093" s="21" t="s">
        <v>1283</v>
      </c>
      <c r="D5093" s="21" t="s">
        <v>1284</v>
      </c>
      <c r="E5093" s="32" t="s">
        <v>1285</v>
      </c>
      <c r="F5093" s="24">
        <v>10</v>
      </c>
      <c r="G5093" s="48">
        <v>103</v>
      </c>
      <c r="H5093" s="409">
        <v>1030</v>
      </c>
      <c r="I5093" s="61" t="s">
        <v>247</v>
      </c>
      <c r="J5093" s="63" t="s">
        <v>133</v>
      </c>
      <c r="K5093" s="145">
        <v>43668</v>
      </c>
      <c r="W5093" s="460">
        <v>43708</v>
      </c>
      <c r="X5093" s="460">
        <v>43664</v>
      </c>
      <c r="Y5093" s="304" t="s">
        <v>1286</v>
      </c>
      <c r="Z5093" s="304">
        <v>41112</v>
      </c>
      <c r="AA5093" s="460">
        <v>43706</v>
      </c>
      <c r="AB5093" s="237"/>
      <c r="AC5093" s="244"/>
      <c r="AD5093" s="244"/>
      <c r="AE5093" s="244"/>
      <c r="AF5093" s="244"/>
      <c r="AG5093" s="296"/>
      <c r="AH5093" s="296"/>
      <c r="AI5093" s="297"/>
      <c r="AJ5093" s="298">
        <v>43685</v>
      </c>
      <c r="AK5093" s="297"/>
      <c r="AL5093" s="297"/>
      <c r="AM5093" s="296" t="s">
        <v>49</v>
      </c>
      <c r="AN5093" s="296" t="s">
        <v>284</v>
      </c>
      <c r="AO5093" s="296" t="s">
        <v>50</v>
      </c>
      <c r="AP5093" s="296" t="s">
        <v>51</v>
      </c>
      <c r="AQ5093" s="234" t="s">
        <v>506</v>
      </c>
    </row>
    <row r="5094" spans="1:43" ht="15" customHeight="1">
      <c r="A5094" s="69">
        <v>43657</v>
      </c>
      <c r="B5094" s="512" t="s">
        <v>129</v>
      </c>
      <c r="C5094" s="21" t="s">
        <v>1283</v>
      </c>
      <c r="D5094" s="21" t="s">
        <v>1284</v>
      </c>
      <c r="E5094" s="23" t="s">
        <v>136</v>
      </c>
      <c r="F5094" s="24">
        <v>10</v>
      </c>
      <c r="G5094" s="48">
        <v>29</v>
      </c>
      <c r="H5094" s="409">
        <v>290</v>
      </c>
      <c r="I5094" s="61" t="s">
        <v>247</v>
      </c>
      <c r="J5094" s="63" t="s">
        <v>133</v>
      </c>
      <c r="K5094" s="145">
        <v>43668</v>
      </c>
      <c r="W5094" s="460">
        <v>43708</v>
      </c>
      <c r="X5094" s="460">
        <v>43664</v>
      </c>
      <c r="Y5094" s="304" t="s">
        <v>1286</v>
      </c>
      <c r="Z5094" s="304"/>
      <c r="AA5094" s="460">
        <v>43706</v>
      </c>
      <c r="AB5094" s="237"/>
      <c r="AC5094" s="244"/>
      <c r="AD5094" s="244"/>
      <c r="AE5094" s="244"/>
      <c r="AF5094" s="244"/>
      <c r="AG5094" s="296"/>
      <c r="AH5094" s="296"/>
      <c r="AI5094" s="297"/>
      <c r="AJ5094" s="298">
        <v>43685</v>
      </c>
      <c r="AK5094" s="297"/>
      <c r="AL5094" s="297"/>
      <c r="AM5094" s="296" t="s">
        <v>49</v>
      </c>
      <c r="AN5094" s="296" t="s">
        <v>284</v>
      </c>
      <c r="AO5094" s="296" t="s">
        <v>50</v>
      </c>
      <c r="AP5094" s="296" t="s">
        <v>51</v>
      </c>
      <c r="AQ5094" s="234" t="s">
        <v>506</v>
      </c>
    </row>
    <row r="5095" spans="1:43" ht="15" customHeight="1">
      <c r="A5095" s="69">
        <v>43657</v>
      </c>
      <c r="B5095" s="70" t="s">
        <v>129</v>
      </c>
      <c r="C5095" s="21" t="s">
        <v>1283</v>
      </c>
      <c r="D5095" s="21" t="s">
        <v>1284</v>
      </c>
      <c r="E5095" s="23" t="s">
        <v>792</v>
      </c>
      <c r="F5095" s="24">
        <v>1</v>
      </c>
      <c r="G5095" s="48">
        <v>35</v>
      </c>
      <c r="H5095" s="409">
        <v>35</v>
      </c>
      <c r="I5095" s="61" t="s">
        <v>247</v>
      </c>
      <c r="J5095" s="63" t="s">
        <v>133</v>
      </c>
      <c r="K5095" s="145">
        <v>43668</v>
      </c>
      <c r="W5095" s="460">
        <v>43708</v>
      </c>
      <c r="X5095" s="460">
        <v>43664</v>
      </c>
      <c r="Y5095" s="304" t="s">
        <v>1286</v>
      </c>
      <c r="Z5095" s="304"/>
      <c r="AA5095" s="460">
        <v>43706</v>
      </c>
      <c r="AB5095" s="237"/>
      <c r="AC5095" s="244"/>
      <c r="AD5095" s="244"/>
      <c r="AE5095" s="244"/>
      <c r="AF5095" s="244"/>
      <c r="AG5095" s="296"/>
      <c r="AH5095" s="296"/>
      <c r="AI5095" s="297"/>
      <c r="AJ5095" s="298">
        <v>43685</v>
      </c>
      <c r="AK5095" s="297"/>
      <c r="AL5095" s="297"/>
      <c r="AM5095" s="296" t="s">
        <v>49</v>
      </c>
      <c r="AN5095" s="296" t="s">
        <v>284</v>
      </c>
      <c r="AO5095" s="296" t="s">
        <v>50</v>
      </c>
      <c r="AP5095" s="296" t="s">
        <v>51</v>
      </c>
      <c r="AQ5095" s="234" t="s">
        <v>506</v>
      </c>
    </row>
    <row r="5096" spans="1:43" ht="15" customHeight="1">
      <c r="A5096" s="69">
        <v>43657</v>
      </c>
      <c r="B5096" s="23" t="s">
        <v>405</v>
      </c>
      <c r="C5096" s="21" t="s">
        <v>1287</v>
      </c>
      <c r="D5096" s="32" t="s">
        <v>1288</v>
      </c>
      <c r="E5096" s="23" t="s">
        <v>1289</v>
      </c>
      <c r="F5096" s="24">
        <v>1</v>
      </c>
      <c r="G5096" s="513">
        <v>60</v>
      </c>
      <c r="H5096" s="406">
        <v>60</v>
      </c>
      <c r="I5096" s="61" t="s">
        <v>42</v>
      </c>
      <c r="J5096" s="63" t="s">
        <v>626</v>
      </c>
      <c r="K5096" s="30">
        <v>43661</v>
      </c>
      <c r="W5096" s="304"/>
      <c r="X5096" s="304"/>
      <c r="Y5096" s="304"/>
      <c r="Z5096" s="304"/>
      <c r="AA5096" s="304"/>
      <c r="AB5096" s="237"/>
      <c r="AC5096" s="244"/>
      <c r="AD5096" s="244"/>
      <c r="AE5096" s="244"/>
      <c r="AF5096" s="244"/>
      <c r="AG5096" s="296"/>
      <c r="AH5096" s="296"/>
      <c r="AI5096" s="297"/>
      <c r="AJ5096" s="298">
        <v>43691</v>
      </c>
      <c r="AK5096" s="297">
        <v>1683</v>
      </c>
      <c r="AL5096" s="297">
        <v>200</v>
      </c>
      <c r="AM5096" s="296" t="s">
        <v>49</v>
      </c>
      <c r="AN5096" s="296" t="s">
        <v>284</v>
      </c>
      <c r="AO5096" s="296" t="s">
        <v>50</v>
      </c>
      <c r="AP5096" s="296" t="s">
        <v>51</v>
      </c>
      <c r="AQ5096" s="234" t="s">
        <v>506</v>
      </c>
    </row>
    <row r="5097" spans="1:43" ht="15" customHeight="1">
      <c r="A5097" s="467">
        <v>43658</v>
      </c>
      <c r="B5097" s="70" t="s">
        <v>129</v>
      </c>
      <c r="C5097" s="21" t="s">
        <v>1290</v>
      </c>
      <c r="D5097" s="21" t="s">
        <v>1291</v>
      </c>
      <c r="E5097" s="23" t="s">
        <v>241</v>
      </c>
      <c r="F5097" s="24">
        <v>10</v>
      </c>
      <c r="G5097" s="48">
        <v>66</v>
      </c>
      <c r="H5097" s="468">
        <v>660</v>
      </c>
      <c r="I5097" s="61" t="s">
        <v>247</v>
      </c>
      <c r="J5097" s="63" t="s">
        <v>133</v>
      </c>
      <c r="K5097" s="145">
        <v>43668</v>
      </c>
      <c r="W5097" s="460">
        <v>43708</v>
      </c>
      <c r="X5097" s="460">
        <v>43664</v>
      </c>
      <c r="Y5097" s="304" t="s">
        <v>1292</v>
      </c>
      <c r="Z5097" s="304">
        <v>19558</v>
      </c>
      <c r="AA5097" s="460">
        <v>43706</v>
      </c>
      <c r="AB5097" s="237"/>
      <c r="AC5097" s="244"/>
      <c r="AD5097" s="244"/>
      <c r="AE5097" s="244"/>
      <c r="AF5097" s="244"/>
      <c r="AG5097" s="296"/>
      <c r="AH5097" s="296"/>
      <c r="AI5097" s="297"/>
      <c r="AJ5097" s="298">
        <v>43685</v>
      </c>
      <c r="AK5097" s="297"/>
      <c r="AL5097" s="297"/>
      <c r="AM5097" s="296" t="s">
        <v>49</v>
      </c>
      <c r="AN5097" s="296" t="s">
        <v>284</v>
      </c>
      <c r="AO5097" s="296" t="s">
        <v>50</v>
      </c>
      <c r="AP5097" s="296" t="s">
        <v>51</v>
      </c>
      <c r="AQ5097" s="234" t="s">
        <v>506</v>
      </c>
    </row>
    <row r="5098" spans="1:43" ht="15" customHeight="1">
      <c r="A5098" s="69">
        <v>43661</v>
      </c>
      <c r="B5098" s="23" t="s">
        <v>405</v>
      </c>
      <c r="C5098" s="21">
        <v>7000148797</v>
      </c>
      <c r="D5098" s="32" t="s">
        <v>1293</v>
      </c>
      <c r="E5098" s="23" t="s">
        <v>1294</v>
      </c>
      <c r="F5098" s="24">
        <v>1</v>
      </c>
      <c r="G5098" s="48">
        <v>135</v>
      </c>
      <c r="H5098" s="22">
        <v>135</v>
      </c>
      <c r="I5098" s="27" t="s">
        <v>42</v>
      </c>
      <c r="J5098" s="50" t="s">
        <v>512</v>
      </c>
      <c r="K5098" s="30">
        <v>43675</v>
      </c>
      <c r="W5098" s="460">
        <v>43738</v>
      </c>
      <c r="X5098" s="514">
        <v>43669</v>
      </c>
      <c r="Y5098" s="515" t="s">
        <v>1295</v>
      </c>
      <c r="Z5098" s="304">
        <v>3698</v>
      </c>
      <c r="AA5098" s="460">
        <v>43739</v>
      </c>
      <c r="AB5098" s="237"/>
      <c r="AC5098" s="244"/>
      <c r="AD5098" s="244"/>
      <c r="AE5098" s="244"/>
      <c r="AF5098" s="244"/>
      <c r="AG5098" s="296"/>
      <c r="AH5098" s="296"/>
      <c r="AI5098" s="297"/>
      <c r="AJ5098" s="298">
        <v>43707</v>
      </c>
      <c r="AK5098" s="297">
        <f>576.61*31.3</f>
        <v>18047.893</v>
      </c>
      <c r="AL5098" s="297">
        <f>(603-576.61)*31.3</f>
        <v>826.00699999999961</v>
      </c>
      <c r="AM5098" s="296" t="s">
        <v>49</v>
      </c>
      <c r="AN5098" s="296" t="s">
        <v>284</v>
      </c>
      <c r="AO5098" s="296" t="s">
        <v>50</v>
      </c>
      <c r="AP5098" s="296" t="s">
        <v>51</v>
      </c>
      <c r="AQ5098" s="234" t="s">
        <v>506</v>
      </c>
    </row>
    <row r="5099" spans="1:43" ht="15" customHeight="1">
      <c r="A5099" s="69">
        <v>43661</v>
      </c>
      <c r="B5099" s="32" t="s">
        <v>405</v>
      </c>
      <c r="C5099" s="21">
        <v>7000149230</v>
      </c>
      <c r="D5099" s="21" t="s">
        <v>1296</v>
      </c>
      <c r="E5099" s="23" t="s">
        <v>799</v>
      </c>
      <c r="F5099" s="24">
        <v>1</v>
      </c>
      <c r="G5099" s="48">
        <v>565</v>
      </c>
      <c r="H5099" s="468">
        <v>565</v>
      </c>
      <c r="I5099" s="61" t="s">
        <v>42</v>
      </c>
      <c r="J5099" s="50" t="s">
        <v>512</v>
      </c>
      <c r="K5099" s="30">
        <v>43692</v>
      </c>
      <c r="W5099" s="303">
        <v>43769</v>
      </c>
      <c r="X5099" s="460">
        <v>43689</v>
      </c>
      <c r="Y5099" s="304" t="s">
        <v>1297</v>
      </c>
      <c r="Z5099" s="304">
        <v>18162</v>
      </c>
      <c r="AA5099" s="304"/>
      <c r="AB5099" s="237"/>
      <c r="AC5099" s="244"/>
      <c r="AD5099" s="244"/>
      <c r="AE5099" s="244"/>
      <c r="AF5099" s="244"/>
      <c r="AG5099" s="296"/>
      <c r="AH5099" s="296"/>
      <c r="AI5099" s="297"/>
      <c r="AJ5099" s="298">
        <v>43733</v>
      </c>
      <c r="AK5099" s="297">
        <f>625.54*30.96</f>
        <v>19366.718399999998</v>
      </c>
      <c r="AL5099" s="297">
        <f>(652-625.54)*30.96</f>
        <v>819.20160000000112</v>
      </c>
      <c r="AM5099" s="296" t="s">
        <v>49</v>
      </c>
      <c r="AN5099" s="296" t="s">
        <v>284</v>
      </c>
      <c r="AO5099" s="296" t="s">
        <v>50</v>
      </c>
      <c r="AP5099" s="296" t="s">
        <v>51</v>
      </c>
      <c r="AQ5099" s="234" t="s">
        <v>506</v>
      </c>
    </row>
    <row r="5100" spans="1:43" ht="15" customHeight="1">
      <c r="A5100" s="69">
        <v>43661</v>
      </c>
      <c r="B5100" s="23" t="s">
        <v>405</v>
      </c>
      <c r="C5100" s="21">
        <v>7000149230</v>
      </c>
      <c r="D5100" s="21" t="s">
        <v>1296</v>
      </c>
      <c r="E5100" s="23" t="s">
        <v>997</v>
      </c>
      <c r="F5100" s="24">
        <v>1</v>
      </c>
      <c r="G5100" s="513">
        <v>87</v>
      </c>
      <c r="H5100" s="468">
        <v>87</v>
      </c>
      <c r="I5100" s="61" t="s">
        <v>42</v>
      </c>
      <c r="J5100" s="50" t="s">
        <v>512</v>
      </c>
      <c r="K5100" s="30">
        <v>43692</v>
      </c>
      <c r="W5100" s="303">
        <v>43769</v>
      </c>
      <c r="X5100" s="460">
        <v>43689</v>
      </c>
      <c r="Y5100" s="304" t="s">
        <v>1297</v>
      </c>
      <c r="Z5100" s="304"/>
      <c r="AA5100" s="304"/>
      <c r="AB5100" s="237"/>
      <c r="AC5100" s="244"/>
      <c r="AD5100" s="244"/>
      <c r="AE5100" s="244"/>
      <c r="AF5100" s="244"/>
      <c r="AG5100" s="296"/>
      <c r="AH5100" s="296"/>
      <c r="AI5100" s="297"/>
      <c r="AJ5100" s="298">
        <v>43733</v>
      </c>
      <c r="AK5100" s="297"/>
      <c r="AL5100" s="297"/>
      <c r="AM5100" s="296" t="s">
        <v>49</v>
      </c>
      <c r="AN5100" s="296" t="s">
        <v>284</v>
      </c>
      <c r="AO5100" s="296" t="s">
        <v>50</v>
      </c>
      <c r="AP5100" s="296" t="s">
        <v>51</v>
      </c>
      <c r="AQ5100" s="234" t="s">
        <v>506</v>
      </c>
    </row>
    <row r="5101" spans="1:43" ht="15" customHeight="1">
      <c r="A5101" s="69">
        <v>43662</v>
      </c>
      <c r="B5101" s="70" t="s">
        <v>222</v>
      </c>
      <c r="C5101" s="21" t="s">
        <v>1298</v>
      </c>
      <c r="D5101" s="21" t="s">
        <v>1299</v>
      </c>
      <c r="E5101" s="23" t="s">
        <v>1300</v>
      </c>
      <c r="F5101" s="24">
        <v>1</v>
      </c>
      <c r="G5101" s="48">
        <v>163.80000000000001</v>
      </c>
      <c r="H5101" s="468">
        <v>163.80000000000001</v>
      </c>
      <c r="I5101" s="61" t="s">
        <v>247</v>
      </c>
      <c r="J5101" s="63" t="s">
        <v>962</v>
      </c>
      <c r="K5101" s="30">
        <v>43664</v>
      </c>
      <c r="W5101" s="460">
        <v>43708</v>
      </c>
      <c r="X5101" s="460">
        <v>43663</v>
      </c>
      <c r="Y5101" s="304" t="s">
        <v>1301</v>
      </c>
      <c r="Z5101" s="304">
        <v>4629</v>
      </c>
      <c r="AA5101" s="460">
        <v>43706</v>
      </c>
      <c r="AB5101" s="237"/>
      <c r="AC5101" s="244"/>
      <c r="AD5101" s="244"/>
      <c r="AE5101" s="244"/>
      <c r="AF5101" s="244"/>
      <c r="AG5101" s="296"/>
      <c r="AH5101" s="296"/>
      <c r="AI5101" s="297"/>
      <c r="AJ5101" s="298">
        <v>43683</v>
      </c>
      <c r="AK5101" s="297"/>
      <c r="AL5101" s="297"/>
      <c r="AM5101" s="296" t="s">
        <v>49</v>
      </c>
      <c r="AN5101" s="296" t="s">
        <v>284</v>
      </c>
      <c r="AO5101" s="296" t="s">
        <v>50</v>
      </c>
      <c r="AP5101" s="296" t="s">
        <v>376</v>
      </c>
      <c r="AQ5101" s="234" t="s">
        <v>506</v>
      </c>
    </row>
    <row r="5102" spans="1:43" ht="15" customHeight="1">
      <c r="A5102" s="19">
        <v>43663</v>
      </c>
      <c r="B5102" s="20" t="s">
        <v>39</v>
      </c>
      <c r="C5102" s="21">
        <v>2029844</v>
      </c>
      <c r="D5102" s="22" t="s">
        <v>1302</v>
      </c>
      <c r="E5102" s="23" t="s">
        <v>41</v>
      </c>
      <c r="F5102" s="24">
        <v>70</v>
      </c>
      <c r="G5102" s="48">
        <v>273</v>
      </c>
      <c r="H5102" s="47">
        <v>19110</v>
      </c>
      <c r="I5102" s="27" t="s">
        <v>42</v>
      </c>
      <c r="J5102" s="58" t="s">
        <v>1303</v>
      </c>
      <c r="K5102" s="29">
        <v>43790</v>
      </c>
      <c r="W5102" s="303">
        <v>43799</v>
      </c>
      <c r="X5102" s="460">
        <v>43770</v>
      </c>
      <c r="Y5102" s="304" t="s">
        <v>1304</v>
      </c>
      <c r="Z5102" s="304">
        <v>447791</v>
      </c>
      <c r="AA5102" s="304"/>
      <c r="AB5102" s="237"/>
      <c r="AC5102" s="244"/>
      <c r="AD5102" s="244"/>
      <c r="AE5102" s="244"/>
      <c r="AF5102" s="244"/>
      <c r="AG5102" s="296"/>
      <c r="AH5102" s="296"/>
      <c r="AI5102" s="297"/>
      <c r="AJ5102" s="29">
        <v>43788</v>
      </c>
      <c r="AK5102" s="297"/>
      <c r="AL5102" s="297"/>
      <c r="AM5102" s="296" t="s">
        <v>49</v>
      </c>
      <c r="AN5102" s="296" t="s">
        <v>284</v>
      </c>
      <c r="AO5102" s="296" t="s">
        <v>50</v>
      </c>
      <c r="AP5102" s="296" t="s">
        <v>51</v>
      </c>
      <c r="AQ5102" s="457" t="s">
        <v>755</v>
      </c>
    </row>
    <row r="5103" spans="1:43" ht="15" customHeight="1">
      <c r="A5103" s="19">
        <v>43663</v>
      </c>
      <c r="B5103" s="20" t="s">
        <v>39</v>
      </c>
      <c r="C5103" s="21">
        <v>2029844</v>
      </c>
      <c r="D5103" s="22" t="s">
        <v>1302</v>
      </c>
      <c r="E5103" s="23" t="s">
        <v>52</v>
      </c>
      <c r="F5103" s="24">
        <v>70</v>
      </c>
      <c r="G5103" s="48">
        <v>31</v>
      </c>
      <c r="H5103" s="47">
        <v>2170</v>
      </c>
      <c r="I5103" s="27" t="s">
        <v>42</v>
      </c>
      <c r="J5103" s="58" t="s">
        <v>1303</v>
      </c>
      <c r="K5103" s="29">
        <v>43790</v>
      </c>
      <c r="W5103" s="303">
        <v>43830</v>
      </c>
      <c r="X5103" s="303">
        <v>43784</v>
      </c>
      <c r="Y5103" s="304" t="s">
        <v>1305</v>
      </c>
      <c r="Z5103" s="304">
        <v>1113666</v>
      </c>
      <c r="AA5103" s="304"/>
      <c r="AB5103" s="237"/>
      <c r="AC5103" s="244"/>
      <c r="AD5103" s="244"/>
      <c r="AE5103" s="244"/>
      <c r="AF5103" s="244"/>
      <c r="AG5103" s="296"/>
      <c r="AH5103" s="296"/>
      <c r="AI5103" s="297"/>
      <c r="AJ5103" s="29">
        <v>43788</v>
      </c>
      <c r="AK5103" s="297"/>
      <c r="AL5103" s="297"/>
      <c r="AM5103" s="296" t="s">
        <v>49</v>
      </c>
      <c r="AN5103" s="296" t="s">
        <v>284</v>
      </c>
      <c r="AO5103" s="296" t="s">
        <v>50</v>
      </c>
      <c r="AP5103" s="296" t="s">
        <v>51</v>
      </c>
      <c r="AQ5103" s="457" t="s">
        <v>755</v>
      </c>
    </row>
    <row r="5104" spans="1:43" ht="15" customHeight="1">
      <c r="A5104" s="19">
        <v>43663</v>
      </c>
      <c r="B5104" s="20" t="s">
        <v>39</v>
      </c>
      <c r="C5104" s="21">
        <v>2029844</v>
      </c>
      <c r="D5104" s="22" t="s">
        <v>1302</v>
      </c>
      <c r="E5104" s="23" t="s">
        <v>58</v>
      </c>
      <c r="F5104" s="24">
        <v>70</v>
      </c>
      <c r="G5104" s="48">
        <v>4</v>
      </c>
      <c r="H5104" s="47">
        <v>280</v>
      </c>
      <c r="I5104" s="27" t="s">
        <v>42</v>
      </c>
      <c r="J5104" s="58" t="s">
        <v>1303</v>
      </c>
      <c r="K5104" s="29">
        <v>43790</v>
      </c>
      <c r="W5104" s="303">
        <v>43830</v>
      </c>
      <c r="X5104" s="303">
        <v>43784</v>
      </c>
      <c r="Y5104" s="304" t="s">
        <v>1305</v>
      </c>
      <c r="Z5104" s="304"/>
      <c r="AA5104" s="304"/>
      <c r="AB5104" s="237"/>
      <c r="AC5104" s="244"/>
      <c r="AD5104" s="244"/>
      <c r="AE5104" s="244"/>
      <c r="AF5104" s="244"/>
      <c r="AG5104" s="296"/>
      <c r="AH5104" s="296"/>
      <c r="AI5104" s="297"/>
      <c r="AJ5104" s="29">
        <v>43788</v>
      </c>
      <c r="AK5104" s="297"/>
      <c r="AL5104" s="297"/>
      <c r="AM5104" s="296" t="s">
        <v>49</v>
      </c>
      <c r="AN5104" s="296" t="s">
        <v>284</v>
      </c>
      <c r="AO5104" s="296" t="s">
        <v>50</v>
      </c>
      <c r="AP5104" s="296" t="s">
        <v>51</v>
      </c>
      <c r="AQ5104" s="457" t="s">
        <v>755</v>
      </c>
    </row>
    <row r="5105" spans="1:43" ht="15" customHeight="1">
      <c r="A5105" s="19">
        <v>43663</v>
      </c>
      <c r="B5105" s="20" t="s">
        <v>39</v>
      </c>
      <c r="C5105" s="21">
        <v>2029844</v>
      </c>
      <c r="D5105" s="22" t="s">
        <v>1306</v>
      </c>
      <c r="E5105" s="23" t="s">
        <v>60</v>
      </c>
      <c r="F5105" s="24">
        <v>70</v>
      </c>
      <c r="G5105" s="48">
        <v>532</v>
      </c>
      <c r="H5105" s="26">
        <v>37240</v>
      </c>
      <c r="I5105" s="27" t="s">
        <v>42</v>
      </c>
      <c r="J5105" s="58" t="s">
        <v>1303</v>
      </c>
      <c r="K5105" s="29">
        <v>43790</v>
      </c>
      <c r="W5105" s="303">
        <v>43830</v>
      </c>
      <c r="X5105" s="303">
        <v>43784</v>
      </c>
      <c r="Y5105" s="304" t="s">
        <v>1305</v>
      </c>
      <c r="Z5105" s="304"/>
      <c r="AA5105" s="304"/>
      <c r="AB5105" s="237"/>
      <c r="AC5105" s="244"/>
      <c r="AD5105" s="244"/>
      <c r="AE5105" s="244"/>
      <c r="AF5105" s="244"/>
      <c r="AG5105" s="296"/>
      <c r="AH5105" s="296"/>
      <c r="AI5105" s="297"/>
      <c r="AJ5105" s="29">
        <v>43788</v>
      </c>
      <c r="AK5105" s="297"/>
      <c r="AL5105" s="297"/>
      <c r="AM5105" s="296" t="s">
        <v>49</v>
      </c>
      <c r="AN5105" s="296" t="s">
        <v>284</v>
      </c>
      <c r="AO5105" s="296" t="s">
        <v>50</v>
      </c>
      <c r="AP5105" s="296" t="s">
        <v>51</v>
      </c>
      <c r="AQ5105" s="457" t="s">
        <v>755</v>
      </c>
    </row>
    <row r="5106" spans="1:43" ht="15" customHeight="1">
      <c r="A5106" s="69">
        <v>43663</v>
      </c>
      <c r="B5106" s="70" t="s">
        <v>619</v>
      </c>
      <c r="C5106" s="21"/>
      <c r="D5106" s="21" t="s">
        <v>1307</v>
      </c>
      <c r="E5106" s="23" t="s">
        <v>1308</v>
      </c>
      <c r="F5106" s="24">
        <v>1</v>
      </c>
      <c r="G5106" s="25">
        <v>-130</v>
      </c>
      <c r="H5106" s="26">
        <v>-130</v>
      </c>
      <c r="I5106" s="27" t="s">
        <v>42</v>
      </c>
      <c r="J5106" s="50" t="s">
        <v>1309</v>
      </c>
      <c r="K5106" s="29">
        <v>43697</v>
      </c>
      <c r="W5106" s="304"/>
      <c r="X5106" s="304"/>
      <c r="Y5106" s="304"/>
      <c r="Z5106" s="304"/>
      <c r="AA5106" s="304"/>
      <c r="AB5106" s="237"/>
      <c r="AC5106" s="244"/>
      <c r="AD5106" s="244"/>
      <c r="AE5106" s="244"/>
      <c r="AF5106" s="244"/>
      <c r="AG5106" s="296"/>
      <c r="AH5106" s="296"/>
      <c r="AI5106" s="297"/>
      <c r="AJ5106" s="298">
        <v>43699</v>
      </c>
      <c r="AK5106" s="297"/>
      <c r="AL5106" s="297"/>
      <c r="AM5106" s="296" t="s">
        <v>49</v>
      </c>
      <c r="AN5106" s="296" t="s">
        <v>284</v>
      </c>
      <c r="AO5106" s="296" t="s">
        <v>50</v>
      </c>
      <c r="AP5106" s="296" t="s">
        <v>51</v>
      </c>
      <c r="AQ5106" s="234" t="s">
        <v>506</v>
      </c>
    </row>
    <row r="5107" spans="1:43" ht="15" customHeight="1">
      <c r="A5107" s="69">
        <v>43663</v>
      </c>
      <c r="B5107" s="70" t="s">
        <v>619</v>
      </c>
      <c r="C5107" s="21"/>
      <c r="D5107" s="21" t="s">
        <v>1310</v>
      </c>
      <c r="E5107" s="23" t="s">
        <v>1311</v>
      </c>
      <c r="F5107" s="82">
        <v>25</v>
      </c>
      <c r="G5107" s="25">
        <v>143.22</v>
      </c>
      <c r="H5107" s="26">
        <v>3580.5</v>
      </c>
      <c r="I5107" s="27" t="s">
        <v>42</v>
      </c>
      <c r="J5107" s="50" t="s">
        <v>1309</v>
      </c>
      <c r="K5107" s="29">
        <v>43697</v>
      </c>
      <c r="W5107" s="460">
        <v>43738</v>
      </c>
      <c r="X5107" s="460">
        <v>43683</v>
      </c>
      <c r="Y5107" s="304" t="s">
        <v>1312</v>
      </c>
      <c r="Z5107" s="304">
        <v>115985</v>
      </c>
      <c r="AA5107" s="460">
        <v>43739</v>
      </c>
      <c r="AB5107" s="237"/>
      <c r="AC5107" s="244"/>
      <c r="AD5107" s="244"/>
      <c r="AE5107" s="244"/>
      <c r="AF5107" s="244"/>
      <c r="AG5107" s="296"/>
      <c r="AH5107" s="296"/>
      <c r="AI5107" s="297"/>
      <c r="AJ5107" s="298">
        <v>43699</v>
      </c>
      <c r="AK5107" s="297"/>
      <c r="AL5107" s="297"/>
      <c r="AM5107" s="296" t="s">
        <v>49</v>
      </c>
      <c r="AN5107" s="296" t="s">
        <v>284</v>
      </c>
      <c r="AO5107" s="296" t="s">
        <v>50</v>
      </c>
      <c r="AP5107" s="296" t="s">
        <v>51</v>
      </c>
      <c r="AQ5107" s="234" t="s">
        <v>506</v>
      </c>
    </row>
    <row r="5108" spans="1:43" ht="15" customHeight="1">
      <c r="A5108" s="69">
        <v>43663</v>
      </c>
      <c r="B5108" s="70" t="s">
        <v>619</v>
      </c>
      <c r="C5108" s="21"/>
      <c r="D5108" s="21" t="s">
        <v>1310</v>
      </c>
      <c r="E5108" s="23" t="s">
        <v>1313</v>
      </c>
      <c r="F5108" s="82">
        <v>2</v>
      </c>
      <c r="G5108" s="25">
        <v>375.9</v>
      </c>
      <c r="H5108" s="26">
        <v>751.8</v>
      </c>
      <c r="I5108" s="27" t="s">
        <v>42</v>
      </c>
      <c r="J5108" s="50" t="s">
        <v>1309</v>
      </c>
      <c r="K5108" s="29">
        <v>43697</v>
      </c>
      <c r="W5108" s="460">
        <v>43738</v>
      </c>
      <c r="X5108" s="460">
        <v>43683</v>
      </c>
      <c r="Y5108" s="304" t="s">
        <v>1312</v>
      </c>
      <c r="Z5108" s="304"/>
      <c r="AA5108" s="460">
        <v>43739</v>
      </c>
      <c r="AB5108" s="237"/>
      <c r="AC5108" s="244"/>
      <c r="AD5108" s="244"/>
      <c r="AE5108" s="244"/>
      <c r="AF5108" s="244"/>
      <c r="AG5108" s="296"/>
      <c r="AH5108" s="296"/>
      <c r="AI5108" s="297"/>
      <c r="AJ5108" s="298">
        <v>43699</v>
      </c>
      <c r="AK5108" s="297"/>
      <c r="AL5108" s="297"/>
      <c r="AM5108" s="296" t="s">
        <v>49</v>
      </c>
      <c r="AN5108" s="296" t="s">
        <v>284</v>
      </c>
      <c r="AO5108" s="296" t="s">
        <v>50</v>
      </c>
      <c r="AP5108" s="296" t="s">
        <v>51</v>
      </c>
      <c r="AQ5108" s="234" t="s">
        <v>506</v>
      </c>
    </row>
    <row r="5109" spans="1:43" ht="15" customHeight="1">
      <c r="A5109" s="69">
        <v>43663</v>
      </c>
      <c r="B5109" s="70" t="s">
        <v>619</v>
      </c>
      <c r="C5109" s="21"/>
      <c r="D5109" s="21" t="s">
        <v>1310</v>
      </c>
      <c r="E5109" s="23" t="s">
        <v>1314</v>
      </c>
      <c r="F5109" s="82">
        <v>1</v>
      </c>
      <c r="G5109" s="25">
        <v>344.4</v>
      </c>
      <c r="H5109" s="26">
        <v>344.4</v>
      </c>
      <c r="I5109" s="27" t="s">
        <v>42</v>
      </c>
      <c r="J5109" s="50" t="s">
        <v>1309</v>
      </c>
      <c r="K5109" s="29">
        <v>43697</v>
      </c>
      <c r="W5109" s="460">
        <v>43738</v>
      </c>
      <c r="X5109" s="460">
        <v>43685</v>
      </c>
      <c r="Y5109" s="304" t="s">
        <v>1315</v>
      </c>
      <c r="Z5109" s="304">
        <v>83968</v>
      </c>
      <c r="AA5109" s="460">
        <v>43739</v>
      </c>
      <c r="AB5109" s="237"/>
      <c r="AC5109" s="244"/>
      <c r="AD5109" s="244"/>
      <c r="AE5109" s="244"/>
      <c r="AF5109" s="244"/>
      <c r="AG5109" s="296"/>
      <c r="AH5109" s="296"/>
      <c r="AI5109" s="297"/>
      <c r="AJ5109" s="298">
        <v>43699</v>
      </c>
      <c r="AK5109" s="297"/>
      <c r="AL5109" s="297"/>
      <c r="AM5109" s="296" t="s">
        <v>49</v>
      </c>
      <c r="AN5109" s="296" t="s">
        <v>284</v>
      </c>
      <c r="AO5109" s="296" t="s">
        <v>50</v>
      </c>
      <c r="AP5109" s="296" t="s">
        <v>51</v>
      </c>
      <c r="AQ5109" s="234" t="s">
        <v>506</v>
      </c>
    </row>
    <row r="5110" spans="1:43" ht="15" customHeight="1">
      <c r="A5110" s="69">
        <v>43663</v>
      </c>
      <c r="B5110" s="70" t="s">
        <v>619</v>
      </c>
      <c r="C5110" s="21"/>
      <c r="D5110" s="21" t="s">
        <v>1310</v>
      </c>
      <c r="E5110" s="23" t="s">
        <v>1316</v>
      </c>
      <c r="F5110" s="82">
        <v>1</v>
      </c>
      <c r="G5110" s="25">
        <v>2892.75</v>
      </c>
      <c r="H5110" s="26">
        <v>2892.75</v>
      </c>
      <c r="I5110" s="27" t="s">
        <v>42</v>
      </c>
      <c r="J5110" s="50" t="s">
        <v>1309</v>
      </c>
      <c r="K5110" s="29">
        <v>43697</v>
      </c>
      <c r="W5110" s="460">
        <v>43738</v>
      </c>
      <c r="X5110" s="460">
        <v>43685</v>
      </c>
      <c r="Y5110" s="304" t="s">
        <v>1315</v>
      </c>
      <c r="Z5110" s="304"/>
      <c r="AA5110" s="460">
        <v>43739</v>
      </c>
      <c r="AB5110" s="237"/>
      <c r="AC5110" s="244"/>
      <c r="AD5110" s="244"/>
      <c r="AE5110" s="244"/>
      <c r="AF5110" s="244"/>
      <c r="AG5110" s="296"/>
      <c r="AH5110" s="296"/>
      <c r="AI5110" s="297"/>
      <c r="AJ5110" s="298">
        <v>43699</v>
      </c>
      <c r="AK5110" s="297"/>
      <c r="AL5110" s="297"/>
      <c r="AM5110" s="296" t="s">
        <v>49</v>
      </c>
      <c r="AN5110" s="296" t="s">
        <v>284</v>
      </c>
      <c r="AO5110" s="296" t="s">
        <v>50</v>
      </c>
      <c r="AP5110" s="296" t="s">
        <v>51</v>
      </c>
      <c r="AQ5110" s="234" t="s">
        <v>506</v>
      </c>
    </row>
    <row r="5111" spans="1:43" ht="15" customHeight="1">
      <c r="A5111" s="69">
        <v>43663</v>
      </c>
      <c r="B5111" s="70" t="s">
        <v>619</v>
      </c>
      <c r="C5111" s="21"/>
      <c r="D5111" s="21" t="s">
        <v>1310</v>
      </c>
      <c r="E5111" s="23" t="s">
        <v>1317</v>
      </c>
      <c r="F5111" s="82">
        <v>35</v>
      </c>
      <c r="G5111" s="25">
        <v>143.22</v>
      </c>
      <c r="H5111" s="26">
        <v>5012.7</v>
      </c>
      <c r="I5111" s="27" t="s">
        <v>42</v>
      </c>
      <c r="J5111" s="50" t="s">
        <v>1309</v>
      </c>
      <c r="K5111" s="29">
        <v>43697</v>
      </c>
      <c r="W5111" s="460">
        <v>43738</v>
      </c>
      <c r="X5111" s="460">
        <v>43685</v>
      </c>
      <c r="Y5111" s="304" t="s">
        <v>1318</v>
      </c>
      <c r="Z5111" s="304">
        <v>181811</v>
      </c>
      <c r="AA5111" s="460">
        <v>43739</v>
      </c>
      <c r="AB5111" s="237"/>
      <c r="AC5111" s="244"/>
      <c r="AD5111" s="244"/>
      <c r="AE5111" s="244"/>
      <c r="AF5111" s="244"/>
      <c r="AG5111" s="296"/>
      <c r="AH5111" s="296"/>
      <c r="AI5111" s="297"/>
      <c r="AJ5111" s="298">
        <v>43699</v>
      </c>
      <c r="AK5111" s="297"/>
      <c r="AL5111" s="297"/>
      <c r="AM5111" s="296" t="s">
        <v>49</v>
      </c>
      <c r="AN5111" s="296" t="s">
        <v>284</v>
      </c>
      <c r="AO5111" s="296" t="s">
        <v>50</v>
      </c>
      <c r="AP5111" s="296" t="s">
        <v>51</v>
      </c>
      <c r="AQ5111" s="234" t="s">
        <v>506</v>
      </c>
    </row>
    <row r="5112" spans="1:43" ht="15" customHeight="1">
      <c r="A5112" s="69">
        <v>43663</v>
      </c>
      <c r="B5112" s="70" t="s">
        <v>619</v>
      </c>
      <c r="C5112" s="21"/>
      <c r="D5112" s="21" t="s">
        <v>1310</v>
      </c>
      <c r="E5112" s="32" t="s">
        <v>1319</v>
      </c>
      <c r="F5112" s="82">
        <v>3</v>
      </c>
      <c r="G5112" s="48">
        <v>344.4</v>
      </c>
      <c r="H5112" s="26">
        <v>1033.1999999999998</v>
      </c>
      <c r="I5112" s="27" t="s">
        <v>42</v>
      </c>
      <c r="J5112" s="50" t="s">
        <v>1309</v>
      </c>
      <c r="K5112" s="29">
        <v>43697</v>
      </c>
      <c r="W5112" s="460">
        <v>43738</v>
      </c>
      <c r="X5112" s="460">
        <v>43685</v>
      </c>
      <c r="Y5112" s="304" t="s">
        <v>1318</v>
      </c>
      <c r="Z5112" s="304"/>
      <c r="AA5112" s="460">
        <v>43739</v>
      </c>
      <c r="AB5112" s="237"/>
      <c r="AC5112" s="244"/>
      <c r="AD5112" s="244"/>
      <c r="AE5112" s="244"/>
      <c r="AF5112" s="244"/>
      <c r="AG5112" s="296"/>
      <c r="AH5112" s="296"/>
      <c r="AI5112" s="297"/>
      <c r="AJ5112" s="298">
        <v>43699</v>
      </c>
      <c r="AK5112" s="297"/>
      <c r="AL5112" s="297"/>
      <c r="AM5112" s="296" t="s">
        <v>49</v>
      </c>
      <c r="AN5112" s="296" t="s">
        <v>284</v>
      </c>
      <c r="AO5112" s="296" t="s">
        <v>50</v>
      </c>
      <c r="AP5112" s="296" t="s">
        <v>51</v>
      </c>
      <c r="AQ5112" s="234" t="s">
        <v>506</v>
      </c>
    </row>
    <row r="5113" spans="1:43" ht="15" customHeight="1">
      <c r="A5113" s="69">
        <v>43663</v>
      </c>
      <c r="B5113" s="70" t="s">
        <v>619</v>
      </c>
      <c r="C5113" s="21"/>
      <c r="D5113" s="21" t="s">
        <v>1310</v>
      </c>
      <c r="E5113" s="32" t="s">
        <v>1320</v>
      </c>
      <c r="F5113" s="82">
        <v>2</v>
      </c>
      <c r="G5113" s="48">
        <v>391.65</v>
      </c>
      <c r="H5113" s="26">
        <v>783.3</v>
      </c>
      <c r="I5113" s="27" t="s">
        <v>42</v>
      </c>
      <c r="J5113" s="50" t="s">
        <v>1309</v>
      </c>
      <c r="K5113" s="29">
        <v>43697</v>
      </c>
      <c r="W5113" s="460">
        <v>43738</v>
      </c>
      <c r="X5113" s="460">
        <v>43685</v>
      </c>
      <c r="Y5113" s="304" t="s">
        <v>1318</v>
      </c>
      <c r="Z5113" s="304"/>
      <c r="AA5113" s="460">
        <v>43739</v>
      </c>
      <c r="AB5113" s="237"/>
      <c r="AC5113" s="244"/>
      <c r="AD5113" s="244"/>
      <c r="AE5113" s="244"/>
      <c r="AF5113" s="244"/>
      <c r="AG5113" s="296"/>
      <c r="AH5113" s="296"/>
      <c r="AI5113" s="297"/>
      <c r="AJ5113" s="298">
        <v>43699</v>
      </c>
      <c r="AK5113" s="297"/>
      <c r="AL5113" s="297"/>
      <c r="AM5113" s="296" t="s">
        <v>49</v>
      </c>
      <c r="AN5113" s="296" t="s">
        <v>284</v>
      </c>
      <c r="AO5113" s="296" t="s">
        <v>50</v>
      </c>
      <c r="AP5113" s="296" t="s">
        <v>51</v>
      </c>
      <c r="AQ5113" s="234" t="s">
        <v>506</v>
      </c>
    </row>
    <row r="5114" spans="1:43" ht="15" customHeight="1">
      <c r="A5114" s="69">
        <v>43663</v>
      </c>
      <c r="B5114" s="70" t="s">
        <v>619</v>
      </c>
      <c r="C5114" s="21"/>
      <c r="D5114" s="21" t="s">
        <v>1310</v>
      </c>
      <c r="E5114" s="32" t="s">
        <v>1321</v>
      </c>
      <c r="F5114" s="82">
        <v>14</v>
      </c>
      <c r="G5114" s="48">
        <v>960.75</v>
      </c>
      <c r="H5114" s="26">
        <v>13450.5</v>
      </c>
      <c r="I5114" s="27" t="s">
        <v>42</v>
      </c>
      <c r="J5114" s="50" t="s">
        <v>1309</v>
      </c>
      <c r="K5114" s="29">
        <v>43697</v>
      </c>
      <c r="W5114" s="460">
        <v>43738</v>
      </c>
      <c r="X5114" s="460">
        <v>43691</v>
      </c>
      <c r="Y5114" s="304" t="s">
        <v>1322</v>
      </c>
      <c r="Z5114" s="304">
        <v>475572</v>
      </c>
      <c r="AA5114" s="460">
        <v>43739</v>
      </c>
      <c r="AB5114" s="237"/>
      <c r="AC5114" s="244"/>
      <c r="AD5114" s="244"/>
      <c r="AE5114" s="244"/>
      <c r="AF5114" s="244"/>
      <c r="AG5114" s="296"/>
      <c r="AH5114" s="296"/>
      <c r="AI5114" s="297"/>
      <c r="AJ5114" s="298">
        <v>43699</v>
      </c>
      <c r="AK5114" s="297"/>
      <c r="AL5114" s="297"/>
      <c r="AM5114" s="296" t="s">
        <v>49</v>
      </c>
      <c r="AN5114" s="296" t="s">
        <v>284</v>
      </c>
      <c r="AO5114" s="296" t="s">
        <v>50</v>
      </c>
      <c r="AP5114" s="296" t="s">
        <v>51</v>
      </c>
      <c r="AQ5114" s="234" t="s">
        <v>506</v>
      </c>
    </row>
    <row r="5115" spans="1:43" ht="15" customHeight="1">
      <c r="A5115" s="69">
        <v>43663</v>
      </c>
      <c r="B5115" s="70" t="s">
        <v>619</v>
      </c>
      <c r="C5115" s="21"/>
      <c r="D5115" s="21" t="s">
        <v>1310</v>
      </c>
      <c r="E5115" s="32" t="s">
        <v>1323</v>
      </c>
      <c r="F5115" s="82">
        <v>1</v>
      </c>
      <c r="G5115" s="48">
        <v>2892.75</v>
      </c>
      <c r="H5115" s="26">
        <v>2892.75</v>
      </c>
      <c r="I5115" s="27" t="s">
        <v>42</v>
      </c>
      <c r="J5115" s="50" t="s">
        <v>1309</v>
      </c>
      <c r="K5115" s="29">
        <v>43697</v>
      </c>
      <c r="W5115" s="460">
        <v>43738</v>
      </c>
      <c r="X5115" s="460">
        <v>43691</v>
      </c>
      <c r="Y5115" s="304" t="s">
        <v>1322</v>
      </c>
      <c r="Z5115" s="304"/>
      <c r="AA5115" s="460">
        <v>43739</v>
      </c>
      <c r="AB5115" s="237"/>
      <c r="AC5115" s="244"/>
      <c r="AD5115" s="244"/>
      <c r="AE5115" s="244"/>
      <c r="AF5115" s="244"/>
      <c r="AG5115" s="296"/>
      <c r="AH5115" s="296"/>
      <c r="AI5115" s="297"/>
      <c r="AJ5115" s="298">
        <v>43699</v>
      </c>
      <c r="AK5115" s="297"/>
      <c r="AL5115" s="297"/>
      <c r="AM5115" s="296" t="s">
        <v>49</v>
      </c>
      <c r="AN5115" s="296" t="s">
        <v>284</v>
      </c>
      <c r="AO5115" s="296" t="s">
        <v>50</v>
      </c>
      <c r="AP5115" s="296" t="s">
        <v>51</v>
      </c>
      <c r="AQ5115" s="234" t="s">
        <v>506</v>
      </c>
    </row>
    <row r="5116" spans="1:43" ht="15" customHeight="1">
      <c r="A5116" s="69">
        <v>43663</v>
      </c>
      <c r="B5116" s="70" t="s">
        <v>619</v>
      </c>
      <c r="C5116" s="21"/>
      <c r="D5116" s="21" t="s">
        <v>1310</v>
      </c>
      <c r="E5116" s="32" t="s">
        <v>1324</v>
      </c>
      <c r="F5116" s="82">
        <v>20</v>
      </c>
      <c r="G5116" s="48">
        <v>960.75</v>
      </c>
      <c r="H5116" s="26">
        <v>19215</v>
      </c>
      <c r="I5116" s="27" t="s">
        <v>42</v>
      </c>
      <c r="J5116" s="50" t="s">
        <v>1309</v>
      </c>
      <c r="K5116" s="29">
        <v>43697</v>
      </c>
      <c r="W5116" s="460">
        <v>43738</v>
      </c>
      <c r="X5116" s="460">
        <v>43691</v>
      </c>
      <c r="Y5116" s="304" t="s">
        <v>1325</v>
      </c>
      <c r="Z5116" s="304">
        <v>590281</v>
      </c>
      <c r="AA5116" s="460">
        <v>43739</v>
      </c>
      <c r="AB5116" s="237"/>
      <c r="AC5116" s="244"/>
      <c r="AD5116" s="244"/>
      <c r="AE5116" s="244"/>
      <c r="AF5116" s="244"/>
      <c r="AG5116" s="296"/>
      <c r="AH5116" s="296"/>
      <c r="AI5116" s="297"/>
      <c r="AJ5116" s="298">
        <v>43699</v>
      </c>
      <c r="AK5116" s="297">
        <f>1596000+1978</f>
        <v>1597978</v>
      </c>
      <c r="AL5116" s="297">
        <v>0</v>
      </c>
      <c r="AM5116" s="296" t="s">
        <v>49</v>
      </c>
      <c r="AN5116" s="296" t="s">
        <v>284</v>
      </c>
      <c r="AO5116" s="296" t="s">
        <v>50</v>
      </c>
      <c r="AP5116" s="296" t="s">
        <v>51</v>
      </c>
      <c r="AQ5116" s="234" t="s">
        <v>506</v>
      </c>
    </row>
    <row r="5117" spans="1:43" ht="15" customHeight="1">
      <c r="A5117" s="69">
        <v>43663</v>
      </c>
      <c r="B5117" s="70" t="s">
        <v>619</v>
      </c>
      <c r="C5117" s="21"/>
      <c r="D5117" s="21" t="s">
        <v>1310</v>
      </c>
      <c r="E5117" s="32" t="s">
        <v>1326</v>
      </c>
      <c r="F5117" s="82">
        <v>2</v>
      </c>
      <c r="G5117" s="48">
        <v>391.65</v>
      </c>
      <c r="H5117" s="26">
        <v>783.3</v>
      </c>
      <c r="I5117" s="27" t="s">
        <v>42</v>
      </c>
      <c r="J5117" s="50" t="s">
        <v>1309</v>
      </c>
      <c r="K5117" s="29">
        <v>43697</v>
      </c>
      <c r="W5117" s="460">
        <v>43738</v>
      </c>
      <c r="X5117" s="460">
        <v>43691</v>
      </c>
      <c r="Y5117" s="304" t="s">
        <v>1325</v>
      </c>
      <c r="Z5117" s="304"/>
      <c r="AA5117" s="460">
        <v>43739</v>
      </c>
      <c r="AB5117" s="237"/>
      <c r="AC5117" s="244"/>
      <c r="AD5117" s="244"/>
      <c r="AE5117" s="244"/>
      <c r="AF5117" s="244"/>
      <c r="AG5117" s="296"/>
      <c r="AH5117" s="296"/>
      <c r="AI5117" s="297"/>
      <c r="AJ5117" s="298">
        <v>43699</v>
      </c>
      <c r="AK5117" s="297"/>
      <c r="AL5117" s="297"/>
      <c r="AM5117" s="296" t="s">
        <v>49</v>
      </c>
      <c r="AN5117" s="296" t="s">
        <v>284</v>
      </c>
      <c r="AO5117" s="296" t="s">
        <v>50</v>
      </c>
      <c r="AP5117" s="296" t="s">
        <v>51</v>
      </c>
      <c r="AQ5117" s="234" t="s">
        <v>506</v>
      </c>
    </row>
    <row r="5118" spans="1:43" ht="15" customHeight="1">
      <c r="A5118" s="69">
        <v>43663</v>
      </c>
      <c r="B5118" s="144" t="s">
        <v>463</v>
      </c>
      <c r="C5118" s="21">
        <v>504602</v>
      </c>
      <c r="D5118" s="21" t="s">
        <v>1327</v>
      </c>
      <c r="E5118" s="32" t="s">
        <v>1328</v>
      </c>
      <c r="F5118" s="24">
        <v>1</v>
      </c>
      <c r="G5118" s="48">
        <v>470</v>
      </c>
      <c r="H5118" s="26">
        <v>470</v>
      </c>
      <c r="I5118" s="61" t="s">
        <v>104</v>
      </c>
      <c r="J5118" s="63" t="s">
        <v>466</v>
      </c>
      <c r="K5118" s="29">
        <v>43692</v>
      </c>
      <c r="W5118" s="304"/>
      <c r="X5118" s="304"/>
      <c r="Y5118" s="304"/>
      <c r="Z5118" s="304"/>
      <c r="AA5118" s="304"/>
      <c r="AB5118" s="237"/>
      <c r="AC5118" s="244"/>
      <c r="AD5118" s="244"/>
      <c r="AE5118" s="244"/>
      <c r="AF5118" s="244"/>
      <c r="AG5118" s="296"/>
      <c r="AH5118" s="296"/>
      <c r="AI5118" s="297"/>
      <c r="AJ5118" s="298">
        <v>43692</v>
      </c>
      <c r="AK5118" s="297">
        <f>463.61*31.32</f>
        <v>14520.2652</v>
      </c>
      <c r="AL5118" s="297">
        <f>(470-463.61)*31.32</f>
        <v>200.13479999999959</v>
      </c>
      <c r="AM5118" s="296" t="s">
        <v>49</v>
      </c>
      <c r="AN5118" s="296" t="s">
        <v>284</v>
      </c>
      <c r="AO5118" s="296" t="s">
        <v>285</v>
      </c>
      <c r="AP5118" s="296" t="s">
        <v>51</v>
      </c>
      <c r="AQ5118" s="234" t="s">
        <v>506</v>
      </c>
    </row>
    <row r="5119" spans="1:43" ht="15" customHeight="1">
      <c r="A5119" s="69">
        <v>43663</v>
      </c>
      <c r="B5119" s="70" t="s">
        <v>1236</v>
      </c>
      <c r="C5119" s="21" t="s">
        <v>1329</v>
      </c>
      <c r="D5119" s="491" t="s">
        <v>1330</v>
      </c>
      <c r="E5119" s="32" t="s">
        <v>1331</v>
      </c>
      <c r="F5119" s="296">
        <v>13</v>
      </c>
      <c r="G5119" s="74">
        <v>610</v>
      </c>
      <c r="H5119" s="26">
        <v>7930</v>
      </c>
      <c r="I5119" s="61" t="s">
        <v>104</v>
      </c>
      <c r="J5119" s="63" t="s">
        <v>532</v>
      </c>
      <c r="K5119" s="29">
        <v>43684</v>
      </c>
      <c r="W5119" s="460">
        <v>43738</v>
      </c>
      <c r="X5119" s="460">
        <v>43676</v>
      </c>
      <c r="Y5119" s="304" t="s">
        <v>1332</v>
      </c>
      <c r="Z5119" s="304">
        <v>322268</v>
      </c>
      <c r="AA5119" s="460">
        <v>43738</v>
      </c>
      <c r="AB5119" s="237"/>
      <c r="AC5119" s="244"/>
      <c r="AD5119" s="244"/>
      <c r="AE5119" s="244"/>
      <c r="AF5119" s="244"/>
      <c r="AG5119" s="296"/>
      <c r="AH5119" s="296"/>
      <c r="AI5119" s="297"/>
      <c r="AJ5119" s="298">
        <v>43734</v>
      </c>
      <c r="AK5119" s="297"/>
      <c r="AL5119" s="297"/>
      <c r="AM5119" s="296" t="s">
        <v>49</v>
      </c>
      <c r="AN5119" s="296" t="s">
        <v>284</v>
      </c>
      <c r="AO5119" s="296" t="s">
        <v>50</v>
      </c>
      <c r="AP5119" s="296" t="s">
        <v>51</v>
      </c>
      <c r="AQ5119" s="234" t="s">
        <v>506</v>
      </c>
    </row>
    <row r="5120" spans="1:43" ht="15" customHeight="1">
      <c r="A5120" s="69">
        <v>43663</v>
      </c>
      <c r="B5120" s="70" t="s">
        <v>1236</v>
      </c>
      <c r="C5120" s="21" t="s">
        <v>1329</v>
      </c>
      <c r="D5120" s="491" t="s">
        <v>1330</v>
      </c>
      <c r="E5120" s="32" t="s">
        <v>1045</v>
      </c>
      <c r="F5120" s="296">
        <v>13</v>
      </c>
      <c r="G5120" s="74">
        <v>219</v>
      </c>
      <c r="H5120" s="26">
        <v>2847</v>
      </c>
      <c r="I5120" s="61" t="s">
        <v>104</v>
      </c>
      <c r="J5120" s="63" t="s">
        <v>532</v>
      </c>
      <c r="K5120" s="29">
        <v>43684</v>
      </c>
      <c r="W5120" s="460">
        <v>43738</v>
      </c>
      <c r="X5120" s="460">
        <v>43676</v>
      </c>
      <c r="Y5120" s="304" t="s">
        <v>1332</v>
      </c>
      <c r="Z5120" s="304"/>
      <c r="AA5120" s="460">
        <v>43738</v>
      </c>
      <c r="AB5120" s="237"/>
      <c r="AC5120" s="244"/>
      <c r="AD5120" s="244"/>
      <c r="AE5120" s="244"/>
      <c r="AF5120" s="244"/>
      <c r="AG5120" s="296"/>
      <c r="AH5120" s="296"/>
      <c r="AI5120" s="297"/>
      <c r="AJ5120" s="298">
        <v>43734</v>
      </c>
      <c r="AK5120" s="297"/>
      <c r="AL5120" s="297"/>
      <c r="AM5120" s="296" t="s">
        <v>49</v>
      </c>
      <c r="AN5120" s="296" t="s">
        <v>284</v>
      </c>
      <c r="AO5120" s="296" t="s">
        <v>50</v>
      </c>
      <c r="AP5120" s="296" t="s">
        <v>51</v>
      </c>
      <c r="AQ5120" s="234" t="s">
        <v>506</v>
      </c>
    </row>
    <row r="5121" spans="1:43" ht="15" customHeight="1">
      <c r="A5121" s="69">
        <v>43663</v>
      </c>
      <c r="B5121" s="70" t="s">
        <v>1236</v>
      </c>
      <c r="C5121" s="21" t="s">
        <v>1329</v>
      </c>
      <c r="D5121" s="491" t="s">
        <v>1330</v>
      </c>
      <c r="E5121" s="32" t="s">
        <v>1333</v>
      </c>
      <c r="F5121" s="296">
        <v>13</v>
      </c>
      <c r="G5121" s="74">
        <v>54</v>
      </c>
      <c r="H5121" s="26">
        <v>702</v>
      </c>
      <c r="I5121" s="61" t="s">
        <v>104</v>
      </c>
      <c r="J5121" s="63" t="s">
        <v>532</v>
      </c>
      <c r="K5121" s="29">
        <v>43684</v>
      </c>
      <c r="W5121" s="460">
        <v>43682</v>
      </c>
      <c r="X5121" s="460">
        <v>43668</v>
      </c>
      <c r="Y5121" s="304" t="s">
        <v>1334</v>
      </c>
      <c r="Z5121" s="304">
        <v>16107</v>
      </c>
      <c r="AA5121" s="460">
        <v>43682</v>
      </c>
      <c r="AB5121" s="237"/>
      <c r="AC5121" s="244"/>
      <c r="AD5121" s="244"/>
      <c r="AE5121" s="244"/>
      <c r="AF5121" s="244"/>
      <c r="AG5121" s="296"/>
      <c r="AH5121" s="296"/>
      <c r="AI5121" s="297"/>
      <c r="AJ5121" s="298">
        <v>43734</v>
      </c>
      <c r="AK5121" s="297">
        <f>16628.67*30.98</f>
        <v>515156.19659999997</v>
      </c>
      <c r="AL5121" s="297">
        <f>(16657-16628.67)*30.98</f>
        <v>877.66340000005414</v>
      </c>
      <c r="AM5121" s="296" t="s">
        <v>49</v>
      </c>
      <c r="AN5121" s="296" t="s">
        <v>284</v>
      </c>
      <c r="AO5121" s="296" t="s">
        <v>50</v>
      </c>
      <c r="AP5121" s="296" t="s">
        <v>51</v>
      </c>
      <c r="AQ5121" s="234" t="s">
        <v>506</v>
      </c>
    </row>
    <row r="5122" spans="1:43" ht="15" customHeight="1">
      <c r="A5122" s="69">
        <v>43664</v>
      </c>
      <c r="B5122" s="70" t="s">
        <v>1236</v>
      </c>
      <c r="C5122" s="506" t="s">
        <v>1237</v>
      </c>
      <c r="D5122" s="21" t="s">
        <v>1335</v>
      </c>
      <c r="E5122" s="32" t="s">
        <v>346</v>
      </c>
      <c r="F5122" s="24">
        <v>1</v>
      </c>
      <c r="G5122" s="48">
        <v>252</v>
      </c>
      <c r="H5122" s="26">
        <v>252</v>
      </c>
      <c r="I5122" s="61" t="s">
        <v>104</v>
      </c>
      <c r="J5122" s="63" t="s">
        <v>1336</v>
      </c>
      <c r="K5122" s="29">
        <v>43668</v>
      </c>
      <c r="W5122" s="460">
        <v>43738</v>
      </c>
      <c r="X5122" s="460">
        <v>43672</v>
      </c>
      <c r="Y5122" s="304" t="s">
        <v>1337</v>
      </c>
      <c r="Z5122" s="304">
        <v>5439</v>
      </c>
      <c r="AA5122" s="460">
        <v>43710</v>
      </c>
      <c r="AB5122" s="237"/>
      <c r="AC5122" s="244"/>
      <c r="AD5122" s="244"/>
      <c r="AE5122" s="244"/>
      <c r="AF5122" s="244"/>
      <c r="AG5122" s="296"/>
      <c r="AH5122" s="296"/>
      <c r="AI5122" s="297"/>
      <c r="AJ5122" s="298">
        <v>43704</v>
      </c>
      <c r="AK5122" s="297"/>
      <c r="AL5122" s="297"/>
      <c r="AM5122" s="296" t="s">
        <v>49</v>
      </c>
      <c r="AN5122" s="296" t="s">
        <v>284</v>
      </c>
      <c r="AO5122" s="296" t="s">
        <v>50</v>
      </c>
      <c r="AP5122" s="296" t="s">
        <v>51</v>
      </c>
      <c r="AQ5122" s="234" t="s">
        <v>506</v>
      </c>
    </row>
    <row r="5123" spans="1:43" ht="15" customHeight="1">
      <c r="A5123" s="69">
        <v>43665</v>
      </c>
      <c r="B5123" s="70" t="s">
        <v>222</v>
      </c>
      <c r="C5123" s="21" t="s">
        <v>1338</v>
      </c>
      <c r="D5123" s="21" t="s">
        <v>1339</v>
      </c>
      <c r="E5123" s="32" t="s">
        <v>1340</v>
      </c>
      <c r="F5123" s="24">
        <v>10</v>
      </c>
      <c r="G5123" s="48">
        <f>90*1.05</f>
        <v>94.5</v>
      </c>
      <c r="H5123" s="60">
        <v>945</v>
      </c>
      <c r="I5123" s="61" t="s">
        <v>143</v>
      </c>
      <c r="J5123" s="63" t="s">
        <v>89</v>
      </c>
      <c r="K5123" s="30">
        <v>43675</v>
      </c>
      <c r="W5123" s="460">
        <v>43738</v>
      </c>
      <c r="X5123" s="460">
        <v>43672</v>
      </c>
      <c r="Y5123" s="304" t="s">
        <v>1341</v>
      </c>
      <c r="Z5123" s="304">
        <v>31824</v>
      </c>
      <c r="AA5123" s="460">
        <v>43739</v>
      </c>
      <c r="AB5123" s="237"/>
      <c r="AC5123" s="244"/>
      <c r="AD5123" s="244"/>
      <c r="AE5123" s="244"/>
      <c r="AF5123" s="244"/>
      <c r="AG5123" s="296"/>
      <c r="AH5123" s="296"/>
      <c r="AI5123" s="297"/>
      <c r="AJ5123" s="298">
        <v>43718</v>
      </c>
      <c r="AK5123" s="297">
        <v>108650</v>
      </c>
      <c r="AL5123" s="297">
        <v>15</v>
      </c>
      <c r="AM5123" s="296" t="s">
        <v>49</v>
      </c>
      <c r="AN5123" s="296" t="s">
        <v>284</v>
      </c>
      <c r="AO5123" s="296" t="s">
        <v>50</v>
      </c>
      <c r="AP5123" s="296" t="s">
        <v>376</v>
      </c>
      <c r="AQ5123" s="234" t="s">
        <v>506</v>
      </c>
    </row>
    <row r="5124" spans="1:43" ht="15" customHeight="1">
      <c r="A5124" s="69">
        <v>43665</v>
      </c>
      <c r="B5124" s="70" t="s">
        <v>222</v>
      </c>
      <c r="C5124" s="21" t="s">
        <v>1338</v>
      </c>
      <c r="D5124" s="21" t="s">
        <v>1339</v>
      </c>
      <c r="E5124" s="32" t="s">
        <v>1342</v>
      </c>
      <c r="F5124" s="24">
        <v>2</v>
      </c>
      <c r="G5124" s="48">
        <f>87*1.05</f>
        <v>91.350000000000009</v>
      </c>
      <c r="H5124" s="60">
        <v>182.70000000000002</v>
      </c>
      <c r="I5124" s="61" t="s">
        <v>143</v>
      </c>
      <c r="J5124" s="63" t="s">
        <v>89</v>
      </c>
      <c r="K5124" s="30">
        <v>43675</v>
      </c>
      <c r="W5124" s="460">
        <v>43738</v>
      </c>
      <c r="X5124" s="460">
        <v>43672</v>
      </c>
      <c r="Y5124" s="304" t="s">
        <v>1341</v>
      </c>
      <c r="Z5124" s="304"/>
      <c r="AA5124" s="460">
        <v>43739</v>
      </c>
      <c r="AB5124" s="237"/>
      <c r="AC5124" s="244"/>
      <c r="AD5124" s="244"/>
      <c r="AE5124" s="244"/>
      <c r="AF5124" s="244"/>
      <c r="AG5124" s="296"/>
      <c r="AH5124" s="296"/>
      <c r="AI5124" s="297"/>
      <c r="AJ5124" s="298">
        <v>43718</v>
      </c>
      <c r="AK5124" s="297"/>
      <c r="AL5124" s="297"/>
      <c r="AM5124" s="296" t="s">
        <v>49</v>
      </c>
      <c r="AN5124" s="296" t="s">
        <v>284</v>
      </c>
      <c r="AO5124" s="296" t="s">
        <v>50</v>
      </c>
      <c r="AP5124" s="296" t="s">
        <v>376</v>
      </c>
      <c r="AQ5124" s="234" t="s">
        <v>506</v>
      </c>
    </row>
    <row r="5125" spans="1:43" ht="15" customHeight="1">
      <c r="A5125" s="69">
        <v>43665</v>
      </c>
      <c r="B5125" s="144" t="s">
        <v>377</v>
      </c>
      <c r="C5125" s="21" t="s">
        <v>1343</v>
      </c>
      <c r="D5125" s="21" t="s">
        <v>1344</v>
      </c>
      <c r="E5125" s="32" t="s">
        <v>1345</v>
      </c>
      <c r="F5125" s="24">
        <v>3</v>
      </c>
      <c r="G5125" s="48">
        <v>0</v>
      </c>
      <c r="H5125" s="60">
        <v>0</v>
      </c>
      <c r="I5125" s="61" t="s">
        <v>143</v>
      </c>
      <c r="J5125" s="58" t="s">
        <v>1107</v>
      </c>
      <c r="K5125" s="30">
        <v>43804</v>
      </c>
      <c r="W5125" s="304"/>
      <c r="X5125" s="304"/>
      <c r="Y5125" s="304"/>
      <c r="Z5125" s="304"/>
      <c r="AA5125" s="304"/>
      <c r="AB5125" s="237"/>
      <c r="AC5125" s="244"/>
      <c r="AD5125" s="244"/>
      <c r="AE5125" s="244"/>
      <c r="AF5125" s="244"/>
      <c r="AG5125" s="296"/>
      <c r="AH5125" s="296"/>
      <c r="AI5125" s="297"/>
      <c r="AJ5125" s="296"/>
      <c r="AK5125" s="296"/>
      <c r="AL5125" s="296"/>
      <c r="AM5125" s="296" t="s">
        <v>1212</v>
      </c>
      <c r="AN5125" s="82" t="s">
        <v>284</v>
      </c>
      <c r="AO5125" s="296" t="s">
        <v>285</v>
      </c>
      <c r="AP5125" s="296" t="s">
        <v>51</v>
      </c>
      <c r="AQ5125" s="296" t="s">
        <v>1346</v>
      </c>
    </row>
    <row r="5126" spans="1:43" ht="15" customHeight="1">
      <c r="A5126" s="69">
        <v>43665</v>
      </c>
      <c r="B5126" s="144" t="s">
        <v>377</v>
      </c>
      <c r="C5126" s="21" t="s">
        <v>1343</v>
      </c>
      <c r="D5126" s="21" t="s">
        <v>1347</v>
      </c>
      <c r="E5126" s="32" t="s">
        <v>1348</v>
      </c>
      <c r="F5126" s="24">
        <v>3</v>
      </c>
      <c r="G5126" s="48">
        <v>76</v>
      </c>
      <c r="H5126" s="60">
        <v>228</v>
      </c>
      <c r="I5126" s="61" t="s">
        <v>143</v>
      </c>
      <c r="J5126" s="58" t="s">
        <v>1107</v>
      </c>
      <c r="K5126" s="30">
        <v>43804</v>
      </c>
      <c r="W5126" s="460"/>
      <c r="X5126" s="460"/>
      <c r="Y5126" s="304"/>
      <c r="Z5126" s="304"/>
      <c r="AA5126" s="304"/>
      <c r="AB5126" s="237"/>
      <c r="AC5126" s="244"/>
      <c r="AD5126" s="244"/>
      <c r="AE5126" s="244"/>
      <c r="AF5126" s="244"/>
      <c r="AG5126" s="296"/>
      <c r="AH5126" s="296"/>
      <c r="AI5126" s="297"/>
      <c r="AJ5126" s="298">
        <v>43672</v>
      </c>
      <c r="AK5126" s="297"/>
      <c r="AL5126" s="297"/>
      <c r="AM5126" s="296" t="s">
        <v>49</v>
      </c>
      <c r="AN5126" s="82" t="s">
        <v>284</v>
      </c>
      <c r="AO5126" s="296" t="s">
        <v>285</v>
      </c>
      <c r="AP5126" s="296" t="s">
        <v>51</v>
      </c>
      <c r="AQ5126" s="296" t="s">
        <v>1346</v>
      </c>
    </row>
    <row r="5127" spans="1:43" ht="15" customHeight="1">
      <c r="A5127" s="69">
        <v>43665</v>
      </c>
      <c r="B5127" s="144" t="s">
        <v>377</v>
      </c>
      <c r="C5127" s="21" t="s">
        <v>1343</v>
      </c>
      <c r="D5127" s="21" t="s">
        <v>1347</v>
      </c>
      <c r="E5127" s="32" t="s">
        <v>1349</v>
      </c>
      <c r="F5127" s="24">
        <v>3</v>
      </c>
      <c r="G5127" s="48">
        <v>100</v>
      </c>
      <c r="H5127" s="60">
        <v>300</v>
      </c>
      <c r="I5127" s="61" t="s">
        <v>143</v>
      </c>
      <c r="J5127" s="58" t="s">
        <v>1107</v>
      </c>
      <c r="K5127" s="30">
        <v>43804</v>
      </c>
      <c r="W5127" s="304"/>
      <c r="X5127" s="304"/>
      <c r="Y5127" s="304"/>
      <c r="Z5127" s="304"/>
      <c r="AA5127" s="304"/>
      <c r="AB5127" s="237"/>
      <c r="AC5127" s="244"/>
      <c r="AD5127" s="244"/>
      <c r="AE5127" s="244"/>
      <c r="AF5127" s="244"/>
      <c r="AG5127" s="296"/>
      <c r="AH5127" s="296"/>
      <c r="AI5127" s="297"/>
      <c r="AJ5127" s="298">
        <v>43837</v>
      </c>
      <c r="AK5127" s="297">
        <f>3231.34*30.013</f>
        <v>96982.207420000006</v>
      </c>
      <c r="AL5127" s="297">
        <f>(3248-3231.34)*30.013</f>
        <v>500.01657999999566</v>
      </c>
      <c r="AM5127" s="296" t="s">
        <v>49</v>
      </c>
      <c r="AN5127" s="82" t="s">
        <v>284</v>
      </c>
      <c r="AO5127" s="296" t="s">
        <v>285</v>
      </c>
      <c r="AP5127" s="296" t="s">
        <v>51</v>
      </c>
      <c r="AQ5127" s="296" t="s">
        <v>1346</v>
      </c>
    </row>
    <row r="5128" spans="1:43" ht="15" customHeight="1">
      <c r="A5128" s="69">
        <v>43665</v>
      </c>
      <c r="B5128" s="144" t="s">
        <v>377</v>
      </c>
      <c r="C5128" s="21" t="s">
        <v>1343</v>
      </c>
      <c r="D5128" s="475" t="s">
        <v>1350</v>
      </c>
      <c r="E5128" s="32" t="s">
        <v>1351</v>
      </c>
      <c r="F5128" s="24">
        <v>3</v>
      </c>
      <c r="G5128" s="48">
        <v>25</v>
      </c>
      <c r="H5128" s="60">
        <v>75</v>
      </c>
      <c r="I5128" s="61" t="s">
        <v>143</v>
      </c>
      <c r="J5128" s="58" t="s">
        <v>1107</v>
      </c>
      <c r="K5128" s="30">
        <v>43804</v>
      </c>
      <c r="W5128" s="304"/>
      <c r="X5128" s="304"/>
      <c r="Y5128" s="304"/>
      <c r="Z5128" s="304"/>
      <c r="AA5128" s="304"/>
      <c r="AB5128" s="237"/>
      <c r="AC5128" s="244"/>
      <c r="AD5128" s="244"/>
      <c r="AE5128" s="244"/>
      <c r="AF5128" s="244"/>
      <c r="AG5128" s="296"/>
      <c r="AH5128" s="296"/>
      <c r="AI5128" s="297"/>
      <c r="AJ5128" s="298">
        <v>43837</v>
      </c>
      <c r="AK5128" s="297"/>
      <c r="AL5128" s="297"/>
      <c r="AM5128" s="296" t="s">
        <v>49</v>
      </c>
      <c r="AN5128" s="82" t="s">
        <v>284</v>
      </c>
      <c r="AO5128" s="296" t="s">
        <v>285</v>
      </c>
      <c r="AP5128" s="296" t="s">
        <v>51</v>
      </c>
      <c r="AQ5128" s="296" t="s">
        <v>1346</v>
      </c>
    </row>
    <row r="5129" spans="1:43" ht="15" customHeight="1">
      <c r="A5129" s="69">
        <v>43665</v>
      </c>
      <c r="B5129" s="144" t="s">
        <v>377</v>
      </c>
      <c r="C5129" s="21" t="s">
        <v>1343</v>
      </c>
      <c r="D5129" s="21" t="s">
        <v>1352</v>
      </c>
      <c r="E5129" s="32" t="s">
        <v>1353</v>
      </c>
      <c r="F5129" s="24">
        <v>1</v>
      </c>
      <c r="G5129" s="48">
        <v>1600</v>
      </c>
      <c r="H5129" s="60">
        <v>1600</v>
      </c>
      <c r="I5129" s="61" t="s">
        <v>143</v>
      </c>
      <c r="J5129" s="58" t="s">
        <v>1107</v>
      </c>
      <c r="K5129" s="30">
        <v>43762</v>
      </c>
      <c r="W5129" s="304"/>
      <c r="X5129" s="304"/>
      <c r="Y5129" s="304"/>
      <c r="Z5129" s="304"/>
      <c r="AA5129" s="304"/>
      <c r="AB5129" s="237"/>
      <c r="AC5129" s="244"/>
      <c r="AD5129" s="244"/>
      <c r="AE5129" s="244"/>
      <c r="AF5129" s="244"/>
      <c r="AG5129" s="296"/>
      <c r="AH5129" s="296"/>
      <c r="AI5129" s="297"/>
      <c r="AJ5129" s="298">
        <v>43672</v>
      </c>
      <c r="AK5129" s="297"/>
      <c r="AL5129" s="297"/>
      <c r="AM5129" s="296" t="s">
        <v>49</v>
      </c>
      <c r="AN5129" s="296" t="s">
        <v>284</v>
      </c>
      <c r="AO5129" s="296" t="s">
        <v>285</v>
      </c>
      <c r="AP5129" s="296" t="s">
        <v>51</v>
      </c>
      <c r="AQ5129" s="82" t="s">
        <v>755</v>
      </c>
    </row>
    <row r="5130" spans="1:43" ht="15" customHeight="1">
      <c r="A5130" s="69">
        <v>43665</v>
      </c>
      <c r="B5130" s="144" t="s">
        <v>377</v>
      </c>
      <c r="C5130" s="21" t="s">
        <v>1343</v>
      </c>
      <c r="D5130" s="21" t="s">
        <v>1354</v>
      </c>
      <c r="E5130" s="32" t="s">
        <v>1349</v>
      </c>
      <c r="F5130" s="24">
        <v>4</v>
      </c>
      <c r="G5130" s="48">
        <v>100</v>
      </c>
      <c r="H5130" s="60">
        <v>400</v>
      </c>
      <c r="I5130" s="61" t="s">
        <v>143</v>
      </c>
      <c r="J5130" s="58" t="s">
        <v>1107</v>
      </c>
      <c r="K5130" s="30">
        <v>43762</v>
      </c>
      <c r="W5130" s="460">
        <v>43774</v>
      </c>
      <c r="X5130" s="303">
        <v>43759</v>
      </c>
      <c r="Y5130" s="304" t="s">
        <v>1355</v>
      </c>
      <c r="Z5130" s="304">
        <v>11970</v>
      </c>
      <c r="AA5130" s="304"/>
      <c r="AB5130" s="237"/>
      <c r="AC5130" s="244"/>
      <c r="AD5130" s="244"/>
      <c r="AE5130" s="244"/>
      <c r="AF5130" s="244"/>
      <c r="AG5130" s="296"/>
      <c r="AH5130" s="296"/>
      <c r="AI5130" s="297"/>
      <c r="AJ5130" s="298">
        <v>43777</v>
      </c>
      <c r="AK5130" s="297"/>
      <c r="AL5130" s="297"/>
      <c r="AM5130" s="296" t="s">
        <v>49</v>
      </c>
      <c r="AN5130" s="296" t="s">
        <v>284</v>
      </c>
      <c r="AO5130" s="296" t="s">
        <v>285</v>
      </c>
      <c r="AP5130" s="296" t="s">
        <v>51</v>
      </c>
      <c r="AQ5130" s="82" t="s">
        <v>755</v>
      </c>
    </row>
    <row r="5131" spans="1:43" ht="15" customHeight="1">
      <c r="A5131" s="69">
        <v>43665</v>
      </c>
      <c r="B5131" s="144" t="s">
        <v>377</v>
      </c>
      <c r="C5131" s="21" t="s">
        <v>1343</v>
      </c>
      <c r="D5131" s="21" t="s">
        <v>1356</v>
      </c>
      <c r="E5131" s="32" t="s">
        <v>1357</v>
      </c>
      <c r="F5131" s="24">
        <v>4</v>
      </c>
      <c r="G5131" s="48">
        <v>0</v>
      </c>
      <c r="H5131" s="60">
        <v>0</v>
      </c>
      <c r="I5131" s="61" t="s">
        <v>143</v>
      </c>
      <c r="J5131" s="161" t="s">
        <v>1107</v>
      </c>
      <c r="K5131" s="30">
        <v>43762</v>
      </c>
      <c r="W5131" s="52"/>
      <c r="X5131" s="53"/>
      <c r="Y5131" s="53"/>
      <c r="Z5131" s="53"/>
      <c r="AA5131" s="53"/>
      <c r="AB5131" s="237"/>
      <c r="AC5131" s="244"/>
      <c r="AD5131" s="244"/>
      <c r="AE5131" s="244"/>
      <c r="AF5131" s="244"/>
      <c r="AG5131" s="54"/>
      <c r="AH5131" s="54"/>
      <c r="AI5131" s="55"/>
      <c r="AJ5131" s="296"/>
      <c r="AK5131" s="55"/>
      <c r="AL5131" s="55"/>
      <c r="AM5131" s="296" t="s">
        <v>1212</v>
      </c>
      <c r="AN5131" s="54" t="s">
        <v>284</v>
      </c>
      <c r="AO5131" s="54"/>
      <c r="AP5131" s="54"/>
      <c r="AQ5131" s="54"/>
    </row>
    <row r="5132" spans="1:43" ht="15" customHeight="1">
      <c r="A5132" s="69">
        <v>43665</v>
      </c>
      <c r="B5132" s="144" t="s">
        <v>377</v>
      </c>
      <c r="C5132" s="21" t="s">
        <v>1343</v>
      </c>
      <c r="D5132" s="21" t="s">
        <v>1358</v>
      </c>
      <c r="E5132" s="32" t="s">
        <v>1348</v>
      </c>
      <c r="F5132" s="24">
        <v>4</v>
      </c>
      <c r="G5132" s="48">
        <v>76</v>
      </c>
      <c r="H5132" s="60">
        <v>304</v>
      </c>
      <c r="I5132" s="61" t="s">
        <v>143</v>
      </c>
      <c r="J5132" s="58" t="s">
        <v>1107</v>
      </c>
      <c r="K5132" s="30">
        <v>43762</v>
      </c>
      <c r="W5132" s="460">
        <v>43743</v>
      </c>
      <c r="X5132" s="460">
        <v>43728</v>
      </c>
      <c r="Y5132" s="304" t="s">
        <v>1359</v>
      </c>
      <c r="Z5132" s="304" t="s">
        <v>1360</v>
      </c>
      <c r="AA5132" s="460">
        <v>43743</v>
      </c>
      <c r="AB5132" s="237"/>
      <c r="AC5132" s="244"/>
      <c r="AD5132" s="244"/>
      <c r="AE5132" s="244"/>
      <c r="AF5132" s="244"/>
      <c r="AG5132" s="296"/>
      <c r="AH5132" s="296"/>
      <c r="AI5132" s="297"/>
      <c r="AJ5132" s="298">
        <v>43672</v>
      </c>
      <c r="AK5132" s="297"/>
      <c r="AL5132" s="297"/>
      <c r="AM5132" s="296" t="s">
        <v>49</v>
      </c>
      <c r="AN5132" s="296" t="s">
        <v>284</v>
      </c>
      <c r="AO5132" s="296" t="s">
        <v>285</v>
      </c>
      <c r="AP5132" s="296" t="s">
        <v>51</v>
      </c>
      <c r="AQ5132" s="82" t="s">
        <v>755</v>
      </c>
    </row>
    <row r="5133" spans="1:43" ht="15" customHeight="1">
      <c r="A5133" s="69">
        <v>43665</v>
      </c>
      <c r="B5133" s="144" t="s">
        <v>377</v>
      </c>
      <c r="C5133" s="21" t="s">
        <v>1343</v>
      </c>
      <c r="D5133" s="21" t="s">
        <v>1361</v>
      </c>
      <c r="E5133" s="32" t="s">
        <v>1353</v>
      </c>
      <c r="F5133" s="24">
        <v>1</v>
      </c>
      <c r="G5133" s="48">
        <v>1600</v>
      </c>
      <c r="H5133" s="60">
        <v>1600</v>
      </c>
      <c r="I5133" s="61" t="s">
        <v>143</v>
      </c>
      <c r="J5133" s="161" t="s">
        <v>1362</v>
      </c>
      <c r="K5133" s="30">
        <v>43753</v>
      </c>
      <c r="W5133" s="52"/>
      <c r="X5133" s="53"/>
      <c r="Y5133" s="53"/>
      <c r="Z5133" s="53"/>
      <c r="AA5133" s="53"/>
      <c r="AB5133" s="237"/>
      <c r="AC5133" s="244"/>
      <c r="AD5133" s="244"/>
      <c r="AE5133" s="244"/>
      <c r="AF5133" s="244"/>
      <c r="AG5133" s="54"/>
      <c r="AH5133" s="54"/>
      <c r="AI5133" s="55"/>
      <c r="AJ5133" s="56">
        <v>43672</v>
      </c>
      <c r="AK5133" s="55"/>
      <c r="AL5133" s="55"/>
      <c r="AM5133" s="54" t="s">
        <v>49</v>
      </c>
      <c r="AN5133" s="54" t="s">
        <v>284</v>
      </c>
      <c r="AO5133" s="54" t="s">
        <v>285</v>
      </c>
      <c r="AP5133" s="54" t="s">
        <v>51</v>
      </c>
      <c r="AQ5133" s="54"/>
    </row>
    <row r="5134" spans="1:43" ht="15" customHeight="1">
      <c r="A5134" s="69">
        <v>43665</v>
      </c>
      <c r="B5134" s="144" t="s">
        <v>377</v>
      </c>
      <c r="C5134" s="21" t="s">
        <v>1343</v>
      </c>
      <c r="D5134" s="21" t="s">
        <v>1363</v>
      </c>
      <c r="E5134" s="32" t="s">
        <v>1349</v>
      </c>
      <c r="F5134" s="24">
        <v>9</v>
      </c>
      <c r="G5134" s="48">
        <v>121</v>
      </c>
      <c r="H5134" s="60">
        <v>1089</v>
      </c>
      <c r="I5134" s="61" t="s">
        <v>143</v>
      </c>
      <c r="J5134" s="58" t="s">
        <v>1362</v>
      </c>
      <c r="K5134" s="30">
        <v>43753</v>
      </c>
      <c r="W5134" s="460">
        <v>43774</v>
      </c>
      <c r="X5134" s="460">
        <v>43746</v>
      </c>
      <c r="Y5134" s="304" t="s">
        <v>1364</v>
      </c>
      <c r="Z5134" s="304">
        <v>24570</v>
      </c>
      <c r="AA5134" s="304"/>
      <c r="AB5134" s="237"/>
      <c r="AC5134" s="244"/>
      <c r="AD5134" s="244"/>
      <c r="AE5134" s="244"/>
      <c r="AF5134" s="244"/>
      <c r="AG5134" s="296"/>
      <c r="AH5134" s="296"/>
      <c r="AI5134" s="297"/>
      <c r="AJ5134" s="298">
        <v>43777</v>
      </c>
      <c r="AK5134" s="297">
        <f>2120.41*30.33</f>
        <v>64312.035299999989</v>
      </c>
      <c r="AL5134" s="297">
        <f>(2134-2120.41)*30.33</f>
        <v>412.1847000000044</v>
      </c>
      <c r="AM5134" s="296" t="s">
        <v>49</v>
      </c>
      <c r="AN5134" s="296" t="s">
        <v>284</v>
      </c>
      <c r="AO5134" s="296" t="s">
        <v>285</v>
      </c>
      <c r="AP5134" s="296" t="s">
        <v>51</v>
      </c>
      <c r="AQ5134" s="82" t="s">
        <v>755</v>
      </c>
    </row>
    <row r="5135" spans="1:43" ht="15" customHeight="1">
      <c r="A5135" s="69">
        <v>43665</v>
      </c>
      <c r="B5135" s="144" t="s">
        <v>377</v>
      </c>
      <c r="C5135" s="21" t="s">
        <v>1343</v>
      </c>
      <c r="D5135" s="21" t="s">
        <v>1365</v>
      </c>
      <c r="E5135" s="32" t="s">
        <v>1366</v>
      </c>
      <c r="F5135" s="24">
        <v>9</v>
      </c>
      <c r="G5135" s="48">
        <v>0</v>
      </c>
      <c r="H5135" s="115">
        <v>0</v>
      </c>
      <c r="I5135" s="61" t="s">
        <v>143</v>
      </c>
      <c r="J5135" s="161" t="s">
        <v>1362</v>
      </c>
      <c r="K5135" s="30">
        <v>43753</v>
      </c>
      <c r="W5135" s="52"/>
      <c r="X5135" s="53"/>
      <c r="Y5135" s="53"/>
      <c r="Z5135" s="53"/>
      <c r="AA5135" s="53"/>
      <c r="AB5135" s="237"/>
      <c r="AC5135" s="244"/>
      <c r="AD5135" s="244"/>
      <c r="AE5135" s="244"/>
      <c r="AF5135" s="244"/>
      <c r="AG5135" s="54"/>
      <c r="AH5135" s="54"/>
      <c r="AI5135" s="55"/>
      <c r="AJ5135" s="296"/>
      <c r="AK5135" s="55"/>
      <c r="AL5135" s="55"/>
      <c r="AM5135" s="296" t="s">
        <v>1212</v>
      </c>
      <c r="AN5135" s="54" t="s">
        <v>284</v>
      </c>
      <c r="AO5135" s="54" t="s">
        <v>285</v>
      </c>
      <c r="AP5135" s="54" t="s">
        <v>51</v>
      </c>
      <c r="AQ5135" s="54"/>
    </row>
    <row r="5136" spans="1:43" ht="15" customHeight="1">
      <c r="A5136" s="69">
        <v>43665</v>
      </c>
      <c r="B5136" s="144" t="s">
        <v>377</v>
      </c>
      <c r="C5136" s="21" t="s">
        <v>1343</v>
      </c>
      <c r="D5136" s="21" t="s">
        <v>1367</v>
      </c>
      <c r="E5136" s="32" t="s">
        <v>1368</v>
      </c>
      <c r="F5136" s="24">
        <v>9</v>
      </c>
      <c r="G5136" s="48">
        <v>85</v>
      </c>
      <c r="H5136" s="60">
        <v>765</v>
      </c>
      <c r="I5136" s="61" t="s">
        <v>143</v>
      </c>
      <c r="J5136" s="58" t="s">
        <v>1362</v>
      </c>
      <c r="K5136" s="30">
        <v>43753</v>
      </c>
      <c r="W5136" s="460">
        <v>43743</v>
      </c>
      <c r="X5136" s="304" t="s">
        <v>1369</v>
      </c>
      <c r="Y5136" s="304" t="s">
        <v>1370</v>
      </c>
      <c r="Z5136" s="304" t="s">
        <v>1371</v>
      </c>
      <c r="AA5136" s="460">
        <v>43743</v>
      </c>
      <c r="AB5136" s="237"/>
      <c r="AC5136" s="244"/>
      <c r="AD5136" s="244"/>
      <c r="AE5136" s="244"/>
      <c r="AF5136" s="244"/>
      <c r="AG5136" s="296"/>
      <c r="AH5136" s="296"/>
      <c r="AI5136" s="297"/>
      <c r="AJ5136" s="296" t="s">
        <v>1372</v>
      </c>
      <c r="AK5136" s="297"/>
      <c r="AL5136" s="297"/>
      <c r="AM5136" s="296" t="s">
        <v>49</v>
      </c>
      <c r="AN5136" s="296" t="s">
        <v>284</v>
      </c>
      <c r="AO5136" s="296" t="s">
        <v>285</v>
      </c>
      <c r="AP5136" s="296" t="s">
        <v>51</v>
      </c>
      <c r="AQ5136" s="82" t="s">
        <v>755</v>
      </c>
    </row>
    <row r="5137" spans="1:43" ht="15" customHeight="1">
      <c r="A5137" s="69">
        <v>43665</v>
      </c>
      <c r="B5137" s="144" t="s">
        <v>377</v>
      </c>
      <c r="C5137" s="21" t="s">
        <v>1343</v>
      </c>
      <c r="D5137" s="21" t="s">
        <v>1373</v>
      </c>
      <c r="E5137" s="32" t="s">
        <v>1374</v>
      </c>
      <c r="F5137" s="24">
        <v>4</v>
      </c>
      <c r="G5137" s="48">
        <v>0</v>
      </c>
      <c r="H5137" s="115">
        <v>0</v>
      </c>
      <c r="I5137" s="61" t="s">
        <v>143</v>
      </c>
      <c r="J5137" s="58" t="s">
        <v>1107</v>
      </c>
      <c r="K5137" s="58" t="s">
        <v>1375</v>
      </c>
      <c r="W5137" s="304"/>
      <c r="X5137" s="304"/>
      <c r="Y5137" s="304"/>
      <c r="Z5137" s="304"/>
      <c r="AA5137" s="304"/>
      <c r="AB5137" s="237"/>
      <c r="AC5137" s="244"/>
      <c r="AD5137" s="244"/>
      <c r="AE5137" s="244"/>
      <c r="AF5137" s="244"/>
      <c r="AG5137" s="296"/>
      <c r="AH5137" s="296"/>
      <c r="AI5137" s="297"/>
      <c r="AJ5137" s="296"/>
      <c r="AK5137" s="297"/>
      <c r="AL5137" s="297"/>
      <c r="AM5137" s="296" t="s">
        <v>1212</v>
      </c>
      <c r="AN5137" s="82" t="s">
        <v>284</v>
      </c>
      <c r="AO5137" s="296" t="s">
        <v>285</v>
      </c>
      <c r="AP5137" s="296" t="s">
        <v>51</v>
      </c>
      <c r="AQ5137" s="296" t="s">
        <v>1346</v>
      </c>
    </row>
    <row r="5138" spans="1:43" ht="15" customHeight="1">
      <c r="A5138" s="69">
        <v>43665</v>
      </c>
      <c r="B5138" s="144" t="s">
        <v>377</v>
      </c>
      <c r="C5138" s="21" t="s">
        <v>1343</v>
      </c>
      <c r="D5138" s="21" t="s">
        <v>1376</v>
      </c>
      <c r="E5138" s="32" t="s">
        <v>1368</v>
      </c>
      <c r="F5138" s="24">
        <v>4</v>
      </c>
      <c r="G5138" s="48">
        <v>85</v>
      </c>
      <c r="H5138" s="60">
        <v>340</v>
      </c>
      <c r="I5138" s="61" t="s">
        <v>143</v>
      </c>
      <c r="J5138" s="58" t="s">
        <v>1107</v>
      </c>
      <c r="K5138" s="58" t="s">
        <v>1375</v>
      </c>
      <c r="W5138" s="304"/>
      <c r="X5138" s="304"/>
      <c r="Y5138" s="304"/>
      <c r="Z5138" s="304"/>
      <c r="AA5138" s="304"/>
      <c r="AB5138" s="237"/>
      <c r="AC5138" s="244"/>
      <c r="AD5138" s="244"/>
      <c r="AE5138" s="244"/>
      <c r="AF5138" s="244"/>
      <c r="AG5138" s="296"/>
      <c r="AH5138" s="296"/>
      <c r="AI5138" s="297"/>
      <c r="AJ5138" s="298">
        <v>43837</v>
      </c>
      <c r="AK5138" s="297"/>
      <c r="AL5138" s="297"/>
      <c r="AM5138" s="296" t="s">
        <v>49</v>
      </c>
      <c r="AN5138" s="82" t="s">
        <v>284</v>
      </c>
      <c r="AO5138" s="296" t="s">
        <v>285</v>
      </c>
      <c r="AP5138" s="296" t="s">
        <v>51</v>
      </c>
      <c r="AQ5138" s="296" t="s">
        <v>1346</v>
      </c>
    </row>
    <row r="5139" spans="1:43" ht="15" customHeight="1">
      <c r="A5139" s="69">
        <v>43665</v>
      </c>
      <c r="B5139" s="144" t="s">
        <v>377</v>
      </c>
      <c r="C5139" s="21" t="s">
        <v>1343</v>
      </c>
      <c r="D5139" s="21" t="s">
        <v>1377</v>
      </c>
      <c r="E5139" s="32" t="s">
        <v>1349</v>
      </c>
      <c r="F5139" s="24">
        <v>4</v>
      </c>
      <c r="G5139" s="48">
        <v>121</v>
      </c>
      <c r="H5139" s="60">
        <v>484</v>
      </c>
      <c r="I5139" s="61" t="s">
        <v>143</v>
      </c>
      <c r="J5139" s="58" t="s">
        <v>1107</v>
      </c>
      <c r="K5139" s="58" t="s">
        <v>1375</v>
      </c>
      <c r="W5139" s="304"/>
      <c r="X5139" s="460">
        <v>43777</v>
      </c>
      <c r="Y5139" s="304" t="s">
        <v>1378</v>
      </c>
      <c r="Z5139" s="304"/>
      <c r="AA5139" s="304"/>
      <c r="AB5139" s="237"/>
      <c r="AC5139" s="244"/>
      <c r="AD5139" s="244"/>
      <c r="AE5139" s="244"/>
      <c r="AF5139" s="244"/>
      <c r="AG5139" s="296"/>
      <c r="AH5139" s="296"/>
      <c r="AI5139" s="297"/>
      <c r="AJ5139" s="298">
        <v>43837</v>
      </c>
      <c r="AK5139" s="297"/>
      <c r="AL5139" s="297"/>
      <c r="AM5139" s="296" t="s">
        <v>49</v>
      </c>
      <c r="AN5139" s="82" t="s">
        <v>284</v>
      </c>
      <c r="AO5139" s="296" t="s">
        <v>285</v>
      </c>
      <c r="AP5139" s="296" t="s">
        <v>51</v>
      </c>
      <c r="AQ5139" s="296" t="s">
        <v>1346</v>
      </c>
    </row>
    <row r="5140" spans="1:43" ht="15" customHeight="1">
      <c r="A5140" s="69">
        <v>43665</v>
      </c>
      <c r="B5140" s="70" t="s">
        <v>76</v>
      </c>
      <c r="C5140" s="21">
        <v>535</v>
      </c>
      <c r="D5140" s="21" t="s">
        <v>1379</v>
      </c>
      <c r="E5140" s="246" t="s">
        <v>317</v>
      </c>
      <c r="F5140" s="433">
        <v>20</v>
      </c>
      <c r="G5140" s="48">
        <v>255</v>
      </c>
      <c r="H5140" s="60">
        <v>5100</v>
      </c>
      <c r="I5140" s="61" t="s">
        <v>42</v>
      </c>
      <c r="J5140" s="431" t="s">
        <v>922</v>
      </c>
      <c r="K5140" s="29">
        <v>43700</v>
      </c>
      <c r="W5140" s="460">
        <v>43738</v>
      </c>
      <c r="X5140" s="460">
        <v>43696</v>
      </c>
      <c r="Y5140" s="304" t="s">
        <v>1380</v>
      </c>
      <c r="Z5140" s="304">
        <v>144606</v>
      </c>
      <c r="AA5140" s="460">
        <v>43739</v>
      </c>
      <c r="AB5140" s="237"/>
      <c r="AC5140" s="244"/>
      <c r="AD5140" s="244"/>
      <c r="AE5140" s="244"/>
      <c r="AF5140" s="244"/>
      <c r="AG5140" s="296"/>
      <c r="AH5140" s="296"/>
      <c r="AI5140" s="297"/>
      <c r="AJ5140" s="298">
        <v>43731</v>
      </c>
      <c r="AK5140" s="297"/>
      <c r="AL5140" s="297"/>
      <c r="AM5140" s="296" t="s">
        <v>49</v>
      </c>
      <c r="AN5140" s="296" t="s">
        <v>284</v>
      </c>
      <c r="AO5140" s="296" t="s">
        <v>50</v>
      </c>
      <c r="AP5140" s="296" t="s">
        <v>51</v>
      </c>
      <c r="AQ5140" s="296" t="s">
        <v>506</v>
      </c>
    </row>
    <row r="5141" spans="1:43" ht="15" customHeight="1">
      <c r="A5141" s="69">
        <v>43665</v>
      </c>
      <c r="B5141" s="70" t="s">
        <v>76</v>
      </c>
      <c r="C5141" s="21">
        <v>535</v>
      </c>
      <c r="D5141" s="21" t="s">
        <v>1379</v>
      </c>
      <c r="E5141" s="32" t="s">
        <v>477</v>
      </c>
      <c r="F5141" s="82">
        <v>50</v>
      </c>
      <c r="G5141" s="48">
        <v>2.25</v>
      </c>
      <c r="H5141" s="60">
        <v>112.5</v>
      </c>
      <c r="I5141" s="61" t="s">
        <v>42</v>
      </c>
      <c r="J5141" s="431" t="s">
        <v>922</v>
      </c>
      <c r="K5141" s="29">
        <v>43700</v>
      </c>
      <c r="W5141" s="304"/>
      <c r="X5141" s="304"/>
      <c r="Y5141" s="304"/>
      <c r="Z5141" s="304"/>
      <c r="AA5141" s="304"/>
      <c r="AB5141" s="237"/>
      <c r="AC5141" s="244"/>
      <c r="AD5141" s="244"/>
      <c r="AE5141" s="244"/>
      <c r="AF5141" s="244"/>
      <c r="AG5141" s="296"/>
      <c r="AH5141" s="296"/>
      <c r="AI5141" s="297"/>
      <c r="AJ5141" s="298">
        <v>43731</v>
      </c>
      <c r="AK5141" s="297"/>
      <c r="AL5141" s="297"/>
      <c r="AM5141" s="296" t="s">
        <v>49</v>
      </c>
      <c r="AN5141" s="296" t="s">
        <v>284</v>
      </c>
      <c r="AO5141" s="296" t="s">
        <v>50</v>
      </c>
      <c r="AP5141" s="296" t="s">
        <v>51</v>
      </c>
      <c r="AQ5141" s="296" t="s">
        <v>506</v>
      </c>
    </row>
    <row r="5142" spans="1:43" ht="15" customHeight="1">
      <c r="A5142" s="69">
        <v>43665</v>
      </c>
      <c r="B5142" s="144" t="s">
        <v>377</v>
      </c>
      <c r="C5142" s="21" t="s">
        <v>1343</v>
      </c>
      <c r="D5142" s="21" t="s">
        <v>1381</v>
      </c>
      <c r="E5142" s="32" t="s">
        <v>1382</v>
      </c>
      <c r="F5142" s="24">
        <v>4</v>
      </c>
      <c r="G5142" s="48">
        <v>26</v>
      </c>
      <c r="H5142" s="60">
        <v>104</v>
      </c>
      <c r="I5142" s="61" t="s">
        <v>143</v>
      </c>
      <c r="J5142" s="58" t="s">
        <v>1107</v>
      </c>
      <c r="K5142" s="58" t="s">
        <v>1383</v>
      </c>
      <c r="W5142" s="304"/>
      <c r="X5142" s="304"/>
      <c r="Y5142" s="304"/>
      <c r="Z5142" s="304"/>
      <c r="AA5142" s="304"/>
      <c r="AB5142" s="237"/>
      <c r="AC5142" s="244"/>
      <c r="AD5142" s="244"/>
      <c r="AE5142" s="244"/>
      <c r="AF5142" s="244"/>
      <c r="AG5142" s="296"/>
      <c r="AH5142" s="304"/>
      <c r="AI5142" s="297"/>
      <c r="AJ5142" s="298">
        <v>43837</v>
      </c>
      <c r="AK5142" s="297"/>
      <c r="AL5142" s="297"/>
      <c r="AM5142" s="296" t="s">
        <v>49</v>
      </c>
      <c r="AN5142" s="82" t="s">
        <v>284</v>
      </c>
      <c r="AO5142" s="296" t="s">
        <v>285</v>
      </c>
      <c r="AP5142" s="296" t="s">
        <v>51</v>
      </c>
      <c r="AQ5142" s="296" t="s">
        <v>1346</v>
      </c>
    </row>
    <row r="5143" spans="1:43" ht="15" customHeight="1">
      <c r="A5143" s="69">
        <v>43665</v>
      </c>
      <c r="B5143" s="144" t="s">
        <v>377</v>
      </c>
      <c r="C5143" s="21" t="s">
        <v>1343</v>
      </c>
      <c r="D5143" s="21" t="s">
        <v>1384</v>
      </c>
      <c r="E5143" s="32" t="s">
        <v>1385</v>
      </c>
      <c r="F5143" s="24">
        <v>4</v>
      </c>
      <c r="G5143" s="48">
        <v>20</v>
      </c>
      <c r="H5143" s="60">
        <v>80</v>
      </c>
      <c r="I5143" s="61" t="s">
        <v>143</v>
      </c>
      <c r="J5143" s="58" t="s">
        <v>1107</v>
      </c>
      <c r="K5143" s="58" t="s">
        <v>1375</v>
      </c>
      <c r="W5143" s="304"/>
      <c r="X5143" s="460">
        <v>43777</v>
      </c>
      <c r="Y5143" s="304" t="s">
        <v>1378</v>
      </c>
      <c r="Z5143" s="304"/>
      <c r="AA5143" s="304"/>
      <c r="AB5143" s="237"/>
      <c r="AC5143" s="244"/>
      <c r="AD5143" s="244"/>
      <c r="AE5143" s="244"/>
      <c r="AF5143" s="244"/>
      <c r="AG5143" s="296"/>
      <c r="AH5143" s="304"/>
      <c r="AI5143" s="297"/>
      <c r="AJ5143" s="298">
        <v>43837</v>
      </c>
      <c r="AK5143" s="297"/>
      <c r="AL5143" s="297"/>
      <c r="AM5143" s="296" t="s">
        <v>49</v>
      </c>
      <c r="AN5143" s="82" t="s">
        <v>284</v>
      </c>
      <c r="AO5143" s="296" t="s">
        <v>285</v>
      </c>
      <c r="AP5143" s="296" t="s">
        <v>51</v>
      </c>
      <c r="AQ5143" s="296" t="s">
        <v>1346</v>
      </c>
    </row>
    <row r="5144" spans="1:43" ht="15" customHeight="1">
      <c r="A5144" s="69">
        <v>43668</v>
      </c>
      <c r="B5144" s="144" t="s">
        <v>76</v>
      </c>
      <c r="C5144" s="21">
        <v>560</v>
      </c>
      <c r="D5144" s="21" t="s">
        <v>1386</v>
      </c>
      <c r="E5144" s="32" t="s">
        <v>1387</v>
      </c>
      <c r="F5144" s="24">
        <v>1</v>
      </c>
      <c r="G5144" s="48">
        <v>120</v>
      </c>
      <c r="H5144" s="60">
        <v>120</v>
      </c>
      <c r="I5144" s="61" t="s">
        <v>42</v>
      </c>
      <c r="J5144" s="431" t="s">
        <v>922</v>
      </c>
      <c r="K5144" s="29">
        <v>43700</v>
      </c>
      <c r="W5144" s="304"/>
      <c r="X5144" s="304"/>
      <c r="Y5144" s="304"/>
      <c r="Z5144" s="304"/>
      <c r="AA5144" s="304"/>
      <c r="AB5144" s="237"/>
      <c r="AC5144" s="244"/>
      <c r="AD5144" s="244"/>
      <c r="AE5144" s="244"/>
      <c r="AF5144" s="244"/>
      <c r="AG5144" s="296"/>
      <c r="AH5144" s="296"/>
      <c r="AI5144" s="297"/>
      <c r="AJ5144" s="298">
        <v>43731</v>
      </c>
      <c r="AK5144" s="297"/>
      <c r="AL5144" s="297"/>
      <c r="AM5144" s="296" t="s">
        <v>49</v>
      </c>
      <c r="AN5144" s="296" t="s">
        <v>284</v>
      </c>
      <c r="AO5144" s="296" t="s">
        <v>285</v>
      </c>
      <c r="AP5144" s="296" t="s">
        <v>51</v>
      </c>
      <c r="AQ5144" s="296" t="s">
        <v>506</v>
      </c>
    </row>
    <row r="5145" spans="1:43" ht="15" customHeight="1">
      <c r="A5145" s="69">
        <v>43668</v>
      </c>
      <c r="B5145" s="144" t="s">
        <v>76</v>
      </c>
      <c r="C5145" s="21">
        <v>560</v>
      </c>
      <c r="D5145" s="21" t="s">
        <v>1386</v>
      </c>
      <c r="E5145" s="32" t="s">
        <v>1388</v>
      </c>
      <c r="F5145" s="24">
        <v>1</v>
      </c>
      <c r="G5145" s="48">
        <v>80</v>
      </c>
      <c r="H5145" s="468">
        <v>80</v>
      </c>
      <c r="I5145" s="61" t="s">
        <v>42</v>
      </c>
      <c r="J5145" s="431" t="s">
        <v>922</v>
      </c>
      <c r="K5145" s="29">
        <v>43700</v>
      </c>
      <c r="W5145" s="304"/>
      <c r="X5145" s="304"/>
      <c r="Y5145" s="304"/>
      <c r="Z5145" s="304"/>
      <c r="AA5145" s="304"/>
      <c r="AB5145" s="237"/>
      <c r="AC5145" s="244"/>
      <c r="AD5145" s="244"/>
      <c r="AE5145" s="244"/>
      <c r="AF5145" s="244"/>
      <c r="AG5145" s="296"/>
      <c r="AH5145" s="296"/>
      <c r="AI5145" s="297"/>
      <c r="AJ5145" s="298">
        <v>43731</v>
      </c>
      <c r="AK5145" s="297"/>
      <c r="AL5145" s="297"/>
      <c r="AM5145" s="296" t="s">
        <v>49</v>
      </c>
      <c r="AN5145" s="296" t="s">
        <v>284</v>
      </c>
      <c r="AO5145" s="296" t="s">
        <v>285</v>
      </c>
      <c r="AP5145" s="296" t="s">
        <v>51</v>
      </c>
      <c r="AQ5145" s="296" t="s">
        <v>506</v>
      </c>
    </row>
    <row r="5146" spans="1:43" ht="15" customHeight="1">
      <c r="A5146" s="69">
        <v>43668</v>
      </c>
      <c r="B5146" s="144" t="s">
        <v>76</v>
      </c>
      <c r="C5146" s="21">
        <v>560</v>
      </c>
      <c r="D5146" s="21" t="s">
        <v>1386</v>
      </c>
      <c r="E5146" s="32" t="s">
        <v>1389</v>
      </c>
      <c r="F5146" s="24">
        <v>1</v>
      </c>
      <c r="G5146" s="48">
        <v>10</v>
      </c>
      <c r="H5146" s="60">
        <v>10</v>
      </c>
      <c r="I5146" s="61" t="s">
        <v>42</v>
      </c>
      <c r="J5146" s="431" t="s">
        <v>922</v>
      </c>
      <c r="K5146" s="29">
        <v>43700</v>
      </c>
      <c r="W5146" s="304"/>
      <c r="X5146" s="304"/>
      <c r="Y5146" s="304"/>
      <c r="Z5146" s="304"/>
      <c r="AA5146" s="304"/>
      <c r="AB5146" s="237"/>
      <c r="AC5146" s="244"/>
      <c r="AD5146" s="244"/>
      <c r="AE5146" s="244"/>
      <c r="AF5146" s="244"/>
      <c r="AG5146" s="296"/>
      <c r="AH5146" s="296"/>
      <c r="AI5146" s="297"/>
      <c r="AJ5146" s="298">
        <v>43731</v>
      </c>
      <c r="AK5146" s="297"/>
      <c r="AL5146" s="297"/>
      <c r="AM5146" s="296" t="s">
        <v>49</v>
      </c>
      <c r="AN5146" s="296" t="s">
        <v>284</v>
      </c>
      <c r="AO5146" s="296" t="s">
        <v>285</v>
      </c>
      <c r="AP5146" s="296" t="s">
        <v>51</v>
      </c>
      <c r="AQ5146" s="296" t="s">
        <v>506</v>
      </c>
    </row>
    <row r="5147" spans="1:43" ht="15" customHeight="1">
      <c r="A5147" s="69">
        <v>43668</v>
      </c>
      <c r="B5147" s="70" t="s">
        <v>222</v>
      </c>
      <c r="C5147" s="21" t="s">
        <v>1390</v>
      </c>
      <c r="D5147" s="21" t="s">
        <v>1391</v>
      </c>
      <c r="E5147" s="32" t="s">
        <v>1342</v>
      </c>
      <c r="F5147" s="24">
        <v>1</v>
      </c>
      <c r="G5147" s="48">
        <f>87*1.05</f>
        <v>91.350000000000009</v>
      </c>
      <c r="H5147" s="60">
        <v>91.350000000000009</v>
      </c>
      <c r="I5147" s="61" t="s">
        <v>143</v>
      </c>
      <c r="J5147" s="63" t="s">
        <v>89</v>
      </c>
      <c r="K5147" s="30">
        <v>43675</v>
      </c>
      <c r="W5147" s="460">
        <v>43738</v>
      </c>
      <c r="X5147" s="460">
        <v>43672</v>
      </c>
      <c r="Y5147" s="304" t="s">
        <v>1392</v>
      </c>
      <c r="Z5147" s="304">
        <v>2571</v>
      </c>
      <c r="AA5147" s="460">
        <v>43739</v>
      </c>
      <c r="AB5147" s="237"/>
      <c r="AC5147" s="244"/>
      <c r="AD5147" s="244"/>
      <c r="AE5147" s="244"/>
      <c r="AF5147" s="244"/>
      <c r="AG5147" s="296"/>
      <c r="AH5147" s="296"/>
      <c r="AI5147" s="297"/>
      <c r="AJ5147" s="298">
        <v>43718</v>
      </c>
      <c r="AK5147" s="297"/>
      <c r="AL5147" s="297"/>
      <c r="AM5147" s="296" t="s">
        <v>49</v>
      </c>
      <c r="AN5147" s="296" t="s">
        <v>284</v>
      </c>
      <c r="AO5147" s="296" t="s">
        <v>50</v>
      </c>
      <c r="AP5147" s="296" t="s">
        <v>51</v>
      </c>
      <c r="AQ5147" s="296" t="s">
        <v>506</v>
      </c>
    </row>
    <row r="5148" spans="1:43" ht="15" customHeight="1">
      <c r="A5148" s="69">
        <v>43668</v>
      </c>
      <c r="B5148" s="70" t="s">
        <v>129</v>
      </c>
      <c r="C5148" s="21" t="s">
        <v>1393</v>
      </c>
      <c r="D5148" s="21" t="s">
        <v>1394</v>
      </c>
      <c r="E5148" s="32" t="s">
        <v>1395</v>
      </c>
      <c r="F5148" s="24">
        <v>10</v>
      </c>
      <c r="G5148" s="48">
        <v>112</v>
      </c>
      <c r="H5148" s="60">
        <v>1120</v>
      </c>
      <c r="I5148" s="61" t="s">
        <v>143</v>
      </c>
      <c r="J5148" s="63" t="s">
        <v>133</v>
      </c>
      <c r="K5148" s="30">
        <v>43684</v>
      </c>
      <c r="W5148" s="460">
        <v>43738</v>
      </c>
      <c r="X5148" s="460">
        <v>43682</v>
      </c>
      <c r="Y5148" s="304" t="s">
        <v>1396</v>
      </c>
      <c r="Z5148" s="304">
        <v>33874</v>
      </c>
      <c r="AA5148" s="460">
        <v>43739</v>
      </c>
      <c r="AB5148" s="237"/>
      <c r="AC5148" s="244"/>
      <c r="AD5148" s="244"/>
      <c r="AE5148" s="244"/>
      <c r="AF5148" s="244"/>
      <c r="AG5148" s="296"/>
      <c r="AH5148" s="296"/>
      <c r="AI5148" s="297"/>
      <c r="AJ5148" s="298">
        <v>43704</v>
      </c>
      <c r="AK5148" s="297">
        <f>1526.62*31.35</f>
        <v>47859.536999999997</v>
      </c>
      <c r="AL5148" s="297">
        <f>(1544-1526.62)*31.35</f>
        <v>544.86300000000347</v>
      </c>
      <c r="AM5148" s="296" t="s">
        <v>49</v>
      </c>
      <c r="AN5148" s="296" t="s">
        <v>284</v>
      </c>
      <c r="AO5148" s="296" t="s">
        <v>50</v>
      </c>
      <c r="AP5148" s="296" t="s">
        <v>51</v>
      </c>
      <c r="AQ5148" s="296" t="s">
        <v>506</v>
      </c>
    </row>
    <row r="5149" spans="1:43" ht="15" customHeight="1">
      <c r="A5149" s="69">
        <v>43668</v>
      </c>
      <c r="B5149" s="70" t="s">
        <v>129</v>
      </c>
      <c r="C5149" s="21" t="s">
        <v>1393</v>
      </c>
      <c r="D5149" s="21" t="s">
        <v>1394</v>
      </c>
      <c r="E5149" s="32" t="s">
        <v>243</v>
      </c>
      <c r="F5149" s="24">
        <v>5</v>
      </c>
      <c r="G5149" s="48">
        <v>50</v>
      </c>
      <c r="H5149" s="468">
        <v>250</v>
      </c>
      <c r="I5149" s="61" t="s">
        <v>143</v>
      </c>
      <c r="J5149" s="63" t="s">
        <v>133</v>
      </c>
      <c r="K5149" s="30">
        <v>43684</v>
      </c>
      <c r="W5149" s="460">
        <v>43738</v>
      </c>
      <c r="X5149" s="460">
        <v>43683</v>
      </c>
      <c r="Y5149" s="304" t="s">
        <v>1397</v>
      </c>
      <c r="Z5149" s="304">
        <v>11302</v>
      </c>
      <c r="AA5149" s="460">
        <v>43739</v>
      </c>
      <c r="AB5149" s="237"/>
      <c r="AC5149" s="244"/>
      <c r="AD5149" s="244"/>
      <c r="AE5149" s="244"/>
      <c r="AF5149" s="244"/>
      <c r="AG5149" s="296"/>
      <c r="AH5149" s="296"/>
      <c r="AI5149" s="297"/>
      <c r="AJ5149" s="298">
        <v>43704</v>
      </c>
      <c r="AK5149" s="297"/>
      <c r="AL5149" s="297"/>
      <c r="AM5149" s="296" t="s">
        <v>49</v>
      </c>
      <c r="AN5149" s="296" t="s">
        <v>284</v>
      </c>
      <c r="AO5149" s="296" t="s">
        <v>50</v>
      </c>
      <c r="AP5149" s="296" t="s">
        <v>51</v>
      </c>
      <c r="AQ5149" s="296" t="s">
        <v>506</v>
      </c>
    </row>
    <row r="5150" spans="1:43" ht="15" customHeight="1">
      <c r="A5150" s="69">
        <v>43668</v>
      </c>
      <c r="B5150" s="70" t="s">
        <v>129</v>
      </c>
      <c r="C5150" s="21" t="s">
        <v>1393</v>
      </c>
      <c r="D5150" s="21" t="s">
        <v>1394</v>
      </c>
      <c r="E5150" s="32" t="s">
        <v>238</v>
      </c>
      <c r="F5150" s="24">
        <v>3</v>
      </c>
      <c r="G5150" s="48">
        <v>58</v>
      </c>
      <c r="H5150" s="60">
        <v>174</v>
      </c>
      <c r="I5150" s="61" t="s">
        <v>143</v>
      </c>
      <c r="J5150" s="63" t="s">
        <v>133</v>
      </c>
      <c r="K5150" s="30">
        <v>43684</v>
      </c>
      <c r="W5150" s="460">
        <v>43738</v>
      </c>
      <c r="X5150" s="460">
        <v>43683</v>
      </c>
      <c r="Y5150" s="304" t="s">
        <v>1397</v>
      </c>
      <c r="Z5150" s="304"/>
      <c r="AA5150" s="460">
        <v>43739</v>
      </c>
      <c r="AB5150" s="237"/>
      <c r="AC5150" s="244"/>
      <c r="AD5150" s="244"/>
      <c r="AE5150" s="244"/>
      <c r="AF5150" s="244"/>
      <c r="AG5150" s="296"/>
      <c r="AH5150" s="296"/>
      <c r="AI5150" s="297"/>
      <c r="AJ5150" s="298">
        <v>43704</v>
      </c>
      <c r="AK5150" s="297"/>
      <c r="AL5150" s="297"/>
      <c r="AM5150" s="296" t="s">
        <v>49</v>
      </c>
      <c r="AN5150" s="296" t="s">
        <v>284</v>
      </c>
      <c r="AO5150" s="296" t="s">
        <v>50</v>
      </c>
      <c r="AP5150" s="296" t="s">
        <v>51</v>
      </c>
      <c r="AQ5150" s="296" t="s">
        <v>506</v>
      </c>
    </row>
    <row r="5151" spans="1:43" ht="15" customHeight="1">
      <c r="A5151" s="69">
        <v>43668</v>
      </c>
      <c r="B5151" s="23" t="s">
        <v>405</v>
      </c>
      <c r="C5151" s="21">
        <v>7000148954</v>
      </c>
      <c r="D5151" s="21" t="s">
        <v>1398</v>
      </c>
      <c r="E5151" s="32" t="s">
        <v>995</v>
      </c>
      <c r="F5151" s="24">
        <v>1</v>
      </c>
      <c r="G5151" s="48">
        <v>468</v>
      </c>
      <c r="H5151" s="60">
        <v>468</v>
      </c>
      <c r="I5151" s="61" t="s">
        <v>42</v>
      </c>
      <c r="J5151" s="50" t="s">
        <v>512</v>
      </c>
      <c r="K5151" s="30">
        <v>43675</v>
      </c>
      <c r="W5151" s="303">
        <v>43769</v>
      </c>
      <c r="X5151" s="460">
        <v>43672</v>
      </c>
      <c r="Y5151" s="304" t="s">
        <v>1399</v>
      </c>
      <c r="Z5151" s="304">
        <v>13000</v>
      </c>
      <c r="AA5151" s="304"/>
      <c r="AB5151" s="237"/>
      <c r="AC5151" s="244"/>
      <c r="AD5151" s="244"/>
      <c r="AE5151" s="244"/>
      <c r="AF5151" s="244"/>
      <c r="AG5151" s="296"/>
      <c r="AH5151" s="296"/>
      <c r="AI5151" s="297"/>
      <c r="AJ5151" s="298">
        <v>43707</v>
      </c>
      <c r="AK5151" s="297"/>
      <c r="AL5151" s="297"/>
      <c r="AM5151" s="296" t="s">
        <v>49</v>
      </c>
      <c r="AN5151" s="296" t="s">
        <v>284</v>
      </c>
      <c r="AO5151" s="296" t="s">
        <v>50</v>
      </c>
      <c r="AP5151" s="296" t="s">
        <v>51</v>
      </c>
      <c r="AQ5151" s="296" t="s">
        <v>506</v>
      </c>
    </row>
    <row r="5152" spans="1:43" ht="15" customHeight="1">
      <c r="A5152" s="69">
        <v>43669</v>
      </c>
      <c r="B5152" s="70" t="s">
        <v>1016</v>
      </c>
      <c r="C5152" s="21">
        <v>19000283</v>
      </c>
      <c r="D5152" s="21" t="s">
        <v>1400</v>
      </c>
      <c r="E5152" s="32" t="s">
        <v>1066</v>
      </c>
      <c r="F5152" s="24">
        <v>8</v>
      </c>
      <c r="G5152" s="48">
        <v>115</v>
      </c>
      <c r="H5152" s="60">
        <v>920</v>
      </c>
      <c r="I5152" s="61" t="s">
        <v>104</v>
      </c>
      <c r="J5152" s="63" t="s">
        <v>198</v>
      </c>
      <c r="K5152" s="30">
        <v>43675</v>
      </c>
      <c r="W5152" s="460">
        <v>43708</v>
      </c>
      <c r="X5152" s="460">
        <v>43671</v>
      </c>
      <c r="Y5152" s="304" t="s">
        <v>1401</v>
      </c>
      <c r="Z5152" s="304">
        <v>50278</v>
      </c>
      <c r="AA5152" s="460">
        <v>43706</v>
      </c>
      <c r="AB5152" s="237"/>
      <c r="AC5152" s="244"/>
      <c r="AD5152" s="244"/>
      <c r="AE5152" s="244"/>
      <c r="AF5152" s="244"/>
      <c r="AG5152" s="296"/>
      <c r="AH5152" s="296"/>
      <c r="AI5152" s="297"/>
      <c r="AJ5152" s="298">
        <v>43676</v>
      </c>
      <c r="AK5152" s="297"/>
      <c r="AL5152" s="297"/>
      <c r="AM5152" s="296" t="s">
        <v>49</v>
      </c>
      <c r="AN5152" s="296" t="s">
        <v>284</v>
      </c>
      <c r="AO5152" s="296" t="s">
        <v>50</v>
      </c>
      <c r="AP5152" s="296" t="s">
        <v>51</v>
      </c>
      <c r="AQ5152" s="296" t="s">
        <v>506</v>
      </c>
    </row>
    <row r="5153" spans="1:43" ht="15" customHeight="1">
      <c r="A5153" s="69">
        <v>43669</v>
      </c>
      <c r="B5153" s="70" t="s">
        <v>1016</v>
      </c>
      <c r="C5153" s="21">
        <v>19000283</v>
      </c>
      <c r="D5153" s="21" t="s">
        <v>1400</v>
      </c>
      <c r="E5153" s="32" t="s">
        <v>1402</v>
      </c>
      <c r="F5153" s="24">
        <v>6</v>
      </c>
      <c r="G5153" s="48">
        <v>134</v>
      </c>
      <c r="H5153" s="60">
        <v>804</v>
      </c>
      <c r="I5153" s="61" t="s">
        <v>104</v>
      </c>
      <c r="J5153" s="63" t="s">
        <v>198</v>
      </c>
      <c r="K5153" s="30">
        <v>43675</v>
      </c>
      <c r="W5153" s="460">
        <v>43708</v>
      </c>
      <c r="X5153" s="460">
        <v>43671</v>
      </c>
      <c r="Y5153" s="304" t="s">
        <v>1401</v>
      </c>
      <c r="Z5153" s="304"/>
      <c r="AA5153" s="460">
        <v>43706</v>
      </c>
      <c r="AB5153" s="237"/>
      <c r="AC5153" s="244"/>
      <c r="AD5153" s="244"/>
      <c r="AE5153" s="244"/>
      <c r="AF5153" s="244"/>
      <c r="AG5153" s="296"/>
      <c r="AH5153" s="296"/>
      <c r="AI5153" s="297"/>
      <c r="AJ5153" s="298">
        <v>43676</v>
      </c>
      <c r="AK5153" s="297"/>
      <c r="AL5153" s="297"/>
      <c r="AM5153" s="296" t="s">
        <v>49</v>
      </c>
      <c r="AN5153" s="296" t="s">
        <v>284</v>
      </c>
      <c r="AO5153" s="296" t="s">
        <v>50</v>
      </c>
      <c r="AP5153" s="296" t="s">
        <v>51</v>
      </c>
      <c r="AQ5153" s="296" t="s">
        <v>506</v>
      </c>
    </row>
    <row r="5154" spans="1:43" ht="15" customHeight="1">
      <c r="A5154" s="69">
        <v>43669</v>
      </c>
      <c r="B5154" s="70" t="s">
        <v>1016</v>
      </c>
      <c r="C5154" s="21">
        <v>19000283</v>
      </c>
      <c r="D5154" s="21" t="s">
        <v>1400</v>
      </c>
      <c r="E5154" s="516" t="s">
        <v>961</v>
      </c>
      <c r="F5154" s="24">
        <v>1</v>
      </c>
      <c r="G5154" s="48">
        <v>89.2</v>
      </c>
      <c r="H5154" s="60">
        <v>89.2</v>
      </c>
      <c r="I5154" s="61" t="s">
        <v>104</v>
      </c>
      <c r="J5154" s="63" t="s">
        <v>198</v>
      </c>
      <c r="K5154" s="30">
        <v>43675</v>
      </c>
      <c r="W5154" s="460">
        <v>43708</v>
      </c>
      <c r="X5154" s="460">
        <v>43671</v>
      </c>
      <c r="Y5154" s="304" t="s">
        <v>1401</v>
      </c>
      <c r="Z5154" s="304"/>
      <c r="AA5154" s="460">
        <v>43706</v>
      </c>
      <c r="AB5154" s="237"/>
      <c r="AC5154" s="244"/>
      <c r="AD5154" s="244"/>
      <c r="AE5154" s="244"/>
      <c r="AF5154" s="244"/>
      <c r="AG5154" s="296"/>
      <c r="AH5154" s="296"/>
      <c r="AI5154" s="297"/>
      <c r="AJ5154" s="298">
        <v>43676</v>
      </c>
      <c r="AK5154" s="297"/>
      <c r="AL5154" s="297"/>
      <c r="AM5154" s="296" t="s">
        <v>49</v>
      </c>
      <c r="AN5154" s="296" t="s">
        <v>284</v>
      </c>
      <c r="AO5154" s="296" t="s">
        <v>50</v>
      </c>
      <c r="AP5154" s="296" t="s">
        <v>51</v>
      </c>
      <c r="AQ5154" s="296" t="s">
        <v>506</v>
      </c>
    </row>
    <row r="5155" spans="1:43" ht="15" customHeight="1">
      <c r="A5155" s="69">
        <v>43669</v>
      </c>
      <c r="B5155" s="70" t="s">
        <v>1016</v>
      </c>
      <c r="C5155" s="21">
        <v>19000283</v>
      </c>
      <c r="D5155" s="21" t="s">
        <v>1400</v>
      </c>
      <c r="E5155" s="516" t="s">
        <v>964</v>
      </c>
      <c r="F5155" s="24">
        <v>1</v>
      </c>
      <c r="G5155" s="48">
        <v>20</v>
      </c>
      <c r="H5155" s="60">
        <v>20</v>
      </c>
      <c r="I5155" s="61" t="s">
        <v>104</v>
      </c>
      <c r="J5155" s="63" t="s">
        <v>198</v>
      </c>
      <c r="K5155" s="30">
        <v>43675</v>
      </c>
      <c r="W5155" s="304"/>
      <c r="X5155" s="304"/>
      <c r="Y5155" s="304"/>
      <c r="Z5155" s="304"/>
      <c r="AA5155" s="304"/>
      <c r="AB5155" s="237"/>
      <c r="AC5155" s="244"/>
      <c r="AD5155" s="244"/>
      <c r="AE5155" s="244"/>
      <c r="AF5155" s="244"/>
      <c r="AG5155" s="296"/>
      <c r="AH5155" s="296"/>
      <c r="AI5155" s="297"/>
      <c r="AJ5155" s="298">
        <v>43676</v>
      </c>
      <c r="AK5155" s="297"/>
      <c r="AL5155" s="297"/>
      <c r="AM5155" s="296" t="s">
        <v>49</v>
      </c>
      <c r="AN5155" s="296" t="s">
        <v>284</v>
      </c>
      <c r="AO5155" s="296" t="s">
        <v>50</v>
      </c>
      <c r="AP5155" s="296" t="s">
        <v>51</v>
      </c>
      <c r="AQ5155" s="296" t="s">
        <v>506</v>
      </c>
    </row>
    <row r="5156" spans="1:43" ht="15" customHeight="1">
      <c r="A5156" s="69">
        <v>43669</v>
      </c>
      <c r="B5156" s="70" t="s">
        <v>1403</v>
      </c>
      <c r="C5156" s="21" t="s">
        <v>1404</v>
      </c>
      <c r="D5156" s="491" t="s">
        <v>1405</v>
      </c>
      <c r="E5156" s="32" t="s">
        <v>1406</v>
      </c>
      <c r="F5156" s="24">
        <v>7</v>
      </c>
      <c r="G5156" s="48">
        <v>2475</v>
      </c>
      <c r="H5156" s="60">
        <v>17325</v>
      </c>
      <c r="I5156" s="61" t="s">
        <v>104</v>
      </c>
      <c r="J5156" s="517"/>
      <c r="K5156" s="298">
        <v>43685</v>
      </c>
      <c r="W5156" s="460">
        <v>43713</v>
      </c>
      <c r="X5156" s="460">
        <v>43684</v>
      </c>
      <c r="Y5156" s="304" t="s">
        <v>1407</v>
      </c>
      <c r="Z5156" s="304">
        <v>513030</v>
      </c>
      <c r="AA5156" s="460">
        <v>43713</v>
      </c>
      <c r="AB5156" s="237"/>
      <c r="AC5156" s="244"/>
      <c r="AD5156" s="244"/>
      <c r="AE5156" s="244"/>
      <c r="AF5156" s="244"/>
      <c r="AG5156" s="296"/>
      <c r="AH5156" s="296"/>
      <c r="AI5156" s="297"/>
      <c r="AJ5156" s="298">
        <v>43675</v>
      </c>
      <c r="AK5156" s="297">
        <f>17310.34*31.05</f>
        <v>537486.05700000003</v>
      </c>
      <c r="AL5156" s="297">
        <f>(17325-17310.34)*31.05</f>
        <v>455.19299999999549</v>
      </c>
      <c r="AM5156" s="296" t="s">
        <v>49</v>
      </c>
      <c r="AN5156" s="296" t="s">
        <v>284</v>
      </c>
      <c r="AO5156" s="296" t="s">
        <v>50</v>
      </c>
      <c r="AP5156" s="296" t="s">
        <v>51</v>
      </c>
      <c r="AQ5156" s="296" t="s">
        <v>506</v>
      </c>
    </row>
    <row r="5157" spans="1:43" ht="15" customHeight="1">
      <c r="A5157" s="69">
        <v>43671</v>
      </c>
      <c r="B5157" s="70" t="s">
        <v>222</v>
      </c>
      <c r="C5157" s="21" t="s">
        <v>1408</v>
      </c>
      <c r="D5157" s="21" t="s">
        <v>1409</v>
      </c>
      <c r="E5157" s="32" t="s">
        <v>1410</v>
      </c>
      <c r="F5157" s="24">
        <v>5</v>
      </c>
      <c r="G5157" s="48">
        <f>251*1.05</f>
        <v>263.55</v>
      </c>
      <c r="H5157" s="60">
        <v>1317.75</v>
      </c>
      <c r="I5157" s="61" t="s">
        <v>143</v>
      </c>
      <c r="J5157" s="50" t="s">
        <v>89</v>
      </c>
      <c r="K5157" s="145">
        <v>43696</v>
      </c>
      <c r="W5157" s="460">
        <v>43738</v>
      </c>
      <c r="X5157" s="460">
        <v>43691</v>
      </c>
      <c r="Y5157" s="304" t="s">
        <v>1411</v>
      </c>
      <c r="Z5157" s="304">
        <v>37783</v>
      </c>
      <c r="AA5157" s="460">
        <v>43739</v>
      </c>
      <c r="AB5157" s="237"/>
      <c r="AC5157" s="244"/>
      <c r="AD5157" s="244"/>
      <c r="AE5157" s="244"/>
      <c r="AF5157" s="244"/>
      <c r="AG5157" s="296"/>
      <c r="AH5157" s="296"/>
      <c r="AI5157" s="297"/>
      <c r="AJ5157" s="298">
        <v>43718</v>
      </c>
      <c r="AK5157" s="297"/>
      <c r="AL5157" s="297"/>
      <c r="AM5157" s="296" t="s">
        <v>49</v>
      </c>
      <c r="AN5157" s="296" t="s">
        <v>284</v>
      </c>
      <c r="AO5157" s="296" t="s">
        <v>50</v>
      </c>
      <c r="AP5157" s="296" t="s">
        <v>376</v>
      </c>
      <c r="AQ5157" s="296" t="s">
        <v>506</v>
      </c>
    </row>
    <row r="5158" spans="1:43" ht="15" customHeight="1">
      <c r="A5158" s="69">
        <v>43672</v>
      </c>
      <c r="B5158" s="70" t="s">
        <v>577</v>
      </c>
      <c r="C5158" s="21">
        <v>20190723004</v>
      </c>
      <c r="D5158" s="21" t="s">
        <v>1412</v>
      </c>
      <c r="E5158" s="32" t="s">
        <v>1413</v>
      </c>
      <c r="F5158" s="24">
        <v>1</v>
      </c>
      <c r="G5158" s="48">
        <v>96.6</v>
      </c>
      <c r="H5158" s="60">
        <v>96.6</v>
      </c>
      <c r="I5158" s="61" t="s">
        <v>247</v>
      </c>
      <c r="J5158" s="58" t="s">
        <v>1414</v>
      </c>
      <c r="K5158" s="298">
        <v>43676</v>
      </c>
      <c r="W5158" s="460">
        <v>43738</v>
      </c>
      <c r="X5158" s="460">
        <v>43676</v>
      </c>
      <c r="Y5158" s="304" t="s">
        <v>1415</v>
      </c>
      <c r="Z5158" s="304">
        <v>2610</v>
      </c>
      <c r="AA5158" s="460">
        <v>43738</v>
      </c>
      <c r="AB5158" s="237"/>
      <c r="AC5158" s="244"/>
      <c r="AD5158" s="244"/>
      <c r="AE5158" s="244"/>
      <c r="AF5158" s="244"/>
      <c r="AG5158" s="296"/>
      <c r="AH5158" s="296"/>
      <c r="AI5158" s="297"/>
      <c r="AJ5158" s="298">
        <v>43661</v>
      </c>
      <c r="AK5158" s="297"/>
      <c r="AL5158" s="297">
        <v>0</v>
      </c>
      <c r="AM5158" s="296" t="s">
        <v>49</v>
      </c>
      <c r="AN5158" s="296" t="s">
        <v>284</v>
      </c>
      <c r="AO5158" s="296" t="s">
        <v>50</v>
      </c>
      <c r="AP5158" s="296" t="s">
        <v>376</v>
      </c>
      <c r="AQ5158" s="296" t="s">
        <v>506</v>
      </c>
    </row>
    <row r="5159" spans="1:43" ht="15" customHeight="1">
      <c r="A5159" s="69">
        <v>43672</v>
      </c>
      <c r="B5159" s="70" t="s">
        <v>1236</v>
      </c>
      <c r="C5159" s="21" t="s">
        <v>1416</v>
      </c>
      <c r="D5159" s="518" t="s">
        <v>1417</v>
      </c>
      <c r="E5159" s="32" t="s">
        <v>1418</v>
      </c>
      <c r="F5159" s="24">
        <v>5</v>
      </c>
      <c r="G5159" s="74">
        <v>576</v>
      </c>
      <c r="H5159" s="60">
        <v>2880</v>
      </c>
      <c r="I5159" s="61" t="s">
        <v>104</v>
      </c>
      <c r="J5159" s="517" t="s">
        <v>133</v>
      </c>
      <c r="K5159" s="29">
        <v>43692</v>
      </c>
      <c r="W5159" s="460">
        <v>43738</v>
      </c>
      <c r="X5159" s="460">
        <v>43684</v>
      </c>
      <c r="Y5159" s="304" t="s">
        <v>1419</v>
      </c>
      <c r="Z5159" s="304">
        <v>86508</v>
      </c>
      <c r="AA5159" s="460">
        <v>43739</v>
      </c>
      <c r="AB5159" s="237"/>
      <c r="AC5159" s="244"/>
      <c r="AD5159" s="244"/>
      <c r="AE5159" s="244"/>
      <c r="AF5159" s="244"/>
      <c r="AG5159" s="296"/>
      <c r="AH5159" s="296"/>
      <c r="AI5159" s="297"/>
      <c r="AJ5159" s="298">
        <v>43734</v>
      </c>
      <c r="AK5159" s="297"/>
      <c r="AL5159" s="297"/>
      <c r="AM5159" s="296" t="s">
        <v>49</v>
      </c>
      <c r="AN5159" s="296" t="s">
        <v>284</v>
      </c>
      <c r="AO5159" s="296" t="s">
        <v>50</v>
      </c>
      <c r="AP5159" s="296" t="s">
        <v>51</v>
      </c>
      <c r="AQ5159" s="296" t="s">
        <v>506</v>
      </c>
    </row>
    <row r="5160" spans="1:43" ht="15" customHeight="1">
      <c r="A5160" s="69">
        <v>43672</v>
      </c>
      <c r="B5160" s="70" t="s">
        <v>1236</v>
      </c>
      <c r="C5160" s="21" t="s">
        <v>1416</v>
      </c>
      <c r="D5160" s="518" t="s">
        <v>1417</v>
      </c>
      <c r="E5160" s="32" t="s">
        <v>1045</v>
      </c>
      <c r="F5160" s="24">
        <v>5</v>
      </c>
      <c r="G5160" s="74">
        <v>219</v>
      </c>
      <c r="H5160" s="60">
        <v>1095</v>
      </c>
      <c r="I5160" s="61" t="s">
        <v>104</v>
      </c>
      <c r="J5160" s="517" t="s">
        <v>133</v>
      </c>
      <c r="K5160" s="29">
        <v>43692</v>
      </c>
      <c r="W5160" s="460">
        <v>43738</v>
      </c>
      <c r="X5160" s="460">
        <v>43689</v>
      </c>
      <c r="Y5160" s="304" t="s">
        <v>1420</v>
      </c>
      <c r="Z5160" s="304">
        <v>31802</v>
      </c>
      <c r="AA5160" s="460">
        <v>43738</v>
      </c>
      <c r="AB5160" s="237"/>
      <c r="AC5160" s="244"/>
      <c r="AD5160" s="244"/>
      <c r="AE5160" s="244"/>
      <c r="AF5160" s="244"/>
      <c r="AG5160" s="296"/>
      <c r="AH5160" s="296"/>
      <c r="AI5160" s="297"/>
      <c r="AJ5160" s="298">
        <v>43734</v>
      </c>
      <c r="AK5160" s="297"/>
      <c r="AL5160" s="297"/>
      <c r="AM5160" s="296" t="s">
        <v>49</v>
      </c>
      <c r="AN5160" s="296" t="s">
        <v>284</v>
      </c>
      <c r="AO5160" s="296" t="s">
        <v>50</v>
      </c>
      <c r="AP5160" s="296" t="s">
        <v>51</v>
      </c>
      <c r="AQ5160" s="296" t="s">
        <v>506</v>
      </c>
    </row>
    <row r="5161" spans="1:43" ht="15" customHeight="1">
      <c r="A5161" s="69">
        <v>43672</v>
      </c>
      <c r="B5161" s="70" t="s">
        <v>1236</v>
      </c>
      <c r="C5161" s="21" t="s">
        <v>1416</v>
      </c>
      <c r="D5161" s="491" t="s">
        <v>1417</v>
      </c>
      <c r="E5161" s="32" t="s">
        <v>1421</v>
      </c>
      <c r="F5161" s="24">
        <v>5</v>
      </c>
      <c r="G5161" s="74">
        <v>54</v>
      </c>
      <c r="H5161" s="60">
        <v>270</v>
      </c>
      <c r="I5161" s="61" t="s">
        <v>104</v>
      </c>
      <c r="J5161" s="517" t="s">
        <v>133</v>
      </c>
      <c r="K5161" s="29">
        <v>43692</v>
      </c>
      <c r="W5161" s="460">
        <v>43713</v>
      </c>
      <c r="X5161" s="460">
        <v>43676</v>
      </c>
      <c r="Y5161" s="304" t="s">
        <v>1422</v>
      </c>
      <c r="Z5161" s="304">
        <v>6202</v>
      </c>
      <c r="AA5161" s="460">
        <v>43713</v>
      </c>
      <c r="AB5161" s="237"/>
      <c r="AC5161" s="244"/>
      <c r="AD5161" s="244"/>
      <c r="AE5161" s="244"/>
      <c r="AF5161" s="244"/>
      <c r="AG5161" s="296"/>
      <c r="AH5161" s="296"/>
      <c r="AI5161" s="297"/>
      <c r="AJ5161" s="298">
        <v>43734</v>
      </c>
      <c r="AK5161" s="297"/>
      <c r="AL5161" s="297"/>
      <c r="AM5161" s="296" t="s">
        <v>49</v>
      </c>
      <c r="AN5161" s="296" t="s">
        <v>284</v>
      </c>
      <c r="AO5161" s="296" t="s">
        <v>50</v>
      </c>
      <c r="AP5161" s="296" t="s">
        <v>51</v>
      </c>
      <c r="AQ5161" s="296" t="s">
        <v>506</v>
      </c>
    </row>
    <row r="5162" spans="1:43" ht="15" customHeight="1">
      <c r="A5162" s="69">
        <v>43672</v>
      </c>
      <c r="B5162" s="70" t="s">
        <v>118</v>
      </c>
      <c r="C5162" s="21" t="s">
        <v>1423</v>
      </c>
      <c r="D5162" s="21" t="s">
        <v>1424</v>
      </c>
      <c r="E5162" s="519" t="s">
        <v>164</v>
      </c>
      <c r="F5162" s="24">
        <v>100</v>
      </c>
      <c r="G5162" s="48">
        <v>105</v>
      </c>
      <c r="H5162" s="60">
        <v>10500</v>
      </c>
      <c r="I5162" s="61" t="s">
        <v>247</v>
      </c>
      <c r="J5162" s="82" t="s">
        <v>121</v>
      </c>
      <c r="K5162" s="84">
        <v>43732</v>
      </c>
      <c r="W5162" s="303">
        <v>43769</v>
      </c>
      <c r="X5162" s="460">
        <v>43728</v>
      </c>
      <c r="Y5162" s="304" t="s">
        <v>1425</v>
      </c>
      <c r="Z5162" s="304"/>
      <c r="AA5162" s="304"/>
      <c r="AB5162" s="237"/>
      <c r="AC5162" s="244"/>
      <c r="AD5162" s="244"/>
      <c r="AE5162" s="244"/>
      <c r="AF5162" s="244"/>
      <c r="AG5162" s="296"/>
      <c r="AH5162" s="296"/>
      <c r="AI5162" s="297"/>
      <c r="AJ5162" s="298">
        <v>43696</v>
      </c>
      <c r="AK5162" s="297">
        <f>15982.01*31.3</f>
        <v>500236.913</v>
      </c>
      <c r="AL5162" s="297">
        <f>(16000-15982.01)*31.3</f>
        <v>563.08699999999317</v>
      </c>
      <c r="AM5162" s="296" t="s">
        <v>49</v>
      </c>
      <c r="AN5162" s="296" t="s">
        <v>284</v>
      </c>
      <c r="AO5162" s="296" t="s">
        <v>50</v>
      </c>
      <c r="AP5162" s="296" t="s">
        <v>51</v>
      </c>
      <c r="AQ5162" s="296" t="s">
        <v>1118</v>
      </c>
    </row>
    <row r="5163" spans="1:43" ht="15" customHeight="1">
      <c r="A5163" s="69">
        <v>43676</v>
      </c>
      <c r="B5163" s="144" t="s">
        <v>1236</v>
      </c>
      <c r="C5163" s="21"/>
      <c r="D5163" s="21" t="s">
        <v>1426</v>
      </c>
      <c r="E5163" s="32" t="s">
        <v>346</v>
      </c>
      <c r="F5163" s="24">
        <v>1</v>
      </c>
      <c r="G5163" s="48">
        <v>96</v>
      </c>
      <c r="H5163" s="26">
        <v>96</v>
      </c>
      <c r="I5163" s="61" t="s">
        <v>104</v>
      </c>
      <c r="J5163" s="50" t="s">
        <v>1427</v>
      </c>
      <c r="K5163" s="29">
        <v>43676</v>
      </c>
      <c r="W5163" s="460">
        <v>43708</v>
      </c>
      <c r="X5163" s="460">
        <v>43686</v>
      </c>
      <c r="Y5163" s="304" t="s">
        <v>1428</v>
      </c>
      <c r="Z5163" s="304">
        <v>2482</v>
      </c>
      <c r="AA5163" s="460">
        <v>43710</v>
      </c>
      <c r="AB5163" s="237"/>
      <c r="AC5163" s="244"/>
      <c r="AD5163" s="244"/>
      <c r="AE5163" s="244"/>
      <c r="AF5163" s="244"/>
      <c r="AG5163" s="296"/>
      <c r="AH5163" s="296"/>
      <c r="AI5163" s="297"/>
      <c r="AJ5163" s="298">
        <v>43734</v>
      </c>
      <c r="AK5163" s="297"/>
      <c r="AL5163" s="297"/>
      <c r="AM5163" s="296" t="s">
        <v>49</v>
      </c>
      <c r="AN5163" s="296" t="s">
        <v>284</v>
      </c>
      <c r="AO5163" s="296" t="s">
        <v>285</v>
      </c>
      <c r="AP5163" s="296" t="s">
        <v>51</v>
      </c>
      <c r="AQ5163" s="296" t="s">
        <v>506</v>
      </c>
    </row>
    <row r="5164" spans="1:43" ht="15" customHeight="1">
      <c r="A5164" s="69">
        <v>43677</v>
      </c>
      <c r="B5164" s="70" t="s">
        <v>892</v>
      </c>
      <c r="C5164" s="21" t="s">
        <v>1429</v>
      </c>
      <c r="D5164" s="21" t="s">
        <v>1430</v>
      </c>
      <c r="E5164" s="22" t="s">
        <v>1431</v>
      </c>
      <c r="F5164" s="24">
        <v>28</v>
      </c>
      <c r="G5164" s="48">
        <v>212</v>
      </c>
      <c r="H5164" s="60">
        <v>5936</v>
      </c>
      <c r="I5164" s="61" t="s">
        <v>104</v>
      </c>
      <c r="J5164" s="63" t="s">
        <v>920</v>
      </c>
      <c r="K5164" s="29">
        <v>43686</v>
      </c>
      <c r="W5164" s="460">
        <v>43738</v>
      </c>
      <c r="X5164" s="460">
        <v>43683</v>
      </c>
      <c r="Y5164" s="304" t="s">
        <v>1432</v>
      </c>
      <c r="Z5164" s="304">
        <v>237642</v>
      </c>
      <c r="AA5164" s="460">
        <v>43739</v>
      </c>
      <c r="AB5164" s="237"/>
      <c r="AC5164" s="244"/>
      <c r="AD5164" s="244"/>
      <c r="AE5164" s="244"/>
      <c r="AF5164" s="244"/>
      <c r="AG5164" s="296"/>
      <c r="AH5164" s="296"/>
      <c r="AI5164" s="297"/>
      <c r="AJ5164" s="298">
        <v>43678</v>
      </c>
      <c r="AK5164" s="297">
        <f>8521.17*31.09</f>
        <v>264923.1753</v>
      </c>
      <c r="AL5164" s="297">
        <f>(8538.6-8521.17)*31.09</f>
        <v>541.89870000000906</v>
      </c>
      <c r="AM5164" s="296" t="s">
        <v>49</v>
      </c>
      <c r="AN5164" s="296" t="s">
        <v>284</v>
      </c>
      <c r="AO5164" s="296" t="s">
        <v>50</v>
      </c>
      <c r="AP5164" s="296" t="s">
        <v>51</v>
      </c>
      <c r="AQ5164" s="296" t="s">
        <v>506</v>
      </c>
    </row>
    <row r="5165" spans="1:43" ht="15" customHeight="1">
      <c r="A5165" s="69">
        <v>43677</v>
      </c>
      <c r="B5165" s="70" t="s">
        <v>892</v>
      </c>
      <c r="C5165" s="21" t="s">
        <v>1429</v>
      </c>
      <c r="D5165" s="21" t="s">
        <v>1430</v>
      </c>
      <c r="E5165" s="22" t="s">
        <v>947</v>
      </c>
      <c r="F5165" s="24">
        <v>4</v>
      </c>
      <c r="G5165" s="48">
        <v>340</v>
      </c>
      <c r="H5165" s="60">
        <v>1360</v>
      </c>
      <c r="I5165" s="61" t="s">
        <v>104</v>
      </c>
      <c r="J5165" s="63" t="s">
        <v>920</v>
      </c>
      <c r="K5165" s="29">
        <v>43686</v>
      </c>
      <c r="W5165" s="460">
        <v>43738</v>
      </c>
      <c r="X5165" s="460">
        <v>43683</v>
      </c>
      <c r="Y5165" s="304" t="s">
        <v>1432</v>
      </c>
      <c r="Z5165" s="304"/>
      <c r="AA5165" s="460">
        <v>43739</v>
      </c>
      <c r="AB5165" s="237"/>
      <c r="AC5165" s="244"/>
      <c r="AD5165" s="244"/>
      <c r="AE5165" s="244"/>
      <c r="AF5165" s="244"/>
      <c r="AG5165" s="296"/>
      <c r="AH5165" s="296"/>
      <c r="AI5165" s="297"/>
      <c r="AJ5165" s="298">
        <v>43678</v>
      </c>
      <c r="AK5165" s="297"/>
      <c r="AL5165" s="297"/>
      <c r="AM5165" s="296" t="s">
        <v>49</v>
      </c>
      <c r="AN5165" s="296" t="s">
        <v>284</v>
      </c>
      <c r="AO5165" s="296" t="s">
        <v>50</v>
      </c>
      <c r="AP5165" s="296" t="s">
        <v>51</v>
      </c>
      <c r="AQ5165" s="296" t="s">
        <v>506</v>
      </c>
    </row>
    <row r="5166" spans="1:43" ht="15" customHeight="1">
      <c r="A5166" s="69">
        <v>43677</v>
      </c>
      <c r="B5166" s="70" t="s">
        <v>892</v>
      </c>
      <c r="C5166" s="21" t="s">
        <v>1429</v>
      </c>
      <c r="D5166" s="21" t="s">
        <v>1430</v>
      </c>
      <c r="E5166" s="22" t="s">
        <v>1433</v>
      </c>
      <c r="F5166" s="24">
        <v>72</v>
      </c>
      <c r="G5166" s="48">
        <v>5.8</v>
      </c>
      <c r="H5166" s="60">
        <v>417.59999999999997</v>
      </c>
      <c r="I5166" s="61" t="s">
        <v>104</v>
      </c>
      <c r="J5166" s="63" t="s">
        <v>920</v>
      </c>
      <c r="K5166" s="29">
        <v>43686</v>
      </c>
      <c r="W5166" s="460">
        <v>43738</v>
      </c>
      <c r="X5166" s="460">
        <v>43683</v>
      </c>
      <c r="Y5166" s="304" t="s">
        <v>1432</v>
      </c>
      <c r="Z5166" s="304"/>
      <c r="AA5166" s="460">
        <v>43739</v>
      </c>
      <c r="AB5166" s="237"/>
      <c r="AC5166" s="244"/>
      <c r="AD5166" s="244"/>
      <c r="AE5166" s="244"/>
      <c r="AF5166" s="244"/>
      <c r="AG5166" s="296"/>
      <c r="AH5166" s="296"/>
      <c r="AI5166" s="297"/>
      <c r="AJ5166" s="298">
        <v>43678</v>
      </c>
      <c r="AK5166" s="297"/>
      <c r="AL5166" s="297"/>
      <c r="AM5166" s="296" t="s">
        <v>49</v>
      </c>
      <c r="AN5166" s="296" t="s">
        <v>284</v>
      </c>
      <c r="AO5166" s="296" t="s">
        <v>50</v>
      </c>
      <c r="AP5166" s="296" t="s">
        <v>51</v>
      </c>
      <c r="AQ5166" s="296" t="s">
        <v>506</v>
      </c>
    </row>
    <row r="5167" spans="1:43" ht="15" customHeight="1">
      <c r="A5167" s="69">
        <v>43677</v>
      </c>
      <c r="B5167" s="70" t="s">
        <v>892</v>
      </c>
      <c r="C5167" s="21" t="s">
        <v>1429</v>
      </c>
      <c r="D5167" s="21" t="s">
        <v>1430</v>
      </c>
      <c r="E5167" s="22" t="s">
        <v>1434</v>
      </c>
      <c r="F5167" s="24">
        <v>3</v>
      </c>
      <c r="G5167" s="48">
        <v>275</v>
      </c>
      <c r="H5167" s="60">
        <v>825</v>
      </c>
      <c r="I5167" s="61" t="s">
        <v>104</v>
      </c>
      <c r="J5167" s="63"/>
      <c r="K5167" s="29">
        <v>43686</v>
      </c>
      <c r="W5167" s="460">
        <v>43738</v>
      </c>
      <c r="X5167" s="460">
        <v>43683</v>
      </c>
      <c r="Y5167" s="304" t="s">
        <v>1432</v>
      </c>
      <c r="Z5167" s="304"/>
      <c r="AA5167" s="460">
        <v>43739</v>
      </c>
      <c r="AB5167" s="237"/>
      <c r="AC5167" s="244"/>
      <c r="AD5167" s="244"/>
      <c r="AE5167" s="244"/>
      <c r="AF5167" s="244"/>
      <c r="AG5167" s="296"/>
      <c r="AH5167" s="296"/>
      <c r="AI5167" s="297"/>
      <c r="AJ5167" s="298">
        <v>43678</v>
      </c>
      <c r="AK5167" s="297"/>
      <c r="AL5167" s="297"/>
      <c r="AM5167" s="296" t="s">
        <v>49</v>
      </c>
      <c r="AN5167" s="296" t="s">
        <v>284</v>
      </c>
      <c r="AO5167" s="296" t="s">
        <v>50</v>
      </c>
      <c r="AP5167" s="296" t="s">
        <v>51</v>
      </c>
      <c r="AQ5167" s="296" t="s">
        <v>506</v>
      </c>
    </row>
    <row r="5168" spans="1:43" ht="15" customHeight="1">
      <c r="A5168" s="19">
        <v>43677</v>
      </c>
      <c r="B5168" s="51" t="s">
        <v>53</v>
      </c>
      <c r="C5168" s="21" t="s">
        <v>1435</v>
      </c>
      <c r="D5168" s="22" t="s">
        <v>1436</v>
      </c>
      <c r="E5168" s="32" t="s">
        <v>385</v>
      </c>
      <c r="F5168" s="24">
        <v>10</v>
      </c>
      <c r="G5168" s="48">
        <v>150.15</v>
      </c>
      <c r="H5168" s="26">
        <v>1501.5</v>
      </c>
      <c r="I5168" s="27" t="s">
        <v>42</v>
      </c>
      <c r="J5168" s="161" t="s">
        <v>89</v>
      </c>
      <c r="K5168" s="30">
        <v>43699</v>
      </c>
      <c r="W5168" s="460">
        <v>43738</v>
      </c>
      <c r="X5168" s="460">
        <v>43698</v>
      </c>
      <c r="Y5168" s="304" t="s">
        <v>1437</v>
      </c>
      <c r="Z5168" s="304">
        <v>42087</v>
      </c>
      <c r="AA5168" s="460">
        <v>43739</v>
      </c>
      <c r="AB5168" s="237"/>
      <c r="AC5168" s="244"/>
      <c r="AD5168" s="244"/>
      <c r="AE5168" s="244"/>
      <c r="AF5168" s="244"/>
      <c r="AG5168" s="296"/>
      <c r="AH5168" s="296"/>
      <c r="AI5168" s="297"/>
      <c r="AJ5168" s="298">
        <v>43733</v>
      </c>
      <c r="AK5168" s="297">
        <v>47081</v>
      </c>
      <c r="AL5168" s="297">
        <v>15</v>
      </c>
      <c r="AM5168" s="296" t="s">
        <v>49</v>
      </c>
      <c r="AN5168" s="296" t="s">
        <v>284</v>
      </c>
      <c r="AO5168" s="296" t="s">
        <v>50</v>
      </c>
      <c r="AP5168" s="296" t="s">
        <v>376</v>
      </c>
      <c r="AQ5168" s="296" t="s">
        <v>506</v>
      </c>
    </row>
    <row r="5169" spans="1:43" ht="15" customHeight="1">
      <c r="A5169" s="69">
        <v>43678</v>
      </c>
      <c r="B5169" s="70" t="s">
        <v>809</v>
      </c>
      <c r="C5169" s="21"/>
      <c r="D5169" s="21" t="s">
        <v>1438</v>
      </c>
      <c r="E5169" s="23" t="s">
        <v>1439</v>
      </c>
      <c r="F5169" s="24">
        <v>1</v>
      </c>
      <c r="G5169" s="48">
        <v>303</v>
      </c>
      <c r="H5169" s="60">
        <v>303</v>
      </c>
      <c r="I5169" s="61" t="s">
        <v>247</v>
      </c>
      <c r="J5169" s="50" t="s">
        <v>532</v>
      </c>
      <c r="K5169" s="29">
        <v>43706</v>
      </c>
      <c r="W5169" s="303">
        <v>43769</v>
      </c>
      <c r="X5169" s="460">
        <v>43703</v>
      </c>
      <c r="Y5169" s="304" t="s">
        <v>1440</v>
      </c>
      <c r="Z5169" s="304">
        <v>8763</v>
      </c>
      <c r="AA5169" s="304"/>
      <c r="AB5169" s="237"/>
      <c r="AC5169" s="244"/>
      <c r="AD5169" s="244"/>
      <c r="AE5169" s="244"/>
      <c r="AF5169" s="244"/>
      <c r="AG5169" s="296"/>
      <c r="AH5169" s="296"/>
      <c r="AI5169" s="297"/>
      <c r="AJ5169" s="298">
        <v>43698</v>
      </c>
      <c r="AK5169" s="297">
        <f>337.61*31.32</f>
        <v>10573.9452</v>
      </c>
      <c r="AL5169" s="297">
        <f>(374-337.61)*31.32</f>
        <v>1139.7347999999995</v>
      </c>
      <c r="AM5169" s="296" t="s">
        <v>49</v>
      </c>
      <c r="AN5169" s="296" t="s">
        <v>284</v>
      </c>
      <c r="AO5169" s="296" t="s">
        <v>50</v>
      </c>
      <c r="AP5169" s="296" t="s">
        <v>51</v>
      </c>
      <c r="AQ5169" s="296" t="s">
        <v>506</v>
      </c>
    </row>
    <row r="5170" spans="1:43" ht="15" customHeight="1">
      <c r="A5170" s="69">
        <v>43678</v>
      </c>
      <c r="B5170" s="70" t="s">
        <v>809</v>
      </c>
      <c r="C5170" s="21"/>
      <c r="D5170" s="21" t="s">
        <v>1438</v>
      </c>
      <c r="E5170" s="32" t="s">
        <v>346</v>
      </c>
      <c r="F5170" s="24">
        <v>1</v>
      </c>
      <c r="G5170" s="48">
        <v>31</v>
      </c>
      <c r="H5170" s="60">
        <v>31</v>
      </c>
      <c r="I5170" s="61" t="s">
        <v>247</v>
      </c>
      <c r="J5170" s="50" t="s">
        <v>532</v>
      </c>
      <c r="K5170" s="29">
        <v>43706</v>
      </c>
      <c r="W5170" s="460">
        <v>43738</v>
      </c>
      <c r="X5170" s="460">
        <v>43708</v>
      </c>
      <c r="Y5170" s="304" t="s">
        <v>1441</v>
      </c>
      <c r="Z5170" s="304">
        <v>1057</v>
      </c>
      <c r="AA5170" s="460">
        <v>43745</v>
      </c>
      <c r="AB5170" s="237"/>
      <c r="AC5170" s="244"/>
      <c r="AD5170" s="244"/>
      <c r="AE5170" s="244"/>
      <c r="AF5170" s="244"/>
      <c r="AG5170" s="296"/>
      <c r="AH5170" s="296"/>
      <c r="AI5170" s="297"/>
      <c r="AJ5170" s="298">
        <v>43698</v>
      </c>
      <c r="AK5170" s="297"/>
      <c r="AL5170" s="297"/>
      <c r="AM5170" s="296" t="s">
        <v>49</v>
      </c>
      <c r="AN5170" s="296" t="s">
        <v>284</v>
      </c>
      <c r="AO5170" s="296" t="s">
        <v>50</v>
      </c>
      <c r="AP5170" s="296" t="s">
        <v>51</v>
      </c>
      <c r="AQ5170" s="296" t="s">
        <v>506</v>
      </c>
    </row>
    <row r="5171" spans="1:43" ht="15" customHeight="1">
      <c r="A5171" s="69">
        <v>43678</v>
      </c>
      <c r="B5171" s="70" t="s">
        <v>809</v>
      </c>
      <c r="C5171" s="21"/>
      <c r="D5171" s="21" t="s">
        <v>1442</v>
      </c>
      <c r="E5171" s="32" t="s">
        <v>692</v>
      </c>
      <c r="F5171" s="24">
        <v>1</v>
      </c>
      <c r="G5171" s="48">
        <v>40</v>
      </c>
      <c r="H5171" s="60">
        <v>40</v>
      </c>
      <c r="I5171" s="61" t="s">
        <v>247</v>
      </c>
      <c r="J5171" s="50" t="s">
        <v>532</v>
      </c>
      <c r="K5171" s="29">
        <v>43706</v>
      </c>
      <c r="W5171" s="52"/>
      <c r="X5171" s="53"/>
      <c r="Y5171" s="53"/>
      <c r="Z5171" s="53"/>
      <c r="AA5171" s="53"/>
      <c r="AB5171" s="237"/>
      <c r="AC5171" s="244"/>
      <c r="AD5171" s="244"/>
      <c r="AE5171" s="244"/>
      <c r="AF5171" s="244"/>
      <c r="AG5171" s="54"/>
      <c r="AH5171" s="54"/>
      <c r="AI5171" s="55"/>
      <c r="AJ5171" s="56">
        <v>43698</v>
      </c>
      <c r="AK5171" s="55"/>
      <c r="AL5171" s="55"/>
      <c r="AM5171" s="54" t="s">
        <v>49</v>
      </c>
      <c r="AN5171" s="54" t="s">
        <v>284</v>
      </c>
      <c r="AO5171" s="54" t="s">
        <v>50</v>
      </c>
      <c r="AP5171" s="54" t="s">
        <v>51</v>
      </c>
      <c r="AQ5171" s="54"/>
    </row>
    <row r="5172" spans="1:43" ht="15" customHeight="1">
      <c r="A5172" s="69">
        <v>43678</v>
      </c>
      <c r="B5172" s="70" t="s">
        <v>892</v>
      </c>
      <c r="C5172" s="21" t="s">
        <v>1429</v>
      </c>
      <c r="D5172" s="21" t="s">
        <v>1443</v>
      </c>
      <c r="E5172" s="520" t="s">
        <v>1433</v>
      </c>
      <c r="F5172" s="24">
        <v>18</v>
      </c>
      <c r="G5172" s="48">
        <v>5.8</v>
      </c>
      <c r="H5172" s="26">
        <v>104.39999999999999</v>
      </c>
      <c r="I5172" s="61" t="s">
        <v>104</v>
      </c>
      <c r="J5172" s="63" t="s">
        <v>920</v>
      </c>
      <c r="K5172" s="29">
        <v>43686</v>
      </c>
      <c r="W5172" s="460">
        <v>43738</v>
      </c>
      <c r="X5172" s="460">
        <v>43683</v>
      </c>
      <c r="Y5172" s="304" t="s">
        <v>1444</v>
      </c>
      <c r="Z5172" s="304">
        <v>43906</v>
      </c>
      <c r="AA5172" s="460">
        <v>43739</v>
      </c>
      <c r="AB5172" s="237"/>
      <c r="AC5172" s="244"/>
      <c r="AD5172" s="244"/>
      <c r="AE5172" s="244"/>
      <c r="AF5172" s="244"/>
      <c r="AG5172" s="296"/>
      <c r="AH5172" s="296"/>
      <c r="AI5172" s="297"/>
      <c r="AJ5172" s="298">
        <v>43679</v>
      </c>
      <c r="AK5172" s="297">
        <f>1512.01*31.29</f>
        <v>47310.7929</v>
      </c>
      <c r="AL5172" s="297">
        <f>(1529.4-1512.01)*31.29</f>
        <v>544.13310000000308</v>
      </c>
      <c r="AM5172" s="296" t="s">
        <v>49</v>
      </c>
      <c r="AN5172" s="296" t="s">
        <v>284</v>
      </c>
      <c r="AO5172" s="296" t="s">
        <v>50</v>
      </c>
      <c r="AP5172" s="296" t="s">
        <v>51</v>
      </c>
      <c r="AQ5172" s="296" t="s">
        <v>506</v>
      </c>
    </row>
    <row r="5173" spans="1:43" ht="15" customHeight="1" thickBot="1">
      <c r="A5173" s="69">
        <v>43678</v>
      </c>
      <c r="B5173" s="70" t="s">
        <v>892</v>
      </c>
      <c r="C5173" s="21" t="s">
        <v>1429</v>
      </c>
      <c r="D5173" s="21" t="s">
        <v>1443</v>
      </c>
      <c r="E5173" s="521" t="s">
        <v>1445</v>
      </c>
      <c r="F5173" s="24">
        <v>1</v>
      </c>
      <c r="G5173" s="48">
        <v>345</v>
      </c>
      <c r="H5173" s="26">
        <v>345</v>
      </c>
      <c r="I5173" s="61" t="s">
        <v>104</v>
      </c>
      <c r="J5173" s="63" t="s">
        <v>920</v>
      </c>
      <c r="K5173" s="29">
        <v>43686</v>
      </c>
      <c r="W5173" s="460">
        <v>43738</v>
      </c>
      <c r="X5173" s="460">
        <v>43683</v>
      </c>
      <c r="Y5173" s="304" t="s">
        <v>1444</v>
      </c>
      <c r="Z5173" s="304"/>
      <c r="AA5173" s="460">
        <v>43739</v>
      </c>
      <c r="AB5173" s="237"/>
      <c r="AC5173" s="244"/>
      <c r="AD5173" s="244"/>
      <c r="AE5173" s="244"/>
      <c r="AF5173" s="244"/>
      <c r="AG5173" s="296"/>
      <c r="AH5173" s="296"/>
      <c r="AI5173" s="297"/>
      <c r="AJ5173" s="298">
        <v>43679</v>
      </c>
      <c r="AK5173" s="297"/>
      <c r="AL5173" s="297"/>
      <c r="AM5173" s="296" t="s">
        <v>49</v>
      </c>
      <c r="AN5173" s="296" t="s">
        <v>284</v>
      </c>
      <c r="AO5173" s="296" t="s">
        <v>50</v>
      </c>
      <c r="AP5173" s="296" t="s">
        <v>51</v>
      </c>
      <c r="AQ5173" s="296" t="s">
        <v>506</v>
      </c>
    </row>
    <row r="5174" spans="1:43" ht="15" customHeight="1" thickTop="1" thickBot="1">
      <c r="A5174" s="69">
        <v>43678</v>
      </c>
      <c r="B5174" s="70" t="s">
        <v>892</v>
      </c>
      <c r="C5174" s="21" t="s">
        <v>1429</v>
      </c>
      <c r="D5174" s="21" t="s">
        <v>1443</v>
      </c>
      <c r="E5174" s="522" t="s">
        <v>1446</v>
      </c>
      <c r="F5174" s="24">
        <v>9</v>
      </c>
      <c r="G5174" s="48">
        <v>120</v>
      </c>
      <c r="H5174" s="26">
        <v>1080</v>
      </c>
      <c r="I5174" s="61" t="s">
        <v>104</v>
      </c>
      <c r="J5174" s="63" t="s">
        <v>920</v>
      </c>
      <c r="K5174" s="29">
        <v>43686</v>
      </c>
      <c r="W5174" s="460">
        <v>43738</v>
      </c>
      <c r="X5174" s="460">
        <v>43683</v>
      </c>
      <c r="Y5174" s="304" t="s">
        <v>1444</v>
      </c>
      <c r="Z5174" s="304"/>
      <c r="AA5174" s="460">
        <v>43739</v>
      </c>
      <c r="AB5174" s="237"/>
      <c r="AC5174" s="244"/>
      <c r="AD5174" s="244"/>
      <c r="AE5174" s="244"/>
      <c r="AF5174" s="244"/>
      <c r="AG5174" s="296"/>
      <c r="AH5174" s="296"/>
      <c r="AI5174" s="297"/>
      <c r="AJ5174" s="298">
        <v>43679</v>
      </c>
      <c r="AK5174" s="297"/>
      <c r="AL5174" s="297"/>
      <c r="AM5174" s="296" t="s">
        <v>49</v>
      </c>
      <c r="AN5174" s="296" t="s">
        <v>284</v>
      </c>
      <c r="AO5174" s="296" t="s">
        <v>50</v>
      </c>
      <c r="AP5174" s="296" t="s">
        <v>51</v>
      </c>
      <c r="AQ5174" s="296" t="s">
        <v>506</v>
      </c>
    </row>
    <row r="5175" spans="1:43" ht="15" customHeight="1" thickTop="1" thickBot="1">
      <c r="A5175" s="69">
        <v>43678</v>
      </c>
      <c r="B5175" s="23" t="s">
        <v>76</v>
      </c>
      <c r="C5175" s="21">
        <v>605</v>
      </c>
      <c r="D5175" s="21" t="s">
        <v>1447</v>
      </c>
      <c r="E5175" s="523" t="s">
        <v>819</v>
      </c>
      <c r="F5175" s="24">
        <v>20</v>
      </c>
      <c r="G5175" s="48">
        <v>14</v>
      </c>
      <c r="H5175" s="26">
        <v>280</v>
      </c>
      <c r="I5175" s="61" t="s">
        <v>42</v>
      </c>
      <c r="J5175" s="431" t="s">
        <v>922</v>
      </c>
      <c r="K5175" s="29">
        <v>43700</v>
      </c>
      <c r="W5175" s="460">
        <v>43708</v>
      </c>
      <c r="X5175" s="460">
        <v>43692</v>
      </c>
      <c r="Y5175" s="304" t="s">
        <v>1231</v>
      </c>
      <c r="Z5175" s="304"/>
      <c r="AA5175" s="460">
        <v>43710</v>
      </c>
      <c r="AB5175" s="237"/>
      <c r="AC5175" s="244"/>
      <c r="AD5175" s="244"/>
      <c r="AE5175" s="244"/>
      <c r="AF5175" s="244"/>
      <c r="AG5175" s="296"/>
      <c r="AH5175" s="296"/>
      <c r="AI5175" s="297"/>
      <c r="AJ5175" s="298">
        <v>43731</v>
      </c>
      <c r="AK5175" s="297"/>
      <c r="AL5175" s="297"/>
      <c r="AM5175" s="296" t="s">
        <v>49</v>
      </c>
      <c r="AN5175" s="296" t="s">
        <v>284</v>
      </c>
      <c r="AO5175" s="296" t="s">
        <v>50</v>
      </c>
      <c r="AP5175" s="296" t="s">
        <v>51</v>
      </c>
      <c r="AQ5175" s="296" t="s">
        <v>506</v>
      </c>
    </row>
    <row r="5176" spans="1:43" ht="15" customHeight="1" thickTop="1">
      <c r="A5176" s="69">
        <v>43678</v>
      </c>
      <c r="B5176" s="70" t="s">
        <v>118</v>
      </c>
      <c r="C5176" s="21" t="s">
        <v>1448</v>
      </c>
      <c r="D5176" s="21" t="s">
        <v>1449</v>
      </c>
      <c r="E5176" s="150" t="s">
        <v>164</v>
      </c>
      <c r="F5176" s="24">
        <v>100</v>
      </c>
      <c r="G5176" s="48">
        <v>105</v>
      </c>
      <c r="H5176" s="60">
        <v>10500</v>
      </c>
      <c r="I5176" s="61" t="s">
        <v>247</v>
      </c>
      <c r="J5176" s="82" t="s">
        <v>121</v>
      </c>
      <c r="K5176" s="84">
        <v>43732</v>
      </c>
      <c r="W5176" s="303">
        <v>43769</v>
      </c>
      <c r="X5176" s="460">
        <v>43728</v>
      </c>
      <c r="Y5176" s="304" t="s">
        <v>1425</v>
      </c>
      <c r="Z5176" s="304">
        <v>537608</v>
      </c>
      <c r="AA5176" s="304"/>
      <c r="AB5176" s="237"/>
      <c r="AC5176" s="244"/>
      <c r="AD5176" s="244"/>
      <c r="AE5176" s="244"/>
      <c r="AF5176" s="244"/>
      <c r="AG5176" s="296"/>
      <c r="AH5176" s="296"/>
      <c r="AI5176" s="297"/>
      <c r="AJ5176" s="298">
        <v>43726</v>
      </c>
      <c r="AK5176" s="297">
        <f>10483.53*30.92</f>
        <v>324150.74760000006</v>
      </c>
      <c r="AL5176" s="297">
        <f>(10500-10483.53)*30.92</f>
        <v>509.25239999997979</v>
      </c>
      <c r="AM5176" s="296" t="s">
        <v>49</v>
      </c>
      <c r="AN5176" s="296" t="s">
        <v>284</v>
      </c>
      <c r="AO5176" s="296" t="s">
        <v>50</v>
      </c>
      <c r="AP5176" s="296" t="s">
        <v>51</v>
      </c>
      <c r="AQ5176" s="296" t="s">
        <v>1118</v>
      </c>
    </row>
    <row r="5177" spans="1:43" ht="15" customHeight="1">
      <c r="A5177" s="69">
        <v>43678</v>
      </c>
      <c r="B5177" s="70" t="s">
        <v>1070</v>
      </c>
      <c r="C5177" s="21" t="s">
        <v>1450</v>
      </c>
      <c r="D5177" s="21" t="s">
        <v>1451</v>
      </c>
      <c r="E5177" s="32" t="s">
        <v>1073</v>
      </c>
      <c r="F5177" s="24">
        <v>1</v>
      </c>
      <c r="G5177" s="48">
        <v>155.4</v>
      </c>
      <c r="H5177" s="60">
        <v>155.4</v>
      </c>
      <c r="I5177" s="61" t="s">
        <v>247</v>
      </c>
      <c r="J5177" s="161" t="s">
        <v>1149</v>
      </c>
      <c r="K5177" s="29">
        <v>43683</v>
      </c>
      <c r="W5177" s="304"/>
      <c r="X5177" s="304"/>
      <c r="Y5177" s="304"/>
      <c r="Z5177" s="304"/>
      <c r="AA5177" s="304"/>
      <c r="AB5177" s="237"/>
      <c r="AC5177" s="244"/>
      <c r="AD5177" s="244"/>
      <c r="AE5177" s="244"/>
      <c r="AF5177" s="244"/>
      <c r="AG5177" s="296"/>
      <c r="AH5177" s="296"/>
      <c r="AI5177" s="297"/>
      <c r="AJ5177" s="298">
        <v>43739</v>
      </c>
      <c r="AK5177" s="297">
        <v>14645</v>
      </c>
      <c r="AL5177" s="297">
        <v>15</v>
      </c>
      <c r="AM5177" s="296" t="s">
        <v>49</v>
      </c>
      <c r="AN5177" s="296" t="s">
        <v>284</v>
      </c>
      <c r="AO5177" s="296" t="s">
        <v>50</v>
      </c>
      <c r="AP5177" s="296" t="s">
        <v>376</v>
      </c>
      <c r="AQ5177" s="296" t="s">
        <v>506</v>
      </c>
    </row>
    <row r="5178" spans="1:43" ht="15" customHeight="1">
      <c r="A5178" s="69">
        <v>43682</v>
      </c>
      <c r="B5178" s="21" t="s">
        <v>1236</v>
      </c>
      <c r="C5178" s="21" t="s">
        <v>1329</v>
      </c>
      <c r="D5178" s="491" t="s">
        <v>1452</v>
      </c>
      <c r="E5178" s="32" t="s">
        <v>346</v>
      </c>
      <c r="F5178" s="24">
        <v>1</v>
      </c>
      <c r="G5178" s="48">
        <v>442</v>
      </c>
      <c r="H5178" s="26">
        <v>442</v>
      </c>
      <c r="I5178" s="87" t="s">
        <v>104</v>
      </c>
      <c r="J5178" s="63" t="s">
        <v>532</v>
      </c>
      <c r="K5178" s="30">
        <v>43684</v>
      </c>
      <c r="W5178" s="460">
        <v>43708</v>
      </c>
      <c r="X5178" s="460">
        <v>43693</v>
      </c>
      <c r="Y5178" s="304" t="s">
        <v>1453</v>
      </c>
      <c r="Z5178" s="304">
        <v>11945</v>
      </c>
      <c r="AA5178" s="460">
        <v>43710</v>
      </c>
      <c r="AB5178" s="237"/>
      <c r="AC5178" s="244"/>
      <c r="AD5178" s="244"/>
      <c r="AE5178" s="244"/>
      <c r="AF5178" s="244"/>
      <c r="AG5178" s="296"/>
      <c r="AH5178" s="296"/>
      <c r="AI5178" s="297"/>
      <c r="AJ5178" s="29">
        <v>43789</v>
      </c>
      <c r="AK5178" s="297">
        <f>11359.43*30.43</f>
        <v>345667.45490000001</v>
      </c>
      <c r="AL5178" s="297">
        <f>(11418-10359.43)*30.43</f>
        <v>32212.28509999999</v>
      </c>
      <c r="AM5178" s="296" t="s">
        <v>49</v>
      </c>
      <c r="AN5178" s="296" t="s">
        <v>284</v>
      </c>
      <c r="AO5178" s="296" t="s">
        <v>50</v>
      </c>
      <c r="AP5178" s="296" t="s">
        <v>51</v>
      </c>
      <c r="AQ5178" s="296" t="s">
        <v>506</v>
      </c>
    </row>
    <row r="5179" spans="1:43" ht="15" customHeight="1">
      <c r="A5179" s="69">
        <v>43683</v>
      </c>
      <c r="B5179" s="23" t="s">
        <v>1454</v>
      </c>
      <c r="C5179" s="21" t="s">
        <v>1455</v>
      </c>
      <c r="D5179" s="21" t="s">
        <v>1456</v>
      </c>
      <c r="E5179" s="32" t="s">
        <v>1457</v>
      </c>
      <c r="F5179" s="24">
        <v>1</v>
      </c>
      <c r="G5179" s="48">
        <v>1888.53</v>
      </c>
      <c r="H5179" s="524">
        <v>1888.53</v>
      </c>
      <c r="I5179" s="61" t="s">
        <v>104</v>
      </c>
      <c r="J5179" s="63" t="s">
        <v>1458</v>
      </c>
      <c r="K5179" s="50" t="s">
        <v>1459</v>
      </c>
      <c r="W5179" s="52"/>
      <c r="X5179" s="53"/>
      <c r="Y5179" s="53"/>
      <c r="Z5179" s="53"/>
      <c r="AA5179" s="53"/>
      <c r="AB5179" s="237"/>
      <c r="AC5179" s="244"/>
      <c r="AD5179" s="244"/>
      <c r="AE5179" s="244"/>
      <c r="AF5179" s="244"/>
      <c r="AG5179" s="54"/>
      <c r="AH5179" s="54"/>
      <c r="AI5179" s="55"/>
      <c r="AJ5179" s="56">
        <v>43705</v>
      </c>
      <c r="AK5179" s="55">
        <v>59611</v>
      </c>
      <c r="AL5179" s="55">
        <v>10</v>
      </c>
      <c r="AM5179" s="54" t="s">
        <v>49</v>
      </c>
      <c r="AN5179" s="54" t="s">
        <v>284</v>
      </c>
      <c r="AO5179" s="54" t="s">
        <v>50</v>
      </c>
      <c r="AP5179" s="54" t="s">
        <v>376</v>
      </c>
      <c r="AQ5179" s="54"/>
    </row>
    <row r="5180" spans="1:43" ht="15" customHeight="1">
      <c r="A5180" s="69">
        <v>43685</v>
      </c>
      <c r="B5180" s="23" t="s">
        <v>399</v>
      </c>
      <c r="C5180" s="21" t="s">
        <v>1460</v>
      </c>
      <c r="D5180" s="21" t="s">
        <v>1461</v>
      </c>
      <c r="E5180" s="32" t="s">
        <v>402</v>
      </c>
      <c r="F5180" s="24">
        <v>5</v>
      </c>
      <c r="G5180" s="48">
        <v>231</v>
      </c>
      <c r="H5180" s="26">
        <v>1155</v>
      </c>
      <c r="I5180" s="61" t="s">
        <v>302</v>
      </c>
      <c r="J5180" s="50" t="s">
        <v>403</v>
      </c>
      <c r="K5180" s="525" t="s">
        <v>1462</v>
      </c>
      <c r="W5180" s="303">
        <v>43799</v>
      </c>
      <c r="X5180" s="460">
        <v>43740</v>
      </c>
      <c r="Y5180" s="304" t="s">
        <v>1463</v>
      </c>
      <c r="Z5180" s="304">
        <v>27641</v>
      </c>
      <c r="AA5180" s="304"/>
      <c r="AB5180" s="237"/>
      <c r="AC5180" s="244"/>
      <c r="AD5180" s="244"/>
      <c r="AE5180" s="244"/>
      <c r="AF5180" s="244"/>
      <c r="AG5180" s="296"/>
      <c r="AH5180" s="296"/>
      <c r="AI5180" s="297"/>
      <c r="AJ5180" s="298">
        <v>43717</v>
      </c>
      <c r="AK5180" s="297"/>
      <c r="AL5180" s="297"/>
      <c r="AM5180" s="296" t="s">
        <v>49</v>
      </c>
      <c r="AN5180" s="296" t="s">
        <v>284</v>
      </c>
      <c r="AO5180" s="296" t="s">
        <v>50</v>
      </c>
      <c r="AP5180" s="296" t="s">
        <v>51</v>
      </c>
      <c r="AQ5180" s="296" t="s">
        <v>755</v>
      </c>
    </row>
    <row r="5181" spans="1:43" ht="15" customHeight="1">
      <c r="A5181" s="69">
        <v>43685</v>
      </c>
      <c r="B5181" s="23" t="s">
        <v>399</v>
      </c>
      <c r="C5181" s="21" t="s">
        <v>1460</v>
      </c>
      <c r="D5181" s="21" t="s">
        <v>1464</v>
      </c>
      <c r="E5181" s="32" t="s">
        <v>692</v>
      </c>
      <c r="F5181" s="24">
        <v>1</v>
      </c>
      <c r="G5181" s="48">
        <v>25</v>
      </c>
      <c r="H5181" s="60">
        <v>25</v>
      </c>
      <c r="I5181" s="61" t="s">
        <v>302</v>
      </c>
      <c r="J5181" s="63" t="s">
        <v>403</v>
      </c>
      <c r="K5181" s="525" t="s">
        <v>1465</v>
      </c>
      <c r="W5181" s="52"/>
      <c r="X5181" s="53"/>
      <c r="Y5181" s="53"/>
      <c r="Z5181" s="53"/>
      <c r="AA5181" s="53"/>
      <c r="AB5181" s="237"/>
      <c r="AC5181" s="244"/>
      <c r="AD5181" s="244"/>
      <c r="AE5181" s="244"/>
      <c r="AF5181" s="244"/>
      <c r="AG5181" s="54"/>
      <c r="AH5181" s="54"/>
      <c r="AI5181" s="55"/>
      <c r="AJ5181" s="56">
        <v>43717</v>
      </c>
      <c r="AK5181" s="55"/>
      <c r="AL5181" s="55"/>
      <c r="AM5181" s="54" t="s">
        <v>49</v>
      </c>
      <c r="AN5181" s="54" t="s">
        <v>284</v>
      </c>
      <c r="AO5181" s="54" t="s">
        <v>50</v>
      </c>
      <c r="AP5181" s="54" t="s">
        <v>51</v>
      </c>
      <c r="AQ5181" s="54"/>
    </row>
    <row r="5182" spans="1:43" ht="15" customHeight="1" thickBot="1">
      <c r="A5182" s="69">
        <v>43689</v>
      </c>
      <c r="B5182" s="70" t="s">
        <v>892</v>
      </c>
      <c r="C5182" s="21" t="s">
        <v>1429</v>
      </c>
      <c r="D5182" s="21" t="s">
        <v>1466</v>
      </c>
      <c r="E5182" s="521" t="s">
        <v>1467</v>
      </c>
      <c r="F5182" s="24">
        <v>14</v>
      </c>
      <c r="G5182" s="48">
        <v>212</v>
      </c>
      <c r="H5182" s="26">
        <v>2968</v>
      </c>
      <c r="I5182" s="61" t="s">
        <v>104</v>
      </c>
      <c r="J5182" s="63" t="s">
        <v>920</v>
      </c>
      <c r="K5182" s="526">
        <v>43696</v>
      </c>
      <c r="W5182" s="460">
        <v>43738</v>
      </c>
      <c r="X5182" s="460">
        <v>43692</v>
      </c>
      <c r="Y5182" s="304" t="s">
        <v>1468</v>
      </c>
      <c r="Z5182" s="304">
        <v>83521</v>
      </c>
      <c r="AA5182" s="460">
        <v>43739</v>
      </c>
      <c r="AB5182" s="237"/>
      <c r="AC5182" s="244"/>
      <c r="AD5182" s="244"/>
      <c r="AE5182" s="244"/>
      <c r="AF5182" s="244"/>
      <c r="AG5182" s="296"/>
      <c r="AH5182" s="296"/>
      <c r="AI5182" s="297"/>
      <c r="AJ5182" s="298">
        <v>43690</v>
      </c>
      <c r="AK5182" s="297">
        <f>2957*31.38</f>
        <v>92790.66</v>
      </c>
      <c r="AL5182" s="297">
        <f>(2968-2957)*31.38</f>
        <v>345.18</v>
      </c>
      <c r="AM5182" s="296" t="s">
        <v>49</v>
      </c>
      <c r="AN5182" s="296" t="s">
        <v>284</v>
      </c>
      <c r="AO5182" s="296" t="s">
        <v>50</v>
      </c>
      <c r="AP5182" s="296" t="s">
        <v>51</v>
      </c>
      <c r="AQ5182" s="296" t="s">
        <v>506</v>
      </c>
    </row>
    <row r="5183" spans="1:43" ht="15" customHeight="1" thickTop="1" thickBot="1">
      <c r="A5183" s="69">
        <v>43690</v>
      </c>
      <c r="B5183" s="70" t="s">
        <v>1469</v>
      </c>
      <c r="C5183" s="21"/>
      <c r="D5183" s="21" t="s">
        <v>1470</v>
      </c>
      <c r="E5183" s="527" t="s">
        <v>1471</v>
      </c>
      <c r="F5183" s="24">
        <v>13</v>
      </c>
      <c r="G5183" s="48">
        <v>12</v>
      </c>
      <c r="H5183" s="60">
        <v>156</v>
      </c>
      <c r="I5183" s="87" t="s">
        <v>143</v>
      </c>
      <c r="J5183" s="58" t="s">
        <v>1472</v>
      </c>
      <c r="K5183" s="30">
        <v>43718</v>
      </c>
      <c r="W5183" s="460">
        <v>43703</v>
      </c>
      <c r="X5183" s="460">
        <v>43705</v>
      </c>
      <c r="Y5183" s="304" t="s">
        <v>1473</v>
      </c>
      <c r="Z5183" s="304">
        <v>4368</v>
      </c>
      <c r="AA5183" s="460">
        <v>43703</v>
      </c>
      <c r="AB5183" s="237"/>
      <c r="AC5183" s="244"/>
      <c r="AD5183" s="244"/>
      <c r="AE5183" s="244"/>
      <c r="AF5183" s="244"/>
      <c r="AG5183" s="296"/>
      <c r="AH5183" s="296"/>
      <c r="AI5183" s="297"/>
      <c r="AJ5183" s="298">
        <v>43718</v>
      </c>
      <c r="AK5183" s="297">
        <f>5589.58*31.17</f>
        <v>174227.20860000001</v>
      </c>
      <c r="AL5183" s="297">
        <f>(5607-5589.58)*31.17</f>
        <v>542.98140000000228</v>
      </c>
      <c r="AM5183" s="296" t="s">
        <v>49</v>
      </c>
      <c r="AN5183" s="296" t="s">
        <v>284</v>
      </c>
      <c r="AO5183" s="296" t="s">
        <v>50</v>
      </c>
      <c r="AP5183" s="296" t="s">
        <v>51</v>
      </c>
      <c r="AQ5183" s="296" t="s">
        <v>1118</v>
      </c>
    </row>
    <row r="5184" spans="1:43" ht="15" customHeight="1" thickTop="1">
      <c r="A5184" s="69">
        <v>43690</v>
      </c>
      <c r="B5184" s="70" t="s">
        <v>1469</v>
      </c>
      <c r="C5184" s="21"/>
      <c r="D5184" s="21" t="s">
        <v>1470</v>
      </c>
      <c r="E5184" s="32" t="s">
        <v>1474</v>
      </c>
      <c r="F5184" s="24">
        <v>23</v>
      </c>
      <c r="G5184" s="48">
        <v>217</v>
      </c>
      <c r="H5184" s="60">
        <v>4991</v>
      </c>
      <c r="I5184" s="61" t="s">
        <v>143</v>
      </c>
      <c r="J5184" s="58" t="s">
        <v>1472</v>
      </c>
      <c r="K5184" s="30">
        <v>43718</v>
      </c>
      <c r="W5184" s="303">
        <v>43769</v>
      </c>
      <c r="X5184" s="460">
        <v>43713</v>
      </c>
      <c r="Y5184" s="304" t="s">
        <v>1475</v>
      </c>
      <c r="Z5184" s="304"/>
      <c r="AA5184" s="304"/>
      <c r="AB5184" s="237"/>
      <c r="AC5184" s="244"/>
      <c r="AD5184" s="244"/>
      <c r="AE5184" s="244"/>
      <c r="AF5184" s="244"/>
      <c r="AG5184" s="296"/>
      <c r="AH5184" s="296"/>
      <c r="AI5184" s="297"/>
      <c r="AJ5184" s="298">
        <v>43718</v>
      </c>
      <c r="AK5184" s="297"/>
      <c r="AL5184" s="297"/>
      <c r="AM5184" s="296" t="s">
        <v>49</v>
      </c>
      <c r="AN5184" s="296" t="s">
        <v>284</v>
      </c>
      <c r="AO5184" s="296" t="s">
        <v>50</v>
      </c>
      <c r="AP5184" s="296" t="s">
        <v>51</v>
      </c>
      <c r="AQ5184" s="296" t="s">
        <v>1118</v>
      </c>
    </row>
    <row r="5185" spans="1:43" ht="15" customHeight="1">
      <c r="A5185" s="69">
        <v>43690</v>
      </c>
      <c r="B5185" s="70" t="s">
        <v>1469</v>
      </c>
      <c r="C5185" s="21"/>
      <c r="D5185" s="21" t="s">
        <v>1476</v>
      </c>
      <c r="E5185" s="32" t="s">
        <v>1477</v>
      </c>
      <c r="F5185" s="24">
        <v>23</v>
      </c>
      <c r="G5185" s="48">
        <v>20</v>
      </c>
      <c r="H5185" s="60">
        <v>460</v>
      </c>
      <c r="I5185" s="61" t="s">
        <v>143</v>
      </c>
      <c r="J5185" s="58" t="s">
        <v>1472</v>
      </c>
      <c r="K5185" s="205">
        <v>43720</v>
      </c>
      <c r="W5185" s="303">
        <v>43769</v>
      </c>
      <c r="X5185" s="460">
        <v>43713</v>
      </c>
      <c r="Y5185" s="304" t="s">
        <v>1475</v>
      </c>
      <c r="Z5185" s="304">
        <v>159319</v>
      </c>
      <c r="AA5185" s="304"/>
      <c r="AB5185" s="237"/>
      <c r="AC5185" s="244"/>
      <c r="AD5185" s="244"/>
      <c r="AE5185" s="244"/>
      <c r="AF5185" s="244"/>
      <c r="AG5185" s="296"/>
      <c r="AH5185" s="296"/>
      <c r="AI5185" s="297"/>
      <c r="AJ5185" s="298">
        <v>43718</v>
      </c>
      <c r="AK5185" s="297"/>
      <c r="AL5185" s="297"/>
      <c r="AM5185" s="296" t="s">
        <v>49</v>
      </c>
      <c r="AN5185" s="296" t="s">
        <v>284</v>
      </c>
      <c r="AO5185" s="296" t="s">
        <v>50</v>
      </c>
      <c r="AP5185" s="296" t="s">
        <v>51</v>
      </c>
      <c r="AQ5185" s="296" t="s">
        <v>1118</v>
      </c>
    </row>
    <row r="5186" spans="1:43" ht="15" customHeight="1">
      <c r="A5186" s="69">
        <v>43690</v>
      </c>
      <c r="B5186" s="70" t="s">
        <v>222</v>
      </c>
      <c r="C5186" s="21" t="s">
        <v>1478</v>
      </c>
      <c r="D5186" s="21" t="s">
        <v>1479</v>
      </c>
      <c r="E5186" s="32" t="s">
        <v>1480</v>
      </c>
      <c r="F5186" s="24">
        <v>7</v>
      </c>
      <c r="G5186" s="48">
        <v>7.35</v>
      </c>
      <c r="H5186" s="60">
        <v>51.449999999999996</v>
      </c>
      <c r="I5186" s="61" t="s">
        <v>143</v>
      </c>
      <c r="J5186" s="63" t="s">
        <v>89</v>
      </c>
      <c r="K5186" s="205">
        <v>43697</v>
      </c>
      <c r="W5186" s="460">
        <v>43738</v>
      </c>
      <c r="X5186" s="460">
        <v>43696</v>
      </c>
      <c r="Y5186" s="304" t="s">
        <v>1481</v>
      </c>
      <c r="Z5186" s="304">
        <v>25023</v>
      </c>
      <c r="AA5186" s="460">
        <v>43739</v>
      </c>
      <c r="AB5186" s="237"/>
      <c r="AC5186" s="244"/>
      <c r="AD5186" s="244"/>
      <c r="AE5186" s="244"/>
      <c r="AF5186" s="244"/>
      <c r="AG5186" s="296"/>
      <c r="AH5186" s="296"/>
      <c r="AI5186" s="297"/>
      <c r="AJ5186" s="298">
        <v>43718</v>
      </c>
      <c r="AK5186" s="297"/>
      <c r="AL5186" s="297"/>
      <c r="AM5186" s="296" t="s">
        <v>49</v>
      </c>
      <c r="AN5186" s="296" t="s">
        <v>284</v>
      </c>
      <c r="AO5186" s="296" t="s">
        <v>50</v>
      </c>
      <c r="AP5186" s="296" t="s">
        <v>376</v>
      </c>
      <c r="AQ5186" s="296" t="s">
        <v>506</v>
      </c>
    </row>
    <row r="5187" spans="1:43" ht="15" customHeight="1">
      <c r="A5187" s="69">
        <v>43690</v>
      </c>
      <c r="B5187" s="70" t="s">
        <v>222</v>
      </c>
      <c r="C5187" s="21" t="s">
        <v>1478</v>
      </c>
      <c r="D5187" s="21" t="s">
        <v>1479</v>
      </c>
      <c r="E5187" s="32" t="s">
        <v>1402</v>
      </c>
      <c r="F5187" s="24">
        <v>6</v>
      </c>
      <c r="G5187" s="48">
        <v>148.05000000000001</v>
      </c>
      <c r="H5187" s="60">
        <v>888.30000000000007</v>
      </c>
      <c r="I5187" s="61" t="s">
        <v>143</v>
      </c>
      <c r="J5187" s="63" t="s">
        <v>89</v>
      </c>
      <c r="K5187" s="205">
        <v>43697</v>
      </c>
      <c r="W5187" s="460">
        <v>43738</v>
      </c>
      <c r="X5187" s="460">
        <v>43696</v>
      </c>
      <c r="Y5187" s="304" t="s">
        <v>1481</v>
      </c>
      <c r="Z5187" s="304"/>
      <c r="AA5187" s="460">
        <v>43739</v>
      </c>
      <c r="AB5187" s="237"/>
      <c r="AC5187" s="244"/>
      <c r="AD5187" s="244"/>
      <c r="AE5187" s="244"/>
      <c r="AF5187" s="244"/>
      <c r="AG5187" s="296"/>
      <c r="AH5187" s="296"/>
      <c r="AI5187" s="297"/>
      <c r="AJ5187" s="298">
        <v>43718</v>
      </c>
      <c r="AK5187" s="297"/>
      <c r="AL5187" s="297"/>
      <c r="AM5187" s="296" t="s">
        <v>49</v>
      </c>
      <c r="AN5187" s="296" t="s">
        <v>284</v>
      </c>
      <c r="AO5187" s="296" t="s">
        <v>50</v>
      </c>
      <c r="AP5187" s="296" t="s">
        <v>376</v>
      </c>
      <c r="AQ5187" s="296" t="s">
        <v>506</v>
      </c>
    </row>
    <row r="5188" spans="1:43" ht="15" customHeight="1">
      <c r="A5188" s="69">
        <v>43691</v>
      </c>
      <c r="B5188" s="70" t="s">
        <v>619</v>
      </c>
      <c r="C5188" s="21"/>
      <c r="D5188" s="21" t="s">
        <v>1482</v>
      </c>
      <c r="E5188" s="23" t="s">
        <v>1483</v>
      </c>
      <c r="F5188" s="82">
        <v>1</v>
      </c>
      <c r="G5188" s="48">
        <v>378</v>
      </c>
      <c r="H5188" s="60">
        <v>378</v>
      </c>
      <c r="I5188" s="61" t="s">
        <v>42</v>
      </c>
      <c r="J5188" s="63" t="s">
        <v>89</v>
      </c>
      <c r="K5188" s="29">
        <v>43696</v>
      </c>
      <c r="W5188" s="460">
        <v>43738</v>
      </c>
      <c r="X5188" s="460">
        <v>43693</v>
      </c>
      <c r="Y5188" s="304" t="s">
        <v>1484</v>
      </c>
      <c r="Z5188" s="304">
        <v>11004</v>
      </c>
      <c r="AA5188" s="460">
        <v>43739</v>
      </c>
      <c r="AB5188" s="237"/>
      <c r="AC5188" s="244"/>
      <c r="AD5188" s="244"/>
      <c r="AE5188" s="244"/>
      <c r="AF5188" s="244"/>
      <c r="AG5188" s="296"/>
      <c r="AH5188" s="296"/>
      <c r="AI5188" s="297"/>
      <c r="AJ5188" s="298">
        <v>43699</v>
      </c>
      <c r="AK5188" s="297"/>
      <c r="AL5188" s="297"/>
      <c r="AM5188" s="296" t="s">
        <v>49</v>
      </c>
      <c r="AN5188" s="296" t="s">
        <v>284</v>
      </c>
      <c r="AO5188" s="296" t="s">
        <v>50</v>
      </c>
      <c r="AP5188" s="296" t="s">
        <v>376</v>
      </c>
      <c r="AQ5188" s="296" t="s">
        <v>506</v>
      </c>
    </row>
    <row r="5189" spans="1:43" ht="15" customHeight="1">
      <c r="A5189" s="69">
        <v>43691</v>
      </c>
      <c r="B5189" s="70" t="s">
        <v>228</v>
      </c>
      <c r="C5189" s="21"/>
      <c r="D5189" s="21" t="s">
        <v>1485</v>
      </c>
      <c r="E5189" s="32" t="s">
        <v>1486</v>
      </c>
      <c r="F5189" s="24">
        <v>24</v>
      </c>
      <c r="G5189" s="48">
        <v>407.4</v>
      </c>
      <c r="H5189" s="60">
        <v>9777.5999999999985</v>
      </c>
      <c r="I5189" s="61" t="s">
        <v>170</v>
      </c>
      <c r="J5189" s="63" t="s">
        <v>89</v>
      </c>
      <c r="K5189" s="29">
        <v>43724</v>
      </c>
      <c r="W5189" s="303">
        <v>43769</v>
      </c>
      <c r="X5189" s="460">
        <v>43720</v>
      </c>
      <c r="Y5189" s="304" t="s">
        <v>1487</v>
      </c>
      <c r="Z5189" s="304">
        <v>279294</v>
      </c>
      <c r="AA5189" s="304"/>
      <c r="AB5189" s="237"/>
      <c r="AC5189" s="244"/>
      <c r="AD5189" s="244"/>
      <c r="AE5189" s="244"/>
      <c r="AF5189" s="244"/>
      <c r="AG5189" s="296"/>
      <c r="AH5189" s="296"/>
      <c r="AI5189" s="297"/>
      <c r="AJ5189" s="298">
        <v>43741</v>
      </c>
      <c r="AK5189" s="297">
        <v>303467</v>
      </c>
      <c r="AL5189" s="297">
        <v>30</v>
      </c>
      <c r="AM5189" s="296" t="s">
        <v>49</v>
      </c>
      <c r="AN5189" s="296" t="s">
        <v>284</v>
      </c>
      <c r="AO5189" s="296" t="s">
        <v>50</v>
      </c>
      <c r="AP5189" s="296" t="s">
        <v>376</v>
      </c>
      <c r="AQ5189" s="296" t="s">
        <v>1118</v>
      </c>
    </row>
    <row r="5190" spans="1:43" ht="15" customHeight="1">
      <c r="A5190" s="69">
        <v>43691</v>
      </c>
      <c r="B5190" s="70" t="s">
        <v>986</v>
      </c>
      <c r="C5190" s="21" t="s">
        <v>1488</v>
      </c>
      <c r="D5190" s="21" t="s">
        <v>1489</v>
      </c>
      <c r="E5190" s="23" t="s">
        <v>1490</v>
      </c>
      <c r="F5190" s="24">
        <v>1</v>
      </c>
      <c r="G5190" s="48">
        <v>120</v>
      </c>
      <c r="H5190" s="60">
        <v>120</v>
      </c>
      <c r="I5190" s="61" t="s">
        <v>104</v>
      </c>
      <c r="J5190" s="528" t="s">
        <v>1281</v>
      </c>
      <c r="K5190" s="298">
        <v>43703</v>
      </c>
      <c r="W5190" s="303">
        <v>43769</v>
      </c>
      <c r="X5190" s="460">
        <v>43693</v>
      </c>
      <c r="Y5190" s="304" t="s">
        <v>1491</v>
      </c>
      <c r="Z5190" s="304">
        <v>3320</v>
      </c>
      <c r="AA5190" s="304"/>
      <c r="AB5190" s="237"/>
      <c r="AC5190" s="244"/>
      <c r="AD5190" s="244"/>
      <c r="AE5190" s="244"/>
      <c r="AF5190" s="244"/>
      <c r="AG5190" s="296"/>
      <c r="AH5190" s="296"/>
      <c r="AI5190" s="297"/>
      <c r="AJ5190" s="298">
        <v>43734</v>
      </c>
      <c r="AK5190" s="297">
        <f>1212*30.97</f>
        <v>37535.64</v>
      </c>
      <c r="AL5190" s="297">
        <v>0</v>
      </c>
      <c r="AM5190" s="296" t="s">
        <v>49</v>
      </c>
      <c r="AN5190" s="296" t="s">
        <v>284</v>
      </c>
      <c r="AO5190" s="296" t="s">
        <v>50</v>
      </c>
      <c r="AP5190" s="296" t="s">
        <v>51</v>
      </c>
      <c r="AQ5190" s="296" t="s">
        <v>506</v>
      </c>
    </row>
    <row r="5191" spans="1:43" ht="15" customHeight="1">
      <c r="A5191" s="69">
        <v>43692</v>
      </c>
      <c r="B5191" s="70" t="s">
        <v>1492</v>
      </c>
      <c r="C5191" s="21" t="s">
        <v>1416</v>
      </c>
      <c r="D5191" s="491" t="s">
        <v>1493</v>
      </c>
      <c r="E5191" s="23" t="s">
        <v>346</v>
      </c>
      <c r="F5191" s="24">
        <v>1</v>
      </c>
      <c r="G5191" s="25">
        <v>182</v>
      </c>
      <c r="H5191" s="60">
        <v>182</v>
      </c>
      <c r="I5191" s="61" t="s">
        <v>104</v>
      </c>
      <c r="J5191" s="63" t="s">
        <v>133</v>
      </c>
      <c r="K5191" s="29">
        <v>43692</v>
      </c>
      <c r="W5191" s="460">
        <v>43738</v>
      </c>
      <c r="X5191" s="460">
        <v>43700</v>
      </c>
      <c r="Y5191" s="304" t="s">
        <v>1494</v>
      </c>
      <c r="Z5191" s="304">
        <v>5455</v>
      </c>
      <c r="AA5191" s="460">
        <v>43710</v>
      </c>
      <c r="AB5191" s="237"/>
      <c r="AC5191" s="244"/>
      <c r="AD5191" s="244"/>
      <c r="AE5191" s="244"/>
      <c r="AF5191" s="244"/>
      <c r="AG5191" s="296"/>
      <c r="AH5191" s="296"/>
      <c r="AI5191" s="297"/>
      <c r="AJ5191" s="298">
        <v>43734</v>
      </c>
      <c r="AK5191" s="297"/>
      <c r="AL5191" s="297"/>
      <c r="AM5191" s="296" t="s">
        <v>49</v>
      </c>
      <c r="AN5191" s="296" t="s">
        <v>284</v>
      </c>
      <c r="AO5191" s="296" t="s">
        <v>50</v>
      </c>
      <c r="AP5191" s="296" t="s">
        <v>51</v>
      </c>
      <c r="AQ5191" s="296" t="s">
        <v>506</v>
      </c>
    </row>
    <row r="5192" spans="1:43" ht="15" customHeight="1">
      <c r="A5192" s="69">
        <v>43692</v>
      </c>
      <c r="B5192" s="70" t="s">
        <v>892</v>
      </c>
      <c r="C5192" s="21" t="s">
        <v>1429</v>
      </c>
      <c r="D5192" s="21" t="s">
        <v>1495</v>
      </c>
      <c r="E5192" s="520" t="s">
        <v>1433</v>
      </c>
      <c r="F5192" s="24">
        <v>47</v>
      </c>
      <c r="G5192" s="48">
        <v>5.8</v>
      </c>
      <c r="H5192" s="60">
        <v>272.59999999999997</v>
      </c>
      <c r="I5192" s="61" t="s">
        <v>104</v>
      </c>
      <c r="J5192" s="63"/>
      <c r="K5192" s="29">
        <v>43711</v>
      </c>
      <c r="W5192" s="303">
        <v>43769</v>
      </c>
      <c r="X5192" s="460">
        <v>43706</v>
      </c>
      <c r="Y5192" s="304" t="s">
        <v>1496</v>
      </c>
      <c r="Z5192" s="304">
        <v>126098</v>
      </c>
      <c r="AA5192" s="304"/>
      <c r="AB5192" s="237"/>
      <c r="AC5192" s="244"/>
      <c r="AD5192" s="244"/>
      <c r="AE5192" s="244"/>
      <c r="AF5192" s="244"/>
      <c r="AG5192" s="296"/>
      <c r="AH5192" s="296"/>
      <c r="AI5192" s="297"/>
      <c r="AJ5192" s="298">
        <v>43699</v>
      </c>
      <c r="AK5192" s="297">
        <f>4495.21*31.29</f>
        <v>140655.12090000001</v>
      </c>
      <c r="AL5192" s="297">
        <f>(4512.6-4495.21)*31.29</f>
        <v>544.13310000001024</v>
      </c>
      <c r="AM5192" s="296" t="s">
        <v>49</v>
      </c>
      <c r="AN5192" s="296" t="s">
        <v>284</v>
      </c>
      <c r="AO5192" s="296" t="s">
        <v>50</v>
      </c>
      <c r="AP5192" s="296" t="s">
        <v>51</v>
      </c>
      <c r="AQ5192" s="296" t="s">
        <v>1118</v>
      </c>
    </row>
    <row r="5193" spans="1:43" ht="15" customHeight="1">
      <c r="A5193" s="69">
        <v>43692</v>
      </c>
      <c r="B5193" s="70" t="s">
        <v>892</v>
      </c>
      <c r="C5193" s="21" t="s">
        <v>1429</v>
      </c>
      <c r="D5193" s="21" t="s">
        <v>1495</v>
      </c>
      <c r="E5193" s="520" t="s">
        <v>1431</v>
      </c>
      <c r="F5193" s="24">
        <v>20</v>
      </c>
      <c r="G5193" s="48">
        <v>212</v>
      </c>
      <c r="H5193" s="60">
        <v>4240</v>
      </c>
      <c r="I5193" s="61" t="s">
        <v>104</v>
      </c>
      <c r="J5193" s="63"/>
      <c r="K5193" s="29">
        <v>43711</v>
      </c>
      <c r="W5193" s="303">
        <v>43769</v>
      </c>
      <c r="X5193" s="460">
        <v>43706</v>
      </c>
      <c r="Y5193" s="304" t="s">
        <v>1496</v>
      </c>
      <c r="Z5193" s="304"/>
      <c r="AA5193" s="304"/>
      <c r="AB5193" s="237"/>
      <c r="AC5193" s="244"/>
      <c r="AD5193" s="244"/>
      <c r="AE5193" s="244"/>
      <c r="AF5193" s="244"/>
      <c r="AG5193" s="296"/>
      <c r="AH5193" s="296"/>
      <c r="AI5193" s="297"/>
      <c r="AJ5193" s="298">
        <v>43699</v>
      </c>
      <c r="AK5193" s="297"/>
      <c r="AL5193" s="297"/>
      <c r="AM5193" s="296" t="s">
        <v>49</v>
      </c>
      <c r="AN5193" s="296" t="s">
        <v>284</v>
      </c>
      <c r="AO5193" s="296" t="s">
        <v>50</v>
      </c>
      <c r="AP5193" s="296" t="s">
        <v>51</v>
      </c>
      <c r="AQ5193" s="296" t="s">
        <v>1118</v>
      </c>
    </row>
    <row r="5194" spans="1:43" ht="15" customHeight="1">
      <c r="A5194" s="69">
        <v>43692</v>
      </c>
      <c r="B5194" s="144" t="s">
        <v>118</v>
      </c>
      <c r="C5194" s="21"/>
      <c r="D5194" s="71" t="s">
        <v>1497</v>
      </c>
      <c r="E5194" s="23" t="s">
        <v>1498</v>
      </c>
      <c r="F5194" s="24">
        <v>3</v>
      </c>
      <c r="G5194" s="48">
        <v>415</v>
      </c>
      <c r="H5194" s="60">
        <v>1245</v>
      </c>
      <c r="I5194" s="61" t="s">
        <v>143</v>
      </c>
      <c r="J5194" s="82" t="s">
        <v>121</v>
      </c>
      <c r="K5194" s="30">
        <v>43747</v>
      </c>
      <c r="W5194" s="460">
        <v>43774</v>
      </c>
      <c r="X5194" s="460">
        <v>43742</v>
      </c>
      <c r="Y5194" s="304" t="s">
        <v>1499</v>
      </c>
      <c r="Z5194" s="304">
        <v>28693</v>
      </c>
      <c r="AA5194" s="304"/>
      <c r="AB5194" s="237"/>
      <c r="AC5194" s="244"/>
      <c r="AD5194" s="244"/>
      <c r="AE5194" s="244"/>
      <c r="AF5194" s="244"/>
      <c r="AG5194" s="296"/>
      <c r="AH5194" s="296"/>
      <c r="AI5194" s="297"/>
      <c r="AJ5194" s="298">
        <v>43700</v>
      </c>
      <c r="AK5194" s="297"/>
      <c r="AL5194" s="297"/>
      <c r="AM5194" s="296" t="s">
        <v>49</v>
      </c>
      <c r="AN5194" s="296" t="s">
        <v>284</v>
      </c>
      <c r="AO5194" s="296" t="s">
        <v>50</v>
      </c>
      <c r="AP5194" s="296" t="s">
        <v>51</v>
      </c>
      <c r="AQ5194" s="296" t="s">
        <v>755</v>
      </c>
    </row>
    <row r="5195" spans="1:43" ht="15" customHeight="1">
      <c r="A5195" s="69">
        <v>43692</v>
      </c>
      <c r="B5195" s="144" t="s">
        <v>118</v>
      </c>
      <c r="C5195" s="21"/>
      <c r="D5195" s="112" t="s">
        <v>1500</v>
      </c>
      <c r="E5195" s="23" t="s">
        <v>1501</v>
      </c>
      <c r="F5195" s="24">
        <v>3</v>
      </c>
      <c r="G5195" s="48">
        <v>0</v>
      </c>
      <c r="H5195" s="60">
        <v>0</v>
      </c>
      <c r="I5195" s="61" t="s">
        <v>143</v>
      </c>
      <c r="J5195" s="82" t="s">
        <v>121</v>
      </c>
      <c r="K5195" s="30">
        <v>43747</v>
      </c>
      <c r="W5195" s="304"/>
      <c r="X5195" s="304"/>
      <c r="Y5195" s="304"/>
      <c r="Z5195" s="304"/>
      <c r="AA5195" s="304"/>
      <c r="AB5195" s="237"/>
      <c r="AC5195" s="244"/>
      <c r="AD5195" s="244"/>
      <c r="AE5195" s="244"/>
      <c r="AF5195" s="244"/>
      <c r="AG5195" s="296"/>
      <c r="AH5195" s="296"/>
      <c r="AI5195" s="297"/>
      <c r="AJ5195" s="298">
        <v>43700</v>
      </c>
      <c r="AK5195" s="297">
        <f>1228.61*31.3</f>
        <v>38455.492999999995</v>
      </c>
      <c r="AL5195" s="297">
        <f>(1245-1228.61)*31.3</f>
        <v>513.00700000000313</v>
      </c>
      <c r="AM5195" s="296" t="s">
        <v>49</v>
      </c>
      <c r="AN5195" s="296" t="s">
        <v>284</v>
      </c>
      <c r="AO5195" s="296" t="s">
        <v>50</v>
      </c>
      <c r="AP5195" s="296" t="s">
        <v>51</v>
      </c>
      <c r="AQ5195" s="296" t="s">
        <v>755</v>
      </c>
    </row>
    <row r="5196" spans="1:43" ht="15" customHeight="1">
      <c r="A5196" s="69">
        <v>43693</v>
      </c>
      <c r="B5196" s="144" t="s">
        <v>377</v>
      </c>
      <c r="C5196" s="21" t="s">
        <v>1103</v>
      </c>
      <c r="D5196" s="21" t="s">
        <v>1502</v>
      </c>
      <c r="E5196" s="246" t="s">
        <v>1503</v>
      </c>
      <c r="F5196" s="24">
        <v>1</v>
      </c>
      <c r="G5196" s="48">
        <v>454</v>
      </c>
      <c r="H5196" s="60">
        <v>454</v>
      </c>
      <c r="I5196" s="61" t="s">
        <v>143</v>
      </c>
      <c r="J5196" s="161" t="s">
        <v>1504</v>
      </c>
      <c r="K5196" s="30">
        <v>43727</v>
      </c>
      <c r="W5196" s="460">
        <v>43693</v>
      </c>
      <c r="X5196" s="304"/>
      <c r="Y5196" s="304"/>
      <c r="Z5196" s="304"/>
      <c r="AA5196" s="304"/>
      <c r="AB5196" s="237"/>
      <c r="AC5196" s="244"/>
      <c r="AD5196" s="244"/>
      <c r="AE5196" s="244"/>
      <c r="AF5196" s="244"/>
      <c r="AG5196" s="296"/>
      <c r="AH5196" s="296"/>
      <c r="AI5196" s="297"/>
      <c r="AJ5196" s="298">
        <v>43707</v>
      </c>
      <c r="AK5196" s="297"/>
      <c r="AL5196" s="297"/>
      <c r="AM5196" s="296" t="s">
        <v>49</v>
      </c>
      <c r="AN5196" s="296" t="s">
        <v>284</v>
      </c>
      <c r="AO5196" s="296" t="s">
        <v>285</v>
      </c>
      <c r="AP5196" s="296" t="s">
        <v>51</v>
      </c>
      <c r="AQ5196" s="296" t="s">
        <v>1118</v>
      </c>
    </row>
    <row r="5197" spans="1:43" ht="15" customHeight="1" thickBot="1">
      <c r="A5197" s="69">
        <v>43696</v>
      </c>
      <c r="B5197" s="70" t="s">
        <v>986</v>
      </c>
      <c r="C5197" s="21" t="s">
        <v>1505</v>
      </c>
      <c r="D5197" s="21" t="s">
        <v>1506</v>
      </c>
      <c r="E5197" s="23" t="s">
        <v>1507</v>
      </c>
      <c r="F5197" s="24">
        <v>3</v>
      </c>
      <c r="G5197" s="25">
        <v>175</v>
      </c>
      <c r="H5197" s="60">
        <v>525</v>
      </c>
      <c r="I5197" s="61" t="s">
        <v>104</v>
      </c>
      <c r="J5197" s="63" t="s">
        <v>1281</v>
      </c>
      <c r="K5197" s="29">
        <v>43703</v>
      </c>
      <c r="W5197" s="460">
        <v>43738</v>
      </c>
      <c r="X5197" s="460">
        <v>43700</v>
      </c>
      <c r="Y5197" s="304" t="s">
        <v>1508</v>
      </c>
      <c r="Z5197" s="304">
        <v>29987</v>
      </c>
      <c r="AA5197" s="460">
        <v>43739</v>
      </c>
      <c r="AB5197" s="237"/>
      <c r="AC5197" s="244"/>
      <c r="AD5197" s="244"/>
      <c r="AE5197" s="244"/>
      <c r="AF5197" s="244"/>
      <c r="AG5197" s="296"/>
      <c r="AH5197" s="296"/>
      <c r="AI5197" s="297"/>
      <c r="AJ5197" s="298">
        <v>43734</v>
      </c>
      <c r="AK5197" s="297"/>
      <c r="AL5197" s="297">
        <v>0</v>
      </c>
      <c r="AM5197" s="296" t="s">
        <v>49</v>
      </c>
      <c r="AN5197" s="296" t="s">
        <v>284</v>
      </c>
      <c r="AO5197" s="296" t="s">
        <v>50</v>
      </c>
      <c r="AP5197" s="296" t="s">
        <v>51</v>
      </c>
      <c r="AQ5197" s="296" t="s">
        <v>506</v>
      </c>
    </row>
    <row r="5198" spans="1:43" ht="15" customHeight="1" thickTop="1" thickBot="1">
      <c r="A5198" s="69">
        <v>43696</v>
      </c>
      <c r="B5198" s="70" t="s">
        <v>986</v>
      </c>
      <c r="C5198" s="21" t="s">
        <v>1505</v>
      </c>
      <c r="D5198" s="21" t="s">
        <v>1506</v>
      </c>
      <c r="E5198" s="527" t="s">
        <v>1509</v>
      </c>
      <c r="F5198" s="24">
        <v>3</v>
      </c>
      <c r="G5198" s="48">
        <v>175</v>
      </c>
      <c r="H5198" s="60">
        <v>525</v>
      </c>
      <c r="I5198" s="61" t="s">
        <v>104</v>
      </c>
      <c r="J5198" s="63" t="s">
        <v>1281</v>
      </c>
      <c r="K5198" s="29">
        <v>43703</v>
      </c>
      <c r="W5198" s="460">
        <v>43738</v>
      </c>
      <c r="X5198" s="460">
        <v>43700</v>
      </c>
      <c r="Y5198" s="304" t="s">
        <v>1508</v>
      </c>
      <c r="Z5198" s="304"/>
      <c r="AA5198" s="460">
        <v>43739</v>
      </c>
      <c r="AB5198" s="237"/>
      <c r="AC5198" s="244"/>
      <c r="AD5198" s="244"/>
      <c r="AE5198" s="244"/>
      <c r="AF5198" s="244"/>
      <c r="AG5198" s="296"/>
      <c r="AH5198" s="296"/>
      <c r="AI5198" s="297"/>
      <c r="AJ5198" s="298">
        <v>43734</v>
      </c>
      <c r="AK5198" s="297"/>
      <c r="AL5198" s="297">
        <v>0</v>
      </c>
      <c r="AM5198" s="296" t="s">
        <v>49</v>
      </c>
      <c r="AN5198" s="296" t="s">
        <v>284</v>
      </c>
      <c r="AO5198" s="296" t="s">
        <v>50</v>
      </c>
      <c r="AP5198" s="296" t="s">
        <v>51</v>
      </c>
      <c r="AQ5198" s="296" t="s">
        <v>506</v>
      </c>
    </row>
    <row r="5199" spans="1:43" ht="15" customHeight="1" thickTop="1">
      <c r="A5199" s="69">
        <v>43696</v>
      </c>
      <c r="B5199" s="70" t="s">
        <v>986</v>
      </c>
      <c r="C5199" s="21" t="s">
        <v>1505</v>
      </c>
      <c r="D5199" s="21" t="s">
        <v>1506</v>
      </c>
      <c r="E5199" s="23" t="s">
        <v>1510</v>
      </c>
      <c r="F5199" s="24">
        <v>6</v>
      </c>
      <c r="G5199" s="48">
        <v>7</v>
      </c>
      <c r="H5199" s="60">
        <v>42</v>
      </c>
      <c r="I5199" s="61" t="s">
        <v>104</v>
      </c>
      <c r="J5199" s="63" t="s">
        <v>1281</v>
      </c>
      <c r="K5199" s="29">
        <v>43703</v>
      </c>
      <c r="W5199" s="460">
        <v>43738</v>
      </c>
      <c r="X5199" s="460">
        <v>43700</v>
      </c>
      <c r="Y5199" s="304" t="s">
        <v>1508</v>
      </c>
      <c r="Z5199" s="304"/>
      <c r="AA5199" s="460">
        <v>43739</v>
      </c>
      <c r="AB5199" s="237"/>
      <c r="AC5199" s="244"/>
      <c r="AD5199" s="244"/>
      <c r="AE5199" s="244"/>
      <c r="AF5199" s="244"/>
      <c r="AG5199" s="296"/>
      <c r="AH5199" s="296"/>
      <c r="AI5199" s="297"/>
      <c r="AJ5199" s="298">
        <v>43734</v>
      </c>
      <c r="AK5199" s="297"/>
      <c r="AL5199" s="297">
        <v>0</v>
      </c>
      <c r="AM5199" s="296" t="s">
        <v>49</v>
      </c>
      <c r="AN5199" s="296" t="s">
        <v>284</v>
      </c>
      <c r="AO5199" s="296" t="s">
        <v>50</v>
      </c>
      <c r="AP5199" s="296" t="s">
        <v>51</v>
      </c>
      <c r="AQ5199" s="296" t="s">
        <v>506</v>
      </c>
    </row>
    <row r="5200" spans="1:43" ht="15" customHeight="1">
      <c r="A5200" s="69">
        <v>43696</v>
      </c>
      <c r="B5200" s="70" t="s">
        <v>986</v>
      </c>
      <c r="C5200" s="21" t="s">
        <v>1505</v>
      </c>
      <c r="D5200" s="71" t="s">
        <v>1506</v>
      </c>
      <c r="E5200" s="32" t="s">
        <v>1234</v>
      </c>
      <c r="F5200" s="24">
        <v>12</v>
      </c>
      <c r="G5200" s="48">
        <v>111</v>
      </c>
      <c r="H5200" s="60">
        <v>1332</v>
      </c>
      <c r="I5200" s="61" t="s">
        <v>104</v>
      </c>
      <c r="J5200" s="63" t="s">
        <v>1281</v>
      </c>
      <c r="K5200" s="29">
        <v>43725</v>
      </c>
      <c r="W5200" s="303">
        <v>43769</v>
      </c>
      <c r="X5200" s="460">
        <v>43720</v>
      </c>
      <c r="Y5200" s="304" t="s">
        <v>1511</v>
      </c>
      <c r="Z5200" s="304">
        <v>36584</v>
      </c>
      <c r="AA5200" s="304"/>
      <c r="AB5200" s="237"/>
      <c r="AC5200" s="244"/>
      <c r="AD5200" s="244"/>
      <c r="AE5200" s="244"/>
      <c r="AF5200" s="244"/>
      <c r="AG5200" s="296"/>
      <c r="AH5200" s="296"/>
      <c r="AI5200" s="297"/>
      <c r="AJ5200" s="29">
        <v>43755</v>
      </c>
      <c r="AK5200" s="297">
        <f>1332*30.57</f>
        <v>40719.24</v>
      </c>
      <c r="AL5200" s="297">
        <v>0</v>
      </c>
      <c r="AM5200" s="296" t="s">
        <v>49</v>
      </c>
      <c r="AN5200" s="296" t="s">
        <v>284</v>
      </c>
      <c r="AO5200" s="296" t="s">
        <v>50</v>
      </c>
      <c r="AP5200" s="296" t="s">
        <v>51</v>
      </c>
      <c r="AQ5200" s="296" t="s">
        <v>1118</v>
      </c>
    </row>
    <row r="5201" spans="1:43" ht="15" customHeight="1">
      <c r="A5201" s="110">
        <v>43697</v>
      </c>
      <c r="B5201" s="70" t="s">
        <v>1512</v>
      </c>
      <c r="C5201" s="21" t="s">
        <v>1513</v>
      </c>
      <c r="D5201" s="21" t="s">
        <v>1514</v>
      </c>
      <c r="E5201" s="32" t="s">
        <v>1073</v>
      </c>
      <c r="F5201" s="24">
        <v>2</v>
      </c>
      <c r="G5201" s="48">
        <v>155.4</v>
      </c>
      <c r="H5201" s="468">
        <v>310.8</v>
      </c>
      <c r="I5201" s="61" t="s">
        <v>247</v>
      </c>
      <c r="J5201" s="161" t="s">
        <v>1149</v>
      </c>
      <c r="K5201" s="29">
        <v>43699</v>
      </c>
      <c r="W5201" s="304"/>
      <c r="X5201" s="304"/>
      <c r="Y5201" s="304"/>
      <c r="Z5201" s="304"/>
      <c r="AA5201" s="304"/>
      <c r="AB5201" s="237"/>
      <c r="AC5201" s="244"/>
      <c r="AD5201" s="244"/>
      <c r="AE5201" s="244"/>
      <c r="AF5201" s="244"/>
      <c r="AG5201" s="296"/>
      <c r="AH5201" s="296"/>
      <c r="AI5201" s="297"/>
      <c r="AJ5201" s="298">
        <v>43739</v>
      </c>
      <c r="AK5201" s="297"/>
      <c r="AL5201" s="297"/>
      <c r="AM5201" s="296" t="s">
        <v>49</v>
      </c>
      <c r="AN5201" s="296" t="s">
        <v>284</v>
      </c>
      <c r="AO5201" s="296" t="s">
        <v>50</v>
      </c>
      <c r="AP5201" s="296" t="s">
        <v>376</v>
      </c>
      <c r="AQ5201" s="296" t="s">
        <v>506</v>
      </c>
    </row>
    <row r="5202" spans="1:43" ht="15" customHeight="1">
      <c r="A5202" s="69">
        <v>43697</v>
      </c>
      <c r="B5202" s="70" t="s">
        <v>82</v>
      </c>
      <c r="C5202" s="21" t="s">
        <v>1515</v>
      </c>
      <c r="D5202" s="32" t="s">
        <v>1516</v>
      </c>
      <c r="E5202" s="32" t="s">
        <v>99</v>
      </c>
      <c r="F5202" s="24">
        <v>2</v>
      </c>
      <c r="G5202" s="48">
        <v>1676</v>
      </c>
      <c r="H5202" s="468">
        <v>3352</v>
      </c>
      <c r="I5202" s="61" t="s">
        <v>1517</v>
      </c>
      <c r="J5202" s="58" t="s">
        <v>1518</v>
      </c>
      <c r="K5202" s="30">
        <v>43811</v>
      </c>
      <c r="W5202" s="304"/>
      <c r="X5202" s="304"/>
      <c r="Y5202" s="304"/>
      <c r="Z5202" s="304"/>
      <c r="AA5202" s="304"/>
      <c r="AB5202" s="237"/>
      <c r="AC5202" s="244"/>
      <c r="AD5202" s="244"/>
      <c r="AE5202" s="244"/>
      <c r="AF5202" s="244"/>
      <c r="AG5202" s="296"/>
      <c r="AH5202" s="297"/>
      <c r="AI5202" s="298">
        <v>43735</v>
      </c>
      <c r="AJ5202" s="297">
        <f>3915.54*30.98</f>
        <v>121303.4292</v>
      </c>
      <c r="AK5202" s="297">
        <f>(3922-3915.54+40)*30.98</f>
        <v>1439.3308000000011</v>
      </c>
      <c r="AL5202" s="296"/>
      <c r="AM5202" s="296" t="s">
        <v>49</v>
      </c>
      <c r="AN5202" s="82" t="s">
        <v>284</v>
      </c>
      <c r="AO5202" s="296" t="s">
        <v>50</v>
      </c>
      <c r="AP5202" s="296" t="s">
        <v>51</v>
      </c>
      <c r="AQ5202" s="296" t="s">
        <v>1346</v>
      </c>
    </row>
    <row r="5203" spans="1:43" ht="15" customHeight="1">
      <c r="A5203" s="69">
        <v>43697</v>
      </c>
      <c r="B5203" s="70" t="s">
        <v>82</v>
      </c>
      <c r="C5203" s="21" t="s">
        <v>1515</v>
      </c>
      <c r="D5203" s="21" t="s">
        <v>1519</v>
      </c>
      <c r="E5203" s="23" t="s">
        <v>1520</v>
      </c>
      <c r="F5203" s="24">
        <v>2</v>
      </c>
      <c r="G5203" s="48">
        <v>90</v>
      </c>
      <c r="H5203" s="60">
        <v>180</v>
      </c>
      <c r="I5203" s="61" t="s">
        <v>1517</v>
      </c>
      <c r="J5203" s="58" t="s">
        <v>1518</v>
      </c>
      <c r="K5203" s="30">
        <v>43811</v>
      </c>
      <c r="W5203" s="304"/>
      <c r="X5203" s="304"/>
      <c r="Y5203" s="304"/>
      <c r="Z5203" s="304"/>
      <c r="AA5203" s="237"/>
      <c r="AB5203" s="237"/>
      <c r="AC5203" s="244"/>
      <c r="AD5203" s="244"/>
      <c r="AE5203" s="244"/>
      <c r="AF5203" s="244"/>
      <c r="AG5203" s="296"/>
      <c r="AH5203" s="297"/>
      <c r="AI5203" s="298">
        <v>43735</v>
      </c>
      <c r="AJ5203" s="297"/>
      <c r="AK5203" s="297"/>
      <c r="AL5203" s="296"/>
      <c r="AM5203" s="296" t="s">
        <v>49</v>
      </c>
      <c r="AN5203" s="82" t="s">
        <v>284</v>
      </c>
      <c r="AO5203" s="296" t="s">
        <v>50</v>
      </c>
      <c r="AP5203" s="296" t="s">
        <v>51</v>
      </c>
      <c r="AQ5203" s="296" t="s">
        <v>1346</v>
      </c>
    </row>
    <row r="5204" spans="1:43" ht="15" customHeight="1">
      <c r="A5204" s="69">
        <v>43697</v>
      </c>
      <c r="B5204" s="70" t="s">
        <v>82</v>
      </c>
      <c r="C5204" s="21" t="s">
        <v>1515</v>
      </c>
      <c r="D5204" s="21" t="s">
        <v>1519</v>
      </c>
      <c r="E5204" s="32" t="s">
        <v>1521</v>
      </c>
      <c r="F5204" s="24">
        <v>2</v>
      </c>
      <c r="G5204" s="48">
        <v>15</v>
      </c>
      <c r="H5204" s="60">
        <v>30</v>
      </c>
      <c r="I5204" s="61" t="s">
        <v>1517</v>
      </c>
      <c r="J5204" s="58" t="s">
        <v>1518</v>
      </c>
      <c r="K5204" s="30">
        <v>43811</v>
      </c>
      <c r="W5204" s="304"/>
      <c r="X5204" s="304"/>
      <c r="Y5204" s="304"/>
      <c r="Z5204" s="304"/>
      <c r="AA5204" s="304"/>
      <c r="AB5204" s="237"/>
      <c r="AC5204" s="244"/>
      <c r="AD5204" s="244"/>
      <c r="AE5204" s="244"/>
      <c r="AF5204" s="244"/>
      <c r="AG5204" s="296"/>
      <c r="AH5204" s="297"/>
      <c r="AI5204" s="298">
        <v>43735</v>
      </c>
      <c r="AJ5204" s="297"/>
      <c r="AK5204" s="297"/>
      <c r="AL5204" s="296"/>
      <c r="AM5204" s="296" t="s">
        <v>49</v>
      </c>
      <c r="AN5204" s="82" t="s">
        <v>284</v>
      </c>
      <c r="AO5204" s="296" t="s">
        <v>50</v>
      </c>
      <c r="AP5204" s="296" t="s">
        <v>51</v>
      </c>
      <c r="AQ5204" s="296" t="s">
        <v>1346</v>
      </c>
    </row>
    <row r="5205" spans="1:43" ht="15" customHeight="1">
      <c r="A5205" s="69">
        <v>43697</v>
      </c>
      <c r="B5205" s="70" t="s">
        <v>82</v>
      </c>
      <c r="C5205" s="21" t="s">
        <v>1515</v>
      </c>
      <c r="D5205" s="21" t="s">
        <v>1519</v>
      </c>
      <c r="E5205" s="32" t="s">
        <v>1522</v>
      </c>
      <c r="F5205" s="24">
        <v>2</v>
      </c>
      <c r="G5205" s="48">
        <v>200</v>
      </c>
      <c r="H5205" s="60">
        <v>400</v>
      </c>
      <c r="I5205" s="61" t="s">
        <v>1517</v>
      </c>
      <c r="J5205" s="58" t="s">
        <v>1523</v>
      </c>
      <c r="K5205" s="30">
        <v>43811</v>
      </c>
      <c r="W5205" s="304"/>
      <c r="X5205" s="304"/>
      <c r="Y5205" s="304"/>
      <c r="Z5205" s="304"/>
      <c r="AA5205" s="304"/>
      <c r="AB5205" s="237"/>
      <c r="AC5205" s="244"/>
      <c r="AD5205" s="244"/>
      <c r="AE5205" s="244"/>
      <c r="AF5205" s="244"/>
      <c r="AG5205" s="296"/>
      <c r="AH5205" s="297"/>
      <c r="AI5205" s="298">
        <v>43735</v>
      </c>
      <c r="AJ5205" s="297"/>
      <c r="AK5205" s="297"/>
      <c r="AL5205" s="296"/>
      <c r="AM5205" s="296" t="s">
        <v>49</v>
      </c>
      <c r="AN5205" s="82" t="s">
        <v>284</v>
      </c>
      <c r="AO5205" s="296" t="s">
        <v>50</v>
      </c>
      <c r="AP5205" s="296" t="s">
        <v>51</v>
      </c>
      <c r="AQ5205" s="296" t="s">
        <v>1346</v>
      </c>
    </row>
    <row r="5206" spans="1:43" ht="15" customHeight="1">
      <c r="A5206" s="69">
        <v>43698</v>
      </c>
      <c r="B5206" s="23" t="s">
        <v>405</v>
      </c>
      <c r="C5206" s="21">
        <v>7000149574</v>
      </c>
      <c r="D5206" s="21" t="s">
        <v>1524</v>
      </c>
      <c r="E5206" s="32" t="s">
        <v>1525</v>
      </c>
      <c r="F5206" s="24">
        <v>5</v>
      </c>
      <c r="G5206" s="48">
        <v>83</v>
      </c>
      <c r="H5206" s="60">
        <v>415</v>
      </c>
      <c r="I5206" s="61" t="s">
        <v>42</v>
      </c>
      <c r="J5206" s="50" t="s">
        <v>512</v>
      </c>
      <c r="K5206" s="30">
        <v>43706</v>
      </c>
      <c r="W5206" s="303">
        <v>43799</v>
      </c>
      <c r="X5206" s="460">
        <v>43703</v>
      </c>
      <c r="Y5206" s="304" t="s">
        <v>1526</v>
      </c>
      <c r="Z5206" s="304">
        <v>18837</v>
      </c>
      <c r="AA5206" s="304"/>
      <c r="AB5206" s="237"/>
      <c r="AC5206" s="244"/>
      <c r="AD5206" s="244"/>
      <c r="AE5206" s="244"/>
      <c r="AF5206" s="244"/>
      <c r="AG5206" s="296"/>
      <c r="AH5206" s="296"/>
      <c r="AI5206" s="297"/>
      <c r="AJ5206" s="298">
        <v>43747</v>
      </c>
      <c r="AK5206" s="297">
        <f>673.51*30.81</f>
        <v>20750.843099999998</v>
      </c>
      <c r="AL5206" s="297">
        <f>(700-673.51)*30.81</f>
        <v>816.15690000000029</v>
      </c>
      <c r="AM5206" s="296" t="s">
        <v>49</v>
      </c>
      <c r="AN5206" s="296" t="s">
        <v>284</v>
      </c>
      <c r="AO5206" s="296" t="s">
        <v>50</v>
      </c>
      <c r="AP5206" s="296" t="s">
        <v>51</v>
      </c>
      <c r="AQ5206" s="296" t="s">
        <v>506</v>
      </c>
    </row>
    <row r="5207" spans="1:43" ht="15" customHeight="1">
      <c r="A5207" s="69">
        <v>43698</v>
      </c>
      <c r="B5207" s="23" t="s">
        <v>405</v>
      </c>
      <c r="C5207" s="21">
        <v>7000149574</v>
      </c>
      <c r="D5207" s="21" t="s">
        <v>1524</v>
      </c>
      <c r="E5207" s="32" t="s">
        <v>407</v>
      </c>
      <c r="F5207" s="24">
        <v>5</v>
      </c>
      <c r="G5207" s="48">
        <v>57</v>
      </c>
      <c r="H5207" s="60">
        <v>285</v>
      </c>
      <c r="I5207" s="61" t="s">
        <v>42</v>
      </c>
      <c r="J5207" s="50" t="s">
        <v>512</v>
      </c>
      <c r="K5207" s="30">
        <v>43706</v>
      </c>
      <c r="W5207" s="303">
        <v>43799</v>
      </c>
      <c r="X5207" s="460">
        <v>43703</v>
      </c>
      <c r="Y5207" s="304" t="s">
        <v>1526</v>
      </c>
      <c r="Z5207" s="304"/>
      <c r="AA5207" s="304"/>
      <c r="AB5207" s="237"/>
      <c r="AC5207" s="244"/>
      <c r="AD5207" s="244"/>
      <c r="AE5207" s="244"/>
      <c r="AF5207" s="244"/>
      <c r="AG5207" s="296"/>
      <c r="AH5207" s="296"/>
      <c r="AI5207" s="297"/>
      <c r="AJ5207" s="298">
        <v>43747</v>
      </c>
      <c r="AK5207" s="297"/>
      <c r="AL5207" s="297"/>
      <c r="AM5207" s="296" t="s">
        <v>49</v>
      </c>
      <c r="AN5207" s="296" t="s">
        <v>284</v>
      </c>
      <c r="AO5207" s="296" t="s">
        <v>50</v>
      </c>
      <c r="AP5207" s="296" t="s">
        <v>51</v>
      </c>
      <c r="AQ5207" s="296" t="s">
        <v>506</v>
      </c>
    </row>
    <row r="5208" spans="1:43" ht="15" customHeight="1">
      <c r="A5208" s="19">
        <v>43698</v>
      </c>
      <c r="B5208" s="51" t="s">
        <v>53</v>
      </c>
      <c r="C5208" s="21" t="s">
        <v>1527</v>
      </c>
      <c r="D5208" s="22" t="s">
        <v>1528</v>
      </c>
      <c r="E5208" s="32" t="s">
        <v>385</v>
      </c>
      <c r="F5208" s="24">
        <v>10</v>
      </c>
      <c r="G5208" s="48">
        <v>150.15</v>
      </c>
      <c r="H5208" s="26">
        <v>1501.5</v>
      </c>
      <c r="I5208" s="27" t="s">
        <v>42</v>
      </c>
      <c r="J5208" s="161" t="s">
        <v>89</v>
      </c>
      <c r="K5208" s="30">
        <v>43726</v>
      </c>
      <c r="W5208" s="303">
        <v>43769</v>
      </c>
      <c r="X5208" s="460">
        <v>43725</v>
      </c>
      <c r="Y5208" s="304" t="s">
        <v>1529</v>
      </c>
      <c r="Z5208" s="304">
        <v>41960</v>
      </c>
      <c r="AA5208" s="304"/>
      <c r="AB5208" s="237"/>
      <c r="AC5208" s="244"/>
      <c r="AD5208" s="244"/>
      <c r="AE5208" s="244"/>
      <c r="AF5208" s="244"/>
      <c r="AG5208" s="296"/>
      <c r="AH5208" s="296"/>
      <c r="AI5208" s="297"/>
      <c r="AJ5208" s="29">
        <v>43763</v>
      </c>
      <c r="AK5208" s="297">
        <v>46584</v>
      </c>
      <c r="AL5208" s="297">
        <v>15</v>
      </c>
      <c r="AM5208" s="296" t="s">
        <v>49</v>
      </c>
      <c r="AN5208" s="296" t="s">
        <v>284</v>
      </c>
      <c r="AO5208" s="296" t="s">
        <v>50</v>
      </c>
      <c r="AP5208" s="296" t="s">
        <v>376</v>
      </c>
      <c r="AQ5208" s="296" t="s">
        <v>1118</v>
      </c>
    </row>
    <row r="5209" spans="1:43" ht="15" customHeight="1">
      <c r="A5209" s="69">
        <v>43698</v>
      </c>
      <c r="B5209" s="70" t="s">
        <v>222</v>
      </c>
      <c r="C5209" s="21" t="s">
        <v>1530</v>
      </c>
      <c r="D5209" s="22" t="s">
        <v>1531</v>
      </c>
      <c r="E5209" s="32" t="s">
        <v>1480</v>
      </c>
      <c r="F5209" s="24">
        <v>1</v>
      </c>
      <c r="G5209" s="48">
        <v>7.35</v>
      </c>
      <c r="H5209" s="60">
        <v>7.35</v>
      </c>
      <c r="I5209" s="61" t="s">
        <v>143</v>
      </c>
      <c r="J5209" s="63" t="s">
        <v>89</v>
      </c>
      <c r="K5209" s="30">
        <v>43705</v>
      </c>
      <c r="W5209" s="303">
        <v>43769</v>
      </c>
      <c r="X5209" s="460">
        <v>43704</v>
      </c>
      <c r="Y5209" s="304" t="s">
        <v>1532</v>
      </c>
      <c r="Z5209" s="304">
        <v>4373</v>
      </c>
      <c r="AA5209" s="304"/>
      <c r="AB5209" s="237"/>
      <c r="AC5209" s="244"/>
      <c r="AD5209" s="244"/>
      <c r="AE5209" s="244"/>
      <c r="AF5209" s="244"/>
      <c r="AG5209" s="296"/>
      <c r="AH5209" s="296"/>
      <c r="AI5209" s="297"/>
      <c r="AJ5209" s="298">
        <v>43743</v>
      </c>
      <c r="AK5209" s="297">
        <v>59340</v>
      </c>
      <c r="AL5209" s="297">
        <v>15</v>
      </c>
      <c r="AM5209" s="296" t="s">
        <v>49</v>
      </c>
      <c r="AN5209" s="296" t="s">
        <v>284</v>
      </c>
      <c r="AO5209" s="296" t="s">
        <v>50</v>
      </c>
      <c r="AP5209" s="296" t="s">
        <v>376</v>
      </c>
      <c r="AQ5209" s="296" t="s">
        <v>506</v>
      </c>
    </row>
    <row r="5210" spans="1:43" ht="15" customHeight="1">
      <c r="A5210" s="69">
        <v>43698</v>
      </c>
      <c r="B5210" s="70" t="s">
        <v>222</v>
      </c>
      <c r="C5210" s="21" t="s">
        <v>1530</v>
      </c>
      <c r="D5210" s="22" t="s">
        <v>1531</v>
      </c>
      <c r="E5210" s="32" t="s">
        <v>1402</v>
      </c>
      <c r="F5210" s="24">
        <v>1</v>
      </c>
      <c r="G5210" s="48">
        <v>148.05000000000001</v>
      </c>
      <c r="H5210" s="60">
        <v>148.05000000000001</v>
      </c>
      <c r="I5210" s="61" t="s">
        <v>143</v>
      </c>
      <c r="J5210" s="63" t="s">
        <v>89</v>
      </c>
      <c r="K5210" s="30">
        <v>43705</v>
      </c>
      <c r="W5210" s="303">
        <v>43769</v>
      </c>
      <c r="X5210" s="460">
        <v>43704</v>
      </c>
      <c r="Y5210" s="304" t="s">
        <v>1532</v>
      </c>
      <c r="Z5210" s="304"/>
      <c r="AA5210" s="304"/>
      <c r="AB5210" s="237"/>
      <c r="AC5210" s="244"/>
      <c r="AD5210" s="244"/>
      <c r="AE5210" s="244"/>
      <c r="AF5210" s="244"/>
      <c r="AG5210" s="296"/>
      <c r="AH5210" s="296"/>
      <c r="AI5210" s="297"/>
      <c r="AJ5210" s="298">
        <v>43743</v>
      </c>
      <c r="AK5210" s="297"/>
      <c r="AL5210" s="297"/>
      <c r="AM5210" s="296" t="s">
        <v>49</v>
      </c>
      <c r="AN5210" s="296" t="s">
        <v>284</v>
      </c>
      <c r="AO5210" s="296" t="s">
        <v>50</v>
      </c>
      <c r="AP5210" s="296" t="s">
        <v>376</v>
      </c>
      <c r="AQ5210" s="296" t="s">
        <v>506</v>
      </c>
    </row>
    <row r="5211" spans="1:43" ht="15" customHeight="1">
      <c r="A5211" s="69">
        <v>43700</v>
      </c>
      <c r="B5211" s="70" t="s">
        <v>599</v>
      </c>
      <c r="C5211" s="21" t="s">
        <v>1533</v>
      </c>
      <c r="D5211" s="21" t="s">
        <v>1534</v>
      </c>
      <c r="E5211" s="23" t="s">
        <v>602</v>
      </c>
      <c r="F5211" s="24">
        <v>5</v>
      </c>
      <c r="G5211" s="48">
        <v>241.5</v>
      </c>
      <c r="H5211" s="26">
        <v>1207.5</v>
      </c>
      <c r="I5211" s="27" t="s">
        <v>42</v>
      </c>
      <c r="J5211" s="161" t="s">
        <v>1149</v>
      </c>
      <c r="K5211" s="30">
        <v>43711</v>
      </c>
      <c r="W5211" s="459">
        <v>43743</v>
      </c>
      <c r="X5211" s="529">
        <v>43705</v>
      </c>
      <c r="Y5211" s="350" t="s">
        <v>1535</v>
      </c>
      <c r="Z5211" s="471">
        <v>40864</v>
      </c>
      <c r="AA5211" s="459">
        <v>43743</v>
      </c>
      <c r="AB5211" s="237"/>
      <c r="AC5211" s="244"/>
      <c r="AD5211" s="244"/>
      <c r="AE5211" s="244"/>
      <c r="AF5211" s="244"/>
      <c r="AG5211" s="82"/>
      <c r="AH5211" s="82"/>
      <c r="AI5211" s="430"/>
      <c r="AJ5211" s="145">
        <v>43769</v>
      </c>
      <c r="AK5211" s="430">
        <v>49350</v>
      </c>
      <c r="AL5211" s="430">
        <v>28</v>
      </c>
      <c r="AM5211" s="82" t="s">
        <v>49</v>
      </c>
      <c r="AN5211" s="296" t="s">
        <v>284</v>
      </c>
      <c r="AO5211" s="296" t="s">
        <v>50</v>
      </c>
      <c r="AP5211" s="296" t="s">
        <v>376</v>
      </c>
      <c r="AQ5211" s="296" t="s">
        <v>1118</v>
      </c>
    </row>
    <row r="5212" spans="1:43" ht="15" customHeight="1">
      <c r="A5212" s="69">
        <v>43700</v>
      </c>
      <c r="B5212" s="70" t="s">
        <v>599</v>
      </c>
      <c r="C5212" s="21" t="s">
        <v>1533</v>
      </c>
      <c r="D5212" s="21" t="s">
        <v>1534</v>
      </c>
      <c r="E5212" s="32" t="s">
        <v>605</v>
      </c>
      <c r="F5212" s="24">
        <v>3</v>
      </c>
      <c r="G5212" s="48">
        <v>73.5</v>
      </c>
      <c r="H5212" s="26">
        <v>220.5</v>
      </c>
      <c r="I5212" s="27" t="s">
        <v>42</v>
      </c>
      <c r="J5212" s="161" t="s">
        <v>1149</v>
      </c>
      <c r="K5212" s="30">
        <v>43711</v>
      </c>
      <c r="W5212" s="349">
        <v>43743</v>
      </c>
      <c r="X5212" s="529">
        <v>43705</v>
      </c>
      <c r="Y5212" s="350" t="s">
        <v>1535</v>
      </c>
      <c r="Z5212" s="350"/>
      <c r="AA5212" s="459">
        <v>43743</v>
      </c>
      <c r="AB5212" s="237"/>
      <c r="AC5212" s="244"/>
      <c r="AD5212" s="244"/>
      <c r="AE5212" s="244"/>
      <c r="AF5212" s="244"/>
      <c r="AG5212" s="82"/>
      <c r="AH5212" s="82"/>
      <c r="AI5212" s="430"/>
      <c r="AJ5212" s="145">
        <v>43769</v>
      </c>
      <c r="AK5212" s="430"/>
      <c r="AL5212" s="430"/>
      <c r="AM5212" s="82" t="s">
        <v>49</v>
      </c>
      <c r="AN5212" s="296" t="s">
        <v>284</v>
      </c>
      <c r="AO5212" s="296" t="s">
        <v>50</v>
      </c>
      <c r="AP5212" s="296" t="s">
        <v>376</v>
      </c>
      <c r="AQ5212" s="296" t="s">
        <v>1118</v>
      </c>
    </row>
    <row r="5213" spans="1:43" ht="15" customHeight="1">
      <c r="A5213" s="69">
        <v>43700</v>
      </c>
      <c r="B5213" s="70" t="s">
        <v>599</v>
      </c>
      <c r="C5213" s="21" t="s">
        <v>1533</v>
      </c>
      <c r="D5213" s="21" t="s">
        <v>1534</v>
      </c>
      <c r="E5213" s="32" t="s">
        <v>605</v>
      </c>
      <c r="F5213" s="24">
        <v>2</v>
      </c>
      <c r="G5213" s="48">
        <v>73.5</v>
      </c>
      <c r="H5213" s="26">
        <v>147</v>
      </c>
      <c r="I5213" s="27" t="s">
        <v>42</v>
      </c>
      <c r="J5213" s="161" t="s">
        <v>1149</v>
      </c>
      <c r="K5213" s="30">
        <v>43727</v>
      </c>
      <c r="W5213" s="460">
        <v>43743</v>
      </c>
      <c r="X5213" s="460">
        <v>43719</v>
      </c>
      <c r="Y5213" s="304" t="s">
        <v>1536</v>
      </c>
      <c r="Z5213" s="304">
        <v>4075</v>
      </c>
      <c r="AA5213" s="459">
        <v>43743</v>
      </c>
      <c r="AB5213" s="237"/>
      <c r="AC5213" s="244"/>
      <c r="AD5213" s="244"/>
      <c r="AE5213" s="244"/>
      <c r="AF5213" s="244"/>
      <c r="AG5213" s="296"/>
      <c r="AH5213" s="296"/>
      <c r="AI5213" s="297"/>
      <c r="AJ5213" s="29">
        <v>43769</v>
      </c>
      <c r="AK5213" s="430"/>
      <c r="AL5213" s="430"/>
      <c r="AM5213" s="82" t="s">
        <v>49</v>
      </c>
      <c r="AN5213" s="296" t="s">
        <v>284</v>
      </c>
      <c r="AO5213" s="296" t="s">
        <v>50</v>
      </c>
      <c r="AP5213" s="296" t="s">
        <v>376</v>
      </c>
      <c r="AQ5213" s="296" t="s">
        <v>1118</v>
      </c>
    </row>
    <row r="5214" spans="1:43" ht="15" customHeight="1">
      <c r="A5214" s="69">
        <v>43703</v>
      </c>
      <c r="B5214" s="23" t="s">
        <v>405</v>
      </c>
      <c r="C5214" s="21"/>
      <c r="D5214" s="21" t="s">
        <v>1537</v>
      </c>
      <c r="E5214" s="32" t="s">
        <v>1538</v>
      </c>
      <c r="F5214" s="24">
        <v>25</v>
      </c>
      <c r="G5214" s="48">
        <v>0</v>
      </c>
      <c r="H5214" s="216">
        <v>0</v>
      </c>
      <c r="I5214" s="61" t="s">
        <v>42</v>
      </c>
      <c r="J5214" s="63" t="s">
        <v>1309</v>
      </c>
      <c r="K5214" s="29">
        <v>43703</v>
      </c>
      <c r="W5214" s="304"/>
      <c r="X5214" s="304"/>
      <c r="Y5214" s="304"/>
      <c r="Z5214" s="304"/>
      <c r="AA5214" s="304"/>
      <c r="AB5214" s="237"/>
      <c r="AC5214" s="244"/>
      <c r="AD5214" s="244"/>
      <c r="AE5214" s="244"/>
      <c r="AF5214" s="244"/>
      <c r="AG5214" s="296"/>
      <c r="AH5214" s="296"/>
      <c r="AI5214" s="297"/>
      <c r="AJ5214" s="298">
        <v>43703</v>
      </c>
      <c r="AK5214" s="297"/>
      <c r="AL5214" s="297"/>
      <c r="AM5214" s="296" t="s">
        <v>49</v>
      </c>
      <c r="AN5214" s="296" t="s">
        <v>284</v>
      </c>
      <c r="AO5214" s="296" t="s">
        <v>50</v>
      </c>
      <c r="AP5214" s="296" t="s">
        <v>51</v>
      </c>
      <c r="AQ5214" s="296" t="s">
        <v>506</v>
      </c>
    </row>
    <row r="5215" spans="1:43" ht="15" customHeight="1">
      <c r="A5215" s="69">
        <v>43703</v>
      </c>
      <c r="B5215" s="23" t="s">
        <v>405</v>
      </c>
      <c r="C5215" s="21"/>
      <c r="D5215" s="21" t="s">
        <v>1537</v>
      </c>
      <c r="E5215" s="32" t="s">
        <v>1539</v>
      </c>
      <c r="F5215" s="24">
        <v>1</v>
      </c>
      <c r="G5215" s="434">
        <v>0</v>
      </c>
      <c r="H5215" s="60">
        <v>0</v>
      </c>
      <c r="I5215" s="61" t="s">
        <v>42</v>
      </c>
      <c r="J5215" s="530" t="s">
        <v>1309</v>
      </c>
      <c r="K5215" s="29">
        <v>43703</v>
      </c>
      <c r="W5215" s="531">
        <v>43769</v>
      </c>
      <c r="X5215" s="470">
        <v>43732</v>
      </c>
      <c r="Y5215" s="53" t="s">
        <v>1540</v>
      </c>
      <c r="Z5215" s="53">
        <v>1893</v>
      </c>
      <c r="AA5215" s="53"/>
      <c r="AB5215" s="237"/>
      <c r="AC5215" s="244"/>
      <c r="AD5215" s="244"/>
      <c r="AE5215" s="244"/>
      <c r="AF5215" s="244"/>
      <c r="AG5215" s="54"/>
      <c r="AH5215" s="54"/>
      <c r="AI5215" s="55"/>
      <c r="AJ5215" s="68"/>
      <c r="AK5215" s="55"/>
      <c r="AL5215" s="55"/>
      <c r="AM5215" s="54" t="s">
        <v>49</v>
      </c>
      <c r="AN5215" s="54" t="s">
        <v>284</v>
      </c>
      <c r="AO5215" s="54" t="s">
        <v>50</v>
      </c>
      <c r="AP5215" s="54" t="s">
        <v>51</v>
      </c>
      <c r="AQ5215" s="54" t="s">
        <v>506</v>
      </c>
    </row>
    <row r="5216" spans="1:43" ht="15" customHeight="1">
      <c r="A5216" s="397">
        <v>43704</v>
      </c>
      <c r="B5216" s="273" t="s">
        <v>377</v>
      </c>
      <c r="C5216" s="183" t="s">
        <v>1541</v>
      </c>
      <c r="D5216" s="183" t="s">
        <v>1216</v>
      </c>
      <c r="E5216" s="185" t="s">
        <v>1542</v>
      </c>
      <c r="F5216" s="186">
        <v>3</v>
      </c>
      <c r="G5216" s="532">
        <v>62</v>
      </c>
      <c r="H5216" s="188">
        <v>0</v>
      </c>
      <c r="I5216" s="481" t="s">
        <v>143</v>
      </c>
      <c r="J5216" s="381" t="s">
        <v>1107</v>
      </c>
      <c r="K5216" s="192">
        <v>43781</v>
      </c>
      <c r="W5216" s="195"/>
      <c r="X5216" s="199"/>
      <c r="Y5216" s="199"/>
      <c r="Z5216" s="199"/>
      <c r="AA5216" s="199"/>
      <c r="AB5216" s="237"/>
      <c r="AC5216" s="244"/>
      <c r="AD5216" s="244"/>
      <c r="AE5216" s="244"/>
      <c r="AF5216" s="244"/>
      <c r="AG5216" s="200"/>
      <c r="AH5216" s="200"/>
      <c r="AI5216" s="201"/>
      <c r="AJ5216" s="296"/>
      <c r="AK5216" s="201"/>
      <c r="AL5216" s="201"/>
      <c r="AM5216" s="296" t="s">
        <v>1212</v>
      </c>
      <c r="AN5216" s="200" t="s">
        <v>295</v>
      </c>
      <c r="AO5216" s="200" t="s">
        <v>285</v>
      </c>
      <c r="AP5216" s="200" t="s">
        <v>51</v>
      </c>
      <c r="AQ5216" s="200"/>
    </row>
    <row r="5217" spans="1:43" ht="15" customHeight="1">
      <c r="A5217" s="69">
        <v>43705</v>
      </c>
      <c r="B5217" s="70" t="s">
        <v>129</v>
      </c>
      <c r="C5217" s="406" t="s">
        <v>1543</v>
      </c>
      <c r="D5217" s="21" t="s">
        <v>1544</v>
      </c>
      <c r="E5217" s="32" t="s">
        <v>1545</v>
      </c>
      <c r="F5217" s="24">
        <v>10</v>
      </c>
      <c r="G5217" s="48">
        <v>85</v>
      </c>
      <c r="H5217" s="60">
        <v>850</v>
      </c>
      <c r="I5217" s="61" t="s">
        <v>143</v>
      </c>
      <c r="J5217" s="63" t="s">
        <v>133</v>
      </c>
      <c r="K5217" s="205">
        <v>43720</v>
      </c>
      <c r="W5217" s="303">
        <v>43769</v>
      </c>
      <c r="X5217" s="460">
        <v>43717</v>
      </c>
      <c r="Y5217" s="304" t="s">
        <v>1546</v>
      </c>
      <c r="Z5217" s="304">
        <v>47725</v>
      </c>
      <c r="AA5217" s="304"/>
      <c r="AB5217" s="237"/>
      <c r="AC5217" s="244"/>
      <c r="AD5217" s="244"/>
      <c r="AE5217" s="244"/>
      <c r="AF5217" s="244"/>
      <c r="AG5217" s="296"/>
      <c r="AH5217" s="296"/>
      <c r="AI5217" s="297"/>
      <c r="AJ5217" s="298">
        <v>43746</v>
      </c>
      <c r="AK5217" s="297">
        <f>1548.51*30.84</f>
        <v>47756.0484</v>
      </c>
      <c r="AL5217" s="297">
        <f>17.49*30.84</f>
        <v>539.39159999999993</v>
      </c>
      <c r="AM5217" s="296" t="s">
        <v>49</v>
      </c>
      <c r="AN5217" s="296" t="s">
        <v>284</v>
      </c>
      <c r="AO5217" s="296" t="s">
        <v>50</v>
      </c>
      <c r="AP5217" s="296" t="s">
        <v>51</v>
      </c>
      <c r="AQ5217" s="296" t="s">
        <v>1118</v>
      </c>
    </row>
    <row r="5218" spans="1:43" ht="15" customHeight="1">
      <c r="A5218" s="69">
        <v>43705</v>
      </c>
      <c r="B5218" s="70" t="s">
        <v>129</v>
      </c>
      <c r="C5218" s="406" t="s">
        <v>1543</v>
      </c>
      <c r="D5218" s="21" t="s">
        <v>1544</v>
      </c>
      <c r="E5218" s="32" t="s">
        <v>1547</v>
      </c>
      <c r="F5218" s="24">
        <v>2</v>
      </c>
      <c r="G5218" s="48">
        <v>104</v>
      </c>
      <c r="H5218" s="60">
        <v>208</v>
      </c>
      <c r="I5218" s="61" t="s">
        <v>143</v>
      </c>
      <c r="J5218" s="63" t="s">
        <v>133</v>
      </c>
      <c r="K5218" s="30">
        <v>43720</v>
      </c>
      <c r="W5218" s="303">
        <v>43769</v>
      </c>
      <c r="X5218" s="460">
        <v>43717</v>
      </c>
      <c r="Y5218" s="304" t="s">
        <v>1546</v>
      </c>
      <c r="Z5218" s="304"/>
      <c r="AA5218" s="304"/>
      <c r="AB5218" s="237"/>
      <c r="AC5218" s="244"/>
      <c r="AD5218" s="244"/>
      <c r="AE5218" s="244"/>
      <c r="AF5218" s="244"/>
      <c r="AG5218" s="296"/>
      <c r="AH5218" s="296"/>
      <c r="AI5218" s="297"/>
      <c r="AJ5218" s="298">
        <v>43746</v>
      </c>
      <c r="AK5218" s="297"/>
      <c r="AL5218" s="297"/>
      <c r="AM5218" s="296" t="s">
        <v>49</v>
      </c>
      <c r="AN5218" s="296" t="s">
        <v>284</v>
      </c>
      <c r="AO5218" s="296" t="s">
        <v>50</v>
      </c>
      <c r="AP5218" s="296" t="s">
        <v>51</v>
      </c>
      <c r="AQ5218" s="296" t="s">
        <v>1118</v>
      </c>
    </row>
    <row r="5219" spans="1:43" ht="15" customHeight="1">
      <c r="A5219" s="69">
        <v>43705</v>
      </c>
      <c r="B5219" s="70" t="s">
        <v>129</v>
      </c>
      <c r="C5219" s="406" t="s">
        <v>1543</v>
      </c>
      <c r="D5219" s="21" t="s">
        <v>1544</v>
      </c>
      <c r="E5219" s="32" t="s">
        <v>1548</v>
      </c>
      <c r="F5219" s="24">
        <v>1</v>
      </c>
      <c r="G5219" s="48">
        <v>58</v>
      </c>
      <c r="H5219" s="466">
        <v>58</v>
      </c>
      <c r="I5219" s="61" t="s">
        <v>143</v>
      </c>
      <c r="J5219" s="63" t="s">
        <v>133</v>
      </c>
      <c r="K5219" s="30">
        <v>43720</v>
      </c>
      <c r="W5219" s="303">
        <v>43769</v>
      </c>
      <c r="X5219" s="460">
        <v>43717</v>
      </c>
      <c r="Y5219" s="304" t="s">
        <v>1546</v>
      </c>
      <c r="Z5219" s="304"/>
      <c r="AA5219" s="304"/>
      <c r="AB5219" s="237"/>
      <c r="AC5219" s="244"/>
      <c r="AD5219" s="244"/>
      <c r="AE5219" s="244"/>
      <c r="AF5219" s="244"/>
      <c r="AG5219" s="296"/>
      <c r="AH5219" s="296"/>
      <c r="AI5219" s="297"/>
      <c r="AJ5219" s="298">
        <v>43746</v>
      </c>
      <c r="AK5219" s="297"/>
      <c r="AL5219" s="297"/>
      <c r="AM5219" s="296" t="s">
        <v>49</v>
      </c>
      <c r="AN5219" s="296" t="s">
        <v>284</v>
      </c>
      <c r="AO5219" s="296" t="s">
        <v>50</v>
      </c>
      <c r="AP5219" s="296" t="s">
        <v>51</v>
      </c>
      <c r="AQ5219" s="296" t="s">
        <v>1118</v>
      </c>
    </row>
    <row r="5220" spans="1:43" ht="15" customHeight="1">
      <c r="A5220" s="69">
        <v>43706</v>
      </c>
      <c r="B5220" s="70" t="s">
        <v>129</v>
      </c>
      <c r="C5220" s="406" t="s">
        <v>1543</v>
      </c>
      <c r="D5220" s="21" t="s">
        <v>1544</v>
      </c>
      <c r="E5220" s="32" t="s">
        <v>1549</v>
      </c>
      <c r="F5220" s="24">
        <v>5</v>
      </c>
      <c r="G5220" s="48">
        <v>90</v>
      </c>
      <c r="H5220" s="60">
        <v>450</v>
      </c>
      <c r="I5220" s="61" t="s">
        <v>143</v>
      </c>
      <c r="J5220" s="63" t="s">
        <v>133</v>
      </c>
      <c r="K5220" s="30">
        <v>43720</v>
      </c>
      <c r="W5220" s="303">
        <v>43769</v>
      </c>
      <c r="X5220" s="460">
        <v>43717</v>
      </c>
      <c r="Y5220" s="304" t="s">
        <v>1546</v>
      </c>
      <c r="Z5220" s="304"/>
      <c r="AA5220" s="304"/>
      <c r="AB5220" s="237"/>
      <c r="AC5220" s="244"/>
      <c r="AD5220" s="244"/>
      <c r="AE5220" s="244"/>
      <c r="AF5220" s="244"/>
      <c r="AG5220" s="296"/>
      <c r="AH5220" s="296"/>
      <c r="AI5220" s="297"/>
      <c r="AJ5220" s="298">
        <v>43746</v>
      </c>
      <c r="AK5220" s="297"/>
      <c r="AL5220" s="297"/>
      <c r="AM5220" s="296" t="s">
        <v>49</v>
      </c>
      <c r="AN5220" s="296" t="s">
        <v>284</v>
      </c>
      <c r="AO5220" s="296" t="s">
        <v>50</v>
      </c>
      <c r="AP5220" s="296" t="s">
        <v>51</v>
      </c>
      <c r="AQ5220" s="296" t="s">
        <v>1118</v>
      </c>
    </row>
    <row r="5221" spans="1:43" ht="15" customHeight="1">
      <c r="A5221" s="69">
        <v>43706</v>
      </c>
      <c r="B5221" s="70" t="s">
        <v>892</v>
      </c>
      <c r="C5221" s="21" t="s">
        <v>1429</v>
      </c>
      <c r="D5221" s="21" t="s">
        <v>1550</v>
      </c>
      <c r="E5221" s="520" t="s">
        <v>1433</v>
      </c>
      <c r="F5221" s="24">
        <v>20</v>
      </c>
      <c r="G5221" s="48">
        <v>5.8</v>
      </c>
      <c r="H5221" s="60">
        <v>116</v>
      </c>
      <c r="I5221" s="61" t="s">
        <v>104</v>
      </c>
      <c r="J5221" s="63" t="s">
        <v>1551</v>
      </c>
      <c r="K5221" s="29">
        <v>43726</v>
      </c>
      <c r="W5221" s="303">
        <v>43769</v>
      </c>
      <c r="X5221" s="460">
        <v>43717</v>
      </c>
      <c r="Y5221" s="304" t="s">
        <v>1552</v>
      </c>
      <c r="Z5221" s="304">
        <v>62493</v>
      </c>
      <c r="AA5221" s="304"/>
      <c r="AB5221" s="237"/>
      <c r="AC5221" s="244"/>
      <c r="AD5221" s="244"/>
      <c r="AE5221" s="244"/>
      <c r="AF5221" s="244"/>
      <c r="AG5221" s="296"/>
      <c r="AH5221" s="296"/>
      <c r="AI5221" s="297"/>
      <c r="AJ5221" s="298">
        <v>43707</v>
      </c>
      <c r="AK5221" s="297">
        <f>2218.61*31.32</f>
        <v>69486.8652</v>
      </c>
      <c r="AL5221" s="297">
        <f>(2236-2218.61)*31.32</f>
        <v>544.65479999999604</v>
      </c>
      <c r="AM5221" s="296" t="s">
        <v>49</v>
      </c>
      <c r="AN5221" s="296" t="s">
        <v>284</v>
      </c>
      <c r="AO5221" s="296" t="s">
        <v>50</v>
      </c>
      <c r="AP5221" s="296" t="s">
        <v>51</v>
      </c>
      <c r="AQ5221" s="296" t="s">
        <v>1118</v>
      </c>
    </row>
    <row r="5222" spans="1:43" ht="15" customHeight="1">
      <c r="A5222" s="69">
        <v>43706</v>
      </c>
      <c r="B5222" s="70" t="s">
        <v>892</v>
      </c>
      <c r="C5222" s="21" t="s">
        <v>1429</v>
      </c>
      <c r="D5222" s="21" t="s">
        <v>1550</v>
      </c>
      <c r="E5222" s="520" t="s">
        <v>1431</v>
      </c>
      <c r="F5222" s="24">
        <v>10</v>
      </c>
      <c r="G5222" s="48">
        <v>212</v>
      </c>
      <c r="H5222" s="60">
        <v>2120</v>
      </c>
      <c r="I5222" s="61" t="s">
        <v>104</v>
      </c>
      <c r="J5222" s="63" t="s">
        <v>1553</v>
      </c>
      <c r="K5222" s="29">
        <v>43726</v>
      </c>
      <c r="W5222" s="303">
        <v>43769</v>
      </c>
      <c r="X5222" s="460">
        <v>43717</v>
      </c>
      <c r="Y5222" s="304" t="s">
        <v>1552</v>
      </c>
      <c r="Z5222" s="304"/>
      <c r="AA5222" s="304"/>
      <c r="AB5222" s="237"/>
      <c r="AC5222" s="244"/>
      <c r="AD5222" s="244"/>
      <c r="AE5222" s="244"/>
      <c r="AF5222" s="244"/>
      <c r="AG5222" s="296"/>
      <c r="AH5222" s="296"/>
      <c r="AI5222" s="297"/>
      <c r="AJ5222" s="298">
        <v>43707</v>
      </c>
      <c r="AK5222" s="297"/>
      <c r="AL5222" s="297"/>
      <c r="AM5222" s="296" t="s">
        <v>49</v>
      </c>
      <c r="AN5222" s="296" t="s">
        <v>284</v>
      </c>
      <c r="AO5222" s="296" t="s">
        <v>50</v>
      </c>
      <c r="AP5222" s="296" t="s">
        <v>51</v>
      </c>
      <c r="AQ5222" s="296" t="s">
        <v>1118</v>
      </c>
    </row>
    <row r="5223" spans="1:43" ht="15" customHeight="1">
      <c r="A5223" s="69">
        <v>43706</v>
      </c>
      <c r="B5223" s="70" t="s">
        <v>222</v>
      </c>
      <c r="C5223" s="21" t="s">
        <v>1554</v>
      </c>
      <c r="D5223" s="21" t="s">
        <v>1555</v>
      </c>
      <c r="E5223" s="32" t="s">
        <v>1556</v>
      </c>
      <c r="F5223" s="24">
        <v>1</v>
      </c>
      <c r="G5223" s="48">
        <v>805.35</v>
      </c>
      <c r="H5223" s="60">
        <v>805.35</v>
      </c>
      <c r="I5223" s="61" t="s">
        <v>143</v>
      </c>
      <c r="J5223" s="63" t="s">
        <v>89</v>
      </c>
      <c r="K5223" s="30">
        <v>43718</v>
      </c>
      <c r="W5223" s="303">
        <v>43769</v>
      </c>
      <c r="X5223" s="460">
        <v>43717</v>
      </c>
      <c r="Y5223" s="304" t="s">
        <v>1557</v>
      </c>
      <c r="Z5223" s="304">
        <v>22958</v>
      </c>
      <c r="AA5223" s="304"/>
      <c r="AB5223" s="237"/>
      <c r="AC5223" s="244"/>
      <c r="AD5223" s="244"/>
      <c r="AE5223" s="244"/>
      <c r="AF5223" s="244"/>
      <c r="AG5223" s="296"/>
      <c r="AH5223" s="296"/>
      <c r="AI5223" s="297"/>
      <c r="AJ5223" s="298">
        <v>43743</v>
      </c>
      <c r="AK5223" s="297"/>
      <c r="AL5223" s="297"/>
      <c r="AM5223" s="296" t="s">
        <v>49</v>
      </c>
      <c r="AN5223" s="296" t="s">
        <v>284</v>
      </c>
      <c r="AO5223" s="296" t="s">
        <v>50</v>
      </c>
      <c r="AP5223" s="296" t="s">
        <v>51</v>
      </c>
      <c r="AQ5223" s="296" t="s">
        <v>1118</v>
      </c>
    </row>
    <row r="5224" spans="1:43" ht="15" customHeight="1">
      <c r="A5224" s="69">
        <v>43710</v>
      </c>
      <c r="B5224" s="144" t="s">
        <v>1236</v>
      </c>
      <c r="C5224" s="21" t="s">
        <v>1558</v>
      </c>
      <c r="D5224" s="21" t="s">
        <v>1559</v>
      </c>
      <c r="E5224" s="32" t="s">
        <v>1560</v>
      </c>
      <c r="F5224" s="24">
        <v>7</v>
      </c>
      <c r="G5224" s="434">
        <v>621</v>
      </c>
      <c r="H5224" s="60">
        <v>4347</v>
      </c>
      <c r="I5224" s="61" t="s">
        <v>104</v>
      </c>
      <c r="J5224" s="63" t="s">
        <v>1336</v>
      </c>
      <c r="K5224" s="29">
        <v>43728</v>
      </c>
      <c r="W5224" s="304"/>
      <c r="X5224" s="304"/>
      <c r="Y5224" s="304"/>
      <c r="Z5224" s="304"/>
      <c r="AA5224" s="304"/>
      <c r="AB5224" s="237"/>
      <c r="AC5224" s="244"/>
      <c r="AD5224" s="244"/>
      <c r="AE5224" s="244"/>
      <c r="AF5224" s="244"/>
      <c r="AG5224" s="296"/>
      <c r="AH5224" s="296"/>
      <c r="AI5224" s="297"/>
      <c r="AJ5224" s="29">
        <v>43760</v>
      </c>
      <c r="AK5224" s="297">
        <f>6442.44*30.5</f>
        <v>196494.41999999998</v>
      </c>
      <c r="AL5224" s="297">
        <f>(6469-6442.44)*30.5</f>
        <v>810.08000000001221</v>
      </c>
      <c r="AM5224" s="296" t="s">
        <v>49</v>
      </c>
      <c r="AN5224" s="296" t="s">
        <v>284</v>
      </c>
      <c r="AO5224" s="296" t="s">
        <v>285</v>
      </c>
      <c r="AP5224" s="296" t="s">
        <v>51</v>
      </c>
      <c r="AQ5224" s="296" t="s">
        <v>1118</v>
      </c>
    </row>
    <row r="5225" spans="1:43" ht="15" customHeight="1">
      <c r="A5225" s="69">
        <v>43710</v>
      </c>
      <c r="B5225" s="144" t="s">
        <v>1236</v>
      </c>
      <c r="C5225" s="21" t="s">
        <v>1558</v>
      </c>
      <c r="D5225" s="21" t="s">
        <v>1559</v>
      </c>
      <c r="E5225" s="32" t="s">
        <v>1561</v>
      </c>
      <c r="F5225" s="24">
        <v>7</v>
      </c>
      <c r="G5225" s="434">
        <v>71</v>
      </c>
      <c r="H5225" s="60">
        <v>497</v>
      </c>
      <c r="I5225" s="61" t="s">
        <v>104</v>
      </c>
      <c r="J5225" s="63" t="s">
        <v>1336</v>
      </c>
      <c r="K5225" s="29">
        <v>43728</v>
      </c>
      <c r="W5225" s="304"/>
      <c r="X5225" s="304"/>
      <c r="Y5225" s="304"/>
      <c r="Z5225" s="304"/>
      <c r="AA5225" s="304"/>
      <c r="AB5225" s="237"/>
      <c r="AC5225" s="244"/>
      <c r="AD5225" s="244"/>
      <c r="AE5225" s="244"/>
      <c r="AF5225" s="244"/>
      <c r="AG5225" s="296"/>
      <c r="AH5225" s="296"/>
      <c r="AI5225" s="297"/>
      <c r="AJ5225" s="29">
        <v>43760</v>
      </c>
      <c r="AK5225" s="297"/>
      <c r="AL5225" s="297"/>
      <c r="AM5225" s="296" t="s">
        <v>49</v>
      </c>
      <c r="AN5225" s="296" t="s">
        <v>284</v>
      </c>
      <c r="AO5225" s="296" t="s">
        <v>285</v>
      </c>
      <c r="AP5225" s="296" t="s">
        <v>51</v>
      </c>
      <c r="AQ5225" s="296" t="s">
        <v>1118</v>
      </c>
    </row>
    <row r="5226" spans="1:43" ht="15" customHeight="1">
      <c r="A5226" s="69">
        <v>43710</v>
      </c>
      <c r="B5226" s="144" t="s">
        <v>1236</v>
      </c>
      <c r="C5226" s="21" t="s">
        <v>1558</v>
      </c>
      <c r="D5226" s="21" t="s">
        <v>1559</v>
      </c>
      <c r="E5226" s="32" t="s">
        <v>1562</v>
      </c>
      <c r="F5226" s="24">
        <v>7</v>
      </c>
      <c r="G5226" s="434">
        <v>60</v>
      </c>
      <c r="H5226" s="60">
        <v>420</v>
      </c>
      <c r="I5226" s="61" t="s">
        <v>104</v>
      </c>
      <c r="J5226" s="63" t="s">
        <v>1336</v>
      </c>
      <c r="K5226" s="29">
        <v>43728</v>
      </c>
      <c r="W5226" s="304"/>
      <c r="X5226" s="304"/>
      <c r="Y5226" s="304"/>
      <c r="Z5226" s="304"/>
      <c r="AA5226" s="304"/>
      <c r="AB5226" s="237"/>
      <c r="AC5226" s="244"/>
      <c r="AD5226" s="244"/>
      <c r="AE5226" s="244"/>
      <c r="AF5226" s="244"/>
      <c r="AG5226" s="296"/>
      <c r="AH5226" s="296"/>
      <c r="AI5226" s="297"/>
      <c r="AJ5226" s="29">
        <v>43760</v>
      </c>
      <c r="AK5226" s="297"/>
      <c r="AL5226" s="297"/>
      <c r="AM5226" s="296" t="s">
        <v>49</v>
      </c>
      <c r="AN5226" s="296" t="s">
        <v>284</v>
      </c>
      <c r="AO5226" s="296" t="s">
        <v>285</v>
      </c>
      <c r="AP5226" s="296" t="s">
        <v>51</v>
      </c>
      <c r="AQ5226" s="296" t="s">
        <v>1118</v>
      </c>
    </row>
    <row r="5227" spans="1:43" ht="15" customHeight="1">
      <c r="A5227" s="69">
        <v>43710</v>
      </c>
      <c r="B5227" s="144" t="s">
        <v>1236</v>
      </c>
      <c r="C5227" s="21" t="s">
        <v>1558</v>
      </c>
      <c r="D5227" s="21" t="s">
        <v>1559</v>
      </c>
      <c r="E5227" s="32" t="s">
        <v>1563</v>
      </c>
      <c r="F5227" s="24">
        <v>7</v>
      </c>
      <c r="G5227" s="434">
        <v>38</v>
      </c>
      <c r="H5227" s="60">
        <v>266</v>
      </c>
      <c r="I5227" s="61" t="s">
        <v>104</v>
      </c>
      <c r="J5227" s="63" t="s">
        <v>1336</v>
      </c>
      <c r="K5227" s="29">
        <v>43728</v>
      </c>
      <c r="W5227" s="304"/>
      <c r="X5227" s="304"/>
      <c r="Y5227" s="304"/>
      <c r="Z5227" s="304"/>
      <c r="AA5227" s="304"/>
      <c r="AB5227" s="237"/>
      <c r="AC5227" s="244"/>
      <c r="AD5227" s="244"/>
      <c r="AE5227" s="244"/>
      <c r="AF5227" s="244"/>
      <c r="AG5227" s="296"/>
      <c r="AH5227" s="296"/>
      <c r="AI5227" s="297"/>
      <c r="AJ5227" s="29">
        <v>43760</v>
      </c>
      <c r="AK5227" s="297"/>
      <c r="AL5227" s="297"/>
      <c r="AM5227" s="296" t="s">
        <v>49</v>
      </c>
      <c r="AN5227" s="296" t="s">
        <v>284</v>
      </c>
      <c r="AO5227" s="296" t="s">
        <v>285</v>
      </c>
      <c r="AP5227" s="296" t="s">
        <v>51</v>
      </c>
      <c r="AQ5227" s="296" t="s">
        <v>1118</v>
      </c>
    </row>
    <row r="5228" spans="1:43" ht="15" customHeight="1">
      <c r="A5228" s="69">
        <v>43710</v>
      </c>
      <c r="B5228" s="144" t="s">
        <v>1236</v>
      </c>
      <c r="C5228" s="21" t="s">
        <v>1558</v>
      </c>
      <c r="D5228" s="21" t="s">
        <v>1559</v>
      </c>
      <c r="E5228" s="32" t="s">
        <v>1564</v>
      </c>
      <c r="F5228" s="24">
        <v>7</v>
      </c>
      <c r="G5228" s="434">
        <v>10</v>
      </c>
      <c r="H5228" s="60">
        <v>70</v>
      </c>
      <c r="I5228" s="61" t="s">
        <v>104</v>
      </c>
      <c r="J5228" s="63" t="s">
        <v>1336</v>
      </c>
      <c r="K5228" s="29">
        <v>43728</v>
      </c>
      <c r="W5228" s="304"/>
      <c r="X5228" s="304"/>
      <c r="Y5228" s="304"/>
      <c r="Z5228" s="304"/>
      <c r="AA5228" s="304"/>
      <c r="AB5228" s="237"/>
      <c r="AC5228" s="244"/>
      <c r="AD5228" s="244"/>
      <c r="AE5228" s="244"/>
      <c r="AF5228" s="244"/>
      <c r="AG5228" s="296"/>
      <c r="AH5228" s="296"/>
      <c r="AI5228" s="297"/>
      <c r="AJ5228" s="29">
        <v>43760</v>
      </c>
      <c r="AK5228" s="297"/>
      <c r="AL5228" s="297"/>
      <c r="AM5228" s="296" t="s">
        <v>49</v>
      </c>
      <c r="AN5228" s="296" t="s">
        <v>284</v>
      </c>
      <c r="AO5228" s="296" t="s">
        <v>285</v>
      </c>
      <c r="AP5228" s="296" t="s">
        <v>51</v>
      </c>
      <c r="AQ5228" s="296" t="s">
        <v>1118</v>
      </c>
    </row>
    <row r="5229" spans="1:43" ht="15" customHeight="1">
      <c r="A5229" s="69">
        <v>43710</v>
      </c>
      <c r="B5229" s="144" t="s">
        <v>1236</v>
      </c>
      <c r="C5229" s="21" t="s">
        <v>1558</v>
      </c>
      <c r="D5229" s="21" t="s">
        <v>1559</v>
      </c>
      <c r="E5229" s="32" t="s">
        <v>1565</v>
      </c>
      <c r="F5229" s="24">
        <v>7</v>
      </c>
      <c r="G5229" s="434">
        <v>47</v>
      </c>
      <c r="H5229" s="60">
        <v>329</v>
      </c>
      <c r="I5229" s="61" t="s">
        <v>104</v>
      </c>
      <c r="J5229" s="63" t="s">
        <v>1336</v>
      </c>
      <c r="K5229" s="29">
        <v>43728</v>
      </c>
      <c r="W5229" s="304"/>
      <c r="X5229" s="304"/>
      <c r="Y5229" s="304"/>
      <c r="Z5229" s="304"/>
      <c r="AA5229" s="304"/>
      <c r="AB5229" s="237"/>
      <c r="AC5229" s="244"/>
      <c r="AD5229" s="244"/>
      <c r="AE5229" s="244"/>
      <c r="AF5229" s="244"/>
      <c r="AG5229" s="296"/>
      <c r="AH5229" s="296"/>
      <c r="AI5229" s="297"/>
      <c r="AJ5229" s="29">
        <v>43760</v>
      </c>
      <c r="AK5229" s="297"/>
      <c r="AL5229" s="297"/>
      <c r="AM5229" s="296" t="s">
        <v>49</v>
      </c>
      <c r="AN5229" s="296" t="s">
        <v>284</v>
      </c>
      <c r="AO5229" s="296" t="s">
        <v>285</v>
      </c>
      <c r="AP5229" s="296" t="s">
        <v>51</v>
      </c>
      <c r="AQ5229" s="296" t="s">
        <v>1118</v>
      </c>
    </row>
    <row r="5230" spans="1:43" ht="15" customHeight="1">
      <c r="A5230" s="69">
        <v>43710</v>
      </c>
      <c r="B5230" s="144" t="s">
        <v>1236</v>
      </c>
      <c r="C5230" s="21" t="s">
        <v>1558</v>
      </c>
      <c r="D5230" s="21" t="s">
        <v>1566</v>
      </c>
      <c r="E5230" s="23" t="s">
        <v>1567</v>
      </c>
      <c r="F5230" s="24">
        <v>1</v>
      </c>
      <c r="G5230" s="434">
        <v>621</v>
      </c>
      <c r="H5230" s="60">
        <v>621</v>
      </c>
      <c r="I5230" s="61" t="s">
        <v>104</v>
      </c>
      <c r="J5230" s="63" t="s">
        <v>1568</v>
      </c>
      <c r="K5230" s="29">
        <v>43732</v>
      </c>
      <c r="W5230" s="303"/>
      <c r="X5230" s="460"/>
      <c r="Y5230" s="304"/>
      <c r="Z5230" s="304"/>
      <c r="AA5230" s="304"/>
      <c r="AB5230" s="237"/>
      <c r="AC5230" s="244"/>
      <c r="AD5230" s="244"/>
      <c r="AE5230" s="244"/>
      <c r="AF5230" s="244"/>
      <c r="AG5230" s="296"/>
      <c r="AH5230" s="296"/>
      <c r="AI5230" s="297"/>
      <c r="AJ5230" s="29">
        <v>43789</v>
      </c>
      <c r="AK5230" s="297"/>
      <c r="AL5230" s="297"/>
      <c r="AM5230" s="296" t="s">
        <v>49</v>
      </c>
      <c r="AN5230" s="296" t="s">
        <v>284</v>
      </c>
      <c r="AO5230" s="296" t="s">
        <v>285</v>
      </c>
      <c r="AP5230" s="296" t="s">
        <v>51</v>
      </c>
      <c r="AQ5230" s="296" t="s">
        <v>1118</v>
      </c>
    </row>
    <row r="5231" spans="1:43" ht="15" customHeight="1">
      <c r="A5231" s="69">
        <v>43710</v>
      </c>
      <c r="B5231" s="144" t="s">
        <v>1236</v>
      </c>
      <c r="C5231" s="21" t="s">
        <v>1558</v>
      </c>
      <c r="D5231" s="21" t="s">
        <v>1566</v>
      </c>
      <c r="E5231" s="23" t="s">
        <v>1561</v>
      </c>
      <c r="F5231" s="24">
        <v>1</v>
      </c>
      <c r="G5231" s="434">
        <v>71</v>
      </c>
      <c r="H5231" s="60">
        <v>71</v>
      </c>
      <c r="I5231" s="61" t="s">
        <v>104</v>
      </c>
      <c r="J5231" s="63" t="s">
        <v>1568</v>
      </c>
      <c r="K5231" s="29">
        <v>43732</v>
      </c>
      <c r="W5231" s="303"/>
      <c r="X5231" s="460"/>
      <c r="Y5231" s="304"/>
      <c r="Z5231" s="304"/>
      <c r="AA5231" s="304"/>
      <c r="AB5231" s="237"/>
      <c r="AC5231" s="244"/>
      <c r="AD5231" s="244"/>
      <c r="AE5231" s="244"/>
      <c r="AF5231" s="244"/>
      <c r="AG5231" s="296"/>
      <c r="AH5231" s="296"/>
      <c r="AI5231" s="297"/>
      <c r="AJ5231" s="29">
        <v>43789</v>
      </c>
      <c r="AK5231" s="297"/>
      <c r="AL5231" s="297"/>
      <c r="AM5231" s="296" t="s">
        <v>49</v>
      </c>
      <c r="AN5231" s="296" t="s">
        <v>284</v>
      </c>
      <c r="AO5231" s="296" t="s">
        <v>285</v>
      </c>
      <c r="AP5231" s="296" t="s">
        <v>51</v>
      </c>
      <c r="AQ5231" s="296" t="s">
        <v>1118</v>
      </c>
    </row>
    <row r="5232" spans="1:43" ht="15" customHeight="1">
      <c r="A5232" s="69">
        <v>43710</v>
      </c>
      <c r="B5232" s="144" t="s">
        <v>1236</v>
      </c>
      <c r="C5232" s="21" t="s">
        <v>1558</v>
      </c>
      <c r="D5232" s="21" t="s">
        <v>1566</v>
      </c>
      <c r="E5232" s="32" t="s">
        <v>1562</v>
      </c>
      <c r="F5232" s="24">
        <v>1</v>
      </c>
      <c r="G5232" s="434">
        <v>60</v>
      </c>
      <c r="H5232" s="60">
        <v>60</v>
      </c>
      <c r="I5232" s="61" t="s">
        <v>104</v>
      </c>
      <c r="J5232" s="63" t="s">
        <v>1568</v>
      </c>
      <c r="K5232" s="29">
        <v>43732</v>
      </c>
      <c r="W5232" s="303"/>
      <c r="X5232" s="460"/>
      <c r="Y5232" s="304"/>
      <c r="Z5232" s="304"/>
      <c r="AA5232" s="304"/>
      <c r="AB5232" s="237"/>
      <c r="AC5232" s="244"/>
      <c r="AD5232" s="244"/>
      <c r="AE5232" s="244"/>
      <c r="AF5232" s="244"/>
      <c r="AG5232" s="296"/>
      <c r="AH5232" s="296"/>
      <c r="AI5232" s="297"/>
      <c r="AJ5232" s="29">
        <v>43789</v>
      </c>
      <c r="AK5232" s="297"/>
      <c r="AL5232" s="297"/>
      <c r="AM5232" s="296" t="s">
        <v>49</v>
      </c>
      <c r="AN5232" s="296" t="s">
        <v>284</v>
      </c>
      <c r="AO5232" s="296" t="s">
        <v>285</v>
      </c>
      <c r="AP5232" s="296" t="s">
        <v>51</v>
      </c>
      <c r="AQ5232" s="296" t="s">
        <v>1118</v>
      </c>
    </row>
    <row r="5233" spans="1:43" ht="15" customHeight="1">
      <c r="A5233" s="69">
        <v>43710</v>
      </c>
      <c r="B5233" s="144" t="s">
        <v>1236</v>
      </c>
      <c r="C5233" s="21" t="s">
        <v>1558</v>
      </c>
      <c r="D5233" s="21" t="s">
        <v>1566</v>
      </c>
      <c r="E5233" s="32" t="s">
        <v>1563</v>
      </c>
      <c r="F5233" s="24">
        <v>1</v>
      </c>
      <c r="G5233" s="434">
        <v>38</v>
      </c>
      <c r="H5233" s="60">
        <v>38</v>
      </c>
      <c r="I5233" s="61" t="s">
        <v>104</v>
      </c>
      <c r="J5233" s="63" t="s">
        <v>1568</v>
      </c>
      <c r="K5233" s="29">
        <v>43732</v>
      </c>
      <c r="W5233" s="303"/>
      <c r="X5233" s="460"/>
      <c r="Y5233" s="304"/>
      <c r="Z5233" s="304"/>
      <c r="AA5233" s="304"/>
      <c r="AB5233" s="237"/>
      <c r="AC5233" s="244"/>
      <c r="AD5233" s="244"/>
      <c r="AE5233" s="244"/>
      <c r="AF5233" s="244"/>
      <c r="AG5233" s="296"/>
      <c r="AH5233" s="296"/>
      <c r="AI5233" s="297"/>
      <c r="AJ5233" s="29">
        <v>43789</v>
      </c>
      <c r="AK5233" s="297"/>
      <c r="AL5233" s="297"/>
      <c r="AM5233" s="296" t="s">
        <v>49</v>
      </c>
      <c r="AN5233" s="296" t="s">
        <v>284</v>
      </c>
      <c r="AO5233" s="296" t="s">
        <v>285</v>
      </c>
      <c r="AP5233" s="296" t="s">
        <v>51</v>
      </c>
      <c r="AQ5233" s="296" t="s">
        <v>1118</v>
      </c>
    </row>
    <row r="5234" spans="1:43" ht="15" customHeight="1">
      <c r="A5234" s="110">
        <v>43710</v>
      </c>
      <c r="B5234" s="147" t="s">
        <v>1236</v>
      </c>
      <c r="C5234" s="21" t="s">
        <v>1558</v>
      </c>
      <c r="D5234" s="21" t="s">
        <v>1566</v>
      </c>
      <c r="E5234" s="23" t="s">
        <v>1564</v>
      </c>
      <c r="F5234" s="24">
        <v>1</v>
      </c>
      <c r="G5234" s="434">
        <v>10</v>
      </c>
      <c r="H5234" s="60">
        <v>10</v>
      </c>
      <c r="I5234" s="61" t="s">
        <v>104</v>
      </c>
      <c r="J5234" s="63" t="s">
        <v>1568</v>
      </c>
      <c r="K5234" s="29">
        <v>43732</v>
      </c>
      <c r="W5234" s="303"/>
      <c r="X5234" s="460"/>
      <c r="Y5234" s="304"/>
      <c r="Z5234" s="304"/>
      <c r="AA5234" s="304"/>
      <c r="AB5234" s="237"/>
      <c r="AC5234" s="244"/>
      <c r="AD5234" s="244"/>
      <c r="AE5234" s="244"/>
      <c r="AF5234" s="244"/>
      <c r="AG5234" s="296"/>
      <c r="AH5234" s="296"/>
      <c r="AI5234" s="297"/>
      <c r="AJ5234" s="29">
        <v>43789</v>
      </c>
      <c r="AK5234" s="297"/>
      <c r="AL5234" s="297"/>
      <c r="AM5234" s="296" t="s">
        <v>49</v>
      </c>
      <c r="AN5234" s="296" t="s">
        <v>284</v>
      </c>
      <c r="AO5234" s="296" t="s">
        <v>285</v>
      </c>
      <c r="AP5234" s="296" t="s">
        <v>51</v>
      </c>
      <c r="AQ5234" s="296" t="s">
        <v>1118</v>
      </c>
    </row>
    <row r="5235" spans="1:43" ht="15" customHeight="1">
      <c r="A5235" s="110">
        <v>43710</v>
      </c>
      <c r="B5235" s="147" t="s">
        <v>1236</v>
      </c>
      <c r="C5235" s="21" t="s">
        <v>1558</v>
      </c>
      <c r="D5235" s="21" t="s">
        <v>1566</v>
      </c>
      <c r="E5235" s="23" t="s">
        <v>1565</v>
      </c>
      <c r="F5235" s="24">
        <v>1</v>
      </c>
      <c r="G5235" s="434">
        <v>47</v>
      </c>
      <c r="H5235" s="60">
        <v>47</v>
      </c>
      <c r="I5235" s="61" t="s">
        <v>104</v>
      </c>
      <c r="J5235" s="63" t="s">
        <v>1568</v>
      </c>
      <c r="K5235" s="29">
        <v>43732</v>
      </c>
      <c r="W5235" s="303"/>
      <c r="X5235" s="460"/>
      <c r="Y5235" s="304"/>
      <c r="Z5235" s="304"/>
      <c r="AA5235" s="304"/>
      <c r="AB5235" s="237"/>
      <c r="AC5235" s="244"/>
      <c r="AD5235" s="244"/>
      <c r="AE5235" s="244"/>
      <c r="AF5235" s="244"/>
      <c r="AG5235" s="296"/>
      <c r="AH5235" s="296"/>
      <c r="AI5235" s="297"/>
      <c r="AJ5235" s="29">
        <v>43789</v>
      </c>
      <c r="AK5235" s="297"/>
      <c r="AL5235" s="297"/>
      <c r="AM5235" s="296" t="s">
        <v>49</v>
      </c>
      <c r="AN5235" s="296" t="s">
        <v>284</v>
      </c>
      <c r="AO5235" s="296" t="s">
        <v>285</v>
      </c>
      <c r="AP5235" s="296" t="s">
        <v>51</v>
      </c>
      <c r="AQ5235" s="296" t="s">
        <v>1118</v>
      </c>
    </row>
    <row r="5236" spans="1:43" ht="15" customHeight="1">
      <c r="A5236" s="110">
        <v>43710</v>
      </c>
      <c r="B5236" s="147" t="s">
        <v>1236</v>
      </c>
      <c r="C5236" s="21" t="s">
        <v>1558</v>
      </c>
      <c r="D5236" s="21" t="s">
        <v>1566</v>
      </c>
      <c r="E5236" s="23" t="s">
        <v>346</v>
      </c>
      <c r="F5236" s="24">
        <v>1</v>
      </c>
      <c r="G5236" s="434">
        <v>0</v>
      </c>
      <c r="H5236" s="60">
        <v>0</v>
      </c>
      <c r="I5236" s="87" t="s">
        <v>104</v>
      </c>
      <c r="J5236" s="63" t="s">
        <v>1568</v>
      </c>
      <c r="K5236" s="29">
        <v>43732</v>
      </c>
      <c r="W5236" s="531">
        <v>43769</v>
      </c>
      <c r="X5236" s="470">
        <v>43738</v>
      </c>
      <c r="Y5236" s="53" t="s">
        <v>1569</v>
      </c>
      <c r="Z5236" s="53"/>
      <c r="AA5236" s="53"/>
      <c r="AB5236" s="237"/>
      <c r="AC5236" s="244"/>
      <c r="AD5236" s="244"/>
      <c r="AE5236" s="244"/>
      <c r="AF5236" s="244"/>
      <c r="AG5236" s="54"/>
      <c r="AH5236" s="54"/>
      <c r="AI5236" s="55"/>
      <c r="AJ5236" s="29">
        <v>43789</v>
      </c>
      <c r="AK5236" s="297"/>
      <c r="AL5236" s="297"/>
      <c r="AM5236" s="296" t="s">
        <v>49</v>
      </c>
      <c r="AN5236" s="54" t="s">
        <v>284</v>
      </c>
      <c r="AO5236" s="54" t="s">
        <v>285</v>
      </c>
      <c r="AP5236" s="54" t="s">
        <v>51</v>
      </c>
      <c r="AQ5236" s="54" t="s">
        <v>1118</v>
      </c>
    </row>
    <row r="5237" spans="1:43" ht="15" customHeight="1">
      <c r="A5237" s="69">
        <v>43710</v>
      </c>
      <c r="B5237" s="144" t="s">
        <v>1236</v>
      </c>
      <c r="C5237" s="21" t="s">
        <v>1570</v>
      </c>
      <c r="D5237" s="21" t="s">
        <v>1571</v>
      </c>
      <c r="E5237" s="32" t="s">
        <v>1572</v>
      </c>
      <c r="F5237" s="24">
        <v>1</v>
      </c>
      <c r="G5237" s="434">
        <v>621</v>
      </c>
      <c r="H5237" s="60">
        <v>621</v>
      </c>
      <c r="I5237" s="61" t="s">
        <v>104</v>
      </c>
      <c r="J5237" s="63" t="s">
        <v>1336</v>
      </c>
      <c r="K5237" s="29">
        <v>43734</v>
      </c>
      <c r="W5237" s="303"/>
      <c r="X5237" s="460"/>
      <c r="Y5237" s="304"/>
      <c r="Z5237" s="304"/>
      <c r="AA5237" s="304"/>
      <c r="AB5237" s="237"/>
      <c r="AC5237" s="244"/>
      <c r="AD5237" s="244"/>
      <c r="AE5237" s="244"/>
      <c r="AF5237" s="244"/>
      <c r="AG5237" s="296"/>
      <c r="AH5237" s="296"/>
      <c r="AI5237" s="297"/>
      <c r="AJ5237" s="29">
        <v>43789</v>
      </c>
      <c r="AK5237" s="297"/>
      <c r="AL5237" s="297"/>
      <c r="AM5237" s="296" t="s">
        <v>49</v>
      </c>
      <c r="AN5237" s="296" t="s">
        <v>284</v>
      </c>
      <c r="AO5237" s="296" t="s">
        <v>285</v>
      </c>
      <c r="AP5237" s="296" t="s">
        <v>51</v>
      </c>
      <c r="AQ5237" s="296" t="s">
        <v>1118</v>
      </c>
    </row>
    <row r="5238" spans="1:43" ht="15" customHeight="1">
      <c r="A5238" s="69">
        <v>43710</v>
      </c>
      <c r="B5238" s="144" t="s">
        <v>1236</v>
      </c>
      <c r="C5238" s="21" t="s">
        <v>1570</v>
      </c>
      <c r="D5238" s="21" t="s">
        <v>1571</v>
      </c>
      <c r="E5238" s="32" t="s">
        <v>1561</v>
      </c>
      <c r="F5238" s="24">
        <v>1</v>
      </c>
      <c r="G5238" s="434">
        <v>71</v>
      </c>
      <c r="H5238" s="60">
        <v>71</v>
      </c>
      <c r="I5238" s="61" t="s">
        <v>104</v>
      </c>
      <c r="J5238" s="63" t="s">
        <v>1336</v>
      </c>
      <c r="K5238" s="29">
        <v>43734</v>
      </c>
      <c r="W5238" s="303"/>
      <c r="X5238" s="460"/>
      <c r="Y5238" s="304"/>
      <c r="Z5238" s="304"/>
      <c r="AA5238" s="304"/>
      <c r="AB5238" s="237"/>
      <c r="AC5238" s="244"/>
      <c r="AD5238" s="244"/>
      <c r="AE5238" s="244"/>
      <c r="AF5238" s="244"/>
      <c r="AG5238" s="296"/>
      <c r="AH5238" s="296"/>
      <c r="AI5238" s="297"/>
      <c r="AJ5238" s="29">
        <v>43789</v>
      </c>
      <c r="AK5238" s="297"/>
      <c r="AL5238" s="297"/>
      <c r="AM5238" s="296" t="s">
        <v>49</v>
      </c>
      <c r="AN5238" s="296" t="s">
        <v>284</v>
      </c>
      <c r="AO5238" s="296" t="s">
        <v>285</v>
      </c>
      <c r="AP5238" s="296" t="s">
        <v>51</v>
      </c>
      <c r="AQ5238" s="296" t="s">
        <v>1118</v>
      </c>
    </row>
    <row r="5239" spans="1:43" ht="15" customHeight="1">
      <c r="A5239" s="69">
        <v>43710</v>
      </c>
      <c r="B5239" s="144" t="s">
        <v>1236</v>
      </c>
      <c r="C5239" s="21" t="s">
        <v>1570</v>
      </c>
      <c r="D5239" s="21" t="s">
        <v>1571</v>
      </c>
      <c r="E5239" s="32" t="s">
        <v>1562</v>
      </c>
      <c r="F5239" s="24">
        <v>1</v>
      </c>
      <c r="G5239" s="434">
        <v>60</v>
      </c>
      <c r="H5239" s="60">
        <v>60</v>
      </c>
      <c r="I5239" s="61" t="s">
        <v>104</v>
      </c>
      <c r="J5239" s="63" t="s">
        <v>1336</v>
      </c>
      <c r="K5239" s="29">
        <v>43734</v>
      </c>
      <c r="W5239" s="303"/>
      <c r="X5239" s="460"/>
      <c r="Y5239" s="304"/>
      <c r="Z5239" s="304"/>
      <c r="AA5239" s="304"/>
      <c r="AB5239" s="237"/>
      <c r="AC5239" s="244"/>
      <c r="AD5239" s="244"/>
      <c r="AE5239" s="244"/>
      <c r="AF5239" s="244"/>
      <c r="AG5239" s="296"/>
      <c r="AH5239" s="296"/>
      <c r="AI5239" s="297"/>
      <c r="AJ5239" s="29">
        <v>43789</v>
      </c>
      <c r="AK5239" s="297"/>
      <c r="AL5239" s="297"/>
      <c r="AM5239" s="296" t="s">
        <v>49</v>
      </c>
      <c r="AN5239" s="296" t="s">
        <v>284</v>
      </c>
      <c r="AO5239" s="296" t="s">
        <v>285</v>
      </c>
      <c r="AP5239" s="296" t="s">
        <v>51</v>
      </c>
      <c r="AQ5239" s="296" t="s">
        <v>1118</v>
      </c>
    </row>
    <row r="5240" spans="1:43" ht="15" customHeight="1">
      <c r="A5240" s="69">
        <v>43710</v>
      </c>
      <c r="B5240" s="144" t="s">
        <v>1236</v>
      </c>
      <c r="C5240" s="21" t="s">
        <v>1570</v>
      </c>
      <c r="D5240" s="21" t="s">
        <v>1571</v>
      </c>
      <c r="E5240" s="32" t="s">
        <v>1563</v>
      </c>
      <c r="F5240" s="24">
        <v>1</v>
      </c>
      <c r="G5240" s="434">
        <v>38</v>
      </c>
      <c r="H5240" s="60">
        <v>38</v>
      </c>
      <c r="I5240" s="61" t="s">
        <v>104</v>
      </c>
      <c r="J5240" s="63" t="s">
        <v>1336</v>
      </c>
      <c r="K5240" s="29">
        <v>43734</v>
      </c>
      <c r="W5240" s="303"/>
      <c r="X5240" s="460"/>
      <c r="Y5240" s="304"/>
      <c r="Z5240" s="304"/>
      <c r="AA5240" s="304"/>
      <c r="AB5240" s="237"/>
      <c r="AC5240" s="244"/>
      <c r="AD5240" s="244"/>
      <c r="AE5240" s="244"/>
      <c r="AF5240" s="244"/>
      <c r="AG5240" s="296"/>
      <c r="AH5240" s="296"/>
      <c r="AI5240" s="297"/>
      <c r="AJ5240" s="29">
        <v>43789</v>
      </c>
      <c r="AK5240" s="297"/>
      <c r="AL5240" s="297"/>
      <c r="AM5240" s="296" t="s">
        <v>49</v>
      </c>
      <c r="AN5240" s="296" t="s">
        <v>284</v>
      </c>
      <c r="AO5240" s="296" t="s">
        <v>285</v>
      </c>
      <c r="AP5240" s="296" t="s">
        <v>51</v>
      </c>
      <c r="AQ5240" s="296" t="s">
        <v>1118</v>
      </c>
    </row>
    <row r="5241" spans="1:43" ht="15" customHeight="1">
      <c r="A5241" s="69">
        <v>43710</v>
      </c>
      <c r="B5241" s="144" t="s">
        <v>1236</v>
      </c>
      <c r="C5241" s="21" t="s">
        <v>1570</v>
      </c>
      <c r="D5241" s="21" t="s">
        <v>1571</v>
      </c>
      <c r="E5241" s="32" t="s">
        <v>1564</v>
      </c>
      <c r="F5241" s="24">
        <v>1</v>
      </c>
      <c r="G5241" s="434">
        <v>10</v>
      </c>
      <c r="H5241" s="60">
        <v>10</v>
      </c>
      <c r="I5241" s="61" t="s">
        <v>104</v>
      </c>
      <c r="J5241" s="63" t="s">
        <v>1336</v>
      </c>
      <c r="K5241" s="29">
        <v>43734</v>
      </c>
      <c r="W5241" s="303"/>
      <c r="X5241" s="460"/>
      <c r="Y5241" s="304"/>
      <c r="Z5241" s="304"/>
      <c r="AA5241" s="304"/>
      <c r="AB5241" s="237"/>
      <c r="AC5241" s="244"/>
      <c r="AD5241" s="244"/>
      <c r="AE5241" s="244"/>
      <c r="AF5241" s="244"/>
      <c r="AG5241" s="296"/>
      <c r="AH5241" s="296"/>
      <c r="AI5241" s="297"/>
      <c r="AJ5241" s="29">
        <v>43789</v>
      </c>
      <c r="AK5241" s="297"/>
      <c r="AL5241" s="297"/>
      <c r="AM5241" s="296" t="s">
        <v>49</v>
      </c>
      <c r="AN5241" s="296" t="s">
        <v>284</v>
      </c>
      <c r="AO5241" s="296" t="s">
        <v>285</v>
      </c>
      <c r="AP5241" s="296" t="s">
        <v>51</v>
      </c>
      <c r="AQ5241" s="296" t="s">
        <v>1118</v>
      </c>
    </row>
    <row r="5242" spans="1:43" ht="15" customHeight="1">
      <c r="A5242" s="69">
        <v>43710</v>
      </c>
      <c r="B5242" s="144" t="s">
        <v>1236</v>
      </c>
      <c r="C5242" s="21" t="s">
        <v>1570</v>
      </c>
      <c r="D5242" s="21" t="s">
        <v>1571</v>
      </c>
      <c r="E5242" s="32" t="s">
        <v>1565</v>
      </c>
      <c r="F5242" s="24">
        <v>1</v>
      </c>
      <c r="G5242" s="434">
        <v>47</v>
      </c>
      <c r="H5242" s="60">
        <v>47</v>
      </c>
      <c r="I5242" s="61" t="s">
        <v>104</v>
      </c>
      <c r="J5242" s="63" t="s">
        <v>1336</v>
      </c>
      <c r="K5242" s="29">
        <v>43734</v>
      </c>
      <c r="W5242" s="303"/>
      <c r="X5242" s="460"/>
      <c r="Y5242" s="304"/>
      <c r="Z5242" s="304"/>
      <c r="AA5242" s="304"/>
      <c r="AB5242" s="237"/>
      <c r="AC5242" s="244"/>
      <c r="AD5242" s="244"/>
      <c r="AE5242" s="244"/>
      <c r="AF5242" s="244"/>
      <c r="AG5242" s="296"/>
      <c r="AH5242" s="296"/>
      <c r="AI5242" s="297"/>
      <c r="AJ5242" s="29">
        <v>43789</v>
      </c>
      <c r="AK5242" s="297"/>
      <c r="AL5242" s="297"/>
      <c r="AM5242" s="296" t="s">
        <v>49</v>
      </c>
      <c r="AN5242" s="296" t="s">
        <v>284</v>
      </c>
      <c r="AO5242" s="296" t="s">
        <v>285</v>
      </c>
      <c r="AP5242" s="296" t="s">
        <v>51</v>
      </c>
      <c r="AQ5242" s="296" t="s">
        <v>1118</v>
      </c>
    </row>
    <row r="5243" spans="1:43" ht="15" customHeight="1">
      <c r="A5243" s="69">
        <v>43712</v>
      </c>
      <c r="B5243" s="70" t="s">
        <v>892</v>
      </c>
      <c r="C5243" s="21" t="s">
        <v>1429</v>
      </c>
      <c r="D5243" s="21" t="s">
        <v>1573</v>
      </c>
      <c r="E5243" s="520" t="s">
        <v>1433</v>
      </c>
      <c r="F5243" s="24">
        <v>48</v>
      </c>
      <c r="G5243" s="434">
        <v>5.8</v>
      </c>
      <c r="H5243" s="60">
        <v>278.39999999999998</v>
      </c>
      <c r="I5243" s="61" t="s">
        <v>104</v>
      </c>
      <c r="J5243" s="63" t="s">
        <v>920</v>
      </c>
      <c r="K5243" s="29">
        <v>43726</v>
      </c>
      <c r="W5243" s="303">
        <v>43769</v>
      </c>
      <c r="X5243" s="460">
        <v>43719</v>
      </c>
      <c r="Y5243" s="304" t="s">
        <v>1574</v>
      </c>
      <c r="Z5243" s="304">
        <v>96376</v>
      </c>
      <c r="AA5243" s="304"/>
      <c r="AB5243" s="237"/>
      <c r="AC5243" s="244"/>
      <c r="AD5243" s="244"/>
      <c r="AE5243" s="244"/>
      <c r="AF5243" s="244"/>
      <c r="AG5243" s="296"/>
      <c r="AH5243" s="296"/>
      <c r="AI5243" s="297"/>
      <c r="AJ5243" s="298">
        <v>43714</v>
      </c>
      <c r="AK5243" s="297">
        <f>4745.99*31.19</f>
        <v>148027.42809999999</v>
      </c>
      <c r="AL5243" s="297">
        <f>(4763.4-4745.99)*31.19</f>
        <v>543.01789999999551</v>
      </c>
      <c r="AM5243" s="296" t="s">
        <v>49</v>
      </c>
      <c r="AN5243" s="296" t="s">
        <v>284</v>
      </c>
      <c r="AO5243" s="296" t="s">
        <v>50</v>
      </c>
      <c r="AP5243" s="296" t="s">
        <v>51</v>
      </c>
      <c r="AQ5243" s="296" t="s">
        <v>1118</v>
      </c>
    </row>
    <row r="5244" spans="1:43" ht="15" customHeight="1">
      <c r="A5244" s="110">
        <v>43712</v>
      </c>
      <c r="B5244" s="70" t="s">
        <v>892</v>
      </c>
      <c r="C5244" s="21" t="s">
        <v>1429</v>
      </c>
      <c r="D5244" s="21" t="s">
        <v>1573</v>
      </c>
      <c r="E5244" s="533" t="s">
        <v>1431</v>
      </c>
      <c r="F5244" s="24">
        <v>15</v>
      </c>
      <c r="G5244" s="434">
        <v>212</v>
      </c>
      <c r="H5244" s="60">
        <v>3180</v>
      </c>
      <c r="I5244" s="61" t="s">
        <v>104</v>
      </c>
      <c r="J5244" s="63" t="s">
        <v>920</v>
      </c>
      <c r="K5244" s="29">
        <v>43726</v>
      </c>
      <c r="W5244" s="303">
        <v>43769</v>
      </c>
      <c r="X5244" s="460">
        <v>43719</v>
      </c>
      <c r="Y5244" s="304" t="s">
        <v>1574</v>
      </c>
      <c r="Z5244" s="304"/>
      <c r="AA5244" s="304"/>
      <c r="AB5244" s="237"/>
      <c r="AC5244" s="244"/>
      <c r="AD5244" s="244"/>
      <c r="AE5244" s="244"/>
      <c r="AF5244" s="244"/>
      <c r="AG5244" s="296"/>
      <c r="AH5244" s="296"/>
      <c r="AI5244" s="297"/>
      <c r="AJ5244" s="298">
        <v>43714</v>
      </c>
      <c r="AK5244" s="297"/>
      <c r="AL5244" s="297"/>
      <c r="AM5244" s="296" t="s">
        <v>49</v>
      </c>
      <c r="AN5244" s="296" t="s">
        <v>284</v>
      </c>
      <c r="AO5244" s="296" t="s">
        <v>50</v>
      </c>
      <c r="AP5244" s="296" t="s">
        <v>51</v>
      </c>
      <c r="AQ5244" s="296" t="s">
        <v>1118</v>
      </c>
    </row>
    <row r="5245" spans="1:43" ht="15" customHeight="1">
      <c r="A5245" s="110">
        <v>43712</v>
      </c>
      <c r="B5245" s="70" t="s">
        <v>892</v>
      </c>
      <c r="C5245" s="21" t="s">
        <v>1429</v>
      </c>
      <c r="D5245" s="21" t="s">
        <v>1573</v>
      </c>
      <c r="E5245" s="533" t="s">
        <v>1575</v>
      </c>
      <c r="F5245" s="24">
        <v>3</v>
      </c>
      <c r="G5245" s="434">
        <v>435</v>
      </c>
      <c r="H5245" s="60">
        <v>1305</v>
      </c>
      <c r="I5245" s="61" t="s">
        <v>104</v>
      </c>
      <c r="J5245" s="63" t="s">
        <v>920</v>
      </c>
      <c r="K5245" s="29">
        <v>43726</v>
      </c>
      <c r="W5245" s="303">
        <v>43769</v>
      </c>
      <c r="X5245" s="460">
        <v>43725</v>
      </c>
      <c r="Y5245" s="304" t="s">
        <v>1576</v>
      </c>
      <c r="Z5245" s="304">
        <v>35994</v>
      </c>
      <c r="AA5245" s="304"/>
      <c r="AB5245" s="237"/>
      <c r="AC5245" s="244"/>
      <c r="AD5245" s="244"/>
      <c r="AE5245" s="244"/>
      <c r="AF5245" s="244"/>
      <c r="AG5245" s="296"/>
      <c r="AH5245" s="296"/>
      <c r="AI5245" s="297"/>
      <c r="AJ5245" s="298">
        <v>43714</v>
      </c>
      <c r="AK5245" s="297"/>
      <c r="AL5245" s="297"/>
      <c r="AM5245" s="296" t="s">
        <v>49</v>
      </c>
      <c r="AN5245" s="296" t="s">
        <v>284</v>
      </c>
      <c r="AO5245" s="296" t="s">
        <v>50</v>
      </c>
      <c r="AP5245" s="296" t="s">
        <v>51</v>
      </c>
      <c r="AQ5245" s="296" t="s">
        <v>1118</v>
      </c>
    </row>
    <row r="5246" spans="1:43" ht="15" customHeight="1">
      <c r="A5246" s="534">
        <v>43713</v>
      </c>
      <c r="B5246" s="70" t="s">
        <v>100</v>
      </c>
      <c r="C5246" s="21" t="s">
        <v>1577</v>
      </c>
      <c r="D5246" s="21" t="s">
        <v>1578</v>
      </c>
      <c r="E5246" s="23" t="s">
        <v>1579</v>
      </c>
      <c r="F5246" s="24">
        <v>3</v>
      </c>
      <c r="G5246" s="48">
        <v>165</v>
      </c>
      <c r="H5246" s="60">
        <v>495</v>
      </c>
      <c r="I5246" s="61" t="s">
        <v>104</v>
      </c>
      <c r="J5246" s="63" t="s">
        <v>532</v>
      </c>
      <c r="K5246" s="29">
        <v>43718</v>
      </c>
      <c r="W5246" s="303">
        <v>43769</v>
      </c>
      <c r="X5246" s="460">
        <v>43714</v>
      </c>
      <c r="Y5246" s="535" t="s">
        <v>1580</v>
      </c>
      <c r="Z5246" s="304">
        <v>13703</v>
      </c>
      <c r="AA5246" s="304"/>
      <c r="AB5246" s="237"/>
      <c r="AC5246" s="244"/>
      <c r="AD5246" s="244"/>
      <c r="AE5246" s="244"/>
      <c r="AF5246" s="244"/>
      <c r="AG5246" s="296"/>
      <c r="AH5246" s="296"/>
      <c r="AI5246" s="297"/>
      <c r="AJ5246" s="29">
        <v>43760</v>
      </c>
      <c r="AK5246" s="297"/>
      <c r="AL5246" s="297"/>
      <c r="AM5246" s="296" t="s">
        <v>49</v>
      </c>
      <c r="AN5246" s="296" t="s">
        <v>284</v>
      </c>
      <c r="AO5246" s="296" t="s">
        <v>50</v>
      </c>
      <c r="AP5246" s="296" t="s">
        <v>51</v>
      </c>
      <c r="AQ5246" s="296" t="s">
        <v>1118</v>
      </c>
    </row>
    <row r="5247" spans="1:43" ht="15" customHeight="1">
      <c r="A5247" s="534">
        <v>43713</v>
      </c>
      <c r="B5247" s="70" t="s">
        <v>100</v>
      </c>
      <c r="C5247" s="21" t="s">
        <v>1581</v>
      </c>
      <c r="D5247" s="475" t="s">
        <v>1582</v>
      </c>
      <c r="E5247" s="23" t="s">
        <v>1583</v>
      </c>
      <c r="F5247" s="24">
        <v>10</v>
      </c>
      <c r="G5247" s="74">
        <v>610</v>
      </c>
      <c r="H5247" s="60">
        <v>6100</v>
      </c>
      <c r="I5247" s="61" t="s">
        <v>104</v>
      </c>
      <c r="J5247" s="63" t="s">
        <v>1014</v>
      </c>
      <c r="K5247" s="29">
        <v>43734</v>
      </c>
      <c r="W5247" s="303">
        <v>43769</v>
      </c>
      <c r="X5247" s="460">
        <v>43731</v>
      </c>
      <c r="Y5247" s="304" t="s">
        <v>1584</v>
      </c>
      <c r="Z5247" s="304">
        <v>249535</v>
      </c>
      <c r="AA5247" s="304"/>
      <c r="AB5247" s="237"/>
      <c r="AC5247" s="244"/>
      <c r="AD5247" s="244"/>
      <c r="AE5247" s="244"/>
      <c r="AF5247" s="244"/>
      <c r="AG5247" s="296"/>
      <c r="AH5247" s="296"/>
      <c r="AI5247" s="297"/>
      <c r="AJ5247" s="29">
        <v>43789</v>
      </c>
      <c r="AK5247" s="297"/>
      <c r="AL5247" s="297"/>
      <c r="AM5247" s="296" t="s">
        <v>49</v>
      </c>
      <c r="AN5247" s="296" t="s">
        <v>284</v>
      </c>
      <c r="AO5247" s="296" t="s">
        <v>50</v>
      </c>
      <c r="AP5247" s="296" t="s">
        <v>51</v>
      </c>
      <c r="AQ5247" s="296" t="s">
        <v>1118</v>
      </c>
    </row>
    <row r="5248" spans="1:43" ht="15" customHeight="1">
      <c r="A5248" s="534">
        <v>43713</v>
      </c>
      <c r="B5248" s="70" t="s">
        <v>100</v>
      </c>
      <c r="C5248" s="21" t="s">
        <v>1581</v>
      </c>
      <c r="D5248" s="475" t="s">
        <v>1582</v>
      </c>
      <c r="E5248" s="23" t="s">
        <v>1585</v>
      </c>
      <c r="F5248" s="24">
        <v>10</v>
      </c>
      <c r="G5248" s="74">
        <v>219</v>
      </c>
      <c r="H5248" s="60">
        <v>2190</v>
      </c>
      <c r="I5248" s="61" t="s">
        <v>104</v>
      </c>
      <c r="J5248" s="63" t="s">
        <v>1014</v>
      </c>
      <c r="K5248" s="29">
        <v>43734</v>
      </c>
      <c r="W5248" s="303">
        <v>43769</v>
      </c>
      <c r="X5248" s="460">
        <v>43731</v>
      </c>
      <c r="Y5248" s="304" t="s">
        <v>1584</v>
      </c>
      <c r="Z5248" s="304"/>
      <c r="AA5248" s="304"/>
      <c r="AB5248" s="237"/>
      <c r="AC5248" s="244"/>
      <c r="AD5248" s="244"/>
      <c r="AE5248" s="244"/>
      <c r="AF5248" s="244"/>
      <c r="AG5248" s="296"/>
      <c r="AH5248" s="296"/>
      <c r="AI5248" s="297"/>
      <c r="AJ5248" s="29">
        <v>43789</v>
      </c>
      <c r="AK5248" s="297"/>
      <c r="AL5248" s="297"/>
      <c r="AM5248" s="296" t="s">
        <v>49</v>
      </c>
      <c r="AN5248" s="296" t="s">
        <v>284</v>
      </c>
      <c r="AO5248" s="296" t="s">
        <v>50</v>
      </c>
      <c r="AP5248" s="296" t="s">
        <v>51</v>
      </c>
      <c r="AQ5248" s="296" t="s">
        <v>1118</v>
      </c>
    </row>
    <row r="5249" spans="1:43" ht="15" customHeight="1">
      <c r="A5249" s="534">
        <v>43713</v>
      </c>
      <c r="B5249" s="70" t="s">
        <v>100</v>
      </c>
      <c r="C5249" s="21" t="s">
        <v>1581</v>
      </c>
      <c r="D5249" s="475" t="s">
        <v>1582</v>
      </c>
      <c r="E5249" s="23" t="s">
        <v>1586</v>
      </c>
      <c r="F5249" s="24">
        <v>10</v>
      </c>
      <c r="G5249" s="74">
        <v>54</v>
      </c>
      <c r="H5249" s="60">
        <v>540</v>
      </c>
      <c r="I5249" s="61" t="s">
        <v>104</v>
      </c>
      <c r="J5249" s="63" t="s">
        <v>1014</v>
      </c>
      <c r="K5249" s="29">
        <v>43734</v>
      </c>
      <c r="W5249" s="460">
        <v>43774</v>
      </c>
      <c r="X5249" s="460">
        <v>43740</v>
      </c>
      <c r="Y5249" s="304" t="s">
        <v>1587</v>
      </c>
      <c r="Z5249" s="304">
        <v>12369</v>
      </c>
      <c r="AA5249" s="304"/>
      <c r="AB5249" s="237"/>
      <c r="AC5249" s="244"/>
      <c r="AD5249" s="244"/>
      <c r="AE5249" s="244"/>
      <c r="AF5249" s="244"/>
      <c r="AG5249" s="296"/>
      <c r="AH5249" s="296"/>
      <c r="AI5249" s="297"/>
      <c r="AJ5249" s="29">
        <v>43789</v>
      </c>
      <c r="AK5249" s="297"/>
      <c r="AL5249" s="297"/>
      <c r="AM5249" s="296" t="s">
        <v>49</v>
      </c>
      <c r="AN5249" s="296" t="s">
        <v>284</v>
      </c>
      <c r="AO5249" s="296" t="s">
        <v>50</v>
      </c>
      <c r="AP5249" s="296" t="s">
        <v>51</v>
      </c>
      <c r="AQ5249" s="296" t="s">
        <v>1118</v>
      </c>
    </row>
    <row r="5250" spans="1:43" ht="15" customHeight="1">
      <c r="A5250" s="110">
        <v>43714</v>
      </c>
      <c r="B5250" s="70" t="s">
        <v>222</v>
      </c>
      <c r="C5250" s="21" t="s">
        <v>1588</v>
      </c>
      <c r="D5250" s="21" t="s">
        <v>1589</v>
      </c>
      <c r="E5250" s="23" t="s">
        <v>1590</v>
      </c>
      <c r="F5250" s="24">
        <v>2</v>
      </c>
      <c r="G5250" s="48">
        <f>451*1.05</f>
        <v>473.55</v>
      </c>
      <c r="H5250" s="60">
        <v>947.1</v>
      </c>
      <c r="I5250" s="61" t="s">
        <v>247</v>
      </c>
      <c r="J5250" s="63" t="s">
        <v>89</v>
      </c>
      <c r="K5250" s="29">
        <v>43725</v>
      </c>
      <c r="W5250" s="460">
        <v>43769</v>
      </c>
      <c r="X5250" s="460">
        <v>43724</v>
      </c>
      <c r="Y5250" s="304" t="s">
        <v>1591</v>
      </c>
      <c r="Z5250" s="304">
        <v>26880</v>
      </c>
      <c r="AA5250" s="304"/>
      <c r="AB5250" s="237"/>
      <c r="AC5250" s="244"/>
      <c r="AD5250" s="244"/>
      <c r="AE5250" s="244"/>
      <c r="AF5250" s="244"/>
      <c r="AG5250" s="296"/>
      <c r="AH5250" s="296"/>
      <c r="AI5250" s="297"/>
      <c r="AJ5250" s="298">
        <v>43743</v>
      </c>
      <c r="AK5250" s="297"/>
      <c r="AL5250" s="297"/>
      <c r="AM5250" s="296" t="s">
        <v>49</v>
      </c>
      <c r="AN5250" s="296" t="s">
        <v>284</v>
      </c>
      <c r="AO5250" s="296" t="s">
        <v>50</v>
      </c>
      <c r="AP5250" s="296" t="s">
        <v>376</v>
      </c>
      <c r="AQ5250" s="296" t="s">
        <v>1118</v>
      </c>
    </row>
    <row r="5251" spans="1:43" ht="15" customHeight="1">
      <c r="A5251" s="110">
        <v>43714</v>
      </c>
      <c r="B5251" s="70" t="s">
        <v>713</v>
      </c>
      <c r="C5251" s="21" t="s">
        <v>1592</v>
      </c>
      <c r="D5251" s="21" t="s">
        <v>1593</v>
      </c>
      <c r="E5251" s="23" t="s">
        <v>728</v>
      </c>
      <c r="F5251" s="24">
        <v>14</v>
      </c>
      <c r="G5251" s="48">
        <v>320</v>
      </c>
      <c r="H5251" s="60">
        <v>4480</v>
      </c>
      <c r="I5251" s="346" t="s">
        <v>247</v>
      </c>
      <c r="J5251" s="22" t="s">
        <v>716</v>
      </c>
      <c r="K5251" s="145">
        <v>43735</v>
      </c>
      <c r="W5251" s="303">
        <v>43769</v>
      </c>
      <c r="X5251" s="460">
        <v>43733</v>
      </c>
      <c r="Y5251" s="304" t="s">
        <v>1594</v>
      </c>
      <c r="Z5251" s="304">
        <v>152293</v>
      </c>
      <c r="AA5251" s="304"/>
      <c r="AB5251" s="237"/>
      <c r="AC5251" s="244"/>
      <c r="AD5251" s="244"/>
      <c r="AE5251" s="244"/>
      <c r="AF5251" s="244"/>
      <c r="AG5251" s="296"/>
      <c r="AH5251" s="296"/>
      <c r="AI5251" s="297"/>
      <c r="AJ5251" s="298">
        <v>43732</v>
      </c>
      <c r="AK5251" s="297">
        <f>5695.54*30.96</f>
        <v>176333.9184</v>
      </c>
      <c r="AL5251" s="297">
        <f>(5713-5695.54)*30.96</f>
        <v>540.56160000000114</v>
      </c>
      <c r="AM5251" s="296" t="s">
        <v>49</v>
      </c>
      <c r="AN5251" s="296" t="s">
        <v>284</v>
      </c>
      <c r="AO5251" s="296" t="s">
        <v>50</v>
      </c>
      <c r="AP5251" s="296" t="s">
        <v>51</v>
      </c>
      <c r="AQ5251" s="296" t="s">
        <v>1118</v>
      </c>
    </row>
    <row r="5252" spans="1:43" ht="15" customHeight="1">
      <c r="A5252" s="110">
        <v>43714</v>
      </c>
      <c r="B5252" s="70" t="s">
        <v>713</v>
      </c>
      <c r="C5252" s="21" t="s">
        <v>1592</v>
      </c>
      <c r="D5252" s="21" t="s">
        <v>1593</v>
      </c>
      <c r="E5252" s="23" t="s">
        <v>715</v>
      </c>
      <c r="F5252" s="24">
        <v>3</v>
      </c>
      <c r="G5252" s="48">
        <v>94</v>
      </c>
      <c r="H5252" s="60">
        <v>282</v>
      </c>
      <c r="I5252" s="346" t="s">
        <v>247</v>
      </c>
      <c r="J5252" s="536" t="s">
        <v>716</v>
      </c>
      <c r="K5252" s="145">
        <v>43735</v>
      </c>
      <c r="W5252" s="303">
        <v>43769</v>
      </c>
      <c r="X5252" s="460">
        <v>43733</v>
      </c>
      <c r="Y5252" s="304" t="s">
        <v>1594</v>
      </c>
      <c r="Z5252" s="304"/>
      <c r="AA5252" s="304"/>
      <c r="AB5252" s="237"/>
      <c r="AC5252" s="244"/>
      <c r="AD5252" s="244"/>
      <c r="AE5252" s="244"/>
      <c r="AF5252" s="244"/>
      <c r="AG5252" s="296"/>
      <c r="AH5252" s="296"/>
      <c r="AI5252" s="297"/>
      <c r="AJ5252" s="298">
        <v>43732</v>
      </c>
      <c r="AK5252" s="297"/>
      <c r="AL5252" s="297"/>
      <c r="AM5252" s="296" t="s">
        <v>49</v>
      </c>
      <c r="AN5252" s="296" t="s">
        <v>284</v>
      </c>
      <c r="AO5252" s="296" t="s">
        <v>50</v>
      </c>
      <c r="AP5252" s="296" t="s">
        <v>51</v>
      </c>
      <c r="AQ5252" s="296" t="s">
        <v>1118</v>
      </c>
    </row>
    <row r="5253" spans="1:43" ht="15" customHeight="1">
      <c r="A5253" s="110">
        <v>43714</v>
      </c>
      <c r="B5253" s="70" t="s">
        <v>713</v>
      </c>
      <c r="C5253" s="21" t="s">
        <v>1592</v>
      </c>
      <c r="D5253" s="21" t="s">
        <v>1593</v>
      </c>
      <c r="E5253" s="23" t="s">
        <v>1595</v>
      </c>
      <c r="F5253" s="24">
        <v>3</v>
      </c>
      <c r="G5253" s="48">
        <v>317</v>
      </c>
      <c r="H5253" s="60">
        <v>951</v>
      </c>
      <c r="I5253" s="346" t="s">
        <v>247</v>
      </c>
      <c r="J5253" s="58" t="s">
        <v>716</v>
      </c>
      <c r="K5253" s="145">
        <v>43735</v>
      </c>
      <c r="W5253" s="303">
        <v>43769</v>
      </c>
      <c r="X5253" s="460">
        <v>43733</v>
      </c>
      <c r="Y5253" s="304" t="s">
        <v>1594</v>
      </c>
      <c r="Z5253" s="304"/>
      <c r="AA5253" s="304"/>
      <c r="AB5253" s="237"/>
      <c r="AC5253" s="244"/>
      <c r="AD5253" s="244"/>
      <c r="AE5253" s="244"/>
      <c r="AF5253" s="244"/>
      <c r="AG5253" s="296"/>
      <c r="AH5253" s="296"/>
      <c r="AI5253" s="297"/>
      <c r="AJ5253" s="298">
        <v>43732</v>
      </c>
      <c r="AK5253" s="297"/>
      <c r="AL5253" s="297"/>
      <c r="AM5253" s="296" t="s">
        <v>49</v>
      </c>
      <c r="AN5253" s="296" t="s">
        <v>284</v>
      </c>
      <c r="AO5253" s="296" t="s">
        <v>50</v>
      </c>
      <c r="AP5253" s="296" t="s">
        <v>51</v>
      </c>
      <c r="AQ5253" s="296" t="s">
        <v>1118</v>
      </c>
    </row>
    <row r="5254" spans="1:43" ht="15" customHeight="1">
      <c r="A5254" s="110">
        <v>43717</v>
      </c>
      <c r="B5254" s="70" t="s">
        <v>129</v>
      </c>
      <c r="C5254" s="21"/>
      <c r="D5254" s="21" t="s">
        <v>1596</v>
      </c>
      <c r="E5254" s="23" t="s">
        <v>1597</v>
      </c>
      <c r="F5254" s="24">
        <v>15</v>
      </c>
      <c r="G5254" s="48">
        <v>66</v>
      </c>
      <c r="H5254" s="60">
        <v>990</v>
      </c>
      <c r="I5254" s="61" t="s">
        <v>247</v>
      </c>
      <c r="J5254" s="50" t="s">
        <v>133</v>
      </c>
      <c r="K5254" s="30">
        <v>43741</v>
      </c>
      <c r="W5254" s="303">
        <v>43769</v>
      </c>
      <c r="X5254" s="460">
        <v>43733</v>
      </c>
      <c r="Y5254" s="304" t="s">
        <v>1032</v>
      </c>
      <c r="Z5254" s="304"/>
      <c r="AA5254" s="304"/>
      <c r="AB5254" s="237"/>
      <c r="AC5254" s="244"/>
      <c r="AD5254" s="244"/>
      <c r="AE5254" s="244"/>
      <c r="AF5254" s="244"/>
      <c r="AG5254" s="296"/>
      <c r="AH5254" s="296"/>
      <c r="AI5254" s="297"/>
      <c r="AJ5254" s="29">
        <v>43756</v>
      </c>
      <c r="AK5254" s="297"/>
      <c r="AL5254" s="297"/>
      <c r="AM5254" s="296" t="s">
        <v>49</v>
      </c>
      <c r="AN5254" s="296" t="s">
        <v>284</v>
      </c>
      <c r="AO5254" s="296" t="s">
        <v>50</v>
      </c>
      <c r="AP5254" s="296" t="s">
        <v>51</v>
      </c>
      <c r="AQ5254" s="296" t="s">
        <v>755</v>
      </c>
    </row>
    <row r="5255" spans="1:43" ht="15" customHeight="1">
      <c r="A5255" s="110">
        <v>43717</v>
      </c>
      <c r="B5255" s="70" t="s">
        <v>129</v>
      </c>
      <c r="C5255" s="21"/>
      <c r="D5255" s="21" t="s">
        <v>1596</v>
      </c>
      <c r="E5255" s="23" t="s">
        <v>1598</v>
      </c>
      <c r="F5255" s="24">
        <v>10</v>
      </c>
      <c r="G5255" s="48">
        <v>85</v>
      </c>
      <c r="H5255" s="60">
        <v>850</v>
      </c>
      <c r="I5255" s="61" t="s">
        <v>247</v>
      </c>
      <c r="J5255" s="50" t="s">
        <v>133</v>
      </c>
      <c r="K5255" s="30">
        <v>43741</v>
      </c>
      <c r="W5255" s="303">
        <v>43769</v>
      </c>
      <c r="X5255" s="460">
        <v>43733</v>
      </c>
      <c r="Y5255" s="304" t="s">
        <v>1032</v>
      </c>
      <c r="Z5255" s="304"/>
      <c r="AA5255" s="304"/>
      <c r="AB5255" s="237"/>
      <c r="AC5255" s="244"/>
      <c r="AD5255" s="244"/>
      <c r="AE5255" s="244"/>
      <c r="AF5255" s="244"/>
      <c r="AG5255" s="296"/>
      <c r="AH5255" s="296"/>
      <c r="AI5255" s="297"/>
      <c r="AJ5255" s="29">
        <v>43756</v>
      </c>
      <c r="AK5255" s="297"/>
      <c r="AL5255" s="297"/>
      <c r="AM5255" s="296" t="s">
        <v>49</v>
      </c>
      <c r="AN5255" s="296" t="s">
        <v>284</v>
      </c>
      <c r="AO5255" s="296" t="s">
        <v>50</v>
      </c>
      <c r="AP5255" s="296" t="s">
        <v>51</v>
      </c>
      <c r="AQ5255" s="296" t="s">
        <v>755</v>
      </c>
    </row>
    <row r="5256" spans="1:43" ht="15" customHeight="1">
      <c r="A5256" s="110">
        <v>43717</v>
      </c>
      <c r="B5256" s="70" t="s">
        <v>129</v>
      </c>
      <c r="C5256" s="21"/>
      <c r="D5256" s="21" t="s">
        <v>1596</v>
      </c>
      <c r="E5256" s="23" t="s">
        <v>1599</v>
      </c>
      <c r="F5256" s="24">
        <v>20</v>
      </c>
      <c r="G5256" s="48">
        <v>90</v>
      </c>
      <c r="H5256" s="60">
        <v>1800</v>
      </c>
      <c r="I5256" s="61" t="s">
        <v>247</v>
      </c>
      <c r="J5256" s="50" t="s">
        <v>133</v>
      </c>
      <c r="K5256" s="30">
        <v>43741</v>
      </c>
      <c r="W5256" s="303">
        <v>43769</v>
      </c>
      <c r="X5256" s="460">
        <v>43733</v>
      </c>
      <c r="Y5256" s="304" t="s">
        <v>1032</v>
      </c>
      <c r="Z5256" s="304"/>
      <c r="AA5256" s="304"/>
      <c r="AB5256" s="237"/>
      <c r="AC5256" s="244"/>
      <c r="AD5256" s="244"/>
      <c r="AE5256" s="244"/>
      <c r="AF5256" s="244"/>
      <c r="AG5256" s="296"/>
      <c r="AH5256" s="296"/>
      <c r="AI5256" s="297"/>
      <c r="AJ5256" s="29">
        <v>43756</v>
      </c>
      <c r="AK5256" s="297"/>
      <c r="AL5256" s="297"/>
      <c r="AM5256" s="296" t="s">
        <v>49</v>
      </c>
      <c r="AN5256" s="296" t="s">
        <v>284</v>
      </c>
      <c r="AO5256" s="296" t="s">
        <v>50</v>
      </c>
      <c r="AP5256" s="296" t="s">
        <v>51</v>
      </c>
      <c r="AQ5256" s="296" t="s">
        <v>755</v>
      </c>
    </row>
    <row r="5257" spans="1:43" ht="15" customHeight="1">
      <c r="A5257" s="110">
        <v>43717</v>
      </c>
      <c r="B5257" s="70" t="s">
        <v>129</v>
      </c>
      <c r="C5257" s="21"/>
      <c r="D5257" s="21" t="s">
        <v>1596</v>
      </c>
      <c r="E5257" s="23" t="s">
        <v>1600</v>
      </c>
      <c r="F5257" s="24">
        <v>5</v>
      </c>
      <c r="G5257" s="48">
        <v>50</v>
      </c>
      <c r="H5257" s="60">
        <v>250</v>
      </c>
      <c r="I5257" s="61" t="s">
        <v>247</v>
      </c>
      <c r="J5257" s="50" t="s">
        <v>133</v>
      </c>
      <c r="K5257" s="30">
        <v>43741</v>
      </c>
      <c r="W5257" s="303">
        <v>43769</v>
      </c>
      <c r="X5257" s="460">
        <v>43733</v>
      </c>
      <c r="Y5257" s="304" t="s">
        <v>1032</v>
      </c>
      <c r="Z5257" s="304"/>
      <c r="AA5257" s="304"/>
      <c r="AB5257" s="237"/>
      <c r="AC5257" s="244"/>
      <c r="AD5257" s="244"/>
      <c r="AE5257" s="244"/>
      <c r="AF5257" s="244"/>
      <c r="AG5257" s="296"/>
      <c r="AH5257" s="296"/>
      <c r="AI5257" s="297"/>
      <c r="AJ5257" s="29">
        <v>43756</v>
      </c>
      <c r="AK5257" s="297"/>
      <c r="AL5257" s="297"/>
      <c r="AM5257" s="296" t="s">
        <v>49</v>
      </c>
      <c r="AN5257" s="296" t="s">
        <v>284</v>
      </c>
      <c r="AO5257" s="296" t="s">
        <v>50</v>
      </c>
      <c r="AP5257" s="296" t="s">
        <v>51</v>
      </c>
      <c r="AQ5257" s="296" t="s">
        <v>755</v>
      </c>
    </row>
    <row r="5258" spans="1:43" ht="15" customHeight="1">
      <c r="A5258" s="110">
        <v>43717</v>
      </c>
      <c r="B5258" s="70" t="s">
        <v>129</v>
      </c>
      <c r="C5258" s="21"/>
      <c r="D5258" s="21" t="s">
        <v>1596</v>
      </c>
      <c r="E5258" s="23" t="s">
        <v>1601</v>
      </c>
      <c r="F5258" s="24">
        <v>10</v>
      </c>
      <c r="G5258" s="48">
        <v>58</v>
      </c>
      <c r="H5258" s="60">
        <v>580</v>
      </c>
      <c r="I5258" s="61" t="s">
        <v>247</v>
      </c>
      <c r="J5258" s="50" t="s">
        <v>133</v>
      </c>
      <c r="K5258" s="30">
        <v>43741</v>
      </c>
      <c r="W5258" s="303">
        <v>43769</v>
      </c>
      <c r="X5258" s="460">
        <v>43733</v>
      </c>
      <c r="Y5258" s="304" t="s">
        <v>1032</v>
      </c>
      <c r="Z5258" s="304"/>
      <c r="AA5258" s="304"/>
      <c r="AB5258" s="237"/>
      <c r="AC5258" s="244"/>
      <c r="AD5258" s="244"/>
      <c r="AE5258" s="244"/>
      <c r="AF5258" s="244"/>
      <c r="AG5258" s="296"/>
      <c r="AH5258" s="296"/>
      <c r="AI5258" s="297"/>
      <c r="AJ5258" s="29">
        <v>43756</v>
      </c>
      <c r="AK5258" s="297"/>
      <c r="AL5258" s="297"/>
      <c r="AM5258" s="296" t="s">
        <v>49</v>
      </c>
      <c r="AN5258" s="296" t="s">
        <v>284</v>
      </c>
      <c r="AO5258" s="296" t="s">
        <v>50</v>
      </c>
      <c r="AP5258" s="296" t="s">
        <v>51</v>
      </c>
      <c r="AQ5258" s="296" t="s">
        <v>755</v>
      </c>
    </row>
    <row r="5259" spans="1:43" ht="15" customHeight="1">
      <c r="A5259" s="110">
        <v>43718</v>
      </c>
      <c r="B5259" s="144" t="s">
        <v>1602</v>
      </c>
      <c r="C5259" s="21"/>
      <c r="D5259" s="21" t="s">
        <v>1603</v>
      </c>
      <c r="E5259" s="23" t="s">
        <v>1604</v>
      </c>
      <c r="F5259" s="24">
        <v>1</v>
      </c>
      <c r="G5259" s="48">
        <v>0</v>
      </c>
      <c r="H5259" s="26">
        <v>0</v>
      </c>
      <c r="I5259" s="61" t="s">
        <v>104</v>
      </c>
      <c r="J5259" s="63" t="s">
        <v>1605</v>
      </c>
      <c r="K5259" s="29">
        <v>43718</v>
      </c>
      <c r="W5259" s="52"/>
      <c r="X5259" s="53"/>
      <c r="Y5259" s="53"/>
      <c r="Z5259" s="53"/>
      <c r="AA5259" s="53"/>
      <c r="AB5259" s="237"/>
      <c r="AC5259" s="244"/>
      <c r="AD5259" s="244"/>
      <c r="AE5259" s="244"/>
      <c r="AF5259" s="244"/>
      <c r="AG5259" s="54"/>
      <c r="AH5259" s="54"/>
      <c r="AI5259" s="55"/>
      <c r="AJ5259" s="68"/>
      <c r="AK5259" s="55"/>
      <c r="AL5259" s="55"/>
      <c r="AM5259" s="296" t="s">
        <v>49</v>
      </c>
      <c r="AN5259" s="54" t="s">
        <v>1606</v>
      </c>
      <c r="AO5259" s="54" t="s">
        <v>285</v>
      </c>
      <c r="AP5259" s="54" t="s">
        <v>51</v>
      </c>
      <c r="AQ5259" s="54"/>
    </row>
    <row r="5260" spans="1:43" ht="15" customHeight="1">
      <c r="A5260" s="534">
        <v>43718</v>
      </c>
      <c r="B5260" s="70" t="s">
        <v>100</v>
      </c>
      <c r="C5260" s="21" t="s">
        <v>1577</v>
      </c>
      <c r="D5260" s="21" t="s">
        <v>1607</v>
      </c>
      <c r="E5260" s="23" t="s">
        <v>346</v>
      </c>
      <c r="F5260" s="24">
        <v>1</v>
      </c>
      <c r="G5260" s="74">
        <v>45</v>
      </c>
      <c r="H5260" s="60">
        <v>45</v>
      </c>
      <c r="I5260" s="61" t="s">
        <v>104</v>
      </c>
      <c r="J5260" s="63" t="s">
        <v>532</v>
      </c>
      <c r="K5260" s="29">
        <v>43718</v>
      </c>
      <c r="W5260" s="460">
        <v>43738</v>
      </c>
      <c r="X5260" s="460">
        <v>43721</v>
      </c>
      <c r="Y5260" s="304" t="s">
        <v>1608</v>
      </c>
      <c r="Z5260" s="304">
        <v>3768</v>
      </c>
      <c r="AA5260" s="460">
        <v>43745</v>
      </c>
      <c r="AB5260" s="237"/>
      <c r="AC5260" s="244"/>
      <c r="AD5260" s="244"/>
      <c r="AE5260" s="244"/>
      <c r="AF5260" s="244"/>
      <c r="AG5260" s="296"/>
      <c r="AH5260" s="296"/>
      <c r="AI5260" s="297"/>
      <c r="AJ5260" s="29">
        <v>43760</v>
      </c>
      <c r="AK5260" s="297"/>
      <c r="AL5260" s="297"/>
      <c r="AM5260" s="296" t="s">
        <v>49</v>
      </c>
      <c r="AN5260" s="296" t="s">
        <v>284</v>
      </c>
      <c r="AO5260" s="296" t="s">
        <v>50</v>
      </c>
      <c r="AP5260" s="296" t="s">
        <v>51</v>
      </c>
      <c r="AQ5260" s="296" t="s">
        <v>1118</v>
      </c>
    </row>
    <row r="5261" spans="1:43" ht="15" customHeight="1">
      <c r="A5261" s="110">
        <v>43718</v>
      </c>
      <c r="B5261" s="144" t="s">
        <v>377</v>
      </c>
      <c r="C5261" s="21" t="s">
        <v>1609</v>
      </c>
      <c r="D5261" s="21" t="s">
        <v>1610</v>
      </c>
      <c r="E5261" s="23" t="s">
        <v>1611</v>
      </c>
      <c r="F5261" s="24">
        <v>1</v>
      </c>
      <c r="G5261" s="48">
        <v>29</v>
      </c>
      <c r="H5261" s="60">
        <v>29</v>
      </c>
      <c r="I5261" s="61" t="s">
        <v>247</v>
      </c>
      <c r="J5261" s="161" t="s">
        <v>1107</v>
      </c>
      <c r="K5261" s="30">
        <v>43734</v>
      </c>
      <c r="W5261" s="460">
        <v>43743</v>
      </c>
      <c r="X5261" s="460">
        <v>43725</v>
      </c>
      <c r="Y5261" s="304" t="s">
        <v>1612</v>
      </c>
      <c r="Z5261" s="304"/>
      <c r="AA5261" s="460">
        <v>43743</v>
      </c>
      <c r="AB5261" s="237"/>
      <c r="AC5261" s="244"/>
      <c r="AD5261" s="244"/>
      <c r="AE5261" s="244"/>
      <c r="AF5261" s="244"/>
      <c r="AG5261" s="296"/>
      <c r="AH5261" s="296"/>
      <c r="AI5261" s="297"/>
      <c r="AJ5261" s="29">
        <v>43783</v>
      </c>
      <c r="AK5261" s="297">
        <f>237*0.43*30.453</f>
        <v>3103.4652299999998</v>
      </c>
      <c r="AL5261" s="297">
        <f>(244-234.43)*30.453</f>
        <v>291.43520999999981</v>
      </c>
      <c r="AM5261" s="296" t="s">
        <v>49</v>
      </c>
      <c r="AN5261" s="296" t="s">
        <v>284</v>
      </c>
      <c r="AO5261" s="296" t="s">
        <v>50</v>
      </c>
      <c r="AP5261" s="296" t="s">
        <v>51</v>
      </c>
      <c r="AQ5261" s="296" t="s">
        <v>1118</v>
      </c>
    </row>
    <row r="5262" spans="1:43" ht="15" customHeight="1">
      <c r="A5262" s="110">
        <v>43718</v>
      </c>
      <c r="B5262" s="144" t="s">
        <v>377</v>
      </c>
      <c r="C5262" s="21" t="s">
        <v>1609</v>
      </c>
      <c r="D5262" s="21" t="s">
        <v>1610</v>
      </c>
      <c r="E5262" s="23" t="s">
        <v>1613</v>
      </c>
      <c r="F5262" s="24">
        <v>1</v>
      </c>
      <c r="G5262" s="48">
        <v>61</v>
      </c>
      <c r="H5262" s="216">
        <v>61</v>
      </c>
      <c r="I5262" s="61" t="s">
        <v>247</v>
      </c>
      <c r="J5262" s="161" t="s">
        <v>1107</v>
      </c>
      <c r="K5262" s="30">
        <v>43734</v>
      </c>
      <c r="W5262" s="460">
        <v>43743</v>
      </c>
      <c r="X5262" s="460">
        <v>43725</v>
      </c>
      <c r="Y5262" s="304" t="s">
        <v>1612</v>
      </c>
      <c r="Z5262" s="304"/>
      <c r="AA5262" s="460">
        <v>43743</v>
      </c>
      <c r="AB5262" s="237"/>
      <c r="AC5262" s="244"/>
      <c r="AD5262" s="244"/>
      <c r="AE5262" s="244"/>
      <c r="AF5262" s="244"/>
      <c r="AG5262" s="296"/>
      <c r="AH5262" s="296"/>
      <c r="AI5262" s="297"/>
      <c r="AJ5262" s="29">
        <v>43783</v>
      </c>
      <c r="AK5262" s="297"/>
      <c r="AL5262" s="297"/>
      <c r="AM5262" s="296" t="s">
        <v>49</v>
      </c>
      <c r="AN5262" s="296" t="s">
        <v>284</v>
      </c>
      <c r="AO5262" s="296" t="s">
        <v>50</v>
      </c>
      <c r="AP5262" s="296" t="s">
        <v>51</v>
      </c>
      <c r="AQ5262" s="296" t="s">
        <v>1118</v>
      </c>
    </row>
    <row r="5263" spans="1:43" ht="15" customHeight="1">
      <c r="A5263" s="110">
        <v>43718</v>
      </c>
      <c r="B5263" s="144" t="s">
        <v>377</v>
      </c>
      <c r="C5263" s="21" t="s">
        <v>1609</v>
      </c>
      <c r="D5263" s="21" t="s">
        <v>1610</v>
      </c>
      <c r="E5263" s="23" t="s">
        <v>1614</v>
      </c>
      <c r="F5263" s="24">
        <v>1</v>
      </c>
      <c r="G5263" s="48">
        <v>47</v>
      </c>
      <c r="H5263" s="60">
        <v>47</v>
      </c>
      <c r="I5263" s="61" t="s">
        <v>247</v>
      </c>
      <c r="J5263" s="161" t="s">
        <v>1107</v>
      </c>
      <c r="K5263" s="30">
        <v>43734</v>
      </c>
      <c r="W5263" s="460">
        <v>43743</v>
      </c>
      <c r="X5263" s="460">
        <v>43725</v>
      </c>
      <c r="Y5263" s="304" t="s">
        <v>1612</v>
      </c>
      <c r="Z5263" s="304"/>
      <c r="AA5263" s="460">
        <v>43743</v>
      </c>
      <c r="AB5263" s="237"/>
      <c r="AC5263" s="244"/>
      <c r="AD5263" s="244"/>
      <c r="AE5263" s="244"/>
      <c r="AF5263" s="244"/>
      <c r="AG5263" s="296"/>
      <c r="AH5263" s="296"/>
      <c r="AI5263" s="297"/>
      <c r="AJ5263" s="29">
        <v>43783</v>
      </c>
      <c r="AK5263" s="297"/>
      <c r="AL5263" s="297"/>
      <c r="AM5263" s="296" t="s">
        <v>49</v>
      </c>
      <c r="AN5263" s="296" t="s">
        <v>284</v>
      </c>
      <c r="AO5263" s="296" t="s">
        <v>50</v>
      </c>
      <c r="AP5263" s="296" t="s">
        <v>51</v>
      </c>
      <c r="AQ5263" s="296" t="s">
        <v>1118</v>
      </c>
    </row>
    <row r="5264" spans="1:43" ht="15" customHeight="1">
      <c r="A5264" s="110">
        <v>43718</v>
      </c>
      <c r="B5264" s="23" t="s">
        <v>212</v>
      </c>
      <c r="C5264" s="21" t="s">
        <v>1615</v>
      </c>
      <c r="D5264" s="21" t="s">
        <v>1616</v>
      </c>
      <c r="E5264" s="23" t="s">
        <v>1617</v>
      </c>
      <c r="F5264" s="24">
        <v>2</v>
      </c>
      <c r="G5264" s="48">
        <v>222</v>
      </c>
      <c r="H5264" s="60">
        <v>444</v>
      </c>
      <c r="I5264" s="27" t="s">
        <v>247</v>
      </c>
      <c r="J5264" s="161" t="s">
        <v>216</v>
      </c>
      <c r="K5264" s="30">
        <v>43732</v>
      </c>
      <c r="W5264" s="303">
        <v>43769</v>
      </c>
      <c r="X5264" s="460">
        <v>43725</v>
      </c>
      <c r="Y5264" s="304" t="s">
        <v>1618</v>
      </c>
      <c r="Z5264" s="304">
        <v>40711</v>
      </c>
      <c r="AA5264" s="304"/>
      <c r="AB5264" s="237"/>
      <c r="AC5264" s="244"/>
      <c r="AD5264" s="244"/>
      <c r="AE5264" s="244"/>
      <c r="AF5264" s="244"/>
      <c r="AG5264" s="296"/>
      <c r="AH5264" s="296"/>
      <c r="AI5264" s="297"/>
      <c r="AJ5264" s="298">
        <v>43720</v>
      </c>
      <c r="AK5264" s="297">
        <f>1456.56*31.05</f>
        <v>45226.188000000002</v>
      </c>
      <c r="AL5264" s="297">
        <f>(1463-1456.56)*31.05</f>
        <v>199.96200000000169</v>
      </c>
      <c r="AM5264" s="296" t="s">
        <v>49</v>
      </c>
      <c r="AN5264" s="296" t="s">
        <v>284</v>
      </c>
      <c r="AO5264" s="296" t="s">
        <v>50</v>
      </c>
      <c r="AP5264" s="296" t="s">
        <v>51</v>
      </c>
      <c r="AQ5264" s="296" t="s">
        <v>1118</v>
      </c>
    </row>
    <row r="5265" spans="1:43" ht="15" customHeight="1">
      <c r="A5265" s="69">
        <v>43718</v>
      </c>
      <c r="B5265" s="23" t="s">
        <v>212</v>
      </c>
      <c r="C5265" s="21" t="s">
        <v>1615</v>
      </c>
      <c r="D5265" s="21" t="s">
        <v>1616</v>
      </c>
      <c r="E5265" s="32" t="s">
        <v>1619</v>
      </c>
      <c r="F5265" s="24">
        <v>1</v>
      </c>
      <c r="G5265" s="48">
        <v>97</v>
      </c>
      <c r="H5265" s="60">
        <v>97</v>
      </c>
      <c r="I5265" s="27" t="s">
        <v>247</v>
      </c>
      <c r="J5265" s="161" t="s">
        <v>216</v>
      </c>
      <c r="K5265" s="30">
        <v>43732</v>
      </c>
      <c r="W5265" s="303">
        <v>43769</v>
      </c>
      <c r="X5265" s="460">
        <v>43725</v>
      </c>
      <c r="Y5265" s="304" t="s">
        <v>1618</v>
      </c>
      <c r="Z5265" s="304"/>
      <c r="AA5265" s="304"/>
      <c r="AB5265" s="237"/>
      <c r="AC5265" s="244"/>
      <c r="AD5265" s="244"/>
      <c r="AE5265" s="244"/>
      <c r="AF5265" s="244"/>
      <c r="AG5265" s="296"/>
      <c r="AH5265" s="296"/>
      <c r="AI5265" s="297"/>
      <c r="AJ5265" s="298">
        <v>43720</v>
      </c>
      <c r="AK5265" s="297"/>
      <c r="AL5265" s="297"/>
      <c r="AM5265" s="296" t="s">
        <v>49</v>
      </c>
      <c r="AN5265" s="296" t="s">
        <v>284</v>
      </c>
      <c r="AO5265" s="296" t="s">
        <v>50</v>
      </c>
      <c r="AP5265" s="296" t="s">
        <v>51</v>
      </c>
      <c r="AQ5265" s="296" t="s">
        <v>1118</v>
      </c>
    </row>
    <row r="5266" spans="1:43" ht="15" customHeight="1">
      <c r="A5266" s="69">
        <v>43718</v>
      </c>
      <c r="B5266" s="23" t="s">
        <v>212</v>
      </c>
      <c r="C5266" s="21" t="s">
        <v>1615</v>
      </c>
      <c r="D5266" s="21" t="s">
        <v>1616</v>
      </c>
      <c r="E5266" s="32" t="s">
        <v>132</v>
      </c>
      <c r="F5266" s="24">
        <v>3</v>
      </c>
      <c r="G5266" s="48">
        <v>109</v>
      </c>
      <c r="H5266" s="60">
        <v>327</v>
      </c>
      <c r="I5266" s="27" t="s">
        <v>247</v>
      </c>
      <c r="J5266" s="161" t="s">
        <v>216</v>
      </c>
      <c r="K5266" s="30">
        <v>43732</v>
      </c>
      <c r="W5266" s="303">
        <v>43769</v>
      </c>
      <c r="X5266" s="460">
        <v>43725</v>
      </c>
      <c r="Y5266" s="304" t="s">
        <v>1618</v>
      </c>
      <c r="Z5266" s="304"/>
      <c r="AA5266" s="304"/>
      <c r="AB5266" s="237"/>
      <c r="AC5266" s="244"/>
      <c r="AD5266" s="244"/>
      <c r="AE5266" s="244"/>
      <c r="AF5266" s="244"/>
      <c r="AG5266" s="296"/>
      <c r="AH5266" s="296"/>
      <c r="AI5266" s="297"/>
      <c r="AJ5266" s="298">
        <v>43720</v>
      </c>
      <c r="AK5266" s="297"/>
      <c r="AL5266" s="297"/>
      <c r="AM5266" s="296" t="s">
        <v>49</v>
      </c>
      <c r="AN5266" s="296" t="s">
        <v>284</v>
      </c>
      <c r="AO5266" s="296" t="s">
        <v>50</v>
      </c>
      <c r="AP5266" s="296" t="s">
        <v>51</v>
      </c>
      <c r="AQ5266" s="296" t="s">
        <v>1118</v>
      </c>
    </row>
    <row r="5267" spans="1:43" ht="15" customHeight="1">
      <c r="A5267" s="69">
        <v>43718</v>
      </c>
      <c r="B5267" s="23" t="s">
        <v>212</v>
      </c>
      <c r="C5267" s="21" t="s">
        <v>1615</v>
      </c>
      <c r="D5267" s="21" t="s">
        <v>1616</v>
      </c>
      <c r="E5267" s="32" t="s">
        <v>136</v>
      </c>
      <c r="F5267" s="24">
        <v>3</v>
      </c>
      <c r="G5267" s="48">
        <v>31</v>
      </c>
      <c r="H5267" s="60">
        <v>93</v>
      </c>
      <c r="I5267" s="27" t="s">
        <v>247</v>
      </c>
      <c r="J5267" s="161" t="s">
        <v>216</v>
      </c>
      <c r="K5267" s="30">
        <v>43732</v>
      </c>
      <c r="W5267" s="303">
        <v>43769</v>
      </c>
      <c r="X5267" s="460">
        <v>43725</v>
      </c>
      <c r="Y5267" s="304" t="s">
        <v>1618</v>
      </c>
      <c r="Z5267" s="304"/>
      <c r="AA5267" s="304"/>
      <c r="AB5267" s="237"/>
      <c r="AC5267" s="244"/>
      <c r="AD5267" s="244"/>
      <c r="AE5267" s="244"/>
      <c r="AF5267" s="244"/>
      <c r="AG5267" s="296"/>
      <c r="AH5267" s="296"/>
      <c r="AI5267" s="297"/>
      <c r="AJ5267" s="298">
        <v>43720</v>
      </c>
      <c r="AK5267" s="297"/>
      <c r="AL5267" s="297"/>
      <c r="AM5267" s="296" t="s">
        <v>49</v>
      </c>
      <c r="AN5267" s="296" t="s">
        <v>284</v>
      </c>
      <c r="AO5267" s="296" t="s">
        <v>50</v>
      </c>
      <c r="AP5267" s="296" t="s">
        <v>51</v>
      </c>
      <c r="AQ5267" s="296" t="s">
        <v>1118</v>
      </c>
    </row>
    <row r="5268" spans="1:43" ht="15" customHeight="1">
      <c r="A5268" s="69">
        <v>43718</v>
      </c>
      <c r="B5268" s="23" t="s">
        <v>212</v>
      </c>
      <c r="C5268" s="21" t="s">
        <v>1615</v>
      </c>
      <c r="D5268" s="21" t="s">
        <v>1616</v>
      </c>
      <c r="E5268" s="32" t="s">
        <v>1620</v>
      </c>
      <c r="F5268" s="24">
        <v>1</v>
      </c>
      <c r="G5268" s="48">
        <v>443</v>
      </c>
      <c r="H5268" s="60">
        <v>443</v>
      </c>
      <c r="I5268" s="27" t="s">
        <v>247</v>
      </c>
      <c r="J5268" s="161" t="s">
        <v>216</v>
      </c>
      <c r="K5268" s="30">
        <v>43732</v>
      </c>
      <c r="W5268" s="303">
        <v>43769</v>
      </c>
      <c r="X5268" s="460">
        <v>43725</v>
      </c>
      <c r="Y5268" s="237" t="s">
        <v>1618</v>
      </c>
      <c r="Z5268" s="304"/>
      <c r="AA5268" s="304"/>
      <c r="AB5268" s="237"/>
      <c r="AC5268" s="244"/>
      <c r="AD5268" s="244"/>
      <c r="AE5268" s="244"/>
      <c r="AF5268" s="244"/>
      <c r="AG5268" s="296"/>
      <c r="AH5268" s="296"/>
      <c r="AI5268" s="297"/>
      <c r="AJ5268" s="298">
        <v>43720</v>
      </c>
      <c r="AK5268" s="297"/>
      <c r="AL5268" s="297"/>
      <c r="AM5268" s="296" t="s">
        <v>49</v>
      </c>
      <c r="AN5268" s="296" t="s">
        <v>284</v>
      </c>
      <c r="AO5268" s="296" t="s">
        <v>50</v>
      </c>
      <c r="AP5268" s="296" t="s">
        <v>51</v>
      </c>
      <c r="AQ5268" s="296" t="s">
        <v>1118</v>
      </c>
    </row>
    <row r="5269" spans="1:43" ht="15" customHeight="1">
      <c r="A5269" s="69">
        <v>43718</v>
      </c>
      <c r="B5269" s="23" t="s">
        <v>212</v>
      </c>
      <c r="C5269" s="21" t="s">
        <v>1615</v>
      </c>
      <c r="D5269" s="21" t="s">
        <v>1616</v>
      </c>
      <c r="E5269" s="32" t="s">
        <v>1621</v>
      </c>
      <c r="F5269" s="24">
        <v>1</v>
      </c>
      <c r="G5269" s="48">
        <v>34</v>
      </c>
      <c r="H5269" s="60">
        <v>34</v>
      </c>
      <c r="I5269" s="27" t="s">
        <v>247</v>
      </c>
      <c r="J5269" s="161" t="s">
        <v>216</v>
      </c>
      <c r="K5269" s="30">
        <v>43732</v>
      </c>
      <c r="W5269" s="303">
        <v>43769</v>
      </c>
      <c r="X5269" s="460">
        <v>43725</v>
      </c>
      <c r="Y5269" s="304" t="s">
        <v>1618</v>
      </c>
      <c r="Z5269" s="304"/>
      <c r="AA5269" s="304"/>
      <c r="AB5269" s="237"/>
      <c r="AC5269" s="244"/>
      <c r="AD5269" s="244"/>
      <c r="AE5269" s="244"/>
      <c r="AF5269" s="244"/>
      <c r="AG5269" s="296"/>
      <c r="AH5269" s="296"/>
      <c r="AI5269" s="297"/>
      <c r="AJ5269" s="298">
        <v>43720</v>
      </c>
      <c r="AK5269" s="297"/>
      <c r="AL5269" s="297"/>
      <c r="AM5269" s="296" t="s">
        <v>49</v>
      </c>
      <c r="AN5269" s="296" t="s">
        <v>284</v>
      </c>
      <c r="AO5269" s="296" t="s">
        <v>50</v>
      </c>
      <c r="AP5269" s="296" t="s">
        <v>51</v>
      </c>
      <c r="AQ5269" s="296" t="s">
        <v>1118</v>
      </c>
    </row>
    <row r="5270" spans="1:43" ht="15" customHeight="1">
      <c r="A5270" s="69">
        <v>43718</v>
      </c>
      <c r="B5270" s="23" t="s">
        <v>212</v>
      </c>
      <c r="C5270" s="21" t="s">
        <v>1615</v>
      </c>
      <c r="D5270" s="21" t="s">
        <v>1616</v>
      </c>
      <c r="E5270" s="32" t="s">
        <v>692</v>
      </c>
      <c r="F5270" s="24">
        <v>1</v>
      </c>
      <c r="G5270" s="48">
        <v>25</v>
      </c>
      <c r="H5270" s="60">
        <v>25</v>
      </c>
      <c r="I5270" s="27" t="s">
        <v>247</v>
      </c>
      <c r="J5270" s="347" t="s">
        <v>216</v>
      </c>
      <c r="K5270" s="30">
        <v>43732</v>
      </c>
      <c r="W5270" s="52"/>
      <c r="X5270" s="53"/>
      <c r="Y5270" s="53"/>
      <c r="Z5270" s="53"/>
      <c r="AA5270" s="53"/>
      <c r="AB5270" s="237"/>
      <c r="AC5270" s="244"/>
      <c r="AD5270" s="244"/>
      <c r="AE5270" s="244"/>
      <c r="AF5270" s="244"/>
      <c r="AG5270" s="54"/>
      <c r="AH5270" s="54"/>
      <c r="AI5270" s="55"/>
      <c r="AJ5270" s="56">
        <v>43720</v>
      </c>
      <c r="AK5270" s="55"/>
      <c r="AL5270" s="55"/>
      <c r="AM5270" s="54" t="s">
        <v>49</v>
      </c>
      <c r="AN5270" s="54" t="s">
        <v>284</v>
      </c>
      <c r="AO5270" s="54" t="s">
        <v>50</v>
      </c>
      <c r="AP5270" s="54" t="s">
        <v>51</v>
      </c>
      <c r="AQ5270" s="54"/>
    </row>
    <row r="5271" spans="1:43" ht="15" customHeight="1">
      <c r="A5271" s="69">
        <v>43720</v>
      </c>
      <c r="B5271" s="144" t="s">
        <v>1622</v>
      </c>
      <c r="C5271" s="21"/>
      <c r="D5271" s="21" t="s">
        <v>1623</v>
      </c>
      <c r="E5271" s="32" t="s">
        <v>1624</v>
      </c>
      <c r="F5271" s="24">
        <v>1</v>
      </c>
      <c r="G5271" s="48">
        <v>0</v>
      </c>
      <c r="H5271" s="216">
        <v>0</v>
      </c>
      <c r="I5271" s="27" t="s">
        <v>247</v>
      </c>
      <c r="J5271" s="79" t="s">
        <v>1625</v>
      </c>
      <c r="K5271" s="30">
        <v>43734</v>
      </c>
      <c r="W5271" s="52"/>
      <c r="X5271" s="53"/>
      <c r="Y5271" s="53"/>
      <c r="Z5271" s="53"/>
      <c r="AA5271" s="53"/>
      <c r="AB5271" s="237"/>
      <c r="AC5271" s="244"/>
      <c r="AD5271" s="244"/>
      <c r="AE5271" s="244"/>
      <c r="AF5271" s="244"/>
      <c r="AG5271" s="54"/>
      <c r="AH5271" s="54"/>
      <c r="AI5271" s="55"/>
      <c r="AJ5271" s="68"/>
      <c r="AK5271" s="55"/>
      <c r="AL5271" s="55"/>
      <c r="AM5271" s="200" t="s">
        <v>1626</v>
      </c>
      <c r="AN5271" s="54" t="s">
        <v>1606</v>
      </c>
      <c r="AO5271" s="54" t="s">
        <v>50</v>
      </c>
      <c r="AP5271" s="54" t="s">
        <v>51</v>
      </c>
      <c r="AQ5271" s="54"/>
    </row>
    <row r="5272" spans="1:43" ht="15" customHeight="1">
      <c r="A5272" s="69">
        <v>43721</v>
      </c>
      <c r="B5272" s="23" t="s">
        <v>405</v>
      </c>
      <c r="C5272" s="21">
        <v>7000150145</v>
      </c>
      <c r="D5272" s="21" t="s">
        <v>1627</v>
      </c>
      <c r="E5272" s="32" t="s">
        <v>1628</v>
      </c>
      <c r="F5272" s="24">
        <v>1</v>
      </c>
      <c r="G5272" s="48">
        <v>212</v>
      </c>
      <c r="H5272" s="60">
        <v>212</v>
      </c>
      <c r="I5272" s="61" t="s">
        <v>42</v>
      </c>
      <c r="J5272" s="405" t="s">
        <v>512</v>
      </c>
      <c r="K5272" s="29">
        <v>43731</v>
      </c>
      <c r="W5272" s="303">
        <v>43799</v>
      </c>
      <c r="X5272" s="460">
        <v>43725</v>
      </c>
      <c r="Y5272" s="304" t="s">
        <v>1629</v>
      </c>
      <c r="Z5272" s="304">
        <v>13211</v>
      </c>
      <c r="AA5272" s="304"/>
      <c r="AB5272" s="237"/>
      <c r="AC5272" s="244"/>
      <c r="AD5272" s="244"/>
      <c r="AE5272" s="244"/>
      <c r="AF5272" s="244"/>
      <c r="AG5272" s="296"/>
      <c r="AH5272" s="296"/>
      <c r="AI5272" s="297"/>
      <c r="AJ5272" s="29">
        <v>43762</v>
      </c>
      <c r="AK5272" s="297">
        <f>451.45*30.54</f>
        <v>13787.282999999999</v>
      </c>
      <c r="AL5272" s="297">
        <f>(478-451.45)*30.54</f>
        <v>810.83700000000033</v>
      </c>
      <c r="AM5272" s="296" t="s">
        <v>49</v>
      </c>
      <c r="AN5272" s="296" t="s">
        <v>284</v>
      </c>
      <c r="AO5272" s="296" t="s">
        <v>50</v>
      </c>
      <c r="AP5272" s="296" t="s">
        <v>51</v>
      </c>
      <c r="AQ5272" s="296" t="s">
        <v>1118</v>
      </c>
    </row>
    <row r="5273" spans="1:43" ht="15" customHeight="1">
      <c r="A5273" s="69">
        <v>43721</v>
      </c>
      <c r="B5273" s="23" t="s">
        <v>405</v>
      </c>
      <c r="C5273" s="21">
        <v>7000150145</v>
      </c>
      <c r="D5273" s="21" t="s">
        <v>1627</v>
      </c>
      <c r="E5273" s="32" t="s">
        <v>676</v>
      </c>
      <c r="F5273" s="24">
        <v>1</v>
      </c>
      <c r="G5273" s="48">
        <v>129</v>
      </c>
      <c r="H5273" s="60">
        <v>129</v>
      </c>
      <c r="I5273" s="61" t="s">
        <v>42</v>
      </c>
      <c r="J5273" s="50" t="s">
        <v>512</v>
      </c>
      <c r="K5273" s="29">
        <v>43731</v>
      </c>
      <c r="W5273" s="303">
        <v>43799</v>
      </c>
      <c r="X5273" s="460">
        <v>43725</v>
      </c>
      <c r="Y5273" s="304" t="s">
        <v>1629</v>
      </c>
      <c r="Z5273" s="304"/>
      <c r="AA5273" s="304"/>
      <c r="AB5273" s="237"/>
      <c r="AC5273" s="244"/>
      <c r="AD5273" s="244"/>
      <c r="AE5273" s="244"/>
      <c r="AF5273" s="244"/>
      <c r="AG5273" s="296"/>
      <c r="AH5273" s="296"/>
      <c r="AI5273" s="297"/>
      <c r="AJ5273" s="29">
        <v>43762</v>
      </c>
      <c r="AK5273" s="297"/>
      <c r="AL5273" s="297"/>
      <c r="AM5273" s="296" t="s">
        <v>49</v>
      </c>
      <c r="AN5273" s="296" t="s">
        <v>284</v>
      </c>
      <c r="AO5273" s="296" t="s">
        <v>50</v>
      </c>
      <c r="AP5273" s="296" t="s">
        <v>51</v>
      </c>
      <c r="AQ5273" s="296" t="s">
        <v>1118</v>
      </c>
    </row>
    <row r="5274" spans="1:43" ht="15" customHeight="1">
      <c r="A5274" s="69">
        <v>43721</v>
      </c>
      <c r="B5274" s="23" t="s">
        <v>405</v>
      </c>
      <c r="C5274" s="21">
        <v>7000150145</v>
      </c>
      <c r="D5274" s="21" t="s">
        <v>1627</v>
      </c>
      <c r="E5274" s="32" t="s">
        <v>480</v>
      </c>
      <c r="F5274" s="24">
        <v>1</v>
      </c>
      <c r="G5274" s="48">
        <v>137</v>
      </c>
      <c r="H5274" s="60">
        <v>137</v>
      </c>
      <c r="I5274" s="61" t="s">
        <v>42</v>
      </c>
      <c r="J5274" s="50" t="s">
        <v>512</v>
      </c>
      <c r="K5274" s="29">
        <v>43731</v>
      </c>
      <c r="W5274" s="303">
        <v>43799</v>
      </c>
      <c r="X5274" s="460">
        <v>43725</v>
      </c>
      <c r="Y5274" s="304" t="s">
        <v>1629</v>
      </c>
      <c r="Z5274" s="304"/>
      <c r="AA5274" s="304"/>
      <c r="AB5274" s="237"/>
      <c r="AC5274" s="244"/>
      <c r="AD5274" s="244"/>
      <c r="AE5274" s="244"/>
      <c r="AF5274" s="244"/>
      <c r="AG5274" s="296"/>
      <c r="AH5274" s="296"/>
      <c r="AI5274" s="297"/>
      <c r="AJ5274" s="29">
        <v>43762</v>
      </c>
      <c r="AK5274" s="297"/>
      <c r="AL5274" s="297"/>
      <c r="AM5274" s="296" t="s">
        <v>49</v>
      </c>
      <c r="AN5274" s="296" t="s">
        <v>284</v>
      </c>
      <c r="AO5274" s="296" t="s">
        <v>50</v>
      </c>
      <c r="AP5274" s="296" t="s">
        <v>51</v>
      </c>
      <c r="AQ5274" s="296" t="s">
        <v>1118</v>
      </c>
    </row>
    <row r="5275" spans="1:43" ht="15" customHeight="1">
      <c r="A5275" s="69">
        <v>43721</v>
      </c>
      <c r="B5275" s="307" t="s">
        <v>39</v>
      </c>
      <c r="C5275" s="21">
        <v>2030683</v>
      </c>
      <c r="D5275" s="22" t="s">
        <v>1630</v>
      </c>
      <c r="E5275" s="32" t="s">
        <v>1631</v>
      </c>
      <c r="F5275" s="24">
        <v>1</v>
      </c>
      <c r="G5275" s="48">
        <v>70</v>
      </c>
      <c r="H5275" s="60">
        <v>70</v>
      </c>
      <c r="I5275" s="61" t="s">
        <v>42</v>
      </c>
      <c r="J5275" s="50" t="s">
        <v>901</v>
      </c>
      <c r="K5275" s="29">
        <v>43746</v>
      </c>
      <c r="W5275" s="304"/>
      <c r="X5275" s="304"/>
      <c r="Y5275" s="304"/>
      <c r="Z5275" s="304"/>
      <c r="AA5275" s="304"/>
      <c r="AB5275" s="237"/>
      <c r="AC5275" s="244"/>
      <c r="AD5275" s="244"/>
      <c r="AE5275" s="244"/>
      <c r="AF5275" s="244"/>
      <c r="AG5275" s="296"/>
      <c r="AH5275" s="296"/>
      <c r="AI5275" s="297"/>
      <c r="AJ5275" s="29">
        <v>43760</v>
      </c>
      <c r="AK5275" s="297"/>
      <c r="AL5275" s="297"/>
      <c r="AM5275" s="296" t="s">
        <v>49</v>
      </c>
      <c r="AN5275" s="296" t="s">
        <v>284</v>
      </c>
      <c r="AO5275" s="296" t="s">
        <v>50</v>
      </c>
      <c r="AP5275" s="296" t="s">
        <v>51</v>
      </c>
      <c r="AQ5275" s="296" t="s">
        <v>755</v>
      </c>
    </row>
    <row r="5276" spans="1:43" ht="15" customHeight="1">
      <c r="A5276" s="69">
        <v>43721</v>
      </c>
      <c r="B5276" s="307" t="s">
        <v>39</v>
      </c>
      <c r="C5276" s="21">
        <v>2030683</v>
      </c>
      <c r="D5276" s="22" t="s">
        <v>1630</v>
      </c>
      <c r="E5276" s="32" t="s">
        <v>1632</v>
      </c>
      <c r="F5276" s="24">
        <v>1</v>
      </c>
      <c r="G5276" s="48">
        <v>1335</v>
      </c>
      <c r="H5276" s="60">
        <v>1335</v>
      </c>
      <c r="I5276" s="61" t="s">
        <v>42</v>
      </c>
      <c r="J5276" s="50" t="s">
        <v>901</v>
      </c>
      <c r="K5276" s="29">
        <v>43746</v>
      </c>
      <c r="W5276" s="304"/>
      <c r="X5276" s="304"/>
      <c r="Y5276" s="304"/>
      <c r="Z5276" s="304"/>
      <c r="AA5276" s="304"/>
      <c r="AB5276" s="237"/>
      <c r="AC5276" s="244"/>
      <c r="AD5276" s="244"/>
      <c r="AE5276" s="244"/>
      <c r="AF5276" s="244"/>
      <c r="AG5276" s="296"/>
      <c r="AH5276" s="296"/>
      <c r="AI5276" s="297"/>
      <c r="AJ5276" s="29">
        <v>43760</v>
      </c>
      <c r="AK5276" s="297">
        <f>1398.45*30.55</f>
        <v>42722.647499999999</v>
      </c>
      <c r="AL5276" s="297">
        <f>(1405-1398.45)*30.55</f>
        <v>200.10249999999863</v>
      </c>
      <c r="AM5276" s="296" t="s">
        <v>49</v>
      </c>
      <c r="AN5276" s="296" t="s">
        <v>284</v>
      </c>
      <c r="AO5276" s="296" t="s">
        <v>50</v>
      </c>
      <c r="AP5276" s="296" t="s">
        <v>51</v>
      </c>
      <c r="AQ5276" s="296" t="s">
        <v>755</v>
      </c>
    </row>
    <row r="5277" spans="1:43" ht="15" customHeight="1">
      <c r="A5277" s="69">
        <v>43724</v>
      </c>
      <c r="B5277" s="70" t="s">
        <v>1622</v>
      </c>
      <c r="C5277" s="21" t="s">
        <v>1633</v>
      </c>
      <c r="D5277" s="21" t="s">
        <v>1634</v>
      </c>
      <c r="E5277" s="32" t="s">
        <v>1635</v>
      </c>
      <c r="F5277" s="24">
        <v>5</v>
      </c>
      <c r="G5277" s="48">
        <v>2.5</v>
      </c>
      <c r="H5277" s="81">
        <v>12.5</v>
      </c>
      <c r="I5277" s="61" t="s">
        <v>247</v>
      </c>
      <c r="J5277" s="63" t="s">
        <v>1636</v>
      </c>
      <c r="K5277" s="30">
        <v>43734</v>
      </c>
      <c r="W5277" s="304"/>
      <c r="X5277" s="304"/>
      <c r="Y5277" s="304"/>
      <c r="Z5277" s="304"/>
      <c r="AA5277" s="304"/>
      <c r="AB5277" s="237"/>
      <c r="AC5277" s="244"/>
      <c r="AD5277" s="244"/>
      <c r="AE5277" s="244"/>
      <c r="AF5277" s="244"/>
      <c r="AG5277" s="296"/>
      <c r="AH5277" s="296"/>
      <c r="AI5277" s="297"/>
      <c r="AJ5277" s="537"/>
      <c r="AK5277" s="297"/>
      <c r="AL5277" s="297"/>
      <c r="AM5277" s="296"/>
      <c r="AN5277" s="296" t="s">
        <v>284</v>
      </c>
      <c r="AO5277" s="296" t="s">
        <v>50</v>
      </c>
      <c r="AP5277" s="296" t="s">
        <v>51</v>
      </c>
      <c r="AQ5277" s="296" t="s">
        <v>1118</v>
      </c>
    </row>
    <row r="5278" spans="1:43" ht="15" customHeight="1">
      <c r="A5278" s="397">
        <v>43724</v>
      </c>
      <c r="B5278" s="375" t="s">
        <v>1622</v>
      </c>
      <c r="C5278" s="183" t="s">
        <v>1633</v>
      </c>
      <c r="D5278" s="183" t="s">
        <v>1634</v>
      </c>
      <c r="E5278" s="185" t="s">
        <v>1637</v>
      </c>
      <c r="F5278" s="186">
        <v>6</v>
      </c>
      <c r="G5278" s="187"/>
      <c r="H5278" s="538"/>
      <c r="I5278" s="481"/>
      <c r="J5278" s="190" t="s">
        <v>1636</v>
      </c>
      <c r="K5278" s="539"/>
      <c r="W5278" s="195"/>
      <c r="X5278" s="199"/>
      <c r="Y5278" s="199"/>
      <c r="Z5278" s="199"/>
      <c r="AA5278" s="199"/>
      <c r="AB5278" s="237"/>
      <c r="AC5278" s="244"/>
      <c r="AD5278" s="244"/>
      <c r="AE5278" s="244"/>
      <c r="AF5278" s="244"/>
      <c r="AG5278" s="200"/>
      <c r="AH5278" s="200"/>
      <c r="AI5278" s="201"/>
      <c r="AJ5278" s="202"/>
      <c r="AK5278" s="201"/>
      <c r="AL5278" s="201"/>
      <c r="AM5278" s="200" t="s">
        <v>1626</v>
      </c>
      <c r="AN5278" s="54" t="s">
        <v>295</v>
      </c>
      <c r="AO5278" s="54" t="s">
        <v>50</v>
      </c>
      <c r="AP5278" s="54" t="s">
        <v>51</v>
      </c>
      <c r="AQ5278" s="200"/>
    </row>
    <row r="5279" spans="1:43" ht="15" customHeight="1">
      <c r="A5279" s="397">
        <v>43724</v>
      </c>
      <c r="B5279" s="375" t="s">
        <v>1622</v>
      </c>
      <c r="C5279" s="183" t="s">
        <v>1633</v>
      </c>
      <c r="D5279" s="183" t="s">
        <v>1634</v>
      </c>
      <c r="E5279" s="185" t="s">
        <v>1638</v>
      </c>
      <c r="F5279" s="186">
        <v>1</v>
      </c>
      <c r="G5279" s="187"/>
      <c r="H5279" s="538"/>
      <c r="I5279" s="481"/>
      <c r="J5279" s="190" t="s">
        <v>1636</v>
      </c>
      <c r="K5279" s="539"/>
      <c r="W5279" s="195"/>
      <c r="X5279" s="199"/>
      <c r="Y5279" s="199"/>
      <c r="Z5279" s="199"/>
      <c r="AA5279" s="199"/>
      <c r="AB5279" s="237"/>
      <c r="AC5279" s="244"/>
      <c r="AD5279" s="244"/>
      <c r="AE5279" s="244"/>
      <c r="AF5279" s="244"/>
      <c r="AG5279" s="200"/>
      <c r="AH5279" s="200"/>
      <c r="AI5279" s="201"/>
      <c r="AJ5279" s="202"/>
      <c r="AK5279" s="201"/>
      <c r="AL5279" s="201"/>
      <c r="AM5279" s="200" t="s">
        <v>1626</v>
      </c>
      <c r="AN5279" s="54" t="s">
        <v>295</v>
      </c>
      <c r="AO5279" s="54" t="s">
        <v>50</v>
      </c>
      <c r="AP5279" s="54" t="s">
        <v>51</v>
      </c>
      <c r="AQ5279" s="200"/>
    </row>
    <row r="5280" spans="1:43" ht="15" customHeight="1">
      <c r="A5280" s="69">
        <v>43724</v>
      </c>
      <c r="B5280" s="70" t="s">
        <v>1622</v>
      </c>
      <c r="C5280" s="21" t="s">
        <v>1633</v>
      </c>
      <c r="D5280" s="21" t="s">
        <v>1634</v>
      </c>
      <c r="E5280" s="32" t="s">
        <v>692</v>
      </c>
      <c r="F5280" s="24">
        <v>1</v>
      </c>
      <c r="G5280" s="48">
        <v>40</v>
      </c>
      <c r="H5280" s="81">
        <v>40</v>
      </c>
      <c r="I5280" s="61" t="s">
        <v>247</v>
      </c>
      <c r="J5280" s="63" t="s">
        <v>1636</v>
      </c>
      <c r="K5280" s="540">
        <v>43734</v>
      </c>
      <c r="W5280" s="52"/>
      <c r="X5280" s="53"/>
      <c r="Y5280" s="53"/>
      <c r="Z5280" s="53"/>
      <c r="AA5280" s="53"/>
      <c r="AB5280" s="237"/>
      <c r="AC5280" s="244"/>
      <c r="AD5280" s="244"/>
      <c r="AE5280" s="244"/>
      <c r="AF5280" s="244"/>
      <c r="AG5280" s="54"/>
      <c r="AH5280" s="54"/>
      <c r="AI5280" s="55"/>
      <c r="AJ5280" s="68"/>
      <c r="AK5280" s="55"/>
      <c r="AL5280" s="55"/>
      <c r="AM5280" s="54"/>
      <c r="AN5280" s="54" t="s">
        <v>284</v>
      </c>
      <c r="AO5280" s="54" t="s">
        <v>50</v>
      </c>
      <c r="AP5280" s="54" t="s">
        <v>51</v>
      </c>
      <c r="AQ5280" s="54"/>
    </row>
    <row r="5281" spans="1:43" ht="15" customHeight="1">
      <c r="A5281" s="69">
        <v>43725</v>
      </c>
      <c r="B5281" s="70" t="s">
        <v>118</v>
      </c>
      <c r="C5281" s="21" t="s">
        <v>1639</v>
      </c>
      <c r="D5281" s="21" t="s">
        <v>1640</v>
      </c>
      <c r="E5281" s="32" t="s">
        <v>151</v>
      </c>
      <c r="F5281" s="24">
        <v>2</v>
      </c>
      <c r="G5281" s="48">
        <v>1045</v>
      </c>
      <c r="H5281" s="60">
        <v>2090</v>
      </c>
      <c r="I5281" s="61" t="s">
        <v>247</v>
      </c>
      <c r="J5281" s="82" t="s">
        <v>121</v>
      </c>
      <c r="K5281" s="540">
        <v>43742</v>
      </c>
      <c r="W5281" s="303">
        <v>43799</v>
      </c>
      <c r="X5281" s="460">
        <v>43739</v>
      </c>
      <c r="Y5281" s="304" t="s">
        <v>1641</v>
      </c>
      <c r="Z5281" s="304">
        <v>163568</v>
      </c>
      <c r="AA5281" s="304"/>
      <c r="AB5281" s="237"/>
      <c r="AC5281" s="244"/>
      <c r="AD5281" s="244"/>
      <c r="AE5281" s="244"/>
      <c r="AF5281" s="244"/>
      <c r="AG5281" s="296"/>
      <c r="AH5281" s="296"/>
      <c r="AI5281" s="297"/>
      <c r="AJ5281" s="298">
        <v>43777</v>
      </c>
      <c r="AK5281" s="297">
        <f>5758.4*30.3</f>
        <v>174479.52</v>
      </c>
      <c r="AL5281" s="297">
        <f>(5775-5758.4)*30.3</f>
        <v>502.98000000001105</v>
      </c>
      <c r="AM5281" s="296" t="s">
        <v>49</v>
      </c>
      <c r="AN5281" s="296" t="s">
        <v>284</v>
      </c>
      <c r="AO5281" s="296" t="s">
        <v>50</v>
      </c>
      <c r="AP5281" s="296" t="s">
        <v>51</v>
      </c>
      <c r="AQ5281" s="296" t="s">
        <v>755</v>
      </c>
    </row>
    <row r="5282" spans="1:43" ht="15" customHeight="1">
      <c r="A5282" s="69">
        <v>43725</v>
      </c>
      <c r="B5282" s="70" t="s">
        <v>118</v>
      </c>
      <c r="C5282" s="21" t="s">
        <v>1639</v>
      </c>
      <c r="D5282" s="21" t="s">
        <v>1640</v>
      </c>
      <c r="E5282" s="23" t="s">
        <v>414</v>
      </c>
      <c r="F5282" s="24">
        <v>11</v>
      </c>
      <c r="G5282" s="48">
        <v>335</v>
      </c>
      <c r="H5282" s="60">
        <v>3685</v>
      </c>
      <c r="I5282" s="61" t="s">
        <v>247</v>
      </c>
      <c r="J5282" s="82" t="s">
        <v>121</v>
      </c>
      <c r="K5282" s="540">
        <v>43742</v>
      </c>
      <c r="W5282" s="303">
        <v>43799</v>
      </c>
      <c r="X5282" s="460">
        <v>43739</v>
      </c>
      <c r="Y5282" s="304" t="s">
        <v>1641</v>
      </c>
      <c r="Z5282" s="304"/>
      <c r="AA5282" s="304"/>
      <c r="AB5282" s="237"/>
      <c r="AC5282" s="244"/>
      <c r="AD5282" s="244"/>
      <c r="AE5282" s="244"/>
      <c r="AF5282" s="244"/>
      <c r="AG5282" s="296"/>
      <c r="AH5282" s="296"/>
      <c r="AI5282" s="297"/>
      <c r="AJ5282" s="298">
        <v>43777</v>
      </c>
      <c r="AK5282" s="297"/>
      <c r="AL5282" s="297"/>
      <c r="AM5282" s="296" t="s">
        <v>49</v>
      </c>
      <c r="AN5282" s="296" t="s">
        <v>284</v>
      </c>
      <c r="AO5282" s="296" t="s">
        <v>50</v>
      </c>
      <c r="AP5282" s="296" t="s">
        <v>51</v>
      </c>
      <c r="AQ5282" s="296" t="s">
        <v>755</v>
      </c>
    </row>
    <row r="5283" spans="1:43" ht="15" customHeight="1">
      <c r="A5283" s="69">
        <v>43725</v>
      </c>
      <c r="B5283" s="22" t="s">
        <v>1166</v>
      </c>
      <c r="C5283" s="22"/>
      <c r="D5283" s="22" t="s">
        <v>1642</v>
      </c>
      <c r="E5283" s="35" t="s">
        <v>1285</v>
      </c>
      <c r="F5283" s="24">
        <v>3</v>
      </c>
      <c r="G5283" s="48">
        <v>109</v>
      </c>
      <c r="H5283" s="60">
        <v>327</v>
      </c>
      <c r="I5283" s="61" t="s">
        <v>143</v>
      </c>
      <c r="J5283" s="541" t="s">
        <v>1643</v>
      </c>
      <c r="K5283" s="30">
        <v>43734</v>
      </c>
      <c r="W5283" s="303">
        <v>43769</v>
      </c>
      <c r="X5283" s="460">
        <v>43732</v>
      </c>
      <c r="Y5283" s="304" t="s">
        <v>1644</v>
      </c>
      <c r="Z5283" s="304">
        <v>12005</v>
      </c>
      <c r="AA5283" s="304"/>
      <c r="AB5283" s="237"/>
      <c r="AC5283" s="244"/>
      <c r="AD5283" s="244"/>
      <c r="AE5283" s="244"/>
      <c r="AF5283" s="244"/>
      <c r="AG5283" s="296"/>
      <c r="AH5283" s="296"/>
      <c r="AI5283" s="297"/>
      <c r="AJ5283" s="298">
        <v>43727</v>
      </c>
      <c r="AK5283" s="297">
        <f>418.54*30.95</f>
        <v>12953.813</v>
      </c>
      <c r="AL5283" s="297">
        <f>(440-418.54)*30.95</f>
        <v>664.18699999999933</v>
      </c>
      <c r="AM5283" s="296" t="s">
        <v>49</v>
      </c>
      <c r="AN5283" s="296" t="s">
        <v>284</v>
      </c>
      <c r="AO5283" s="296" t="s">
        <v>50</v>
      </c>
      <c r="AP5283" s="296" t="s">
        <v>51</v>
      </c>
      <c r="AQ5283" s="296" t="s">
        <v>1118</v>
      </c>
    </row>
    <row r="5284" spans="1:43" ht="15" customHeight="1">
      <c r="A5284" s="69">
        <v>43725</v>
      </c>
      <c r="B5284" s="22" t="s">
        <v>1166</v>
      </c>
      <c r="C5284" s="22"/>
      <c r="D5284" s="22" t="s">
        <v>1642</v>
      </c>
      <c r="E5284" s="35" t="s">
        <v>136</v>
      </c>
      <c r="F5284" s="24">
        <v>3</v>
      </c>
      <c r="G5284" s="48">
        <v>31</v>
      </c>
      <c r="H5284" s="60">
        <v>93</v>
      </c>
      <c r="I5284" s="61" t="s">
        <v>143</v>
      </c>
      <c r="J5284" s="541" t="s">
        <v>1643</v>
      </c>
      <c r="K5284" s="30">
        <v>43734</v>
      </c>
      <c r="W5284" s="303">
        <v>43769</v>
      </c>
      <c r="X5284" s="460">
        <v>43732</v>
      </c>
      <c r="Y5284" s="304" t="s">
        <v>1644</v>
      </c>
      <c r="Z5284" s="304"/>
      <c r="AA5284" s="304"/>
      <c r="AB5284" s="237"/>
      <c r="AC5284" s="244"/>
      <c r="AD5284" s="244"/>
      <c r="AE5284" s="244"/>
      <c r="AF5284" s="244"/>
      <c r="AG5284" s="296"/>
      <c r="AH5284" s="296"/>
      <c r="AI5284" s="297"/>
      <c r="AJ5284" s="298">
        <v>43727</v>
      </c>
      <c r="AK5284" s="297"/>
      <c r="AL5284" s="297"/>
      <c r="AM5284" s="296" t="s">
        <v>49</v>
      </c>
      <c r="AN5284" s="296" t="s">
        <v>284</v>
      </c>
      <c r="AO5284" s="296" t="s">
        <v>50</v>
      </c>
      <c r="AP5284" s="296" t="s">
        <v>51</v>
      </c>
      <c r="AQ5284" s="296" t="s">
        <v>1118</v>
      </c>
    </row>
    <row r="5285" spans="1:43" ht="15" customHeight="1">
      <c r="A5285" s="69">
        <v>43725</v>
      </c>
      <c r="B5285" s="22" t="s">
        <v>1166</v>
      </c>
      <c r="C5285" s="22"/>
      <c r="D5285" s="22" t="s">
        <v>1642</v>
      </c>
      <c r="E5285" s="35" t="s">
        <v>692</v>
      </c>
      <c r="F5285" s="24">
        <v>1</v>
      </c>
      <c r="G5285" s="48">
        <v>40</v>
      </c>
      <c r="H5285" s="81">
        <v>40</v>
      </c>
      <c r="I5285" s="61" t="s">
        <v>86</v>
      </c>
      <c r="J5285" s="541"/>
      <c r="K5285" s="30">
        <v>43734</v>
      </c>
      <c r="W5285" s="52"/>
      <c r="X5285" s="53"/>
      <c r="Y5285" s="53"/>
      <c r="Z5285" s="53"/>
      <c r="AA5285" s="53"/>
      <c r="AB5285" s="237"/>
      <c r="AC5285" s="244"/>
      <c r="AD5285" s="244"/>
      <c r="AE5285" s="244"/>
      <c r="AF5285" s="244"/>
      <c r="AG5285" s="54"/>
      <c r="AH5285" s="54"/>
      <c r="AI5285" s="55"/>
      <c r="AJ5285" s="56">
        <v>43727</v>
      </c>
      <c r="AK5285" s="55"/>
      <c r="AL5285" s="55"/>
      <c r="AM5285" s="54"/>
      <c r="AN5285" s="54" t="s">
        <v>284</v>
      </c>
      <c r="AO5285" s="54" t="s">
        <v>50</v>
      </c>
      <c r="AP5285" s="54" t="s">
        <v>51</v>
      </c>
      <c r="AQ5285" s="54"/>
    </row>
    <row r="5286" spans="1:43" ht="15" customHeight="1">
      <c r="A5286" s="69">
        <v>43725</v>
      </c>
      <c r="B5286" s="70" t="s">
        <v>619</v>
      </c>
      <c r="C5286" s="21"/>
      <c r="D5286" s="21" t="s">
        <v>1645</v>
      </c>
      <c r="E5286" s="32" t="s">
        <v>1646</v>
      </c>
      <c r="F5286" s="82">
        <v>4</v>
      </c>
      <c r="G5286" s="48">
        <v>344.4</v>
      </c>
      <c r="H5286" s="26">
        <v>1377.6</v>
      </c>
      <c r="I5286" s="27" t="s">
        <v>42</v>
      </c>
      <c r="J5286" s="50" t="s">
        <v>89</v>
      </c>
      <c r="K5286" s="29">
        <v>43728</v>
      </c>
      <c r="W5286" s="460">
        <v>43769</v>
      </c>
      <c r="X5286" s="460">
        <v>43727</v>
      </c>
      <c r="Y5286" s="304" t="s">
        <v>1647</v>
      </c>
      <c r="Z5286" s="304">
        <v>54482</v>
      </c>
      <c r="AA5286" s="304"/>
      <c r="AB5286" s="237"/>
      <c r="AC5286" s="244"/>
      <c r="AD5286" s="244"/>
      <c r="AE5286" s="244"/>
      <c r="AF5286" s="244"/>
      <c r="AG5286" s="296"/>
      <c r="AH5286" s="296"/>
      <c r="AI5286" s="297"/>
      <c r="AJ5286" s="298">
        <v>43743</v>
      </c>
      <c r="AK5286" s="297">
        <v>66001</v>
      </c>
      <c r="AL5286" s="297">
        <v>0</v>
      </c>
      <c r="AM5286" s="296" t="s">
        <v>49</v>
      </c>
      <c r="AN5286" s="296" t="s">
        <v>284</v>
      </c>
      <c r="AO5286" s="296" t="s">
        <v>50</v>
      </c>
      <c r="AP5286" s="296" t="s">
        <v>376</v>
      </c>
      <c r="AQ5286" s="296" t="s">
        <v>1118</v>
      </c>
    </row>
    <row r="5287" spans="1:43" ht="15" customHeight="1">
      <c r="A5287" s="69">
        <v>43725</v>
      </c>
      <c r="B5287" s="70" t="s">
        <v>619</v>
      </c>
      <c r="C5287" s="21"/>
      <c r="D5287" s="21" t="s">
        <v>1645</v>
      </c>
      <c r="E5287" s="32" t="s">
        <v>1648</v>
      </c>
      <c r="F5287" s="82">
        <v>2</v>
      </c>
      <c r="G5287" s="48">
        <v>375.9</v>
      </c>
      <c r="H5287" s="26">
        <v>751.8</v>
      </c>
      <c r="I5287" s="27" t="s">
        <v>42</v>
      </c>
      <c r="J5287" s="50" t="s">
        <v>89</v>
      </c>
      <c r="K5287" s="29">
        <v>43728</v>
      </c>
      <c r="W5287" s="460">
        <v>43769</v>
      </c>
      <c r="X5287" s="460">
        <v>43727</v>
      </c>
      <c r="Y5287" s="304" t="s">
        <v>1647</v>
      </c>
      <c r="Z5287" s="304"/>
      <c r="AA5287" s="304"/>
      <c r="AB5287" s="237"/>
      <c r="AC5287" s="244"/>
      <c r="AD5287" s="244"/>
      <c r="AE5287" s="244"/>
      <c r="AF5287" s="244"/>
      <c r="AG5287" s="296"/>
      <c r="AH5287" s="296"/>
      <c r="AI5287" s="297"/>
      <c r="AJ5287" s="298">
        <v>43743</v>
      </c>
      <c r="AK5287" s="297"/>
      <c r="AL5287" s="297"/>
      <c r="AM5287" s="296" t="s">
        <v>49</v>
      </c>
      <c r="AN5287" s="296" t="s">
        <v>284</v>
      </c>
      <c r="AO5287" s="296" t="s">
        <v>50</v>
      </c>
      <c r="AP5287" s="296" t="s">
        <v>376</v>
      </c>
      <c r="AQ5287" s="296" t="s">
        <v>1118</v>
      </c>
    </row>
    <row r="5288" spans="1:43" ht="15" customHeight="1">
      <c r="A5288" s="69">
        <v>43727</v>
      </c>
      <c r="B5288" s="23" t="s">
        <v>405</v>
      </c>
      <c r="C5288" s="21">
        <v>7000150303</v>
      </c>
      <c r="D5288" s="21" t="s">
        <v>1649</v>
      </c>
      <c r="E5288" s="32" t="s">
        <v>1650</v>
      </c>
      <c r="F5288" s="24">
        <v>1</v>
      </c>
      <c r="G5288" s="48">
        <v>208</v>
      </c>
      <c r="H5288" s="26">
        <v>208</v>
      </c>
      <c r="I5288" s="27" t="s">
        <v>42</v>
      </c>
      <c r="J5288" s="50" t="s">
        <v>512</v>
      </c>
      <c r="K5288" s="29">
        <v>43739</v>
      </c>
      <c r="W5288" s="303">
        <v>43830</v>
      </c>
      <c r="X5288" s="460">
        <v>43734</v>
      </c>
      <c r="Y5288" s="304" t="s">
        <v>1651</v>
      </c>
      <c r="Z5288" s="304">
        <v>11012</v>
      </c>
      <c r="AA5288" s="304"/>
      <c r="AB5288" s="237"/>
      <c r="AC5288" s="244"/>
      <c r="AD5288" s="244"/>
      <c r="AE5288" s="244"/>
      <c r="AF5288" s="244"/>
      <c r="AG5288" s="296"/>
      <c r="AH5288" s="296"/>
      <c r="AI5288" s="297"/>
      <c r="AJ5288" s="298">
        <v>43773</v>
      </c>
      <c r="AK5288" s="297">
        <f>380.41*30.35</f>
        <v>11545.443500000001</v>
      </c>
      <c r="AL5288" s="297">
        <f>(407-380.41)*30.35</f>
        <v>807.00649999999928</v>
      </c>
      <c r="AM5288" s="296" t="s">
        <v>49</v>
      </c>
      <c r="AN5288" s="296" t="s">
        <v>284</v>
      </c>
      <c r="AO5288" s="296" t="s">
        <v>50</v>
      </c>
      <c r="AP5288" s="296" t="s">
        <v>51</v>
      </c>
      <c r="AQ5288" s="296" t="s">
        <v>755</v>
      </c>
    </row>
    <row r="5289" spans="1:43" ht="15" customHeight="1">
      <c r="A5289" s="69">
        <v>43727</v>
      </c>
      <c r="B5289" s="23" t="s">
        <v>405</v>
      </c>
      <c r="C5289" s="21">
        <v>7000150303</v>
      </c>
      <c r="D5289" s="21" t="s">
        <v>1649</v>
      </c>
      <c r="E5289" s="32" t="s">
        <v>1652</v>
      </c>
      <c r="F5289" s="24">
        <v>1</v>
      </c>
      <c r="G5289" s="48">
        <v>59</v>
      </c>
      <c r="H5289" s="26">
        <v>59</v>
      </c>
      <c r="I5289" s="27" t="s">
        <v>42</v>
      </c>
      <c r="J5289" s="50" t="s">
        <v>512</v>
      </c>
      <c r="K5289" s="29">
        <v>43739</v>
      </c>
      <c r="W5289" s="303">
        <v>43830</v>
      </c>
      <c r="X5289" s="460">
        <v>43734</v>
      </c>
      <c r="Y5289" s="304" t="s">
        <v>1651</v>
      </c>
      <c r="Z5289" s="304"/>
      <c r="AA5289" s="304"/>
      <c r="AB5289" s="237"/>
      <c r="AC5289" s="244"/>
      <c r="AD5289" s="244"/>
      <c r="AE5289" s="244"/>
      <c r="AF5289" s="244"/>
      <c r="AG5289" s="296"/>
      <c r="AH5289" s="296"/>
      <c r="AI5289" s="297"/>
      <c r="AJ5289" s="298">
        <v>43773</v>
      </c>
      <c r="AK5289" s="297"/>
      <c r="AL5289" s="297"/>
      <c r="AM5289" s="296" t="s">
        <v>49</v>
      </c>
      <c r="AN5289" s="296" t="s">
        <v>284</v>
      </c>
      <c r="AO5289" s="296" t="s">
        <v>50</v>
      </c>
      <c r="AP5289" s="296" t="s">
        <v>51</v>
      </c>
      <c r="AQ5289" s="82" t="s">
        <v>755</v>
      </c>
    </row>
    <row r="5290" spans="1:43" ht="15" customHeight="1">
      <c r="A5290" s="69">
        <v>43727</v>
      </c>
      <c r="B5290" s="23" t="s">
        <v>405</v>
      </c>
      <c r="C5290" s="21">
        <v>7000150303</v>
      </c>
      <c r="D5290" s="21" t="s">
        <v>1649</v>
      </c>
      <c r="E5290" s="32" t="s">
        <v>1653</v>
      </c>
      <c r="F5290" s="24">
        <v>1</v>
      </c>
      <c r="G5290" s="48">
        <v>54</v>
      </c>
      <c r="H5290" s="26">
        <v>54</v>
      </c>
      <c r="I5290" s="27" t="s">
        <v>42</v>
      </c>
      <c r="J5290" s="50" t="s">
        <v>512</v>
      </c>
      <c r="K5290" s="29">
        <v>43739</v>
      </c>
      <c r="W5290" s="303">
        <v>43830</v>
      </c>
      <c r="X5290" s="460">
        <v>43734</v>
      </c>
      <c r="Y5290" s="304" t="s">
        <v>1651</v>
      </c>
      <c r="Z5290" s="304"/>
      <c r="AA5290" s="304"/>
      <c r="AB5290" s="237"/>
      <c r="AC5290" s="244"/>
      <c r="AD5290" s="244"/>
      <c r="AE5290" s="244"/>
      <c r="AF5290" s="244"/>
      <c r="AG5290" s="296"/>
      <c r="AH5290" s="296"/>
      <c r="AI5290" s="297"/>
      <c r="AJ5290" s="298">
        <v>43773</v>
      </c>
      <c r="AK5290" s="297"/>
      <c r="AL5290" s="297"/>
      <c r="AM5290" s="296" t="s">
        <v>49</v>
      </c>
      <c r="AN5290" s="296" t="s">
        <v>284</v>
      </c>
      <c r="AO5290" s="296" t="s">
        <v>50</v>
      </c>
      <c r="AP5290" s="296" t="s">
        <v>51</v>
      </c>
      <c r="AQ5290" s="82" t="s">
        <v>755</v>
      </c>
    </row>
    <row r="5291" spans="1:43" ht="15" customHeight="1">
      <c r="A5291" s="69">
        <v>43727</v>
      </c>
      <c r="B5291" s="23" t="s">
        <v>405</v>
      </c>
      <c r="C5291" s="21">
        <v>7000150303</v>
      </c>
      <c r="D5291" s="21" t="s">
        <v>1649</v>
      </c>
      <c r="E5291" s="32" t="s">
        <v>1654</v>
      </c>
      <c r="F5291" s="24">
        <v>1</v>
      </c>
      <c r="G5291" s="48">
        <v>86</v>
      </c>
      <c r="H5291" s="26">
        <v>86</v>
      </c>
      <c r="I5291" s="27" t="s">
        <v>42</v>
      </c>
      <c r="J5291" s="50" t="s">
        <v>512</v>
      </c>
      <c r="K5291" s="29">
        <v>43739</v>
      </c>
      <c r="W5291" s="303">
        <v>43830</v>
      </c>
      <c r="X5291" s="460">
        <v>43734</v>
      </c>
      <c r="Y5291" s="304" t="s">
        <v>1651</v>
      </c>
      <c r="Z5291" s="304"/>
      <c r="AA5291" s="304"/>
      <c r="AB5291" s="237"/>
      <c r="AC5291" s="244"/>
      <c r="AD5291" s="244"/>
      <c r="AE5291" s="244"/>
      <c r="AF5291" s="244"/>
      <c r="AG5291" s="296"/>
      <c r="AH5291" s="296"/>
      <c r="AI5291" s="297"/>
      <c r="AJ5291" s="298">
        <v>43773</v>
      </c>
      <c r="AK5291" s="297"/>
      <c r="AL5291" s="297"/>
      <c r="AM5291" s="296" t="s">
        <v>49</v>
      </c>
      <c r="AN5291" s="296" t="s">
        <v>284</v>
      </c>
      <c r="AO5291" s="296" t="s">
        <v>50</v>
      </c>
      <c r="AP5291" s="296" t="s">
        <v>51</v>
      </c>
      <c r="AQ5291" s="82" t="s">
        <v>755</v>
      </c>
    </row>
    <row r="5292" spans="1:43" ht="15" customHeight="1">
      <c r="A5292" s="467">
        <v>43728</v>
      </c>
      <c r="B5292" s="144" t="s">
        <v>1236</v>
      </c>
      <c r="C5292" s="21" t="s">
        <v>1558</v>
      </c>
      <c r="D5292" s="21" t="s">
        <v>1655</v>
      </c>
      <c r="E5292" s="32" t="s">
        <v>346</v>
      </c>
      <c r="F5292" s="24">
        <v>1</v>
      </c>
      <c r="G5292" s="434">
        <v>452</v>
      </c>
      <c r="H5292" s="60">
        <v>452</v>
      </c>
      <c r="I5292" s="61"/>
      <c r="J5292" s="63" t="s">
        <v>1336</v>
      </c>
      <c r="K5292" s="29">
        <v>43728</v>
      </c>
      <c r="W5292" s="303">
        <v>43769</v>
      </c>
      <c r="X5292" s="460">
        <v>43738</v>
      </c>
      <c r="Y5292" s="304" t="s">
        <v>1569</v>
      </c>
      <c r="Z5292" s="304">
        <v>14604</v>
      </c>
      <c r="AA5292" s="304"/>
      <c r="AB5292" s="237"/>
      <c r="AC5292" s="244"/>
      <c r="AD5292" s="244"/>
      <c r="AE5292" s="244"/>
      <c r="AF5292" s="244"/>
      <c r="AG5292" s="296"/>
      <c r="AH5292" s="296"/>
      <c r="AI5292" s="297"/>
      <c r="AJ5292" s="29">
        <v>43789</v>
      </c>
      <c r="AK5292" s="297"/>
      <c r="AL5292" s="297"/>
      <c r="AM5292" s="296" t="s">
        <v>49</v>
      </c>
      <c r="AN5292" s="296" t="s">
        <v>284</v>
      </c>
      <c r="AO5292" s="296" t="s">
        <v>285</v>
      </c>
      <c r="AP5292" s="296" t="s">
        <v>51</v>
      </c>
      <c r="AQ5292" s="296" t="s">
        <v>1118</v>
      </c>
    </row>
    <row r="5293" spans="1:43" ht="15" customHeight="1">
      <c r="A5293" s="69">
        <v>43731</v>
      </c>
      <c r="B5293" s="70" t="s">
        <v>1656</v>
      </c>
      <c r="C5293" s="21"/>
      <c r="D5293" s="21" t="s">
        <v>1657</v>
      </c>
      <c r="E5293" s="520" t="s">
        <v>1658</v>
      </c>
      <c r="F5293" s="24">
        <v>1</v>
      </c>
      <c r="G5293" s="48">
        <v>212</v>
      </c>
      <c r="H5293" s="60">
        <v>212</v>
      </c>
      <c r="I5293" s="61" t="s">
        <v>104</v>
      </c>
      <c r="J5293" s="50"/>
      <c r="K5293" s="29">
        <v>43782</v>
      </c>
      <c r="W5293" s="303">
        <v>43830</v>
      </c>
      <c r="X5293" s="303">
        <v>43781</v>
      </c>
      <c r="Y5293" s="304" t="s">
        <v>1659</v>
      </c>
      <c r="Z5293" s="304">
        <v>39444</v>
      </c>
      <c r="AA5293" s="304"/>
      <c r="AB5293" s="237"/>
      <c r="AC5293" s="244"/>
      <c r="AD5293" s="244"/>
      <c r="AE5293" s="244"/>
      <c r="AF5293" s="244"/>
      <c r="AG5293" s="296"/>
      <c r="AH5293" s="296"/>
      <c r="AI5293" s="297"/>
      <c r="AJ5293" s="298">
        <v>43732</v>
      </c>
      <c r="AK5293" s="297">
        <f>1390.04*30.96</f>
        <v>43035.638400000003</v>
      </c>
      <c r="AL5293" s="297">
        <f>(1407.5-1390.04)*30.96</f>
        <v>540.56160000000114</v>
      </c>
      <c r="AM5293" s="296" t="s">
        <v>49</v>
      </c>
      <c r="AN5293" s="296" t="s">
        <v>284</v>
      </c>
      <c r="AO5293" s="296" t="s">
        <v>50</v>
      </c>
      <c r="AP5293" s="296" t="s">
        <v>51</v>
      </c>
      <c r="AQ5293" s="82" t="s">
        <v>755</v>
      </c>
    </row>
    <row r="5294" spans="1:43" ht="15" customHeight="1">
      <c r="A5294" s="69">
        <v>43731</v>
      </c>
      <c r="B5294" s="70" t="s">
        <v>1656</v>
      </c>
      <c r="C5294" s="21"/>
      <c r="D5294" s="21" t="s">
        <v>1657</v>
      </c>
      <c r="E5294" s="520" t="s">
        <v>1660</v>
      </c>
      <c r="F5294" s="24">
        <v>1</v>
      </c>
      <c r="G5294" s="48">
        <v>345</v>
      </c>
      <c r="H5294" s="60">
        <v>345</v>
      </c>
      <c r="I5294" s="61" t="s">
        <v>104</v>
      </c>
      <c r="J5294" s="50"/>
      <c r="K5294" s="29">
        <v>43782</v>
      </c>
      <c r="W5294" s="303">
        <v>43830</v>
      </c>
      <c r="X5294" s="303">
        <v>43781</v>
      </c>
      <c r="Y5294" s="304" t="s">
        <v>1659</v>
      </c>
      <c r="Z5294" s="304"/>
      <c r="AA5294" s="304"/>
      <c r="AB5294" s="237"/>
      <c r="AC5294" s="244"/>
      <c r="AD5294" s="244"/>
      <c r="AE5294" s="244"/>
      <c r="AF5294" s="244"/>
      <c r="AG5294" s="296"/>
      <c r="AH5294" s="296"/>
      <c r="AI5294" s="297"/>
      <c r="AJ5294" s="298">
        <v>43732</v>
      </c>
      <c r="AK5294" s="297"/>
      <c r="AL5294" s="297"/>
      <c r="AM5294" s="296" t="s">
        <v>49</v>
      </c>
      <c r="AN5294" s="296" t="s">
        <v>284</v>
      </c>
      <c r="AO5294" s="296" t="s">
        <v>50</v>
      </c>
      <c r="AP5294" s="296" t="s">
        <v>51</v>
      </c>
      <c r="AQ5294" s="82" t="s">
        <v>755</v>
      </c>
    </row>
    <row r="5295" spans="1:43" ht="15" customHeight="1">
      <c r="A5295" s="69">
        <v>43731</v>
      </c>
      <c r="B5295" s="70" t="s">
        <v>1656</v>
      </c>
      <c r="C5295" s="21"/>
      <c r="D5295" s="21" t="s">
        <v>1657</v>
      </c>
      <c r="E5295" s="520" t="s">
        <v>1661</v>
      </c>
      <c r="F5295" s="24">
        <v>6</v>
      </c>
      <c r="G5295" s="48">
        <v>138</v>
      </c>
      <c r="H5295" s="60">
        <v>828</v>
      </c>
      <c r="I5295" s="61" t="s">
        <v>104</v>
      </c>
      <c r="J5295" s="50"/>
      <c r="K5295" s="29">
        <v>43782</v>
      </c>
      <c r="W5295" s="303">
        <v>43830</v>
      </c>
      <c r="X5295" s="303">
        <v>43781</v>
      </c>
      <c r="Y5295" s="304" t="s">
        <v>1659</v>
      </c>
      <c r="Z5295" s="304"/>
      <c r="AA5295" s="304"/>
      <c r="AB5295" s="237"/>
      <c r="AC5295" s="244"/>
      <c r="AD5295" s="244"/>
      <c r="AE5295" s="244"/>
      <c r="AF5295" s="244"/>
      <c r="AG5295" s="296"/>
      <c r="AH5295" s="296"/>
      <c r="AI5295" s="297"/>
      <c r="AJ5295" s="298">
        <v>43732</v>
      </c>
      <c r="AK5295" s="297"/>
      <c r="AL5295" s="297"/>
      <c r="AM5295" s="296" t="s">
        <v>49</v>
      </c>
      <c r="AN5295" s="296" t="s">
        <v>284</v>
      </c>
      <c r="AO5295" s="296" t="s">
        <v>50</v>
      </c>
      <c r="AP5295" s="296" t="s">
        <v>51</v>
      </c>
      <c r="AQ5295" s="82" t="s">
        <v>755</v>
      </c>
    </row>
    <row r="5296" spans="1:43" ht="15" customHeight="1">
      <c r="A5296" s="69">
        <v>43731</v>
      </c>
      <c r="B5296" s="70" t="s">
        <v>1656</v>
      </c>
      <c r="C5296" s="21"/>
      <c r="D5296" s="21" t="s">
        <v>1657</v>
      </c>
      <c r="E5296" s="520" t="s">
        <v>1662</v>
      </c>
      <c r="F5296" s="24">
        <v>6</v>
      </c>
      <c r="G5296" s="48">
        <v>3.75</v>
      </c>
      <c r="H5296" s="60">
        <v>22.5</v>
      </c>
      <c r="I5296" s="61" t="s">
        <v>104</v>
      </c>
      <c r="J5296" s="50"/>
      <c r="K5296" s="29">
        <v>43782</v>
      </c>
      <c r="W5296" s="303">
        <v>43830</v>
      </c>
      <c r="X5296" s="303">
        <v>43781</v>
      </c>
      <c r="Y5296" s="304" t="s">
        <v>1659</v>
      </c>
      <c r="Z5296" s="304"/>
      <c r="AA5296" s="304"/>
      <c r="AB5296" s="237"/>
      <c r="AC5296" s="244"/>
      <c r="AD5296" s="244"/>
      <c r="AE5296" s="244"/>
      <c r="AF5296" s="244"/>
      <c r="AG5296" s="296"/>
      <c r="AH5296" s="296"/>
      <c r="AI5296" s="297"/>
      <c r="AJ5296" s="298">
        <v>43732</v>
      </c>
      <c r="AK5296" s="297"/>
      <c r="AL5296" s="297"/>
      <c r="AM5296" s="296" t="s">
        <v>49</v>
      </c>
      <c r="AN5296" s="296" t="s">
        <v>284</v>
      </c>
      <c r="AO5296" s="296" t="s">
        <v>50</v>
      </c>
      <c r="AP5296" s="296" t="s">
        <v>51</v>
      </c>
      <c r="AQ5296" s="82" t="s">
        <v>755</v>
      </c>
    </row>
    <row r="5297" spans="1:43" ht="15" customHeight="1">
      <c r="A5297" s="69">
        <v>43731</v>
      </c>
      <c r="B5297" s="70" t="s">
        <v>76</v>
      </c>
      <c r="C5297" s="21"/>
      <c r="D5297" s="21" t="s">
        <v>1663</v>
      </c>
      <c r="E5297" s="32" t="s">
        <v>553</v>
      </c>
      <c r="F5297" s="82">
        <v>50</v>
      </c>
      <c r="G5297" s="150">
        <v>2.5</v>
      </c>
      <c r="H5297" s="26">
        <v>125</v>
      </c>
      <c r="I5297" s="61" t="s">
        <v>42</v>
      </c>
      <c r="J5297" s="429" t="s">
        <v>922</v>
      </c>
      <c r="K5297" s="29">
        <v>43769</v>
      </c>
      <c r="W5297" s="460">
        <v>43774</v>
      </c>
      <c r="X5297" s="303">
        <v>43755</v>
      </c>
      <c r="Y5297" s="304" t="s">
        <v>1664</v>
      </c>
      <c r="Z5297" s="304"/>
      <c r="AA5297" s="304"/>
      <c r="AB5297" s="237"/>
      <c r="AC5297" s="244"/>
      <c r="AD5297" s="244"/>
      <c r="AE5297" s="244"/>
      <c r="AF5297" s="244"/>
      <c r="AG5297" s="296"/>
      <c r="AH5297" s="296"/>
      <c r="AI5297" s="297"/>
      <c r="AJ5297" s="537"/>
      <c r="AK5297" s="298"/>
      <c r="AL5297" s="297"/>
      <c r="AM5297" s="296" t="s">
        <v>49</v>
      </c>
      <c r="AN5297" s="296" t="s">
        <v>284</v>
      </c>
      <c r="AO5297" s="296" t="s">
        <v>50</v>
      </c>
      <c r="AP5297" s="296" t="s">
        <v>51</v>
      </c>
      <c r="AQ5297" s="82" t="s">
        <v>755</v>
      </c>
    </row>
    <row r="5298" spans="1:43" ht="15" customHeight="1">
      <c r="A5298" s="69">
        <v>43733</v>
      </c>
      <c r="B5298" s="70" t="s">
        <v>629</v>
      </c>
      <c r="C5298" s="21" t="s">
        <v>1665</v>
      </c>
      <c r="D5298" s="21" t="s">
        <v>1666</v>
      </c>
      <c r="E5298" s="32" t="s">
        <v>632</v>
      </c>
      <c r="F5298" s="24">
        <v>15</v>
      </c>
      <c r="G5298" s="48">
        <v>173.25</v>
      </c>
      <c r="H5298" s="60">
        <v>2598.75</v>
      </c>
      <c r="I5298" s="61" t="s">
        <v>143</v>
      </c>
      <c r="J5298" s="405" t="s">
        <v>1074</v>
      </c>
      <c r="K5298" s="30">
        <v>43740</v>
      </c>
      <c r="W5298" s="460">
        <v>43774</v>
      </c>
      <c r="X5298" s="460">
        <v>43735</v>
      </c>
      <c r="Y5298" s="304" t="s">
        <v>1667</v>
      </c>
      <c r="Z5298" s="304">
        <v>76388</v>
      </c>
      <c r="AA5298" s="304"/>
      <c r="AB5298" s="237"/>
      <c r="AC5298" s="244"/>
      <c r="AD5298" s="244"/>
      <c r="AE5298" s="244"/>
      <c r="AF5298" s="244"/>
      <c r="AG5298" s="296"/>
      <c r="AH5298" s="296"/>
      <c r="AI5298" s="297"/>
      <c r="AJ5298" s="29">
        <v>43780</v>
      </c>
      <c r="AK5298" s="297">
        <v>80622</v>
      </c>
      <c r="AL5298" s="297">
        <v>30</v>
      </c>
      <c r="AM5298" s="296" t="s">
        <v>49</v>
      </c>
      <c r="AN5298" s="296" t="s">
        <v>284</v>
      </c>
      <c r="AO5298" s="296" t="s">
        <v>50</v>
      </c>
      <c r="AP5298" s="296" t="s">
        <v>376</v>
      </c>
      <c r="AQ5298" s="82" t="s">
        <v>755</v>
      </c>
    </row>
    <row r="5299" spans="1:43" ht="15" customHeight="1">
      <c r="A5299" s="467">
        <v>43733</v>
      </c>
      <c r="B5299" s="144" t="s">
        <v>377</v>
      </c>
      <c r="C5299" s="21">
        <v>9109</v>
      </c>
      <c r="D5299" s="21" t="s">
        <v>1668</v>
      </c>
      <c r="E5299" s="32" t="s">
        <v>1669</v>
      </c>
      <c r="F5299" s="24">
        <v>50</v>
      </c>
      <c r="G5299" s="48">
        <v>253</v>
      </c>
      <c r="H5299" s="81">
        <v>12650</v>
      </c>
      <c r="I5299" s="61" t="s">
        <v>247</v>
      </c>
      <c r="J5299" s="58" t="s">
        <v>1107</v>
      </c>
      <c r="K5299" s="84">
        <v>43816</v>
      </c>
      <c r="W5299" s="303">
        <v>43781</v>
      </c>
      <c r="X5299" s="303">
        <v>43782</v>
      </c>
      <c r="Y5299" s="304" t="s">
        <v>1670</v>
      </c>
      <c r="Z5299" s="304">
        <v>260988</v>
      </c>
      <c r="AA5299" s="303">
        <v>43781</v>
      </c>
      <c r="AB5299" s="237"/>
      <c r="AC5299" s="244"/>
      <c r="AD5299" s="244"/>
      <c r="AE5299" s="244"/>
      <c r="AF5299" s="244"/>
      <c r="AG5299" s="296"/>
      <c r="AH5299" s="296"/>
      <c r="AI5299" s="297"/>
      <c r="AJ5299" s="537"/>
      <c r="AK5299" s="297"/>
      <c r="AL5299" s="297"/>
      <c r="AM5299" s="296"/>
      <c r="AN5299" s="82" t="s">
        <v>284</v>
      </c>
      <c r="AO5299" s="296" t="s">
        <v>285</v>
      </c>
      <c r="AP5299" s="296" t="s">
        <v>51</v>
      </c>
      <c r="AQ5299" s="296" t="s">
        <v>1346</v>
      </c>
    </row>
    <row r="5300" spans="1:43" ht="15" customHeight="1">
      <c r="A5300" s="467">
        <v>43733</v>
      </c>
      <c r="B5300" s="144" t="s">
        <v>377</v>
      </c>
      <c r="C5300" s="21">
        <v>9109</v>
      </c>
      <c r="D5300" s="21" t="s">
        <v>1671</v>
      </c>
      <c r="E5300" s="246" t="s">
        <v>1119</v>
      </c>
      <c r="F5300" s="24">
        <v>50</v>
      </c>
      <c r="G5300" s="48">
        <v>0</v>
      </c>
      <c r="H5300" s="216">
        <v>0</v>
      </c>
      <c r="I5300" s="61" t="s">
        <v>247</v>
      </c>
      <c r="J5300" s="58" t="s">
        <v>1107</v>
      </c>
      <c r="K5300" s="84">
        <v>43816</v>
      </c>
      <c r="W5300" s="304"/>
      <c r="X5300" s="304"/>
      <c r="Y5300" s="304"/>
      <c r="Z5300" s="304"/>
      <c r="AA5300" s="304"/>
      <c r="AB5300" s="237"/>
      <c r="AC5300" s="244"/>
      <c r="AD5300" s="244"/>
      <c r="AE5300" s="244"/>
      <c r="AF5300" s="244"/>
      <c r="AG5300" s="296"/>
      <c r="AH5300" s="296"/>
      <c r="AI5300" s="297"/>
      <c r="AJ5300" s="296"/>
      <c r="AK5300" s="297"/>
      <c r="AL5300" s="297"/>
      <c r="AM5300" s="296" t="s">
        <v>1212</v>
      </c>
      <c r="AN5300" s="82" t="s">
        <v>284</v>
      </c>
      <c r="AO5300" s="296" t="s">
        <v>285</v>
      </c>
      <c r="AP5300" s="296" t="s">
        <v>51</v>
      </c>
      <c r="AQ5300" s="296" t="s">
        <v>1346</v>
      </c>
    </row>
    <row r="5301" spans="1:43" ht="15" customHeight="1">
      <c r="A5301" s="467">
        <v>43733</v>
      </c>
      <c r="B5301" s="144" t="s">
        <v>377</v>
      </c>
      <c r="C5301" s="21">
        <v>9109</v>
      </c>
      <c r="D5301" s="21" t="s">
        <v>1671</v>
      </c>
      <c r="E5301" s="246" t="s">
        <v>1672</v>
      </c>
      <c r="F5301" s="24">
        <v>50</v>
      </c>
      <c r="G5301" s="48">
        <v>0</v>
      </c>
      <c r="H5301" s="60">
        <v>0</v>
      </c>
      <c r="I5301" s="61" t="s">
        <v>247</v>
      </c>
      <c r="J5301" s="58" t="s">
        <v>1107</v>
      </c>
      <c r="K5301" s="84">
        <v>43816</v>
      </c>
      <c r="W5301" s="304"/>
      <c r="X5301" s="304"/>
      <c r="Y5301" s="304"/>
      <c r="Z5301" s="304"/>
      <c r="AA5301" s="304"/>
      <c r="AB5301" s="237"/>
      <c r="AC5301" s="244"/>
      <c r="AD5301" s="244"/>
      <c r="AE5301" s="244"/>
      <c r="AF5301" s="244"/>
      <c r="AG5301" s="296"/>
      <c r="AH5301" s="296"/>
      <c r="AI5301" s="297"/>
      <c r="AJ5301" s="296"/>
      <c r="AK5301" s="297"/>
      <c r="AL5301" s="297"/>
      <c r="AM5301" s="296" t="s">
        <v>1212</v>
      </c>
      <c r="AN5301" s="82" t="s">
        <v>284</v>
      </c>
      <c r="AO5301" s="296" t="s">
        <v>285</v>
      </c>
      <c r="AP5301" s="296" t="s">
        <v>51</v>
      </c>
      <c r="AQ5301" s="296" t="s">
        <v>1346</v>
      </c>
    </row>
    <row r="5302" spans="1:43" ht="15" customHeight="1">
      <c r="A5302" s="69">
        <v>43735</v>
      </c>
      <c r="B5302" s="70" t="s">
        <v>129</v>
      </c>
      <c r="C5302" s="21"/>
      <c r="D5302" s="21" t="s">
        <v>1673</v>
      </c>
      <c r="E5302" s="32" t="s">
        <v>1395</v>
      </c>
      <c r="F5302" s="24">
        <v>1</v>
      </c>
      <c r="G5302" s="48">
        <v>112</v>
      </c>
      <c r="H5302" s="60">
        <v>112</v>
      </c>
      <c r="I5302" s="61" t="s">
        <v>247</v>
      </c>
      <c r="J5302" s="50" t="s">
        <v>133</v>
      </c>
      <c r="K5302" s="30">
        <v>43741</v>
      </c>
      <c r="W5302" s="303">
        <v>43799</v>
      </c>
      <c r="X5302" s="460">
        <v>43739</v>
      </c>
      <c r="Y5302" s="304" t="s">
        <v>1674</v>
      </c>
      <c r="Z5302" s="304">
        <v>3382</v>
      </c>
      <c r="AA5302" s="304"/>
      <c r="AB5302" s="237"/>
      <c r="AC5302" s="244"/>
      <c r="AD5302" s="244"/>
      <c r="AE5302" s="244"/>
      <c r="AF5302" s="244"/>
      <c r="AG5302" s="296"/>
      <c r="AH5302" s="296"/>
      <c r="AI5302" s="297"/>
      <c r="AJ5302" s="29">
        <v>43756</v>
      </c>
      <c r="AK5302" s="297"/>
      <c r="AL5302" s="297"/>
      <c r="AM5302" s="296" t="s">
        <v>49</v>
      </c>
      <c r="AN5302" s="296" t="s">
        <v>284</v>
      </c>
      <c r="AO5302" s="296" t="s">
        <v>50</v>
      </c>
      <c r="AP5302" s="296" t="s">
        <v>51</v>
      </c>
      <c r="AQ5302" s="82" t="s">
        <v>755</v>
      </c>
    </row>
    <row r="5303" spans="1:43" ht="15" customHeight="1">
      <c r="A5303" s="69">
        <v>43738</v>
      </c>
      <c r="B5303" s="23" t="s">
        <v>405</v>
      </c>
      <c r="C5303" s="21">
        <v>7000150545</v>
      </c>
      <c r="D5303" s="21" t="s">
        <v>1675</v>
      </c>
      <c r="E5303" s="32" t="s">
        <v>804</v>
      </c>
      <c r="F5303" s="24">
        <v>2</v>
      </c>
      <c r="G5303" s="48">
        <v>43</v>
      </c>
      <c r="H5303" s="60">
        <v>86</v>
      </c>
      <c r="I5303" s="61" t="s">
        <v>42</v>
      </c>
      <c r="J5303" s="82" t="s">
        <v>519</v>
      </c>
      <c r="K5303" s="145">
        <v>43756</v>
      </c>
      <c r="W5303" s="303">
        <v>43830</v>
      </c>
      <c r="X5303" s="304"/>
      <c r="Y5303" s="304"/>
      <c r="Z5303" s="304">
        <v>98301</v>
      </c>
      <c r="AA5303" s="304"/>
      <c r="AB5303" s="237"/>
      <c r="AC5303" s="244"/>
      <c r="AD5303" s="244"/>
      <c r="AE5303" s="244"/>
      <c r="AF5303" s="244"/>
      <c r="AG5303" s="296"/>
      <c r="AH5303" s="296"/>
      <c r="AI5303" s="297"/>
      <c r="AJ5303" s="29">
        <v>43789</v>
      </c>
      <c r="AK5303" s="297"/>
      <c r="AL5303" s="297"/>
      <c r="AM5303" s="296" t="s">
        <v>49</v>
      </c>
      <c r="AN5303" s="296" t="s">
        <v>284</v>
      </c>
      <c r="AO5303" s="296" t="s">
        <v>50</v>
      </c>
      <c r="AP5303" s="296" t="s">
        <v>51</v>
      </c>
      <c r="AQ5303" s="82" t="s">
        <v>755</v>
      </c>
    </row>
    <row r="5304" spans="1:43" ht="15" customHeight="1">
      <c r="A5304" s="69">
        <v>43738</v>
      </c>
      <c r="B5304" s="23" t="s">
        <v>405</v>
      </c>
      <c r="C5304" s="21">
        <v>7000150545</v>
      </c>
      <c r="D5304" s="21" t="s">
        <v>1675</v>
      </c>
      <c r="E5304" s="32" t="s">
        <v>614</v>
      </c>
      <c r="F5304" s="24">
        <v>4</v>
      </c>
      <c r="G5304" s="48">
        <v>24</v>
      </c>
      <c r="H5304" s="60">
        <v>96</v>
      </c>
      <c r="I5304" s="61" t="s">
        <v>42</v>
      </c>
      <c r="J5304" s="82" t="s">
        <v>519</v>
      </c>
      <c r="K5304" s="145">
        <v>43756</v>
      </c>
      <c r="W5304" s="303">
        <v>43830</v>
      </c>
      <c r="X5304" s="304"/>
      <c r="Y5304" s="304"/>
      <c r="Z5304" s="304">
        <v>98301</v>
      </c>
      <c r="AA5304" s="304"/>
      <c r="AB5304" s="237"/>
      <c r="AC5304" s="244"/>
      <c r="AD5304" s="244"/>
      <c r="AE5304" s="244"/>
      <c r="AF5304" s="244"/>
      <c r="AG5304" s="296"/>
      <c r="AH5304" s="296"/>
      <c r="AI5304" s="297"/>
      <c r="AJ5304" s="29">
        <v>43789</v>
      </c>
      <c r="AK5304" s="297"/>
      <c r="AL5304" s="297"/>
      <c r="AM5304" s="296" t="s">
        <v>49</v>
      </c>
      <c r="AN5304" s="296" t="s">
        <v>284</v>
      </c>
      <c r="AO5304" s="296" t="s">
        <v>50</v>
      </c>
      <c r="AP5304" s="296" t="s">
        <v>51</v>
      </c>
      <c r="AQ5304" s="82" t="s">
        <v>755</v>
      </c>
    </row>
    <row r="5305" spans="1:43" ht="15" customHeight="1">
      <c r="A5305" s="110">
        <v>43738</v>
      </c>
      <c r="B5305" s="72" t="s">
        <v>405</v>
      </c>
      <c r="C5305" s="71">
        <v>7000150545</v>
      </c>
      <c r="D5305" s="71" t="s">
        <v>1675</v>
      </c>
      <c r="E5305" s="72" t="s">
        <v>805</v>
      </c>
      <c r="F5305" s="114">
        <v>2</v>
      </c>
      <c r="G5305" s="115">
        <v>8.5</v>
      </c>
      <c r="H5305" s="60">
        <v>17</v>
      </c>
      <c r="I5305" s="154" t="s">
        <v>42</v>
      </c>
      <c r="J5305" s="82" t="s">
        <v>519</v>
      </c>
      <c r="K5305" s="145">
        <v>43756</v>
      </c>
      <c r="W5305" s="303">
        <v>43830</v>
      </c>
      <c r="X5305" s="304"/>
      <c r="Y5305" s="304"/>
      <c r="Z5305" s="304">
        <v>98301</v>
      </c>
      <c r="AA5305" s="304"/>
      <c r="AB5305" s="237"/>
      <c r="AC5305" s="244"/>
      <c r="AD5305" s="244"/>
      <c r="AE5305" s="244"/>
      <c r="AF5305" s="244"/>
      <c r="AG5305" s="296"/>
      <c r="AH5305" s="296"/>
      <c r="AI5305" s="297"/>
      <c r="AJ5305" s="29">
        <v>43789</v>
      </c>
      <c r="AK5305" s="297"/>
      <c r="AL5305" s="297"/>
      <c r="AM5305" s="296" t="s">
        <v>49</v>
      </c>
      <c r="AN5305" s="296" t="s">
        <v>284</v>
      </c>
      <c r="AO5305" s="296" t="s">
        <v>50</v>
      </c>
      <c r="AP5305" s="296" t="s">
        <v>51</v>
      </c>
      <c r="AQ5305" s="82" t="s">
        <v>755</v>
      </c>
    </row>
    <row r="5306" spans="1:43" ht="15" customHeight="1">
      <c r="A5306" s="110">
        <v>43738</v>
      </c>
      <c r="B5306" s="23" t="s">
        <v>405</v>
      </c>
      <c r="C5306" s="70">
        <v>7000150545</v>
      </c>
      <c r="D5306" s="71" t="s">
        <v>1675</v>
      </c>
      <c r="E5306" s="23" t="s">
        <v>1676</v>
      </c>
      <c r="F5306" s="130">
        <v>2</v>
      </c>
      <c r="G5306" s="25">
        <v>290</v>
      </c>
      <c r="H5306" s="60">
        <v>580</v>
      </c>
      <c r="I5306" s="61" t="s">
        <v>42</v>
      </c>
      <c r="J5306" s="82" t="s">
        <v>519</v>
      </c>
      <c r="K5306" s="145">
        <v>43756</v>
      </c>
      <c r="W5306" s="303">
        <v>43830</v>
      </c>
      <c r="X5306" s="303">
        <v>43752</v>
      </c>
      <c r="Y5306" s="304" t="s">
        <v>1677</v>
      </c>
      <c r="Z5306" s="304">
        <v>98301</v>
      </c>
      <c r="AA5306" s="304"/>
      <c r="AB5306" s="237"/>
      <c r="AC5306" s="244"/>
      <c r="AD5306" s="244"/>
      <c r="AE5306" s="244"/>
      <c r="AF5306" s="244"/>
      <c r="AG5306" s="296"/>
      <c r="AH5306" s="296"/>
      <c r="AI5306" s="297"/>
      <c r="AJ5306" s="29">
        <v>43789</v>
      </c>
      <c r="AK5306" s="297">
        <f>5808.43*30.43</f>
        <v>176750.52490000002</v>
      </c>
      <c r="AL5306" s="297">
        <f>(5837-5808.43)*30.43</f>
        <v>869.3850999999911</v>
      </c>
      <c r="AM5306" s="296" t="s">
        <v>49</v>
      </c>
      <c r="AN5306" s="296" t="s">
        <v>284</v>
      </c>
      <c r="AO5306" s="296" t="s">
        <v>50</v>
      </c>
      <c r="AP5306" s="296" t="s">
        <v>51</v>
      </c>
      <c r="AQ5306" s="82" t="s">
        <v>755</v>
      </c>
    </row>
    <row r="5307" spans="1:43" ht="15" customHeight="1">
      <c r="A5307" s="110">
        <v>43738</v>
      </c>
      <c r="B5307" s="23" t="s">
        <v>405</v>
      </c>
      <c r="C5307" s="70">
        <v>7000150545</v>
      </c>
      <c r="D5307" s="71" t="s">
        <v>1675</v>
      </c>
      <c r="E5307" s="23" t="s">
        <v>609</v>
      </c>
      <c r="F5307" s="130">
        <v>10</v>
      </c>
      <c r="G5307" s="25">
        <v>148</v>
      </c>
      <c r="H5307" s="60">
        <v>1480</v>
      </c>
      <c r="I5307" s="61" t="s">
        <v>42</v>
      </c>
      <c r="J5307" s="82" t="s">
        <v>519</v>
      </c>
      <c r="K5307" s="145">
        <v>43756</v>
      </c>
      <c r="W5307" s="303">
        <v>43830</v>
      </c>
      <c r="X5307" s="304"/>
      <c r="Y5307" s="304"/>
      <c r="Z5307" s="304">
        <v>98301</v>
      </c>
      <c r="AA5307" s="304"/>
      <c r="AB5307" s="237"/>
      <c r="AC5307" s="244"/>
      <c r="AD5307" s="244"/>
      <c r="AE5307" s="244"/>
      <c r="AF5307" s="244"/>
      <c r="AG5307" s="296"/>
      <c r="AH5307" s="296"/>
      <c r="AI5307" s="297"/>
      <c r="AJ5307" s="29">
        <v>43789</v>
      </c>
      <c r="AK5307" s="297"/>
      <c r="AL5307" s="297"/>
      <c r="AM5307" s="296" t="s">
        <v>49</v>
      </c>
      <c r="AN5307" s="296" t="s">
        <v>284</v>
      </c>
      <c r="AO5307" s="296" t="s">
        <v>50</v>
      </c>
      <c r="AP5307" s="296" t="s">
        <v>51</v>
      </c>
      <c r="AQ5307" s="82" t="s">
        <v>755</v>
      </c>
    </row>
    <row r="5308" spans="1:43" ht="15" customHeight="1">
      <c r="A5308" s="69">
        <v>43738</v>
      </c>
      <c r="B5308" s="23" t="s">
        <v>405</v>
      </c>
      <c r="C5308" s="21">
        <v>7000150545</v>
      </c>
      <c r="D5308" s="21" t="s">
        <v>1675</v>
      </c>
      <c r="E5308" s="23" t="s">
        <v>803</v>
      </c>
      <c r="F5308" s="24">
        <v>2</v>
      </c>
      <c r="G5308" s="25">
        <v>291</v>
      </c>
      <c r="H5308" s="60">
        <v>582</v>
      </c>
      <c r="I5308" s="61" t="s">
        <v>42</v>
      </c>
      <c r="J5308" s="82" t="s">
        <v>519</v>
      </c>
      <c r="K5308" s="145">
        <v>43756</v>
      </c>
      <c r="W5308" s="303">
        <v>43830</v>
      </c>
      <c r="X5308" s="304"/>
      <c r="Y5308" s="304"/>
      <c r="Z5308" s="304">
        <v>98301</v>
      </c>
      <c r="AA5308" s="304"/>
      <c r="AB5308" s="237"/>
      <c r="AC5308" s="244"/>
      <c r="AD5308" s="244"/>
      <c r="AE5308" s="244"/>
      <c r="AF5308" s="244"/>
      <c r="AG5308" s="296"/>
      <c r="AH5308" s="296"/>
      <c r="AI5308" s="297"/>
      <c r="AJ5308" s="29">
        <v>43789</v>
      </c>
      <c r="AK5308" s="297"/>
      <c r="AL5308" s="297"/>
      <c r="AM5308" s="296" t="s">
        <v>49</v>
      </c>
      <c r="AN5308" s="296" t="s">
        <v>284</v>
      </c>
      <c r="AO5308" s="296" t="s">
        <v>50</v>
      </c>
      <c r="AP5308" s="296" t="s">
        <v>51</v>
      </c>
      <c r="AQ5308" s="82" t="s">
        <v>755</v>
      </c>
    </row>
    <row r="5309" spans="1:43" ht="15" customHeight="1">
      <c r="A5309" s="69">
        <v>43738</v>
      </c>
      <c r="B5309" s="23" t="s">
        <v>405</v>
      </c>
      <c r="C5309" s="21">
        <v>7000150545</v>
      </c>
      <c r="D5309" s="21" t="s">
        <v>1675</v>
      </c>
      <c r="E5309" s="23" t="s">
        <v>1678</v>
      </c>
      <c r="F5309" s="24">
        <v>2</v>
      </c>
      <c r="G5309" s="25">
        <v>300</v>
      </c>
      <c r="H5309" s="60">
        <v>600</v>
      </c>
      <c r="I5309" s="61" t="s">
        <v>42</v>
      </c>
      <c r="J5309" s="82" t="s">
        <v>519</v>
      </c>
      <c r="K5309" s="145">
        <v>43756</v>
      </c>
      <c r="W5309" s="303">
        <v>43830</v>
      </c>
      <c r="X5309" s="304"/>
      <c r="Y5309" s="304"/>
      <c r="Z5309" s="304">
        <v>98301</v>
      </c>
      <c r="AA5309" s="304"/>
      <c r="AB5309" s="237"/>
      <c r="AC5309" s="244"/>
      <c r="AD5309" s="244"/>
      <c r="AE5309" s="244"/>
      <c r="AF5309" s="244"/>
      <c r="AG5309" s="296"/>
      <c r="AH5309" s="296"/>
      <c r="AI5309" s="297"/>
      <c r="AJ5309" s="29">
        <v>43789</v>
      </c>
      <c r="AK5309" s="297"/>
      <c r="AL5309" s="297"/>
      <c r="AM5309" s="296" t="s">
        <v>49</v>
      </c>
      <c r="AN5309" s="296" t="s">
        <v>284</v>
      </c>
      <c r="AO5309" s="296" t="s">
        <v>50</v>
      </c>
      <c r="AP5309" s="296" t="s">
        <v>51</v>
      </c>
      <c r="AQ5309" s="82" t="s">
        <v>755</v>
      </c>
    </row>
    <row r="5310" spans="1:43" ht="15" customHeight="1">
      <c r="A5310" s="69">
        <v>43738</v>
      </c>
      <c r="B5310" s="23" t="s">
        <v>405</v>
      </c>
      <c r="C5310" s="21">
        <v>7000150545</v>
      </c>
      <c r="D5310" s="21" t="s">
        <v>1675</v>
      </c>
      <c r="E5310" s="23" t="s">
        <v>1679</v>
      </c>
      <c r="F5310" s="130">
        <v>2</v>
      </c>
      <c r="G5310" s="25">
        <v>185</v>
      </c>
      <c r="H5310" s="60">
        <v>370</v>
      </c>
      <c r="I5310" s="61" t="s">
        <v>42</v>
      </c>
      <c r="J5310" s="82" t="s">
        <v>519</v>
      </c>
      <c r="K5310" s="145">
        <v>43756</v>
      </c>
      <c r="W5310" s="303">
        <v>43799</v>
      </c>
      <c r="X5310" s="303">
        <v>43752</v>
      </c>
      <c r="Y5310" s="304" t="s">
        <v>1680</v>
      </c>
      <c r="Z5310" s="304">
        <v>10920</v>
      </c>
      <c r="AA5310" s="304"/>
      <c r="AB5310" s="237"/>
      <c r="AC5310" s="244"/>
      <c r="AD5310" s="244"/>
      <c r="AE5310" s="244"/>
      <c r="AF5310" s="244"/>
      <c r="AG5310" s="296"/>
      <c r="AH5310" s="296"/>
      <c r="AI5310" s="297"/>
      <c r="AJ5310" s="29">
        <v>43789</v>
      </c>
      <c r="AK5310" s="297"/>
      <c r="AL5310" s="297"/>
      <c r="AM5310" s="296" t="s">
        <v>49</v>
      </c>
      <c r="AN5310" s="296" t="s">
        <v>284</v>
      </c>
      <c r="AO5310" s="296" t="s">
        <v>50</v>
      </c>
      <c r="AP5310" s="296" t="s">
        <v>51</v>
      </c>
      <c r="AQ5310" s="82" t="s">
        <v>755</v>
      </c>
    </row>
    <row r="5311" spans="1:43" ht="15" customHeight="1">
      <c r="A5311" s="69">
        <v>43738</v>
      </c>
      <c r="B5311" s="23" t="s">
        <v>405</v>
      </c>
      <c r="C5311" s="21">
        <v>7000150545</v>
      </c>
      <c r="D5311" s="21" t="s">
        <v>1675</v>
      </c>
      <c r="E5311" s="23" t="s">
        <v>801</v>
      </c>
      <c r="F5311" s="130">
        <v>2</v>
      </c>
      <c r="G5311" s="25">
        <v>67</v>
      </c>
      <c r="H5311" s="60">
        <v>134</v>
      </c>
      <c r="I5311" s="61" t="s">
        <v>42</v>
      </c>
      <c r="J5311" s="82" t="s">
        <v>519</v>
      </c>
      <c r="K5311" s="145">
        <v>43756</v>
      </c>
      <c r="W5311" s="303">
        <v>43830</v>
      </c>
      <c r="X5311" s="304"/>
      <c r="Y5311" s="304"/>
      <c r="Z5311" s="304">
        <v>98301</v>
      </c>
      <c r="AA5311" s="304"/>
      <c r="AB5311" s="237"/>
      <c r="AC5311" s="244"/>
      <c r="AD5311" s="244"/>
      <c r="AE5311" s="244"/>
      <c r="AF5311" s="244"/>
      <c r="AG5311" s="296"/>
      <c r="AH5311" s="296"/>
      <c r="AI5311" s="297"/>
      <c r="AJ5311" s="29">
        <v>43789</v>
      </c>
      <c r="AK5311" s="297"/>
      <c r="AL5311" s="297"/>
      <c r="AM5311" s="296" t="s">
        <v>49</v>
      </c>
      <c r="AN5311" s="296" t="s">
        <v>284</v>
      </c>
      <c r="AO5311" s="296" t="s">
        <v>50</v>
      </c>
      <c r="AP5311" s="296" t="s">
        <v>51</v>
      </c>
      <c r="AQ5311" s="82" t="s">
        <v>755</v>
      </c>
    </row>
    <row r="5312" spans="1:43" ht="15" customHeight="1">
      <c r="A5312" s="69">
        <v>43738</v>
      </c>
      <c r="B5312" s="144" t="s">
        <v>76</v>
      </c>
      <c r="C5312" s="21">
        <v>710</v>
      </c>
      <c r="D5312" s="71" t="s">
        <v>1681</v>
      </c>
      <c r="E5312" s="23" t="s">
        <v>642</v>
      </c>
      <c r="F5312" s="130">
        <v>6</v>
      </c>
      <c r="G5312" s="25">
        <v>200</v>
      </c>
      <c r="H5312" s="60">
        <v>1200</v>
      </c>
      <c r="I5312" s="61" t="s">
        <v>42</v>
      </c>
      <c r="J5312" s="82" t="s">
        <v>922</v>
      </c>
      <c r="K5312" s="30">
        <v>43769</v>
      </c>
      <c r="W5312" s="460">
        <v>43774</v>
      </c>
      <c r="X5312" s="303">
        <v>43761</v>
      </c>
      <c r="Y5312" s="304" t="s">
        <v>1682</v>
      </c>
      <c r="Z5312" s="304"/>
      <c r="AA5312" s="304"/>
      <c r="AB5312" s="237"/>
      <c r="AC5312" s="244"/>
      <c r="AD5312" s="244"/>
      <c r="AE5312" s="244"/>
      <c r="AF5312" s="244"/>
      <c r="AG5312" s="296"/>
      <c r="AH5312" s="296"/>
      <c r="AI5312" s="297"/>
      <c r="AJ5312" s="537"/>
      <c r="AK5312" s="298"/>
      <c r="AL5312" s="297"/>
      <c r="AM5312" s="296" t="s">
        <v>49</v>
      </c>
      <c r="AN5312" s="296" t="s">
        <v>284</v>
      </c>
      <c r="AO5312" s="296" t="s">
        <v>285</v>
      </c>
      <c r="AP5312" s="296" t="s">
        <v>51</v>
      </c>
      <c r="AQ5312" s="82" t="s">
        <v>755</v>
      </c>
    </row>
    <row r="5313" spans="1:43" ht="15" customHeight="1">
      <c r="A5313" s="69">
        <v>43738</v>
      </c>
      <c r="B5313" s="144" t="s">
        <v>76</v>
      </c>
      <c r="C5313" s="70">
        <v>710</v>
      </c>
      <c r="D5313" s="71" t="s">
        <v>1681</v>
      </c>
      <c r="E5313" s="32" t="s">
        <v>644</v>
      </c>
      <c r="F5313" s="130">
        <v>6</v>
      </c>
      <c r="G5313" s="25">
        <v>0</v>
      </c>
      <c r="H5313" s="60">
        <v>0</v>
      </c>
      <c r="I5313" s="61" t="s">
        <v>42</v>
      </c>
      <c r="J5313" s="82" t="s">
        <v>922</v>
      </c>
      <c r="K5313" s="30">
        <v>43769</v>
      </c>
      <c r="W5313" s="460">
        <v>43774</v>
      </c>
      <c r="X5313" s="303">
        <v>43761</v>
      </c>
      <c r="Y5313" s="304" t="s">
        <v>1682</v>
      </c>
      <c r="Z5313" s="304"/>
      <c r="AA5313" s="304"/>
      <c r="AB5313" s="237"/>
      <c r="AC5313" s="244"/>
      <c r="AD5313" s="244"/>
      <c r="AE5313" s="244"/>
      <c r="AF5313" s="244"/>
      <c r="AG5313" s="296"/>
      <c r="AH5313" s="296"/>
      <c r="AI5313" s="297"/>
      <c r="AJ5313" s="537"/>
      <c r="AK5313" s="296"/>
      <c r="AL5313" s="297"/>
      <c r="AM5313" s="296" t="s">
        <v>49</v>
      </c>
      <c r="AN5313" s="296" t="s">
        <v>284</v>
      </c>
      <c r="AO5313" s="296" t="s">
        <v>285</v>
      </c>
      <c r="AP5313" s="296" t="s">
        <v>51</v>
      </c>
      <c r="AQ5313" s="82" t="s">
        <v>755</v>
      </c>
    </row>
    <row r="5314" spans="1:43" ht="15" customHeight="1">
      <c r="A5314" s="69">
        <v>43738</v>
      </c>
      <c r="B5314" s="144" t="s">
        <v>76</v>
      </c>
      <c r="C5314" s="70">
        <v>710</v>
      </c>
      <c r="D5314" s="71" t="s">
        <v>1681</v>
      </c>
      <c r="E5314" s="32" t="s">
        <v>645</v>
      </c>
      <c r="F5314" s="130">
        <v>6</v>
      </c>
      <c r="G5314" s="25">
        <v>0</v>
      </c>
      <c r="H5314" s="60">
        <v>0</v>
      </c>
      <c r="I5314" s="61" t="s">
        <v>42</v>
      </c>
      <c r="J5314" s="82" t="s">
        <v>922</v>
      </c>
      <c r="K5314" s="30">
        <v>43769</v>
      </c>
      <c r="W5314" s="460">
        <v>43774</v>
      </c>
      <c r="X5314" s="303">
        <v>43761</v>
      </c>
      <c r="Y5314" s="304" t="s">
        <v>1682</v>
      </c>
      <c r="Z5314" s="304"/>
      <c r="AA5314" s="304"/>
      <c r="AB5314" s="237"/>
      <c r="AC5314" s="244"/>
      <c r="AD5314" s="244"/>
      <c r="AE5314" s="244"/>
      <c r="AF5314" s="244"/>
      <c r="AG5314" s="296"/>
      <c r="AH5314" s="296"/>
      <c r="AI5314" s="297"/>
      <c r="AJ5314" s="537"/>
      <c r="AK5314" s="296"/>
      <c r="AL5314" s="297"/>
      <c r="AM5314" s="296" t="s">
        <v>49</v>
      </c>
      <c r="AN5314" s="296" t="s">
        <v>284</v>
      </c>
      <c r="AO5314" s="296" t="s">
        <v>285</v>
      </c>
      <c r="AP5314" s="296" t="s">
        <v>51</v>
      </c>
      <c r="AQ5314" s="82" t="s">
        <v>755</v>
      </c>
    </row>
    <row r="5315" spans="1:43" ht="15" customHeight="1">
      <c r="A5315" s="110">
        <v>43738</v>
      </c>
      <c r="B5315" s="144" t="s">
        <v>76</v>
      </c>
      <c r="C5315" s="21">
        <v>710</v>
      </c>
      <c r="D5315" s="21" t="s">
        <v>1681</v>
      </c>
      <c r="E5315" s="23" t="s">
        <v>646</v>
      </c>
      <c r="F5315" s="419">
        <v>6</v>
      </c>
      <c r="G5315" s="48">
        <v>0</v>
      </c>
      <c r="H5315" s="60">
        <v>0</v>
      </c>
      <c r="I5315" s="61" t="s">
        <v>42</v>
      </c>
      <c r="J5315" s="82" t="s">
        <v>922</v>
      </c>
      <c r="K5315" s="30">
        <v>43769</v>
      </c>
      <c r="W5315" s="304"/>
      <c r="X5315" s="304"/>
      <c r="Y5315" s="304"/>
      <c r="Z5315" s="304"/>
      <c r="AA5315" s="304"/>
      <c r="AB5315" s="237"/>
      <c r="AC5315" s="244"/>
      <c r="AD5315" s="244"/>
      <c r="AE5315" s="244"/>
      <c r="AF5315" s="244"/>
      <c r="AG5315" s="296"/>
      <c r="AH5315" s="296"/>
      <c r="AI5315" s="297"/>
      <c r="AJ5315" s="537"/>
      <c r="AK5315" s="296"/>
      <c r="AL5315" s="297"/>
      <c r="AM5315" s="296" t="s">
        <v>49</v>
      </c>
      <c r="AN5315" s="296" t="s">
        <v>284</v>
      </c>
      <c r="AO5315" s="296" t="s">
        <v>285</v>
      </c>
      <c r="AP5315" s="296" t="s">
        <v>51</v>
      </c>
      <c r="AQ5315" s="82" t="s">
        <v>755</v>
      </c>
    </row>
    <row r="5316" spans="1:43" ht="15" customHeight="1">
      <c r="A5316" s="69">
        <v>43738</v>
      </c>
      <c r="B5316" s="144" t="s">
        <v>76</v>
      </c>
      <c r="C5316" s="70">
        <v>710</v>
      </c>
      <c r="D5316" s="71" t="s">
        <v>1681</v>
      </c>
      <c r="E5316" s="23" t="s">
        <v>647</v>
      </c>
      <c r="F5316" s="130">
        <v>6</v>
      </c>
      <c r="G5316" s="25">
        <v>0</v>
      </c>
      <c r="H5316" s="60">
        <v>0</v>
      </c>
      <c r="I5316" s="61" t="s">
        <v>42</v>
      </c>
      <c r="J5316" s="82" t="s">
        <v>922</v>
      </c>
      <c r="K5316" s="30">
        <v>43769</v>
      </c>
      <c r="W5316" s="304"/>
      <c r="X5316" s="304"/>
      <c r="Y5316" s="304"/>
      <c r="Z5316" s="304"/>
      <c r="AA5316" s="304"/>
      <c r="AB5316" s="237"/>
      <c r="AC5316" s="244"/>
      <c r="AD5316" s="244"/>
      <c r="AE5316" s="244"/>
      <c r="AF5316" s="244"/>
      <c r="AG5316" s="296"/>
      <c r="AH5316" s="296"/>
      <c r="AI5316" s="297"/>
      <c r="AJ5316" s="537"/>
      <c r="AK5316" s="296"/>
      <c r="AL5316" s="297"/>
      <c r="AM5316" s="296" t="s">
        <v>49</v>
      </c>
      <c r="AN5316" s="296" t="s">
        <v>284</v>
      </c>
      <c r="AO5316" s="296" t="s">
        <v>285</v>
      </c>
      <c r="AP5316" s="296" t="s">
        <v>51</v>
      </c>
      <c r="AQ5316" s="82" t="s">
        <v>755</v>
      </c>
    </row>
    <row r="5317" spans="1:43" ht="15" customHeight="1">
      <c r="A5317" s="69">
        <v>43738</v>
      </c>
      <c r="B5317" s="144" t="s">
        <v>76</v>
      </c>
      <c r="C5317" s="70">
        <v>710</v>
      </c>
      <c r="D5317" s="71" t="s">
        <v>1681</v>
      </c>
      <c r="E5317" s="32" t="s">
        <v>650</v>
      </c>
      <c r="F5317" s="130">
        <v>6</v>
      </c>
      <c r="G5317" s="25">
        <v>0</v>
      </c>
      <c r="H5317" s="60">
        <v>0</v>
      </c>
      <c r="I5317" s="61" t="s">
        <v>42</v>
      </c>
      <c r="J5317" s="82" t="s">
        <v>922</v>
      </c>
      <c r="K5317" s="30">
        <v>43769</v>
      </c>
      <c r="W5317" s="304"/>
      <c r="X5317" s="304"/>
      <c r="Y5317" s="304"/>
      <c r="Z5317" s="304"/>
      <c r="AA5317" s="304"/>
      <c r="AB5317" s="237"/>
      <c r="AC5317" s="244"/>
      <c r="AD5317" s="244"/>
      <c r="AE5317" s="244"/>
      <c r="AF5317" s="244"/>
      <c r="AG5317" s="296"/>
      <c r="AH5317" s="296"/>
      <c r="AI5317" s="297"/>
      <c r="AJ5317" s="537"/>
      <c r="AK5317" s="296"/>
      <c r="AL5317" s="297"/>
      <c r="AM5317" s="296" t="s">
        <v>49</v>
      </c>
      <c r="AN5317" s="296" t="s">
        <v>284</v>
      </c>
      <c r="AO5317" s="296" t="s">
        <v>285</v>
      </c>
      <c r="AP5317" s="296" t="s">
        <v>51</v>
      </c>
      <c r="AQ5317" s="82" t="s">
        <v>755</v>
      </c>
    </row>
    <row r="5318" spans="1:43" ht="15" customHeight="1">
      <c r="A5318" s="69">
        <v>43738</v>
      </c>
      <c r="B5318" s="144" t="s">
        <v>76</v>
      </c>
      <c r="C5318" s="70">
        <v>710</v>
      </c>
      <c r="D5318" s="71" t="s">
        <v>1681</v>
      </c>
      <c r="E5318" s="23" t="s">
        <v>648</v>
      </c>
      <c r="F5318" s="130">
        <v>6</v>
      </c>
      <c r="G5318" s="25">
        <v>2</v>
      </c>
      <c r="H5318" s="60">
        <v>12</v>
      </c>
      <c r="I5318" s="61" t="s">
        <v>42</v>
      </c>
      <c r="J5318" s="82" t="s">
        <v>922</v>
      </c>
      <c r="K5318" s="30">
        <v>43769</v>
      </c>
      <c r="W5318" s="304"/>
      <c r="X5318" s="304"/>
      <c r="Y5318" s="304"/>
      <c r="Z5318" s="304"/>
      <c r="AA5318" s="304"/>
      <c r="AB5318" s="237"/>
      <c r="AC5318" s="244"/>
      <c r="AD5318" s="244"/>
      <c r="AE5318" s="244"/>
      <c r="AF5318" s="244"/>
      <c r="AG5318" s="296"/>
      <c r="AH5318" s="296"/>
      <c r="AI5318" s="297"/>
      <c r="AJ5318" s="537"/>
      <c r="AK5318" s="298"/>
      <c r="AL5318" s="297"/>
      <c r="AM5318" s="296" t="s">
        <v>49</v>
      </c>
      <c r="AN5318" s="296" t="s">
        <v>284</v>
      </c>
      <c r="AO5318" s="296" t="s">
        <v>285</v>
      </c>
      <c r="AP5318" s="296" t="s">
        <v>51</v>
      </c>
      <c r="AQ5318" s="82" t="s">
        <v>755</v>
      </c>
    </row>
    <row r="5319" spans="1:43" ht="15" customHeight="1">
      <c r="A5319" s="69">
        <v>43738</v>
      </c>
      <c r="B5319" s="144" t="s">
        <v>76</v>
      </c>
      <c r="C5319" s="21">
        <v>710</v>
      </c>
      <c r="D5319" s="71" t="s">
        <v>1681</v>
      </c>
      <c r="E5319" s="23" t="s">
        <v>649</v>
      </c>
      <c r="F5319" s="130">
        <v>6</v>
      </c>
      <c r="G5319" s="25">
        <v>6</v>
      </c>
      <c r="H5319" s="60">
        <v>36</v>
      </c>
      <c r="I5319" s="61" t="s">
        <v>42</v>
      </c>
      <c r="J5319" s="82" t="s">
        <v>922</v>
      </c>
      <c r="K5319" s="30">
        <v>43769</v>
      </c>
      <c r="W5319" s="304"/>
      <c r="X5319" s="304"/>
      <c r="Y5319" s="304"/>
      <c r="Z5319" s="304"/>
      <c r="AA5319" s="304"/>
      <c r="AB5319" s="237"/>
      <c r="AC5319" s="244"/>
      <c r="AD5319" s="244"/>
      <c r="AE5319" s="244"/>
      <c r="AF5319" s="244"/>
      <c r="AG5319" s="296"/>
      <c r="AH5319" s="296"/>
      <c r="AI5319" s="297"/>
      <c r="AJ5319" s="537"/>
      <c r="AK5319" s="298"/>
      <c r="AL5319" s="297"/>
      <c r="AM5319" s="296" t="s">
        <v>49</v>
      </c>
      <c r="AN5319" s="296" t="s">
        <v>284</v>
      </c>
      <c r="AO5319" s="296" t="s">
        <v>285</v>
      </c>
      <c r="AP5319" s="296" t="s">
        <v>51</v>
      </c>
      <c r="AQ5319" s="82" t="s">
        <v>755</v>
      </c>
    </row>
    <row r="5320" spans="1:43" ht="15" customHeight="1">
      <c r="A5320" s="69">
        <v>43738</v>
      </c>
      <c r="B5320" s="144" t="s">
        <v>76</v>
      </c>
      <c r="C5320" s="21">
        <v>710</v>
      </c>
      <c r="D5320" s="21" t="s">
        <v>1681</v>
      </c>
      <c r="E5320" s="23" t="s">
        <v>644</v>
      </c>
      <c r="F5320" s="130">
        <v>3</v>
      </c>
      <c r="G5320" s="25">
        <v>0</v>
      </c>
      <c r="H5320" s="60">
        <v>0</v>
      </c>
      <c r="I5320" s="61" t="s">
        <v>42</v>
      </c>
      <c r="J5320" s="82" t="s">
        <v>922</v>
      </c>
      <c r="K5320" s="30">
        <v>43769</v>
      </c>
      <c r="W5320" s="460">
        <v>43774</v>
      </c>
      <c r="X5320" s="303">
        <v>43761</v>
      </c>
      <c r="Y5320" s="304" t="s">
        <v>1682</v>
      </c>
      <c r="Z5320" s="304"/>
      <c r="AA5320" s="304"/>
      <c r="AB5320" s="237"/>
      <c r="AC5320" s="244"/>
      <c r="AD5320" s="244"/>
      <c r="AE5320" s="244"/>
      <c r="AF5320" s="244"/>
      <c r="AG5320" s="296"/>
      <c r="AH5320" s="296"/>
      <c r="AI5320" s="297"/>
      <c r="AJ5320" s="537"/>
      <c r="AK5320" s="296"/>
      <c r="AL5320" s="297"/>
      <c r="AM5320" s="296" t="s">
        <v>49</v>
      </c>
      <c r="AN5320" s="296" t="s">
        <v>284</v>
      </c>
      <c r="AO5320" s="296" t="s">
        <v>285</v>
      </c>
      <c r="AP5320" s="296" t="s">
        <v>51</v>
      </c>
      <c r="AQ5320" s="82" t="s">
        <v>755</v>
      </c>
    </row>
    <row r="5321" spans="1:43" ht="15" customHeight="1">
      <c r="A5321" s="69">
        <v>43738</v>
      </c>
      <c r="B5321" s="144" t="s">
        <v>76</v>
      </c>
      <c r="C5321" s="70">
        <v>710</v>
      </c>
      <c r="D5321" s="71" t="s">
        <v>1681</v>
      </c>
      <c r="E5321" s="32" t="s">
        <v>645</v>
      </c>
      <c r="F5321" s="130">
        <v>3</v>
      </c>
      <c r="G5321" s="25">
        <v>0</v>
      </c>
      <c r="H5321" s="60">
        <v>0</v>
      </c>
      <c r="I5321" s="61" t="s">
        <v>42</v>
      </c>
      <c r="J5321" s="82" t="s">
        <v>922</v>
      </c>
      <c r="K5321" s="30">
        <v>43769</v>
      </c>
      <c r="W5321" s="460">
        <v>43774</v>
      </c>
      <c r="X5321" s="303">
        <v>43761</v>
      </c>
      <c r="Y5321" s="304" t="s">
        <v>1682</v>
      </c>
      <c r="Z5321" s="304"/>
      <c r="AA5321" s="304"/>
      <c r="AB5321" s="237"/>
      <c r="AC5321" s="244"/>
      <c r="AD5321" s="244"/>
      <c r="AE5321" s="244"/>
      <c r="AF5321" s="244"/>
      <c r="AG5321" s="296"/>
      <c r="AH5321" s="296"/>
      <c r="AI5321" s="297"/>
      <c r="AJ5321" s="537"/>
      <c r="AK5321" s="296"/>
      <c r="AL5321" s="297"/>
      <c r="AM5321" s="296" t="s">
        <v>49</v>
      </c>
      <c r="AN5321" s="296" t="s">
        <v>284</v>
      </c>
      <c r="AO5321" s="296" t="s">
        <v>285</v>
      </c>
      <c r="AP5321" s="296" t="s">
        <v>51</v>
      </c>
      <c r="AQ5321" s="82" t="s">
        <v>755</v>
      </c>
    </row>
    <row r="5322" spans="1:43" ht="15" customHeight="1">
      <c r="A5322" s="69">
        <v>43738</v>
      </c>
      <c r="B5322" s="144" t="s">
        <v>76</v>
      </c>
      <c r="C5322" s="70">
        <v>710</v>
      </c>
      <c r="D5322" s="71" t="s">
        <v>1681</v>
      </c>
      <c r="E5322" s="32" t="s">
        <v>646</v>
      </c>
      <c r="F5322" s="130">
        <v>3</v>
      </c>
      <c r="G5322" s="25">
        <v>0</v>
      </c>
      <c r="H5322" s="60">
        <v>0</v>
      </c>
      <c r="I5322" s="61" t="s">
        <v>42</v>
      </c>
      <c r="J5322" s="82" t="s">
        <v>922</v>
      </c>
      <c r="K5322" s="30">
        <v>43769</v>
      </c>
      <c r="W5322" s="304"/>
      <c r="X5322" s="304"/>
      <c r="Y5322" s="304"/>
      <c r="Z5322" s="304"/>
      <c r="AA5322" s="304"/>
      <c r="AB5322" s="237"/>
      <c r="AC5322" s="244"/>
      <c r="AD5322" s="244"/>
      <c r="AE5322" s="244"/>
      <c r="AF5322" s="244"/>
      <c r="AG5322" s="296"/>
      <c r="AH5322" s="296"/>
      <c r="AI5322" s="297"/>
      <c r="AJ5322" s="537"/>
      <c r="AK5322" s="296"/>
      <c r="AL5322" s="297"/>
      <c r="AM5322" s="296" t="s">
        <v>49</v>
      </c>
      <c r="AN5322" s="296" t="s">
        <v>284</v>
      </c>
      <c r="AO5322" s="296" t="s">
        <v>285</v>
      </c>
      <c r="AP5322" s="296" t="s">
        <v>51</v>
      </c>
      <c r="AQ5322" s="82" t="s">
        <v>755</v>
      </c>
    </row>
    <row r="5323" spans="1:43" ht="15" customHeight="1">
      <c r="A5323" s="69">
        <v>43738</v>
      </c>
      <c r="B5323" s="144" t="s">
        <v>76</v>
      </c>
      <c r="C5323" s="70">
        <v>710</v>
      </c>
      <c r="D5323" s="71" t="s">
        <v>1681</v>
      </c>
      <c r="E5323" s="23" t="s">
        <v>647</v>
      </c>
      <c r="F5323" s="130">
        <v>3</v>
      </c>
      <c r="G5323" s="25">
        <v>0</v>
      </c>
      <c r="H5323" s="60">
        <v>0</v>
      </c>
      <c r="I5323" s="61" t="s">
        <v>42</v>
      </c>
      <c r="J5323" s="82" t="s">
        <v>922</v>
      </c>
      <c r="K5323" s="30">
        <v>43769</v>
      </c>
      <c r="W5323" s="304"/>
      <c r="X5323" s="304"/>
      <c r="Y5323" s="304"/>
      <c r="Z5323" s="304"/>
      <c r="AA5323" s="304"/>
      <c r="AB5323" s="237"/>
      <c r="AC5323" s="244"/>
      <c r="AD5323" s="244"/>
      <c r="AE5323" s="244"/>
      <c r="AF5323" s="244"/>
      <c r="AG5323" s="296"/>
      <c r="AH5323" s="296"/>
      <c r="AI5323" s="297"/>
      <c r="AJ5323" s="537"/>
      <c r="AK5323" s="296"/>
      <c r="AL5323" s="297"/>
      <c r="AM5323" s="296" t="s">
        <v>49</v>
      </c>
      <c r="AN5323" s="296" t="s">
        <v>284</v>
      </c>
      <c r="AO5323" s="296" t="s">
        <v>285</v>
      </c>
      <c r="AP5323" s="296" t="s">
        <v>51</v>
      </c>
      <c r="AQ5323" s="82" t="s">
        <v>755</v>
      </c>
    </row>
    <row r="5324" spans="1:43" ht="15" customHeight="1">
      <c r="A5324" s="69">
        <v>43738</v>
      </c>
      <c r="B5324" s="144" t="s">
        <v>76</v>
      </c>
      <c r="C5324" s="70">
        <v>710</v>
      </c>
      <c r="D5324" s="71" t="s">
        <v>1681</v>
      </c>
      <c r="E5324" s="32" t="s">
        <v>650</v>
      </c>
      <c r="F5324" s="130">
        <v>3</v>
      </c>
      <c r="G5324" s="25">
        <v>0</v>
      </c>
      <c r="H5324" s="60">
        <v>0</v>
      </c>
      <c r="I5324" s="61" t="s">
        <v>42</v>
      </c>
      <c r="J5324" s="82" t="s">
        <v>922</v>
      </c>
      <c r="K5324" s="30">
        <v>43769</v>
      </c>
      <c r="W5324" s="304"/>
      <c r="X5324" s="304"/>
      <c r="Y5324" s="304"/>
      <c r="Z5324" s="304"/>
      <c r="AA5324" s="304"/>
      <c r="AB5324" s="237"/>
      <c r="AC5324" s="244"/>
      <c r="AD5324" s="244"/>
      <c r="AE5324" s="244"/>
      <c r="AF5324" s="244"/>
      <c r="AG5324" s="296"/>
      <c r="AH5324" s="296"/>
      <c r="AI5324" s="297"/>
      <c r="AJ5324" s="537"/>
      <c r="AK5324" s="296"/>
      <c r="AL5324" s="297"/>
      <c r="AM5324" s="296" t="s">
        <v>49</v>
      </c>
      <c r="AN5324" s="296" t="s">
        <v>284</v>
      </c>
      <c r="AO5324" s="296" t="s">
        <v>285</v>
      </c>
      <c r="AP5324" s="296" t="s">
        <v>51</v>
      </c>
      <c r="AQ5324" s="82" t="s">
        <v>755</v>
      </c>
    </row>
    <row r="5325" spans="1:43" ht="15" customHeight="1">
      <c r="A5325" s="69">
        <v>43738</v>
      </c>
      <c r="B5325" s="144" t="s">
        <v>76</v>
      </c>
      <c r="C5325" s="70">
        <v>710</v>
      </c>
      <c r="D5325" s="71" t="s">
        <v>1681</v>
      </c>
      <c r="E5325" s="32" t="s">
        <v>648</v>
      </c>
      <c r="F5325" s="130">
        <v>3</v>
      </c>
      <c r="G5325" s="25">
        <v>2</v>
      </c>
      <c r="H5325" s="60">
        <v>6</v>
      </c>
      <c r="I5325" s="61" t="s">
        <v>42</v>
      </c>
      <c r="J5325" s="82" t="s">
        <v>922</v>
      </c>
      <c r="K5325" s="30">
        <v>43769</v>
      </c>
      <c r="W5325" s="304"/>
      <c r="X5325" s="304"/>
      <c r="Y5325" s="304"/>
      <c r="Z5325" s="304"/>
      <c r="AA5325" s="304"/>
      <c r="AB5325" s="237"/>
      <c r="AC5325" s="244"/>
      <c r="AD5325" s="244"/>
      <c r="AE5325" s="244"/>
      <c r="AF5325" s="244"/>
      <c r="AG5325" s="296"/>
      <c r="AH5325" s="296"/>
      <c r="AI5325" s="297"/>
      <c r="AJ5325" s="537"/>
      <c r="AK5325" s="298"/>
      <c r="AL5325" s="297"/>
      <c r="AM5325" s="296" t="s">
        <v>49</v>
      </c>
      <c r="AN5325" s="296" t="s">
        <v>284</v>
      </c>
      <c r="AO5325" s="296" t="s">
        <v>285</v>
      </c>
      <c r="AP5325" s="296" t="s">
        <v>51</v>
      </c>
      <c r="AQ5325" s="82" t="s">
        <v>755</v>
      </c>
    </row>
    <row r="5326" spans="1:43" ht="15" customHeight="1">
      <c r="A5326" s="69">
        <v>43738</v>
      </c>
      <c r="B5326" s="144" t="s">
        <v>76</v>
      </c>
      <c r="C5326" s="21">
        <v>710</v>
      </c>
      <c r="D5326" s="71" t="s">
        <v>1681</v>
      </c>
      <c r="E5326" s="23" t="s">
        <v>649</v>
      </c>
      <c r="F5326" s="130">
        <v>3</v>
      </c>
      <c r="G5326" s="25">
        <v>6</v>
      </c>
      <c r="H5326" s="60">
        <v>18</v>
      </c>
      <c r="I5326" s="61" t="s">
        <v>42</v>
      </c>
      <c r="J5326" s="82" t="s">
        <v>922</v>
      </c>
      <c r="K5326" s="30">
        <v>43769</v>
      </c>
      <c r="W5326" s="304"/>
      <c r="X5326" s="304"/>
      <c r="Y5326" s="304"/>
      <c r="Z5326" s="304"/>
      <c r="AA5326" s="304"/>
      <c r="AB5326" s="237"/>
      <c r="AC5326" s="244"/>
      <c r="AD5326" s="244"/>
      <c r="AE5326" s="244"/>
      <c r="AF5326" s="244"/>
      <c r="AG5326" s="296"/>
      <c r="AH5326" s="296"/>
      <c r="AI5326" s="297"/>
      <c r="AJ5326" s="537"/>
      <c r="AK5326" s="298"/>
      <c r="AL5326" s="297"/>
      <c r="AM5326" s="296" t="s">
        <v>49</v>
      </c>
      <c r="AN5326" s="296" t="s">
        <v>284</v>
      </c>
      <c r="AO5326" s="296" t="s">
        <v>285</v>
      </c>
      <c r="AP5326" s="296" t="s">
        <v>51</v>
      </c>
      <c r="AQ5326" s="82" t="s">
        <v>755</v>
      </c>
    </row>
    <row r="5327" spans="1:43" ht="15" customHeight="1">
      <c r="A5327" s="69">
        <v>43738</v>
      </c>
      <c r="B5327" s="144" t="s">
        <v>76</v>
      </c>
      <c r="C5327" s="21">
        <v>710</v>
      </c>
      <c r="D5327" s="71" t="s">
        <v>1681</v>
      </c>
      <c r="E5327" s="23" t="s">
        <v>1683</v>
      </c>
      <c r="F5327" s="130">
        <v>3</v>
      </c>
      <c r="G5327" s="25">
        <v>200</v>
      </c>
      <c r="H5327" s="60">
        <v>600</v>
      </c>
      <c r="I5327" s="61" t="s">
        <v>42</v>
      </c>
      <c r="J5327" s="82" t="s">
        <v>922</v>
      </c>
      <c r="K5327" s="30">
        <v>43769</v>
      </c>
      <c r="W5327" s="460">
        <v>43774</v>
      </c>
      <c r="X5327" s="303">
        <v>43761</v>
      </c>
      <c r="Y5327" s="304" t="s">
        <v>1682</v>
      </c>
      <c r="Z5327" s="304">
        <v>45247</v>
      </c>
      <c r="AA5327" s="304"/>
      <c r="AB5327" s="237"/>
      <c r="AC5327" s="244"/>
      <c r="AD5327" s="244"/>
      <c r="AE5327" s="244"/>
      <c r="AF5327" s="244"/>
      <c r="AG5327" s="296"/>
      <c r="AH5327" s="296"/>
      <c r="AI5327" s="297"/>
      <c r="AJ5327" s="537"/>
      <c r="AK5327" s="298"/>
      <c r="AL5327" s="297"/>
      <c r="AM5327" s="296" t="s">
        <v>49</v>
      </c>
      <c r="AN5327" s="296" t="s">
        <v>284</v>
      </c>
      <c r="AO5327" s="296" t="s">
        <v>285</v>
      </c>
      <c r="AP5327" s="296" t="s">
        <v>51</v>
      </c>
      <c r="AQ5327" s="82" t="s">
        <v>755</v>
      </c>
    </row>
    <row r="5328" spans="1:43" ht="15" customHeight="1">
      <c r="A5328" s="69">
        <v>43739</v>
      </c>
      <c r="B5328" s="70" t="s">
        <v>228</v>
      </c>
      <c r="C5328" s="21"/>
      <c r="D5328" s="71" t="s">
        <v>1684</v>
      </c>
      <c r="E5328" s="23" t="s">
        <v>231</v>
      </c>
      <c r="F5328" s="130">
        <v>23</v>
      </c>
      <c r="G5328" s="25">
        <v>407.4</v>
      </c>
      <c r="H5328" s="60">
        <v>9370.1999999999989</v>
      </c>
      <c r="I5328" s="61" t="s">
        <v>170</v>
      </c>
      <c r="J5328" s="542" t="s">
        <v>232</v>
      </c>
      <c r="K5328" s="30">
        <v>43780</v>
      </c>
      <c r="W5328" s="303">
        <v>43830</v>
      </c>
      <c r="X5328" s="460">
        <v>43777</v>
      </c>
      <c r="Y5328" s="304" t="s">
        <v>1685</v>
      </c>
      <c r="Z5328" s="304">
        <v>279210</v>
      </c>
      <c r="AA5328" s="304"/>
      <c r="AB5328" s="237"/>
      <c r="AC5328" s="244"/>
      <c r="AD5328" s="244"/>
      <c r="AE5328" s="244"/>
      <c r="AF5328" s="244"/>
      <c r="AG5328" s="296"/>
      <c r="AH5328" s="296"/>
      <c r="AI5328" s="297"/>
      <c r="AJ5328" s="298">
        <v>43801</v>
      </c>
      <c r="AK5328" s="297">
        <v>328617</v>
      </c>
      <c r="AL5328" s="297">
        <v>30</v>
      </c>
      <c r="AM5328" s="296" t="s">
        <v>49</v>
      </c>
      <c r="AN5328" s="296" t="s">
        <v>284</v>
      </c>
      <c r="AO5328" s="296" t="s">
        <v>50</v>
      </c>
      <c r="AP5328" s="296" t="s">
        <v>376</v>
      </c>
      <c r="AQ5328" s="82" t="s">
        <v>755</v>
      </c>
    </row>
    <row r="5329" spans="1:43" ht="15" customHeight="1">
      <c r="A5329" s="69">
        <v>43739</v>
      </c>
      <c r="B5329" s="70" t="s">
        <v>228</v>
      </c>
      <c r="C5329" s="21"/>
      <c r="D5329" s="71" t="s">
        <v>1684</v>
      </c>
      <c r="E5329" s="23" t="s">
        <v>728</v>
      </c>
      <c r="F5329" s="130">
        <v>2</v>
      </c>
      <c r="G5329" s="543">
        <v>336</v>
      </c>
      <c r="H5329" s="60">
        <v>672</v>
      </c>
      <c r="I5329" s="61" t="s">
        <v>170</v>
      </c>
      <c r="J5329" s="50" t="s">
        <v>232</v>
      </c>
      <c r="K5329" s="30">
        <v>43780</v>
      </c>
      <c r="W5329" s="303">
        <v>43830</v>
      </c>
      <c r="X5329" s="460">
        <v>43777</v>
      </c>
      <c r="Y5329" s="304" t="s">
        <v>1685</v>
      </c>
      <c r="Z5329" s="304"/>
      <c r="AA5329" s="304"/>
      <c r="AB5329" s="237"/>
      <c r="AC5329" s="244"/>
      <c r="AD5329" s="244"/>
      <c r="AE5329" s="244"/>
      <c r="AF5329" s="244"/>
      <c r="AG5329" s="296"/>
      <c r="AH5329" s="296"/>
      <c r="AI5329" s="297"/>
      <c r="AJ5329" s="298">
        <v>43801</v>
      </c>
      <c r="AK5329" s="297"/>
      <c r="AL5329" s="297"/>
      <c r="AM5329" s="296" t="s">
        <v>49</v>
      </c>
      <c r="AN5329" s="296" t="s">
        <v>284</v>
      </c>
      <c r="AO5329" s="296" t="s">
        <v>50</v>
      </c>
      <c r="AP5329" s="296" t="s">
        <v>376</v>
      </c>
      <c r="AQ5329" s="82" t="s">
        <v>755</v>
      </c>
    </row>
    <row r="5330" spans="1:43" ht="15" customHeight="1">
      <c r="A5330" s="69">
        <v>43739</v>
      </c>
      <c r="B5330" s="70" t="s">
        <v>228</v>
      </c>
      <c r="C5330" s="21"/>
      <c r="D5330" s="71" t="s">
        <v>1684</v>
      </c>
      <c r="E5330" s="23" t="s">
        <v>729</v>
      </c>
      <c r="F5330" s="130">
        <v>2</v>
      </c>
      <c r="G5330" s="25">
        <v>21</v>
      </c>
      <c r="H5330" s="60">
        <v>42</v>
      </c>
      <c r="I5330" s="61" t="s">
        <v>170</v>
      </c>
      <c r="J5330" s="50" t="s">
        <v>232</v>
      </c>
      <c r="K5330" s="30">
        <v>43780</v>
      </c>
      <c r="W5330" s="303">
        <v>43830</v>
      </c>
      <c r="X5330" s="460">
        <v>43777</v>
      </c>
      <c r="Y5330" s="304" t="s">
        <v>1685</v>
      </c>
      <c r="Z5330" s="304"/>
      <c r="AA5330" s="304"/>
      <c r="AB5330" s="237"/>
      <c r="AC5330" s="244"/>
      <c r="AD5330" s="244"/>
      <c r="AE5330" s="244"/>
      <c r="AF5330" s="244"/>
      <c r="AG5330" s="296"/>
      <c r="AH5330" s="296"/>
      <c r="AI5330" s="297"/>
      <c r="AJ5330" s="298">
        <v>43801</v>
      </c>
      <c r="AK5330" s="297"/>
      <c r="AL5330" s="297"/>
      <c r="AM5330" s="296" t="s">
        <v>49</v>
      </c>
      <c r="AN5330" s="296" t="s">
        <v>284</v>
      </c>
      <c r="AO5330" s="296" t="s">
        <v>50</v>
      </c>
      <c r="AP5330" s="296" t="s">
        <v>376</v>
      </c>
      <c r="AQ5330" s="82" t="s">
        <v>755</v>
      </c>
    </row>
    <row r="5331" spans="1:43" ht="15" customHeight="1">
      <c r="A5331" s="69">
        <v>43739</v>
      </c>
      <c r="B5331" s="70" t="s">
        <v>228</v>
      </c>
      <c r="C5331" s="21"/>
      <c r="D5331" s="71" t="s">
        <v>1684</v>
      </c>
      <c r="E5331" s="32" t="s">
        <v>231</v>
      </c>
      <c r="F5331" s="24">
        <v>12</v>
      </c>
      <c r="G5331" s="48">
        <v>407.4</v>
      </c>
      <c r="H5331" s="60">
        <v>4888.7999999999993</v>
      </c>
      <c r="I5331" s="61" t="s">
        <v>170</v>
      </c>
      <c r="J5331" s="50" t="s">
        <v>232</v>
      </c>
      <c r="K5331" s="30">
        <v>43825</v>
      </c>
      <c r="W5331" s="304"/>
      <c r="X5331" s="304"/>
      <c r="Y5331" s="304"/>
      <c r="Z5331" s="304"/>
      <c r="AA5331" s="304"/>
      <c r="AB5331" s="237"/>
      <c r="AC5331" s="244"/>
      <c r="AD5331" s="244"/>
      <c r="AE5331" s="244"/>
      <c r="AF5331" s="244"/>
      <c r="AG5331" s="296"/>
      <c r="AH5331" s="297"/>
      <c r="AI5331" s="537"/>
      <c r="AJ5331" s="298">
        <v>43864</v>
      </c>
      <c r="AK5331" s="297">
        <v>858362</v>
      </c>
      <c r="AL5331" s="296">
        <v>0</v>
      </c>
      <c r="AM5331" s="296" t="s">
        <v>49</v>
      </c>
      <c r="AN5331" s="82" t="s">
        <v>284</v>
      </c>
      <c r="AO5331" s="296" t="s">
        <v>50</v>
      </c>
      <c r="AP5331" s="296" t="s">
        <v>376</v>
      </c>
      <c r="AQ5331" s="296" t="s">
        <v>1346</v>
      </c>
    </row>
    <row r="5332" spans="1:43" ht="15" customHeight="1">
      <c r="A5332" s="69">
        <v>43739</v>
      </c>
      <c r="B5332" s="70" t="s">
        <v>1686</v>
      </c>
      <c r="C5332" s="21" t="s">
        <v>1429</v>
      </c>
      <c r="D5332" s="71" t="s">
        <v>1687</v>
      </c>
      <c r="E5332" s="544" t="s">
        <v>1688</v>
      </c>
      <c r="F5332" s="130">
        <v>18</v>
      </c>
      <c r="G5332" s="25">
        <v>305</v>
      </c>
      <c r="H5332" s="60">
        <v>5490</v>
      </c>
      <c r="I5332" s="61" t="s">
        <v>104</v>
      </c>
      <c r="J5332" s="50" t="s">
        <v>920</v>
      </c>
      <c r="K5332" s="29">
        <v>43767</v>
      </c>
      <c r="W5332" s="303">
        <v>43799</v>
      </c>
      <c r="X5332" s="303">
        <v>43752</v>
      </c>
      <c r="Y5332" s="304" t="s">
        <v>1689</v>
      </c>
      <c r="Z5332" s="304">
        <v>201224</v>
      </c>
      <c r="AA5332" s="304"/>
      <c r="AB5332" s="237"/>
      <c r="AC5332" s="244"/>
      <c r="AD5332" s="244"/>
      <c r="AE5332" s="244"/>
      <c r="AF5332" s="244"/>
      <c r="AG5332" s="296"/>
      <c r="AH5332" s="296"/>
      <c r="AI5332" s="297"/>
      <c r="AJ5332" s="298">
        <v>43747</v>
      </c>
      <c r="AK5332" s="297">
        <f>6956.51*30.8</f>
        <v>214260.508</v>
      </c>
      <c r="AL5332" s="297">
        <f>(6974-6956.51)*30.8</f>
        <v>538.6919999999933</v>
      </c>
      <c r="AM5332" s="296" t="s">
        <v>49</v>
      </c>
      <c r="AN5332" s="296" t="s">
        <v>284</v>
      </c>
      <c r="AO5332" s="296" t="s">
        <v>50</v>
      </c>
      <c r="AP5332" s="296" t="s">
        <v>51</v>
      </c>
      <c r="AQ5332" s="82" t="s">
        <v>755</v>
      </c>
    </row>
    <row r="5333" spans="1:43" ht="15" customHeight="1">
      <c r="A5333" s="69">
        <v>43739</v>
      </c>
      <c r="B5333" s="70" t="s">
        <v>1686</v>
      </c>
      <c r="C5333" s="21" t="s">
        <v>1429</v>
      </c>
      <c r="D5333" s="71" t="s">
        <v>1687</v>
      </c>
      <c r="E5333" s="544" t="s">
        <v>1690</v>
      </c>
      <c r="F5333" s="130">
        <v>14</v>
      </c>
      <c r="G5333" s="25">
        <v>106</v>
      </c>
      <c r="H5333" s="60">
        <v>1484</v>
      </c>
      <c r="I5333" s="61" t="s">
        <v>104</v>
      </c>
      <c r="J5333" s="50" t="s">
        <v>920</v>
      </c>
      <c r="K5333" s="29">
        <v>43767</v>
      </c>
      <c r="W5333" s="303">
        <v>43799</v>
      </c>
      <c r="X5333" s="303">
        <v>43752</v>
      </c>
      <c r="Y5333" s="304" t="s">
        <v>1689</v>
      </c>
      <c r="Z5333" s="304"/>
      <c r="AA5333" s="304"/>
      <c r="AB5333" s="237"/>
      <c r="AC5333" s="244"/>
      <c r="AD5333" s="244"/>
      <c r="AE5333" s="244"/>
      <c r="AF5333" s="244"/>
      <c r="AG5333" s="296"/>
      <c r="AH5333" s="296"/>
      <c r="AI5333" s="297"/>
      <c r="AJ5333" s="298">
        <v>43747</v>
      </c>
      <c r="AK5333" s="297"/>
      <c r="AL5333" s="297"/>
      <c r="AM5333" s="296" t="s">
        <v>49</v>
      </c>
      <c r="AN5333" s="296" t="s">
        <v>284</v>
      </c>
      <c r="AO5333" s="296" t="s">
        <v>50</v>
      </c>
      <c r="AP5333" s="296" t="s">
        <v>51</v>
      </c>
      <c r="AQ5333" s="82" t="s">
        <v>755</v>
      </c>
    </row>
    <row r="5334" spans="1:43" ht="15" customHeight="1">
      <c r="A5334" s="69">
        <v>43739</v>
      </c>
      <c r="B5334" s="70" t="s">
        <v>986</v>
      </c>
      <c r="C5334" s="21" t="s">
        <v>1691</v>
      </c>
      <c r="D5334" s="71" t="s">
        <v>1692</v>
      </c>
      <c r="E5334" s="23" t="s">
        <v>1693</v>
      </c>
      <c r="F5334" s="130">
        <v>1</v>
      </c>
      <c r="G5334" s="25">
        <v>260</v>
      </c>
      <c r="H5334" s="60">
        <v>260</v>
      </c>
      <c r="I5334" s="61" t="s">
        <v>1694</v>
      </c>
      <c r="J5334" s="50"/>
      <c r="K5334" s="29">
        <v>43811</v>
      </c>
      <c r="W5334" s="304"/>
      <c r="X5334" s="304"/>
      <c r="Y5334" s="304"/>
      <c r="Z5334" s="304"/>
      <c r="AA5334" s="304"/>
      <c r="AB5334" s="237"/>
      <c r="AC5334" s="244"/>
      <c r="AD5334" s="244"/>
      <c r="AE5334" s="244"/>
      <c r="AF5334" s="244"/>
      <c r="AG5334" s="296"/>
      <c r="AH5334" s="296"/>
      <c r="AI5334" s="297"/>
      <c r="AJ5334" s="298">
        <v>43839</v>
      </c>
      <c r="AK5334" s="297">
        <f>1590*29.915</f>
        <v>47564.85</v>
      </c>
      <c r="AL5334" s="297">
        <v>0</v>
      </c>
      <c r="AM5334" s="296" t="s">
        <v>49</v>
      </c>
      <c r="AN5334" s="82" t="s">
        <v>284</v>
      </c>
      <c r="AO5334" s="296" t="s">
        <v>50</v>
      </c>
      <c r="AP5334" s="296" t="s">
        <v>51</v>
      </c>
      <c r="AQ5334" s="296" t="s">
        <v>1346</v>
      </c>
    </row>
    <row r="5335" spans="1:43" ht="15" customHeight="1">
      <c r="A5335" s="69">
        <v>43739</v>
      </c>
      <c r="B5335" s="70" t="s">
        <v>986</v>
      </c>
      <c r="C5335" s="21" t="s">
        <v>1691</v>
      </c>
      <c r="D5335" s="71" t="s">
        <v>1692</v>
      </c>
      <c r="E5335" s="23" t="s">
        <v>1695</v>
      </c>
      <c r="F5335" s="130">
        <v>2</v>
      </c>
      <c r="G5335" s="25">
        <v>125</v>
      </c>
      <c r="H5335" s="60">
        <v>250</v>
      </c>
      <c r="I5335" s="61" t="s">
        <v>1694</v>
      </c>
      <c r="J5335" s="50"/>
      <c r="K5335" s="29">
        <v>43811</v>
      </c>
      <c r="W5335" s="304"/>
      <c r="X5335" s="304"/>
      <c r="Y5335" s="304"/>
      <c r="Z5335" s="304"/>
      <c r="AA5335" s="304"/>
      <c r="AB5335" s="237"/>
      <c r="AC5335" s="244"/>
      <c r="AD5335" s="244"/>
      <c r="AE5335" s="244"/>
      <c r="AF5335" s="244"/>
      <c r="AG5335" s="296"/>
      <c r="AH5335" s="296"/>
      <c r="AI5335" s="297"/>
      <c r="AJ5335" s="298">
        <v>43839</v>
      </c>
      <c r="AK5335" s="297"/>
      <c r="AL5335" s="297"/>
      <c r="AM5335" s="296" t="s">
        <v>49</v>
      </c>
      <c r="AN5335" s="296" t="s">
        <v>284</v>
      </c>
      <c r="AO5335" s="296" t="s">
        <v>50</v>
      </c>
      <c r="AP5335" s="296" t="s">
        <v>51</v>
      </c>
      <c r="AQ5335" s="296" t="s">
        <v>1346</v>
      </c>
    </row>
    <row r="5336" spans="1:43" ht="15" customHeight="1">
      <c r="A5336" s="69">
        <v>43739</v>
      </c>
      <c r="B5336" s="70" t="s">
        <v>986</v>
      </c>
      <c r="C5336" s="21" t="s">
        <v>1691</v>
      </c>
      <c r="D5336" s="71" t="s">
        <v>1692</v>
      </c>
      <c r="E5336" s="23" t="s">
        <v>1696</v>
      </c>
      <c r="F5336" s="130">
        <v>10</v>
      </c>
      <c r="G5336" s="25">
        <v>108</v>
      </c>
      <c r="H5336" s="216">
        <v>1080</v>
      </c>
      <c r="I5336" s="61" t="s">
        <v>1694</v>
      </c>
      <c r="J5336" s="50"/>
      <c r="K5336" s="29">
        <v>43811</v>
      </c>
      <c r="W5336" s="304"/>
      <c r="X5336" s="304"/>
      <c r="Y5336" s="304"/>
      <c r="Z5336" s="304"/>
      <c r="AA5336" s="304"/>
      <c r="AB5336" s="237"/>
      <c r="AC5336" s="244"/>
      <c r="AD5336" s="244"/>
      <c r="AE5336" s="244"/>
      <c r="AF5336" s="244"/>
      <c r="AG5336" s="296"/>
      <c r="AH5336" s="296"/>
      <c r="AI5336" s="297"/>
      <c r="AJ5336" s="298">
        <v>43839</v>
      </c>
      <c r="AK5336" s="297"/>
      <c r="AL5336" s="297"/>
      <c r="AM5336" s="296" t="s">
        <v>49</v>
      </c>
      <c r="AN5336" s="82" t="s">
        <v>284</v>
      </c>
      <c r="AO5336" s="296" t="s">
        <v>50</v>
      </c>
      <c r="AP5336" s="296" t="s">
        <v>51</v>
      </c>
      <c r="AQ5336" s="296" t="s">
        <v>1346</v>
      </c>
    </row>
    <row r="5337" spans="1:43" ht="15" customHeight="1">
      <c r="A5337" s="69">
        <v>43740</v>
      </c>
      <c r="B5337" s="23" t="s">
        <v>212</v>
      </c>
      <c r="C5337" s="21" t="s">
        <v>1697</v>
      </c>
      <c r="D5337" s="71" t="s">
        <v>1698</v>
      </c>
      <c r="E5337" s="23" t="s">
        <v>1699</v>
      </c>
      <c r="F5337" s="130">
        <v>3</v>
      </c>
      <c r="G5337" s="25">
        <v>207</v>
      </c>
      <c r="H5337" s="60">
        <v>621</v>
      </c>
      <c r="I5337" s="27" t="s">
        <v>247</v>
      </c>
      <c r="J5337" s="58" t="s">
        <v>216</v>
      </c>
      <c r="K5337" s="30">
        <v>43780</v>
      </c>
      <c r="W5337" s="303">
        <v>43830</v>
      </c>
      <c r="X5337" s="460">
        <v>43775</v>
      </c>
      <c r="Y5337" s="304" t="s">
        <v>1700</v>
      </c>
      <c r="Z5337" s="304">
        <v>21439</v>
      </c>
      <c r="AA5337" s="304"/>
      <c r="AB5337" s="237"/>
      <c r="AC5337" s="244"/>
      <c r="AD5337" s="244"/>
      <c r="AE5337" s="244"/>
      <c r="AF5337" s="244"/>
      <c r="AG5337" s="296"/>
      <c r="AH5337" s="296"/>
      <c r="AI5337" s="297"/>
      <c r="AJ5337" s="298">
        <v>43745</v>
      </c>
      <c r="AK5337" s="297">
        <f>794.52*30.85</f>
        <v>24510.941999999999</v>
      </c>
      <c r="AL5337" s="297">
        <f>(801-794.52)*30.85</f>
        <v>199.90800000000058</v>
      </c>
      <c r="AM5337" s="296" t="s">
        <v>49</v>
      </c>
      <c r="AN5337" s="296" t="s">
        <v>284</v>
      </c>
      <c r="AO5337" s="296" t="s">
        <v>50</v>
      </c>
      <c r="AP5337" s="296" t="s">
        <v>51</v>
      </c>
      <c r="AQ5337" s="82" t="s">
        <v>755</v>
      </c>
    </row>
    <row r="5338" spans="1:43" ht="15" customHeight="1">
      <c r="A5338" s="69">
        <v>43740</v>
      </c>
      <c r="B5338" s="23" t="s">
        <v>212</v>
      </c>
      <c r="C5338" s="21" t="s">
        <v>1697</v>
      </c>
      <c r="D5338" s="71" t="s">
        <v>1698</v>
      </c>
      <c r="E5338" s="23" t="s">
        <v>132</v>
      </c>
      <c r="F5338" s="130">
        <v>1</v>
      </c>
      <c r="G5338" s="25">
        <v>109</v>
      </c>
      <c r="H5338" s="60">
        <v>109</v>
      </c>
      <c r="I5338" s="27" t="s">
        <v>247</v>
      </c>
      <c r="J5338" s="58" t="s">
        <v>216</v>
      </c>
      <c r="K5338" s="30">
        <v>43780</v>
      </c>
      <c r="W5338" s="303">
        <v>43830</v>
      </c>
      <c r="X5338" s="460">
        <v>43775</v>
      </c>
      <c r="Y5338" s="304" t="s">
        <v>1700</v>
      </c>
      <c r="Z5338" s="304"/>
      <c r="AA5338" s="304"/>
      <c r="AB5338" s="237"/>
      <c r="AC5338" s="244"/>
      <c r="AD5338" s="244"/>
      <c r="AE5338" s="244"/>
      <c r="AF5338" s="244"/>
      <c r="AG5338" s="296"/>
      <c r="AH5338" s="296"/>
      <c r="AI5338" s="297"/>
      <c r="AJ5338" s="298">
        <v>43745</v>
      </c>
      <c r="AK5338" s="297"/>
      <c r="AL5338" s="297"/>
      <c r="AM5338" s="296" t="s">
        <v>49</v>
      </c>
      <c r="AN5338" s="296" t="s">
        <v>284</v>
      </c>
      <c r="AO5338" s="296" t="s">
        <v>50</v>
      </c>
      <c r="AP5338" s="296" t="s">
        <v>51</v>
      </c>
      <c r="AQ5338" s="82" t="s">
        <v>755</v>
      </c>
    </row>
    <row r="5339" spans="1:43" ht="15" customHeight="1">
      <c r="A5339" s="69">
        <v>43740</v>
      </c>
      <c r="B5339" s="23" t="s">
        <v>212</v>
      </c>
      <c r="C5339" s="21" t="s">
        <v>1697</v>
      </c>
      <c r="D5339" s="71" t="s">
        <v>1698</v>
      </c>
      <c r="E5339" s="23" t="s">
        <v>136</v>
      </c>
      <c r="F5339" s="130">
        <v>1</v>
      </c>
      <c r="G5339" s="25">
        <v>31</v>
      </c>
      <c r="H5339" s="60">
        <v>31</v>
      </c>
      <c r="I5339" s="27" t="s">
        <v>247</v>
      </c>
      <c r="J5339" s="58" t="s">
        <v>216</v>
      </c>
      <c r="K5339" s="30">
        <v>43780</v>
      </c>
      <c r="W5339" s="303">
        <v>43830</v>
      </c>
      <c r="X5339" s="460">
        <v>43775</v>
      </c>
      <c r="Y5339" s="304" t="s">
        <v>1700</v>
      </c>
      <c r="Z5339" s="304"/>
      <c r="AA5339" s="304"/>
      <c r="AB5339" s="237"/>
      <c r="AC5339" s="244"/>
      <c r="AD5339" s="244"/>
      <c r="AE5339" s="244"/>
      <c r="AF5339" s="244"/>
      <c r="AG5339" s="296"/>
      <c r="AH5339" s="296"/>
      <c r="AI5339" s="297"/>
      <c r="AJ5339" s="298">
        <v>43745</v>
      </c>
      <c r="AK5339" s="297"/>
      <c r="AL5339" s="297"/>
      <c r="AM5339" s="296" t="s">
        <v>49</v>
      </c>
      <c r="AN5339" s="296" t="s">
        <v>284</v>
      </c>
      <c r="AO5339" s="296" t="s">
        <v>50</v>
      </c>
      <c r="AP5339" s="296" t="s">
        <v>51</v>
      </c>
      <c r="AQ5339" s="82" t="s">
        <v>755</v>
      </c>
    </row>
    <row r="5340" spans="1:43" ht="15" customHeight="1">
      <c r="A5340" s="69">
        <v>43740</v>
      </c>
      <c r="B5340" s="23" t="s">
        <v>212</v>
      </c>
      <c r="C5340" s="21" t="s">
        <v>1697</v>
      </c>
      <c r="D5340" s="71" t="s">
        <v>1698</v>
      </c>
      <c r="E5340" s="23" t="s">
        <v>692</v>
      </c>
      <c r="F5340" s="130">
        <v>1</v>
      </c>
      <c r="G5340" s="25">
        <v>40</v>
      </c>
      <c r="H5340" s="60">
        <v>40</v>
      </c>
      <c r="I5340" s="27" t="s">
        <v>247</v>
      </c>
      <c r="J5340" s="161" t="s">
        <v>216</v>
      </c>
      <c r="K5340" s="30">
        <v>43780</v>
      </c>
      <c r="W5340" s="52"/>
      <c r="X5340" s="53"/>
      <c r="Y5340" s="53"/>
      <c r="Z5340" s="53"/>
      <c r="AA5340" s="53"/>
      <c r="AB5340" s="237"/>
      <c r="AC5340" s="244"/>
      <c r="AD5340" s="244"/>
      <c r="AE5340" s="244"/>
      <c r="AF5340" s="244"/>
      <c r="AG5340" s="54"/>
      <c r="AH5340" s="54"/>
      <c r="AI5340" s="55"/>
      <c r="AJ5340" s="56">
        <v>43745</v>
      </c>
      <c r="AK5340" s="55"/>
      <c r="AL5340" s="55"/>
      <c r="AM5340" s="54" t="s">
        <v>49</v>
      </c>
      <c r="AN5340" s="54" t="s">
        <v>284</v>
      </c>
      <c r="AO5340" s="54" t="s">
        <v>50</v>
      </c>
      <c r="AP5340" s="54" t="s">
        <v>51</v>
      </c>
      <c r="AQ5340" s="54"/>
    </row>
    <row r="5341" spans="1:43" ht="15" customHeight="1">
      <c r="A5341" s="69">
        <v>43741</v>
      </c>
      <c r="B5341" s="23" t="s">
        <v>405</v>
      </c>
      <c r="C5341" s="21">
        <v>7000150659</v>
      </c>
      <c r="D5341" s="71" t="s">
        <v>1701</v>
      </c>
      <c r="E5341" s="32" t="s">
        <v>480</v>
      </c>
      <c r="F5341" s="24">
        <v>1</v>
      </c>
      <c r="G5341" s="48">
        <v>137</v>
      </c>
      <c r="H5341" s="60">
        <v>137</v>
      </c>
      <c r="I5341" s="61" t="s">
        <v>42</v>
      </c>
      <c r="J5341" s="82" t="s">
        <v>519</v>
      </c>
      <c r="K5341" s="145">
        <v>43756</v>
      </c>
      <c r="W5341" s="303">
        <v>43830</v>
      </c>
      <c r="X5341" s="303">
        <v>43752</v>
      </c>
      <c r="Y5341" s="304" t="s">
        <v>1702</v>
      </c>
      <c r="Z5341" s="304">
        <v>3774</v>
      </c>
      <c r="AA5341" s="304"/>
      <c r="AB5341" s="237"/>
      <c r="AC5341" s="244"/>
      <c r="AD5341" s="244"/>
      <c r="AE5341" s="244"/>
      <c r="AF5341" s="244"/>
      <c r="AG5341" s="296"/>
      <c r="AH5341" s="296"/>
      <c r="AI5341" s="297"/>
      <c r="AJ5341" s="29">
        <v>43789</v>
      </c>
      <c r="AK5341" s="297"/>
      <c r="AL5341" s="297"/>
      <c r="AM5341" s="296" t="s">
        <v>49</v>
      </c>
      <c r="AN5341" s="296" t="s">
        <v>284</v>
      </c>
      <c r="AO5341" s="296" t="s">
        <v>50</v>
      </c>
      <c r="AP5341" s="296" t="s">
        <v>51</v>
      </c>
      <c r="AQ5341" s="82" t="s">
        <v>755</v>
      </c>
    </row>
    <row r="5342" spans="1:43" ht="15" customHeight="1">
      <c r="A5342" s="69">
        <v>43743</v>
      </c>
      <c r="B5342" s="23" t="s">
        <v>405</v>
      </c>
      <c r="C5342" s="21">
        <v>7000150764</v>
      </c>
      <c r="D5342" s="71" t="s">
        <v>1703</v>
      </c>
      <c r="E5342" s="23" t="s">
        <v>585</v>
      </c>
      <c r="F5342" s="24">
        <v>1</v>
      </c>
      <c r="G5342" s="48">
        <v>15</v>
      </c>
      <c r="H5342" s="60">
        <v>15</v>
      </c>
      <c r="I5342" s="61" t="s">
        <v>42</v>
      </c>
      <c r="J5342" s="82" t="s">
        <v>519</v>
      </c>
      <c r="K5342" s="145">
        <v>43756</v>
      </c>
      <c r="W5342" s="303">
        <v>43830</v>
      </c>
      <c r="X5342" s="303">
        <v>43754</v>
      </c>
      <c r="Y5342" s="304" t="s">
        <v>1704</v>
      </c>
      <c r="Z5342" s="304"/>
      <c r="AA5342" s="304"/>
      <c r="AB5342" s="237"/>
      <c r="AC5342" s="244"/>
      <c r="AD5342" s="244"/>
      <c r="AE5342" s="244"/>
      <c r="AF5342" s="244"/>
      <c r="AG5342" s="296"/>
      <c r="AH5342" s="296"/>
      <c r="AI5342" s="297"/>
      <c r="AJ5342" s="29">
        <v>43789</v>
      </c>
      <c r="AK5342" s="297"/>
      <c r="AL5342" s="297"/>
      <c r="AM5342" s="296" t="s">
        <v>49</v>
      </c>
      <c r="AN5342" s="296" t="s">
        <v>284</v>
      </c>
      <c r="AO5342" s="296" t="s">
        <v>50</v>
      </c>
      <c r="AP5342" s="296" t="s">
        <v>51</v>
      </c>
      <c r="AQ5342" s="82" t="s">
        <v>755</v>
      </c>
    </row>
    <row r="5343" spans="1:43" ht="15" customHeight="1">
      <c r="A5343" s="69">
        <v>43743</v>
      </c>
      <c r="B5343" s="23" t="s">
        <v>405</v>
      </c>
      <c r="C5343" s="21">
        <v>7000150764</v>
      </c>
      <c r="D5343" s="71" t="s">
        <v>1703</v>
      </c>
      <c r="E5343" s="23" t="s">
        <v>1705</v>
      </c>
      <c r="F5343" s="24">
        <v>1</v>
      </c>
      <c r="G5343" s="48">
        <v>671</v>
      </c>
      <c r="H5343" s="60">
        <v>671</v>
      </c>
      <c r="I5343" s="61" t="s">
        <v>42</v>
      </c>
      <c r="J5343" s="82" t="s">
        <v>519</v>
      </c>
      <c r="K5343" s="145">
        <v>43756</v>
      </c>
      <c r="W5343" s="303">
        <v>43830</v>
      </c>
      <c r="X5343" s="303">
        <v>43754</v>
      </c>
      <c r="Y5343" s="304" t="s">
        <v>1704</v>
      </c>
      <c r="Z5343" s="304"/>
      <c r="AA5343" s="304"/>
      <c r="AB5343" s="237"/>
      <c r="AC5343" s="244"/>
      <c r="AD5343" s="244"/>
      <c r="AE5343" s="244"/>
      <c r="AF5343" s="244"/>
      <c r="AG5343" s="296"/>
      <c r="AH5343" s="296"/>
      <c r="AI5343" s="297"/>
      <c r="AJ5343" s="29">
        <v>43789</v>
      </c>
      <c r="AK5343" s="297"/>
      <c r="AL5343" s="297"/>
      <c r="AM5343" s="296" t="s">
        <v>49</v>
      </c>
      <c r="AN5343" s="296" t="s">
        <v>284</v>
      </c>
      <c r="AO5343" s="296" t="s">
        <v>50</v>
      </c>
      <c r="AP5343" s="296" t="s">
        <v>51</v>
      </c>
      <c r="AQ5343" s="82" t="s">
        <v>755</v>
      </c>
    </row>
    <row r="5344" spans="1:43" ht="15" customHeight="1">
      <c r="A5344" s="69">
        <v>43743</v>
      </c>
      <c r="B5344" s="23" t="s">
        <v>405</v>
      </c>
      <c r="C5344" s="21">
        <v>7000150764</v>
      </c>
      <c r="D5344" s="71" t="s">
        <v>1703</v>
      </c>
      <c r="E5344" s="23" t="s">
        <v>583</v>
      </c>
      <c r="F5344" s="24">
        <v>1</v>
      </c>
      <c r="G5344" s="48">
        <v>1069</v>
      </c>
      <c r="H5344" s="60">
        <v>1069</v>
      </c>
      <c r="I5344" s="61" t="s">
        <v>42</v>
      </c>
      <c r="J5344" s="82" t="s">
        <v>519</v>
      </c>
      <c r="K5344" s="145">
        <v>43756</v>
      </c>
      <c r="W5344" s="303">
        <v>43830</v>
      </c>
      <c r="X5344" s="303">
        <v>43754</v>
      </c>
      <c r="Y5344" s="304" t="s">
        <v>1704</v>
      </c>
      <c r="Z5344" s="304">
        <v>48663</v>
      </c>
      <c r="AA5344" s="304"/>
      <c r="AB5344" s="237"/>
      <c r="AC5344" s="244"/>
      <c r="AD5344" s="244"/>
      <c r="AE5344" s="244"/>
      <c r="AF5344" s="244"/>
      <c r="AG5344" s="296"/>
      <c r="AH5344" s="296"/>
      <c r="AI5344" s="297"/>
      <c r="AJ5344" s="29">
        <v>43789</v>
      </c>
      <c r="AK5344" s="297"/>
      <c r="AL5344" s="297"/>
      <c r="AM5344" s="296" t="s">
        <v>49</v>
      </c>
      <c r="AN5344" s="296" t="s">
        <v>284</v>
      </c>
      <c r="AO5344" s="296" t="s">
        <v>50</v>
      </c>
      <c r="AP5344" s="296" t="s">
        <v>51</v>
      </c>
      <c r="AQ5344" s="82" t="s">
        <v>755</v>
      </c>
    </row>
    <row r="5345" spans="1:43" ht="15" customHeight="1">
      <c r="A5345" s="69">
        <v>43746</v>
      </c>
      <c r="B5345" s="144" t="s">
        <v>377</v>
      </c>
      <c r="C5345" s="21">
        <v>8998</v>
      </c>
      <c r="D5345" s="71" t="s">
        <v>1706</v>
      </c>
      <c r="E5345" s="23" t="s">
        <v>1707</v>
      </c>
      <c r="F5345" s="24">
        <v>1</v>
      </c>
      <c r="G5345" s="48">
        <v>52.59</v>
      </c>
      <c r="H5345" s="60">
        <v>52.59</v>
      </c>
      <c r="I5345" s="61" t="s">
        <v>143</v>
      </c>
      <c r="J5345" s="58" t="s">
        <v>1107</v>
      </c>
      <c r="K5345" s="30">
        <v>43781</v>
      </c>
      <c r="W5345" s="304"/>
      <c r="X5345" s="304"/>
      <c r="Y5345" s="304"/>
      <c r="Z5345" s="304"/>
      <c r="AA5345" s="304"/>
      <c r="AB5345" s="237"/>
      <c r="AC5345" s="244"/>
      <c r="AD5345" s="244"/>
      <c r="AE5345" s="244"/>
      <c r="AF5345" s="244"/>
      <c r="AG5345" s="296"/>
      <c r="AH5345" s="296"/>
      <c r="AI5345" s="297"/>
      <c r="AJ5345" s="29">
        <v>43766</v>
      </c>
      <c r="AK5345" s="297">
        <f>46.02*30.45</f>
        <v>1401.309</v>
      </c>
      <c r="AL5345" s="297">
        <f>(52.59-46.02)*30.45</f>
        <v>200.0565</v>
      </c>
      <c r="AM5345" s="296" t="s">
        <v>49</v>
      </c>
      <c r="AN5345" s="296" t="s">
        <v>284</v>
      </c>
      <c r="AO5345" s="296" t="s">
        <v>50</v>
      </c>
      <c r="AP5345" s="296" t="s">
        <v>51</v>
      </c>
      <c r="AQ5345" s="82" t="s">
        <v>755</v>
      </c>
    </row>
    <row r="5346" spans="1:43" ht="15" customHeight="1">
      <c r="A5346" s="69">
        <v>43746</v>
      </c>
      <c r="B5346" s="144" t="s">
        <v>166</v>
      </c>
      <c r="C5346" s="502" t="s">
        <v>0</v>
      </c>
      <c r="D5346" s="71" t="s">
        <v>1708</v>
      </c>
      <c r="E5346" s="23" t="s">
        <v>176</v>
      </c>
      <c r="F5346" s="58">
        <v>1</v>
      </c>
      <c r="G5346" s="47">
        <v>105</v>
      </c>
      <c r="H5346" s="60">
        <v>105</v>
      </c>
      <c r="I5346" s="27" t="s">
        <v>104</v>
      </c>
      <c r="J5346" s="58" t="s">
        <v>171</v>
      </c>
      <c r="K5346" s="29">
        <v>43769</v>
      </c>
      <c r="W5346" s="304"/>
      <c r="X5346" s="304"/>
      <c r="Y5346" s="304"/>
      <c r="Z5346" s="304"/>
      <c r="AA5346" s="304"/>
      <c r="AB5346" s="237"/>
      <c r="AC5346" s="244"/>
      <c r="AD5346" s="244"/>
      <c r="AE5346" s="244"/>
      <c r="AF5346" s="244"/>
      <c r="AG5346" s="296"/>
      <c r="AH5346" s="304">
        <v>30.62</v>
      </c>
      <c r="AI5346" s="297"/>
      <c r="AJ5346" s="29">
        <v>43762</v>
      </c>
      <c r="AK5346" s="297"/>
      <c r="AL5346" s="297"/>
      <c r="AM5346" s="296" t="s">
        <v>49</v>
      </c>
      <c r="AN5346" s="296" t="s">
        <v>284</v>
      </c>
      <c r="AO5346" s="296" t="s">
        <v>285</v>
      </c>
      <c r="AP5346" s="296" t="s">
        <v>51</v>
      </c>
      <c r="AQ5346" s="82" t="s">
        <v>755</v>
      </c>
    </row>
    <row r="5347" spans="1:43" ht="15" customHeight="1">
      <c r="A5347" s="69">
        <v>43746</v>
      </c>
      <c r="B5347" s="144" t="s">
        <v>166</v>
      </c>
      <c r="C5347" s="21"/>
      <c r="D5347" s="71" t="s">
        <v>1708</v>
      </c>
      <c r="E5347" s="32" t="s">
        <v>173</v>
      </c>
      <c r="F5347" s="58">
        <v>1</v>
      </c>
      <c r="G5347" s="47">
        <v>78</v>
      </c>
      <c r="H5347" s="165">
        <v>78</v>
      </c>
      <c r="I5347" s="27" t="s">
        <v>170</v>
      </c>
      <c r="J5347" s="58" t="s">
        <v>171</v>
      </c>
      <c r="K5347" s="29">
        <v>43769</v>
      </c>
      <c r="W5347" s="304"/>
      <c r="X5347" s="304"/>
      <c r="Y5347" s="304"/>
      <c r="Z5347" s="304"/>
      <c r="AA5347" s="304"/>
      <c r="AB5347" s="237"/>
      <c r="AC5347" s="244"/>
      <c r="AD5347" s="244"/>
      <c r="AE5347" s="244"/>
      <c r="AF5347" s="244"/>
      <c r="AG5347" s="296"/>
      <c r="AH5347" s="304"/>
      <c r="AI5347" s="297"/>
      <c r="AJ5347" s="29">
        <v>43797</v>
      </c>
      <c r="AK5347" s="297">
        <f>7801.93*30.443</f>
        <v>237514.15499000001</v>
      </c>
      <c r="AL5347" s="297">
        <f>(7843-7801.93)*30.443</f>
        <v>1250.2940099999912</v>
      </c>
      <c r="AM5347" s="296" t="s">
        <v>49</v>
      </c>
      <c r="AN5347" s="296" t="s">
        <v>284</v>
      </c>
      <c r="AO5347" s="296" t="s">
        <v>285</v>
      </c>
      <c r="AP5347" s="296" t="s">
        <v>51</v>
      </c>
      <c r="AQ5347" s="296" t="s">
        <v>1346</v>
      </c>
    </row>
    <row r="5348" spans="1:43" ht="15" customHeight="1">
      <c r="A5348" s="69">
        <v>43746</v>
      </c>
      <c r="B5348" s="144" t="s">
        <v>166</v>
      </c>
      <c r="C5348" s="21"/>
      <c r="D5348" s="21" t="s">
        <v>1708</v>
      </c>
      <c r="E5348" s="23" t="s">
        <v>1709</v>
      </c>
      <c r="F5348" s="24">
        <v>1</v>
      </c>
      <c r="G5348" s="48">
        <v>1552</v>
      </c>
      <c r="H5348" s="165">
        <v>1552</v>
      </c>
      <c r="I5348" s="27" t="s">
        <v>104</v>
      </c>
      <c r="J5348" s="58" t="s">
        <v>171</v>
      </c>
      <c r="K5348" s="29">
        <v>43769</v>
      </c>
      <c r="W5348" s="304"/>
      <c r="X5348" s="304"/>
      <c r="Y5348" s="304"/>
      <c r="Z5348" s="304"/>
      <c r="AA5348" s="304"/>
      <c r="AB5348" s="237"/>
      <c r="AC5348" s="244"/>
      <c r="AD5348" s="244"/>
      <c r="AE5348" s="244"/>
      <c r="AF5348" s="244"/>
      <c r="AG5348" s="296"/>
      <c r="AH5348" s="304">
        <v>30.62</v>
      </c>
      <c r="AI5348" s="297"/>
      <c r="AJ5348" s="29">
        <v>43762</v>
      </c>
      <c r="AK5348" s="297">
        <f>13249.38*30.53</f>
        <v>404503.57140000002</v>
      </c>
      <c r="AL5348" s="297">
        <f>(13256-13249.38)*30.53</f>
        <v>202.10860000002444</v>
      </c>
      <c r="AM5348" s="296" t="s">
        <v>49</v>
      </c>
      <c r="AN5348" s="296" t="s">
        <v>284</v>
      </c>
      <c r="AO5348" s="296" t="s">
        <v>285</v>
      </c>
      <c r="AP5348" s="296" t="s">
        <v>51</v>
      </c>
      <c r="AQ5348" s="82" t="s">
        <v>755</v>
      </c>
    </row>
    <row r="5349" spans="1:43" ht="15" customHeight="1">
      <c r="A5349" s="69">
        <v>43746</v>
      </c>
      <c r="B5349" s="144" t="s">
        <v>166</v>
      </c>
      <c r="C5349" s="21"/>
      <c r="D5349" s="21" t="s">
        <v>1710</v>
      </c>
      <c r="E5349" s="545" t="s">
        <v>1711</v>
      </c>
      <c r="F5349" s="24">
        <v>7</v>
      </c>
      <c r="G5349" s="48">
        <v>1552</v>
      </c>
      <c r="H5349" s="165">
        <v>10864</v>
      </c>
      <c r="I5349" s="27" t="s">
        <v>104</v>
      </c>
      <c r="J5349" s="58" t="s">
        <v>171</v>
      </c>
      <c r="K5349" s="29">
        <v>43804</v>
      </c>
      <c r="W5349" s="304"/>
      <c r="X5349" s="304"/>
      <c r="Y5349" s="304"/>
      <c r="Z5349" s="304"/>
      <c r="AA5349" s="304"/>
      <c r="AB5349" s="237"/>
      <c r="AC5349" s="244"/>
      <c r="AD5349" s="244"/>
      <c r="AE5349" s="244"/>
      <c r="AF5349" s="244"/>
      <c r="AG5349" s="296"/>
      <c r="AH5349" s="304"/>
      <c r="AI5349" s="297"/>
      <c r="AJ5349" s="29">
        <v>43762</v>
      </c>
      <c r="AK5349" s="297"/>
      <c r="AL5349" s="297"/>
      <c r="AM5349" s="296" t="s">
        <v>49</v>
      </c>
      <c r="AN5349" s="82" t="s">
        <v>284</v>
      </c>
      <c r="AO5349" s="296" t="s">
        <v>285</v>
      </c>
      <c r="AP5349" s="296" t="s">
        <v>51</v>
      </c>
      <c r="AQ5349" s="296" t="s">
        <v>1346</v>
      </c>
    </row>
    <row r="5350" spans="1:43" ht="15" customHeight="1">
      <c r="A5350" s="69">
        <v>43746</v>
      </c>
      <c r="B5350" s="144" t="s">
        <v>166</v>
      </c>
      <c r="C5350" s="546"/>
      <c r="D5350" s="71" t="s">
        <v>1710</v>
      </c>
      <c r="E5350" s="32" t="s">
        <v>173</v>
      </c>
      <c r="F5350" s="58">
        <v>7</v>
      </c>
      <c r="G5350" s="47">
        <v>78</v>
      </c>
      <c r="H5350" s="60">
        <v>546</v>
      </c>
      <c r="I5350" s="27" t="s">
        <v>170</v>
      </c>
      <c r="J5350" s="58" t="s">
        <v>171</v>
      </c>
      <c r="K5350" s="29">
        <v>43804</v>
      </c>
      <c r="W5350" s="304"/>
      <c r="X5350" s="304"/>
      <c r="Y5350" s="304"/>
      <c r="Z5350" s="304"/>
      <c r="AA5350" s="304"/>
      <c r="AB5350" s="237"/>
      <c r="AC5350" s="244"/>
      <c r="AD5350" s="244"/>
      <c r="AE5350" s="244"/>
      <c r="AF5350" s="244"/>
      <c r="AG5350" s="296"/>
      <c r="AH5350" s="304"/>
      <c r="AI5350" s="297"/>
      <c r="AJ5350" s="29">
        <v>43797</v>
      </c>
      <c r="AK5350" s="297"/>
      <c r="AL5350" s="297"/>
      <c r="AM5350" s="296" t="s">
        <v>49</v>
      </c>
      <c r="AN5350" s="82" t="s">
        <v>284</v>
      </c>
      <c r="AO5350" s="296" t="s">
        <v>285</v>
      </c>
      <c r="AP5350" s="296" t="s">
        <v>51</v>
      </c>
      <c r="AQ5350" s="296" t="s">
        <v>1346</v>
      </c>
    </row>
    <row r="5351" spans="1:43" ht="15" customHeight="1">
      <c r="A5351" s="69">
        <v>43746</v>
      </c>
      <c r="B5351" s="144" t="s">
        <v>166</v>
      </c>
      <c r="C5351" s="546" t="s">
        <v>0</v>
      </c>
      <c r="D5351" s="71" t="s">
        <v>1710</v>
      </c>
      <c r="E5351" s="32" t="s">
        <v>176</v>
      </c>
      <c r="F5351" s="58">
        <v>7</v>
      </c>
      <c r="G5351" s="47">
        <v>61</v>
      </c>
      <c r="H5351" s="60">
        <v>427</v>
      </c>
      <c r="I5351" s="27" t="s">
        <v>104</v>
      </c>
      <c r="J5351" s="58" t="s">
        <v>171</v>
      </c>
      <c r="K5351" s="29">
        <v>43804</v>
      </c>
      <c r="W5351" s="304"/>
      <c r="X5351" s="304"/>
      <c r="Y5351" s="304"/>
      <c r="Z5351" s="304"/>
      <c r="AA5351" s="304"/>
      <c r="AB5351" s="237"/>
      <c r="AC5351" s="244"/>
      <c r="AD5351" s="244"/>
      <c r="AE5351" s="244"/>
      <c r="AF5351" s="244"/>
      <c r="AG5351" s="296"/>
      <c r="AH5351" s="304"/>
      <c r="AI5351" s="297"/>
      <c r="AJ5351" s="29">
        <v>43762</v>
      </c>
      <c r="AK5351" s="297"/>
      <c r="AL5351" s="297"/>
      <c r="AM5351" s="296" t="s">
        <v>49</v>
      </c>
      <c r="AN5351" s="82" t="s">
        <v>284</v>
      </c>
      <c r="AO5351" s="296" t="s">
        <v>285</v>
      </c>
      <c r="AP5351" s="296" t="s">
        <v>51</v>
      </c>
      <c r="AQ5351" s="296" t="s">
        <v>1346</v>
      </c>
    </row>
    <row r="5352" spans="1:43" ht="15" customHeight="1">
      <c r="A5352" s="69">
        <v>43746</v>
      </c>
      <c r="B5352" s="70" t="s">
        <v>1097</v>
      </c>
      <c r="C5352" s="70" t="s">
        <v>0</v>
      </c>
      <c r="D5352" s="71" t="s">
        <v>1712</v>
      </c>
      <c r="E5352" s="32" t="s">
        <v>1713</v>
      </c>
      <c r="F5352" s="24">
        <v>3</v>
      </c>
      <c r="G5352" s="48">
        <v>157</v>
      </c>
      <c r="H5352" s="60">
        <v>471</v>
      </c>
      <c r="I5352" s="61" t="s">
        <v>143</v>
      </c>
      <c r="J5352" s="50" t="s">
        <v>262</v>
      </c>
      <c r="K5352" s="29">
        <v>43760</v>
      </c>
      <c r="W5352" s="303">
        <v>43799</v>
      </c>
      <c r="X5352" s="303">
        <v>43755</v>
      </c>
      <c r="Y5352" s="304" t="s">
        <v>1714</v>
      </c>
      <c r="Z5352" s="304">
        <v>13427</v>
      </c>
      <c r="AA5352" s="304"/>
      <c r="AB5352" s="237"/>
      <c r="AC5352" s="244"/>
      <c r="AD5352" s="244"/>
      <c r="AE5352" s="244"/>
      <c r="AF5352" s="244"/>
      <c r="AG5352" s="296"/>
      <c r="AH5352" s="304">
        <v>30.62</v>
      </c>
      <c r="AI5352" s="297"/>
      <c r="AJ5352" s="29">
        <v>43752</v>
      </c>
      <c r="AK5352" s="297">
        <f>539.47*30.645</f>
        <v>16532.058150000001</v>
      </c>
      <c r="AL5352" s="297">
        <f>(557-539.47)*30.645</f>
        <v>537.20684999999912</v>
      </c>
      <c r="AM5352" s="296" t="s">
        <v>49</v>
      </c>
      <c r="AN5352" s="296" t="s">
        <v>284</v>
      </c>
      <c r="AO5352" s="296" t="s">
        <v>50</v>
      </c>
      <c r="AP5352" s="296" t="s">
        <v>51</v>
      </c>
      <c r="AQ5352" s="82" t="s">
        <v>755</v>
      </c>
    </row>
    <row r="5353" spans="1:43" ht="15" customHeight="1">
      <c r="A5353" s="69">
        <v>43746</v>
      </c>
      <c r="B5353" s="70" t="s">
        <v>1097</v>
      </c>
      <c r="C5353" s="21"/>
      <c r="D5353" s="71" t="s">
        <v>1712</v>
      </c>
      <c r="E5353" s="32" t="s">
        <v>1715</v>
      </c>
      <c r="F5353" s="24">
        <v>1</v>
      </c>
      <c r="G5353" s="48">
        <v>46</v>
      </c>
      <c r="H5353" s="60">
        <v>46</v>
      </c>
      <c r="I5353" s="61" t="s">
        <v>143</v>
      </c>
      <c r="J5353" s="50" t="s">
        <v>262</v>
      </c>
      <c r="K5353" s="29">
        <v>43760</v>
      </c>
      <c r="W5353" s="303">
        <v>43755</v>
      </c>
      <c r="X5353" s="303">
        <v>43755</v>
      </c>
      <c r="Y5353" s="304" t="s">
        <v>1716</v>
      </c>
      <c r="Z5353" s="304">
        <v>1298</v>
      </c>
      <c r="AA5353" s="304"/>
      <c r="AB5353" s="237"/>
      <c r="AC5353" s="244"/>
      <c r="AD5353" s="244"/>
      <c r="AE5353" s="244"/>
      <c r="AF5353" s="244"/>
      <c r="AG5353" s="296"/>
      <c r="AH5353" s="304">
        <v>30.62</v>
      </c>
      <c r="AI5353" s="297"/>
      <c r="AJ5353" s="29">
        <v>43752</v>
      </c>
      <c r="AK5353" s="297"/>
      <c r="AL5353" s="297"/>
      <c r="AM5353" s="296" t="s">
        <v>49</v>
      </c>
      <c r="AN5353" s="296" t="s">
        <v>284</v>
      </c>
      <c r="AO5353" s="296" t="s">
        <v>50</v>
      </c>
      <c r="AP5353" s="296" t="s">
        <v>51</v>
      </c>
      <c r="AQ5353" s="82" t="s">
        <v>755</v>
      </c>
    </row>
    <row r="5354" spans="1:43" ht="15" customHeight="1">
      <c r="A5354" s="69">
        <v>43746</v>
      </c>
      <c r="B5354" s="70" t="s">
        <v>1097</v>
      </c>
      <c r="C5354" s="21"/>
      <c r="D5354" s="71" t="s">
        <v>1712</v>
      </c>
      <c r="E5354" s="32" t="s">
        <v>692</v>
      </c>
      <c r="F5354" s="24">
        <v>1</v>
      </c>
      <c r="G5354" s="48">
        <v>40</v>
      </c>
      <c r="H5354" s="60">
        <v>40</v>
      </c>
      <c r="I5354" s="61" t="s">
        <v>143</v>
      </c>
      <c r="J5354" s="63" t="s">
        <v>262</v>
      </c>
      <c r="K5354" s="29">
        <v>43760</v>
      </c>
      <c r="W5354" s="52"/>
      <c r="X5354" s="53"/>
      <c r="Y5354" s="53"/>
      <c r="Z5354" s="53"/>
      <c r="AA5354" s="53"/>
      <c r="AB5354" s="237"/>
      <c r="AC5354" s="244"/>
      <c r="AD5354" s="244"/>
      <c r="AE5354" s="244"/>
      <c r="AF5354" s="244"/>
      <c r="AG5354" s="54"/>
      <c r="AH5354" s="53">
        <v>30.62</v>
      </c>
      <c r="AI5354" s="55"/>
      <c r="AJ5354" s="146">
        <v>43752</v>
      </c>
      <c r="AK5354" s="55"/>
      <c r="AL5354" s="55"/>
      <c r="AM5354" s="54" t="s">
        <v>49</v>
      </c>
      <c r="AN5354" s="54" t="s">
        <v>284</v>
      </c>
      <c r="AO5354" s="54"/>
      <c r="AP5354" s="54"/>
      <c r="AQ5354" s="54"/>
    </row>
    <row r="5355" spans="1:43" ht="15" customHeight="1">
      <c r="A5355" s="463">
        <v>43747</v>
      </c>
      <c r="B5355" s="144" t="s">
        <v>1717</v>
      </c>
      <c r="C5355" s="21" t="s">
        <v>1718</v>
      </c>
      <c r="D5355" s="71" t="s">
        <v>1719</v>
      </c>
      <c r="E5355" s="32" t="s">
        <v>1720</v>
      </c>
      <c r="F5355" s="24">
        <v>20</v>
      </c>
      <c r="G5355" s="48">
        <f>75+29+5</f>
        <v>109</v>
      </c>
      <c r="H5355" s="60">
        <v>2180</v>
      </c>
      <c r="I5355" s="27" t="s">
        <v>104</v>
      </c>
      <c r="J5355" s="58" t="s">
        <v>1721</v>
      </c>
      <c r="K5355" s="29">
        <v>43774</v>
      </c>
      <c r="W5355" s="460"/>
      <c r="X5355" s="460"/>
      <c r="Y5355" s="304"/>
      <c r="Z5355" s="304"/>
      <c r="AA5355" s="304"/>
      <c r="AB5355" s="237"/>
      <c r="AC5355" s="244"/>
      <c r="AD5355" s="244"/>
      <c r="AE5355" s="244"/>
      <c r="AF5355" s="244"/>
      <c r="AG5355" s="296"/>
      <c r="AH5355" s="304">
        <v>30.52</v>
      </c>
      <c r="AI5355" s="297"/>
      <c r="AJ5355" s="29"/>
      <c r="AK5355" s="297"/>
      <c r="AL5355" s="297"/>
      <c r="AM5355" s="296" t="s">
        <v>49</v>
      </c>
      <c r="AN5355" s="296" t="s">
        <v>284</v>
      </c>
      <c r="AO5355" s="296" t="s">
        <v>285</v>
      </c>
      <c r="AP5355" s="296" t="s">
        <v>51</v>
      </c>
      <c r="AQ5355" s="82" t="s">
        <v>755</v>
      </c>
    </row>
    <row r="5356" spans="1:43" ht="15" customHeight="1">
      <c r="A5356" s="463">
        <v>43747</v>
      </c>
      <c r="B5356" s="144" t="s">
        <v>1717</v>
      </c>
      <c r="C5356" s="21" t="s">
        <v>1718</v>
      </c>
      <c r="D5356" s="71" t="s">
        <v>1719</v>
      </c>
      <c r="E5356" s="35" t="s">
        <v>1722</v>
      </c>
      <c r="F5356" s="24">
        <v>20</v>
      </c>
      <c r="G5356" s="48">
        <v>0</v>
      </c>
      <c r="H5356" s="60">
        <v>0</v>
      </c>
      <c r="I5356" s="61"/>
      <c r="J5356" s="58"/>
      <c r="K5356" s="29"/>
      <c r="W5356" s="304"/>
      <c r="X5356" s="304"/>
      <c r="Y5356" s="304"/>
      <c r="Z5356" s="304"/>
      <c r="AA5356" s="304"/>
      <c r="AB5356" s="237"/>
      <c r="AC5356" s="244"/>
      <c r="AD5356" s="244"/>
      <c r="AE5356" s="244"/>
      <c r="AF5356" s="244"/>
      <c r="AG5356" s="296"/>
      <c r="AH5356" s="304"/>
      <c r="AI5356" s="297"/>
      <c r="AJ5356" s="537"/>
      <c r="AK5356" s="297"/>
      <c r="AL5356" s="297"/>
      <c r="AM5356" s="296" t="s">
        <v>49</v>
      </c>
      <c r="AN5356" s="296" t="s">
        <v>284</v>
      </c>
      <c r="AO5356" s="296" t="s">
        <v>285</v>
      </c>
      <c r="AP5356" s="296" t="s">
        <v>51</v>
      </c>
      <c r="AQ5356" s="296" t="s">
        <v>1346</v>
      </c>
    </row>
    <row r="5357" spans="1:43" ht="15" customHeight="1">
      <c r="A5357" s="463">
        <v>43747</v>
      </c>
      <c r="B5357" s="144" t="s">
        <v>1717</v>
      </c>
      <c r="C5357" s="21" t="s">
        <v>1718</v>
      </c>
      <c r="D5357" s="71" t="s">
        <v>1719</v>
      </c>
      <c r="E5357" s="547" t="s">
        <v>1723</v>
      </c>
      <c r="F5357" s="24">
        <v>20</v>
      </c>
      <c r="G5357" s="48">
        <v>0</v>
      </c>
      <c r="H5357" s="60">
        <v>0</v>
      </c>
      <c r="I5357" s="61"/>
      <c r="J5357" s="58"/>
      <c r="K5357" s="29"/>
      <c r="W5357" s="460">
        <v>43804</v>
      </c>
      <c r="X5357" s="460">
        <v>43773</v>
      </c>
      <c r="Y5357" s="304" t="s">
        <v>1724</v>
      </c>
      <c r="Z5357" s="304">
        <v>2556</v>
      </c>
      <c r="AA5357" s="304"/>
      <c r="AB5357" s="237"/>
      <c r="AC5357" s="244"/>
      <c r="AD5357" s="244"/>
      <c r="AE5357" s="244"/>
      <c r="AF5357" s="244"/>
      <c r="AG5357" s="296"/>
      <c r="AH5357" s="304">
        <v>30.52</v>
      </c>
      <c r="AI5357" s="297"/>
      <c r="AJ5357" s="29">
        <v>43753</v>
      </c>
      <c r="AK5357" s="297">
        <f>2413.47*30.62</f>
        <v>73900.451399999991</v>
      </c>
      <c r="AL5357" s="297">
        <f>(2440-2413.47)*30.62</f>
        <v>812.34860000000617</v>
      </c>
      <c r="AM5357" s="296" t="s">
        <v>49</v>
      </c>
      <c r="AN5357" s="296" t="s">
        <v>284</v>
      </c>
      <c r="AO5357" s="296" t="s">
        <v>285</v>
      </c>
      <c r="AP5357" s="296" t="s">
        <v>51</v>
      </c>
      <c r="AQ5357" s="82" t="s">
        <v>755</v>
      </c>
    </row>
    <row r="5358" spans="1:43" ht="15" customHeight="1">
      <c r="A5358" s="463">
        <v>43747</v>
      </c>
      <c r="B5358" s="144" t="s">
        <v>1717</v>
      </c>
      <c r="C5358" s="21" t="s">
        <v>1718</v>
      </c>
      <c r="D5358" s="71" t="s">
        <v>1719</v>
      </c>
      <c r="E5358" s="22" t="s">
        <v>1725</v>
      </c>
      <c r="F5358" s="24">
        <v>20</v>
      </c>
      <c r="G5358" s="48">
        <v>13</v>
      </c>
      <c r="H5358" s="60">
        <v>260</v>
      </c>
      <c r="I5358" s="61" t="s">
        <v>143</v>
      </c>
      <c r="J5358" s="58" t="s">
        <v>1721</v>
      </c>
      <c r="K5358" s="29">
        <v>43774</v>
      </c>
      <c r="W5358" s="304"/>
      <c r="X5358" s="304"/>
      <c r="Y5358" s="304"/>
      <c r="Z5358" s="304"/>
      <c r="AA5358" s="304"/>
      <c r="AB5358" s="237"/>
      <c r="AC5358" s="244"/>
      <c r="AD5358" s="244"/>
      <c r="AE5358" s="244"/>
      <c r="AF5358" s="244"/>
      <c r="AG5358" s="296"/>
      <c r="AH5358" s="304"/>
      <c r="AI5358" s="297"/>
      <c r="AJ5358" s="537"/>
      <c r="AK5358" s="297"/>
      <c r="AL5358" s="297"/>
      <c r="AM5358" s="296" t="s">
        <v>49</v>
      </c>
      <c r="AN5358" s="296" t="s">
        <v>284</v>
      </c>
      <c r="AO5358" s="296" t="s">
        <v>285</v>
      </c>
      <c r="AP5358" s="296" t="s">
        <v>51</v>
      </c>
      <c r="AQ5358" s="82" t="s">
        <v>755</v>
      </c>
    </row>
    <row r="5359" spans="1:43" ht="15" customHeight="1">
      <c r="A5359" s="69">
        <v>43752</v>
      </c>
      <c r="B5359" s="23" t="s">
        <v>212</v>
      </c>
      <c r="C5359" s="21" t="s">
        <v>1726</v>
      </c>
      <c r="D5359" s="71" t="s">
        <v>1727</v>
      </c>
      <c r="E5359" s="32" t="s">
        <v>136</v>
      </c>
      <c r="F5359" s="24">
        <v>9</v>
      </c>
      <c r="G5359" s="48">
        <v>31</v>
      </c>
      <c r="H5359" s="60">
        <v>279</v>
      </c>
      <c r="I5359" s="61" t="s">
        <v>143</v>
      </c>
      <c r="J5359" s="58" t="s">
        <v>216</v>
      </c>
      <c r="K5359" s="30">
        <v>43782</v>
      </c>
      <c r="W5359" s="303">
        <v>43830</v>
      </c>
      <c r="X5359" s="303">
        <v>43781</v>
      </c>
      <c r="Y5359" s="304" t="s">
        <v>1728</v>
      </c>
      <c r="Z5359" s="304">
        <v>35213</v>
      </c>
      <c r="AA5359" s="304"/>
      <c r="AB5359" s="237"/>
      <c r="AC5359" s="244"/>
      <c r="AD5359" s="244"/>
      <c r="AE5359" s="244"/>
      <c r="AF5359" s="244"/>
      <c r="AG5359" s="296"/>
      <c r="AH5359" s="304"/>
      <c r="AI5359" s="297"/>
      <c r="AJ5359" s="29">
        <v>43754</v>
      </c>
      <c r="AK5359" s="297">
        <f>1278.47*30.64</f>
        <v>39172.320800000001</v>
      </c>
      <c r="AL5359" s="297">
        <f>(1285-1278.47)*30.64</f>
        <v>200.07919999999916</v>
      </c>
      <c r="AM5359" s="296" t="s">
        <v>49</v>
      </c>
      <c r="AN5359" s="296" t="s">
        <v>284</v>
      </c>
      <c r="AO5359" s="296" t="s">
        <v>50</v>
      </c>
      <c r="AP5359" s="296" t="s">
        <v>51</v>
      </c>
      <c r="AQ5359" s="82" t="s">
        <v>755</v>
      </c>
    </row>
    <row r="5360" spans="1:43" ht="15" customHeight="1">
      <c r="A5360" s="69">
        <v>43752</v>
      </c>
      <c r="B5360" s="23" t="s">
        <v>212</v>
      </c>
      <c r="C5360" s="21" t="s">
        <v>1726</v>
      </c>
      <c r="D5360" s="71" t="s">
        <v>1727</v>
      </c>
      <c r="E5360" s="32" t="s">
        <v>132</v>
      </c>
      <c r="F5360" s="24">
        <v>9</v>
      </c>
      <c r="G5360" s="48">
        <v>109</v>
      </c>
      <c r="H5360" s="60">
        <v>981</v>
      </c>
      <c r="I5360" s="61" t="s">
        <v>143</v>
      </c>
      <c r="J5360" s="58" t="s">
        <v>216</v>
      </c>
      <c r="K5360" s="30">
        <v>43782</v>
      </c>
      <c r="W5360" s="303">
        <v>43830</v>
      </c>
      <c r="X5360" s="303">
        <v>43781</v>
      </c>
      <c r="Y5360" s="304" t="s">
        <v>1728</v>
      </c>
      <c r="Z5360" s="304"/>
      <c r="AA5360" s="304"/>
      <c r="AB5360" s="237"/>
      <c r="AC5360" s="244"/>
      <c r="AD5360" s="244"/>
      <c r="AE5360" s="244"/>
      <c r="AF5360" s="244"/>
      <c r="AG5360" s="296"/>
      <c r="AH5360" s="304"/>
      <c r="AI5360" s="297"/>
      <c r="AJ5360" s="29">
        <v>43754</v>
      </c>
      <c r="AK5360" s="297"/>
      <c r="AL5360" s="297"/>
      <c r="AM5360" s="296" t="s">
        <v>49</v>
      </c>
      <c r="AN5360" s="296" t="s">
        <v>284</v>
      </c>
      <c r="AO5360" s="296" t="s">
        <v>50</v>
      </c>
      <c r="AP5360" s="296" t="s">
        <v>51</v>
      </c>
      <c r="AQ5360" s="82" t="s">
        <v>755</v>
      </c>
    </row>
    <row r="5361" spans="1:43" ht="15" customHeight="1">
      <c r="A5361" s="69">
        <v>43752</v>
      </c>
      <c r="B5361" s="23" t="s">
        <v>212</v>
      </c>
      <c r="C5361" s="21" t="s">
        <v>1726</v>
      </c>
      <c r="D5361" s="71" t="s">
        <v>1727</v>
      </c>
      <c r="E5361" s="32" t="s">
        <v>692</v>
      </c>
      <c r="F5361" s="24">
        <v>1</v>
      </c>
      <c r="G5361" s="48">
        <v>25</v>
      </c>
      <c r="H5361" s="60">
        <v>25</v>
      </c>
      <c r="I5361" s="61" t="s">
        <v>143</v>
      </c>
      <c r="J5361" s="161" t="s">
        <v>216</v>
      </c>
      <c r="K5361" s="30">
        <v>43782</v>
      </c>
      <c r="W5361" s="52"/>
      <c r="X5361" s="53"/>
      <c r="Y5361" s="53"/>
      <c r="Z5361" s="53"/>
      <c r="AA5361" s="53"/>
      <c r="AB5361" s="237"/>
      <c r="AC5361" s="244"/>
      <c r="AD5361" s="244"/>
      <c r="AE5361" s="244"/>
      <c r="AF5361" s="244"/>
      <c r="AG5361" s="54"/>
      <c r="AH5361" s="53"/>
      <c r="AI5361" s="55"/>
      <c r="AJ5361" s="146">
        <v>43754</v>
      </c>
      <c r="AK5361" s="55"/>
      <c r="AL5361" s="55"/>
      <c r="AM5361" s="54" t="s">
        <v>49</v>
      </c>
      <c r="AN5361" s="54" t="s">
        <v>284</v>
      </c>
      <c r="AO5361" s="54"/>
      <c r="AP5361" s="54"/>
      <c r="AQ5361" s="54"/>
    </row>
    <row r="5362" spans="1:43" ht="15" customHeight="1">
      <c r="A5362" s="69">
        <v>43752</v>
      </c>
      <c r="B5362" s="70" t="s">
        <v>76</v>
      </c>
      <c r="C5362" s="21">
        <v>760</v>
      </c>
      <c r="D5362" s="71" t="s">
        <v>1729</v>
      </c>
      <c r="E5362" s="22" t="s">
        <v>1730</v>
      </c>
      <c r="F5362" s="433">
        <v>50</v>
      </c>
      <c r="G5362" s="48">
        <v>3</v>
      </c>
      <c r="H5362" s="26">
        <v>150</v>
      </c>
      <c r="I5362" s="61" t="s">
        <v>42</v>
      </c>
      <c r="J5362" s="82" t="s">
        <v>922</v>
      </c>
      <c r="K5362" s="30">
        <v>43769</v>
      </c>
      <c r="W5362" s="304"/>
      <c r="X5362" s="304"/>
      <c r="Y5362" s="304"/>
      <c r="Z5362" s="304"/>
      <c r="AA5362" s="304"/>
      <c r="AB5362" s="237"/>
      <c r="AC5362" s="244"/>
      <c r="AD5362" s="244"/>
      <c r="AE5362" s="244"/>
      <c r="AF5362" s="244"/>
      <c r="AG5362" s="296"/>
      <c r="AH5362" s="304"/>
      <c r="AI5362" s="297"/>
      <c r="AJ5362" s="537"/>
      <c r="AK5362" s="298">
        <v>43803</v>
      </c>
      <c r="AL5362" s="297"/>
      <c r="AM5362" s="296" t="s">
        <v>49</v>
      </c>
      <c r="AN5362" s="296" t="s">
        <v>284</v>
      </c>
      <c r="AO5362" s="296" t="s">
        <v>50</v>
      </c>
      <c r="AP5362" s="296" t="s">
        <v>51</v>
      </c>
      <c r="AQ5362" s="82" t="s">
        <v>755</v>
      </c>
    </row>
    <row r="5363" spans="1:43" ht="15" customHeight="1">
      <c r="A5363" s="69">
        <v>43753</v>
      </c>
      <c r="B5363" s="70" t="s">
        <v>629</v>
      </c>
      <c r="C5363" s="548" t="s">
        <v>1731</v>
      </c>
      <c r="D5363" s="112" t="s">
        <v>1732</v>
      </c>
      <c r="E5363" s="32" t="s">
        <v>632</v>
      </c>
      <c r="F5363" s="24">
        <v>14</v>
      </c>
      <c r="G5363" s="48">
        <v>173.25</v>
      </c>
      <c r="H5363" s="60">
        <v>2425.5</v>
      </c>
      <c r="I5363" s="61" t="s">
        <v>143</v>
      </c>
      <c r="J5363" s="50" t="s">
        <v>1074</v>
      </c>
      <c r="K5363" s="30">
        <v>43784</v>
      </c>
      <c r="W5363" s="460">
        <v>43804</v>
      </c>
      <c r="X5363" s="303">
        <v>43783</v>
      </c>
      <c r="Y5363" s="304" t="s">
        <v>1733</v>
      </c>
      <c r="Z5363" s="304">
        <v>127313</v>
      </c>
      <c r="AA5363" s="304"/>
      <c r="AB5363" s="237"/>
      <c r="AC5363" s="244"/>
      <c r="AD5363" s="244"/>
      <c r="AE5363" s="244"/>
      <c r="AF5363" s="244"/>
      <c r="AG5363" s="296"/>
      <c r="AH5363" s="304" t="s">
        <v>1734</v>
      </c>
      <c r="AI5363" s="297"/>
      <c r="AJ5363" s="29">
        <v>43811</v>
      </c>
      <c r="AK5363" s="297">
        <v>132075</v>
      </c>
      <c r="AL5363" s="297">
        <v>28</v>
      </c>
      <c r="AM5363" s="296" t="s">
        <v>49</v>
      </c>
      <c r="AN5363" s="296" t="s">
        <v>284</v>
      </c>
      <c r="AO5363" s="296" t="s">
        <v>50</v>
      </c>
      <c r="AP5363" s="296" t="s">
        <v>376</v>
      </c>
      <c r="AQ5363" s="82" t="s">
        <v>755</v>
      </c>
    </row>
    <row r="5364" spans="1:43" ht="15" customHeight="1">
      <c r="A5364" s="69">
        <v>43753</v>
      </c>
      <c r="B5364" s="70" t="s">
        <v>629</v>
      </c>
      <c r="C5364" s="548" t="s">
        <v>1731</v>
      </c>
      <c r="D5364" s="112" t="s">
        <v>1735</v>
      </c>
      <c r="E5364" s="32" t="s">
        <v>632</v>
      </c>
      <c r="F5364" s="24">
        <v>11</v>
      </c>
      <c r="G5364" s="48">
        <v>173.25</v>
      </c>
      <c r="H5364" s="60">
        <v>1905.75</v>
      </c>
      <c r="I5364" s="61" t="s">
        <v>143</v>
      </c>
      <c r="J5364" s="50" t="s">
        <v>1074</v>
      </c>
      <c r="K5364" s="30">
        <v>43784</v>
      </c>
      <c r="W5364" s="460">
        <v>43804</v>
      </c>
      <c r="X5364" s="303">
        <v>43783</v>
      </c>
      <c r="Y5364" s="304" t="s">
        <v>1733</v>
      </c>
      <c r="Z5364" s="304"/>
      <c r="AA5364" s="304"/>
      <c r="AB5364" s="237"/>
      <c r="AC5364" s="244"/>
      <c r="AD5364" s="244"/>
      <c r="AE5364" s="244"/>
      <c r="AF5364" s="244"/>
      <c r="AG5364" s="296"/>
      <c r="AH5364" s="304" t="s">
        <v>1734</v>
      </c>
      <c r="AI5364" s="297"/>
      <c r="AJ5364" s="29">
        <v>43811</v>
      </c>
      <c r="AK5364" s="297"/>
      <c r="AL5364" s="297"/>
      <c r="AM5364" s="296" t="s">
        <v>49</v>
      </c>
      <c r="AN5364" s="296" t="s">
        <v>284</v>
      </c>
      <c r="AO5364" s="296" t="s">
        <v>50</v>
      </c>
      <c r="AP5364" s="296" t="s">
        <v>376</v>
      </c>
      <c r="AQ5364" s="82" t="s">
        <v>755</v>
      </c>
    </row>
    <row r="5365" spans="1:43" ht="15" customHeight="1">
      <c r="A5365" s="69">
        <v>43753</v>
      </c>
      <c r="B5365" s="70" t="s">
        <v>129</v>
      </c>
      <c r="C5365" s="21" t="s">
        <v>1736</v>
      </c>
      <c r="D5365" s="71" t="s">
        <v>1737</v>
      </c>
      <c r="E5365" s="21" t="s">
        <v>132</v>
      </c>
      <c r="F5365" s="24">
        <v>5</v>
      </c>
      <c r="G5365" s="48">
        <v>103</v>
      </c>
      <c r="H5365" s="60">
        <v>515</v>
      </c>
      <c r="I5365" s="61" t="s">
        <v>143</v>
      </c>
      <c r="J5365" s="50" t="s">
        <v>133</v>
      </c>
      <c r="K5365" s="30">
        <v>43782</v>
      </c>
      <c r="W5365" s="303">
        <v>43830</v>
      </c>
      <c r="X5365" s="303">
        <v>43781</v>
      </c>
      <c r="Y5365" s="304" t="s">
        <v>1738</v>
      </c>
      <c r="Z5365" s="304">
        <v>19563</v>
      </c>
      <c r="AA5365" s="304"/>
      <c r="AB5365" s="237"/>
      <c r="AC5365" s="244"/>
      <c r="AD5365" s="244"/>
      <c r="AE5365" s="244"/>
      <c r="AF5365" s="244"/>
      <c r="AG5365" s="296"/>
      <c r="AH5365" s="304"/>
      <c r="AI5365" s="297"/>
      <c r="AJ5365" s="29">
        <v>43797</v>
      </c>
      <c r="AK5365" s="297"/>
      <c r="AL5365" s="297"/>
      <c r="AM5365" s="296" t="s">
        <v>49</v>
      </c>
      <c r="AN5365" s="296" t="s">
        <v>284</v>
      </c>
      <c r="AO5365" s="296" t="s">
        <v>50</v>
      </c>
      <c r="AP5365" s="296" t="s">
        <v>51</v>
      </c>
      <c r="AQ5365" s="82" t="s">
        <v>755</v>
      </c>
    </row>
    <row r="5366" spans="1:43" ht="15" customHeight="1">
      <c r="A5366" s="69">
        <v>43753</v>
      </c>
      <c r="B5366" s="70" t="s">
        <v>129</v>
      </c>
      <c r="C5366" s="21" t="s">
        <v>1736</v>
      </c>
      <c r="D5366" s="21" t="s">
        <v>1737</v>
      </c>
      <c r="E5366" s="32" t="s">
        <v>136</v>
      </c>
      <c r="F5366" s="24">
        <v>5</v>
      </c>
      <c r="G5366" s="48">
        <v>29</v>
      </c>
      <c r="H5366" s="60">
        <v>145</v>
      </c>
      <c r="I5366" s="61" t="s">
        <v>143</v>
      </c>
      <c r="J5366" s="50" t="s">
        <v>133</v>
      </c>
      <c r="K5366" s="30">
        <v>43782</v>
      </c>
      <c r="W5366" s="303">
        <v>43830</v>
      </c>
      <c r="X5366" s="303">
        <v>43781</v>
      </c>
      <c r="Y5366" s="304" t="s">
        <v>1738</v>
      </c>
      <c r="Z5366" s="304"/>
      <c r="AA5366" s="304"/>
      <c r="AB5366" s="237"/>
      <c r="AC5366" s="244"/>
      <c r="AD5366" s="244"/>
      <c r="AE5366" s="244"/>
      <c r="AF5366" s="244"/>
      <c r="AG5366" s="296"/>
      <c r="AH5366" s="304"/>
      <c r="AI5366" s="297"/>
      <c r="AJ5366" s="29">
        <v>43797</v>
      </c>
      <c r="AK5366" s="297"/>
      <c r="AL5366" s="297"/>
      <c r="AM5366" s="296" t="s">
        <v>49</v>
      </c>
      <c r="AN5366" s="296" t="s">
        <v>284</v>
      </c>
      <c r="AO5366" s="296" t="s">
        <v>50</v>
      </c>
      <c r="AP5366" s="296" t="s">
        <v>51</v>
      </c>
      <c r="AQ5366" s="82" t="s">
        <v>755</v>
      </c>
    </row>
    <row r="5367" spans="1:43" ht="15" customHeight="1">
      <c r="A5367" s="69">
        <v>43754</v>
      </c>
      <c r="B5367" s="70" t="s">
        <v>222</v>
      </c>
      <c r="C5367" s="21" t="s">
        <v>1739</v>
      </c>
      <c r="D5367" s="71" t="s">
        <v>1740</v>
      </c>
      <c r="E5367" s="32" t="s">
        <v>1741</v>
      </c>
      <c r="F5367" s="24">
        <v>5</v>
      </c>
      <c r="G5367" s="48">
        <v>10.5</v>
      </c>
      <c r="H5367" s="60">
        <v>52.5</v>
      </c>
      <c r="I5367" s="61" t="s">
        <v>247</v>
      </c>
      <c r="J5367" s="50" t="s">
        <v>89</v>
      </c>
      <c r="K5367" s="30">
        <v>43768</v>
      </c>
      <c r="W5367" s="303">
        <v>43830</v>
      </c>
      <c r="X5367" s="303">
        <v>43768</v>
      </c>
      <c r="Y5367" s="304" t="s">
        <v>1742</v>
      </c>
      <c r="Z5367" s="304">
        <v>1286</v>
      </c>
      <c r="AA5367" s="304"/>
      <c r="AB5367" s="237"/>
      <c r="AC5367" s="244"/>
      <c r="AD5367" s="244"/>
      <c r="AE5367" s="244"/>
      <c r="AF5367" s="244"/>
      <c r="AG5367" s="296"/>
      <c r="AH5367" s="304">
        <v>30.5</v>
      </c>
      <c r="AI5367" s="297"/>
      <c r="AJ5367" s="29">
        <v>43809</v>
      </c>
      <c r="AK5367" s="297">
        <v>86152</v>
      </c>
      <c r="AL5367" s="297">
        <v>15</v>
      </c>
      <c r="AM5367" s="296" t="s">
        <v>49</v>
      </c>
      <c r="AN5367" s="296" t="s">
        <v>284</v>
      </c>
      <c r="AO5367" s="296" t="s">
        <v>50</v>
      </c>
      <c r="AP5367" s="296" t="s">
        <v>376</v>
      </c>
      <c r="AQ5367" s="82" t="s">
        <v>755</v>
      </c>
    </row>
    <row r="5368" spans="1:43" ht="15" customHeight="1">
      <c r="A5368" s="467">
        <v>43755</v>
      </c>
      <c r="B5368" s="144" t="s">
        <v>377</v>
      </c>
      <c r="C5368" s="21">
        <v>9109</v>
      </c>
      <c r="D5368" s="549" t="s">
        <v>1743</v>
      </c>
      <c r="E5368" s="246" t="s">
        <v>1744</v>
      </c>
      <c r="F5368" s="24">
        <v>10</v>
      </c>
      <c r="G5368" s="48">
        <v>0</v>
      </c>
      <c r="H5368" s="60">
        <v>0</v>
      </c>
      <c r="I5368" s="61" t="s">
        <v>247</v>
      </c>
      <c r="J5368" s="58" t="s">
        <v>1107</v>
      </c>
      <c r="K5368" s="58" t="s">
        <v>1745</v>
      </c>
      <c r="W5368" s="304"/>
      <c r="X5368" s="304"/>
      <c r="Y5368" s="304"/>
      <c r="Z5368" s="304"/>
      <c r="AA5368" s="304"/>
      <c r="AB5368" s="237"/>
      <c r="AC5368" s="244"/>
      <c r="AD5368" s="244"/>
      <c r="AE5368" s="244"/>
      <c r="AF5368" s="244"/>
      <c r="AG5368" s="296"/>
      <c r="AH5368" s="304"/>
      <c r="AI5368" s="297"/>
      <c r="AJ5368" s="296"/>
      <c r="AK5368" s="297"/>
      <c r="AL5368" s="297"/>
      <c r="AM5368" s="296" t="s">
        <v>1212</v>
      </c>
      <c r="AN5368" s="82" t="s">
        <v>284</v>
      </c>
      <c r="AO5368" s="296" t="s">
        <v>285</v>
      </c>
      <c r="AP5368" s="296" t="s">
        <v>51</v>
      </c>
      <c r="AQ5368" s="296" t="s">
        <v>1346</v>
      </c>
    </row>
    <row r="5369" spans="1:43" ht="15" customHeight="1">
      <c r="A5369" s="69">
        <v>43755</v>
      </c>
      <c r="B5369" s="70" t="s">
        <v>222</v>
      </c>
      <c r="C5369" s="21" t="s">
        <v>1746</v>
      </c>
      <c r="D5369" s="71" t="s">
        <v>1747</v>
      </c>
      <c r="E5369" s="32" t="s">
        <v>1748</v>
      </c>
      <c r="F5369" s="24">
        <v>4</v>
      </c>
      <c r="G5369" s="48">
        <v>131.25</v>
      </c>
      <c r="H5369" s="60">
        <v>525</v>
      </c>
      <c r="I5369" s="61" t="s">
        <v>247</v>
      </c>
      <c r="J5369" s="50" t="s">
        <v>89</v>
      </c>
      <c r="K5369" s="30">
        <v>43781</v>
      </c>
      <c r="W5369" s="303">
        <v>43830</v>
      </c>
      <c r="X5369" s="303">
        <v>43781</v>
      </c>
      <c r="Y5369" s="304" t="s">
        <v>1749</v>
      </c>
      <c r="Z5369" s="304">
        <v>30665</v>
      </c>
      <c r="AA5369" s="304"/>
      <c r="AB5369" s="237"/>
      <c r="AC5369" s="244"/>
      <c r="AD5369" s="244"/>
      <c r="AE5369" s="244"/>
      <c r="AF5369" s="244"/>
      <c r="AG5369" s="296"/>
      <c r="AH5369" s="304">
        <v>30.42</v>
      </c>
      <c r="AI5369" s="297"/>
      <c r="AJ5369" s="29">
        <v>43809</v>
      </c>
      <c r="AK5369" s="297"/>
      <c r="AL5369" s="297"/>
      <c r="AM5369" s="296" t="s">
        <v>49</v>
      </c>
      <c r="AN5369" s="296" t="s">
        <v>284</v>
      </c>
      <c r="AO5369" s="296" t="s">
        <v>50</v>
      </c>
      <c r="AP5369" s="296" t="s">
        <v>376</v>
      </c>
      <c r="AQ5369" s="82" t="s">
        <v>755</v>
      </c>
    </row>
    <row r="5370" spans="1:43" ht="15" customHeight="1">
      <c r="A5370" s="69">
        <v>43755</v>
      </c>
      <c r="B5370" s="70" t="s">
        <v>222</v>
      </c>
      <c r="C5370" s="21" t="s">
        <v>1746</v>
      </c>
      <c r="D5370" s="71" t="s">
        <v>1747</v>
      </c>
      <c r="E5370" s="32" t="s">
        <v>1750</v>
      </c>
      <c r="F5370" s="24">
        <v>4</v>
      </c>
      <c r="G5370" s="48">
        <v>147</v>
      </c>
      <c r="H5370" s="60">
        <v>588</v>
      </c>
      <c r="I5370" s="61" t="s">
        <v>247</v>
      </c>
      <c r="J5370" s="50" t="s">
        <v>89</v>
      </c>
      <c r="K5370" s="30">
        <v>43781</v>
      </c>
      <c r="W5370" s="303">
        <v>43830</v>
      </c>
      <c r="X5370" s="303">
        <v>43781</v>
      </c>
      <c r="Y5370" s="304" t="s">
        <v>1749</v>
      </c>
      <c r="Z5370" s="304"/>
      <c r="AA5370" s="304"/>
      <c r="AB5370" s="237"/>
      <c r="AC5370" s="244"/>
      <c r="AD5370" s="244"/>
      <c r="AE5370" s="244"/>
      <c r="AF5370" s="244"/>
      <c r="AG5370" s="296"/>
      <c r="AH5370" s="304">
        <v>30.42</v>
      </c>
      <c r="AI5370" s="297"/>
      <c r="AJ5370" s="29">
        <v>43809</v>
      </c>
      <c r="AK5370" s="297"/>
      <c r="AL5370" s="297"/>
      <c r="AM5370" s="296" t="s">
        <v>49</v>
      </c>
      <c r="AN5370" s="296" t="s">
        <v>284</v>
      </c>
      <c r="AO5370" s="296" t="s">
        <v>50</v>
      </c>
      <c r="AP5370" s="296" t="s">
        <v>376</v>
      </c>
      <c r="AQ5370" s="82" t="s">
        <v>755</v>
      </c>
    </row>
    <row r="5371" spans="1:43" ht="15" customHeight="1">
      <c r="A5371" s="69">
        <v>43755</v>
      </c>
      <c r="B5371" s="23" t="s">
        <v>405</v>
      </c>
      <c r="C5371" s="21">
        <v>7000151038</v>
      </c>
      <c r="D5371" s="71" t="s">
        <v>1751</v>
      </c>
      <c r="E5371" s="32" t="s">
        <v>1752</v>
      </c>
      <c r="F5371" s="24">
        <v>2</v>
      </c>
      <c r="G5371" s="48">
        <v>160</v>
      </c>
      <c r="H5371" s="60">
        <v>320</v>
      </c>
      <c r="I5371" s="61" t="s">
        <v>42</v>
      </c>
      <c r="J5371" s="50" t="s">
        <v>512</v>
      </c>
      <c r="K5371" s="30">
        <v>43774</v>
      </c>
      <c r="W5371" s="460">
        <v>43861</v>
      </c>
      <c r="X5371" s="460">
        <v>43770</v>
      </c>
      <c r="Y5371" s="304" t="s">
        <v>1753</v>
      </c>
      <c r="Z5371" s="304">
        <v>36910</v>
      </c>
      <c r="AA5371" s="304"/>
      <c r="AG5371" s="296"/>
      <c r="AH5371" s="304">
        <v>30.52</v>
      </c>
      <c r="AI5371" s="297"/>
      <c r="AJ5371" s="29">
        <v>43812</v>
      </c>
      <c r="AK5371" s="297">
        <f>1534.19*30.245</f>
        <v>46401.576550000005</v>
      </c>
      <c r="AL5371" s="297">
        <f>(1562.8-1534.19)*30.245</f>
        <v>865.30944999999701</v>
      </c>
      <c r="AM5371" s="296" t="s">
        <v>49</v>
      </c>
      <c r="AN5371" s="296" t="s">
        <v>284</v>
      </c>
      <c r="AO5371" s="296" t="s">
        <v>50</v>
      </c>
      <c r="AP5371" s="296" t="s">
        <v>51</v>
      </c>
      <c r="AQ5371" s="82" t="s">
        <v>755</v>
      </c>
    </row>
    <row r="5372" spans="1:43" ht="15" customHeight="1">
      <c r="A5372" s="69">
        <v>43755</v>
      </c>
      <c r="B5372" s="23" t="s">
        <v>405</v>
      </c>
      <c r="C5372" s="21">
        <v>7000151038</v>
      </c>
      <c r="D5372" s="71" t="s">
        <v>1751</v>
      </c>
      <c r="E5372" s="32" t="s">
        <v>1678</v>
      </c>
      <c r="F5372" s="24">
        <v>3</v>
      </c>
      <c r="G5372" s="48">
        <v>300</v>
      </c>
      <c r="H5372" s="60">
        <v>900</v>
      </c>
      <c r="I5372" s="61" t="s">
        <v>42</v>
      </c>
      <c r="J5372" s="50" t="s">
        <v>512</v>
      </c>
      <c r="K5372" s="30">
        <v>43774</v>
      </c>
      <c r="W5372" s="460">
        <v>43861</v>
      </c>
      <c r="X5372" s="460">
        <v>43770</v>
      </c>
      <c r="Y5372" s="304" t="s">
        <v>1753</v>
      </c>
      <c r="Z5372" s="304"/>
      <c r="AA5372" s="304"/>
      <c r="AG5372" s="296"/>
      <c r="AH5372" s="304">
        <v>30.52</v>
      </c>
      <c r="AI5372" s="297"/>
      <c r="AJ5372" s="29">
        <v>43812</v>
      </c>
      <c r="AK5372" s="297"/>
      <c r="AL5372" s="297"/>
      <c r="AM5372" s="296" t="s">
        <v>49</v>
      </c>
      <c r="AN5372" s="296" t="s">
        <v>284</v>
      </c>
      <c r="AO5372" s="296" t="s">
        <v>50</v>
      </c>
      <c r="AP5372" s="296" t="s">
        <v>51</v>
      </c>
      <c r="AQ5372" s="82" t="s">
        <v>755</v>
      </c>
    </row>
    <row r="5373" spans="1:43" ht="15" customHeight="1">
      <c r="A5373" s="69">
        <v>43755</v>
      </c>
      <c r="B5373" s="32" t="s">
        <v>405</v>
      </c>
      <c r="C5373" s="21">
        <v>7000151038</v>
      </c>
      <c r="D5373" s="21" t="s">
        <v>1751</v>
      </c>
      <c r="E5373" s="23" t="s">
        <v>614</v>
      </c>
      <c r="F5373" s="24">
        <v>2</v>
      </c>
      <c r="G5373" s="48">
        <v>24</v>
      </c>
      <c r="H5373" s="60">
        <v>48</v>
      </c>
      <c r="I5373" s="87" t="s">
        <v>42</v>
      </c>
      <c r="J5373" s="437" t="s">
        <v>512</v>
      </c>
      <c r="K5373" s="30">
        <v>43774</v>
      </c>
      <c r="W5373" s="460">
        <v>43861</v>
      </c>
      <c r="X5373" s="460">
        <v>43770</v>
      </c>
      <c r="Y5373" s="304" t="s">
        <v>1753</v>
      </c>
      <c r="Z5373" s="304"/>
      <c r="AA5373" s="304"/>
      <c r="AG5373" s="296"/>
      <c r="AH5373" s="304">
        <v>30.52</v>
      </c>
      <c r="AI5373" s="297"/>
      <c r="AJ5373" s="29">
        <v>43812</v>
      </c>
      <c r="AK5373" s="297"/>
      <c r="AL5373" s="297"/>
      <c r="AM5373" s="296" t="s">
        <v>49</v>
      </c>
      <c r="AN5373" s="296" t="s">
        <v>284</v>
      </c>
      <c r="AO5373" s="296" t="s">
        <v>50</v>
      </c>
      <c r="AP5373" s="296" t="s">
        <v>51</v>
      </c>
      <c r="AQ5373" s="82" t="s">
        <v>755</v>
      </c>
    </row>
    <row r="5374" spans="1:43" ht="15" customHeight="1">
      <c r="A5374" s="69">
        <v>43755</v>
      </c>
      <c r="B5374" s="23" t="s">
        <v>405</v>
      </c>
      <c r="C5374" s="21">
        <v>7000151038</v>
      </c>
      <c r="D5374" s="21" t="s">
        <v>1751</v>
      </c>
      <c r="E5374" s="23" t="s">
        <v>1754</v>
      </c>
      <c r="F5374" s="24">
        <v>4</v>
      </c>
      <c r="G5374" s="48">
        <v>5</v>
      </c>
      <c r="H5374" s="60">
        <v>20</v>
      </c>
      <c r="I5374" s="61" t="s">
        <v>42</v>
      </c>
      <c r="J5374" s="50" t="s">
        <v>512</v>
      </c>
      <c r="K5374" s="30">
        <v>43774</v>
      </c>
      <c r="W5374" s="460">
        <v>43861</v>
      </c>
      <c r="X5374" s="460">
        <v>43770</v>
      </c>
      <c r="Y5374" s="304" t="s">
        <v>1753</v>
      </c>
      <c r="Z5374" s="304"/>
      <c r="AA5374" s="304"/>
      <c r="AG5374" s="296"/>
      <c r="AH5374" s="304">
        <v>30.52</v>
      </c>
      <c r="AI5374" s="297"/>
      <c r="AJ5374" s="29">
        <v>43812</v>
      </c>
      <c r="AK5374" s="297"/>
      <c r="AL5374" s="297"/>
      <c r="AM5374" s="296" t="s">
        <v>49</v>
      </c>
      <c r="AN5374" s="296" t="s">
        <v>284</v>
      </c>
      <c r="AO5374" s="296" t="s">
        <v>50</v>
      </c>
      <c r="AP5374" s="296" t="s">
        <v>51</v>
      </c>
      <c r="AQ5374" s="82" t="s">
        <v>755</v>
      </c>
    </row>
    <row r="5375" spans="1:43" ht="15" customHeight="1">
      <c r="A5375" s="69">
        <v>43755</v>
      </c>
      <c r="B5375" s="32" t="s">
        <v>405</v>
      </c>
      <c r="C5375" s="21">
        <v>7000151038</v>
      </c>
      <c r="D5375" s="21" t="s">
        <v>1751</v>
      </c>
      <c r="E5375" s="23" t="s">
        <v>1652</v>
      </c>
      <c r="F5375" s="24">
        <v>1</v>
      </c>
      <c r="G5375" s="48">
        <v>59</v>
      </c>
      <c r="H5375" s="60">
        <v>59</v>
      </c>
      <c r="I5375" s="87" t="s">
        <v>42</v>
      </c>
      <c r="J5375" s="437" t="s">
        <v>512</v>
      </c>
      <c r="K5375" s="30">
        <v>43774</v>
      </c>
      <c r="W5375" s="460">
        <v>43861</v>
      </c>
      <c r="X5375" s="460">
        <v>43770</v>
      </c>
      <c r="Y5375" s="304" t="s">
        <v>1753</v>
      </c>
      <c r="Z5375" s="304"/>
      <c r="AA5375" s="304"/>
      <c r="AG5375" s="296"/>
      <c r="AH5375" s="304">
        <v>30.52</v>
      </c>
      <c r="AI5375" s="297"/>
      <c r="AJ5375" s="29">
        <v>43812</v>
      </c>
      <c r="AK5375" s="297"/>
      <c r="AL5375" s="297"/>
      <c r="AM5375" s="296" t="s">
        <v>49</v>
      </c>
      <c r="AN5375" s="296" t="s">
        <v>284</v>
      </c>
      <c r="AO5375" s="296" t="s">
        <v>50</v>
      </c>
      <c r="AP5375" s="296" t="s">
        <v>51</v>
      </c>
      <c r="AQ5375" s="82" t="s">
        <v>755</v>
      </c>
    </row>
    <row r="5376" spans="1:43" ht="15" customHeight="1">
      <c r="A5376" s="550">
        <v>43756</v>
      </c>
      <c r="B5376" s="144" t="s">
        <v>377</v>
      </c>
      <c r="C5376" s="21" t="s">
        <v>1343</v>
      </c>
      <c r="D5376" s="71" t="s">
        <v>1377</v>
      </c>
      <c r="E5376" s="32" t="s">
        <v>1755</v>
      </c>
      <c r="F5376" s="24">
        <v>5</v>
      </c>
      <c r="G5376" s="48">
        <v>26</v>
      </c>
      <c r="H5376" s="216">
        <v>130</v>
      </c>
      <c r="I5376" s="61" t="s">
        <v>143</v>
      </c>
      <c r="J5376" s="58" t="s">
        <v>1107</v>
      </c>
      <c r="K5376" s="84">
        <v>43781</v>
      </c>
      <c r="W5376" s="304"/>
      <c r="X5376" s="304"/>
      <c r="Y5376" s="304"/>
      <c r="Z5376" s="304"/>
      <c r="AA5376" s="304"/>
      <c r="AG5376" s="296"/>
      <c r="AH5376" s="304"/>
      <c r="AI5376" s="297"/>
      <c r="AJ5376" s="298">
        <v>43837</v>
      </c>
      <c r="AK5376" s="297"/>
      <c r="AL5376" s="297"/>
      <c r="AM5376" s="296" t="s">
        <v>49</v>
      </c>
      <c r="AN5376" s="296" t="s">
        <v>284</v>
      </c>
      <c r="AO5376" s="296" t="s">
        <v>285</v>
      </c>
      <c r="AP5376" s="296" t="s">
        <v>51</v>
      </c>
      <c r="AQ5376" s="82" t="s">
        <v>755</v>
      </c>
    </row>
    <row r="5377" spans="1:43" ht="15" customHeight="1">
      <c r="A5377" s="69">
        <v>43756</v>
      </c>
      <c r="B5377" s="144" t="s">
        <v>377</v>
      </c>
      <c r="C5377" s="21" t="s">
        <v>1343</v>
      </c>
      <c r="D5377" s="71" t="s">
        <v>1756</v>
      </c>
      <c r="E5377" s="32" t="s">
        <v>1757</v>
      </c>
      <c r="F5377" s="24">
        <v>7</v>
      </c>
      <c r="G5377" s="48">
        <v>0</v>
      </c>
      <c r="H5377" s="60">
        <v>0</v>
      </c>
      <c r="I5377" s="61" t="s">
        <v>143</v>
      </c>
      <c r="J5377" s="58" t="s">
        <v>1107</v>
      </c>
      <c r="K5377" s="30">
        <v>43781</v>
      </c>
      <c r="W5377" s="304"/>
      <c r="X5377" s="304"/>
      <c r="Y5377" s="304"/>
      <c r="Z5377" s="304"/>
      <c r="AA5377" s="304"/>
      <c r="AG5377" s="296"/>
      <c r="AH5377" s="304"/>
      <c r="AI5377" s="297"/>
      <c r="AJ5377" s="296"/>
      <c r="AK5377" s="297"/>
      <c r="AL5377" s="297"/>
      <c r="AM5377" s="296" t="s">
        <v>1212</v>
      </c>
      <c r="AN5377" s="296" t="s">
        <v>284</v>
      </c>
      <c r="AO5377" s="296" t="s">
        <v>285</v>
      </c>
      <c r="AP5377" s="296" t="s">
        <v>51</v>
      </c>
      <c r="AQ5377" s="82" t="s">
        <v>755</v>
      </c>
    </row>
    <row r="5378" spans="1:43" ht="15" customHeight="1">
      <c r="A5378" s="69">
        <v>43756</v>
      </c>
      <c r="B5378" s="144" t="s">
        <v>377</v>
      </c>
      <c r="C5378" s="21" t="s">
        <v>1343</v>
      </c>
      <c r="D5378" s="71" t="s">
        <v>1756</v>
      </c>
      <c r="E5378" s="23" t="s">
        <v>1348</v>
      </c>
      <c r="F5378" s="24">
        <v>7</v>
      </c>
      <c r="G5378" s="48">
        <v>76</v>
      </c>
      <c r="H5378" s="60">
        <v>532</v>
      </c>
      <c r="I5378" s="61" t="s">
        <v>143</v>
      </c>
      <c r="J5378" s="58" t="s">
        <v>1107</v>
      </c>
      <c r="K5378" s="30">
        <v>43781</v>
      </c>
      <c r="W5378" s="304"/>
      <c r="X5378" s="304"/>
      <c r="Y5378" s="304"/>
      <c r="Z5378" s="304"/>
      <c r="AA5378" s="304"/>
      <c r="AG5378" s="296"/>
      <c r="AH5378" s="304"/>
      <c r="AI5378" s="297"/>
      <c r="AJ5378" s="298">
        <v>43672</v>
      </c>
      <c r="AK5378" s="297"/>
      <c r="AL5378" s="297"/>
      <c r="AM5378" s="296" t="s">
        <v>49</v>
      </c>
      <c r="AN5378" s="296" t="s">
        <v>284</v>
      </c>
      <c r="AO5378" s="296" t="s">
        <v>285</v>
      </c>
      <c r="AP5378" s="296" t="s">
        <v>51</v>
      </c>
      <c r="AQ5378" s="82" t="s">
        <v>755</v>
      </c>
    </row>
    <row r="5379" spans="1:43" ht="15" customHeight="1">
      <c r="A5379" s="69">
        <v>43756</v>
      </c>
      <c r="B5379" s="144" t="s">
        <v>377</v>
      </c>
      <c r="C5379" s="21" t="s">
        <v>1343</v>
      </c>
      <c r="D5379" s="21" t="s">
        <v>1756</v>
      </c>
      <c r="E5379" s="32" t="s">
        <v>1349</v>
      </c>
      <c r="F5379" s="24">
        <v>7</v>
      </c>
      <c r="G5379" s="25">
        <v>100</v>
      </c>
      <c r="H5379" s="60">
        <v>700</v>
      </c>
      <c r="I5379" s="61" t="s">
        <v>143</v>
      </c>
      <c r="J5379" s="58" t="s">
        <v>1107</v>
      </c>
      <c r="K5379" s="30">
        <v>43781</v>
      </c>
      <c r="W5379" s="460"/>
      <c r="X5379" s="460">
        <v>43777</v>
      </c>
      <c r="Y5379" s="304" t="s">
        <v>1758</v>
      </c>
      <c r="Z5379" s="404">
        <v>24203</v>
      </c>
      <c r="AA5379" s="304"/>
      <c r="AG5379" s="296"/>
      <c r="AH5379" s="304"/>
      <c r="AI5379" s="297"/>
      <c r="AJ5379" s="298">
        <v>43837</v>
      </c>
      <c r="AK5379" s="297"/>
      <c r="AL5379" s="297"/>
      <c r="AM5379" s="296" t="s">
        <v>49</v>
      </c>
      <c r="AN5379" s="296" t="s">
        <v>284</v>
      </c>
      <c r="AO5379" s="296" t="s">
        <v>285</v>
      </c>
      <c r="AP5379" s="296" t="s">
        <v>51</v>
      </c>
      <c r="AQ5379" s="82" t="s">
        <v>755</v>
      </c>
    </row>
    <row r="5380" spans="1:43" ht="15" customHeight="1">
      <c r="A5380" s="69">
        <v>43756</v>
      </c>
      <c r="B5380" s="144" t="s">
        <v>377</v>
      </c>
      <c r="C5380" s="21" t="s">
        <v>1343</v>
      </c>
      <c r="D5380" s="71" t="s">
        <v>1756</v>
      </c>
      <c r="E5380" s="23" t="s">
        <v>1759</v>
      </c>
      <c r="F5380" s="24">
        <v>7</v>
      </c>
      <c r="G5380" s="48">
        <v>26</v>
      </c>
      <c r="H5380" s="60">
        <v>182</v>
      </c>
      <c r="I5380" s="61" t="s">
        <v>143</v>
      </c>
      <c r="J5380" s="58" t="s">
        <v>1107</v>
      </c>
      <c r="K5380" s="30">
        <v>43781</v>
      </c>
      <c r="W5380" s="304"/>
      <c r="X5380" s="304"/>
      <c r="Y5380" s="304"/>
      <c r="Z5380" s="304"/>
      <c r="AA5380" s="304"/>
      <c r="AG5380" s="296"/>
      <c r="AH5380" s="304"/>
      <c r="AI5380" s="297"/>
      <c r="AJ5380" s="298">
        <v>43837</v>
      </c>
      <c r="AK5380" s="297"/>
      <c r="AL5380" s="297"/>
      <c r="AM5380" s="296" t="s">
        <v>49</v>
      </c>
      <c r="AN5380" s="296" t="s">
        <v>284</v>
      </c>
      <c r="AO5380" s="296" t="s">
        <v>285</v>
      </c>
      <c r="AP5380" s="296" t="s">
        <v>51</v>
      </c>
      <c r="AQ5380" s="82" t="s">
        <v>755</v>
      </c>
    </row>
    <row r="5381" spans="1:43" ht="15" customHeight="1">
      <c r="A5381" s="69">
        <v>43756</v>
      </c>
      <c r="B5381" s="144" t="s">
        <v>377</v>
      </c>
      <c r="C5381" s="21" t="s">
        <v>1343</v>
      </c>
      <c r="D5381" s="71" t="s">
        <v>1760</v>
      </c>
      <c r="E5381" s="23" t="s">
        <v>1761</v>
      </c>
      <c r="F5381" s="24">
        <v>7</v>
      </c>
      <c r="G5381" s="48">
        <v>20</v>
      </c>
      <c r="H5381" s="60">
        <v>140</v>
      </c>
      <c r="I5381" s="61" t="s">
        <v>143</v>
      </c>
      <c r="J5381" s="58" t="s">
        <v>1107</v>
      </c>
      <c r="K5381" s="30">
        <v>43781</v>
      </c>
      <c r="W5381" s="460"/>
      <c r="X5381" s="460">
        <v>43777</v>
      </c>
      <c r="Y5381" s="304" t="s">
        <v>1758</v>
      </c>
      <c r="Z5381" s="304"/>
      <c r="AA5381" s="304"/>
      <c r="AG5381" s="296"/>
      <c r="AH5381" s="304"/>
      <c r="AI5381" s="297"/>
      <c r="AJ5381" s="298">
        <v>43837</v>
      </c>
      <c r="AK5381" s="297"/>
      <c r="AL5381" s="297"/>
      <c r="AM5381" s="296" t="s">
        <v>49</v>
      </c>
      <c r="AN5381" s="296" t="s">
        <v>284</v>
      </c>
      <c r="AO5381" s="296" t="s">
        <v>285</v>
      </c>
      <c r="AP5381" s="296" t="s">
        <v>51</v>
      </c>
      <c r="AQ5381" s="82" t="s">
        <v>755</v>
      </c>
    </row>
    <row r="5382" spans="1:43" ht="15" customHeight="1">
      <c r="A5382" s="69">
        <v>43756</v>
      </c>
      <c r="B5382" s="144" t="s">
        <v>377</v>
      </c>
      <c r="C5382" s="21" t="s">
        <v>1343</v>
      </c>
      <c r="D5382" s="71" t="s">
        <v>1762</v>
      </c>
      <c r="E5382" s="32" t="s">
        <v>1763</v>
      </c>
      <c r="F5382" s="24">
        <v>3</v>
      </c>
      <c r="G5382" s="48">
        <v>0</v>
      </c>
      <c r="H5382" s="60">
        <v>0</v>
      </c>
      <c r="I5382" s="61" t="s">
        <v>143</v>
      </c>
      <c r="J5382" s="58" t="s">
        <v>1107</v>
      </c>
      <c r="K5382" s="30">
        <v>43804</v>
      </c>
      <c r="W5382" s="304"/>
      <c r="X5382" s="304"/>
      <c r="Y5382" s="304"/>
      <c r="Z5382" s="304"/>
      <c r="AA5382" s="304"/>
      <c r="AG5382" s="296"/>
      <c r="AH5382" s="304"/>
      <c r="AI5382" s="297"/>
      <c r="AJ5382" s="296"/>
      <c r="AK5382" s="297"/>
      <c r="AL5382" s="297"/>
      <c r="AM5382" s="296" t="s">
        <v>1212</v>
      </c>
      <c r="AN5382" s="82" t="s">
        <v>284</v>
      </c>
      <c r="AO5382" s="296" t="s">
        <v>285</v>
      </c>
      <c r="AP5382" s="296" t="s">
        <v>51</v>
      </c>
      <c r="AQ5382" s="296" t="s">
        <v>1346</v>
      </c>
    </row>
    <row r="5383" spans="1:43" ht="15" customHeight="1">
      <c r="A5383" s="69">
        <v>43756</v>
      </c>
      <c r="B5383" s="144" t="s">
        <v>377</v>
      </c>
      <c r="C5383" s="21" t="s">
        <v>1343</v>
      </c>
      <c r="D5383" s="71" t="s">
        <v>1764</v>
      </c>
      <c r="E5383" s="32" t="s">
        <v>1368</v>
      </c>
      <c r="F5383" s="24">
        <v>3</v>
      </c>
      <c r="G5383" s="48">
        <v>85</v>
      </c>
      <c r="H5383" s="60">
        <v>255</v>
      </c>
      <c r="I5383" s="61" t="s">
        <v>143</v>
      </c>
      <c r="J5383" s="58" t="s">
        <v>1107</v>
      </c>
      <c r="K5383" s="30">
        <v>43804</v>
      </c>
      <c r="W5383" s="304"/>
      <c r="X5383" s="304"/>
      <c r="Y5383" s="304"/>
      <c r="Z5383" s="304"/>
      <c r="AA5383" s="304"/>
      <c r="AG5383" s="296"/>
      <c r="AH5383" s="304"/>
      <c r="AI5383" s="297"/>
      <c r="AJ5383" s="298">
        <v>43837</v>
      </c>
      <c r="AK5383" s="297"/>
      <c r="AL5383" s="297"/>
      <c r="AM5383" s="296" t="s">
        <v>49</v>
      </c>
      <c r="AN5383" s="82" t="s">
        <v>284</v>
      </c>
      <c r="AO5383" s="296" t="s">
        <v>285</v>
      </c>
      <c r="AP5383" s="296" t="s">
        <v>51</v>
      </c>
      <c r="AQ5383" s="296" t="s">
        <v>1346</v>
      </c>
    </row>
    <row r="5384" spans="1:43" ht="15" customHeight="1">
      <c r="A5384" s="69">
        <v>43756</v>
      </c>
      <c r="B5384" s="144" t="s">
        <v>377</v>
      </c>
      <c r="C5384" s="21" t="s">
        <v>1343</v>
      </c>
      <c r="D5384" s="71" t="s">
        <v>1765</v>
      </c>
      <c r="E5384" s="32" t="s">
        <v>1766</v>
      </c>
      <c r="F5384" s="24">
        <v>3</v>
      </c>
      <c r="G5384" s="48">
        <v>25</v>
      </c>
      <c r="H5384" s="60">
        <v>75</v>
      </c>
      <c r="I5384" s="61" t="s">
        <v>143</v>
      </c>
      <c r="J5384" s="58" t="s">
        <v>1107</v>
      </c>
      <c r="K5384" s="30">
        <v>43804</v>
      </c>
      <c r="W5384" s="304"/>
      <c r="X5384" s="304"/>
      <c r="Y5384" s="304"/>
      <c r="Z5384" s="304"/>
      <c r="AA5384" s="304"/>
      <c r="AG5384" s="296"/>
      <c r="AH5384" s="304"/>
      <c r="AI5384" s="297"/>
      <c r="AJ5384" s="298">
        <v>43837</v>
      </c>
      <c r="AK5384" s="297"/>
      <c r="AL5384" s="297"/>
      <c r="AM5384" s="296" t="s">
        <v>49</v>
      </c>
      <c r="AN5384" s="82" t="s">
        <v>284</v>
      </c>
      <c r="AO5384" s="296" t="s">
        <v>285</v>
      </c>
      <c r="AP5384" s="296" t="s">
        <v>51</v>
      </c>
      <c r="AQ5384" s="296" t="s">
        <v>1346</v>
      </c>
    </row>
    <row r="5385" spans="1:43" ht="15" customHeight="1">
      <c r="A5385" s="69">
        <v>43756</v>
      </c>
      <c r="B5385" s="144" t="s">
        <v>377</v>
      </c>
      <c r="C5385" s="21" t="s">
        <v>1343</v>
      </c>
      <c r="D5385" s="71" t="s">
        <v>1767</v>
      </c>
      <c r="E5385" s="32" t="s">
        <v>1349</v>
      </c>
      <c r="F5385" s="24">
        <v>3</v>
      </c>
      <c r="G5385" s="48">
        <v>121</v>
      </c>
      <c r="H5385" s="60">
        <v>363</v>
      </c>
      <c r="I5385" s="61" t="s">
        <v>143</v>
      </c>
      <c r="J5385" s="58" t="s">
        <v>1107</v>
      </c>
      <c r="K5385" s="30">
        <v>43804</v>
      </c>
      <c r="W5385" s="304"/>
      <c r="X5385" s="304"/>
      <c r="Y5385" s="304"/>
      <c r="Z5385" s="304"/>
      <c r="AA5385" s="304"/>
      <c r="AG5385" s="296"/>
      <c r="AH5385" s="304"/>
      <c r="AI5385" s="297"/>
      <c r="AJ5385" s="298">
        <v>43837</v>
      </c>
      <c r="AK5385" s="297"/>
      <c r="AL5385" s="297"/>
      <c r="AM5385" s="296" t="s">
        <v>49</v>
      </c>
      <c r="AN5385" s="296" t="s">
        <v>284</v>
      </c>
      <c r="AO5385" s="296" t="s">
        <v>285</v>
      </c>
      <c r="AP5385" s="296" t="s">
        <v>51</v>
      </c>
      <c r="AQ5385" s="296" t="s">
        <v>1346</v>
      </c>
    </row>
    <row r="5386" spans="1:43" ht="15" customHeight="1">
      <c r="A5386" s="551">
        <v>43756</v>
      </c>
      <c r="B5386" s="70" t="s">
        <v>1768</v>
      </c>
      <c r="C5386" s="21"/>
      <c r="D5386" s="71" t="s">
        <v>1769</v>
      </c>
      <c r="E5386" s="32" t="s">
        <v>1770</v>
      </c>
      <c r="F5386" s="24">
        <v>4</v>
      </c>
      <c r="G5386" s="48">
        <v>1060</v>
      </c>
      <c r="H5386" s="60">
        <v>4240</v>
      </c>
      <c r="I5386" s="61" t="s">
        <v>104</v>
      </c>
      <c r="J5386" s="50" t="s">
        <v>1771</v>
      </c>
      <c r="K5386" s="29">
        <v>43769</v>
      </c>
      <c r="W5386" s="303">
        <v>43830</v>
      </c>
      <c r="X5386" s="303">
        <v>43767</v>
      </c>
      <c r="Y5386" s="304" t="s">
        <v>1772</v>
      </c>
      <c r="Z5386" s="304">
        <v>120069</v>
      </c>
      <c r="AA5386" s="304"/>
      <c r="AG5386" s="296"/>
      <c r="AH5386" s="304">
        <v>30.62</v>
      </c>
      <c r="AI5386" s="297"/>
      <c r="AJ5386" s="29">
        <v>43767</v>
      </c>
      <c r="AK5386" s="297">
        <f>4240*30.47</f>
        <v>129192.79999999999</v>
      </c>
      <c r="AL5386" s="297">
        <v>0</v>
      </c>
      <c r="AM5386" s="296" t="s">
        <v>49</v>
      </c>
      <c r="AN5386" s="296" t="s">
        <v>284</v>
      </c>
      <c r="AO5386" s="296" t="s">
        <v>50</v>
      </c>
      <c r="AP5386" s="296" t="s">
        <v>51</v>
      </c>
      <c r="AQ5386" s="457" t="s">
        <v>755</v>
      </c>
    </row>
    <row r="5387" spans="1:43" ht="15" customHeight="1">
      <c r="A5387" s="69">
        <v>43762</v>
      </c>
      <c r="B5387" s="70" t="s">
        <v>129</v>
      </c>
      <c r="C5387" s="21" t="s">
        <v>1773</v>
      </c>
      <c r="D5387" s="71" t="s">
        <v>1774</v>
      </c>
      <c r="E5387" s="21" t="s">
        <v>132</v>
      </c>
      <c r="F5387" s="24">
        <v>40</v>
      </c>
      <c r="G5387" s="48">
        <v>103</v>
      </c>
      <c r="H5387" s="60">
        <v>4120</v>
      </c>
      <c r="I5387" s="61" t="s">
        <v>143</v>
      </c>
      <c r="J5387" s="50" t="s">
        <v>133</v>
      </c>
      <c r="K5387" s="30">
        <v>43782</v>
      </c>
      <c r="W5387" s="303">
        <v>43830</v>
      </c>
      <c r="X5387" s="303">
        <v>43781</v>
      </c>
      <c r="Y5387" s="304" t="s">
        <v>1775</v>
      </c>
      <c r="Z5387" s="304">
        <v>177976</v>
      </c>
      <c r="AA5387" s="304"/>
      <c r="AG5387" s="296"/>
      <c r="AH5387" s="304"/>
      <c r="AI5387" s="297"/>
      <c r="AJ5387" s="29">
        <v>43797</v>
      </c>
      <c r="AK5387" s="297"/>
      <c r="AL5387" s="297"/>
      <c r="AM5387" s="296" t="s">
        <v>49</v>
      </c>
      <c r="AN5387" s="296" t="s">
        <v>284</v>
      </c>
      <c r="AO5387" s="296" t="s">
        <v>50</v>
      </c>
      <c r="AP5387" s="296" t="s">
        <v>51</v>
      </c>
      <c r="AQ5387" s="457" t="s">
        <v>755</v>
      </c>
    </row>
    <row r="5388" spans="1:43" ht="15" customHeight="1">
      <c r="A5388" s="69">
        <v>43762</v>
      </c>
      <c r="B5388" s="70" t="s">
        <v>129</v>
      </c>
      <c r="C5388" s="21" t="s">
        <v>1773</v>
      </c>
      <c r="D5388" s="71" t="s">
        <v>1774</v>
      </c>
      <c r="E5388" s="32" t="s">
        <v>136</v>
      </c>
      <c r="F5388" s="24">
        <v>65</v>
      </c>
      <c r="G5388" s="48">
        <v>29</v>
      </c>
      <c r="H5388" s="60">
        <v>1885</v>
      </c>
      <c r="I5388" s="61" t="s">
        <v>143</v>
      </c>
      <c r="J5388" s="50" t="s">
        <v>133</v>
      </c>
      <c r="K5388" s="30">
        <v>43782</v>
      </c>
      <c r="W5388" s="303">
        <v>43830</v>
      </c>
      <c r="X5388" s="303">
        <v>43781</v>
      </c>
      <c r="Y5388" s="304" t="s">
        <v>1775</v>
      </c>
      <c r="Z5388" s="304"/>
      <c r="AA5388" s="304"/>
      <c r="AG5388" s="296"/>
      <c r="AH5388" s="304"/>
      <c r="AI5388" s="297"/>
      <c r="AJ5388" s="29">
        <v>43797</v>
      </c>
      <c r="AK5388" s="297"/>
      <c r="AL5388" s="297"/>
      <c r="AM5388" s="296" t="s">
        <v>49</v>
      </c>
      <c r="AN5388" s="296" t="s">
        <v>284</v>
      </c>
      <c r="AO5388" s="296" t="s">
        <v>50</v>
      </c>
      <c r="AP5388" s="296" t="s">
        <v>51</v>
      </c>
      <c r="AQ5388" s="457" t="s">
        <v>755</v>
      </c>
    </row>
    <row r="5389" spans="1:43" ht="15" customHeight="1">
      <c r="A5389" s="69">
        <v>43762</v>
      </c>
      <c r="B5389" s="70" t="s">
        <v>1097</v>
      </c>
      <c r="C5389" s="21"/>
      <c r="D5389" s="71" t="s">
        <v>1776</v>
      </c>
      <c r="E5389" s="552" t="s">
        <v>1777</v>
      </c>
      <c r="F5389" s="24">
        <v>2</v>
      </c>
      <c r="G5389" s="48">
        <v>1049</v>
      </c>
      <c r="H5389" s="165">
        <v>2098</v>
      </c>
      <c r="I5389" s="61" t="s">
        <v>143</v>
      </c>
      <c r="J5389" s="50" t="s">
        <v>262</v>
      </c>
      <c r="K5389" s="30">
        <v>43790</v>
      </c>
      <c r="W5389" s="460">
        <v>43861</v>
      </c>
      <c r="X5389" s="303">
        <v>43787</v>
      </c>
      <c r="Y5389" s="304" t="s">
        <v>1778</v>
      </c>
      <c r="Z5389" s="304">
        <v>84296</v>
      </c>
      <c r="AA5389" s="304"/>
      <c r="AG5389" s="296"/>
      <c r="AH5389" s="304">
        <v>30.465</v>
      </c>
      <c r="AI5389" s="297"/>
      <c r="AJ5389" s="29">
        <v>43766</v>
      </c>
      <c r="AK5389" s="297">
        <f>2834.44*30.503</f>
        <v>86458.923320000002</v>
      </c>
      <c r="AL5389" s="297">
        <f>(2852-2834.44)*30.503</f>
        <v>535.63267999999835</v>
      </c>
      <c r="AM5389" s="296" t="s">
        <v>49</v>
      </c>
      <c r="AN5389" s="296" t="s">
        <v>284</v>
      </c>
      <c r="AO5389" s="296" t="s">
        <v>50</v>
      </c>
      <c r="AP5389" s="296" t="s">
        <v>51</v>
      </c>
      <c r="AQ5389" s="457" t="s">
        <v>755</v>
      </c>
    </row>
    <row r="5390" spans="1:43" ht="15" customHeight="1">
      <c r="A5390" s="550">
        <v>43762</v>
      </c>
      <c r="B5390" s="70" t="s">
        <v>1097</v>
      </c>
      <c r="C5390" s="70"/>
      <c r="D5390" s="71" t="s">
        <v>1776</v>
      </c>
      <c r="E5390" s="552" t="s">
        <v>1779</v>
      </c>
      <c r="F5390" s="130">
        <v>2</v>
      </c>
      <c r="G5390" s="25">
        <v>365</v>
      </c>
      <c r="H5390" s="165">
        <v>730</v>
      </c>
      <c r="I5390" s="61" t="s">
        <v>143</v>
      </c>
      <c r="J5390" s="50" t="s">
        <v>262</v>
      </c>
      <c r="K5390" s="30">
        <v>43790</v>
      </c>
      <c r="W5390" s="460">
        <v>43861</v>
      </c>
      <c r="X5390" s="303">
        <v>43787</v>
      </c>
      <c r="Y5390" s="304" t="s">
        <v>1778</v>
      </c>
      <c r="Z5390" s="304"/>
      <c r="AA5390" s="304"/>
      <c r="AG5390" s="296"/>
      <c r="AH5390" s="304">
        <v>30.465</v>
      </c>
      <c r="AI5390" s="297"/>
      <c r="AJ5390" s="29">
        <v>43766</v>
      </c>
      <c r="AK5390" s="297"/>
      <c r="AL5390" s="297"/>
      <c r="AM5390" s="296" t="s">
        <v>49</v>
      </c>
      <c r="AN5390" s="296" t="s">
        <v>284</v>
      </c>
      <c r="AO5390" s="296" t="s">
        <v>50</v>
      </c>
      <c r="AP5390" s="296" t="s">
        <v>51</v>
      </c>
      <c r="AQ5390" s="457" t="s">
        <v>755</v>
      </c>
    </row>
    <row r="5391" spans="1:43" ht="15" customHeight="1">
      <c r="A5391" s="69">
        <v>43762</v>
      </c>
      <c r="B5391" s="70" t="s">
        <v>1097</v>
      </c>
      <c r="C5391" s="21"/>
      <c r="D5391" s="71" t="s">
        <v>1776</v>
      </c>
      <c r="E5391" s="552" t="s">
        <v>1780</v>
      </c>
      <c r="F5391" s="24">
        <v>2</v>
      </c>
      <c r="G5391" s="48">
        <v>12</v>
      </c>
      <c r="H5391" s="165">
        <v>24</v>
      </c>
      <c r="I5391" s="61" t="s">
        <v>143</v>
      </c>
      <c r="J5391" s="50" t="s">
        <v>262</v>
      </c>
      <c r="K5391" s="30">
        <v>43790</v>
      </c>
      <c r="W5391" s="460">
        <v>43861</v>
      </c>
      <c r="X5391" s="303">
        <v>43787</v>
      </c>
      <c r="Y5391" s="304" t="s">
        <v>1778</v>
      </c>
      <c r="Z5391" s="304"/>
      <c r="AA5391" s="304"/>
      <c r="AG5391" s="296"/>
      <c r="AH5391" s="304">
        <v>30.465</v>
      </c>
      <c r="AI5391" s="297"/>
      <c r="AJ5391" s="29">
        <v>43766</v>
      </c>
      <c r="AK5391" s="297"/>
      <c r="AL5391" s="297"/>
      <c r="AM5391" s="296" t="s">
        <v>49</v>
      </c>
      <c r="AN5391" s="296" t="s">
        <v>284</v>
      </c>
      <c r="AO5391" s="296" t="s">
        <v>50</v>
      </c>
      <c r="AP5391" s="296" t="s">
        <v>51</v>
      </c>
      <c r="AQ5391" s="457" t="s">
        <v>755</v>
      </c>
    </row>
    <row r="5392" spans="1:43" ht="15" customHeight="1">
      <c r="A5392" s="69">
        <v>43763</v>
      </c>
      <c r="B5392" s="307" t="s">
        <v>463</v>
      </c>
      <c r="C5392" s="406" t="s">
        <v>1781</v>
      </c>
      <c r="D5392" s="59" t="s">
        <v>1782</v>
      </c>
      <c r="E5392" s="553" t="s">
        <v>1783</v>
      </c>
      <c r="F5392" s="54">
        <v>1</v>
      </c>
      <c r="G5392" s="48">
        <v>470</v>
      </c>
      <c r="H5392" s="26">
        <v>470</v>
      </c>
      <c r="I5392" s="61" t="s">
        <v>104</v>
      </c>
      <c r="J5392" s="50" t="s">
        <v>1784</v>
      </c>
      <c r="K5392" s="30">
        <v>43795</v>
      </c>
      <c r="W5392" s="460">
        <v>43835</v>
      </c>
      <c r="X5392" s="303">
        <v>43794</v>
      </c>
      <c r="Y5392" s="304" t="s">
        <v>1785</v>
      </c>
      <c r="Z5392" s="304">
        <v>11820</v>
      </c>
      <c r="AA5392" s="304"/>
      <c r="AG5392" s="296"/>
      <c r="AH5392" s="304"/>
      <c r="AI5392" s="297"/>
      <c r="AJ5392" s="537"/>
      <c r="AK5392" s="297"/>
      <c r="AL5392" s="297"/>
      <c r="AM5392" s="296" t="s">
        <v>49</v>
      </c>
      <c r="AN5392" s="296" t="s">
        <v>284</v>
      </c>
      <c r="AO5392" s="296" t="s">
        <v>285</v>
      </c>
      <c r="AP5392" s="296" t="s">
        <v>51</v>
      </c>
      <c r="AQ5392" s="457" t="s">
        <v>755</v>
      </c>
    </row>
    <row r="5393" spans="1:43" ht="15" customHeight="1">
      <c r="A5393" s="19">
        <v>43763</v>
      </c>
      <c r="B5393" s="51" t="s">
        <v>76</v>
      </c>
      <c r="C5393" s="21">
        <v>792</v>
      </c>
      <c r="D5393" s="59" t="s">
        <v>1786</v>
      </c>
      <c r="E5393" s="32" t="s">
        <v>712</v>
      </c>
      <c r="F5393" s="82">
        <v>50</v>
      </c>
      <c r="G5393" s="47">
        <v>1.9</v>
      </c>
      <c r="H5393" s="60">
        <v>95</v>
      </c>
      <c r="I5393" s="61" t="s">
        <v>42</v>
      </c>
      <c r="J5393" s="82" t="s">
        <v>922</v>
      </c>
      <c r="K5393" s="30">
        <v>43769</v>
      </c>
      <c r="W5393" s="304"/>
      <c r="X5393" s="304"/>
      <c r="Y5393" s="304"/>
      <c r="Z5393" s="304"/>
      <c r="AA5393" s="304"/>
      <c r="AG5393" s="296"/>
      <c r="AH5393" s="304"/>
      <c r="AI5393" s="297"/>
      <c r="AJ5393" s="537"/>
      <c r="AK5393" s="298">
        <v>43803</v>
      </c>
      <c r="AL5393" s="297"/>
      <c r="AM5393" s="296" t="s">
        <v>49</v>
      </c>
      <c r="AN5393" s="296" t="s">
        <v>284</v>
      </c>
      <c r="AO5393" s="296" t="s">
        <v>50</v>
      </c>
      <c r="AP5393" s="296" t="s">
        <v>51</v>
      </c>
      <c r="AQ5393" s="457" t="s">
        <v>755</v>
      </c>
    </row>
    <row r="5394" spans="1:43" ht="15" customHeight="1">
      <c r="A5394" s="69">
        <v>43765</v>
      </c>
      <c r="B5394" s="307" t="s">
        <v>39</v>
      </c>
      <c r="C5394" s="21">
        <v>2031536</v>
      </c>
      <c r="D5394" s="59" t="s">
        <v>1787</v>
      </c>
      <c r="E5394" s="32" t="s">
        <v>1788</v>
      </c>
      <c r="F5394" s="24">
        <v>3</v>
      </c>
      <c r="G5394" s="48">
        <v>1335</v>
      </c>
      <c r="H5394" s="60">
        <v>4005</v>
      </c>
      <c r="I5394" s="61" t="s">
        <v>42</v>
      </c>
      <c r="J5394" s="50" t="s">
        <v>1789</v>
      </c>
      <c r="K5394" s="30">
        <v>43788</v>
      </c>
      <c r="W5394" s="304"/>
      <c r="X5394" s="304"/>
      <c r="Y5394" s="304"/>
      <c r="Z5394" s="304"/>
      <c r="AA5394" s="304"/>
      <c r="AG5394" s="296"/>
      <c r="AH5394" s="304">
        <v>30.295000000000002</v>
      </c>
      <c r="AI5394" s="297"/>
      <c r="AJ5394" s="298">
        <v>43808</v>
      </c>
      <c r="AK5394" s="297">
        <f>4208.43*30.439</f>
        <v>128100.40077000001</v>
      </c>
      <c r="AL5394" s="297">
        <f>6.57*30.439</f>
        <v>199.98423</v>
      </c>
      <c r="AM5394" s="296" t="s">
        <v>49</v>
      </c>
      <c r="AN5394" s="296" t="s">
        <v>284</v>
      </c>
      <c r="AO5394" s="296" t="s">
        <v>285</v>
      </c>
      <c r="AP5394" s="296" t="s">
        <v>51</v>
      </c>
      <c r="AQ5394" s="457" t="s">
        <v>755</v>
      </c>
    </row>
    <row r="5395" spans="1:43" ht="15" customHeight="1">
      <c r="A5395" s="69">
        <v>43765</v>
      </c>
      <c r="B5395" s="307" t="s">
        <v>39</v>
      </c>
      <c r="C5395" s="21">
        <v>2030683</v>
      </c>
      <c r="D5395" s="59" t="s">
        <v>1787</v>
      </c>
      <c r="E5395" s="32" t="s">
        <v>1631</v>
      </c>
      <c r="F5395" s="24">
        <v>3</v>
      </c>
      <c r="G5395" s="48">
        <v>70</v>
      </c>
      <c r="H5395" s="60">
        <v>210</v>
      </c>
      <c r="I5395" s="61" t="s">
        <v>42</v>
      </c>
      <c r="J5395" s="50" t="s">
        <v>1789</v>
      </c>
      <c r="K5395" s="30">
        <v>43788</v>
      </c>
      <c r="W5395" s="304"/>
      <c r="X5395" s="304"/>
      <c r="Y5395" s="304"/>
      <c r="Z5395" s="304"/>
      <c r="AA5395" s="304"/>
      <c r="AG5395" s="296"/>
      <c r="AH5395" s="304">
        <v>30.295000000000002</v>
      </c>
      <c r="AI5395" s="297"/>
      <c r="AJ5395" s="298">
        <v>43808</v>
      </c>
      <c r="AK5395" s="297"/>
      <c r="AL5395" s="297"/>
      <c r="AM5395" s="296" t="s">
        <v>49</v>
      </c>
      <c r="AN5395" s="296" t="s">
        <v>284</v>
      </c>
      <c r="AO5395" s="296" t="s">
        <v>285</v>
      </c>
      <c r="AP5395" s="296" t="s">
        <v>51</v>
      </c>
      <c r="AQ5395" s="457" t="s">
        <v>755</v>
      </c>
    </row>
    <row r="5396" spans="1:43" ht="15" customHeight="1">
      <c r="A5396" s="110">
        <v>43767</v>
      </c>
      <c r="B5396" s="72" t="s">
        <v>405</v>
      </c>
      <c r="C5396" s="71">
        <v>7000151328</v>
      </c>
      <c r="D5396" s="71" t="s">
        <v>1790</v>
      </c>
      <c r="E5396" s="72" t="s">
        <v>518</v>
      </c>
      <c r="F5396" s="114">
        <v>50</v>
      </c>
      <c r="G5396" s="115">
        <v>141.80000000000001</v>
      </c>
      <c r="H5396" s="60">
        <v>7090.0000000000009</v>
      </c>
      <c r="I5396" s="61" t="s">
        <v>42</v>
      </c>
      <c r="J5396" s="50" t="s">
        <v>512</v>
      </c>
      <c r="K5396" s="30">
        <v>43769</v>
      </c>
      <c r="W5396" s="460">
        <v>43861</v>
      </c>
      <c r="X5396" s="303">
        <v>43768</v>
      </c>
      <c r="Y5396" s="304" t="s">
        <v>1791</v>
      </c>
      <c r="Z5396" s="304">
        <v>207585</v>
      </c>
      <c r="AA5396" s="304"/>
      <c r="AG5396" s="296"/>
      <c r="AH5396" s="304">
        <v>30.62</v>
      </c>
      <c r="AI5396" s="297"/>
      <c r="AJ5396" s="298">
        <v>43805</v>
      </c>
      <c r="AK5396" s="297">
        <f>7061.43*30.44</f>
        <v>214949.92920000001</v>
      </c>
      <c r="AL5396" s="297">
        <f>(7090-7061.43)*30.44</f>
        <v>869.67079999999123</v>
      </c>
      <c r="AM5396" s="296" t="s">
        <v>49</v>
      </c>
      <c r="AN5396" s="296" t="s">
        <v>284</v>
      </c>
      <c r="AO5396" s="296" t="s">
        <v>50</v>
      </c>
      <c r="AP5396" s="296" t="s">
        <v>51</v>
      </c>
      <c r="AQ5396" s="457" t="s">
        <v>755</v>
      </c>
    </row>
    <row r="5397" spans="1:43" ht="15" customHeight="1">
      <c r="A5397" s="69">
        <v>43767</v>
      </c>
      <c r="B5397" s="70" t="s">
        <v>100</v>
      </c>
      <c r="C5397" s="21" t="s">
        <v>1792</v>
      </c>
      <c r="D5397" s="80" t="s">
        <v>1793</v>
      </c>
      <c r="E5397" s="23" t="s">
        <v>1794</v>
      </c>
      <c r="F5397" s="24">
        <v>5</v>
      </c>
      <c r="G5397" s="48">
        <v>576</v>
      </c>
      <c r="H5397" s="60">
        <v>2880</v>
      </c>
      <c r="I5397" s="61" t="s">
        <v>104</v>
      </c>
      <c r="J5397" s="50" t="s">
        <v>1042</v>
      </c>
      <c r="K5397" s="29">
        <v>43790</v>
      </c>
      <c r="W5397" s="303">
        <v>43830</v>
      </c>
      <c r="X5397" s="303">
        <v>43780</v>
      </c>
      <c r="Y5397" s="304" t="s">
        <v>1795</v>
      </c>
      <c r="Z5397" s="304">
        <v>150293</v>
      </c>
      <c r="AA5397" s="304"/>
      <c r="AG5397" s="296"/>
      <c r="AH5397" s="304">
        <v>30.465</v>
      </c>
      <c r="AI5397" s="297"/>
      <c r="AJ5397" s="298">
        <v>43845</v>
      </c>
      <c r="AK5397" s="297">
        <f>8799.3*29.852</f>
        <v>262676.70360000001</v>
      </c>
      <c r="AL5397" s="297">
        <f>(8853-8799.3)*29.852</f>
        <v>1603.0524000000216</v>
      </c>
      <c r="AM5397" s="296" t="s">
        <v>49</v>
      </c>
      <c r="AN5397" s="296" t="s">
        <v>284</v>
      </c>
      <c r="AO5397" s="296" t="s">
        <v>50</v>
      </c>
      <c r="AP5397" s="296" t="s">
        <v>51</v>
      </c>
      <c r="AQ5397" s="457" t="s">
        <v>755</v>
      </c>
    </row>
    <row r="5398" spans="1:43" ht="15" customHeight="1">
      <c r="A5398" s="69">
        <v>43767</v>
      </c>
      <c r="B5398" s="70" t="s">
        <v>100</v>
      </c>
      <c r="C5398" s="21" t="s">
        <v>1792</v>
      </c>
      <c r="D5398" s="80" t="s">
        <v>1793</v>
      </c>
      <c r="E5398" s="32" t="s">
        <v>1796</v>
      </c>
      <c r="F5398" s="24">
        <v>5</v>
      </c>
      <c r="G5398" s="48">
        <v>225</v>
      </c>
      <c r="H5398" s="60">
        <v>1125</v>
      </c>
      <c r="I5398" s="61" t="s">
        <v>104</v>
      </c>
      <c r="J5398" s="50" t="s">
        <v>1042</v>
      </c>
      <c r="K5398" s="29">
        <v>43790</v>
      </c>
      <c r="W5398" s="460">
        <v>43830</v>
      </c>
      <c r="X5398" s="303">
        <v>43783</v>
      </c>
      <c r="Y5398" s="304" t="s">
        <v>1797</v>
      </c>
      <c r="Z5398" s="304">
        <v>31225</v>
      </c>
      <c r="AA5398" s="304"/>
      <c r="AG5398" s="296"/>
      <c r="AH5398" s="515">
        <v>30.465</v>
      </c>
      <c r="AI5398" s="297"/>
      <c r="AJ5398" s="298">
        <v>43845</v>
      </c>
      <c r="AK5398" s="297"/>
      <c r="AL5398" s="297"/>
      <c r="AM5398" s="296" t="s">
        <v>49</v>
      </c>
      <c r="AN5398" s="296" t="s">
        <v>284</v>
      </c>
      <c r="AO5398" s="296" t="s">
        <v>50</v>
      </c>
      <c r="AP5398" s="296" t="s">
        <v>51</v>
      </c>
      <c r="AQ5398" s="457" t="s">
        <v>755</v>
      </c>
    </row>
    <row r="5399" spans="1:43" ht="15" customHeight="1">
      <c r="A5399" s="69">
        <v>43767</v>
      </c>
      <c r="B5399" s="70" t="s">
        <v>100</v>
      </c>
      <c r="C5399" s="21" t="s">
        <v>1792</v>
      </c>
      <c r="D5399" s="80" t="s">
        <v>1793</v>
      </c>
      <c r="E5399" s="32" t="s">
        <v>1798</v>
      </c>
      <c r="F5399" s="24">
        <v>5</v>
      </c>
      <c r="G5399" s="48">
        <v>54</v>
      </c>
      <c r="H5399" s="60">
        <v>270</v>
      </c>
      <c r="I5399" s="61" t="s">
        <v>104</v>
      </c>
      <c r="J5399" s="50" t="s">
        <v>1042</v>
      </c>
      <c r="K5399" s="29">
        <v>43790</v>
      </c>
      <c r="W5399" s="460">
        <v>43804</v>
      </c>
      <c r="X5399" s="303">
        <v>43769</v>
      </c>
      <c r="Y5399" s="304" t="s">
        <v>1799</v>
      </c>
      <c r="Z5399" s="304">
        <v>5716</v>
      </c>
      <c r="AA5399" s="304"/>
      <c r="AG5399" s="296"/>
      <c r="AH5399" s="515">
        <v>30.465</v>
      </c>
      <c r="AI5399" s="297"/>
      <c r="AJ5399" s="298">
        <v>43845</v>
      </c>
      <c r="AK5399" s="297"/>
      <c r="AL5399" s="297"/>
      <c r="AM5399" s="296" t="s">
        <v>49</v>
      </c>
      <c r="AN5399" s="296" t="s">
        <v>284</v>
      </c>
      <c r="AO5399" s="296" t="s">
        <v>50</v>
      </c>
      <c r="AP5399" s="296" t="s">
        <v>51</v>
      </c>
      <c r="AQ5399" s="457" t="s">
        <v>755</v>
      </c>
    </row>
    <row r="5400" spans="1:43" ht="15" customHeight="1">
      <c r="A5400" s="69">
        <v>43767</v>
      </c>
      <c r="B5400" s="70" t="s">
        <v>100</v>
      </c>
      <c r="C5400" s="21" t="s">
        <v>1800</v>
      </c>
      <c r="D5400" s="73" t="s">
        <v>1801</v>
      </c>
      <c r="E5400" s="32" t="s">
        <v>1802</v>
      </c>
      <c r="F5400" s="24">
        <v>3</v>
      </c>
      <c r="G5400" s="48">
        <v>339</v>
      </c>
      <c r="H5400" s="216">
        <v>1017</v>
      </c>
      <c r="I5400" s="61" t="s">
        <v>104</v>
      </c>
      <c r="J5400" s="50" t="s">
        <v>1042</v>
      </c>
      <c r="K5400" s="29">
        <v>43790</v>
      </c>
      <c r="W5400" s="303">
        <v>43830</v>
      </c>
      <c r="X5400" s="303">
        <v>43780</v>
      </c>
      <c r="Y5400" s="304" t="s">
        <v>1795</v>
      </c>
      <c r="Z5400" s="21"/>
      <c r="AA5400" s="554"/>
      <c r="AG5400" s="30"/>
      <c r="AH5400" s="515">
        <v>30.465</v>
      </c>
      <c r="AI5400" s="21"/>
      <c r="AJ5400" s="298">
        <v>43845</v>
      </c>
      <c r="AK5400" s="297"/>
      <c r="AL5400" s="297"/>
      <c r="AM5400" s="296" t="s">
        <v>49</v>
      </c>
      <c r="AN5400" s="296" t="s">
        <v>284</v>
      </c>
      <c r="AO5400" s="296" t="s">
        <v>50</v>
      </c>
      <c r="AP5400" s="296" t="s">
        <v>51</v>
      </c>
      <c r="AQ5400" s="457" t="s">
        <v>755</v>
      </c>
    </row>
    <row r="5401" spans="1:43" ht="15" customHeight="1">
      <c r="A5401" s="69">
        <v>43767</v>
      </c>
      <c r="B5401" s="70" t="s">
        <v>100</v>
      </c>
      <c r="C5401" s="21" t="s">
        <v>1800</v>
      </c>
      <c r="D5401" s="73" t="s">
        <v>1801</v>
      </c>
      <c r="E5401" s="32" t="s">
        <v>1803</v>
      </c>
      <c r="F5401" s="24">
        <v>3</v>
      </c>
      <c r="G5401" s="48">
        <v>322</v>
      </c>
      <c r="H5401" s="60">
        <v>966</v>
      </c>
      <c r="I5401" s="61" t="s">
        <v>104</v>
      </c>
      <c r="J5401" s="50" t="s">
        <v>1042</v>
      </c>
      <c r="K5401" s="29">
        <v>43790</v>
      </c>
      <c r="W5401" s="303">
        <v>43830</v>
      </c>
      <c r="X5401" s="303">
        <v>43780</v>
      </c>
      <c r="Y5401" s="304" t="s">
        <v>1795</v>
      </c>
      <c r="Z5401" s="21"/>
      <c r="AA5401" s="304"/>
      <c r="AG5401" s="296"/>
      <c r="AH5401" s="515">
        <v>30.465</v>
      </c>
      <c r="AI5401" s="297"/>
      <c r="AJ5401" s="298">
        <v>43845</v>
      </c>
      <c r="AK5401" s="297"/>
      <c r="AL5401" s="297"/>
      <c r="AM5401" s="296" t="s">
        <v>49</v>
      </c>
      <c r="AN5401" s="296" t="s">
        <v>284</v>
      </c>
      <c r="AO5401" s="296" t="s">
        <v>50</v>
      </c>
      <c r="AP5401" s="296" t="s">
        <v>51</v>
      </c>
      <c r="AQ5401" s="457" t="s">
        <v>755</v>
      </c>
    </row>
    <row r="5402" spans="1:43" ht="15" customHeight="1">
      <c r="A5402" s="69">
        <v>43767</v>
      </c>
      <c r="B5402" s="70" t="s">
        <v>100</v>
      </c>
      <c r="C5402" s="21" t="s">
        <v>1800</v>
      </c>
      <c r="D5402" s="73" t="s">
        <v>1801</v>
      </c>
      <c r="E5402" s="32" t="s">
        <v>1804</v>
      </c>
      <c r="F5402" s="24">
        <v>6</v>
      </c>
      <c r="G5402" s="48">
        <v>42</v>
      </c>
      <c r="H5402" s="60">
        <v>252</v>
      </c>
      <c r="I5402" s="61" t="s">
        <v>104</v>
      </c>
      <c r="J5402" s="50" t="s">
        <v>1042</v>
      </c>
      <c r="K5402" s="29">
        <v>43790</v>
      </c>
      <c r="W5402" s="30">
        <v>43804</v>
      </c>
      <c r="X5402" s="555">
        <v>43770</v>
      </c>
      <c r="Y5402" s="21" t="s">
        <v>1805</v>
      </c>
      <c r="Z5402" s="21">
        <v>7623</v>
      </c>
      <c r="AA5402" s="554"/>
      <c r="AG5402" s="30"/>
      <c r="AH5402" s="515">
        <v>30.465</v>
      </c>
      <c r="AI5402" s="21"/>
      <c r="AJ5402" s="298">
        <v>43845</v>
      </c>
      <c r="AK5402" s="297"/>
      <c r="AL5402" s="297"/>
      <c r="AM5402" s="296" t="s">
        <v>49</v>
      </c>
      <c r="AN5402" s="296" t="s">
        <v>284</v>
      </c>
      <c r="AO5402" s="296" t="s">
        <v>50</v>
      </c>
      <c r="AP5402" s="296" t="s">
        <v>51</v>
      </c>
      <c r="AQ5402" s="457" t="s">
        <v>755</v>
      </c>
    </row>
    <row r="5403" spans="1:43" ht="15" customHeight="1">
      <c r="A5403" s="69">
        <v>43767</v>
      </c>
      <c r="B5403" s="70" t="s">
        <v>100</v>
      </c>
      <c r="C5403" s="21" t="s">
        <v>1806</v>
      </c>
      <c r="D5403" s="71" t="s">
        <v>1807</v>
      </c>
      <c r="E5403" s="32" t="s">
        <v>1808</v>
      </c>
      <c r="F5403" s="24">
        <v>2</v>
      </c>
      <c r="G5403" s="48">
        <v>994</v>
      </c>
      <c r="H5403" s="60">
        <v>1988</v>
      </c>
      <c r="I5403" s="61" t="s">
        <v>104</v>
      </c>
      <c r="J5403" s="50" t="s">
        <v>1042</v>
      </c>
      <c r="K5403" s="29">
        <v>43790</v>
      </c>
      <c r="W5403" s="460">
        <v>43804</v>
      </c>
      <c r="X5403" s="303">
        <v>43782</v>
      </c>
      <c r="Y5403" s="304" t="s">
        <v>1809</v>
      </c>
      <c r="Z5403" s="304">
        <v>56612</v>
      </c>
      <c r="AA5403" s="304"/>
      <c r="AG5403" s="296"/>
      <c r="AH5403" s="515">
        <v>30.465</v>
      </c>
      <c r="AI5403" s="297"/>
      <c r="AJ5403" s="298">
        <v>43845</v>
      </c>
      <c r="AK5403" s="297"/>
      <c r="AL5403" s="297"/>
      <c r="AM5403" s="296" t="s">
        <v>49</v>
      </c>
      <c r="AN5403" s="296" t="s">
        <v>284</v>
      </c>
      <c r="AO5403" s="296" t="s">
        <v>50</v>
      </c>
      <c r="AP5403" s="296" t="s">
        <v>51</v>
      </c>
      <c r="AQ5403" s="457" t="s">
        <v>755</v>
      </c>
    </row>
    <row r="5404" spans="1:43" ht="15" customHeight="1">
      <c r="A5404" s="69">
        <v>43768</v>
      </c>
      <c r="B5404" s="23" t="s">
        <v>405</v>
      </c>
      <c r="C5404" s="21">
        <v>7000151353</v>
      </c>
      <c r="D5404" s="71" t="s">
        <v>1810</v>
      </c>
      <c r="E5404" s="32" t="s">
        <v>518</v>
      </c>
      <c r="F5404" s="24">
        <v>1</v>
      </c>
      <c r="G5404" s="48">
        <v>141.80000000000001</v>
      </c>
      <c r="H5404" s="216">
        <v>141.80000000000001</v>
      </c>
      <c r="I5404" s="61" t="s">
        <v>42</v>
      </c>
      <c r="J5404" s="50" t="s">
        <v>512</v>
      </c>
      <c r="K5404" s="30">
        <v>43774</v>
      </c>
      <c r="W5404" s="556">
        <v>43861</v>
      </c>
      <c r="X5404" s="557">
        <v>43770</v>
      </c>
      <c r="Y5404" s="304" t="s">
        <v>1811</v>
      </c>
      <c r="Z5404" s="515">
        <v>6262</v>
      </c>
      <c r="AA5404" s="304"/>
      <c r="AG5404" s="558"/>
      <c r="AH5404" s="515">
        <v>30.52</v>
      </c>
      <c r="AI5404" s="297"/>
      <c r="AJ5404" s="29">
        <v>43812</v>
      </c>
      <c r="AK5404" s="297"/>
      <c r="AL5404" s="297"/>
      <c r="AM5404" s="296" t="s">
        <v>49</v>
      </c>
      <c r="AN5404" s="296" t="s">
        <v>284</v>
      </c>
      <c r="AO5404" s="296" t="s">
        <v>50</v>
      </c>
      <c r="AP5404" s="296" t="s">
        <v>51</v>
      </c>
      <c r="AQ5404" s="457" t="s">
        <v>755</v>
      </c>
    </row>
    <row r="5405" spans="1:43" ht="15" customHeight="1">
      <c r="A5405" s="69">
        <v>43768</v>
      </c>
      <c r="B5405" s="23" t="s">
        <v>405</v>
      </c>
      <c r="C5405" s="21">
        <v>7000151353</v>
      </c>
      <c r="D5405" s="71" t="s">
        <v>1810</v>
      </c>
      <c r="E5405" s="32" t="s">
        <v>944</v>
      </c>
      <c r="F5405" s="24">
        <v>1</v>
      </c>
      <c r="G5405" s="48">
        <v>74</v>
      </c>
      <c r="H5405" s="60">
        <v>74</v>
      </c>
      <c r="I5405" s="61" t="s">
        <v>42</v>
      </c>
      <c r="J5405" s="50" t="s">
        <v>512</v>
      </c>
      <c r="K5405" s="30">
        <v>43774</v>
      </c>
      <c r="W5405" s="460">
        <v>43861</v>
      </c>
      <c r="X5405" s="460">
        <v>43770</v>
      </c>
      <c r="Y5405" s="304" t="s">
        <v>1811</v>
      </c>
      <c r="Z5405" s="304"/>
      <c r="AA5405" s="304"/>
      <c r="AG5405" s="296"/>
      <c r="AH5405" s="304">
        <v>30.52</v>
      </c>
      <c r="AI5405" s="297"/>
      <c r="AJ5405" s="29">
        <v>43812</v>
      </c>
      <c r="AK5405" s="297"/>
      <c r="AL5405" s="297"/>
      <c r="AM5405" s="296" t="s">
        <v>49</v>
      </c>
      <c r="AN5405" s="296" t="s">
        <v>284</v>
      </c>
      <c r="AO5405" s="296" t="s">
        <v>50</v>
      </c>
      <c r="AP5405" s="296" t="s">
        <v>51</v>
      </c>
      <c r="AQ5405" s="457" t="s">
        <v>755</v>
      </c>
    </row>
    <row r="5406" spans="1:43" ht="15" customHeight="1">
      <c r="A5406" s="69">
        <v>43768</v>
      </c>
      <c r="B5406" s="70" t="s">
        <v>222</v>
      </c>
      <c r="C5406" s="21" t="s">
        <v>1812</v>
      </c>
      <c r="D5406" s="71" t="s">
        <v>1813</v>
      </c>
      <c r="E5406" s="32" t="s">
        <v>1814</v>
      </c>
      <c r="F5406" s="24">
        <v>3</v>
      </c>
      <c r="G5406" s="48">
        <v>434.7</v>
      </c>
      <c r="H5406" s="60">
        <v>1304.0999999999999</v>
      </c>
      <c r="I5406" s="61" t="s">
        <v>143</v>
      </c>
      <c r="J5406" s="50" t="s">
        <v>89</v>
      </c>
      <c r="K5406" s="30">
        <v>43788</v>
      </c>
      <c r="W5406" s="559">
        <v>43830</v>
      </c>
      <c r="X5406" s="560">
        <v>43785</v>
      </c>
      <c r="Y5406" s="304" t="s">
        <v>1815</v>
      </c>
      <c r="Z5406" s="561">
        <v>37885</v>
      </c>
      <c r="AA5406" s="304"/>
      <c r="AG5406" s="558"/>
      <c r="AH5406" s="515">
        <v>30.49</v>
      </c>
      <c r="AI5406" s="297"/>
      <c r="AJ5406" s="29">
        <v>43809</v>
      </c>
      <c r="AK5406" s="297"/>
      <c r="AL5406" s="297"/>
      <c r="AM5406" s="296" t="s">
        <v>49</v>
      </c>
      <c r="AN5406" s="296" t="s">
        <v>284</v>
      </c>
      <c r="AO5406" s="296" t="s">
        <v>50</v>
      </c>
      <c r="AP5406" s="296" t="s">
        <v>376</v>
      </c>
      <c r="AQ5406" s="457" t="s">
        <v>755</v>
      </c>
    </row>
    <row r="5407" spans="1:43" ht="15" customHeight="1">
      <c r="A5407" s="69">
        <v>43768</v>
      </c>
      <c r="B5407" s="70" t="s">
        <v>222</v>
      </c>
      <c r="C5407" s="21" t="s">
        <v>1812</v>
      </c>
      <c r="D5407" s="71" t="s">
        <v>1813</v>
      </c>
      <c r="E5407" s="32" t="s">
        <v>1816</v>
      </c>
      <c r="F5407" s="24">
        <v>12</v>
      </c>
      <c r="G5407" s="48">
        <v>7.35</v>
      </c>
      <c r="H5407" s="60">
        <v>88.199999999999989</v>
      </c>
      <c r="I5407" s="61" t="s">
        <v>143</v>
      </c>
      <c r="J5407" s="50" t="s">
        <v>89</v>
      </c>
      <c r="K5407" s="30">
        <v>43788</v>
      </c>
      <c r="W5407" s="303">
        <v>43830</v>
      </c>
      <c r="X5407" s="303">
        <v>43785</v>
      </c>
      <c r="Y5407" s="304" t="s">
        <v>1815</v>
      </c>
      <c r="Z5407" s="404"/>
      <c r="AA5407" s="304"/>
      <c r="AG5407" s="296"/>
      <c r="AH5407" s="304">
        <v>30.49</v>
      </c>
      <c r="AI5407" s="297"/>
      <c r="AJ5407" s="29">
        <v>43809</v>
      </c>
      <c r="AK5407" s="297"/>
      <c r="AL5407" s="297"/>
      <c r="AM5407" s="296" t="s">
        <v>49</v>
      </c>
      <c r="AN5407" s="296" t="s">
        <v>284</v>
      </c>
      <c r="AO5407" s="296" t="s">
        <v>50</v>
      </c>
      <c r="AP5407" s="296" t="s">
        <v>376</v>
      </c>
      <c r="AQ5407" s="457" t="s">
        <v>755</v>
      </c>
    </row>
    <row r="5408" spans="1:43" ht="15" customHeight="1">
      <c r="A5408" s="69">
        <v>43768</v>
      </c>
      <c r="B5408" s="23" t="s">
        <v>212</v>
      </c>
      <c r="C5408" s="21" t="s">
        <v>1817</v>
      </c>
      <c r="D5408" s="71" t="s">
        <v>1818</v>
      </c>
      <c r="E5408" s="32" t="s">
        <v>1819</v>
      </c>
      <c r="F5408" s="24">
        <v>2</v>
      </c>
      <c r="G5408" s="48">
        <v>226</v>
      </c>
      <c r="H5408" s="60">
        <v>452</v>
      </c>
      <c r="I5408" s="61" t="s">
        <v>143</v>
      </c>
      <c r="J5408" s="58" t="s">
        <v>216</v>
      </c>
      <c r="K5408" s="30">
        <v>43780</v>
      </c>
      <c r="W5408" s="460">
        <v>43861</v>
      </c>
      <c r="X5408" s="460">
        <v>43774</v>
      </c>
      <c r="Y5408" s="304" t="s">
        <v>1820</v>
      </c>
      <c r="Z5408" s="304">
        <v>42749</v>
      </c>
      <c r="AA5408" s="304"/>
      <c r="AG5408" s="296"/>
      <c r="AH5408" s="304">
        <v>30.295000000000002</v>
      </c>
      <c r="AI5408" s="297"/>
      <c r="AJ5408" s="298">
        <v>43773</v>
      </c>
      <c r="AK5408" s="297">
        <f>1516.41</f>
        <v>1516.41</v>
      </c>
      <c r="AL5408" s="297">
        <f>(1523-1516.41)*30.35</f>
        <v>200.00649999999752</v>
      </c>
      <c r="AM5408" s="296" t="s">
        <v>49</v>
      </c>
      <c r="AN5408" s="296" t="s">
        <v>284</v>
      </c>
      <c r="AO5408" s="296" t="s">
        <v>50</v>
      </c>
      <c r="AP5408" s="296" t="s">
        <v>51</v>
      </c>
      <c r="AQ5408" s="457" t="s">
        <v>755</v>
      </c>
    </row>
    <row r="5409" spans="1:43" ht="15" customHeight="1">
      <c r="A5409" s="69">
        <v>43768</v>
      </c>
      <c r="B5409" s="23" t="s">
        <v>212</v>
      </c>
      <c r="C5409" s="21" t="s">
        <v>1817</v>
      </c>
      <c r="D5409" s="71" t="s">
        <v>1818</v>
      </c>
      <c r="E5409" s="32" t="s">
        <v>1821</v>
      </c>
      <c r="F5409" s="24">
        <v>2</v>
      </c>
      <c r="G5409" s="48">
        <v>419</v>
      </c>
      <c r="H5409" s="60">
        <v>838</v>
      </c>
      <c r="I5409" s="61" t="s">
        <v>143</v>
      </c>
      <c r="J5409" s="58" t="s">
        <v>216</v>
      </c>
      <c r="K5409" s="30">
        <v>43780</v>
      </c>
      <c r="W5409" s="460">
        <v>43861</v>
      </c>
      <c r="X5409" s="460">
        <v>43774</v>
      </c>
      <c r="Y5409" s="304" t="s">
        <v>1820</v>
      </c>
      <c r="Z5409" s="304"/>
      <c r="AA5409" s="304"/>
      <c r="AG5409" s="296"/>
      <c r="AH5409" s="304">
        <v>30.295000000000002</v>
      </c>
      <c r="AI5409" s="297"/>
      <c r="AJ5409" s="298">
        <v>43773</v>
      </c>
      <c r="AK5409" s="297"/>
      <c r="AL5409" s="297"/>
      <c r="AM5409" s="296" t="s">
        <v>49</v>
      </c>
      <c r="AN5409" s="296" t="s">
        <v>284</v>
      </c>
      <c r="AO5409" s="296" t="s">
        <v>50</v>
      </c>
      <c r="AP5409" s="296" t="s">
        <v>51</v>
      </c>
      <c r="AQ5409" s="457" t="s">
        <v>755</v>
      </c>
    </row>
    <row r="5410" spans="1:43" ht="15" customHeight="1">
      <c r="A5410" s="69">
        <v>43768</v>
      </c>
      <c r="B5410" s="23" t="s">
        <v>212</v>
      </c>
      <c r="C5410" s="21" t="s">
        <v>1817</v>
      </c>
      <c r="D5410" s="71" t="s">
        <v>1818</v>
      </c>
      <c r="E5410" s="32" t="s">
        <v>1822</v>
      </c>
      <c r="F5410" s="24">
        <v>2</v>
      </c>
      <c r="G5410" s="48">
        <v>104</v>
      </c>
      <c r="H5410" s="60">
        <v>208</v>
      </c>
      <c r="I5410" s="61" t="s">
        <v>143</v>
      </c>
      <c r="J5410" s="58" t="s">
        <v>216</v>
      </c>
      <c r="K5410" s="30">
        <v>43780</v>
      </c>
      <c r="W5410" s="460">
        <v>43861</v>
      </c>
      <c r="X5410" s="460">
        <v>43774</v>
      </c>
      <c r="Y5410" s="304" t="s">
        <v>1820</v>
      </c>
      <c r="Z5410" s="304"/>
      <c r="AA5410" s="304"/>
      <c r="AG5410" s="296"/>
      <c r="AH5410" s="304">
        <v>30.295000000000002</v>
      </c>
      <c r="AI5410" s="297"/>
      <c r="AJ5410" s="298">
        <v>43773</v>
      </c>
      <c r="AK5410" s="297"/>
      <c r="AL5410" s="297"/>
      <c r="AM5410" s="296" t="s">
        <v>49</v>
      </c>
      <c r="AN5410" s="296" t="s">
        <v>284</v>
      </c>
      <c r="AO5410" s="296" t="s">
        <v>50</v>
      </c>
      <c r="AP5410" s="296" t="s">
        <v>51</v>
      </c>
      <c r="AQ5410" s="457" t="s">
        <v>755</v>
      </c>
    </row>
    <row r="5411" spans="1:43" ht="15" customHeight="1">
      <c r="A5411" s="69">
        <v>43768</v>
      </c>
      <c r="B5411" s="23" t="s">
        <v>212</v>
      </c>
      <c r="C5411" s="21" t="s">
        <v>1817</v>
      </c>
      <c r="D5411" s="71" t="s">
        <v>1818</v>
      </c>
      <c r="E5411" s="32" t="s">
        <v>1823</v>
      </c>
      <c r="F5411" s="24">
        <v>1</v>
      </c>
      <c r="G5411" s="48">
        <v>25</v>
      </c>
      <c r="H5411" s="60">
        <v>25</v>
      </c>
      <c r="I5411" s="61" t="s">
        <v>143</v>
      </c>
      <c r="J5411" s="58" t="s">
        <v>216</v>
      </c>
      <c r="K5411" s="30">
        <v>43780</v>
      </c>
      <c r="W5411" s="304"/>
      <c r="X5411" s="304"/>
      <c r="Y5411" s="304"/>
      <c r="Z5411" s="304"/>
      <c r="AA5411" s="304"/>
      <c r="AG5411" s="296"/>
      <c r="AH5411" s="304">
        <v>30.295000000000002</v>
      </c>
      <c r="AI5411" s="297"/>
      <c r="AJ5411" s="298">
        <v>43773</v>
      </c>
      <c r="AK5411" s="297"/>
      <c r="AL5411" s="297"/>
      <c r="AM5411" s="296" t="s">
        <v>49</v>
      </c>
      <c r="AN5411" s="296" t="s">
        <v>284</v>
      </c>
      <c r="AO5411" s="296" t="s">
        <v>50</v>
      </c>
      <c r="AP5411" s="296" t="s">
        <v>51</v>
      </c>
      <c r="AQ5411" s="457" t="s">
        <v>755</v>
      </c>
    </row>
    <row r="5412" spans="1:43" ht="15" customHeight="1">
      <c r="A5412" s="69">
        <v>43769</v>
      </c>
      <c r="B5412" s="70" t="s">
        <v>1512</v>
      </c>
      <c r="C5412" s="21" t="s">
        <v>1824</v>
      </c>
      <c r="D5412" s="71" t="s">
        <v>1825</v>
      </c>
      <c r="E5412" s="32" t="s">
        <v>1826</v>
      </c>
      <c r="F5412" s="24">
        <v>2</v>
      </c>
      <c r="G5412" s="48">
        <v>155.4</v>
      </c>
      <c r="H5412" s="60">
        <v>310.8</v>
      </c>
      <c r="I5412" s="61" t="s">
        <v>1827</v>
      </c>
      <c r="J5412" s="58" t="s">
        <v>1149</v>
      </c>
      <c r="K5412" s="145">
        <v>43773</v>
      </c>
      <c r="W5412" s="304"/>
      <c r="X5412" s="304"/>
      <c r="Y5412" s="304"/>
      <c r="Z5412" s="304"/>
      <c r="AA5412" s="304"/>
      <c r="AG5412" s="296"/>
      <c r="AH5412" s="304">
        <v>30.44</v>
      </c>
      <c r="AI5412" s="297"/>
      <c r="AJ5412" s="298">
        <v>43833</v>
      </c>
      <c r="AK5412" s="297">
        <v>14181</v>
      </c>
      <c r="AL5412" s="297">
        <v>15</v>
      </c>
      <c r="AM5412" s="296" t="s">
        <v>49</v>
      </c>
      <c r="AN5412" s="296" t="s">
        <v>284</v>
      </c>
      <c r="AO5412" s="296" t="s">
        <v>50</v>
      </c>
      <c r="AP5412" s="296" t="s">
        <v>376</v>
      </c>
      <c r="AQ5412" s="457" t="s">
        <v>755</v>
      </c>
    </row>
    <row r="5413" spans="1:43" ht="15" customHeight="1">
      <c r="A5413" s="95">
        <v>43769</v>
      </c>
      <c r="B5413" s="562" t="s">
        <v>1512</v>
      </c>
      <c r="C5413" s="97" t="s">
        <v>1824</v>
      </c>
      <c r="D5413" s="98" t="s">
        <v>1825</v>
      </c>
      <c r="E5413" s="99" t="s">
        <v>1826</v>
      </c>
      <c r="F5413" s="100">
        <v>1</v>
      </c>
      <c r="G5413" s="101">
        <v>155.4</v>
      </c>
      <c r="H5413" s="102">
        <v>155.4</v>
      </c>
      <c r="I5413" s="61" t="s">
        <v>1827</v>
      </c>
      <c r="J5413" s="58" t="s">
        <v>1149</v>
      </c>
      <c r="K5413" s="145">
        <v>43773</v>
      </c>
      <c r="W5413" s="304"/>
      <c r="X5413" s="304"/>
      <c r="Y5413" s="304"/>
      <c r="Z5413" s="304"/>
      <c r="AA5413" s="304"/>
      <c r="AG5413" s="296"/>
      <c r="AH5413" s="304">
        <v>30.47</v>
      </c>
      <c r="AI5413" s="297"/>
      <c r="AJ5413" s="298">
        <v>43833</v>
      </c>
      <c r="AK5413" s="297"/>
      <c r="AL5413" s="297"/>
      <c r="AM5413" s="296" t="s">
        <v>49</v>
      </c>
      <c r="AN5413" s="296" t="s">
        <v>284</v>
      </c>
      <c r="AO5413" s="296" t="s">
        <v>50</v>
      </c>
      <c r="AP5413" s="296" t="s">
        <v>376</v>
      </c>
      <c r="AQ5413" s="457" t="s">
        <v>755</v>
      </c>
    </row>
    <row r="5414" spans="1:43" ht="15" customHeight="1">
      <c r="A5414" s="69">
        <v>43769</v>
      </c>
      <c r="B5414" s="144" t="s">
        <v>1828</v>
      </c>
      <c r="C5414" s="21" t="s">
        <v>1829</v>
      </c>
      <c r="D5414" s="71" t="s">
        <v>1830</v>
      </c>
      <c r="E5414" s="32" t="s">
        <v>1831</v>
      </c>
      <c r="F5414" s="24">
        <v>1</v>
      </c>
      <c r="G5414" s="48">
        <v>25</v>
      </c>
      <c r="H5414" s="60">
        <v>25</v>
      </c>
      <c r="I5414" s="61" t="s">
        <v>143</v>
      </c>
      <c r="J5414" s="58" t="s">
        <v>1832</v>
      </c>
      <c r="K5414" s="30">
        <v>43783</v>
      </c>
      <c r="W5414" s="304"/>
      <c r="X5414" s="304"/>
      <c r="Y5414" s="304"/>
      <c r="Z5414" s="304"/>
      <c r="AA5414" s="304"/>
      <c r="AG5414" s="296"/>
      <c r="AH5414" s="304"/>
      <c r="AI5414" s="297"/>
      <c r="AJ5414" s="298">
        <v>43777</v>
      </c>
      <c r="AK5414" s="297"/>
      <c r="AL5414" s="297"/>
      <c r="AM5414" s="296" t="s">
        <v>49</v>
      </c>
      <c r="AN5414" s="296" t="s">
        <v>284</v>
      </c>
      <c r="AO5414" s="296" t="s">
        <v>285</v>
      </c>
      <c r="AP5414" s="296" t="s">
        <v>51</v>
      </c>
      <c r="AQ5414" s="457" t="s">
        <v>755</v>
      </c>
    </row>
    <row r="5415" spans="1:43" ht="15" customHeight="1">
      <c r="A5415" s="69">
        <v>43769</v>
      </c>
      <c r="B5415" s="144" t="s">
        <v>1828</v>
      </c>
      <c r="C5415" s="21" t="s">
        <v>1829</v>
      </c>
      <c r="D5415" s="72" t="s">
        <v>1833</v>
      </c>
      <c r="E5415" s="32" t="s">
        <v>1834</v>
      </c>
      <c r="F5415" s="24">
        <v>33</v>
      </c>
      <c r="G5415" s="48">
        <v>212</v>
      </c>
      <c r="H5415" s="60">
        <v>6996</v>
      </c>
      <c r="I5415" s="61" t="s">
        <v>143</v>
      </c>
      <c r="J5415" s="58" t="s">
        <v>1832</v>
      </c>
      <c r="K5415" s="563">
        <v>43783</v>
      </c>
      <c r="W5415" s="304"/>
      <c r="X5415" s="304"/>
      <c r="Y5415" s="304"/>
      <c r="Z5415" s="304"/>
      <c r="AA5415" s="304"/>
      <c r="AG5415" s="296"/>
      <c r="AH5415" s="304"/>
      <c r="AI5415" s="297"/>
      <c r="AJ5415" s="298">
        <v>43777</v>
      </c>
      <c r="AK5415" s="297">
        <f>6979.4*30.3</f>
        <v>211475.82</v>
      </c>
      <c r="AL5415" s="297">
        <f>(7021-6979.4)*30.3</f>
        <v>1260.4800000000112</v>
      </c>
      <c r="AM5415" s="296" t="s">
        <v>49</v>
      </c>
      <c r="AN5415" s="296" t="s">
        <v>284</v>
      </c>
      <c r="AO5415" s="296" t="s">
        <v>285</v>
      </c>
      <c r="AP5415" s="296" t="s">
        <v>51</v>
      </c>
      <c r="AQ5415" s="457" t="s">
        <v>755</v>
      </c>
    </row>
    <row r="5416" spans="1:43" ht="15" customHeight="1">
      <c r="A5416" s="69">
        <v>43770</v>
      </c>
      <c r="B5416" s="144" t="s">
        <v>1622</v>
      </c>
      <c r="C5416" s="21"/>
      <c r="D5416" s="112" t="s">
        <v>1835</v>
      </c>
      <c r="E5416" s="32" t="s">
        <v>1836</v>
      </c>
      <c r="F5416" s="24">
        <v>1</v>
      </c>
      <c r="G5416" s="74">
        <v>1450</v>
      </c>
      <c r="H5416" s="60">
        <v>1450</v>
      </c>
      <c r="I5416" s="61" t="s">
        <v>247</v>
      </c>
      <c r="J5416" s="50" t="s">
        <v>1636</v>
      </c>
      <c r="K5416" s="296"/>
      <c r="W5416" s="304"/>
      <c r="X5416" s="304"/>
      <c r="Y5416" s="304"/>
      <c r="Z5416" s="304"/>
      <c r="AA5416" s="304"/>
      <c r="AG5416" s="296"/>
      <c r="AH5416" s="304"/>
      <c r="AI5416" s="297"/>
      <c r="AJ5416" s="298">
        <v>43467</v>
      </c>
      <c r="AK5416" s="297">
        <f>1428.33*29.988</f>
        <v>42832.760039999994</v>
      </c>
      <c r="AL5416" s="297">
        <f>(1450-1428.33)*29.988</f>
        <v>649.83996000000218</v>
      </c>
      <c r="AM5416" s="296" t="s">
        <v>49</v>
      </c>
      <c r="AN5416" s="296" t="s">
        <v>284</v>
      </c>
      <c r="AO5416" s="296" t="s">
        <v>285</v>
      </c>
      <c r="AP5416" s="296" t="s">
        <v>51</v>
      </c>
      <c r="AQ5416" s="296" t="s">
        <v>1346</v>
      </c>
    </row>
    <row r="5417" spans="1:43" ht="15" customHeight="1">
      <c r="A5417" s="69">
        <v>43773</v>
      </c>
      <c r="B5417" s="70" t="s">
        <v>1097</v>
      </c>
      <c r="C5417" s="21"/>
      <c r="D5417" s="71" t="s">
        <v>1837</v>
      </c>
      <c r="E5417" s="32" t="s">
        <v>1838</v>
      </c>
      <c r="F5417" s="24">
        <v>1</v>
      </c>
      <c r="G5417" s="48">
        <v>960</v>
      </c>
      <c r="H5417" s="165">
        <v>960</v>
      </c>
      <c r="I5417" s="61" t="s">
        <v>143</v>
      </c>
      <c r="J5417" s="50" t="s">
        <v>262</v>
      </c>
      <c r="K5417" s="29">
        <v>43790</v>
      </c>
      <c r="W5417" s="460">
        <v>43861</v>
      </c>
      <c r="X5417" s="303">
        <v>43787</v>
      </c>
      <c r="Y5417" s="304" t="s">
        <v>1839</v>
      </c>
      <c r="Z5417" s="304">
        <v>28406</v>
      </c>
      <c r="AA5417" s="304"/>
      <c r="AG5417" s="296"/>
      <c r="AH5417" s="304">
        <v>30.465</v>
      </c>
      <c r="AI5417" s="297"/>
      <c r="AJ5417" s="298">
        <v>43774</v>
      </c>
      <c r="AK5417" s="297">
        <f>942.41*30.366</f>
        <v>28617.22206</v>
      </c>
      <c r="AL5417" s="297">
        <f>(960-942.41)*30.366</f>
        <v>534.13794000000098</v>
      </c>
      <c r="AM5417" s="296" t="s">
        <v>49</v>
      </c>
      <c r="AN5417" s="296" t="s">
        <v>284</v>
      </c>
      <c r="AO5417" s="296" t="s">
        <v>50</v>
      </c>
      <c r="AP5417" s="296" t="s">
        <v>51</v>
      </c>
      <c r="AQ5417" s="457" t="s">
        <v>755</v>
      </c>
    </row>
    <row r="5418" spans="1:43" ht="15" customHeight="1">
      <c r="A5418" s="69">
        <v>43774</v>
      </c>
      <c r="B5418" s="70" t="s">
        <v>629</v>
      </c>
      <c r="C5418" s="21" t="s">
        <v>1840</v>
      </c>
      <c r="D5418" s="71" t="s">
        <v>1841</v>
      </c>
      <c r="E5418" s="32" t="s">
        <v>632</v>
      </c>
      <c r="F5418" s="24">
        <v>19</v>
      </c>
      <c r="G5418" s="48">
        <v>173.25</v>
      </c>
      <c r="H5418" s="60">
        <v>3291.75</v>
      </c>
      <c r="I5418" s="61" t="s">
        <v>143</v>
      </c>
      <c r="J5418" s="50" t="s">
        <v>1074</v>
      </c>
      <c r="K5418" s="30">
        <v>43795</v>
      </c>
      <c r="W5418" s="460">
        <v>43835</v>
      </c>
      <c r="X5418" s="303">
        <v>43795</v>
      </c>
      <c r="Y5418" s="304" t="s">
        <v>1842</v>
      </c>
      <c r="Z5418" s="304">
        <v>96758</v>
      </c>
      <c r="AA5418" s="304"/>
      <c r="AG5418" s="296"/>
      <c r="AH5418" s="304"/>
      <c r="AI5418" s="297"/>
      <c r="AJ5418" s="298">
        <v>43840</v>
      </c>
      <c r="AK5418" s="297">
        <v>100398</v>
      </c>
      <c r="AL5418" s="297">
        <v>0</v>
      </c>
      <c r="AM5418" s="296" t="s">
        <v>49</v>
      </c>
      <c r="AN5418" s="296" t="s">
        <v>284</v>
      </c>
      <c r="AO5418" s="296" t="s">
        <v>50</v>
      </c>
      <c r="AP5418" s="296" t="s">
        <v>376</v>
      </c>
      <c r="AQ5418" s="457" t="s">
        <v>755</v>
      </c>
    </row>
    <row r="5419" spans="1:43" ht="15" customHeight="1">
      <c r="A5419" s="69">
        <v>43774</v>
      </c>
      <c r="B5419" s="70" t="s">
        <v>100</v>
      </c>
      <c r="C5419" s="21" t="s">
        <v>1843</v>
      </c>
      <c r="D5419" s="71" t="s">
        <v>1844</v>
      </c>
      <c r="E5419" s="32" t="s">
        <v>1845</v>
      </c>
      <c r="F5419" s="24">
        <v>1</v>
      </c>
      <c r="G5419" s="48">
        <v>355</v>
      </c>
      <c r="H5419" s="60">
        <v>355</v>
      </c>
      <c r="I5419" s="61" t="s">
        <v>104</v>
      </c>
      <c r="J5419" s="50" t="s">
        <v>1042</v>
      </c>
      <c r="K5419" s="29">
        <v>43790</v>
      </c>
      <c r="W5419" s="303">
        <v>43830</v>
      </c>
      <c r="X5419" s="303">
        <v>43780</v>
      </c>
      <c r="Y5419" s="304" t="s">
        <v>1795</v>
      </c>
      <c r="Z5419" s="21"/>
      <c r="AA5419" s="304"/>
      <c r="AG5419" s="296"/>
      <c r="AH5419" s="304"/>
      <c r="AI5419" s="297"/>
      <c r="AJ5419" s="298">
        <v>43845</v>
      </c>
      <c r="AK5419" s="297"/>
      <c r="AL5419" s="297"/>
      <c r="AM5419" s="296" t="s">
        <v>49</v>
      </c>
      <c r="AN5419" s="296" t="s">
        <v>284</v>
      </c>
      <c r="AO5419" s="296" t="s">
        <v>50</v>
      </c>
      <c r="AP5419" s="296" t="s">
        <v>51</v>
      </c>
      <c r="AQ5419" s="457" t="s">
        <v>755</v>
      </c>
    </row>
    <row r="5420" spans="1:43" ht="15" customHeight="1">
      <c r="A5420" s="69">
        <v>43777</v>
      </c>
      <c r="B5420" s="70" t="s">
        <v>118</v>
      </c>
      <c r="C5420" s="21">
        <v>1672019</v>
      </c>
      <c r="D5420" s="21" t="s">
        <v>119</v>
      </c>
      <c r="E5420" s="23" t="s">
        <v>161</v>
      </c>
      <c r="F5420" s="24">
        <v>8</v>
      </c>
      <c r="G5420" s="48">
        <v>738</v>
      </c>
      <c r="H5420" s="26">
        <v>5904</v>
      </c>
      <c r="I5420" s="132" t="s">
        <v>1827</v>
      </c>
      <c r="J5420" s="82" t="s">
        <v>121</v>
      </c>
      <c r="K5420" s="29">
        <v>43795</v>
      </c>
      <c r="W5420" s="304"/>
      <c r="X5420" s="304"/>
      <c r="Y5420" s="304"/>
      <c r="Z5420" s="304"/>
      <c r="AA5420" s="304"/>
      <c r="AG5420" s="296"/>
      <c r="AH5420" s="296"/>
      <c r="AI5420" s="297"/>
      <c r="AJ5420" s="298">
        <v>43840</v>
      </c>
      <c r="AK5420" s="297">
        <f>36993.49*29.927</f>
        <v>1107104.1752299999</v>
      </c>
      <c r="AL5420" s="297">
        <f>(37024-36993.49)*29.927</f>
        <v>913.07277000006093</v>
      </c>
      <c r="AM5420" s="296" t="s">
        <v>49</v>
      </c>
      <c r="AN5420" s="296" t="s">
        <v>284</v>
      </c>
      <c r="AO5420" s="296" t="s">
        <v>50</v>
      </c>
      <c r="AP5420" s="296" t="s">
        <v>51</v>
      </c>
      <c r="AQ5420" s="296" t="s">
        <v>1346</v>
      </c>
    </row>
    <row r="5421" spans="1:43" ht="15" customHeight="1">
      <c r="A5421" s="69">
        <v>43777</v>
      </c>
      <c r="B5421" s="70" t="s">
        <v>118</v>
      </c>
      <c r="C5421" s="21">
        <v>1672019</v>
      </c>
      <c r="D5421" s="21" t="s">
        <v>119</v>
      </c>
      <c r="E5421" s="23" t="s">
        <v>164</v>
      </c>
      <c r="F5421" s="24">
        <v>120</v>
      </c>
      <c r="G5421" s="48">
        <v>105</v>
      </c>
      <c r="H5421" s="26">
        <v>12600</v>
      </c>
      <c r="I5421" s="132" t="s">
        <v>1827</v>
      </c>
      <c r="J5421" s="82" t="s">
        <v>121</v>
      </c>
      <c r="K5421" s="29">
        <v>43795</v>
      </c>
      <c r="W5421" s="304"/>
      <c r="X5421" s="304"/>
      <c r="Y5421" s="304"/>
      <c r="Z5421" s="304"/>
      <c r="AA5421" s="304"/>
      <c r="AG5421" s="296"/>
      <c r="AH5421" s="296"/>
      <c r="AI5421" s="297"/>
      <c r="AJ5421" s="296" t="s">
        <v>1846</v>
      </c>
      <c r="AK5421" s="297">
        <f>10935.35*30.094</f>
        <v>329088.42290000001</v>
      </c>
      <c r="AL5421" s="297">
        <f>(10954-10935.35)</f>
        <v>18.649999999999636</v>
      </c>
      <c r="AM5421" s="296" t="s">
        <v>49</v>
      </c>
      <c r="AN5421" s="296" t="s">
        <v>284</v>
      </c>
      <c r="AO5421" s="296" t="s">
        <v>50</v>
      </c>
      <c r="AP5421" s="296" t="s">
        <v>51</v>
      </c>
      <c r="AQ5421" s="296" t="s">
        <v>1346</v>
      </c>
    </row>
    <row r="5422" spans="1:43" ht="15" customHeight="1">
      <c r="A5422" s="69">
        <v>43777</v>
      </c>
      <c r="B5422" s="70" t="s">
        <v>118</v>
      </c>
      <c r="C5422" s="21">
        <v>1672019</v>
      </c>
      <c r="D5422" s="71" t="s">
        <v>119</v>
      </c>
      <c r="E5422" s="32" t="s">
        <v>1847</v>
      </c>
      <c r="F5422" s="24">
        <v>6</v>
      </c>
      <c r="G5422" s="48">
        <v>335</v>
      </c>
      <c r="H5422" s="26">
        <v>2010</v>
      </c>
      <c r="I5422" s="132" t="s">
        <v>1827</v>
      </c>
      <c r="J5422" s="82" t="s">
        <v>121</v>
      </c>
      <c r="K5422" s="29">
        <v>43795</v>
      </c>
      <c r="W5422" s="304"/>
      <c r="X5422" s="304"/>
      <c r="Y5422" s="304"/>
      <c r="Z5422" s="304"/>
      <c r="AA5422" s="304"/>
      <c r="AG5422" s="296"/>
      <c r="AH5422" s="296"/>
      <c r="AI5422" s="297"/>
      <c r="AJ5422" s="298">
        <v>43840</v>
      </c>
      <c r="AK5422" s="297"/>
      <c r="AL5422" s="297"/>
      <c r="AM5422" s="296" t="s">
        <v>49</v>
      </c>
      <c r="AN5422" s="296" t="s">
        <v>284</v>
      </c>
      <c r="AO5422" s="296" t="s">
        <v>50</v>
      </c>
      <c r="AP5422" s="296" t="s">
        <v>51</v>
      </c>
      <c r="AQ5422" s="296" t="s">
        <v>1346</v>
      </c>
    </row>
    <row r="5423" spans="1:43" ht="15" customHeight="1">
      <c r="A5423" s="69">
        <v>43777</v>
      </c>
      <c r="B5423" s="70" t="s">
        <v>118</v>
      </c>
      <c r="C5423" s="21">
        <v>1672019</v>
      </c>
      <c r="D5423" s="71" t="s">
        <v>119</v>
      </c>
      <c r="E5423" s="32" t="s">
        <v>163</v>
      </c>
      <c r="F5423" s="24">
        <v>10</v>
      </c>
      <c r="G5423" s="48">
        <v>44</v>
      </c>
      <c r="H5423" s="26">
        <v>440</v>
      </c>
      <c r="I5423" s="132" t="s">
        <v>1827</v>
      </c>
      <c r="J5423" s="82" t="s">
        <v>121</v>
      </c>
      <c r="K5423" s="29">
        <v>43795</v>
      </c>
      <c r="W5423" s="304"/>
      <c r="X5423" s="304"/>
      <c r="Y5423" s="304"/>
      <c r="Z5423" s="304"/>
      <c r="AA5423" s="304"/>
      <c r="AG5423" s="296"/>
      <c r="AH5423" s="296"/>
      <c r="AI5423" s="297"/>
      <c r="AJ5423" s="298">
        <v>43840</v>
      </c>
      <c r="AK5423" s="297"/>
      <c r="AL5423" s="297"/>
      <c r="AM5423" s="296" t="s">
        <v>49</v>
      </c>
      <c r="AN5423" s="296" t="s">
        <v>284</v>
      </c>
      <c r="AO5423" s="296" t="s">
        <v>50</v>
      </c>
      <c r="AP5423" s="296" t="s">
        <v>51</v>
      </c>
      <c r="AQ5423" s="296" t="s">
        <v>1346</v>
      </c>
    </row>
    <row r="5424" spans="1:43" ht="15" customHeight="1">
      <c r="A5424" s="69">
        <v>43777</v>
      </c>
      <c r="B5424" s="70" t="s">
        <v>118</v>
      </c>
      <c r="C5424" s="21">
        <v>1672019</v>
      </c>
      <c r="D5424" s="71" t="s">
        <v>119</v>
      </c>
      <c r="E5424" s="32" t="s">
        <v>120</v>
      </c>
      <c r="F5424" s="24">
        <v>56</v>
      </c>
      <c r="G5424" s="48">
        <v>359</v>
      </c>
      <c r="H5424" s="60">
        <v>20104</v>
      </c>
      <c r="I5424" s="132" t="s">
        <v>1827</v>
      </c>
      <c r="J5424" s="82" t="s">
        <v>121</v>
      </c>
      <c r="K5424" s="30">
        <v>43825</v>
      </c>
      <c r="W5424" s="304"/>
      <c r="X5424" s="304"/>
      <c r="Y5424" s="304"/>
      <c r="Z5424" s="304"/>
      <c r="AA5424" s="304"/>
      <c r="AG5424" s="304"/>
      <c r="AH5424" s="297"/>
      <c r="AI5424" s="537"/>
      <c r="AJ5424" s="298">
        <v>43840</v>
      </c>
      <c r="AK5424" s="297"/>
      <c r="AL5424" s="297"/>
      <c r="AM5424" s="296" t="s">
        <v>49</v>
      </c>
      <c r="AN5424" s="296" t="s">
        <v>284</v>
      </c>
      <c r="AO5424" s="296" t="s">
        <v>50</v>
      </c>
      <c r="AP5424" s="296" t="s">
        <v>51</v>
      </c>
      <c r="AQ5424" s="296" t="s">
        <v>1346</v>
      </c>
    </row>
    <row r="5425" spans="1:43" ht="15" customHeight="1">
      <c r="A5425" s="69">
        <v>43777</v>
      </c>
      <c r="B5425" s="70" t="s">
        <v>118</v>
      </c>
      <c r="C5425" s="21">
        <v>1672019</v>
      </c>
      <c r="D5425" s="71" t="s">
        <v>119</v>
      </c>
      <c r="E5425" s="32" t="s">
        <v>162</v>
      </c>
      <c r="F5425" s="24">
        <v>5</v>
      </c>
      <c r="G5425" s="48">
        <v>190</v>
      </c>
      <c r="H5425" s="60">
        <v>950</v>
      </c>
      <c r="I5425" s="132" t="s">
        <v>1827</v>
      </c>
      <c r="J5425" s="82" t="s">
        <v>121</v>
      </c>
      <c r="K5425" s="30">
        <v>43825</v>
      </c>
      <c r="W5425" s="304"/>
      <c r="X5425" s="304"/>
      <c r="Y5425" s="304"/>
      <c r="Z5425" s="304"/>
      <c r="AA5425" s="304"/>
      <c r="AG5425" s="304"/>
      <c r="AH5425" s="297"/>
      <c r="AI5425" s="537"/>
      <c r="AJ5425" s="298">
        <v>43840</v>
      </c>
      <c r="AK5425" s="297"/>
      <c r="AL5425" s="297"/>
      <c r="AM5425" s="296" t="s">
        <v>49</v>
      </c>
      <c r="AN5425" s="296" t="s">
        <v>284</v>
      </c>
      <c r="AO5425" s="296" t="s">
        <v>50</v>
      </c>
      <c r="AP5425" s="296" t="s">
        <v>51</v>
      </c>
      <c r="AQ5425" s="296" t="s">
        <v>1346</v>
      </c>
    </row>
    <row r="5426" spans="1:43" ht="15" customHeight="1">
      <c r="A5426" s="69">
        <v>43777</v>
      </c>
      <c r="B5426" s="70" t="s">
        <v>118</v>
      </c>
      <c r="C5426" s="21">
        <v>1672019</v>
      </c>
      <c r="D5426" s="71" t="s">
        <v>119</v>
      </c>
      <c r="E5426" s="32" t="s">
        <v>1848</v>
      </c>
      <c r="F5426" s="24">
        <v>20</v>
      </c>
      <c r="G5426" s="48">
        <v>485</v>
      </c>
      <c r="H5426" s="60">
        <v>9700</v>
      </c>
      <c r="I5426" s="132" t="s">
        <v>1827</v>
      </c>
      <c r="J5426" s="82" t="s">
        <v>121</v>
      </c>
      <c r="K5426" s="30">
        <v>43825</v>
      </c>
      <c r="W5426" s="304"/>
      <c r="X5426" s="304"/>
      <c r="Y5426" s="304"/>
      <c r="Z5426" s="304"/>
      <c r="AA5426" s="304"/>
      <c r="AG5426" s="304"/>
      <c r="AH5426" s="297"/>
      <c r="AI5426" s="537"/>
      <c r="AJ5426" s="298">
        <v>43850</v>
      </c>
      <c r="AK5426" s="297">
        <f>9981.31*29.889</f>
        <v>298331.37458999996</v>
      </c>
      <c r="AL5426" s="297">
        <f>(10000-9981.31)*29.889</f>
        <v>558.62541000001522</v>
      </c>
      <c r="AM5426" s="296" t="s">
        <v>49</v>
      </c>
      <c r="AN5426" s="296" t="s">
        <v>284</v>
      </c>
      <c r="AO5426" s="296" t="s">
        <v>50</v>
      </c>
      <c r="AP5426" s="296" t="s">
        <v>51</v>
      </c>
      <c r="AQ5426" s="296" t="s">
        <v>1346</v>
      </c>
    </row>
    <row r="5427" spans="1:43" ht="15" customHeight="1">
      <c r="A5427" s="69">
        <v>43777</v>
      </c>
      <c r="B5427" s="70" t="s">
        <v>118</v>
      </c>
      <c r="C5427" s="21">
        <v>1672019</v>
      </c>
      <c r="D5427" s="71" t="s">
        <v>119</v>
      </c>
      <c r="E5427" s="32" t="s">
        <v>151</v>
      </c>
      <c r="F5427" s="24">
        <v>6</v>
      </c>
      <c r="G5427" s="48">
        <v>1045</v>
      </c>
      <c r="H5427" s="60">
        <v>6270</v>
      </c>
      <c r="I5427" s="132" t="s">
        <v>1827</v>
      </c>
      <c r="J5427" s="82" t="s">
        <v>121</v>
      </c>
      <c r="K5427" s="30">
        <v>43825</v>
      </c>
      <c r="W5427" s="304"/>
      <c r="X5427" s="304"/>
      <c r="Y5427" s="304"/>
      <c r="Z5427" s="304"/>
      <c r="AA5427" s="304"/>
      <c r="AG5427" s="304"/>
      <c r="AH5427" s="297"/>
      <c r="AI5427" s="537"/>
      <c r="AJ5427" s="298">
        <v>43840</v>
      </c>
      <c r="AK5427" s="297"/>
      <c r="AL5427" s="297"/>
      <c r="AM5427" s="296" t="s">
        <v>49</v>
      </c>
      <c r="AN5427" s="296" t="s">
        <v>284</v>
      </c>
      <c r="AO5427" s="296" t="s">
        <v>50</v>
      </c>
      <c r="AP5427" s="296" t="s">
        <v>51</v>
      </c>
      <c r="AQ5427" s="296" t="s">
        <v>1346</v>
      </c>
    </row>
    <row r="5428" spans="1:43" ht="15" customHeight="1">
      <c r="A5428" s="69">
        <v>43781</v>
      </c>
      <c r="B5428" s="144" t="s">
        <v>166</v>
      </c>
      <c r="C5428" s="21"/>
      <c r="D5428" s="71" t="s">
        <v>1849</v>
      </c>
      <c r="E5428" s="564" t="s">
        <v>1850</v>
      </c>
      <c r="F5428" s="24">
        <v>3</v>
      </c>
      <c r="G5428" s="48">
        <v>1429</v>
      </c>
      <c r="H5428" s="60">
        <v>4287</v>
      </c>
      <c r="I5428" s="27" t="s">
        <v>170</v>
      </c>
      <c r="J5428" s="58" t="s">
        <v>171</v>
      </c>
      <c r="K5428" s="29">
        <v>43811</v>
      </c>
      <c r="W5428" s="304"/>
      <c r="X5428" s="304"/>
      <c r="Y5428" s="304"/>
      <c r="Z5428" s="304"/>
      <c r="AA5428" s="304"/>
      <c r="AG5428" s="296"/>
      <c r="AH5428" s="304"/>
      <c r="AI5428" s="297"/>
      <c r="AJ5428" s="29">
        <v>43797</v>
      </c>
      <c r="AK5428" s="297"/>
      <c r="AL5428" s="297"/>
      <c r="AM5428" s="296" t="s">
        <v>49</v>
      </c>
      <c r="AN5428" s="296" t="s">
        <v>284</v>
      </c>
      <c r="AO5428" s="296" t="s">
        <v>285</v>
      </c>
      <c r="AP5428" s="296" t="s">
        <v>51</v>
      </c>
      <c r="AQ5428" s="296" t="s">
        <v>1346</v>
      </c>
    </row>
    <row r="5429" spans="1:43" ht="15" customHeight="1">
      <c r="A5429" s="69">
        <v>43781</v>
      </c>
      <c r="B5429" s="144" t="s">
        <v>166</v>
      </c>
      <c r="C5429" s="21"/>
      <c r="D5429" s="71" t="s">
        <v>1849</v>
      </c>
      <c r="E5429" s="32" t="s">
        <v>173</v>
      </c>
      <c r="F5429" s="24">
        <v>3</v>
      </c>
      <c r="G5429" s="48">
        <v>72</v>
      </c>
      <c r="H5429" s="60">
        <v>216</v>
      </c>
      <c r="I5429" s="27" t="s">
        <v>170</v>
      </c>
      <c r="J5429" s="58" t="s">
        <v>171</v>
      </c>
      <c r="K5429" s="29">
        <v>43811</v>
      </c>
      <c r="W5429" s="304"/>
      <c r="X5429" s="304"/>
      <c r="Y5429" s="304"/>
      <c r="Z5429" s="304"/>
      <c r="AA5429" s="304"/>
      <c r="AG5429" s="296"/>
      <c r="AH5429" s="304"/>
      <c r="AI5429" s="297"/>
      <c r="AJ5429" s="29">
        <v>43797</v>
      </c>
      <c r="AK5429" s="297"/>
      <c r="AL5429" s="297"/>
      <c r="AM5429" s="296" t="s">
        <v>49</v>
      </c>
      <c r="AN5429" s="296" t="s">
        <v>284</v>
      </c>
      <c r="AO5429" s="296" t="s">
        <v>285</v>
      </c>
      <c r="AP5429" s="296" t="s">
        <v>51</v>
      </c>
      <c r="AQ5429" s="296" t="s">
        <v>1346</v>
      </c>
    </row>
    <row r="5430" spans="1:43" ht="15" customHeight="1">
      <c r="A5430" s="69">
        <v>43781</v>
      </c>
      <c r="B5430" s="144" t="s">
        <v>166</v>
      </c>
      <c r="C5430" s="21"/>
      <c r="D5430" s="71" t="s">
        <v>1849</v>
      </c>
      <c r="E5430" s="23" t="s">
        <v>176</v>
      </c>
      <c r="F5430" s="130">
        <v>3</v>
      </c>
      <c r="G5430" s="25">
        <v>61</v>
      </c>
      <c r="H5430" s="60">
        <v>183</v>
      </c>
      <c r="I5430" s="27" t="s">
        <v>170</v>
      </c>
      <c r="J5430" s="58" t="s">
        <v>171</v>
      </c>
      <c r="K5430" s="29">
        <v>43811</v>
      </c>
      <c r="W5430" s="304"/>
      <c r="X5430" s="304"/>
      <c r="Y5430" s="304"/>
      <c r="Z5430" s="304"/>
      <c r="AA5430" s="304"/>
      <c r="AG5430" s="296"/>
      <c r="AH5430" s="304"/>
      <c r="AI5430" s="297"/>
      <c r="AJ5430" s="29">
        <v>43797</v>
      </c>
      <c r="AK5430" s="297"/>
      <c r="AL5430" s="297"/>
      <c r="AM5430" s="296" t="s">
        <v>49</v>
      </c>
      <c r="AN5430" s="296" t="s">
        <v>284</v>
      </c>
      <c r="AO5430" s="296" t="s">
        <v>285</v>
      </c>
      <c r="AP5430" s="296" t="s">
        <v>51</v>
      </c>
      <c r="AQ5430" s="296" t="s">
        <v>1346</v>
      </c>
    </row>
    <row r="5431" spans="1:43" ht="15" customHeight="1">
      <c r="A5431" s="69">
        <v>43781</v>
      </c>
      <c r="B5431" s="144" t="s">
        <v>166</v>
      </c>
      <c r="C5431" s="21"/>
      <c r="D5431" s="71" t="s">
        <v>1851</v>
      </c>
      <c r="E5431" s="545" t="s">
        <v>1850</v>
      </c>
      <c r="F5431" s="130">
        <v>1</v>
      </c>
      <c r="G5431" s="25">
        <v>1429</v>
      </c>
      <c r="H5431" s="60">
        <v>1429</v>
      </c>
      <c r="I5431" s="27" t="s">
        <v>170</v>
      </c>
      <c r="J5431" s="58" t="s">
        <v>171</v>
      </c>
      <c r="K5431" s="29">
        <v>43811</v>
      </c>
      <c r="W5431" s="304"/>
      <c r="X5431" s="304"/>
      <c r="Y5431" s="304"/>
      <c r="Z5431" s="304"/>
      <c r="AA5431" s="304"/>
      <c r="AG5431" s="296"/>
      <c r="AH5431" s="304"/>
      <c r="AI5431" s="297"/>
      <c r="AJ5431" s="29">
        <v>43797</v>
      </c>
      <c r="AK5431" s="297"/>
      <c r="AL5431" s="297"/>
      <c r="AM5431" s="296" t="s">
        <v>49</v>
      </c>
      <c r="AN5431" s="296" t="s">
        <v>284</v>
      </c>
      <c r="AO5431" s="296" t="s">
        <v>285</v>
      </c>
      <c r="AP5431" s="296" t="s">
        <v>51</v>
      </c>
      <c r="AQ5431" s="296" t="s">
        <v>1346</v>
      </c>
    </row>
    <row r="5432" spans="1:43" ht="15" customHeight="1">
      <c r="A5432" s="69">
        <v>43781</v>
      </c>
      <c r="B5432" s="144" t="s">
        <v>166</v>
      </c>
      <c r="C5432" s="21"/>
      <c r="D5432" s="71" t="s">
        <v>1851</v>
      </c>
      <c r="E5432" s="23" t="s">
        <v>173</v>
      </c>
      <c r="F5432" s="130">
        <v>1</v>
      </c>
      <c r="G5432" s="25">
        <v>72</v>
      </c>
      <c r="H5432" s="60">
        <v>72</v>
      </c>
      <c r="I5432" s="27" t="s">
        <v>170</v>
      </c>
      <c r="J5432" s="58" t="s">
        <v>171</v>
      </c>
      <c r="K5432" s="29">
        <v>43811</v>
      </c>
      <c r="W5432" s="304"/>
      <c r="X5432" s="304"/>
      <c r="Y5432" s="304"/>
      <c r="Z5432" s="304"/>
      <c r="AA5432" s="304"/>
      <c r="AG5432" s="296"/>
      <c r="AH5432" s="304"/>
      <c r="AI5432" s="297"/>
      <c r="AJ5432" s="29">
        <v>43797</v>
      </c>
      <c r="AK5432" s="297"/>
      <c r="AL5432" s="297"/>
      <c r="AM5432" s="296" t="s">
        <v>49</v>
      </c>
      <c r="AN5432" s="296" t="s">
        <v>284</v>
      </c>
      <c r="AO5432" s="296" t="s">
        <v>285</v>
      </c>
      <c r="AP5432" s="296" t="s">
        <v>51</v>
      </c>
      <c r="AQ5432" s="296" t="s">
        <v>1346</v>
      </c>
    </row>
    <row r="5433" spans="1:43" ht="15" customHeight="1">
      <c r="A5433" s="69">
        <v>43781</v>
      </c>
      <c r="B5433" s="144" t="s">
        <v>166</v>
      </c>
      <c r="C5433" s="21"/>
      <c r="D5433" s="71" t="s">
        <v>1851</v>
      </c>
      <c r="E5433" s="32" t="s">
        <v>176</v>
      </c>
      <c r="F5433" s="24">
        <v>1</v>
      </c>
      <c r="G5433" s="48">
        <v>61</v>
      </c>
      <c r="H5433" s="60">
        <v>61</v>
      </c>
      <c r="I5433" s="27" t="s">
        <v>170</v>
      </c>
      <c r="J5433" s="58" t="s">
        <v>171</v>
      </c>
      <c r="K5433" s="29">
        <v>43811</v>
      </c>
      <c r="W5433" s="304"/>
      <c r="X5433" s="304"/>
      <c r="Y5433" s="304"/>
      <c r="Z5433" s="304"/>
      <c r="AA5433" s="304"/>
      <c r="AG5433" s="296"/>
      <c r="AH5433" s="304"/>
      <c r="AI5433" s="297"/>
      <c r="AJ5433" s="29">
        <v>43797</v>
      </c>
      <c r="AK5433" s="297"/>
      <c r="AL5433" s="297"/>
      <c r="AM5433" s="296" t="s">
        <v>49</v>
      </c>
      <c r="AN5433" s="296" t="s">
        <v>284</v>
      </c>
      <c r="AO5433" s="296" t="s">
        <v>285</v>
      </c>
      <c r="AP5433" s="296" t="s">
        <v>51</v>
      </c>
      <c r="AQ5433" s="296" t="s">
        <v>1346</v>
      </c>
    </row>
    <row r="5434" spans="1:43" ht="15" customHeight="1">
      <c r="A5434" s="69">
        <v>43781</v>
      </c>
      <c r="B5434" s="144" t="s">
        <v>100</v>
      </c>
      <c r="C5434" s="21"/>
      <c r="D5434" s="71" t="s">
        <v>1852</v>
      </c>
      <c r="E5434" s="32" t="s">
        <v>1853</v>
      </c>
      <c r="F5434" s="24">
        <v>1</v>
      </c>
      <c r="G5434" s="48">
        <v>0</v>
      </c>
      <c r="H5434" s="60">
        <v>0</v>
      </c>
      <c r="I5434" s="61" t="s">
        <v>170</v>
      </c>
      <c r="J5434" s="63" t="s">
        <v>1042</v>
      </c>
      <c r="K5434" s="29">
        <v>43790</v>
      </c>
      <c r="W5434" s="52"/>
      <c r="X5434" s="53"/>
      <c r="Y5434" s="53"/>
      <c r="Z5434" s="53"/>
      <c r="AA5434" s="53"/>
      <c r="AG5434" s="54"/>
      <c r="AH5434" s="53">
        <v>30.465</v>
      </c>
      <c r="AI5434" s="55"/>
      <c r="AJ5434" s="68"/>
      <c r="AK5434" s="55"/>
      <c r="AL5434" s="55"/>
      <c r="AM5434" s="296" t="s">
        <v>49</v>
      </c>
      <c r="AN5434" s="54" t="s">
        <v>1606</v>
      </c>
      <c r="AO5434" s="54"/>
      <c r="AP5434" s="54"/>
      <c r="AQ5434" s="57"/>
    </row>
    <row r="5435" spans="1:43" ht="15" customHeight="1">
      <c r="A5435" s="69">
        <v>43781</v>
      </c>
      <c r="B5435" s="144" t="s">
        <v>100</v>
      </c>
      <c r="C5435" s="21"/>
      <c r="D5435" s="71" t="s">
        <v>1852</v>
      </c>
      <c r="E5435" s="32" t="s">
        <v>1854</v>
      </c>
      <c r="F5435" s="24">
        <v>1</v>
      </c>
      <c r="G5435" s="48">
        <v>0</v>
      </c>
      <c r="H5435" s="165">
        <v>0</v>
      </c>
      <c r="I5435" s="61" t="s">
        <v>170</v>
      </c>
      <c r="J5435" s="63" t="s">
        <v>1855</v>
      </c>
      <c r="K5435" s="29">
        <v>43796</v>
      </c>
      <c r="W5435" s="531"/>
      <c r="X5435" s="78"/>
      <c r="Y5435" s="53"/>
      <c r="Z5435" s="53"/>
      <c r="AA5435" s="53"/>
      <c r="AG5435" s="54"/>
      <c r="AH5435" s="53"/>
      <c r="AI5435" s="55"/>
      <c r="AJ5435" s="68"/>
      <c r="AK5435" s="55"/>
      <c r="AL5435" s="55"/>
      <c r="AM5435" s="296" t="s">
        <v>49</v>
      </c>
      <c r="AN5435" s="54" t="s">
        <v>1606</v>
      </c>
      <c r="AO5435" s="54"/>
      <c r="AP5435" s="54"/>
      <c r="AQ5435" s="57"/>
    </row>
    <row r="5436" spans="1:43" ht="15" customHeight="1">
      <c r="A5436" s="69">
        <v>43781</v>
      </c>
      <c r="B5436" s="70" t="s">
        <v>222</v>
      </c>
      <c r="C5436" s="21" t="s">
        <v>1856</v>
      </c>
      <c r="D5436" s="111" t="s">
        <v>1857</v>
      </c>
      <c r="E5436" s="32" t="s">
        <v>1858</v>
      </c>
      <c r="F5436" s="24">
        <v>2</v>
      </c>
      <c r="G5436" s="48">
        <f t="shared" ref="G5436:G5437" si="289">129*1.05</f>
        <v>135.45000000000002</v>
      </c>
      <c r="H5436" s="165">
        <v>270.90000000000003</v>
      </c>
      <c r="I5436" s="61" t="s">
        <v>1827</v>
      </c>
      <c r="J5436" s="50" t="s">
        <v>89</v>
      </c>
      <c r="K5436" s="29">
        <v>43791</v>
      </c>
      <c r="W5436" s="303">
        <v>43830</v>
      </c>
      <c r="X5436" s="303">
        <v>43790</v>
      </c>
      <c r="Y5436" s="304" t="s">
        <v>1859</v>
      </c>
      <c r="Z5436" s="304">
        <v>7485</v>
      </c>
      <c r="AA5436" s="304"/>
      <c r="AG5436" s="296"/>
      <c r="AH5436" s="304">
        <v>30.48</v>
      </c>
      <c r="AI5436" s="297"/>
      <c r="AJ5436" s="29">
        <v>43809</v>
      </c>
      <c r="AK5436" s="297"/>
      <c r="AL5436" s="297"/>
      <c r="AM5436" s="296" t="s">
        <v>49</v>
      </c>
      <c r="AN5436" s="296" t="s">
        <v>284</v>
      </c>
      <c r="AO5436" s="296" t="s">
        <v>50</v>
      </c>
      <c r="AP5436" s="296" t="s">
        <v>376</v>
      </c>
      <c r="AQ5436" s="457" t="s">
        <v>755</v>
      </c>
    </row>
    <row r="5437" spans="1:43" ht="15" customHeight="1">
      <c r="A5437" s="69">
        <v>43781</v>
      </c>
      <c r="B5437" s="70" t="s">
        <v>222</v>
      </c>
      <c r="C5437" s="21" t="s">
        <v>1856</v>
      </c>
      <c r="D5437" s="111" t="s">
        <v>1857</v>
      </c>
      <c r="E5437" s="32" t="s">
        <v>1860</v>
      </c>
      <c r="F5437" s="24">
        <v>2</v>
      </c>
      <c r="G5437" s="48">
        <f t="shared" si="289"/>
        <v>135.45000000000002</v>
      </c>
      <c r="H5437" s="165">
        <v>270.90000000000003</v>
      </c>
      <c r="I5437" s="61" t="s">
        <v>1827</v>
      </c>
      <c r="J5437" s="50" t="s">
        <v>89</v>
      </c>
      <c r="K5437" s="84">
        <v>43805</v>
      </c>
      <c r="W5437" s="304"/>
      <c r="X5437" s="304"/>
      <c r="Y5437" s="304"/>
      <c r="Z5437" s="304"/>
      <c r="AA5437" s="304"/>
      <c r="AG5437" s="304"/>
      <c r="AH5437" s="297"/>
      <c r="AI5437" s="537"/>
      <c r="AJ5437" s="298">
        <v>43838</v>
      </c>
      <c r="AK5437" s="297">
        <v>46486</v>
      </c>
      <c r="AL5437" s="296">
        <v>15</v>
      </c>
      <c r="AM5437" s="296" t="s">
        <v>49</v>
      </c>
      <c r="AN5437" s="296" t="s">
        <v>284</v>
      </c>
      <c r="AO5437" s="296" t="s">
        <v>50</v>
      </c>
      <c r="AP5437" s="296" t="s">
        <v>376</v>
      </c>
      <c r="AQ5437" s="296" t="s">
        <v>1346</v>
      </c>
    </row>
    <row r="5438" spans="1:43" ht="15" customHeight="1">
      <c r="A5438" s="69">
        <v>43781</v>
      </c>
      <c r="B5438" s="70" t="s">
        <v>228</v>
      </c>
      <c r="C5438" s="21" t="s">
        <v>1861</v>
      </c>
      <c r="D5438" s="71" t="s">
        <v>1862</v>
      </c>
      <c r="E5438" s="32" t="s">
        <v>728</v>
      </c>
      <c r="F5438" s="24">
        <v>2</v>
      </c>
      <c r="G5438" s="434">
        <v>336</v>
      </c>
      <c r="H5438" s="165">
        <v>672</v>
      </c>
      <c r="I5438" s="61" t="s">
        <v>170</v>
      </c>
      <c r="J5438" s="50" t="s">
        <v>232</v>
      </c>
      <c r="K5438" s="30">
        <v>43789</v>
      </c>
      <c r="W5438" s="303">
        <v>43830</v>
      </c>
      <c r="X5438" s="303">
        <v>43789</v>
      </c>
      <c r="Y5438" s="304" t="s">
        <v>1863</v>
      </c>
      <c r="Z5438" s="304">
        <v>17425</v>
      </c>
      <c r="AA5438" s="304"/>
      <c r="AG5438" s="296"/>
      <c r="AH5438" s="304"/>
      <c r="AI5438" s="297"/>
      <c r="AJ5438" s="298">
        <v>43801</v>
      </c>
      <c r="AK5438" s="297"/>
      <c r="AL5438" s="297"/>
      <c r="AM5438" s="296" t="s">
        <v>49</v>
      </c>
      <c r="AN5438" s="296" t="s">
        <v>284</v>
      </c>
      <c r="AO5438" s="296" t="s">
        <v>50</v>
      </c>
      <c r="AP5438" s="296" t="s">
        <v>376</v>
      </c>
      <c r="AQ5438" s="457" t="s">
        <v>755</v>
      </c>
    </row>
    <row r="5439" spans="1:43" ht="15" customHeight="1">
      <c r="A5439" s="69">
        <v>43781</v>
      </c>
      <c r="B5439" s="70" t="s">
        <v>228</v>
      </c>
      <c r="C5439" s="21" t="s">
        <v>1861</v>
      </c>
      <c r="D5439" s="71" t="s">
        <v>1862</v>
      </c>
      <c r="E5439" s="32" t="s">
        <v>729</v>
      </c>
      <c r="F5439" s="24">
        <v>2</v>
      </c>
      <c r="G5439" s="48">
        <v>21</v>
      </c>
      <c r="H5439" s="165">
        <v>42</v>
      </c>
      <c r="I5439" s="61" t="s">
        <v>170</v>
      </c>
      <c r="J5439" s="50" t="s">
        <v>232</v>
      </c>
      <c r="K5439" s="30">
        <v>43789</v>
      </c>
      <c r="W5439" s="303">
        <v>43830</v>
      </c>
      <c r="X5439" s="303">
        <v>43789</v>
      </c>
      <c r="Y5439" s="304" t="s">
        <v>1863</v>
      </c>
      <c r="Z5439" s="304"/>
      <c r="AA5439" s="304"/>
      <c r="AG5439" s="296"/>
      <c r="AH5439" s="304"/>
      <c r="AI5439" s="297"/>
      <c r="AJ5439" s="298">
        <v>43801</v>
      </c>
      <c r="AK5439" s="297"/>
      <c r="AL5439" s="297"/>
      <c r="AM5439" s="296" t="s">
        <v>49</v>
      </c>
      <c r="AN5439" s="296" t="s">
        <v>284</v>
      </c>
      <c r="AO5439" s="296" t="s">
        <v>50</v>
      </c>
      <c r="AP5439" s="296" t="s">
        <v>376</v>
      </c>
      <c r="AQ5439" s="457" t="s">
        <v>755</v>
      </c>
    </row>
    <row r="5440" spans="1:43" ht="15" customHeight="1">
      <c r="A5440" s="69">
        <v>43781</v>
      </c>
      <c r="B5440" s="21" t="s">
        <v>228</v>
      </c>
      <c r="C5440" s="21" t="s">
        <v>1861</v>
      </c>
      <c r="D5440" s="71" t="s">
        <v>1862</v>
      </c>
      <c r="E5440" s="32" t="s">
        <v>231</v>
      </c>
      <c r="F5440" s="24">
        <v>58</v>
      </c>
      <c r="G5440" s="48">
        <v>407.4</v>
      </c>
      <c r="H5440" s="165">
        <v>23629.199999999997</v>
      </c>
      <c r="I5440" s="61" t="s">
        <v>170</v>
      </c>
      <c r="J5440" s="50" t="s">
        <v>232</v>
      </c>
      <c r="K5440" s="296"/>
      <c r="W5440" s="304"/>
      <c r="X5440" s="304"/>
      <c r="Y5440" s="304"/>
      <c r="Z5440" s="304"/>
      <c r="AA5440" s="304"/>
      <c r="AG5440" s="304"/>
      <c r="AH5440" s="297"/>
      <c r="AI5440" s="537"/>
      <c r="AJ5440" s="298">
        <v>43864</v>
      </c>
      <c r="AK5440" s="297"/>
      <c r="AL5440" s="296">
        <v>0</v>
      </c>
      <c r="AM5440" s="296" t="s">
        <v>49</v>
      </c>
      <c r="AN5440" s="296" t="s">
        <v>284</v>
      </c>
      <c r="AO5440" s="296" t="s">
        <v>50</v>
      </c>
      <c r="AP5440" s="296" t="s">
        <v>376</v>
      </c>
      <c r="AQ5440" s="296" t="s">
        <v>1346</v>
      </c>
    </row>
    <row r="5441" spans="1:43" ht="15" customHeight="1">
      <c r="A5441" s="397">
        <v>43783</v>
      </c>
      <c r="B5441" s="273" t="s">
        <v>1864</v>
      </c>
      <c r="C5441" s="565"/>
      <c r="D5441" s="184" t="s">
        <v>1865</v>
      </c>
      <c r="E5441" s="185" t="s">
        <v>1866</v>
      </c>
      <c r="F5441" s="186"/>
      <c r="G5441" s="187">
        <v>1838</v>
      </c>
      <c r="H5441" s="566">
        <v>0</v>
      </c>
      <c r="I5441" s="481" t="s">
        <v>170</v>
      </c>
      <c r="J5441" s="400"/>
      <c r="K5441" s="87"/>
      <c r="W5441" s="52"/>
      <c r="X5441" s="53"/>
      <c r="Y5441" s="53"/>
      <c r="Z5441" s="53"/>
      <c r="AA5441" s="53"/>
      <c r="AG5441" s="54"/>
      <c r="AH5441" s="53"/>
      <c r="AI5441" s="55"/>
      <c r="AJ5441" s="68"/>
      <c r="AK5441" s="55"/>
      <c r="AL5441" s="55"/>
      <c r="AM5441" s="296" t="s">
        <v>49</v>
      </c>
      <c r="AN5441" s="54" t="s">
        <v>295</v>
      </c>
      <c r="AO5441" s="54"/>
      <c r="AP5441" s="54"/>
      <c r="AQ5441" s="57"/>
    </row>
    <row r="5442" spans="1:43" ht="15" customHeight="1">
      <c r="A5442" s="397">
        <v>43783</v>
      </c>
      <c r="B5442" s="273" t="s">
        <v>1864</v>
      </c>
      <c r="C5442" s="565"/>
      <c r="D5442" s="184" t="s">
        <v>1865</v>
      </c>
      <c r="E5442" s="185" t="s">
        <v>1586</v>
      </c>
      <c r="F5442" s="186"/>
      <c r="G5442" s="187">
        <v>48</v>
      </c>
      <c r="H5442" s="566">
        <v>0</v>
      </c>
      <c r="I5442" s="481" t="s">
        <v>170</v>
      </c>
      <c r="J5442" s="400"/>
      <c r="K5442" s="87"/>
      <c r="W5442" s="52"/>
      <c r="X5442" s="53"/>
      <c r="Y5442" s="53"/>
      <c r="Z5442" s="53"/>
      <c r="AA5442" s="53"/>
      <c r="AG5442" s="54"/>
      <c r="AH5442" s="53"/>
      <c r="AI5442" s="55"/>
      <c r="AJ5442" s="68"/>
      <c r="AK5442" s="55"/>
      <c r="AL5442" s="55"/>
      <c r="AM5442" s="296" t="s">
        <v>49</v>
      </c>
      <c r="AN5442" s="54" t="s">
        <v>295</v>
      </c>
      <c r="AO5442" s="54"/>
      <c r="AP5442" s="54"/>
      <c r="AQ5442" s="57"/>
    </row>
    <row r="5443" spans="1:43" ht="15" customHeight="1">
      <c r="A5443" s="397">
        <v>43783</v>
      </c>
      <c r="B5443" s="273" t="s">
        <v>1864</v>
      </c>
      <c r="C5443" s="565"/>
      <c r="D5443" s="184" t="s">
        <v>1865</v>
      </c>
      <c r="E5443" s="185" t="s">
        <v>1867</v>
      </c>
      <c r="F5443" s="186"/>
      <c r="G5443" s="187">
        <v>79</v>
      </c>
      <c r="H5443" s="566">
        <v>0</v>
      </c>
      <c r="I5443" s="481" t="s">
        <v>170</v>
      </c>
      <c r="J5443" s="400"/>
      <c r="K5443" s="87"/>
      <c r="W5443" s="52"/>
      <c r="X5443" s="53"/>
      <c r="Y5443" s="53"/>
      <c r="Z5443" s="53"/>
      <c r="AA5443" s="53"/>
      <c r="AG5443" s="54"/>
      <c r="AH5443" s="53"/>
      <c r="AI5443" s="55"/>
      <c r="AJ5443" s="68"/>
      <c r="AK5443" s="55"/>
      <c r="AL5443" s="55"/>
      <c r="AM5443" s="296" t="s">
        <v>49</v>
      </c>
      <c r="AN5443" s="54" t="s">
        <v>295</v>
      </c>
      <c r="AO5443" s="54"/>
      <c r="AP5443" s="54"/>
      <c r="AQ5443" s="57"/>
    </row>
    <row r="5444" spans="1:43" ht="15" customHeight="1">
      <c r="A5444" s="69">
        <v>43783</v>
      </c>
      <c r="B5444" s="70" t="s">
        <v>1097</v>
      </c>
      <c r="C5444" s="92"/>
      <c r="D5444" s="71" t="s">
        <v>1868</v>
      </c>
      <c r="E5444" s="32" t="s">
        <v>1869</v>
      </c>
      <c r="F5444" s="24">
        <v>1</v>
      </c>
      <c r="G5444" s="48">
        <v>498</v>
      </c>
      <c r="H5444" s="60">
        <v>498</v>
      </c>
      <c r="I5444" s="61" t="s">
        <v>143</v>
      </c>
      <c r="J5444" s="50" t="s">
        <v>262</v>
      </c>
      <c r="K5444" s="30">
        <v>43790</v>
      </c>
      <c r="W5444" s="460">
        <v>43861</v>
      </c>
      <c r="X5444" s="303">
        <v>43788</v>
      </c>
      <c r="Y5444" s="304" t="s">
        <v>1870</v>
      </c>
      <c r="Z5444" s="304">
        <v>31250</v>
      </c>
      <c r="AA5444" s="304"/>
      <c r="AG5444" s="296"/>
      <c r="AH5444" s="304">
        <v>30.465</v>
      </c>
      <c r="AI5444" s="297"/>
      <c r="AJ5444" s="29">
        <v>43783</v>
      </c>
      <c r="AK5444" s="297"/>
      <c r="AL5444" s="297"/>
      <c r="AM5444" s="296" t="s">
        <v>49</v>
      </c>
      <c r="AN5444" s="296" t="s">
        <v>284</v>
      </c>
      <c r="AO5444" s="296" t="s">
        <v>50</v>
      </c>
      <c r="AP5444" s="296" t="s">
        <v>51</v>
      </c>
      <c r="AQ5444" s="457" t="s">
        <v>755</v>
      </c>
    </row>
    <row r="5445" spans="1:43" ht="15" customHeight="1">
      <c r="A5445" s="69">
        <v>43783</v>
      </c>
      <c r="B5445" s="70" t="s">
        <v>1097</v>
      </c>
      <c r="C5445" s="92"/>
      <c r="D5445" s="71" t="s">
        <v>1868</v>
      </c>
      <c r="E5445" s="32" t="s">
        <v>1871</v>
      </c>
      <c r="F5445" s="24">
        <v>1</v>
      </c>
      <c r="G5445" s="48">
        <v>31</v>
      </c>
      <c r="H5445" s="60">
        <v>31</v>
      </c>
      <c r="I5445" s="61" t="s">
        <v>143</v>
      </c>
      <c r="J5445" s="50" t="s">
        <v>262</v>
      </c>
      <c r="K5445" s="30">
        <v>43790</v>
      </c>
      <c r="W5445" s="460">
        <v>43861</v>
      </c>
      <c r="X5445" s="303">
        <v>43788</v>
      </c>
      <c r="Y5445" s="304" t="s">
        <v>1870</v>
      </c>
      <c r="Z5445" s="304"/>
      <c r="AA5445" s="567"/>
      <c r="AG5445" s="296"/>
      <c r="AH5445" s="304">
        <v>30.465</v>
      </c>
      <c r="AI5445" s="297"/>
      <c r="AJ5445" s="29">
        <v>43783</v>
      </c>
      <c r="AK5445" s="297"/>
      <c r="AL5445" s="297"/>
      <c r="AM5445" s="296" t="s">
        <v>49</v>
      </c>
      <c r="AN5445" s="296" t="s">
        <v>284</v>
      </c>
      <c r="AO5445" s="296" t="s">
        <v>50</v>
      </c>
      <c r="AP5445" s="296" t="s">
        <v>51</v>
      </c>
      <c r="AQ5445" s="457" t="s">
        <v>755</v>
      </c>
    </row>
    <row r="5446" spans="1:43" ht="15" customHeight="1">
      <c r="A5446" s="397">
        <v>43783</v>
      </c>
      <c r="B5446" s="375" t="s">
        <v>1097</v>
      </c>
      <c r="C5446" s="565"/>
      <c r="D5446" s="184" t="s">
        <v>1868</v>
      </c>
      <c r="E5446" s="185" t="s">
        <v>1872</v>
      </c>
      <c r="F5446" s="186">
        <v>1</v>
      </c>
      <c r="G5446" s="187">
        <v>0</v>
      </c>
      <c r="H5446" s="188">
        <v>0</v>
      </c>
      <c r="I5446" s="481" t="s">
        <v>143</v>
      </c>
      <c r="J5446" s="190" t="s">
        <v>262</v>
      </c>
      <c r="K5446" s="382">
        <v>43790</v>
      </c>
      <c r="W5446" s="52" t="s">
        <v>1626</v>
      </c>
      <c r="X5446" s="199"/>
      <c r="Y5446" s="199"/>
      <c r="Z5446" s="199"/>
      <c r="AA5446" s="199" t="s">
        <v>1626</v>
      </c>
      <c r="AG5446" s="200"/>
      <c r="AH5446" s="200"/>
      <c r="AI5446" s="201"/>
      <c r="AJ5446" s="568">
        <v>43783</v>
      </c>
      <c r="AK5446" s="201"/>
      <c r="AL5446" s="201"/>
      <c r="AM5446" s="200" t="s">
        <v>49</v>
      </c>
      <c r="AN5446" s="296" t="s">
        <v>284</v>
      </c>
      <c r="AO5446" s="200"/>
      <c r="AP5446" s="200"/>
      <c r="AQ5446" s="203"/>
    </row>
    <row r="5447" spans="1:43" ht="15" customHeight="1">
      <c r="A5447" s="69">
        <v>43783</v>
      </c>
      <c r="B5447" s="70" t="s">
        <v>1097</v>
      </c>
      <c r="C5447" s="92"/>
      <c r="D5447" s="71" t="s">
        <v>1868</v>
      </c>
      <c r="E5447" s="32" t="s">
        <v>1873</v>
      </c>
      <c r="F5447" s="24">
        <v>4</v>
      </c>
      <c r="G5447" s="48">
        <v>137</v>
      </c>
      <c r="H5447" s="60">
        <v>548</v>
      </c>
      <c r="I5447" s="61" t="s">
        <v>143</v>
      </c>
      <c r="J5447" s="50" t="s">
        <v>262</v>
      </c>
      <c r="K5447" s="30">
        <v>43790</v>
      </c>
      <c r="W5447" s="460">
        <v>43861</v>
      </c>
      <c r="X5447" s="303">
        <v>43788</v>
      </c>
      <c r="Y5447" s="304" t="s">
        <v>1870</v>
      </c>
      <c r="Z5447" s="304"/>
      <c r="AA5447" s="304"/>
      <c r="AG5447" s="296"/>
      <c r="AH5447" s="304">
        <v>30.465</v>
      </c>
      <c r="AI5447" s="297"/>
      <c r="AJ5447" s="29">
        <v>43783</v>
      </c>
      <c r="AK5447" s="297"/>
      <c r="AL5447" s="297"/>
      <c r="AM5447" s="296" t="s">
        <v>49</v>
      </c>
      <c r="AN5447" s="296" t="s">
        <v>284</v>
      </c>
      <c r="AO5447" s="296" t="s">
        <v>50</v>
      </c>
      <c r="AP5447" s="296" t="s">
        <v>51</v>
      </c>
      <c r="AQ5447" s="457" t="s">
        <v>755</v>
      </c>
    </row>
    <row r="5448" spans="1:43" ht="15" customHeight="1">
      <c r="A5448" s="69">
        <v>43784</v>
      </c>
      <c r="B5448" s="23" t="s">
        <v>405</v>
      </c>
      <c r="C5448" s="21">
        <v>7000151827</v>
      </c>
      <c r="D5448" s="71" t="s">
        <v>1874</v>
      </c>
      <c r="E5448" s="32" t="s">
        <v>518</v>
      </c>
      <c r="F5448" s="24">
        <v>5</v>
      </c>
      <c r="G5448" s="48">
        <v>141.80000000000001</v>
      </c>
      <c r="H5448" s="60">
        <v>709</v>
      </c>
      <c r="I5448" s="61" t="s">
        <v>42</v>
      </c>
      <c r="J5448" s="50" t="s">
        <v>512</v>
      </c>
      <c r="K5448" s="30">
        <v>43790</v>
      </c>
      <c r="W5448" s="460">
        <v>43861</v>
      </c>
      <c r="X5448" s="303">
        <v>43787</v>
      </c>
      <c r="Y5448" s="304" t="s">
        <v>1875</v>
      </c>
      <c r="Z5448" s="304">
        <v>20759</v>
      </c>
      <c r="AA5448" s="304"/>
      <c r="AG5448" s="296"/>
      <c r="AH5448" s="304">
        <v>30.465</v>
      </c>
      <c r="AI5448" s="297"/>
      <c r="AJ5448" s="298">
        <v>43860</v>
      </c>
      <c r="AK5448" s="297">
        <f>2325.38*30.213</f>
        <v>70256.70594</v>
      </c>
      <c r="AL5448" s="297">
        <f>(2352-2325.38)*30.213</f>
        <v>804.27005999999676</v>
      </c>
      <c r="AM5448" s="296" t="s">
        <v>49</v>
      </c>
      <c r="AN5448" s="296" t="s">
        <v>284</v>
      </c>
      <c r="AO5448" s="296" t="s">
        <v>50</v>
      </c>
      <c r="AP5448" s="296" t="s">
        <v>51</v>
      </c>
      <c r="AQ5448" s="457" t="s">
        <v>755</v>
      </c>
    </row>
    <row r="5449" spans="1:43" ht="15" customHeight="1">
      <c r="A5449" s="69">
        <v>43784</v>
      </c>
      <c r="B5449" s="23" t="s">
        <v>405</v>
      </c>
      <c r="C5449" s="21">
        <v>7000151848</v>
      </c>
      <c r="D5449" s="71" t="s">
        <v>1876</v>
      </c>
      <c r="E5449" s="32" t="s">
        <v>1877</v>
      </c>
      <c r="F5449" s="24">
        <v>1</v>
      </c>
      <c r="G5449" s="48">
        <v>75</v>
      </c>
      <c r="H5449" s="60">
        <v>75</v>
      </c>
      <c r="I5449" s="61" t="s">
        <v>42</v>
      </c>
      <c r="J5449" s="50" t="s">
        <v>512</v>
      </c>
      <c r="K5449" s="30">
        <v>43809</v>
      </c>
      <c r="W5449" s="304"/>
      <c r="X5449" s="304"/>
      <c r="Y5449" s="304"/>
      <c r="Z5449" s="304"/>
      <c r="AA5449" s="304"/>
      <c r="AG5449" s="296"/>
      <c r="AH5449" s="296"/>
      <c r="AI5449" s="297"/>
      <c r="AJ5449" s="298">
        <v>43860</v>
      </c>
      <c r="AK5449" s="297"/>
      <c r="AL5449" s="297"/>
      <c r="AM5449" s="296" t="s">
        <v>49</v>
      </c>
      <c r="AN5449" s="296" t="s">
        <v>284</v>
      </c>
      <c r="AO5449" s="296" t="s">
        <v>50</v>
      </c>
      <c r="AP5449" s="296" t="s">
        <v>51</v>
      </c>
      <c r="AQ5449" s="296" t="s">
        <v>1346</v>
      </c>
    </row>
    <row r="5450" spans="1:43" ht="15" customHeight="1">
      <c r="A5450" s="69">
        <v>43787</v>
      </c>
      <c r="B5450" s="70" t="s">
        <v>1097</v>
      </c>
      <c r="C5450" s="21"/>
      <c r="D5450" s="71" t="s">
        <v>1868</v>
      </c>
      <c r="E5450" s="32" t="s">
        <v>1878</v>
      </c>
      <c r="F5450" s="24">
        <v>3</v>
      </c>
      <c r="G5450" s="48">
        <v>72</v>
      </c>
      <c r="H5450" s="60">
        <v>216</v>
      </c>
      <c r="I5450" s="61" t="s">
        <v>143</v>
      </c>
      <c r="J5450" s="50" t="s">
        <v>262</v>
      </c>
      <c r="K5450" s="30">
        <v>43790</v>
      </c>
      <c r="W5450" s="460">
        <v>43861</v>
      </c>
      <c r="X5450" s="303">
        <v>43789</v>
      </c>
      <c r="Y5450" s="304" t="s">
        <v>1879</v>
      </c>
      <c r="Z5450" s="304">
        <v>16787</v>
      </c>
      <c r="AA5450" s="304"/>
      <c r="AG5450" s="296"/>
      <c r="AH5450" s="304">
        <v>30.465</v>
      </c>
      <c r="AI5450" s="297"/>
      <c r="AJ5450" s="29">
        <v>43783</v>
      </c>
      <c r="AK5450" s="297"/>
      <c r="AL5450" s="297"/>
      <c r="AM5450" s="296" t="s">
        <v>49</v>
      </c>
      <c r="AN5450" s="296" t="s">
        <v>284</v>
      </c>
      <c r="AO5450" s="296" t="s">
        <v>50</v>
      </c>
      <c r="AP5450" s="296" t="s">
        <v>51</v>
      </c>
      <c r="AQ5450" s="457" t="s">
        <v>755</v>
      </c>
    </row>
    <row r="5451" spans="1:43" ht="15" customHeight="1">
      <c r="A5451" s="69">
        <v>43787</v>
      </c>
      <c r="B5451" s="70" t="s">
        <v>1097</v>
      </c>
      <c r="C5451" s="21"/>
      <c r="D5451" s="71" t="s">
        <v>1868</v>
      </c>
      <c r="E5451" s="32" t="s">
        <v>407</v>
      </c>
      <c r="F5451" s="24">
        <v>6</v>
      </c>
      <c r="G5451" s="48">
        <v>55</v>
      </c>
      <c r="H5451" s="60">
        <v>330</v>
      </c>
      <c r="I5451" s="61" t="s">
        <v>143</v>
      </c>
      <c r="J5451" s="50" t="s">
        <v>262</v>
      </c>
      <c r="K5451" s="30">
        <v>43790</v>
      </c>
      <c r="W5451" s="460">
        <v>43861</v>
      </c>
      <c r="X5451" s="303">
        <v>43789</v>
      </c>
      <c r="Y5451" s="304" t="s">
        <v>1879</v>
      </c>
      <c r="Z5451" s="304"/>
      <c r="AA5451" s="304"/>
      <c r="AG5451" s="296"/>
      <c r="AH5451" s="304">
        <v>30.465</v>
      </c>
      <c r="AI5451" s="297"/>
      <c r="AJ5451" s="29">
        <v>43783</v>
      </c>
      <c r="AK5451" s="297"/>
      <c r="AL5451" s="297"/>
      <c r="AM5451" s="296" t="s">
        <v>49</v>
      </c>
      <c r="AN5451" s="296" t="s">
        <v>284</v>
      </c>
      <c r="AO5451" s="296" t="s">
        <v>50</v>
      </c>
      <c r="AP5451" s="296" t="s">
        <v>51</v>
      </c>
      <c r="AQ5451" s="457" t="s">
        <v>755</v>
      </c>
    </row>
    <row r="5452" spans="1:43" ht="15" customHeight="1">
      <c r="A5452" s="69">
        <v>43787</v>
      </c>
      <c r="B5452" s="70" t="s">
        <v>1097</v>
      </c>
      <c r="C5452" s="21"/>
      <c r="D5452" s="71" t="s">
        <v>1868</v>
      </c>
      <c r="E5452" s="32" t="s">
        <v>1880</v>
      </c>
      <c r="F5452" s="24">
        <v>1</v>
      </c>
      <c r="G5452" s="48">
        <v>53</v>
      </c>
      <c r="H5452" s="60">
        <v>53</v>
      </c>
      <c r="I5452" s="61" t="s">
        <v>143</v>
      </c>
      <c r="J5452" s="50" t="s">
        <v>262</v>
      </c>
      <c r="K5452" s="30">
        <v>43790</v>
      </c>
      <c r="W5452" s="460">
        <v>43861</v>
      </c>
      <c r="X5452" s="303">
        <v>43789</v>
      </c>
      <c r="Y5452" s="304" t="s">
        <v>1879</v>
      </c>
      <c r="Z5452" s="304"/>
      <c r="AA5452" s="304"/>
      <c r="AG5452" s="296"/>
      <c r="AH5452" s="304">
        <v>30.465</v>
      </c>
      <c r="AI5452" s="297"/>
      <c r="AJ5452" s="29">
        <v>43783</v>
      </c>
      <c r="AK5452" s="297"/>
      <c r="AL5452" s="297"/>
      <c r="AM5452" s="296" t="s">
        <v>49</v>
      </c>
      <c r="AN5452" s="296" t="s">
        <v>284</v>
      </c>
      <c r="AO5452" s="296" t="s">
        <v>50</v>
      </c>
      <c r="AP5452" s="296" t="s">
        <v>51</v>
      </c>
      <c r="AQ5452" s="457" t="s">
        <v>755</v>
      </c>
    </row>
    <row r="5453" spans="1:43" ht="15" customHeight="1">
      <c r="A5453" s="69">
        <v>43788</v>
      </c>
      <c r="B5453" s="70" t="s">
        <v>713</v>
      </c>
      <c r="C5453" s="92"/>
      <c r="D5453" s="71" t="s">
        <v>1881</v>
      </c>
      <c r="E5453" s="32" t="s">
        <v>1882</v>
      </c>
      <c r="F5453" s="24">
        <v>4</v>
      </c>
      <c r="G5453" s="48">
        <v>320</v>
      </c>
      <c r="H5453" s="60">
        <v>1280</v>
      </c>
      <c r="I5453" s="61" t="s">
        <v>1517</v>
      </c>
      <c r="J5453" s="58" t="s">
        <v>1123</v>
      </c>
      <c r="K5453" s="30">
        <v>43804</v>
      </c>
      <c r="W5453" s="304"/>
      <c r="X5453" s="304"/>
      <c r="Y5453" s="304"/>
      <c r="Z5453" s="304"/>
      <c r="AA5453" s="304"/>
      <c r="AG5453" s="296"/>
      <c r="AH5453" s="296"/>
      <c r="AI5453" s="297"/>
      <c r="AJ5453" s="29">
        <v>43790</v>
      </c>
      <c r="AK5453" s="297">
        <f>1288.44*30.465</f>
        <v>39252.3246</v>
      </c>
      <c r="AL5453" s="297">
        <f>16.56*30.465</f>
        <v>504.50039999999996</v>
      </c>
      <c r="AM5453" s="296" t="s">
        <v>49</v>
      </c>
      <c r="AN5453" s="296" t="s">
        <v>284</v>
      </c>
      <c r="AO5453" s="296" t="s">
        <v>50</v>
      </c>
      <c r="AP5453" s="296" t="s">
        <v>51</v>
      </c>
      <c r="AQ5453" s="296" t="s">
        <v>1346</v>
      </c>
    </row>
    <row r="5454" spans="1:43" ht="15" customHeight="1">
      <c r="A5454" s="69">
        <v>43788</v>
      </c>
      <c r="B5454" s="70" t="s">
        <v>713</v>
      </c>
      <c r="C5454" s="92"/>
      <c r="D5454" s="71" t="s">
        <v>1881</v>
      </c>
      <c r="E5454" s="23" t="s">
        <v>1883</v>
      </c>
      <c r="F5454" s="24">
        <v>1</v>
      </c>
      <c r="G5454" s="48">
        <v>25</v>
      </c>
      <c r="H5454" s="60">
        <v>25</v>
      </c>
      <c r="I5454" s="61" t="s">
        <v>1517</v>
      </c>
      <c r="J5454" s="58" t="s">
        <v>1123</v>
      </c>
      <c r="K5454" s="30">
        <v>43804</v>
      </c>
      <c r="W5454" s="304"/>
      <c r="X5454" s="304"/>
      <c r="Y5454" s="304"/>
      <c r="Z5454" s="304"/>
      <c r="AA5454" s="304"/>
      <c r="AG5454" s="296"/>
      <c r="AH5454" s="296"/>
      <c r="AI5454" s="297"/>
      <c r="AJ5454" s="29">
        <v>43790</v>
      </c>
      <c r="AK5454" s="297"/>
      <c r="AL5454" s="297"/>
      <c r="AM5454" s="296" t="s">
        <v>49</v>
      </c>
      <c r="AN5454" s="296" t="s">
        <v>284</v>
      </c>
      <c r="AO5454" s="296" t="s">
        <v>50</v>
      </c>
      <c r="AP5454" s="296" t="s">
        <v>51</v>
      </c>
      <c r="AQ5454" s="296" t="s">
        <v>1346</v>
      </c>
    </row>
    <row r="5455" spans="1:43" ht="15" customHeight="1">
      <c r="A5455" s="69">
        <v>43789</v>
      </c>
      <c r="B5455" s="23" t="s">
        <v>405</v>
      </c>
      <c r="C5455" s="21">
        <v>7000151941</v>
      </c>
      <c r="D5455" s="71" t="s">
        <v>1884</v>
      </c>
      <c r="E5455" s="23" t="s">
        <v>1885</v>
      </c>
      <c r="F5455" s="24">
        <v>2</v>
      </c>
      <c r="G5455" s="48">
        <v>75</v>
      </c>
      <c r="H5455" s="60">
        <v>150</v>
      </c>
      <c r="I5455" s="61" t="s">
        <v>42</v>
      </c>
      <c r="J5455" s="50" t="s">
        <v>512</v>
      </c>
      <c r="K5455" s="30">
        <v>43809</v>
      </c>
      <c r="W5455" s="303">
        <v>43795</v>
      </c>
      <c r="X5455" s="304" t="s">
        <v>1886</v>
      </c>
      <c r="Y5455" s="304" t="s">
        <v>1886</v>
      </c>
      <c r="Z5455" s="304">
        <v>2503</v>
      </c>
      <c r="AA5455" s="303">
        <v>43795</v>
      </c>
      <c r="AG5455" s="296"/>
      <c r="AH5455" s="296"/>
      <c r="AI5455" s="297"/>
      <c r="AJ5455" s="298">
        <v>43860</v>
      </c>
      <c r="AK5455" s="297"/>
      <c r="AL5455" s="297"/>
      <c r="AM5455" s="296" t="s">
        <v>49</v>
      </c>
      <c r="AN5455" s="296" t="s">
        <v>284</v>
      </c>
      <c r="AO5455" s="296" t="s">
        <v>50</v>
      </c>
      <c r="AP5455" s="296" t="s">
        <v>51</v>
      </c>
      <c r="AQ5455" s="296" t="s">
        <v>1346</v>
      </c>
    </row>
    <row r="5456" spans="1:43" ht="15" customHeight="1">
      <c r="A5456" s="69">
        <v>43791</v>
      </c>
      <c r="B5456" s="144" t="s">
        <v>166</v>
      </c>
      <c r="C5456" s="128"/>
      <c r="D5456" s="70" t="s">
        <v>1887</v>
      </c>
      <c r="E5456" s="23" t="s">
        <v>1888</v>
      </c>
      <c r="F5456" s="419">
        <v>1</v>
      </c>
      <c r="G5456" s="25">
        <v>1218</v>
      </c>
      <c r="H5456" s="60">
        <v>1218</v>
      </c>
      <c r="I5456" s="61" t="s">
        <v>170</v>
      </c>
      <c r="J5456" s="58" t="s">
        <v>171</v>
      </c>
      <c r="K5456" s="29">
        <v>43811</v>
      </c>
      <c r="W5456" s="304"/>
      <c r="X5456" s="304"/>
      <c r="Y5456" s="304"/>
      <c r="Z5456" s="304"/>
      <c r="AA5456" s="304"/>
      <c r="AG5456" s="296"/>
      <c r="AH5456" s="296"/>
      <c r="AI5456" s="297"/>
      <c r="AJ5456" s="29">
        <v>43797</v>
      </c>
      <c r="AK5456" s="297"/>
      <c r="AL5456" s="297"/>
      <c r="AM5456" s="296" t="s">
        <v>49</v>
      </c>
      <c r="AN5456" s="296" t="s">
        <v>284</v>
      </c>
      <c r="AO5456" s="296" t="s">
        <v>285</v>
      </c>
      <c r="AP5456" s="296" t="s">
        <v>51</v>
      </c>
      <c r="AQ5456" s="296" t="s">
        <v>1346</v>
      </c>
    </row>
    <row r="5457" spans="1:43" ht="15" customHeight="1">
      <c r="A5457" s="69">
        <v>43791</v>
      </c>
      <c r="B5457" s="144" t="s">
        <v>166</v>
      </c>
      <c r="C5457" s="128"/>
      <c r="D5457" s="70" t="s">
        <v>1887</v>
      </c>
      <c r="E5457" s="23" t="s">
        <v>176</v>
      </c>
      <c r="F5457" s="130">
        <v>1</v>
      </c>
      <c r="G5457" s="25">
        <v>61</v>
      </c>
      <c r="H5457" s="60">
        <v>61</v>
      </c>
      <c r="I5457" s="61" t="s">
        <v>170</v>
      </c>
      <c r="J5457" s="58" t="s">
        <v>171</v>
      </c>
      <c r="K5457" s="29">
        <v>43811</v>
      </c>
      <c r="W5457" s="304"/>
      <c r="X5457" s="304"/>
      <c r="Y5457" s="304"/>
      <c r="Z5457" s="304"/>
      <c r="AA5457" s="304"/>
      <c r="AG5457" s="296"/>
      <c r="AH5457" s="296"/>
      <c r="AI5457" s="297"/>
      <c r="AJ5457" s="537" t="s">
        <v>1889</v>
      </c>
      <c r="AK5457" s="297"/>
      <c r="AL5457" s="297"/>
      <c r="AM5457" s="296" t="s">
        <v>49</v>
      </c>
      <c r="AN5457" s="296" t="s">
        <v>284</v>
      </c>
      <c r="AO5457" s="296" t="s">
        <v>285</v>
      </c>
      <c r="AP5457" s="296" t="s">
        <v>51</v>
      </c>
      <c r="AQ5457" s="296" t="s">
        <v>1346</v>
      </c>
    </row>
    <row r="5458" spans="1:43" ht="15" customHeight="1">
      <c r="A5458" s="69">
        <v>43792</v>
      </c>
      <c r="B5458" s="70" t="s">
        <v>619</v>
      </c>
      <c r="C5458" s="70"/>
      <c r="D5458" s="70" t="s">
        <v>1890</v>
      </c>
      <c r="E5458" s="23" t="s">
        <v>1891</v>
      </c>
      <c r="F5458" s="429">
        <v>1</v>
      </c>
      <c r="G5458" s="25">
        <v>1417.5</v>
      </c>
      <c r="H5458" s="26">
        <v>1417.5</v>
      </c>
      <c r="I5458" s="27" t="s">
        <v>42</v>
      </c>
      <c r="J5458" s="58" t="s">
        <v>89</v>
      </c>
      <c r="K5458" s="29">
        <v>43805</v>
      </c>
      <c r="W5458" s="304"/>
      <c r="X5458" s="304"/>
      <c r="Y5458" s="304"/>
      <c r="Z5458" s="304"/>
      <c r="AA5458" s="304"/>
      <c r="AG5458" s="296"/>
      <c r="AH5458" s="296"/>
      <c r="AI5458" s="297"/>
      <c r="AJ5458" s="29">
        <v>43829</v>
      </c>
      <c r="AK5458" s="297">
        <v>43191</v>
      </c>
      <c r="AL5458" s="297">
        <v>0</v>
      </c>
      <c r="AM5458" s="296" t="s">
        <v>49</v>
      </c>
      <c r="AN5458" s="296" t="s">
        <v>284</v>
      </c>
      <c r="AO5458" s="296" t="s">
        <v>50</v>
      </c>
      <c r="AP5458" s="296" t="s">
        <v>376</v>
      </c>
      <c r="AQ5458" s="296" t="s">
        <v>1346</v>
      </c>
    </row>
    <row r="5459" spans="1:43" ht="15" customHeight="1">
      <c r="A5459" s="69">
        <v>43792</v>
      </c>
      <c r="B5459" s="23" t="s">
        <v>405</v>
      </c>
      <c r="C5459" s="70">
        <v>7000152002</v>
      </c>
      <c r="D5459" s="70" t="s">
        <v>1892</v>
      </c>
      <c r="E5459" s="23" t="s">
        <v>480</v>
      </c>
      <c r="F5459" s="130">
        <v>4</v>
      </c>
      <c r="G5459" s="25">
        <v>137</v>
      </c>
      <c r="H5459" s="60">
        <v>548</v>
      </c>
      <c r="I5459" s="61" t="s">
        <v>42</v>
      </c>
      <c r="J5459" s="50" t="s">
        <v>512</v>
      </c>
      <c r="K5459" s="30">
        <v>43809</v>
      </c>
      <c r="W5459" s="304"/>
      <c r="X5459" s="304"/>
      <c r="Y5459" s="304"/>
      <c r="Z5459" s="304"/>
      <c r="AA5459" s="304"/>
      <c r="AG5459" s="296"/>
      <c r="AH5459" s="296"/>
      <c r="AI5459" s="297"/>
      <c r="AJ5459" s="298">
        <v>43860</v>
      </c>
      <c r="AK5459" s="297"/>
      <c r="AL5459" s="297"/>
      <c r="AM5459" s="296" t="s">
        <v>49</v>
      </c>
      <c r="AN5459" s="296" t="s">
        <v>284</v>
      </c>
      <c r="AO5459" s="296" t="s">
        <v>50</v>
      </c>
      <c r="AP5459" s="296" t="s">
        <v>51</v>
      </c>
      <c r="AQ5459" s="296" t="s">
        <v>1346</v>
      </c>
    </row>
    <row r="5460" spans="1:43" ht="15" customHeight="1">
      <c r="A5460" s="69">
        <v>43792</v>
      </c>
      <c r="B5460" s="23" t="s">
        <v>405</v>
      </c>
      <c r="C5460" s="70">
        <v>7000152002</v>
      </c>
      <c r="D5460" s="70" t="s">
        <v>1892</v>
      </c>
      <c r="E5460" s="23" t="s">
        <v>556</v>
      </c>
      <c r="F5460" s="130">
        <v>2</v>
      </c>
      <c r="G5460" s="25">
        <v>161</v>
      </c>
      <c r="H5460" s="60">
        <v>322</v>
      </c>
      <c r="I5460" s="61" t="s">
        <v>42</v>
      </c>
      <c r="J5460" s="50" t="s">
        <v>512</v>
      </c>
      <c r="K5460" s="30">
        <v>43809</v>
      </c>
      <c r="W5460" s="304"/>
      <c r="X5460" s="304"/>
      <c r="Y5460" s="304"/>
      <c r="Z5460" s="304"/>
      <c r="AA5460" s="304"/>
      <c r="AG5460" s="296"/>
      <c r="AH5460" s="296"/>
      <c r="AI5460" s="297"/>
      <c r="AJ5460" s="298">
        <v>43860</v>
      </c>
      <c r="AK5460" s="297"/>
      <c r="AL5460" s="297"/>
      <c r="AM5460" s="296" t="s">
        <v>49</v>
      </c>
      <c r="AN5460" s="296" t="s">
        <v>284</v>
      </c>
      <c r="AO5460" s="296" t="s">
        <v>50</v>
      </c>
      <c r="AP5460" s="296" t="s">
        <v>51</v>
      </c>
      <c r="AQ5460" s="296" t="s">
        <v>1346</v>
      </c>
    </row>
    <row r="5461" spans="1:43" ht="15" customHeight="1">
      <c r="A5461" s="69">
        <v>43793</v>
      </c>
      <c r="B5461" s="70" t="s">
        <v>228</v>
      </c>
      <c r="C5461" s="128"/>
      <c r="D5461" s="129" t="s">
        <v>1893</v>
      </c>
      <c r="E5461" s="23" t="s">
        <v>1894</v>
      </c>
      <c r="F5461" s="130">
        <v>1</v>
      </c>
      <c r="G5461" s="25">
        <v>525</v>
      </c>
      <c r="H5461" s="60">
        <v>525</v>
      </c>
      <c r="I5461" s="61" t="s">
        <v>170</v>
      </c>
      <c r="J5461" s="50" t="s">
        <v>89</v>
      </c>
      <c r="K5461" s="29">
        <v>43805</v>
      </c>
      <c r="W5461" s="304"/>
      <c r="X5461" s="304"/>
      <c r="Y5461" s="304"/>
      <c r="Z5461" s="304"/>
      <c r="AA5461" s="304"/>
      <c r="AG5461" s="296"/>
      <c r="AH5461" s="296"/>
      <c r="AI5461" s="297"/>
      <c r="AJ5461" s="298">
        <v>43837</v>
      </c>
      <c r="AK5461" s="297">
        <v>37761</v>
      </c>
      <c r="AL5461" s="297">
        <v>30</v>
      </c>
      <c r="AM5461" s="296" t="s">
        <v>49</v>
      </c>
      <c r="AN5461" s="296" t="s">
        <v>284</v>
      </c>
      <c r="AO5461" s="296" t="s">
        <v>50</v>
      </c>
      <c r="AP5461" s="296" t="s">
        <v>376</v>
      </c>
      <c r="AQ5461" s="296" t="s">
        <v>1346</v>
      </c>
    </row>
    <row r="5462" spans="1:43" ht="15" customHeight="1">
      <c r="A5462" s="69">
        <v>43794</v>
      </c>
      <c r="B5462" s="70" t="s">
        <v>76</v>
      </c>
      <c r="C5462" s="451">
        <v>877</v>
      </c>
      <c r="D5462" s="451" t="s">
        <v>1895</v>
      </c>
      <c r="E5462" s="23" t="s">
        <v>428</v>
      </c>
      <c r="F5462" s="137">
        <v>3</v>
      </c>
      <c r="G5462" s="25">
        <v>133</v>
      </c>
      <c r="H5462" s="60">
        <v>399</v>
      </c>
      <c r="I5462" s="61" t="s">
        <v>42</v>
      </c>
      <c r="J5462" s="58" t="s">
        <v>1896</v>
      </c>
      <c r="K5462" s="30">
        <v>43816</v>
      </c>
      <c r="W5462" s="304"/>
      <c r="X5462" s="304"/>
      <c r="Y5462" s="304"/>
      <c r="Z5462" s="304"/>
      <c r="AA5462" s="304"/>
      <c r="AG5462" s="296"/>
      <c r="AH5462" s="296"/>
      <c r="AI5462" s="297"/>
      <c r="AJ5462" s="298">
        <v>43850</v>
      </c>
      <c r="AK5462" s="297">
        <f>1308*29.884</f>
        <v>39088.271999999997</v>
      </c>
      <c r="AL5462" s="297">
        <v>0</v>
      </c>
      <c r="AM5462" s="296" t="s">
        <v>49</v>
      </c>
      <c r="AN5462" s="296" t="s">
        <v>284</v>
      </c>
      <c r="AO5462" s="296" t="s">
        <v>50</v>
      </c>
      <c r="AP5462" s="296" t="s">
        <v>51</v>
      </c>
      <c r="AQ5462" s="296" t="s">
        <v>1346</v>
      </c>
    </row>
    <row r="5463" spans="1:43" ht="15" customHeight="1">
      <c r="A5463" s="69">
        <v>43794</v>
      </c>
      <c r="B5463" s="70" t="s">
        <v>76</v>
      </c>
      <c r="C5463" s="290">
        <v>877</v>
      </c>
      <c r="D5463" s="569" t="s">
        <v>1895</v>
      </c>
      <c r="E5463" s="23" t="s">
        <v>1897</v>
      </c>
      <c r="F5463" s="24">
        <v>4</v>
      </c>
      <c r="G5463" s="48">
        <v>200</v>
      </c>
      <c r="H5463" s="60">
        <v>800</v>
      </c>
      <c r="I5463" s="61" t="s">
        <v>42</v>
      </c>
      <c r="J5463" s="58" t="s">
        <v>1896</v>
      </c>
      <c r="K5463" s="30">
        <v>43816</v>
      </c>
      <c r="W5463" s="304"/>
      <c r="X5463" s="304"/>
      <c r="Y5463" s="304"/>
      <c r="Z5463" s="304"/>
      <c r="AA5463" s="304"/>
      <c r="AG5463" s="296"/>
      <c r="AH5463" s="296"/>
      <c r="AI5463" s="297"/>
      <c r="AJ5463" s="298">
        <v>43850</v>
      </c>
      <c r="AK5463" s="297"/>
      <c r="AL5463" s="297"/>
      <c r="AM5463" s="296" t="s">
        <v>49</v>
      </c>
      <c r="AN5463" s="296" t="s">
        <v>284</v>
      </c>
      <c r="AO5463" s="296" t="s">
        <v>50</v>
      </c>
      <c r="AP5463" s="296" t="s">
        <v>51</v>
      </c>
      <c r="AQ5463" s="296" t="s">
        <v>1346</v>
      </c>
    </row>
    <row r="5464" spans="1:43" ht="15" customHeight="1">
      <c r="A5464" s="69">
        <v>43794</v>
      </c>
      <c r="B5464" s="70" t="s">
        <v>76</v>
      </c>
      <c r="C5464" s="451">
        <v>877</v>
      </c>
      <c r="D5464" s="451" t="s">
        <v>1895</v>
      </c>
      <c r="E5464" s="23" t="s">
        <v>644</v>
      </c>
      <c r="F5464" s="130">
        <v>4</v>
      </c>
      <c r="G5464" s="25">
        <v>0</v>
      </c>
      <c r="H5464" s="60">
        <v>0</v>
      </c>
      <c r="I5464" s="61" t="s">
        <v>42</v>
      </c>
      <c r="J5464" s="58" t="s">
        <v>1896</v>
      </c>
      <c r="K5464" s="30">
        <v>43816</v>
      </c>
      <c r="W5464" s="304"/>
      <c r="X5464" s="304"/>
      <c r="Y5464" s="304"/>
      <c r="Z5464" s="304"/>
      <c r="AA5464" s="304"/>
      <c r="AG5464" s="296"/>
      <c r="AH5464" s="296"/>
      <c r="AI5464" s="297"/>
      <c r="AJ5464" s="298">
        <v>43850</v>
      </c>
      <c r="AK5464" s="297"/>
      <c r="AL5464" s="297"/>
      <c r="AM5464" s="296" t="s">
        <v>49</v>
      </c>
      <c r="AN5464" s="296" t="s">
        <v>284</v>
      </c>
      <c r="AO5464" s="296" t="s">
        <v>50</v>
      </c>
      <c r="AP5464" s="296" t="s">
        <v>51</v>
      </c>
      <c r="AQ5464" s="296" t="s">
        <v>1346</v>
      </c>
    </row>
    <row r="5465" spans="1:43" ht="15" customHeight="1">
      <c r="A5465" s="69">
        <v>43794</v>
      </c>
      <c r="B5465" s="70" t="s">
        <v>76</v>
      </c>
      <c r="C5465" s="451">
        <v>877</v>
      </c>
      <c r="D5465" s="451" t="s">
        <v>1895</v>
      </c>
      <c r="E5465" s="23" t="s">
        <v>645</v>
      </c>
      <c r="F5465" s="130">
        <v>4</v>
      </c>
      <c r="G5465" s="25">
        <v>0</v>
      </c>
      <c r="H5465" s="60">
        <v>0</v>
      </c>
      <c r="I5465" s="61" t="s">
        <v>42</v>
      </c>
      <c r="J5465" s="58" t="s">
        <v>1896</v>
      </c>
      <c r="K5465" s="30">
        <v>43816</v>
      </c>
      <c r="W5465" s="304"/>
      <c r="X5465" s="304"/>
      <c r="Y5465" s="304"/>
      <c r="Z5465" s="304"/>
      <c r="AA5465" s="304"/>
      <c r="AG5465" s="296"/>
      <c r="AH5465" s="296"/>
      <c r="AI5465" s="297"/>
      <c r="AJ5465" s="298">
        <v>43850</v>
      </c>
      <c r="AK5465" s="297"/>
      <c r="AL5465" s="297"/>
      <c r="AM5465" s="296" t="s">
        <v>49</v>
      </c>
      <c r="AN5465" s="296" t="s">
        <v>284</v>
      </c>
      <c r="AO5465" s="296" t="s">
        <v>50</v>
      </c>
      <c r="AP5465" s="296" t="s">
        <v>51</v>
      </c>
      <c r="AQ5465" s="296" t="s">
        <v>1346</v>
      </c>
    </row>
    <row r="5466" spans="1:43" ht="15" customHeight="1">
      <c r="A5466" s="69">
        <v>43794</v>
      </c>
      <c r="B5466" s="70" t="s">
        <v>76</v>
      </c>
      <c r="C5466" s="290">
        <v>877</v>
      </c>
      <c r="D5466" s="569" t="s">
        <v>1895</v>
      </c>
      <c r="E5466" s="23" t="s">
        <v>646</v>
      </c>
      <c r="F5466" s="24">
        <v>4</v>
      </c>
      <c r="G5466" s="48">
        <v>0</v>
      </c>
      <c r="H5466" s="60">
        <v>0</v>
      </c>
      <c r="I5466" s="61" t="s">
        <v>42</v>
      </c>
      <c r="J5466" s="58" t="s">
        <v>1896</v>
      </c>
      <c r="K5466" s="30">
        <v>43816</v>
      </c>
      <c r="W5466" s="304"/>
      <c r="X5466" s="304"/>
      <c r="Y5466" s="304"/>
      <c r="Z5466" s="304"/>
      <c r="AA5466" s="304"/>
      <c r="AG5466" s="296"/>
      <c r="AH5466" s="296"/>
      <c r="AI5466" s="297"/>
      <c r="AJ5466" s="298">
        <v>43850</v>
      </c>
      <c r="AK5466" s="297"/>
      <c r="AL5466" s="297"/>
      <c r="AM5466" s="296" t="s">
        <v>49</v>
      </c>
      <c r="AN5466" s="296" t="s">
        <v>284</v>
      </c>
      <c r="AO5466" s="296" t="s">
        <v>50</v>
      </c>
      <c r="AP5466" s="296" t="s">
        <v>51</v>
      </c>
      <c r="AQ5466" s="296" t="s">
        <v>1346</v>
      </c>
    </row>
    <row r="5467" spans="1:43" ht="15" customHeight="1">
      <c r="A5467" s="69">
        <v>43794</v>
      </c>
      <c r="B5467" s="70" t="s">
        <v>76</v>
      </c>
      <c r="C5467" s="290">
        <v>877</v>
      </c>
      <c r="D5467" s="569" t="s">
        <v>1895</v>
      </c>
      <c r="E5467" s="23" t="s">
        <v>647</v>
      </c>
      <c r="F5467" s="24">
        <v>4</v>
      </c>
      <c r="G5467" s="48">
        <v>0</v>
      </c>
      <c r="H5467" s="60">
        <v>0</v>
      </c>
      <c r="I5467" s="61" t="s">
        <v>42</v>
      </c>
      <c r="J5467" s="58" t="s">
        <v>1896</v>
      </c>
      <c r="K5467" s="30">
        <v>43816</v>
      </c>
      <c r="W5467" s="304"/>
      <c r="X5467" s="304"/>
      <c r="Y5467" s="304"/>
      <c r="Z5467" s="304"/>
      <c r="AA5467" s="304"/>
      <c r="AG5467" s="296"/>
      <c r="AH5467" s="296"/>
      <c r="AI5467" s="297"/>
      <c r="AJ5467" s="298">
        <v>43850</v>
      </c>
      <c r="AK5467" s="297"/>
      <c r="AL5467" s="297"/>
      <c r="AM5467" s="296" t="s">
        <v>49</v>
      </c>
      <c r="AN5467" s="296" t="s">
        <v>284</v>
      </c>
      <c r="AO5467" s="296" t="s">
        <v>50</v>
      </c>
      <c r="AP5467" s="296" t="s">
        <v>51</v>
      </c>
      <c r="AQ5467" s="296" t="s">
        <v>1346</v>
      </c>
    </row>
    <row r="5468" spans="1:43" ht="15" customHeight="1">
      <c r="A5468" s="69">
        <v>43794</v>
      </c>
      <c r="B5468" s="70" t="s">
        <v>76</v>
      </c>
      <c r="C5468" s="290">
        <v>877</v>
      </c>
      <c r="D5468" s="569" t="s">
        <v>1895</v>
      </c>
      <c r="E5468" s="32" t="s">
        <v>650</v>
      </c>
      <c r="F5468" s="24">
        <v>4</v>
      </c>
      <c r="G5468" s="48">
        <v>0</v>
      </c>
      <c r="H5468" s="60">
        <v>0</v>
      </c>
      <c r="I5468" s="61" t="s">
        <v>42</v>
      </c>
      <c r="J5468" s="58" t="s">
        <v>1896</v>
      </c>
      <c r="K5468" s="30">
        <v>43816</v>
      </c>
      <c r="W5468" s="304"/>
      <c r="X5468" s="304"/>
      <c r="Y5468" s="304"/>
      <c r="Z5468" s="304"/>
      <c r="AA5468" s="304"/>
      <c r="AG5468" s="296"/>
      <c r="AH5468" s="296"/>
      <c r="AI5468" s="297"/>
      <c r="AJ5468" s="298">
        <v>43850</v>
      </c>
      <c r="AK5468" s="297"/>
      <c r="AL5468" s="297"/>
      <c r="AM5468" s="296" t="s">
        <v>49</v>
      </c>
      <c r="AN5468" s="296" t="s">
        <v>284</v>
      </c>
      <c r="AO5468" s="296" t="s">
        <v>50</v>
      </c>
      <c r="AP5468" s="296" t="s">
        <v>51</v>
      </c>
      <c r="AQ5468" s="296" t="s">
        <v>1346</v>
      </c>
    </row>
    <row r="5469" spans="1:43" ht="15" customHeight="1">
      <c r="A5469" s="69">
        <v>43794</v>
      </c>
      <c r="B5469" s="70" t="s">
        <v>76</v>
      </c>
      <c r="C5469" s="290">
        <v>877</v>
      </c>
      <c r="D5469" s="569" t="s">
        <v>1895</v>
      </c>
      <c r="E5469" s="32" t="s">
        <v>1898</v>
      </c>
      <c r="F5469" s="24">
        <v>4</v>
      </c>
      <c r="G5469" s="48">
        <v>2</v>
      </c>
      <c r="H5469" s="60">
        <v>8</v>
      </c>
      <c r="I5469" s="61" t="s">
        <v>42</v>
      </c>
      <c r="J5469" s="58" t="s">
        <v>1896</v>
      </c>
      <c r="K5469" s="30">
        <v>43816</v>
      </c>
      <c r="W5469" s="304"/>
      <c r="X5469" s="304"/>
      <c r="Y5469" s="304"/>
      <c r="Z5469" s="304"/>
      <c r="AA5469" s="304"/>
      <c r="AG5469" s="296"/>
      <c r="AH5469" s="296"/>
      <c r="AI5469" s="297"/>
      <c r="AJ5469" s="298">
        <v>43850</v>
      </c>
      <c r="AK5469" s="297"/>
      <c r="AL5469" s="297"/>
      <c r="AM5469" s="296" t="s">
        <v>49</v>
      </c>
      <c r="AN5469" s="296" t="s">
        <v>284</v>
      </c>
      <c r="AO5469" s="296" t="s">
        <v>50</v>
      </c>
      <c r="AP5469" s="296" t="s">
        <v>51</v>
      </c>
      <c r="AQ5469" s="296" t="s">
        <v>1346</v>
      </c>
    </row>
    <row r="5470" spans="1:43" ht="15" customHeight="1">
      <c r="A5470" s="69">
        <v>43794</v>
      </c>
      <c r="B5470" s="70" t="s">
        <v>76</v>
      </c>
      <c r="C5470" s="290">
        <v>877</v>
      </c>
      <c r="D5470" s="569" t="s">
        <v>1895</v>
      </c>
      <c r="E5470" s="23" t="s">
        <v>1899</v>
      </c>
      <c r="F5470" s="24">
        <v>4</v>
      </c>
      <c r="G5470" s="48">
        <v>6</v>
      </c>
      <c r="H5470" s="60">
        <v>24</v>
      </c>
      <c r="I5470" s="61" t="s">
        <v>42</v>
      </c>
      <c r="J5470" s="58" t="s">
        <v>1896</v>
      </c>
      <c r="K5470" s="30">
        <v>43816</v>
      </c>
      <c r="W5470" s="304"/>
      <c r="X5470" s="304"/>
      <c r="Y5470" s="304"/>
      <c r="Z5470" s="304"/>
      <c r="AA5470" s="304"/>
      <c r="AG5470" s="296"/>
      <c r="AH5470" s="296"/>
      <c r="AI5470" s="297"/>
      <c r="AJ5470" s="298">
        <v>43850</v>
      </c>
      <c r="AK5470" s="297"/>
      <c r="AL5470" s="297"/>
      <c r="AM5470" s="296" t="s">
        <v>49</v>
      </c>
      <c r="AN5470" s="296" t="s">
        <v>284</v>
      </c>
      <c r="AO5470" s="296" t="s">
        <v>50</v>
      </c>
      <c r="AP5470" s="296" t="s">
        <v>51</v>
      </c>
      <c r="AQ5470" s="296" t="s">
        <v>1346</v>
      </c>
    </row>
    <row r="5471" spans="1:43" ht="15" customHeight="1">
      <c r="A5471" s="69">
        <v>43794</v>
      </c>
      <c r="B5471" s="147" t="s">
        <v>100</v>
      </c>
      <c r="C5471" s="21" t="s">
        <v>1900</v>
      </c>
      <c r="D5471" s="71" t="s">
        <v>1901</v>
      </c>
      <c r="E5471" s="23" t="s">
        <v>1561</v>
      </c>
      <c r="F5471" s="24">
        <v>8</v>
      </c>
      <c r="G5471" s="434">
        <v>71</v>
      </c>
      <c r="H5471" s="60">
        <v>568</v>
      </c>
      <c r="I5471" s="61" t="s">
        <v>170</v>
      </c>
      <c r="J5471" s="50" t="s">
        <v>532</v>
      </c>
      <c r="K5471" s="29">
        <v>43829</v>
      </c>
      <c r="W5471" s="304"/>
      <c r="X5471" s="304"/>
      <c r="Y5471" s="304"/>
      <c r="Z5471" s="304"/>
      <c r="AA5471" s="304"/>
      <c r="AG5471" s="296"/>
      <c r="AH5471" s="296"/>
      <c r="AI5471" s="297"/>
      <c r="AJ5471" s="298">
        <v>43885</v>
      </c>
      <c r="AK5471" s="297"/>
      <c r="AL5471" s="297"/>
      <c r="AM5471" s="296" t="s">
        <v>49</v>
      </c>
      <c r="AN5471" s="296" t="s">
        <v>284</v>
      </c>
      <c r="AO5471" s="296" t="s">
        <v>285</v>
      </c>
      <c r="AP5471" s="296" t="s">
        <v>51</v>
      </c>
      <c r="AQ5471" s="296" t="s">
        <v>1346</v>
      </c>
    </row>
    <row r="5472" spans="1:43" ht="15" customHeight="1">
      <c r="A5472" s="69">
        <v>43794</v>
      </c>
      <c r="B5472" s="147" t="s">
        <v>100</v>
      </c>
      <c r="C5472" s="21" t="s">
        <v>1900</v>
      </c>
      <c r="D5472" s="71" t="s">
        <v>1901</v>
      </c>
      <c r="E5472" s="23" t="s">
        <v>1562</v>
      </c>
      <c r="F5472" s="24">
        <v>8</v>
      </c>
      <c r="G5472" s="434">
        <v>60</v>
      </c>
      <c r="H5472" s="60">
        <v>480</v>
      </c>
      <c r="I5472" s="61" t="s">
        <v>170</v>
      </c>
      <c r="J5472" s="50" t="s">
        <v>532</v>
      </c>
      <c r="K5472" s="29">
        <v>43829</v>
      </c>
      <c r="W5472" s="304"/>
      <c r="X5472" s="304"/>
      <c r="Y5472" s="304"/>
      <c r="Z5472" s="304"/>
      <c r="AA5472" s="304"/>
      <c r="AG5472" s="296"/>
      <c r="AH5472" s="296"/>
      <c r="AI5472" s="297"/>
      <c r="AJ5472" s="298">
        <v>43885</v>
      </c>
      <c r="AK5472" s="297"/>
      <c r="AL5472" s="297"/>
      <c r="AM5472" s="296" t="s">
        <v>49</v>
      </c>
      <c r="AN5472" s="296" t="s">
        <v>284</v>
      </c>
      <c r="AO5472" s="296" t="s">
        <v>285</v>
      </c>
      <c r="AP5472" s="296" t="s">
        <v>51</v>
      </c>
      <c r="AQ5472" s="296" t="s">
        <v>1346</v>
      </c>
    </row>
    <row r="5473" spans="1:43" ht="15" customHeight="1">
      <c r="A5473" s="69">
        <v>43794</v>
      </c>
      <c r="B5473" s="144" t="s">
        <v>100</v>
      </c>
      <c r="C5473" s="21" t="s">
        <v>1900</v>
      </c>
      <c r="D5473" s="71" t="s">
        <v>1901</v>
      </c>
      <c r="E5473" s="23" t="s">
        <v>1565</v>
      </c>
      <c r="F5473" s="24">
        <v>8</v>
      </c>
      <c r="G5473" s="434">
        <v>47</v>
      </c>
      <c r="H5473" s="60">
        <v>376</v>
      </c>
      <c r="I5473" s="61" t="s">
        <v>170</v>
      </c>
      <c r="J5473" s="50" t="s">
        <v>532</v>
      </c>
      <c r="K5473" s="29">
        <v>43829</v>
      </c>
      <c r="W5473" s="304"/>
      <c r="X5473" s="304"/>
      <c r="Y5473" s="304"/>
      <c r="Z5473" s="304"/>
      <c r="AA5473" s="304"/>
      <c r="AG5473" s="296"/>
      <c r="AH5473" s="296"/>
      <c r="AI5473" s="297"/>
      <c r="AJ5473" s="298">
        <v>43885</v>
      </c>
      <c r="AK5473" s="297"/>
      <c r="AL5473" s="297"/>
      <c r="AM5473" s="296" t="s">
        <v>49</v>
      </c>
      <c r="AN5473" s="296" t="s">
        <v>284</v>
      </c>
      <c r="AO5473" s="296" t="s">
        <v>285</v>
      </c>
      <c r="AP5473" s="296" t="s">
        <v>51</v>
      </c>
      <c r="AQ5473" s="296" t="s">
        <v>1346</v>
      </c>
    </row>
    <row r="5474" spans="1:43" ht="15" customHeight="1">
      <c r="A5474" s="69">
        <v>43794</v>
      </c>
      <c r="B5474" s="144" t="s">
        <v>100</v>
      </c>
      <c r="C5474" s="21" t="s">
        <v>1900</v>
      </c>
      <c r="D5474" s="71" t="s">
        <v>1901</v>
      </c>
      <c r="E5474" s="23" t="s">
        <v>1902</v>
      </c>
      <c r="F5474" s="24">
        <v>1</v>
      </c>
      <c r="G5474" s="48">
        <v>8</v>
      </c>
      <c r="H5474" s="60">
        <v>8</v>
      </c>
      <c r="I5474" s="61" t="s">
        <v>170</v>
      </c>
      <c r="J5474" s="50" t="s">
        <v>532</v>
      </c>
      <c r="K5474" s="29">
        <v>43829</v>
      </c>
      <c r="W5474" s="304"/>
      <c r="X5474" s="304"/>
      <c r="Y5474" s="304"/>
      <c r="Z5474" s="304"/>
      <c r="AA5474" s="304"/>
      <c r="AG5474" s="296"/>
      <c r="AH5474" s="296"/>
      <c r="AI5474" s="297"/>
      <c r="AJ5474" s="298">
        <v>43885</v>
      </c>
      <c r="AK5474" s="297"/>
      <c r="AL5474" s="297"/>
      <c r="AM5474" s="296" t="s">
        <v>49</v>
      </c>
      <c r="AN5474" s="296" t="s">
        <v>284</v>
      </c>
      <c r="AO5474" s="296" t="s">
        <v>285</v>
      </c>
      <c r="AP5474" s="296" t="s">
        <v>51</v>
      </c>
      <c r="AQ5474" s="296" t="s">
        <v>1346</v>
      </c>
    </row>
    <row r="5475" spans="1:43" ht="15" customHeight="1">
      <c r="A5475" s="69">
        <v>43795</v>
      </c>
      <c r="B5475" s="144" t="s">
        <v>100</v>
      </c>
      <c r="C5475" s="21" t="s">
        <v>1900</v>
      </c>
      <c r="D5475" s="71" t="s">
        <v>1901</v>
      </c>
      <c r="E5475" s="23" t="s">
        <v>1903</v>
      </c>
      <c r="F5475" s="24">
        <v>8</v>
      </c>
      <c r="G5475" s="434">
        <v>669</v>
      </c>
      <c r="H5475" s="60">
        <v>5352</v>
      </c>
      <c r="I5475" s="61" t="s">
        <v>170</v>
      </c>
      <c r="J5475" s="50" t="s">
        <v>532</v>
      </c>
      <c r="K5475" s="29">
        <v>43829</v>
      </c>
      <c r="W5475" s="304"/>
      <c r="X5475" s="304"/>
      <c r="Y5475" s="304"/>
      <c r="Z5475" s="304"/>
      <c r="AA5475" s="304"/>
      <c r="AG5475" s="296"/>
      <c r="AH5475" s="296"/>
      <c r="AI5475" s="297"/>
      <c r="AJ5475" s="298">
        <v>43885</v>
      </c>
      <c r="AK5475" s="297"/>
      <c r="AL5475" s="297"/>
      <c r="AM5475" s="296" t="s">
        <v>49</v>
      </c>
      <c r="AN5475" s="296" t="s">
        <v>284</v>
      </c>
      <c r="AO5475" s="296" t="s">
        <v>285</v>
      </c>
      <c r="AP5475" s="296" t="s">
        <v>51</v>
      </c>
      <c r="AQ5475" s="296" t="s">
        <v>1346</v>
      </c>
    </row>
    <row r="5476" spans="1:43" ht="15" customHeight="1">
      <c r="A5476" s="69">
        <v>43797</v>
      </c>
      <c r="B5476" s="70" t="s">
        <v>377</v>
      </c>
      <c r="C5476" s="92"/>
      <c r="D5476" s="71" t="s">
        <v>1904</v>
      </c>
      <c r="E5476" s="23" t="s">
        <v>1905</v>
      </c>
      <c r="F5476" s="24">
        <v>1</v>
      </c>
      <c r="G5476" s="48">
        <v>20</v>
      </c>
      <c r="H5476" s="60">
        <v>20</v>
      </c>
      <c r="I5476" s="61" t="s">
        <v>143</v>
      </c>
      <c r="J5476" s="58" t="s">
        <v>1107</v>
      </c>
      <c r="K5476" s="30">
        <v>43797</v>
      </c>
      <c r="W5476" s="304"/>
      <c r="X5476" s="304"/>
      <c r="Y5476" s="304"/>
      <c r="Z5476" s="304"/>
      <c r="AA5476" s="304"/>
      <c r="AG5476" s="296"/>
      <c r="AH5476" s="296"/>
      <c r="AI5476" s="297"/>
      <c r="AJ5476" s="298">
        <v>43837</v>
      </c>
      <c r="AK5476" s="297"/>
      <c r="AL5476" s="297"/>
      <c r="AM5476" s="296" t="s">
        <v>49</v>
      </c>
      <c r="AN5476" s="296" t="s">
        <v>284</v>
      </c>
      <c r="AO5476" s="296" t="s">
        <v>50</v>
      </c>
      <c r="AP5476" s="296" t="s">
        <v>51</v>
      </c>
      <c r="AQ5476" s="296" t="s">
        <v>1346</v>
      </c>
    </row>
    <row r="5477" spans="1:43" ht="15" customHeight="1">
      <c r="A5477" s="110">
        <v>43798</v>
      </c>
      <c r="B5477" s="21" t="s">
        <v>118</v>
      </c>
      <c r="C5477" s="92"/>
      <c r="D5477" s="21" t="s">
        <v>1906</v>
      </c>
      <c r="E5477" s="23" t="s">
        <v>1831</v>
      </c>
      <c r="F5477" s="24">
        <v>1</v>
      </c>
      <c r="G5477" s="48">
        <v>25</v>
      </c>
      <c r="H5477" s="81">
        <v>25</v>
      </c>
      <c r="I5477" s="61" t="s">
        <v>86</v>
      </c>
      <c r="J5477" s="50" t="s">
        <v>512</v>
      </c>
      <c r="K5477" s="298">
        <v>43803</v>
      </c>
      <c r="W5477" s="304"/>
      <c r="X5477" s="304"/>
      <c r="Y5477" s="304"/>
      <c r="Z5477" s="304"/>
      <c r="AA5477" s="304"/>
      <c r="AG5477" s="296"/>
      <c r="AH5477" s="296"/>
      <c r="AI5477" s="297"/>
      <c r="AJ5477" s="537"/>
      <c r="AK5477" s="297"/>
      <c r="AL5477" s="297"/>
      <c r="AM5477" s="296"/>
      <c r="AN5477" s="296" t="s">
        <v>284</v>
      </c>
      <c r="AO5477" s="296" t="s">
        <v>50</v>
      </c>
      <c r="AP5477" s="296" t="s">
        <v>51</v>
      </c>
      <c r="AQ5477" s="296" t="s">
        <v>1346</v>
      </c>
    </row>
    <row r="5478" spans="1:43" ht="15" customHeight="1">
      <c r="A5478" s="110">
        <v>43798</v>
      </c>
      <c r="B5478" s="21" t="s">
        <v>118</v>
      </c>
      <c r="C5478" s="92"/>
      <c r="D5478" s="71" t="s">
        <v>1906</v>
      </c>
      <c r="E5478" s="23" t="s">
        <v>1907</v>
      </c>
      <c r="F5478" s="24">
        <v>1</v>
      </c>
      <c r="G5478" s="48">
        <v>15</v>
      </c>
      <c r="H5478" s="81">
        <v>15</v>
      </c>
      <c r="I5478" s="61" t="s">
        <v>86</v>
      </c>
      <c r="J5478" s="50" t="s">
        <v>512</v>
      </c>
      <c r="K5478" s="298">
        <v>43803</v>
      </c>
      <c r="W5478" s="304"/>
      <c r="X5478" s="304"/>
      <c r="Y5478" s="304"/>
      <c r="Z5478" s="304"/>
      <c r="AA5478" s="304"/>
      <c r="AG5478" s="296"/>
      <c r="AH5478" s="296"/>
      <c r="AI5478" s="297"/>
      <c r="AJ5478" s="537"/>
      <c r="AK5478" s="297"/>
      <c r="AL5478" s="297"/>
      <c r="AM5478" s="296"/>
      <c r="AN5478" s="296" t="s">
        <v>284</v>
      </c>
      <c r="AO5478" s="296" t="s">
        <v>50</v>
      </c>
      <c r="AP5478" s="296" t="s">
        <v>51</v>
      </c>
      <c r="AQ5478" s="296" t="s">
        <v>1346</v>
      </c>
    </row>
    <row r="5479" spans="1:43" ht="15" customHeight="1">
      <c r="A5479" s="69">
        <v>43801</v>
      </c>
      <c r="B5479" s="70" t="s">
        <v>249</v>
      </c>
      <c r="C5479" s="92"/>
      <c r="D5479" s="71" t="s">
        <v>1908</v>
      </c>
      <c r="E5479" s="23" t="s">
        <v>1909</v>
      </c>
      <c r="F5479" s="24">
        <v>1</v>
      </c>
      <c r="G5479" s="48">
        <v>0</v>
      </c>
      <c r="H5479" s="60">
        <v>0</v>
      </c>
      <c r="I5479" s="61" t="s">
        <v>170</v>
      </c>
      <c r="J5479" s="63"/>
      <c r="K5479" s="29">
        <v>43801</v>
      </c>
      <c r="W5479" s="52"/>
      <c r="X5479" s="53"/>
      <c r="Y5479" s="53"/>
      <c r="Z5479" s="53"/>
      <c r="AA5479" s="53"/>
      <c r="AG5479" s="54"/>
      <c r="AH5479" s="54"/>
      <c r="AI5479" s="55"/>
      <c r="AJ5479" s="68"/>
      <c r="AK5479" s="55"/>
      <c r="AL5479" s="55"/>
      <c r="AM5479" s="54"/>
      <c r="AN5479" s="54" t="s">
        <v>1606</v>
      </c>
      <c r="AO5479" s="54"/>
      <c r="AP5479" s="54"/>
      <c r="AQ5479" s="57"/>
    </row>
    <row r="5480" spans="1:43" ht="15" customHeight="1">
      <c r="A5480" s="69">
        <v>43801</v>
      </c>
      <c r="B5480" s="70" t="s">
        <v>249</v>
      </c>
      <c r="C5480" s="128"/>
      <c r="D5480" s="71" t="s">
        <v>1908</v>
      </c>
      <c r="E5480" s="570" t="s">
        <v>1910</v>
      </c>
      <c r="F5480" s="130">
        <v>1</v>
      </c>
      <c r="G5480" s="25">
        <v>0</v>
      </c>
      <c r="H5480" s="60">
        <v>0</v>
      </c>
      <c r="I5480" s="61" t="s">
        <v>170</v>
      </c>
      <c r="J5480" s="63"/>
      <c r="K5480" s="29">
        <v>43801</v>
      </c>
      <c r="W5480" s="52"/>
      <c r="X5480" s="53"/>
      <c r="Y5480" s="53"/>
      <c r="Z5480" s="53"/>
      <c r="AA5480" s="53"/>
      <c r="AG5480" s="54"/>
      <c r="AH5480" s="54"/>
      <c r="AI5480" s="55"/>
      <c r="AJ5480" s="68"/>
      <c r="AK5480" s="55"/>
      <c r="AL5480" s="55"/>
      <c r="AM5480" s="54"/>
      <c r="AN5480" s="54" t="s">
        <v>1606</v>
      </c>
      <c r="AO5480" s="54"/>
      <c r="AP5480" s="57"/>
      <c r="AQ5480" s="57"/>
    </row>
    <row r="5481" spans="1:43" ht="15" customHeight="1">
      <c r="A5481" s="69">
        <v>43801</v>
      </c>
      <c r="B5481" s="70" t="s">
        <v>249</v>
      </c>
      <c r="C5481" s="92"/>
      <c r="D5481" s="71" t="s">
        <v>1908</v>
      </c>
      <c r="E5481" s="570" t="s">
        <v>1911</v>
      </c>
      <c r="F5481" s="24">
        <v>1</v>
      </c>
      <c r="G5481" s="48">
        <v>0</v>
      </c>
      <c r="H5481" s="468">
        <v>0</v>
      </c>
      <c r="I5481" s="61" t="s">
        <v>170</v>
      </c>
      <c r="J5481" s="63"/>
      <c r="K5481" s="29">
        <v>43801</v>
      </c>
      <c r="W5481" s="52"/>
      <c r="X5481" s="53"/>
      <c r="Y5481" s="53"/>
      <c r="Z5481" s="53"/>
      <c r="AA5481" s="53"/>
      <c r="AG5481" s="54"/>
      <c r="AH5481" s="54"/>
      <c r="AI5481" s="55"/>
      <c r="AJ5481" s="68"/>
      <c r="AK5481" s="55"/>
      <c r="AL5481" s="55"/>
      <c r="AM5481" s="54"/>
      <c r="AN5481" s="54" t="s">
        <v>1606</v>
      </c>
      <c r="AO5481" s="54"/>
      <c r="AP5481" s="54"/>
      <c r="AQ5481" s="57"/>
    </row>
    <row r="5482" spans="1:43" ht="15" customHeight="1">
      <c r="A5482" s="69">
        <v>43801</v>
      </c>
      <c r="B5482" s="70" t="s">
        <v>249</v>
      </c>
      <c r="C5482" s="92"/>
      <c r="D5482" s="71" t="s">
        <v>1908</v>
      </c>
      <c r="E5482" s="23" t="s">
        <v>1912</v>
      </c>
      <c r="F5482" s="24">
        <v>1</v>
      </c>
      <c r="G5482" s="48">
        <v>0</v>
      </c>
      <c r="H5482" s="468">
        <v>0</v>
      </c>
      <c r="I5482" s="61" t="s">
        <v>170</v>
      </c>
      <c r="J5482" s="63"/>
      <c r="K5482" s="29">
        <v>43801</v>
      </c>
      <c r="W5482" s="52"/>
      <c r="X5482" s="53"/>
      <c r="Y5482" s="53"/>
      <c r="Z5482" s="53"/>
      <c r="AA5482" s="53"/>
      <c r="AG5482" s="54"/>
      <c r="AH5482" s="54"/>
      <c r="AI5482" s="55"/>
      <c r="AJ5482" s="68"/>
      <c r="AK5482" s="55"/>
      <c r="AL5482" s="55"/>
      <c r="AM5482" s="54"/>
      <c r="AN5482" s="54" t="s">
        <v>1606</v>
      </c>
      <c r="AO5482" s="54"/>
      <c r="AP5482" s="54"/>
      <c r="AQ5482" s="57"/>
    </row>
    <row r="5483" spans="1:43" ht="15" customHeight="1">
      <c r="A5483" s="69">
        <v>43802</v>
      </c>
      <c r="B5483" s="32" t="s">
        <v>76</v>
      </c>
      <c r="C5483" s="21">
        <v>913</v>
      </c>
      <c r="D5483" s="32" t="s">
        <v>180</v>
      </c>
      <c r="E5483" s="23" t="s">
        <v>587</v>
      </c>
      <c r="F5483" s="130">
        <v>1</v>
      </c>
      <c r="G5483" s="25">
        <v>77</v>
      </c>
      <c r="H5483" s="26">
        <v>77</v>
      </c>
      <c r="I5483" s="61" t="s">
        <v>42</v>
      </c>
      <c r="J5483" s="58" t="s">
        <v>1896</v>
      </c>
      <c r="K5483" s="30">
        <v>43816</v>
      </c>
      <c r="W5483" s="304"/>
      <c r="X5483" s="304"/>
      <c r="Y5483" s="304"/>
      <c r="Z5483" s="304"/>
      <c r="AA5483" s="304"/>
      <c r="AG5483" s="296"/>
      <c r="AH5483" s="296"/>
      <c r="AI5483" s="297"/>
      <c r="AJ5483" s="298">
        <v>43850</v>
      </c>
      <c r="AK5483" s="297"/>
      <c r="AL5483" s="297"/>
      <c r="AM5483" s="296" t="s">
        <v>49</v>
      </c>
      <c r="AN5483" s="296" t="s">
        <v>284</v>
      </c>
      <c r="AO5483" s="296" t="s">
        <v>50</v>
      </c>
      <c r="AP5483" s="234" t="s">
        <v>51</v>
      </c>
      <c r="AQ5483" s="296" t="s">
        <v>1346</v>
      </c>
    </row>
    <row r="5484" spans="1:43" ht="15" customHeight="1">
      <c r="A5484" s="69">
        <v>43804</v>
      </c>
      <c r="B5484" s="70" t="s">
        <v>222</v>
      </c>
      <c r="C5484" s="21" t="s">
        <v>1913</v>
      </c>
      <c r="D5484" s="111" t="s">
        <v>1914</v>
      </c>
      <c r="E5484" s="23" t="s">
        <v>1915</v>
      </c>
      <c r="F5484" s="24">
        <v>4</v>
      </c>
      <c r="G5484" s="48">
        <f>31*1.05</f>
        <v>32.550000000000004</v>
      </c>
      <c r="H5484" s="60">
        <v>130.20000000000002</v>
      </c>
      <c r="I5484" s="132" t="s">
        <v>86</v>
      </c>
      <c r="J5484" s="50" t="s">
        <v>89</v>
      </c>
      <c r="K5484" s="30">
        <v>43818</v>
      </c>
      <c r="W5484" s="304"/>
      <c r="X5484" s="304"/>
      <c r="Y5484" s="304"/>
      <c r="Z5484" s="304"/>
      <c r="AA5484" s="304"/>
      <c r="AG5484" s="296"/>
      <c r="AH5484" s="297"/>
      <c r="AI5484" s="537"/>
      <c r="AJ5484" s="298">
        <v>43838</v>
      </c>
      <c r="AK5484" s="297"/>
      <c r="AL5484" s="296"/>
      <c r="AM5484" s="296" t="s">
        <v>49</v>
      </c>
      <c r="AN5484" s="296" t="s">
        <v>284</v>
      </c>
      <c r="AO5484" s="296" t="s">
        <v>50</v>
      </c>
      <c r="AP5484" s="234" t="s">
        <v>376</v>
      </c>
      <c r="AQ5484" s="296" t="s">
        <v>1346</v>
      </c>
    </row>
    <row r="5485" spans="1:43" ht="15" customHeight="1">
      <c r="A5485" s="69">
        <v>43804</v>
      </c>
      <c r="B5485" s="70" t="s">
        <v>222</v>
      </c>
      <c r="C5485" s="21" t="s">
        <v>1913</v>
      </c>
      <c r="D5485" s="111" t="s">
        <v>1914</v>
      </c>
      <c r="E5485" s="23" t="s">
        <v>1916</v>
      </c>
      <c r="F5485" s="24">
        <v>2</v>
      </c>
      <c r="G5485" s="48">
        <v>519.75</v>
      </c>
      <c r="H5485" s="60">
        <v>1039.5</v>
      </c>
      <c r="I5485" s="132" t="s">
        <v>86</v>
      </c>
      <c r="J5485" s="50" t="s">
        <v>89</v>
      </c>
      <c r="K5485" s="29">
        <v>43822</v>
      </c>
      <c r="W5485" s="304"/>
      <c r="X5485" s="304"/>
      <c r="Y5485" s="304"/>
      <c r="Z5485" s="304"/>
      <c r="AA5485" s="304"/>
      <c r="AG5485" s="296"/>
      <c r="AH5485" s="297"/>
      <c r="AI5485" s="537"/>
      <c r="AJ5485" s="298">
        <v>43838</v>
      </c>
      <c r="AK5485" s="297"/>
      <c r="AL5485" s="296"/>
      <c r="AM5485" s="296" t="s">
        <v>49</v>
      </c>
      <c r="AN5485" s="296" t="s">
        <v>284</v>
      </c>
      <c r="AO5485" s="296" t="s">
        <v>50</v>
      </c>
      <c r="AP5485" s="234" t="s">
        <v>376</v>
      </c>
      <c r="AQ5485" s="296" t="s">
        <v>1346</v>
      </c>
    </row>
    <row r="5486" spans="1:43" ht="15" customHeight="1">
      <c r="A5486" s="69">
        <v>43810</v>
      </c>
      <c r="B5486" s="70" t="s">
        <v>1454</v>
      </c>
      <c r="C5486" s="21" t="s">
        <v>1455</v>
      </c>
      <c r="D5486" s="71" t="s">
        <v>1917</v>
      </c>
      <c r="E5486" s="23" t="s">
        <v>1918</v>
      </c>
      <c r="F5486" s="24">
        <v>1</v>
      </c>
      <c r="G5486" s="48">
        <v>667.37400000000002</v>
      </c>
      <c r="H5486" s="26">
        <v>667.37</v>
      </c>
      <c r="I5486" s="61" t="s">
        <v>143</v>
      </c>
      <c r="J5486" s="63" t="s">
        <v>1458</v>
      </c>
      <c r="K5486" s="296"/>
      <c r="W5486" s="52"/>
      <c r="X5486" s="53"/>
      <c r="Y5486" s="53"/>
      <c r="Z5486" s="53"/>
      <c r="AA5486" s="53"/>
      <c r="AG5486" s="54"/>
      <c r="AH5486" s="54"/>
      <c r="AI5486" s="55"/>
      <c r="AJ5486" s="68"/>
      <c r="AK5486" s="55"/>
      <c r="AL5486" s="55"/>
      <c r="AM5486" s="296" t="s">
        <v>49</v>
      </c>
      <c r="AN5486" s="54" t="s">
        <v>284</v>
      </c>
      <c r="AO5486" s="54"/>
      <c r="AP5486" s="54"/>
      <c r="AQ5486" s="57"/>
    </row>
    <row r="5487" spans="1:43" ht="15" customHeight="1">
      <c r="A5487" s="69">
        <v>43810</v>
      </c>
      <c r="B5487" s="70" t="s">
        <v>1454</v>
      </c>
      <c r="C5487" s="21" t="s">
        <v>1455</v>
      </c>
      <c r="D5487" s="71" t="s">
        <v>1917</v>
      </c>
      <c r="E5487" s="23" t="s">
        <v>1919</v>
      </c>
      <c r="F5487" s="24">
        <v>1</v>
      </c>
      <c r="G5487" s="48">
        <v>1283.82</v>
      </c>
      <c r="H5487" s="26">
        <v>1283.82</v>
      </c>
      <c r="I5487" s="61" t="s">
        <v>143</v>
      </c>
      <c r="J5487" s="63" t="s">
        <v>1458</v>
      </c>
      <c r="K5487" s="296"/>
      <c r="W5487" s="52"/>
      <c r="X5487" s="53"/>
      <c r="Y5487" s="53"/>
      <c r="Z5487" s="53"/>
      <c r="AA5487" s="53"/>
      <c r="AG5487" s="54"/>
      <c r="AH5487" s="54"/>
      <c r="AI5487" s="55"/>
      <c r="AJ5487" s="68"/>
      <c r="AK5487" s="55"/>
      <c r="AL5487" s="55"/>
      <c r="AM5487" s="296" t="s">
        <v>49</v>
      </c>
      <c r="AN5487" s="54" t="s">
        <v>284</v>
      </c>
      <c r="AO5487" s="54"/>
      <c r="AP5487" s="54"/>
      <c r="AQ5487" s="57"/>
    </row>
    <row r="5488" spans="1:43" ht="15" customHeight="1">
      <c r="A5488" s="69">
        <v>43810</v>
      </c>
      <c r="B5488" s="70" t="s">
        <v>222</v>
      </c>
      <c r="C5488" s="21" t="s">
        <v>1920</v>
      </c>
      <c r="D5488" s="112" t="s">
        <v>1921</v>
      </c>
      <c r="E5488" s="23" t="s">
        <v>1922</v>
      </c>
      <c r="F5488" s="24">
        <v>1</v>
      </c>
      <c r="G5488" s="48">
        <v>97.65</v>
      </c>
      <c r="H5488" s="60">
        <v>97.65</v>
      </c>
      <c r="I5488" s="61" t="s">
        <v>86</v>
      </c>
      <c r="J5488" s="50" t="s">
        <v>226</v>
      </c>
      <c r="K5488" s="30">
        <v>43822</v>
      </c>
      <c r="W5488" s="304"/>
      <c r="X5488" s="304"/>
      <c r="Y5488" s="304"/>
      <c r="Z5488" s="304"/>
      <c r="AA5488" s="304"/>
      <c r="AG5488" s="296"/>
      <c r="AH5488" s="296"/>
      <c r="AI5488" s="297"/>
      <c r="AJ5488" s="298">
        <v>43838</v>
      </c>
      <c r="AK5488" s="297"/>
      <c r="AL5488" s="296"/>
      <c r="AM5488" s="296" t="s">
        <v>49</v>
      </c>
      <c r="AN5488" s="296" t="s">
        <v>284</v>
      </c>
      <c r="AO5488" s="296" t="s">
        <v>50</v>
      </c>
      <c r="AP5488" s="234" t="s">
        <v>376</v>
      </c>
      <c r="AQ5488" s="296" t="s">
        <v>1346</v>
      </c>
    </row>
    <row r="5489" spans="1:43" ht="15" customHeight="1">
      <c r="A5489" s="69">
        <v>43812</v>
      </c>
      <c r="B5489" s="70" t="s">
        <v>100</v>
      </c>
      <c r="C5489" s="21" t="s">
        <v>1923</v>
      </c>
      <c r="D5489" s="112" t="s">
        <v>1924</v>
      </c>
      <c r="E5489" s="23" t="s">
        <v>1925</v>
      </c>
      <c r="F5489" s="24">
        <v>3</v>
      </c>
      <c r="G5489" s="48">
        <v>550</v>
      </c>
      <c r="H5489" s="60">
        <v>1650</v>
      </c>
      <c r="I5489" s="61" t="s">
        <v>86</v>
      </c>
      <c r="J5489" s="50" t="s">
        <v>1042</v>
      </c>
      <c r="K5489" s="29">
        <v>43829</v>
      </c>
      <c r="W5489" s="304"/>
      <c r="X5489" s="304"/>
      <c r="Y5489" s="304"/>
      <c r="Z5489" s="304"/>
      <c r="AA5489" s="304"/>
      <c r="AG5489" s="296"/>
      <c r="AH5489" s="296"/>
      <c r="AI5489" s="297"/>
      <c r="AJ5489" s="298">
        <v>43885</v>
      </c>
      <c r="AK5489" s="297"/>
      <c r="AL5489" s="297"/>
      <c r="AM5489" s="296" t="s">
        <v>49</v>
      </c>
      <c r="AN5489" s="296" t="s">
        <v>284</v>
      </c>
      <c r="AO5489" s="296" t="s">
        <v>50</v>
      </c>
      <c r="AP5489" s="234" t="s">
        <v>51</v>
      </c>
      <c r="AQ5489" s="296" t="s">
        <v>1346</v>
      </c>
    </row>
    <row r="5490" spans="1:43" ht="15" customHeight="1">
      <c r="A5490" s="69">
        <v>43812</v>
      </c>
      <c r="B5490" s="70" t="s">
        <v>100</v>
      </c>
      <c r="C5490" s="21" t="s">
        <v>1923</v>
      </c>
      <c r="D5490" s="112" t="s">
        <v>1924</v>
      </c>
      <c r="E5490" s="23" t="s">
        <v>1926</v>
      </c>
      <c r="F5490" s="24">
        <v>3</v>
      </c>
      <c r="G5490" s="48">
        <v>352</v>
      </c>
      <c r="H5490" s="60">
        <v>1056</v>
      </c>
      <c r="I5490" s="61" t="s">
        <v>86</v>
      </c>
      <c r="J5490" s="50" t="s">
        <v>1042</v>
      </c>
      <c r="K5490" s="29">
        <v>43829</v>
      </c>
      <c r="W5490" s="304"/>
      <c r="X5490" s="304"/>
      <c r="Y5490" s="304"/>
      <c r="Z5490" s="304"/>
      <c r="AA5490" s="304"/>
      <c r="AG5490" s="296"/>
      <c r="AH5490" s="296"/>
      <c r="AI5490" s="297"/>
      <c r="AJ5490" s="298">
        <v>43885</v>
      </c>
      <c r="AK5490" s="297"/>
      <c r="AL5490" s="297"/>
      <c r="AM5490" s="296" t="s">
        <v>49</v>
      </c>
      <c r="AN5490" s="296" t="s">
        <v>284</v>
      </c>
      <c r="AO5490" s="296" t="s">
        <v>50</v>
      </c>
      <c r="AP5490" s="234" t="s">
        <v>51</v>
      </c>
      <c r="AQ5490" s="296" t="s">
        <v>1346</v>
      </c>
    </row>
    <row r="5491" spans="1:43" ht="15" customHeight="1">
      <c r="A5491" s="69">
        <v>43812</v>
      </c>
      <c r="B5491" s="70" t="s">
        <v>100</v>
      </c>
      <c r="C5491" s="21" t="s">
        <v>1923</v>
      </c>
      <c r="D5491" s="112" t="s">
        <v>1924</v>
      </c>
      <c r="E5491" s="23" t="s">
        <v>1927</v>
      </c>
      <c r="F5491" s="130">
        <v>3</v>
      </c>
      <c r="G5491" s="25">
        <v>38</v>
      </c>
      <c r="H5491" s="212">
        <v>114</v>
      </c>
      <c r="I5491" s="61" t="s">
        <v>86</v>
      </c>
      <c r="J5491" s="50" t="s">
        <v>1042</v>
      </c>
      <c r="K5491" s="29">
        <v>43829</v>
      </c>
      <c r="W5491" s="304"/>
      <c r="X5491" s="304"/>
      <c r="Y5491" s="304"/>
      <c r="Z5491" s="304"/>
      <c r="AA5491" s="304"/>
      <c r="AG5491" s="296"/>
      <c r="AH5491" s="296"/>
      <c r="AI5491" s="297"/>
      <c r="AJ5491" s="298">
        <v>43885</v>
      </c>
      <c r="AK5491" s="297"/>
      <c r="AL5491" s="297"/>
      <c r="AM5491" s="296" t="s">
        <v>49</v>
      </c>
      <c r="AN5491" s="296" t="s">
        <v>284</v>
      </c>
      <c r="AO5491" s="296" t="s">
        <v>50</v>
      </c>
      <c r="AP5491" s="234" t="s">
        <v>51</v>
      </c>
      <c r="AQ5491" s="296" t="s">
        <v>1346</v>
      </c>
    </row>
    <row r="5492" spans="1:43" ht="15" customHeight="1">
      <c r="A5492" s="69">
        <v>43812</v>
      </c>
      <c r="B5492" s="70" t="s">
        <v>100</v>
      </c>
      <c r="C5492" s="70" t="s">
        <v>1923</v>
      </c>
      <c r="D5492" s="112" t="s">
        <v>1924</v>
      </c>
      <c r="E5492" s="23" t="s">
        <v>1928</v>
      </c>
      <c r="F5492" s="419">
        <v>3</v>
      </c>
      <c r="G5492" s="25">
        <v>15</v>
      </c>
      <c r="H5492" s="60">
        <v>45</v>
      </c>
      <c r="I5492" s="61" t="s">
        <v>86</v>
      </c>
      <c r="J5492" s="50" t="s">
        <v>1042</v>
      </c>
      <c r="K5492" s="29">
        <v>43829</v>
      </c>
      <c r="W5492" s="304"/>
      <c r="X5492" s="304"/>
      <c r="Y5492" s="304"/>
      <c r="Z5492" s="304"/>
      <c r="AA5492" s="304"/>
      <c r="AG5492" s="296"/>
      <c r="AH5492" s="296"/>
      <c r="AI5492" s="297"/>
      <c r="AJ5492" s="298">
        <v>43885</v>
      </c>
      <c r="AK5492" s="297"/>
      <c r="AL5492" s="297"/>
      <c r="AM5492" s="296" t="s">
        <v>49</v>
      </c>
      <c r="AN5492" s="296" t="s">
        <v>284</v>
      </c>
      <c r="AO5492" s="296" t="s">
        <v>50</v>
      </c>
      <c r="AP5492" s="234" t="s">
        <v>51</v>
      </c>
      <c r="AQ5492" s="296" t="s">
        <v>1346</v>
      </c>
    </row>
    <row r="5493" spans="1:43" ht="15" customHeight="1">
      <c r="A5493" s="69">
        <v>43812</v>
      </c>
      <c r="B5493" s="70" t="s">
        <v>100</v>
      </c>
      <c r="C5493" s="21" t="s">
        <v>1923</v>
      </c>
      <c r="D5493" s="112" t="s">
        <v>1924</v>
      </c>
      <c r="E5493" s="23" t="s">
        <v>1929</v>
      </c>
      <c r="F5493" s="24">
        <v>3</v>
      </c>
      <c r="G5493" s="48">
        <v>10</v>
      </c>
      <c r="H5493" s="60">
        <v>30</v>
      </c>
      <c r="I5493" s="61" t="s">
        <v>86</v>
      </c>
      <c r="J5493" s="50" t="s">
        <v>1042</v>
      </c>
      <c r="K5493" s="29">
        <v>43829</v>
      </c>
      <c r="W5493" s="304"/>
      <c r="X5493" s="304"/>
      <c r="Y5493" s="304"/>
      <c r="Z5493" s="304"/>
      <c r="AA5493" s="304"/>
      <c r="AG5493" s="296"/>
      <c r="AH5493" s="296"/>
      <c r="AI5493" s="297"/>
      <c r="AJ5493" s="298">
        <v>43885</v>
      </c>
      <c r="AK5493" s="297"/>
      <c r="AL5493" s="297"/>
      <c r="AM5493" s="296" t="s">
        <v>49</v>
      </c>
      <c r="AN5493" s="296" t="s">
        <v>284</v>
      </c>
      <c r="AO5493" s="296" t="s">
        <v>50</v>
      </c>
      <c r="AP5493" s="234" t="s">
        <v>51</v>
      </c>
      <c r="AQ5493" s="296" t="s">
        <v>1346</v>
      </c>
    </row>
    <row r="5494" spans="1:43" ht="15" customHeight="1">
      <c r="A5494" s="69">
        <v>43812</v>
      </c>
      <c r="B5494" s="70" t="s">
        <v>100</v>
      </c>
      <c r="C5494" s="21" t="s">
        <v>1923</v>
      </c>
      <c r="D5494" s="112" t="s">
        <v>1924</v>
      </c>
      <c r="E5494" s="23" t="s">
        <v>1930</v>
      </c>
      <c r="F5494" s="24">
        <v>3</v>
      </c>
      <c r="G5494" s="48">
        <v>79</v>
      </c>
      <c r="H5494" s="60">
        <v>237</v>
      </c>
      <c r="I5494" s="61" t="s">
        <v>86</v>
      </c>
      <c r="J5494" s="50" t="s">
        <v>1042</v>
      </c>
      <c r="K5494" s="29">
        <v>43829</v>
      </c>
      <c r="W5494" s="304"/>
      <c r="X5494" s="304"/>
      <c r="Y5494" s="304"/>
      <c r="Z5494" s="304"/>
      <c r="AA5494" s="304"/>
      <c r="AG5494" s="296"/>
      <c r="AH5494" s="296"/>
      <c r="AI5494" s="297"/>
      <c r="AJ5494" s="298">
        <v>43885</v>
      </c>
      <c r="AK5494" s="297"/>
      <c r="AL5494" s="297"/>
      <c r="AM5494" s="296" t="s">
        <v>49</v>
      </c>
      <c r="AN5494" s="296" t="s">
        <v>284</v>
      </c>
      <c r="AO5494" s="296" t="s">
        <v>50</v>
      </c>
      <c r="AP5494" s="234" t="s">
        <v>51</v>
      </c>
      <c r="AQ5494" s="296" t="s">
        <v>1346</v>
      </c>
    </row>
    <row r="5495" spans="1:43" ht="15" customHeight="1">
      <c r="A5495" s="69">
        <v>43812</v>
      </c>
      <c r="B5495" s="70" t="s">
        <v>100</v>
      </c>
      <c r="C5495" s="21" t="s">
        <v>1923</v>
      </c>
      <c r="D5495" s="112" t="s">
        <v>1924</v>
      </c>
      <c r="E5495" s="23" t="s">
        <v>1931</v>
      </c>
      <c r="F5495" s="24">
        <v>3</v>
      </c>
      <c r="G5495" s="48">
        <v>58</v>
      </c>
      <c r="H5495" s="60">
        <v>174</v>
      </c>
      <c r="I5495" s="61" t="s">
        <v>86</v>
      </c>
      <c r="J5495" s="50" t="s">
        <v>1042</v>
      </c>
      <c r="K5495" s="29">
        <v>43829</v>
      </c>
      <c r="W5495" s="304"/>
      <c r="X5495" s="304"/>
      <c r="Y5495" s="304"/>
      <c r="Z5495" s="304"/>
      <c r="AA5495" s="304"/>
      <c r="AG5495" s="296"/>
      <c r="AH5495" s="296"/>
      <c r="AI5495" s="297"/>
      <c r="AJ5495" s="298">
        <v>43885</v>
      </c>
      <c r="AK5495" s="297"/>
      <c r="AL5495" s="297"/>
      <c r="AM5495" s="296" t="s">
        <v>49</v>
      </c>
      <c r="AN5495" s="296" t="s">
        <v>284</v>
      </c>
      <c r="AO5495" s="296" t="s">
        <v>50</v>
      </c>
      <c r="AP5495" s="234" t="s">
        <v>51</v>
      </c>
      <c r="AQ5495" s="296" t="s">
        <v>1346</v>
      </c>
    </row>
    <row r="5496" spans="1:43" ht="15" customHeight="1">
      <c r="A5496" s="69">
        <v>43812</v>
      </c>
      <c r="B5496" s="70" t="s">
        <v>1454</v>
      </c>
      <c r="C5496" s="21" t="s">
        <v>1455</v>
      </c>
      <c r="D5496" s="71" t="s">
        <v>1932</v>
      </c>
      <c r="E5496" s="23" t="s">
        <v>1933</v>
      </c>
      <c r="F5496" s="24">
        <v>1</v>
      </c>
      <c r="G5496" s="48">
        <v>2404.7199999999998</v>
      </c>
      <c r="H5496" s="26">
        <v>2404.7199999999998</v>
      </c>
      <c r="I5496" s="132" t="s">
        <v>143</v>
      </c>
      <c r="J5496" s="63" t="s">
        <v>1458</v>
      </c>
      <c r="K5496" s="296"/>
      <c r="W5496" s="53"/>
      <c r="X5496" s="53"/>
      <c r="Y5496" s="53"/>
      <c r="Z5496" s="53"/>
      <c r="AA5496" s="53"/>
      <c r="AG5496" s="54"/>
      <c r="AH5496" s="55"/>
      <c r="AI5496" s="68"/>
      <c r="AJ5496" s="55"/>
      <c r="AK5496" s="55"/>
      <c r="AL5496" s="54"/>
      <c r="AM5496" s="296" t="s">
        <v>49</v>
      </c>
      <c r="AN5496" s="54" t="s">
        <v>284</v>
      </c>
      <c r="AO5496" s="54"/>
      <c r="AP5496" s="54"/>
      <c r="AQ5496" s="57"/>
    </row>
    <row r="5497" spans="1:43" ht="15" customHeight="1">
      <c r="A5497" s="69">
        <v>43815</v>
      </c>
      <c r="B5497" s="23" t="s">
        <v>405</v>
      </c>
      <c r="C5497" s="21">
        <v>7000152702</v>
      </c>
      <c r="D5497" s="71" t="s">
        <v>1934</v>
      </c>
      <c r="E5497" s="32" t="s">
        <v>480</v>
      </c>
      <c r="F5497" s="24">
        <v>1</v>
      </c>
      <c r="G5497" s="48">
        <v>137</v>
      </c>
      <c r="H5497" s="60">
        <v>137</v>
      </c>
      <c r="I5497" s="61" t="s">
        <v>42</v>
      </c>
      <c r="J5497" s="50" t="s">
        <v>512</v>
      </c>
      <c r="K5497" s="30">
        <v>43826</v>
      </c>
      <c r="W5497" s="304"/>
      <c r="X5497" s="304"/>
      <c r="Y5497" s="304"/>
      <c r="Z5497" s="304"/>
      <c r="AA5497" s="304"/>
      <c r="AG5497" s="296"/>
      <c r="AH5497" s="296"/>
      <c r="AI5497" s="297"/>
      <c r="AJ5497" s="298">
        <v>43860</v>
      </c>
      <c r="AK5497" s="297"/>
      <c r="AL5497" s="297"/>
      <c r="AM5497" s="296" t="s">
        <v>49</v>
      </c>
      <c r="AN5497" s="296" t="s">
        <v>284</v>
      </c>
      <c r="AO5497" s="296" t="s">
        <v>50</v>
      </c>
      <c r="AP5497" s="234" t="s">
        <v>51</v>
      </c>
      <c r="AQ5497" s="296" t="s">
        <v>1346</v>
      </c>
    </row>
    <row r="5498" spans="1:43" ht="15" customHeight="1">
      <c r="A5498" s="69">
        <v>43817</v>
      </c>
      <c r="B5498" s="21" t="s">
        <v>1469</v>
      </c>
      <c r="C5498" s="92"/>
      <c r="D5498" s="21" t="s">
        <v>1935</v>
      </c>
      <c r="E5498" s="23" t="s">
        <v>1936</v>
      </c>
      <c r="F5498" s="130">
        <v>2</v>
      </c>
      <c r="G5498" s="25">
        <v>431</v>
      </c>
      <c r="H5498" s="60">
        <v>862</v>
      </c>
      <c r="I5498" s="132" t="s">
        <v>143</v>
      </c>
      <c r="J5498" s="405" t="s">
        <v>1472</v>
      </c>
      <c r="K5498" s="30">
        <v>43826</v>
      </c>
      <c r="W5498" s="304"/>
      <c r="X5498" s="304"/>
      <c r="Y5498" s="304"/>
      <c r="Z5498" s="304"/>
      <c r="AA5498" s="304"/>
      <c r="AG5498" s="296"/>
      <c r="AH5498" s="296"/>
      <c r="AI5498" s="297"/>
      <c r="AJ5498" s="29">
        <v>43823</v>
      </c>
      <c r="AK5498" s="297"/>
      <c r="AL5498" s="297"/>
      <c r="AM5498" s="296" t="s">
        <v>49</v>
      </c>
      <c r="AN5498" s="296" t="s">
        <v>284</v>
      </c>
      <c r="AO5498" s="296" t="s">
        <v>50</v>
      </c>
      <c r="AP5498" s="234" t="s">
        <v>51</v>
      </c>
      <c r="AQ5498" s="296" t="s">
        <v>1346</v>
      </c>
    </row>
    <row r="5499" spans="1:43" ht="15" customHeight="1">
      <c r="A5499" s="69">
        <v>43817</v>
      </c>
      <c r="B5499" s="21" t="s">
        <v>1469</v>
      </c>
      <c r="C5499" s="92"/>
      <c r="D5499" s="71" t="s">
        <v>1935</v>
      </c>
      <c r="E5499" s="32" t="s">
        <v>1937</v>
      </c>
      <c r="F5499" s="24">
        <v>2</v>
      </c>
      <c r="G5499" s="48">
        <v>16</v>
      </c>
      <c r="H5499" s="60">
        <v>32</v>
      </c>
      <c r="I5499" s="132" t="s">
        <v>143</v>
      </c>
      <c r="J5499" s="50" t="s">
        <v>1472</v>
      </c>
      <c r="K5499" s="30">
        <v>43826</v>
      </c>
      <c r="W5499" s="304"/>
      <c r="X5499" s="304"/>
      <c r="Y5499" s="304"/>
      <c r="Z5499" s="304"/>
      <c r="AA5499" s="304"/>
      <c r="AG5499" s="296"/>
      <c r="AH5499" s="296"/>
      <c r="AI5499" s="297"/>
      <c r="AJ5499" s="29">
        <v>43823</v>
      </c>
      <c r="AK5499" s="297"/>
      <c r="AL5499" s="297"/>
      <c r="AM5499" s="296" t="s">
        <v>49</v>
      </c>
      <c r="AN5499" s="296" t="s">
        <v>284</v>
      </c>
      <c r="AO5499" s="296" t="s">
        <v>50</v>
      </c>
      <c r="AP5499" s="234" t="s">
        <v>51</v>
      </c>
      <c r="AQ5499" s="296" t="s">
        <v>1346</v>
      </c>
    </row>
    <row r="5500" spans="1:43" ht="15" customHeight="1">
      <c r="A5500" s="69">
        <v>43817</v>
      </c>
      <c r="B5500" s="21" t="s">
        <v>1469</v>
      </c>
      <c r="C5500" s="92"/>
      <c r="D5500" s="71" t="s">
        <v>1935</v>
      </c>
      <c r="E5500" s="32" t="s">
        <v>1938</v>
      </c>
      <c r="F5500" s="24">
        <v>1</v>
      </c>
      <c r="G5500" s="48">
        <v>30</v>
      </c>
      <c r="H5500" s="81">
        <v>30</v>
      </c>
      <c r="I5500" s="132" t="s">
        <v>143</v>
      </c>
      <c r="J5500" s="50" t="s">
        <v>1472</v>
      </c>
      <c r="K5500" s="29">
        <v>43830</v>
      </c>
      <c r="W5500" s="304"/>
      <c r="X5500" s="304"/>
      <c r="Y5500" s="304"/>
      <c r="Z5500" s="304"/>
      <c r="AA5500" s="304"/>
      <c r="AG5500" s="296"/>
      <c r="AH5500" s="296"/>
      <c r="AI5500" s="297"/>
      <c r="AJ5500" s="29">
        <v>43823</v>
      </c>
      <c r="AK5500" s="297"/>
      <c r="AL5500" s="297"/>
      <c r="AM5500" s="296"/>
      <c r="AN5500" s="296" t="s">
        <v>284</v>
      </c>
      <c r="AO5500" s="296" t="s">
        <v>50</v>
      </c>
      <c r="AP5500" s="234" t="s">
        <v>51</v>
      </c>
      <c r="AQ5500" s="296" t="s">
        <v>1346</v>
      </c>
    </row>
    <row r="5501" spans="1:43" ht="15" customHeight="1">
      <c r="A5501" s="204">
        <v>43823</v>
      </c>
      <c r="B5501" s="23" t="s">
        <v>405</v>
      </c>
      <c r="C5501" s="21">
        <v>7000152921</v>
      </c>
      <c r="D5501" s="71" t="s">
        <v>1939</v>
      </c>
      <c r="E5501" s="32" t="s">
        <v>1940</v>
      </c>
      <c r="F5501" s="24">
        <v>1</v>
      </c>
      <c r="G5501" s="48">
        <v>137</v>
      </c>
      <c r="H5501" s="216">
        <v>137</v>
      </c>
      <c r="I5501" s="61" t="s">
        <v>42</v>
      </c>
      <c r="J5501" s="50" t="s">
        <v>512</v>
      </c>
      <c r="K5501" s="29">
        <v>43826</v>
      </c>
      <c r="W5501" s="304"/>
      <c r="X5501" s="304"/>
      <c r="Y5501" s="304"/>
      <c r="Z5501" s="304"/>
      <c r="AA5501" s="304"/>
      <c r="AG5501" s="296"/>
      <c r="AH5501" s="296"/>
      <c r="AI5501" s="297"/>
      <c r="AJ5501" s="298">
        <v>43860</v>
      </c>
      <c r="AK5501" s="297"/>
      <c r="AL5501" s="297"/>
      <c r="AM5501" s="296" t="s">
        <v>49</v>
      </c>
      <c r="AN5501" s="296" t="s">
        <v>284</v>
      </c>
      <c r="AO5501" s="296" t="s">
        <v>50</v>
      </c>
      <c r="AP5501" s="234" t="s">
        <v>51</v>
      </c>
      <c r="AQ5501" s="296" t="s">
        <v>1346</v>
      </c>
    </row>
    <row r="5502" spans="1:43" ht="15" customHeight="1">
      <c r="A5502" s="204">
        <v>43823</v>
      </c>
      <c r="B5502" s="23" t="s">
        <v>405</v>
      </c>
      <c r="C5502" s="21">
        <v>7000152921</v>
      </c>
      <c r="D5502" s="21" t="s">
        <v>1939</v>
      </c>
      <c r="E5502" s="32" t="s">
        <v>480</v>
      </c>
      <c r="F5502" s="24">
        <v>2</v>
      </c>
      <c r="G5502" s="48">
        <v>137</v>
      </c>
      <c r="H5502" s="60">
        <v>274</v>
      </c>
      <c r="I5502" s="61" t="s">
        <v>42</v>
      </c>
      <c r="J5502" s="50" t="s">
        <v>512</v>
      </c>
      <c r="K5502" s="29">
        <v>43826</v>
      </c>
      <c r="W5502" s="304"/>
      <c r="X5502" s="304"/>
      <c r="Y5502" s="304"/>
      <c r="Z5502" s="304"/>
      <c r="AA5502" s="304"/>
      <c r="AG5502" s="296"/>
      <c r="AH5502" s="296"/>
      <c r="AI5502" s="297"/>
      <c r="AJ5502" s="298">
        <v>43860</v>
      </c>
      <c r="AK5502" s="297"/>
      <c r="AL5502" s="297"/>
      <c r="AM5502" s="296" t="s">
        <v>49</v>
      </c>
      <c r="AN5502" s="296" t="s">
        <v>284</v>
      </c>
      <c r="AO5502" s="296" t="s">
        <v>50</v>
      </c>
      <c r="AP5502" s="234" t="s">
        <v>51</v>
      </c>
      <c r="AQ5502" s="296" t="s">
        <v>1346</v>
      </c>
    </row>
    <row r="5503" spans="1:43" ht="15" customHeight="1">
      <c r="A5503" s="204"/>
      <c r="B5503" s="70"/>
      <c r="C5503" s="92"/>
      <c r="D5503" s="21"/>
      <c r="E5503" s="32"/>
      <c r="F5503" s="24"/>
      <c r="G5503" s="48"/>
      <c r="H5503" s="216"/>
      <c r="I5503" s="61"/>
      <c r="J5503" s="63"/>
      <c r="K5503" s="43"/>
      <c r="W5503" s="52"/>
      <c r="X5503" s="53"/>
      <c r="Y5503" s="53"/>
      <c r="Z5503" s="53"/>
      <c r="AA5503" s="53"/>
      <c r="AG5503" s="54"/>
      <c r="AH5503" s="54"/>
      <c r="AI5503" s="55"/>
      <c r="AJ5503" s="68"/>
      <c r="AK5503" s="55"/>
      <c r="AL5503" s="55"/>
      <c r="AM5503" s="54"/>
      <c r="AN5503" s="54"/>
      <c r="AO5503" s="54"/>
      <c r="AP5503" s="54"/>
      <c r="AQ5503" s="57"/>
    </row>
    <row r="5504" spans="1:43" ht="15" customHeight="1">
      <c r="A5504" s="1232"/>
      <c r="B5504" s="642"/>
      <c r="C5504" s="66"/>
      <c r="D5504" s="66"/>
      <c r="E5504" s="622"/>
      <c r="F5504" s="66"/>
      <c r="G5504" s="66"/>
      <c r="H5504" s="1387"/>
      <c r="I5504" s="501"/>
      <c r="J5504" s="66"/>
      <c r="O5504" s="66"/>
      <c r="P5504" s="91"/>
      <c r="Q5504" s="91"/>
      <c r="R5504" s="236"/>
      <c r="S5504" s="236"/>
      <c r="T5504" s="236"/>
      <c r="U5504" s="236"/>
      <c r="V5504" s="236"/>
      <c r="W5504" s="1387"/>
      <c r="Y5504" s="1387"/>
      <c r="Z5504" s="622"/>
    </row>
    <row r="5505" spans="1:25" ht="15" customHeight="1">
      <c r="A5505" s="1232"/>
      <c r="B5505" s="1492"/>
      <c r="C5505" s="1387"/>
      <c r="D5505" s="1387"/>
      <c r="E5505" s="1493"/>
      <c r="F5505" s="1387"/>
      <c r="G5505" s="1387"/>
      <c r="H5505" s="1387"/>
      <c r="I5505" s="1397"/>
      <c r="J5505" s="1387"/>
      <c r="L5505" s="1387"/>
      <c r="M5505" s="1493"/>
      <c r="O5505" s="1387"/>
      <c r="P5505" s="91"/>
      <c r="Q5505" s="91"/>
      <c r="R5505" s="236"/>
      <c r="S5505" s="236"/>
      <c r="T5505" s="236"/>
      <c r="U5505" s="236"/>
      <c r="V5505" s="236"/>
      <c r="W5505" s="236"/>
      <c r="X5505" s="236"/>
      <c r="Y5505" s="236"/>
    </row>
    <row r="5506" spans="1:25" ht="15" customHeight="1">
      <c r="A5506" s="1232"/>
      <c r="B5506" s="1492"/>
      <c r="C5506" s="1387"/>
      <c r="D5506" s="1387"/>
      <c r="E5506" s="1493"/>
      <c r="F5506" s="1387"/>
      <c r="G5506" s="1387"/>
      <c r="H5506" s="1387"/>
      <c r="I5506" s="1397"/>
      <c r="J5506" s="1387"/>
      <c r="L5506" s="1387"/>
      <c r="M5506" s="1493"/>
      <c r="O5506" s="1387"/>
      <c r="P5506" s="91"/>
      <c r="Q5506" s="91"/>
      <c r="R5506" s="236"/>
      <c r="S5506" s="236"/>
      <c r="T5506" s="236"/>
      <c r="U5506" s="236"/>
      <c r="V5506" s="236"/>
      <c r="W5506" s="236"/>
      <c r="X5506" s="236"/>
      <c r="Y5506" s="236"/>
    </row>
    <row r="5507" spans="1:25" ht="15" customHeight="1">
      <c r="A5507" s="1232"/>
      <c r="B5507" s="1492"/>
      <c r="C5507" s="1387"/>
      <c r="D5507" s="1387"/>
      <c r="E5507" s="1493"/>
      <c r="F5507" s="1387"/>
      <c r="G5507" s="1387"/>
      <c r="H5507" s="1387"/>
      <c r="I5507" s="1397"/>
      <c r="J5507" s="1387"/>
      <c r="L5507" s="1387"/>
      <c r="M5507" s="1493"/>
      <c r="O5507" s="1387"/>
      <c r="P5507" s="91"/>
      <c r="Q5507" s="91"/>
      <c r="R5507" s="236"/>
      <c r="S5507" s="236"/>
      <c r="T5507" s="236"/>
      <c r="U5507" s="236"/>
      <c r="V5507" s="236"/>
      <c r="W5507" s="236"/>
      <c r="X5507" s="236"/>
      <c r="Y5507" s="236"/>
    </row>
    <row r="5508" spans="1:25" ht="15" customHeight="1">
      <c r="A5508" s="1232"/>
      <c r="B5508" s="642"/>
      <c r="C5508" s="66"/>
      <c r="D5508" s="66"/>
      <c r="E5508" s="622"/>
      <c r="F5508" s="66"/>
      <c r="G5508" s="66"/>
      <c r="H5508" s="66"/>
      <c r="I5508" s="66"/>
      <c r="J5508" s="66"/>
      <c r="L5508" s="1387"/>
      <c r="M5508" s="622"/>
      <c r="O5508" s="66"/>
      <c r="P5508" s="91"/>
      <c r="Q5508" s="91"/>
      <c r="R5508" s="236"/>
      <c r="S5508" s="236"/>
      <c r="T5508" s="236"/>
      <c r="U5508" s="236"/>
      <c r="V5508" s="236"/>
      <c r="W5508" s="236"/>
      <c r="X5508" s="236"/>
      <c r="Y5508" s="236"/>
    </row>
    <row r="5509" spans="1:25" ht="15" customHeight="1">
      <c r="A5509" s="1232"/>
      <c r="B5509" s="642"/>
      <c r="C5509" s="66"/>
      <c r="D5509" s="66"/>
      <c r="E5509" s="622"/>
      <c r="F5509" s="66"/>
      <c r="G5509" s="66"/>
      <c r="H5509" s="66"/>
      <c r="I5509" s="66"/>
      <c r="J5509" s="66"/>
      <c r="L5509" s="1387"/>
      <c r="M5509" s="622"/>
      <c r="N5509" s="137"/>
      <c r="O5509" s="66"/>
      <c r="P5509" s="91"/>
      <c r="Q5509" s="91"/>
      <c r="R5509" s="236"/>
      <c r="S5509" s="236"/>
      <c r="T5509" s="236"/>
      <c r="U5509" s="236"/>
      <c r="V5509" s="236"/>
      <c r="W5509" s="236"/>
      <c r="X5509" s="236"/>
      <c r="Y5509" s="236"/>
    </row>
    <row r="5510" spans="1:25" ht="15" customHeight="1">
      <c r="A5510" s="57"/>
      <c r="B5510" s="221"/>
      <c r="C5510" s="91"/>
      <c r="D5510" s="91"/>
      <c r="E5510" s="223"/>
      <c r="F5510" s="91"/>
      <c r="G5510" s="91"/>
      <c r="H5510" s="1233">
        <f>SUM(H5508:H5509)</f>
        <v>0</v>
      </c>
      <c r="I5510" s="91"/>
      <c r="J5510" s="91"/>
      <c r="L5510" s="91"/>
      <c r="M5510" s="223"/>
      <c r="N5510" s="57"/>
      <c r="O5510" s="91"/>
      <c r="P5510" s="91"/>
      <c r="Q5510" s="91"/>
      <c r="R5510" s="236"/>
      <c r="S5510" s="236"/>
      <c r="T5510" s="236"/>
      <c r="U5510" s="236"/>
      <c r="V5510" s="236"/>
      <c r="W5510" s="236"/>
      <c r="X5510" s="236"/>
      <c r="Y5510" s="236"/>
    </row>
    <row r="5511" spans="1:25" ht="15" customHeight="1">
      <c r="A5511" s="57"/>
      <c r="B5511" s="221"/>
      <c r="C5511" s="91"/>
      <c r="D5511" s="91"/>
      <c r="E5511" s="223"/>
      <c r="F5511" s="91"/>
      <c r="G5511" s="91"/>
      <c r="H5511" s="91"/>
      <c r="I5511" s="91"/>
      <c r="J5511" s="91"/>
      <c r="K5511" s="91"/>
      <c r="L5511" s="91"/>
      <c r="M5511" s="223"/>
      <c r="N5511" s="57"/>
      <c r="O5511" s="57"/>
      <c r="P5511" s="91"/>
      <c r="Q5511" s="91"/>
      <c r="R5511" s="236"/>
      <c r="S5511" s="236"/>
      <c r="T5511" s="236"/>
      <c r="U5511" s="236"/>
      <c r="V5511" s="236"/>
      <c r="W5511" s="236"/>
      <c r="X5511" s="236"/>
      <c r="Y5511" s="236"/>
    </row>
    <row r="5512" spans="1:25" ht="15" customHeight="1">
      <c r="A5512" s="57"/>
      <c r="B5512" s="221"/>
      <c r="C5512" s="91"/>
      <c r="D5512" s="91"/>
      <c r="E5512" s="223"/>
      <c r="F5512" s="91"/>
      <c r="G5512" s="91"/>
      <c r="H5512" s="91"/>
      <c r="I5512" s="91"/>
      <c r="J5512" s="91"/>
      <c r="K5512" s="91"/>
      <c r="L5512" s="91"/>
      <c r="M5512" s="223"/>
      <c r="N5512" s="57"/>
      <c r="O5512" s="57"/>
      <c r="P5512" s="91"/>
      <c r="Q5512" s="91"/>
      <c r="R5512" s="236"/>
      <c r="S5512" s="236"/>
      <c r="T5512" s="236"/>
      <c r="U5512" s="236"/>
      <c r="V5512" s="236"/>
      <c r="W5512" s="236"/>
      <c r="X5512" s="236"/>
      <c r="Y5512" s="236"/>
    </row>
    <row r="5513" spans="1:25" ht="15" customHeight="1">
      <c r="A5513" s="57" t="s">
        <v>269</v>
      </c>
      <c r="B5513" s="327">
        <v>31.2</v>
      </c>
      <c r="C5513" s="91"/>
      <c r="D5513" s="91"/>
      <c r="E5513" s="223"/>
      <c r="F5513" s="91"/>
      <c r="G5513" s="91"/>
      <c r="H5513" s="91"/>
      <c r="I5513" s="91"/>
      <c r="J5513" s="91"/>
      <c r="K5513" s="91"/>
      <c r="L5513" s="91"/>
      <c r="M5513" s="223"/>
      <c r="N5513" s="57"/>
      <c r="O5513" s="57"/>
      <c r="P5513" s="91"/>
      <c r="Q5513" s="91"/>
      <c r="R5513" s="236"/>
      <c r="S5513" s="236"/>
      <c r="T5513" s="236"/>
      <c r="U5513" s="236"/>
      <c r="V5513" s="236"/>
      <c r="W5513" s="236"/>
      <c r="X5513" s="236"/>
      <c r="Y5513" s="236"/>
    </row>
    <row r="5514" spans="1:25" ht="15" customHeight="1">
      <c r="A5514" s="57" t="s">
        <v>270</v>
      </c>
      <c r="B5514" s="327">
        <v>30.6</v>
      </c>
      <c r="C5514" s="91"/>
      <c r="D5514" s="91"/>
      <c r="E5514" s="223"/>
      <c r="F5514" s="91"/>
      <c r="G5514" s="91"/>
      <c r="H5514" s="91"/>
      <c r="I5514" s="91"/>
      <c r="J5514" s="91"/>
      <c r="K5514" s="91"/>
      <c r="L5514" s="91"/>
      <c r="M5514" s="223"/>
      <c r="N5514" s="57"/>
      <c r="O5514" s="57"/>
      <c r="P5514" s="91"/>
      <c r="Q5514" s="91"/>
      <c r="R5514" s="236"/>
      <c r="S5514" s="236"/>
      <c r="U5514" s="236"/>
      <c r="V5514" s="236"/>
      <c r="W5514" s="236"/>
      <c r="X5514" s="236"/>
      <c r="Y5514" s="236"/>
    </row>
    <row r="5515" spans="1:25" ht="15" customHeight="1">
      <c r="A5515" s="57" t="s">
        <v>271</v>
      </c>
      <c r="B5515" s="327">
        <v>30.8</v>
      </c>
      <c r="C5515" s="91"/>
      <c r="F5515" s="91"/>
      <c r="G5515" s="91"/>
      <c r="H5515" s="91"/>
      <c r="I5515" s="91"/>
      <c r="J5515" s="91"/>
      <c r="K5515" s="91"/>
      <c r="L5515" s="91"/>
      <c r="M5515" s="223"/>
      <c r="N5515" s="57"/>
      <c r="O5515" s="57"/>
      <c r="P5515" s="91"/>
      <c r="Q5515" s="91"/>
      <c r="R5515" s="1401"/>
      <c r="S5515" s="1401"/>
      <c r="T5515" s="218"/>
      <c r="U5515" s="236"/>
      <c r="V5515" s="236"/>
      <c r="W5515" s="236"/>
      <c r="X5515" s="236"/>
      <c r="Y5515" s="236"/>
    </row>
    <row r="5516" spans="1:25" ht="15" customHeight="1">
      <c r="A5516" s="57" t="s">
        <v>272</v>
      </c>
      <c r="B5516" s="327">
        <v>30.9</v>
      </c>
      <c r="C5516" s="91"/>
      <c r="D5516" s="91"/>
      <c r="E5516" s="223"/>
      <c r="F5516" s="91"/>
      <c r="G5516" s="91"/>
      <c r="H5516" s="91"/>
      <c r="I5516" s="91"/>
      <c r="J5516" s="91"/>
      <c r="K5516" s="91"/>
      <c r="L5516" s="91"/>
      <c r="M5516" s="223"/>
      <c r="N5516" s="57"/>
      <c r="O5516" s="57"/>
      <c r="P5516" s="91"/>
      <c r="Q5516" s="91"/>
      <c r="R5516" s="1401"/>
      <c r="S5516" s="1401"/>
      <c r="T5516" s="218"/>
      <c r="U5516" s="236"/>
      <c r="V5516" s="236"/>
      <c r="W5516" s="236"/>
      <c r="X5516" s="236"/>
      <c r="Y5516" s="236"/>
    </row>
    <row r="5517" spans="1:25" ht="15" customHeight="1">
      <c r="A5517" s="57" t="s">
        <v>273</v>
      </c>
      <c r="B5517" s="327">
        <v>31.5</v>
      </c>
      <c r="C5517" s="1234" t="s">
        <v>12365</v>
      </c>
      <c r="D5517" s="91"/>
      <c r="E5517" s="223"/>
      <c r="F5517" s="91"/>
      <c r="G5517" s="91"/>
      <c r="H5517" s="91"/>
      <c r="I5517" s="91"/>
      <c r="J5517" s="91"/>
      <c r="K5517" s="91"/>
      <c r="L5517" s="91"/>
      <c r="M5517" s="223"/>
      <c r="N5517" s="57"/>
      <c r="O5517" s="57"/>
      <c r="P5517" s="91"/>
      <c r="Q5517" s="91"/>
      <c r="R5517" s="1401"/>
      <c r="S5517" s="1401"/>
      <c r="T5517" s="218"/>
      <c r="U5517" s="236"/>
      <c r="V5517" s="236"/>
      <c r="W5517" s="236"/>
      <c r="X5517" s="236"/>
      <c r="Y5517" s="236"/>
    </row>
    <row r="5518" spans="1:25" ht="15" customHeight="1">
      <c r="A5518" s="57" t="s">
        <v>274</v>
      </c>
      <c r="B5518" s="327">
        <v>32.5</v>
      </c>
      <c r="C5518" s="1234" t="s">
        <v>12366</v>
      </c>
      <c r="D5518" s="91"/>
      <c r="E5518" s="223"/>
      <c r="F5518" s="91"/>
      <c r="G5518" s="91"/>
      <c r="H5518" s="91"/>
      <c r="I5518" s="91" t="s">
        <v>12367</v>
      </c>
      <c r="J5518" s="91"/>
      <c r="K5518" s="91"/>
      <c r="L5518" s="91"/>
      <c r="M5518" s="223"/>
      <c r="N5518" s="57"/>
      <c r="O5518" s="57"/>
      <c r="P5518" s="91"/>
      <c r="Q5518" s="91"/>
      <c r="R5518" s="1401"/>
      <c r="S5518" s="1401"/>
      <c r="T5518" s="218"/>
      <c r="U5518" s="236"/>
      <c r="V5518" s="236"/>
      <c r="W5518" s="236"/>
      <c r="X5518" s="236"/>
      <c r="Y5518" s="236"/>
    </row>
    <row r="5519" spans="1:25" ht="15" customHeight="1">
      <c r="A5519" s="57" t="s">
        <v>275</v>
      </c>
      <c r="B5519" s="327">
        <v>33</v>
      </c>
      <c r="C5519" s="91"/>
      <c r="D5519" s="91"/>
      <c r="E5519" s="223"/>
      <c r="F5519" s="91"/>
      <c r="G5519" s="91"/>
      <c r="H5519" s="91"/>
      <c r="I5519" s="91"/>
      <c r="J5519" s="91"/>
      <c r="K5519" s="91"/>
      <c r="L5519" s="91"/>
      <c r="M5519" s="223"/>
      <c r="N5519" s="57"/>
      <c r="O5519" s="57"/>
      <c r="P5519" s="91"/>
      <c r="Q5519" s="91"/>
      <c r="R5519" s="34"/>
      <c r="S5519" s="34"/>
      <c r="T5519" s="34"/>
      <c r="U5519" s="236"/>
      <c r="V5519" s="236"/>
      <c r="W5519" s="236"/>
      <c r="X5519" s="236"/>
      <c r="Y5519" s="236"/>
    </row>
    <row r="5520" spans="1:25" ht="15" customHeight="1">
      <c r="A5520" s="57" t="s">
        <v>276</v>
      </c>
      <c r="B5520" s="327">
        <v>32.4</v>
      </c>
      <c r="C5520" s="1234" t="s">
        <v>12368</v>
      </c>
      <c r="D5520" s="91"/>
      <c r="E5520" s="223"/>
      <c r="F5520" s="91"/>
      <c r="G5520" s="91"/>
      <c r="H5520" s="91"/>
      <c r="I5520" s="91"/>
      <c r="J5520" s="91"/>
      <c r="K5520" s="91"/>
      <c r="L5520" s="91"/>
      <c r="M5520" s="223"/>
      <c r="N5520" s="57"/>
      <c r="O5520" s="57"/>
      <c r="P5520" s="91"/>
      <c r="Q5520" s="91"/>
      <c r="R5520" s="91"/>
      <c r="S5520" s="91"/>
      <c r="T5520" s="91"/>
      <c r="U5520" s="236"/>
      <c r="V5520" s="236"/>
      <c r="W5520" s="236"/>
      <c r="X5520" s="236"/>
      <c r="Y5520" s="236"/>
    </row>
    <row r="5521" spans="1:25" ht="15" customHeight="1">
      <c r="A5521" s="57" t="s">
        <v>277</v>
      </c>
      <c r="B5521" s="327">
        <v>32.6</v>
      </c>
      <c r="C5521" s="1234" t="s">
        <v>12369</v>
      </c>
      <c r="D5521" s="91"/>
      <c r="E5521" s="223"/>
      <c r="F5521" s="91"/>
      <c r="G5521" s="91"/>
      <c r="H5521" s="91"/>
      <c r="I5521" s="91"/>
      <c r="J5521" s="91"/>
      <c r="K5521" s="91"/>
      <c r="L5521" s="91"/>
      <c r="M5521" s="223"/>
      <c r="N5521" s="57"/>
      <c r="O5521" s="57"/>
      <c r="P5521" s="91"/>
      <c r="Q5521" s="91"/>
      <c r="R5521" s="236"/>
      <c r="S5521" s="236"/>
      <c r="T5521" s="236"/>
      <c r="U5521" s="236"/>
      <c r="V5521" s="236"/>
      <c r="W5521" s="236"/>
      <c r="X5521" s="236"/>
      <c r="Y5521" s="236"/>
    </row>
    <row r="5522" spans="1:25" ht="15" customHeight="1">
      <c r="A5522" s="1372"/>
      <c r="B5522" s="1373"/>
      <c r="C5522" s="1374"/>
      <c r="D5522" s="1374"/>
      <c r="E5522" s="1374"/>
      <c r="F5522" s="1375"/>
      <c r="G5522" s="1376"/>
      <c r="H5522" s="1376"/>
      <c r="I5522" s="1374"/>
      <c r="J5522" s="1374"/>
      <c r="K5522" s="1377"/>
      <c r="L5522" s="1377"/>
      <c r="M5522" s="1378"/>
      <c r="N5522" s="1379"/>
      <c r="O5522" s="1379"/>
      <c r="P5522" s="91"/>
      <c r="Q5522" s="91"/>
      <c r="R5522" s="236"/>
      <c r="S5522" s="236"/>
      <c r="T5522" s="236"/>
      <c r="U5522" s="236"/>
      <c r="V5522" s="236"/>
      <c r="W5522" s="236"/>
      <c r="X5522" s="236"/>
      <c r="Y5522" s="236"/>
    </row>
    <row r="5523" spans="1:25" ht="15" customHeight="1">
      <c r="A5523" s="91"/>
      <c r="B5523" s="927"/>
      <c r="C5523" s="91"/>
      <c r="D5523" s="91"/>
      <c r="E5523" s="91"/>
      <c r="F5523" s="91"/>
      <c r="G5523" s="91"/>
      <c r="H5523" s="1164">
        <f>SUM(H2721:H3421)</f>
        <v>1228391.3735463258</v>
      </c>
      <c r="I5523" s="57"/>
      <c r="J5523" s="91"/>
      <c r="K5523" s="1165"/>
      <c r="L5523" s="1165"/>
      <c r="M5523" s="91"/>
      <c r="N5523" s="91"/>
      <c r="O5523" s="91"/>
      <c r="P5523" s="91"/>
      <c r="Q5523" s="91"/>
      <c r="R5523" s="236"/>
      <c r="S5523" s="236"/>
      <c r="T5523" s="236"/>
      <c r="U5523" s="236"/>
      <c r="V5523" s="236"/>
      <c r="W5523" s="236"/>
      <c r="X5523" s="236"/>
      <c r="Y5523" s="236"/>
    </row>
    <row r="5524" spans="1:25" ht="15" customHeight="1">
      <c r="A5524" s="57"/>
      <c r="B5524" s="927"/>
      <c r="C5524" s="241"/>
      <c r="D5524" s="91"/>
      <c r="E5524" s="91"/>
      <c r="F5524" s="91"/>
      <c r="G5524" s="91"/>
      <c r="H5524" s="91"/>
      <c r="I5524" s="57"/>
      <c r="J5524" s="91"/>
      <c r="K5524" s="1165"/>
      <c r="L5524" s="1165"/>
      <c r="M5524" s="91"/>
      <c r="N5524" s="91"/>
      <c r="O5524" s="91"/>
      <c r="P5524" s="91"/>
      <c r="Q5524" s="91"/>
      <c r="R5524" s="236"/>
      <c r="S5524" s="236"/>
      <c r="T5524" s="236"/>
      <c r="U5524" s="236"/>
      <c r="V5524" s="236"/>
      <c r="W5524" s="236"/>
      <c r="X5524" s="236"/>
      <c r="Y5524" s="236"/>
    </row>
    <row r="5525" spans="1:25" ht="15" customHeight="1">
      <c r="A5525" s="57"/>
      <c r="B5525" s="927" t="s">
        <v>8410</v>
      </c>
      <c r="C5525" s="241"/>
      <c r="D5525" s="91"/>
      <c r="E5525" s="91"/>
      <c r="F5525" s="91"/>
      <c r="G5525" s="91"/>
      <c r="H5525" s="91"/>
      <c r="I5525" s="57"/>
      <c r="J5525" s="91"/>
      <c r="K5525" s="1165"/>
      <c r="L5525" s="1165"/>
      <c r="M5525" s="91"/>
      <c r="N5525" s="91"/>
      <c r="O5525" s="91"/>
      <c r="P5525" s="927"/>
      <c r="Q5525" s="927"/>
      <c r="R5525" s="236"/>
      <c r="S5525" s="236"/>
      <c r="T5525" s="236"/>
      <c r="U5525" s="236"/>
      <c r="V5525" s="236"/>
      <c r="W5525" s="236"/>
      <c r="X5525" s="236"/>
      <c r="Y5525" s="236"/>
    </row>
    <row r="5526" spans="1:25" ht="15" customHeight="1">
      <c r="A5526" s="54"/>
      <c r="B5526" s="150" t="s">
        <v>263</v>
      </c>
      <c r="C5526" s="148" t="s">
        <v>264</v>
      </c>
      <c r="D5526" s="91"/>
      <c r="E5526" s="91"/>
      <c r="F5526" s="91"/>
      <c r="G5526" s="91"/>
      <c r="H5526" s="91"/>
      <c r="I5526" s="57"/>
      <c r="J5526" s="91"/>
      <c r="K5526" s="1165"/>
      <c r="L5526" s="1165"/>
      <c r="M5526" s="91"/>
      <c r="N5526" s="91"/>
      <c r="O5526" s="91"/>
      <c r="P5526" s="91"/>
      <c r="Q5526" s="91"/>
      <c r="R5526" s="236"/>
      <c r="S5526" s="236"/>
      <c r="T5526" s="236"/>
      <c r="U5526" s="236"/>
      <c r="V5526" s="236"/>
      <c r="W5526" s="236"/>
      <c r="X5526" s="236"/>
      <c r="Y5526" s="236"/>
    </row>
    <row r="5527" spans="1:25" ht="15" customHeight="1">
      <c r="A5527" s="54" t="s">
        <v>266</v>
      </c>
      <c r="B5527" s="516">
        <v>33.5</v>
      </c>
      <c r="C5527" s="148"/>
      <c r="D5527" s="91"/>
      <c r="E5527" s="91"/>
      <c r="F5527" s="91"/>
      <c r="G5527" s="91"/>
      <c r="H5527" s="91"/>
      <c r="I5527" s="57"/>
      <c r="J5527" s="91"/>
      <c r="K5527" s="1165"/>
      <c r="L5527" s="1165"/>
      <c r="M5527" s="91"/>
      <c r="N5527" s="91"/>
      <c r="O5527" s="91"/>
      <c r="P5527" s="91"/>
      <c r="Q5527" s="91"/>
      <c r="R5527" s="236"/>
      <c r="S5527" s="236"/>
      <c r="T5527" s="236"/>
      <c r="U5527" s="236"/>
      <c r="V5527" s="236"/>
      <c r="W5527" s="236"/>
      <c r="X5527" s="236"/>
      <c r="Y5527" s="236"/>
    </row>
    <row r="5528" spans="1:25" ht="15" customHeight="1">
      <c r="A5528" s="54" t="s">
        <v>267</v>
      </c>
      <c r="B5528" s="516">
        <v>33.5</v>
      </c>
      <c r="C5528" s="148"/>
      <c r="D5528" s="91"/>
      <c r="E5528" s="91"/>
      <c r="F5528" s="91"/>
      <c r="G5528" s="91"/>
      <c r="H5528" s="91"/>
      <c r="I5528" s="57"/>
      <c r="J5528" s="91"/>
      <c r="K5528" s="1165"/>
      <c r="L5528" s="1165"/>
      <c r="M5528" s="91"/>
      <c r="N5528" s="91"/>
      <c r="O5528" s="91"/>
      <c r="P5528" s="91"/>
      <c r="Q5528" s="91"/>
      <c r="R5528" s="236"/>
      <c r="S5528" s="236"/>
      <c r="T5528" s="236"/>
      <c r="U5528" s="236"/>
      <c r="V5528" s="236"/>
      <c r="W5528" s="236"/>
      <c r="X5528" s="236"/>
      <c r="Y5528" s="236"/>
    </row>
    <row r="5529" spans="1:25" ht="15" customHeight="1">
      <c r="A5529" s="54" t="s">
        <v>268</v>
      </c>
      <c r="B5529" s="516">
        <v>33</v>
      </c>
      <c r="C5529" s="148"/>
      <c r="D5529" s="91"/>
      <c r="E5529" s="91"/>
      <c r="F5529" s="91"/>
      <c r="G5529" s="91"/>
      <c r="H5529" s="91"/>
      <c r="I5529" s="57"/>
      <c r="J5529" s="91"/>
      <c r="K5529" s="1165"/>
      <c r="L5529" s="1165"/>
      <c r="M5529" s="91"/>
      <c r="N5529" s="91"/>
      <c r="O5529" s="91"/>
      <c r="P5529" s="91"/>
      <c r="Q5529" s="91"/>
      <c r="R5529" s="236"/>
      <c r="S5529" s="236"/>
      <c r="T5529" s="236"/>
      <c r="U5529" s="236"/>
      <c r="V5529" s="236"/>
      <c r="W5529" s="236"/>
      <c r="X5529" s="236"/>
      <c r="Y5529" s="236"/>
    </row>
    <row r="5530" spans="1:25" ht="15" customHeight="1">
      <c r="A5530" s="54" t="s">
        <v>269</v>
      </c>
      <c r="B5530" s="246">
        <v>32.200000000000003</v>
      </c>
      <c r="C5530" s="148"/>
      <c r="D5530" s="91"/>
      <c r="E5530" s="91"/>
      <c r="F5530" s="91"/>
      <c r="G5530" s="91"/>
      <c r="H5530" s="91"/>
      <c r="I5530" s="57"/>
      <c r="J5530" s="91"/>
      <c r="K5530" s="1165"/>
      <c r="L5530" s="1165"/>
      <c r="M5530" s="91"/>
      <c r="N5530" s="91"/>
      <c r="O5530" s="91"/>
      <c r="P5530" s="91"/>
      <c r="Q5530" s="91"/>
      <c r="R5530" s="236"/>
      <c r="S5530" s="236"/>
      <c r="T5530" s="236"/>
      <c r="U5530" s="236"/>
      <c r="V5530" s="236"/>
      <c r="W5530" s="236"/>
      <c r="X5530" s="236"/>
      <c r="Y5530" s="236"/>
    </row>
    <row r="5531" spans="1:25" ht="15" customHeight="1">
      <c r="A5531" s="54" t="s">
        <v>270</v>
      </c>
      <c r="B5531" s="246">
        <v>32.5</v>
      </c>
      <c r="C5531" s="148">
        <v>32.6</v>
      </c>
      <c r="D5531" s="91"/>
      <c r="E5531" s="91"/>
      <c r="F5531" s="91"/>
      <c r="G5531" s="91"/>
      <c r="H5531" s="91"/>
      <c r="I5531" s="57"/>
      <c r="J5531" s="91"/>
      <c r="K5531" s="1165"/>
      <c r="L5531" s="1165"/>
      <c r="M5531" s="91"/>
      <c r="N5531" s="91" t="s">
        <v>10653</v>
      </c>
      <c r="O5531" s="91"/>
      <c r="P5531" s="91"/>
      <c r="Q5531" s="91"/>
      <c r="R5531" s="236"/>
      <c r="S5531" s="236"/>
      <c r="T5531" s="236"/>
      <c r="U5531" s="236"/>
      <c r="V5531" s="236"/>
      <c r="W5531" s="236"/>
      <c r="X5531" s="236"/>
      <c r="Y5531" s="236"/>
    </row>
    <row r="5532" spans="1:25" ht="15" customHeight="1">
      <c r="A5532" s="54" t="s">
        <v>271</v>
      </c>
      <c r="B5532" s="246">
        <v>32.6</v>
      </c>
      <c r="C5532" s="148">
        <v>32.299999999999997</v>
      </c>
      <c r="D5532" s="91"/>
      <c r="E5532" s="91"/>
      <c r="F5532" s="91"/>
      <c r="G5532" s="91"/>
      <c r="H5532" s="91"/>
      <c r="I5532" s="57"/>
      <c r="J5532" s="91"/>
      <c r="K5532" s="1165"/>
      <c r="L5532" s="1165"/>
      <c r="M5532" s="91"/>
      <c r="N5532" s="91"/>
      <c r="O5532" s="91"/>
      <c r="P5532" s="91"/>
      <c r="Q5532" s="91"/>
      <c r="R5532" s="236"/>
      <c r="S5532" s="236"/>
      <c r="T5532" s="236"/>
      <c r="U5532" s="236"/>
      <c r="V5532" s="236"/>
      <c r="W5532" s="236"/>
      <c r="X5532" s="236"/>
      <c r="Y5532" s="236"/>
    </row>
    <row r="5533" spans="1:25" ht="15" customHeight="1">
      <c r="A5533" s="54" t="s">
        <v>272</v>
      </c>
      <c r="B5533" s="246">
        <v>32.299999999999997</v>
      </c>
      <c r="C5533" s="148">
        <v>32</v>
      </c>
      <c r="D5533" s="91"/>
      <c r="E5533" s="91"/>
      <c r="F5533" s="91"/>
      <c r="G5533" s="91"/>
      <c r="H5533" s="91"/>
      <c r="I5533" s="57"/>
      <c r="J5533" s="91"/>
      <c r="K5533" s="1165"/>
      <c r="L5533" s="1165"/>
      <c r="M5533" s="91"/>
      <c r="N5533" s="91"/>
      <c r="O5533" s="91"/>
      <c r="P5533" s="91"/>
      <c r="Q5533" s="91"/>
      <c r="R5533" s="236"/>
      <c r="S5533" s="236"/>
      <c r="T5533" s="236"/>
      <c r="U5533" s="236"/>
      <c r="V5533" s="236"/>
      <c r="W5533" s="236"/>
      <c r="X5533" s="236"/>
      <c r="Y5533" s="236"/>
    </row>
    <row r="5534" spans="1:25" ht="15" customHeight="1">
      <c r="A5534" s="54" t="s">
        <v>273</v>
      </c>
      <c r="B5534" s="246">
        <v>31.7</v>
      </c>
      <c r="C5534" s="148">
        <v>31.5</v>
      </c>
      <c r="D5534" s="91"/>
      <c r="E5534" s="91"/>
      <c r="F5534" s="91"/>
      <c r="G5534" s="91"/>
      <c r="H5534" s="91"/>
      <c r="I5534" s="57"/>
      <c r="J5534" s="91"/>
      <c r="K5534" s="1165"/>
      <c r="L5534" s="1165"/>
      <c r="M5534" s="91"/>
      <c r="N5534" s="91"/>
      <c r="O5534" s="91"/>
      <c r="P5534" s="91"/>
      <c r="Q5534" s="91"/>
      <c r="R5534" s="236"/>
      <c r="S5534" s="236"/>
      <c r="T5534" s="236"/>
      <c r="U5534" s="236"/>
      <c r="V5534" s="236"/>
      <c r="W5534" s="236"/>
      <c r="X5534" s="236"/>
      <c r="Y5534" s="236"/>
    </row>
    <row r="5535" spans="1:25" ht="15" customHeight="1">
      <c r="A5535" s="54" t="s">
        <v>274</v>
      </c>
      <c r="B5535" s="246">
        <v>31</v>
      </c>
      <c r="C5535" s="928">
        <v>31.3</v>
      </c>
      <c r="D5535" s="91"/>
      <c r="E5535" s="91"/>
      <c r="F5535" s="91"/>
      <c r="G5535" s="91"/>
      <c r="H5535" s="91"/>
      <c r="I5535" s="57"/>
      <c r="J5535" s="91"/>
      <c r="K5535" s="1165"/>
      <c r="L5535" s="1165"/>
      <c r="M5535" s="91"/>
      <c r="N5535" s="91"/>
      <c r="O5535" s="91"/>
      <c r="P5535" s="91"/>
      <c r="Q5535" s="91"/>
      <c r="T5535" s="236"/>
      <c r="U5535" s="236"/>
      <c r="V5535" s="236"/>
      <c r="W5535" s="236"/>
      <c r="X5535" s="236"/>
      <c r="Y5535" s="236"/>
    </row>
    <row r="5536" spans="1:25" ht="15" customHeight="1">
      <c r="A5536" s="54" t="s">
        <v>275</v>
      </c>
      <c r="B5536" s="246">
        <v>31.3</v>
      </c>
      <c r="C5536" s="148">
        <v>31.5</v>
      </c>
      <c r="D5536" s="91"/>
      <c r="E5536" s="91"/>
      <c r="F5536" s="91"/>
      <c r="G5536" s="91"/>
      <c r="H5536" s="91"/>
      <c r="I5536" s="57"/>
      <c r="J5536" s="91"/>
      <c r="K5536" s="1165"/>
      <c r="L5536" s="1165"/>
      <c r="M5536" s="91"/>
      <c r="N5536" s="91"/>
      <c r="O5536" s="91"/>
      <c r="P5536" s="22"/>
      <c r="Q5536" s="604"/>
      <c r="R5536" s="236"/>
      <c r="S5536" s="236"/>
      <c r="T5536" s="236"/>
      <c r="U5536" s="236"/>
      <c r="V5536" s="236"/>
      <c r="W5536" s="236"/>
      <c r="X5536" s="236"/>
      <c r="Y5536" s="236"/>
    </row>
    <row r="5537" spans="1:25" ht="15" customHeight="1">
      <c r="A5537" s="54" t="s">
        <v>276</v>
      </c>
      <c r="B5537" s="246">
        <v>31.5</v>
      </c>
      <c r="C5537" s="148">
        <v>31.76</v>
      </c>
      <c r="D5537" s="91"/>
      <c r="E5537" s="91"/>
      <c r="F5537" s="91"/>
      <c r="G5537" s="91"/>
      <c r="H5537" s="91"/>
      <c r="I5537" s="57"/>
      <c r="J5537" s="91"/>
      <c r="K5537" s="1165"/>
      <c r="L5537" s="1165"/>
      <c r="M5537" s="91"/>
      <c r="N5537" s="91"/>
      <c r="O5537" s="91"/>
      <c r="P5537" s="22"/>
      <c r="Q5537" s="604"/>
      <c r="R5537" s="236"/>
      <c r="S5537" s="236"/>
      <c r="T5537" s="236"/>
      <c r="U5537" s="236"/>
      <c r="V5537" s="236"/>
      <c r="W5537" s="236"/>
      <c r="X5537" s="236"/>
      <c r="Y5537" s="236"/>
    </row>
    <row r="5538" spans="1:25" ht="15" customHeight="1">
      <c r="A5538" s="54" t="s">
        <v>277</v>
      </c>
      <c r="B5538" s="246">
        <v>31.9</v>
      </c>
      <c r="C5538" s="148">
        <v>32</v>
      </c>
      <c r="D5538" s="91"/>
      <c r="E5538" s="91"/>
      <c r="F5538" s="91"/>
      <c r="G5538" s="91"/>
      <c r="H5538" s="91"/>
      <c r="I5538" s="57"/>
      <c r="J5538" s="91"/>
      <c r="K5538" s="1165"/>
      <c r="L5538" s="1165"/>
      <c r="M5538" s="91"/>
      <c r="N5538" s="91"/>
      <c r="O5538" s="91"/>
      <c r="P5538" s="22"/>
      <c r="Q5538" s="604"/>
      <c r="R5538" s="236"/>
      <c r="S5538" s="236"/>
      <c r="T5538" s="236"/>
      <c r="U5538" s="236"/>
      <c r="V5538" s="236"/>
      <c r="W5538" s="236"/>
      <c r="X5538" s="236"/>
      <c r="Y5538" s="236"/>
    </row>
    <row r="5539" spans="1:25" ht="15" customHeight="1">
      <c r="A5539" s="57"/>
      <c r="B5539" s="927"/>
      <c r="C5539" s="241"/>
      <c r="D5539" s="91"/>
      <c r="E5539" s="91"/>
      <c r="F5539" s="91"/>
      <c r="G5539" s="91"/>
      <c r="H5539" s="91"/>
      <c r="I5539" s="57"/>
      <c r="J5539" s="91"/>
      <c r="K5539" s="1165"/>
      <c r="L5539" s="1165"/>
      <c r="M5539" s="91"/>
      <c r="N5539" s="91"/>
      <c r="O5539" s="91"/>
      <c r="P5539" s="22"/>
      <c r="Q5539" s="604"/>
      <c r="R5539" s="236"/>
      <c r="S5539" s="236"/>
      <c r="T5539" s="236"/>
      <c r="U5539" s="236"/>
      <c r="V5539" s="236"/>
      <c r="W5539" s="236"/>
      <c r="X5539" s="236"/>
      <c r="Y5539" s="236"/>
    </row>
    <row r="5540" spans="1:25" ht="15" customHeight="1">
      <c r="A5540" s="57"/>
      <c r="B5540" s="927"/>
      <c r="C5540" s="241"/>
      <c r="D5540" s="91"/>
      <c r="E5540" s="91"/>
      <c r="F5540" s="91"/>
      <c r="G5540" s="91"/>
      <c r="H5540" s="91"/>
      <c r="I5540" s="57"/>
      <c r="J5540" s="91"/>
      <c r="K5540" s="1165"/>
      <c r="L5540" s="1165"/>
      <c r="M5540" s="91"/>
      <c r="N5540" s="91"/>
      <c r="O5540" s="91"/>
      <c r="P5540" s="22"/>
      <c r="Q5540" s="604"/>
      <c r="R5540" s="236"/>
      <c r="S5540" s="236"/>
      <c r="T5540" s="236"/>
      <c r="U5540" s="236"/>
      <c r="V5540" s="236"/>
      <c r="W5540" s="236"/>
      <c r="X5540" s="236"/>
      <c r="Y5540" s="236"/>
    </row>
    <row r="5541" spans="1:25" ht="15" customHeight="1">
      <c r="A5541" s="57"/>
      <c r="B5541" s="927"/>
      <c r="C5541" s="241"/>
      <c r="D5541" s="91"/>
      <c r="E5541" s="91"/>
      <c r="F5541" s="91"/>
      <c r="G5541" s="91"/>
      <c r="H5541" s="91"/>
      <c r="I5541" s="57"/>
      <c r="J5541" s="91"/>
      <c r="K5541" s="1165"/>
      <c r="L5541" s="1165"/>
      <c r="M5541" s="91"/>
      <c r="N5541" s="91"/>
      <c r="O5541" s="91"/>
      <c r="P5541" s="22"/>
      <c r="Q5541" s="604"/>
      <c r="R5541" s="236"/>
      <c r="S5541" s="236"/>
      <c r="T5541" s="236"/>
      <c r="U5541" s="236"/>
      <c r="V5541" s="236"/>
      <c r="W5541" s="236"/>
      <c r="X5541" s="236"/>
      <c r="Y5541" s="236"/>
    </row>
    <row r="5542" spans="1:25" ht="15" customHeight="1">
      <c r="A5542" s="57"/>
      <c r="B5542" s="927"/>
      <c r="C5542" s="1166"/>
      <c r="D5542" s="1167"/>
      <c r="E5542" s="1167"/>
      <c r="F5542" s="1168"/>
      <c r="G5542" s="1167"/>
      <c r="H5542" s="1167"/>
      <c r="I5542" s="57"/>
      <c r="J5542" s="91"/>
      <c r="K5542" s="1165"/>
      <c r="L5542" s="1165"/>
      <c r="M5542" s="91"/>
      <c r="N5542" s="91"/>
      <c r="O5542" s="91"/>
      <c r="P5542" s="22"/>
      <c r="Q5542" s="604"/>
      <c r="R5542" s="236"/>
      <c r="S5542" s="236"/>
      <c r="T5542" s="236"/>
      <c r="U5542" s="236"/>
      <c r="V5542" s="236"/>
      <c r="W5542" s="236"/>
      <c r="X5542" s="236"/>
      <c r="Y5542" s="236"/>
    </row>
    <row r="5543" spans="1:25" ht="15" customHeight="1">
      <c r="B5543" s="249"/>
      <c r="C5543" s="1169" t="s">
        <v>10654</v>
      </c>
      <c r="D5543" s="1170"/>
      <c r="E5543" s="1170"/>
      <c r="F5543" s="1170"/>
      <c r="G5543" s="1170"/>
      <c r="H5543" s="1170"/>
      <c r="I5543" s="1170"/>
      <c r="J5543" s="1170"/>
      <c r="K5543" s="1165"/>
      <c r="L5543" s="1165"/>
      <c r="M5543" s="91"/>
      <c r="N5543" s="91"/>
      <c r="O5543" s="91"/>
      <c r="P5543" s="22"/>
      <c r="Q5543" s="604"/>
      <c r="R5543" s="236"/>
      <c r="S5543" s="236"/>
      <c r="T5543" s="236"/>
      <c r="U5543" s="236"/>
      <c r="V5543" s="236"/>
      <c r="W5543" s="236"/>
      <c r="X5543" s="236"/>
      <c r="Y5543" s="236"/>
    </row>
    <row r="5544" spans="1:25" ht="15" customHeight="1">
      <c r="B5544" s="249"/>
      <c r="C5544" s="678" t="s">
        <v>10655</v>
      </c>
      <c r="D5544" s="678" t="s">
        <v>10656</v>
      </c>
      <c r="E5544" s="678" t="s">
        <v>10657</v>
      </c>
      <c r="F5544" s="678" t="s">
        <v>10658</v>
      </c>
      <c r="G5544" s="678" t="s">
        <v>10659</v>
      </c>
      <c r="H5544" s="678" t="s">
        <v>10660</v>
      </c>
      <c r="I5544" s="678" t="s">
        <v>10661</v>
      </c>
      <c r="J5544" s="1169" t="s">
        <v>10662</v>
      </c>
      <c r="K5544" s="1165"/>
      <c r="L5544" s="1165"/>
      <c r="M5544" s="91"/>
      <c r="N5544" s="91"/>
      <c r="O5544" s="91"/>
      <c r="P5544" s="22"/>
      <c r="Q5544" s="604"/>
      <c r="R5544" s="236"/>
      <c r="S5544" s="236"/>
      <c r="T5544" s="236"/>
      <c r="U5544" s="236"/>
      <c r="V5544" s="236"/>
      <c r="W5544" s="236"/>
      <c r="X5544" s="236"/>
      <c r="Y5544" s="236"/>
    </row>
    <row r="5545" spans="1:25" ht="15" customHeight="1">
      <c r="B5545" s="249"/>
      <c r="C5545" s="1171" t="s">
        <v>10663</v>
      </c>
      <c r="D5545" s="1171" t="s">
        <v>5869</v>
      </c>
      <c r="E5545" s="1171" t="s">
        <v>10664</v>
      </c>
      <c r="F5545" s="1171">
        <v>50</v>
      </c>
      <c r="G5545" s="1171">
        <v>612</v>
      </c>
      <c r="H5545" s="1171">
        <v>581</v>
      </c>
      <c r="I5545" s="1171">
        <v>1550</v>
      </c>
      <c r="J5545" s="1172">
        <v>1627.5</v>
      </c>
      <c r="K5545" s="1165"/>
      <c r="L5545" s="1165"/>
      <c r="M5545" s="91"/>
      <c r="N5545" s="91"/>
      <c r="O5545" s="91"/>
      <c r="P5545" s="22"/>
      <c r="Q5545" s="604"/>
      <c r="R5545" s="236"/>
      <c r="S5545" s="236"/>
      <c r="T5545" s="236"/>
      <c r="U5545" s="236"/>
      <c r="V5545" s="236"/>
      <c r="W5545" s="236"/>
      <c r="X5545" s="236"/>
      <c r="Y5545" s="236"/>
    </row>
    <row r="5546" spans="1:25" ht="15" customHeight="1">
      <c r="B5546" s="249"/>
      <c r="C5546" s="1171" t="s">
        <v>10663</v>
      </c>
      <c r="D5546" s="1171" t="s">
        <v>5869</v>
      </c>
      <c r="E5546" s="1171" t="s">
        <v>10665</v>
      </c>
      <c r="F5546" s="1171">
        <v>10</v>
      </c>
      <c r="G5546" s="1171">
        <v>235.2</v>
      </c>
      <c r="H5546" s="1171">
        <v>219</v>
      </c>
      <c r="I5546" s="1171">
        <v>162</v>
      </c>
      <c r="J5546" s="1172">
        <v>170.1</v>
      </c>
      <c r="K5546" s="1165"/>
      <c r="L5546" s="1165"/>
      <c r="M5546" s="91"/>
      <c r="N5546" s="91"/>
      <c r="O5546" s="91"/>
      <c r="P5546" s="22"/>
      <c r="Q5546" s="604"/>
      <c r="R5546" s="236"/>
      <c r="S5546" s="236"/>
      <c r="T5546" s="236"/>
      <c r="U5546" s="236"/>
      <c r="V5546" s="236"/>
      <c r="W5546" s="236"/>
      <c r="X5546" s="236"/>
      <c r="Y5546" s="236"/>
    </row>
    <row r="5547" spans="1:25" ht="15" customHeight="1">
      <c r="B5547" s="249"/>
      <c r="C5547" s="1171" t="s">
        <v>10663</v>
      </c>
      <c r="D5547" s="1171" t="s">
        <v>5869</v>
      </c>
      <c r="E5547" s="1171" t="s">
        <v>10666</v>
      </c>
      <c r="F5547" s="1171">
        <v>10</v>
      </c>
      <c r="G5547" s="1171">
        <v>348</v>
      </c>
      <c r="H5547" s="1171">
        <v>324</v>
      </c>
      <c r="I5547" s="1171">
        <v>240</v>
      </c>
      <c r="J5547" s="1172">
        <v>252</v>
      </c>
      <c r="K5547" s="1165"/>
      <c r="L5547" s="1165"/>
      <c r="M5547" s="91"/>
      <c r="N5547" s="91"/>
      <c r="O5547" s="91"/>
      <c r="P5547" s="22"/>
      <c r="Q5547" s="604"/>
      <c r="R5547" s="236"/>
      <c r="S5547" s="236"/>
      <c r="T5547" s="236"/>
      <c r="U5547" s="236"/>
      <c r="V5547" s="236"/>
      <c r="W5547" s="236"/>
      <c r="X5547" s="236"/>
      <c r="Y5547" s="236"/>
    </row>
    <row r="5548" spans="1:25" ht="15" customHeight="1">
      <c r="B5548" s="249"/>
      <c r="C5548" s="1171" t="s">
        <v>10667</v>
      </c>
      <c r="D5548" s="1171" t="s">
        <v>5869</v>
      </c>
      <c r="E5548" s="1171" t="s">
        <v>10668</v>
      </c>
      <c r="F5548" s="1171">
        <v>50</v>
      </c>
      <c r="G5548" s="1171">
        <v>175.5</v>
      </c>
      <c r="H5548" s="1171">
        <v>166</v>
      </c>
      <c r="I5548" s="1171">
        <v>475</v>
      </c>
      <c r="J5548" s="1172">
        <v>498.75</v>
      </c>
      <c r="K5548" s="1165"/>
      <c r="L5548" s="1165"/>
      <c r="M5548" s="91"/>
      <c r="N5548" s="91"/>
      <c r="O5548" s="91"/>
      <c r="P5548" s="22"/>
      <c r="Q5548" s="604"/>
      <c r="R5548" s="236"/>
      <c r="S5548" s="236"/>
      <c r="T5548" s="236"/>
      <c r="U5548" s="236"/>
      <c r="V5548" s="236"/>
      <c r="W5548" s="236"/>
      <c r="X5548" s="236"/>
      <c r="Y5548" s="236"/>
    </row>
    <row r="5549" spans="1:25" ht="15" customHeight="1">
      <c r="B5549" s="249"/>
      <c r="C5549" s="1171" t="s">
        <v>10669</v>
      </c>
      <c r="D5549" s="1171" t="s">
        <v>5869</v>
      </c>
      <c r="E5549" s="1171" t="s">
        <v>10668</v>
      </c>
      <c r="F5549" s="1171">
        <v>50</v>
      </c>
      <c r="G5549" s="1171">
        <v>175.5</v>
      </c>
      <c r="H5549" s="1171">
        <v>166</v>
      </c>
      <c r="I5549" s="1171">
        <v>475</v>
      </c>
      <c r="J5549" s="1172">
        <v>498.75</v>
      </c>
      <c r="K5549" s="1165"/>
      <c r="L5549" s="1165"/>
      <c r="M5549" s="91"/>
      <c r="N5549" s="91"/>
      <c r="O5549" s="91"/>
      <c r="P5549" s="22"/>
      <c r="Q5549" s="604"/>
      <c r="R5549" s="236"/>
      <c r="S5549" s="236"/>
      <c r="T5549" s="236"/>
      <c r="U5549" s="236"/>
      <c r="V5549" s="236"/>
      <c r="W5549" s="236"/>
      <c r="X5549" s="236"/>
      <c r="Y5549" s="236"/>
    </row>
    <row r="5550" spans="1:25" ht="15" customHeight="1">
      <c r="B5550" s="249"/>
      <c r="C5550" s="1171" t="s">
        <v>10670</v>
      </c>
      <c r="D5550" s="1171" t="s">
        <v>10671</v>
      </c>
      <c r="E5550" s="1171" t="s">
        <v>461</v>
      </c>
      <c r="F5550" s="1171">
        <v>35</v>
      </c>
      <c r="G5550" s="1171">
        <v>387</v>
      </c>
      <c r="H5550" s="1171">
        <v>368</v>
      </c>
      <c r="I5550" s="1171">
        <v>665</v>
      </c>
      <c r="J5550" s="1172">
        <v>698.25</v>
      </c>
      <c r="K5550" s="1165"/>
      <c r="L5550" s="1165"/>
      <c r="M5550" s="91"/>
      <c r="N5550" s="91"/>
      <c r="O5550" s="91"/>
      <c r="P5550" s="22"/>
      <c r="Q5550" s="604"/>
      <c r="R5550" s="236"/>
      <c r="S5550" s="236"/>
      <c r="T5550" s="236"/>
      <c r="U5550" s="236"/>
      <c r="V5550" s="236"/>
      <c r="W5550" s="236"/>
      <c r="X5550" s="236"/>
      <c r="Y5550" s="236"/>
    </row>
    <row r="5551" spans="1:25" ht="15" customHeight="1">
      <c r="B5551" s="249"/>
      <c r="C5551" s="1171" t="s">
        <v>10670</v>
      </c>
      <c r="D5551" s="1171" t="s">
        <v>10671</v>
      </c>
      <c r="E5551" s="1171" t="s">
        <v>3604</v>
      </c>
      <c r="F5551" s="1171">
        <v>15</v>
      </c>
      <c r="G5551" s="1171">
        <v>287</v>
      </c>
      <c r="H5551" s="1171">
        <v>273</v>
      </c>
      <c r="I5551" s="1171">
        <v>210</v>
      </c>
      <c r="J5551" s="1172">
        <v>220.5</v>
      </c>
      <c r="K5551" s="1165"/>
      <c r="L5551" s="1165"/>
      <c r="M5551" s="91"/>
      <c r="N5551" s="91"/>
      <c r="O5551" s="91"/>
      <c r="P5551" s="699"/>
      <c r="Q5551" s="922"/>
      <c r="R5551" s="236"/>
      <c r="S5551" s="236"/>
      <c r="T5551" s="236"/>
      <c r="U5551" s="236"/>
      <c r="V5551" s="236"/>
      <c r="W5551" s="236"/>
      <c r="X5551" s="236"/>
      <c r="Y5551" s="236"/>
    </row>
    <row r="5552" spans="1:25" ht="15" customHeight="1">
      <c r="B5552" s="249"/>
      <c r="C5552" s="1171" t="s">
        <v>10672</v>
      </c>
      <c r="D5552" s="1171" t="s">
        <v>10673</v>
      </c>
      <c r="E5552" s="1171" t="s">
        <v>6863</v>
      </c>
      <c r="F5552" s="1171">
        <v>10</v>
      </c>
      <c r="G5552" s="1171">
        <v>128</v>
      </c>
      <c r="H5552" s="1171">
        <v>120</v>
      </c>
      <c r="I5552" s="1171">
        <v>80</v>
      </c>
      <c r="J5552" s="1172">
        <v>84</v>
      </c>
      <c r="K5552" s="1165"/>
      <c r="L5552" s="1165"/>
      <c r="M5552" s="91"/>
      <c r="N5552" s="91"/>
      <c r="O5552" s="91"/>
      <c r="P5552" s="699"/>
      <c r="Q5552" s="922"/>
      <c r="R5552" s="236"/>
      <c r="S5552" s="236"/>
      <c r="T5552" s="236"/>
      <c r="U5552" s="236"/>
      <c r="V5552" s="236"/>
      <c r="W5552" s="236"/>
      <c r="X5552" s="236"/>
      <c r="Y5552" s="236"/>
    </row>
    <row r="5553" spans="2:25" ht="15" customHeight="1">
      <c r="B5553" s="249"/>
      <c r="C5553" s="1171" t="s">
        <v>10672</v>
      </c>
      <c r="D5553" s="1171" t="s">
        <v>10673</v>
      </c>
      <c r="E5553" s="1171" t="s">
        <v>4644</v>
      </c>
      <c r="F5553" s="1171">
        <v>10</v>
      </c>
      <c r="G5553" s="1171">
        <v>3</v>
      </c>
      <c r="H5553" s="1171">
        <v>2</v>
      </c>
      <c r="I5553" s="1171">
        <v>10</v>
      </c>
      <c r="J5553" s="1172">
        <v>10.5</v>
      </c>
      <c r="K5553" s="1165"/>
      <c r="L5553" s="1165"/>
      <c r="M5553" s="91"/>
      <c r="N5553" s="91"/>
      <c r="O5553" s="91"/>
      <c r="P5553" s="91"/>
      <c r="Q5553" s="91"/>
      <c r="R5553" s="236"/>
      <c r="S5553" s="236"/>
      <c r="T5553" s="236"/>
      <c r="U5553" s="236"/>
      <c r="V5553" s="236"/>
      <c r="W5553" s="236"/>
      <c r="X5553" s="236"/>
      <c r="Y5553" s="236"/>
    </row>
    <row r="5554" spans="2:25" ht="15" customHeight="1">
      <c r="B5554" s="249"/>
      <c r="C5554" s="1173">
        <v>20150000000000</v>
      </c>
      <c r="D5554" s="1171" t="s">
        <v>10674</v>
      </c>
      <c r="E5554" s="1171" t="s">
        <v>4610</v>
      </c>
      <c r="F5554" s="1171">
        <v>14</v>
      </c>
      <c r="G5554" s="1171">
        <v>272</v>
      </c>
      <c r="H5554" s="1171">
        <v>230</v>
      </c>
      <c r="I5554" s="1171">
        <v>588</v>
      </c>
      <c r="J5554" s="1172">
        <v>617.4</v>
      </c>
      <c r="K5554" s="1165"/>
      <c r="L5554" s="1165"/>
      <c r="M5554" s="91"/>
      <c r="N5554" s="91"/>
      <c r="O5554" s="91"/>
      <c r="P5554" s="91"/>
      <c r="Q5554" s="91"/>
      <c r="R5554" s="236"/>
      <c r="S5554" s="236"/>
      <c r="T5554" s="236"/>
      <c r="U5554" s="236"/>
      <c r="V5554" s="236"/>
      <c r="W5554" s="236"/>
      <c r="X5554" s="236"/>
      <c r="Y5554" s="236"/>
    </row>
    <row r="5555" spans="2:25" ht="15" customHeight="1">
      <c r="B5555" s="249"/>
      <c r="C5555" s="1171" t="s">
        <v>10675</v>
      </c>
      <c r="D5555" s="1171" t="s">
        <v>6060</v>
      </c>
      <c r="E5555" s="1171" t="s">
        <v>10676</v>
      </c>
      <c r="F5555" s="1171">
        <v>15</v>
      </c>
      <c r="G5555" s="1171">
        <v>234</v>
      </c>
      <c r="H5555" s="1171">
        <v>198</v>
      </c>
      <c r="I5555" s="1171">
        <v>540</v>
      </c>
      <c r="J5555" s="1172">
        <v>567</v>
      </c>
      <c r="K5555" s="1165"/>
      <c r="L5555" s="1165"/>
      <c r="M5555" s="91"/>
      <c r="N5555" s="91"/>
      <c r="O5555" s="91"/>
      <c r="P5555" s="91"/>
      <c r="Q5555" s="91"/>
      <c r="R5555" s="236"/>
      <c r="S5555" s="236"/>
      <c r="T5555" s="236"/>
      <c r="U5555" s="236"/>
      <c r="V5555" s="236"/>
      <c r="W5555" s="236"/>
      <c r="X5555" s="236"/>
      <c r="Y5555" s="236"/>
    </row>
    <row r="5556" spans="2:25" ht="15" customHeight="1">
      <c r="B5556" s="249"/>
      <c r="C5556" s="1171" t="s">
        <v>10677</v>
      </c>
      <c r="D5556" s="1171" t="s">
        <v>10678</v>
      </c>
      <c r="E5556" s="1171" t="s">
        <v>5925</v>
      </c>
      <c r="F5556" s="1171">
        <v>50</v>
      </c>
      <c r="G5556" s="1171">
        <v>97.5</v>
      </c>
      <c r="H5556" s="1171">
        <v>82.5</v>
      </c>
      <c r="I5556" s="1171">
        <v>750</v>
      </c>
      <c r="J5556" s="1172">
        <v>787.5</v>
      </c>
      <c r="K5556" s="1165"/>
      <c r="L5556" s="1165"/>
      <c r="M5556" s="91"/>
      <c r="N5556" s="91"/>
      <c r="O5556" s="91"/>
      <c r="P5556" s="91"/>
      <c r="Q5556" s="91"/>
      <c r="R5556" s="236"/>
      <c r="S5556" s="236"/>
      <c r="T5556" s="236"/>
      <c r="U5556" s="236"/>
      <c r="V5556" s="236"/>
      <c r="W5556" s="236"/>
      <c r="X5556" s="236"/>
      <c r="Y5556" s="236"/>
    </row>
    <row r="5557" spans="2:25" ht="15" customHeight="1">
      <c r="B5557" s="249"/>
      <c r="C5557" s="1171" t="s">
        <v>10679</v>
      </c>
      <c r="D5557" s="1171" t="s">
        <v>10671</v>
      </c>
      <c r="E5557" s="1171" t="s">
        <v>461</v>
      </c>
      <c r="F5557" s="1171">
        <v>40</v>
      </c>
      <c r="G5557" s="1171">
        <v>387</v>
      </c>
      <c r="H5557" s="1171">
        <v>368</v>
      </c>
      <c r="I5557" s="1171">
        <v>760</v>
      </c>
      <c r="J5557" s="1172">
        <v>798</v>
      </c>
      <c r="K5557" s="1165"/>
      <c r="L5557" s="1165"/>
      <c r="M5557" s="91"/>
      <c r="N5557" s="91"/>
      <c r="O5557" s="91"/>
      <c r="P5557" s="91"/>
      <c r="Q5557" s="91"/>
      <c r="R5557" s="236"/>
      <c r="S5557" s="236"/>
      <c r="T5557" s="236"/>
      <c r="U5557" s="236"/>
      <c r="V5557" s="236"/>
      <c r="W5557" s="236"/>
      <c r="X5557" s="236"/>
      <c r="Y5557" s="236"/>
    </row>
    <row r="5558" spans="2:25" ht="15" customHeight="1">
      <c r="B5558" s="249"/>
      <c r="C5558" s="1171" t="s">
        <v>10679</v>
      </c>
      <c r="D5558" s="1171" t="s">
        <v>10671</v>
      </c>
      <c r="E5558" s="1171" t="s">
        <v>3604</v>
      </c>
      <c r="F5558" s="1171">
        <v>10</v>
      </c>
      <c r="G5558" s="1171">
        <v>287</v>
      </c>
      <c r="H5558" s="1171">
        <v>273</v>
      </c>
      <c r="I5558" s="1171">
        <v>140</v>
      </c>
      <c r="J5558" s="1172">
        <v>147</v>
      </c>
      <c r="K5558" s="1165"/>
      <c r="L5558" s="1165"/>
      <c r="M5558" s="91"/>
      <c r="N5558" s="91"/>
      <c r="O5558" s="91"/>
      <c r="P5558" s="91"/>
      <c r="Q5558" s="91"/>
      <c r="R5558" s="236"/>
      <c r="S5558" s="236"/>
      <c r="T5558" s="236"/>
      <c r="U5558" s="236"/>
      <c r="V5558" s="236"/>
      <c r="W5558" s="236"/>
      <c r="X5558" s="236"/>
      <c r="Y5558" s="236"/>
    </row>
    <row r="5559" spans="2:25" ht="15" customHeight="1">
      <c r="B5559" s="249"/>
      <c r="C5559" s="1171" t="s">
        <v>10680</v>
      </c>
      <c r="D5559" s="1171" t="s">
        <v>6060</v>
      </c>
      <c r="E5559" s="1171" t="s">
        <v>9781</v>
      </c>
      <c r="F5559" s="1171">
        <v>20</v>
      </c>
      <c r="G5559" s="1171">
        <v>85</v>
      </c>
      <c r="H5559" s="1171">
        <v>71.5</v>
      </c>
      <c r="I5559" s="1171">
        <v>270</v>
      </c>
      <c r="J5559" s="1172">
        <v>283.5</v>
      </c>
      <c r="K5559" s="1165"/>
      <c r="L5559" s="1165"/>
      <c r="M5559" s="91"/>
      <c r="N5559" s="91"/>
      <c r="O5559" s="91"/>
      <c r="P5559" s="91"/>
      <c r="Q5559" s="91"/>
      <c r="R5559" s="236"/>
      <c r="S5559" s="236"/>
      <c r="T5559" s="236"/>
      <c r="U5559" s="236"/>
      <c r="V5559" s="236"/>
      <c r="W5559" s="236"/>
      <c r="X5559" s="236"/>
      <c r="Y5559" s="236"/>
    </row>
    <row r="5560" spans="2:25" ht="15" customHeight="1">
      <c r="B5560" s="249"/>
      <c r="C5560" s="1171" t="s">
        <v>10680</v>
      </c>
      <c r="D5560" s="1171" t="s">
        <v>6060</v>
      </c>
      <c r="E5560" s="1171" t="s">
        <v>10681</v>
      </c>
      <c r="F5560" s="1171">
        <v>15</v>
      </c>
      <c r="G5560" s="1171">
        <v>52</v>
      </c>
      <c r="H5560" s="1171">
        <v>44</v>
      </c>
      <c r="I5560" s="1171">
        <v>120</v>
      </c>
      <c r="J5560" s="1172">
        <v>126</v>
      </c>
      <c r="K5560" s="1165"/>
      <c r="L5560" s="1165"/>
      <c r="M5560" s="91"/>
      <c r="N5560" s="91"/>
      <c r="O5560" s="91"/>
      <c r="P5560" s="91"/>
      <c r="Q5560" s="91"/>
      <c r="R5560" s="236"/>
      <c r="S5560" s="236"/>
      <c r="T5560" s="236"/>
      <c r="U5560" s="236"/>
      <c r="V5560" s="236"/>
      <c r="W5560" s="236"/>
      <c r="X5560" s="236"/>
      <c r="Y5560" s="236"/>
    </row>
    <row r="5561" spans="2:25" ht="15" customHeight="1">
      <c r="B5561" s="249"/>
      <c r="C5561" s="1171" t="s">
        <v>8439</v>
      </c>
      <c r="D5561" s="1171" t="s">
        <v>986</v>
      </c>
      <c r="E5561" s="1171" t="s">
        <v>6398</v>
      </c>
      <c r="F5561" s="1171">
        <v>13</v>
      </c>
      <c r="G5561" s="1171">
        <v>266</v>
      </c>
      <c r="H5561" s="1171">
        <v>210</v>
      </c>
      <c r="I5561" s="1171">
        <v>728</v>
      </c>
      <c r="J5561" s="1172">
        <v>764.4</v>
      </c>
      <c r="K5561" s="1165"/>
      <c r="L5561" s="1165"/>
      <c r="M5561" s="91"/>
      <c r="N5561" s="91"/>
      <c r="O5561" s="91"/>
      <c r="P5561" s="91"/>
      <c r="Q5561" s="91"/>
      <c r="R5561" s="236"/>
      <c r="S5561" s="236"/>
      <c r="T5561" s="236"/>
      <c r="U5561" s="236"/>
      <c r="V5561" s="236"/>
      <c r="W5561" s="236"/>
      <c r="X5561" s="236"/>
      <c r="Y5561" s="236"/>
    </row>
    <row r="5562" spans="2:25" ht="15" customHeight="1">
      <c r="B5562" s="249"/>
      <c r="C5562" s="1171" t="s">
        <v>10682</v>
      </c>
      <c r="D5562" s="1171" t="s">
        <v>10671</v>
      </c>
      <c r="E5562" s="1171" t="s">
        <v>461</v>
      </c>
      <c r="F5562" s="1171">
        <v>35</v>
      </c>
      <c r="G5562" s="1171">
        <v>387</v>
      </c>
      <c r="H5562" s="1171">
        <v>368</v>
      </c>
      <c r="I5562" s="1171">
        <v>665</v>
      </c>
      <c r="J5562" s="1172">
        <v>698.25</v>
      </c>
      <c r="K5562" s="1165"/>
      <c r="L5562" s="1165"/>
      <c r="M5562" s="91"/>
      <c r="N5562" s="91"/>
      <c r="O5562" s="91"/>
      <c r="P5562" s="91"/>
      <c r="Q5562" s="91"/>
      <c r="R5562" s="236"/>
      <c r="S5562" s="236"/>
      <c r="T5562" s="236"/>
      <c r="U5562" s="236"/>
      <c r="V5562" s="236"/>
      <c r="W5562" s="236"/>
      <c r="X5562" s="236"/>
      <c r="Y5562" s="236"/>
    </row>
    <row r="5563" spans="2:25" ht="15" customHeight="1">
      <c r="B5563" s="249"/>
      <c r="C5563" s="1171" t="s">
        <v>10683</v>
      </c>
      <c r="D5563" s="1171" t="s">
        <v>5869</v>
      </c>
      <c r="E5563" s="1171" t="s">
        <v>10668</v>
      </c>
      <c r="F5563" s="1171">
        <v>105</v>
      </c>
      <c r="G5563" s="1171">
        <v>175.5</v>
      </c>
      <c r="H5563" s="1171">
        <v>166</v>
      </c>
      <c r="I5563" s="1171">
        <v>997.5</v>
      </c>
      <c r="J5563" s="1172">
        <v>1047.375</v>
      </c>
      <c r="K5563" s="1165"/>
      <c r="L5563" s="1165"/>
      <c r="M5563" s="91"/>
      <c r="N5563" s="91"/>
      <c r="O5563" s="91"/>
      <c r="P5563" s="91"/>
      <c r="Q5563" s="91"/>
      <c r="R5563" s="236"/>
      <c r="S5563" s="236"/>
      <c r="T5563" s="236"/>
      <c r="U5563" s="236"/>
      <c r="V5563" s="236"/>
      <c r="W5563" s="236"/>
      <c r="X5563" s="236"/>
      <c r="Y5563" s="236"/>
    </row>
    <row r="5564" spans="2:25" ht="15" customHeight="1">
      <c r="B5564" s="249"/>
      <c r="C5564" s="1171" t="s">
        <v>10684</v>
      </c>
      <c r="D5564" s="1171" t="s">
        <v>10671</v>
      </c>
      <c r="E5564" s="1171" t="s">
        <v>461</v>
      </c>
      <c r="F5564" s="1171">
        <v>16</v>
      </c>
      <c r="G5564" s="1171">
        <v>387</v>
      </c>
      <c r="H5564" s="1171">
        <v>368</v>
      </c>
      <c r="I5564" s="1171">
        <v>304</v>
      </c>
      <c r="J5564" s="1172">
        <v>319.2</v>
      </c>
      <c r="K5564" s="1165"/>
      <c r="L5564" s="1165"/>
      <c r="M5564" s="91"/>
      <c r="N5564" s="91"/>
      <c r="O5564" s="91"/>
      <c r="P5564" s="91"/>
      <c r="Q5564" s="91"/>
      <c r="R5564" s="236"/>
      <c r="S5564" s="236"/>
      <c r="T5564" s="236"/>
      <c r="U5564" s="236"/>
      <c r="V5564" s="236"/>
      <c r="W5564" s="236"/>
      <c r="X5564" s="236"/>
      <c r="Y5564" s="236"/>
    </row>
    <row r="5565" spans="2:25" ht="15" customHeight="1">
      <c r="B5565" s="249"/>
      <c r="C5565" s="1171" t="s">
        <v>8487</v>
      </c>
      <c r="D5565" s="1171" t="s">
        <v>5869</v>
      </c>
      <c r="E5565" s="1171" t="s">
        <v>10668</v>
      </c>
      <c r="F5565" s="1171">
        <v>105</v>
      </c>
      <c r="G5565" s="1171">
        <v>175.5</v>
      </c>
      <c r="H5565" s="1171">
        <v>166</v>
      </c>
      <c r="I5565" s="1171">
        <v>997.5</v>
      </c>
      <c r="J5565" s="1172">
        <v>1047.375</v>
      </c>
      <c r="K5565" s="1165"/>
      <c r="L5565" s="1165"/>
      <c r="M5565" s="91"/>
      <c r="N5565" s="91"/>
      <c r="O5565" s="91"/>
      <c r="P5565" s="91"/>
      <c r="Q5565" s="91"/>
      <c r="R5565" s="236"/>
      <c r="S5565" s="236"/>
      <c r="T5565" s="236"/>
      <c r="U5565" s="236"/>
      <c r="V5565" s="236"/>
      <c r="W5565" s="236"/>
      <c r="X5565" s="236"/>
      <c r="Y5565" s="236"/>
    </row>
    <row r="5566" spans="2:25" ht="15" customHeight="1">
      <c r="B5566" s="249"/>
      <c r="C5566" s="1171" t="s">
        <v>10685</v>
      </c>
      <c r="D5566" s="1171" t="s">
        <v>5869</v>
      </c>
      <c r="E5566" s="1171" t="s">
        <v>10666</v>
      </c>
      <c r="F5566" s="1171">
        <v>20</v>
      </c>
      <c r="G5566" s="1171">
        <v>348</v>
      </c>
      <c r="H5566" s="1171">
        <v>324</v>
      </c>
      <c r="I5566" s="1171">
        <v>480</v>
      </c>
      <c r="J5566" s="1172">
        <v>504</v>
      </c>
      <c r="K5566" s="1165"/>
      <c r="L5566" s="1165"/>
      <c r="M5566" s="91"/>
      <c r="N5566" s="91"/>
      <c r="O5566" s="91"/>
      <c r="P5566" s="406"/>
      <c r="Q5566" s="34"/>
      <c r="R5566" s="236"/>
      <c r="S5566" s="236"/>
      <c r="T5566" s="236"/>
      <c r="U5566" s="236"/>
      <c r="V5566" s="236"/>
      <c r="W5566" s="236"/>
      <c r="X5566" s="236"/>
      <c r="Y5566" s="236"/>
    </row>
    <row r="5567" spans="2:25" ht="15" customHeight="1">
      <c r="B5567" s="249"/>
      <c r="C5567" s="1171" t="s">
        <v>10686</v>
      </c>
      <c r="D5567" s="1171" t="s">
        <v>6060</v>
      </c>
      <c r="E5567" s="1171" t="s">
        <v>10676</v>
      </c>
      <c r="F5567" s="1171">
        <v>15</v>
      </c>
      <c r="G5567" s="1171">
        <v>234</v>
      </c>
      <c r="H5567" s="1171">
        <v>198</v>
      </c>
      <c r="I5567" s="1171">
        <v>540</v>
      </c>
      <c r="J5567" s="1172">
        <v>567</v>
      </c>
      <c r="K5567" s="1165"/>
      <c r="L5567" s="1165"/>
      <c r="M5567" s="91"/>
      <c r="N5567" s="91"/>
      <c r="O5567" s="91"/>
      <c r="P5567" s="406"/>
      <c r="Q5567" s="34"/>
      <c r="R5567" s="236"/>
      <c r="S5567" s="236"/>
      <c r="T5567" s="236"/>
      <c r="U5567" s="236"/>
      <c r="V5567" s="236"/>
      <c r="W5567" s="236"/>
      <c r="X5567" s="236"/>
      <c r="Y5567" s="236"/>
    </row>
    <row r="5568" spans="2:25" ht="15" customHeight="1">
      <c r="B5568" s="249"/>
      <c r="C5568" s="1171" t="s">
        <v>8511</v>
      </c>
      <c r="D5568" s="1171" t="s">
        <v>3709</v>
      </c>
      <c r="E5568" s="1171" t="s">
        <v>10687</v>
      </c>
      <c r="F5568" s="1171">
        <v>35</v>
      </c>
      <c r="G5568" s="1171">
        <v>82</v>
      </c>
      <c r="H5568" s="1171">
        <v>72.599999999999994</v>
      </c>
      <c r="I5568" s="1171">
        <v>329</v>
      </c>
      <c r="J5568" s="1172">
        <v>345.45</v>
      </c>
      <c r="K5568" s="1165"/>
      <c r="L5568" s="1165"/>
      <c r="M5568" s="91"/>
      <c r="N5568" s="91"/>
      <c r="O5568" s="91"/>
      <c r="P5568" s="406"/>
      <c r="Q5568" s="34"/>
      <c r="R5568" s="236"/>
      <c r="S5568" s="236"/>
      <c r="T5568" s="236"/>
      <c r="U5568" s="236"/>
      <c r="V5568" s="236"/>
      <c r="W5568" s="236"/>
      <c r="X5568" s="236"/>
      <c r="Y5568" s="236"/>
    </row>
    <row r="5569" spans="2:25" ht="15" customHeight="1">
      <c r="B5569" s="249"/>
      <c r="C5569" s="1171" t="s">
        <v>8626</v>
      </c>
      <c r="D5569" s="1171" t="s">
        <v>10671</v>
      </c>
      <c r="E5569" s="1171" t="s">
        <v>461</v>
      </c>
      <c r="F5569" s="1171">
        <v>10</v>
      </c>
      <c r="G5569" s="1171">
        <v>387</v>
      </c>
      <c r="H5569" s="1171">
        <v>368</v>
      </c>
      <c r="I5569" s="1171">
        <v>190</v>
      </c>
      <c r="J5569" s="1172">
        <v>199.5</v>
      </c>
      <c r="K5569" s="1165"/>
      <c r="L5569" s="1165"/>
      <c r="M5569" s="91"/>
      <c r="N5569" s="91"/>
      <c r="O5569" s="91"/>
      <c r="P5569" s="406"/>
      <c r="Q5569" s="34"/>
      <c r="R5569" s="236"/>
      <c r="S5569" s="236"/>
      <c r="T5569" s="236"/>
      <c r="U5569" s="236"/>
      <c r="V5569" s="236"/>
      <c r="W5569" s="236"/>
      <c r="X5569" s="236"/>
      <c r="Y5569" s="236"/>
    </row>
    <row r="5570" spans="2:25" ht="15" customHeight="1">
      <c r="B5570" s="249"/>
      <c r="C5570" s="1171" t="s">
        <v>8833</v>
      </c>
      <c r="D5570" s="1171" t="s">
        <v>5869</v>
      </c>
      <c r="E5570" s="1171" t="s">
        <v>10668</v>
      </c>
      <c r="F5570" s="1171">
        <v>30</v>
      </c>
      <c r="G5570" s="1171">
        <v>175.5</v>
      </c>
      <c r="H5570" s="1171">
        <v>166</v>
      </c>
      <c r="I5570" s="1171">
        <v>285</v>
      </c>
      <c r="J5570" s="1172">
        <v>299.25</v>
      </c>
      <c r="K5570" s="1165"/>
      <c r="L5570" s="1165"/>
      <c r="M5570" s="91"/>
      <c r="N5570" s="91"/>
      <c r="O5570" s="91"/>
      <c r="P5570" s="406"/>
      <c r="Q5570" s="34"/>
      <c r="R5570" s="236"/>
      <c r="S5570" s="236"/>
      <c r="T5570" s="236"/>
      <c r="U5570" s="236"/>
      <c r="V5570" s="236"/>
      <c r="W5570" s="236"/>
      <c r="X5570" s="236"/>
      <c r="Y5570" s="236"/>
    </row>
    <row r="5571" spans="2:25" ht="15" customHeight="1">
      <c r="B5571" s="249"/>
      <c r="C5571" s="1171" t="s">
        <v>8690</v>
      </c>
      <c r="D5571" s="1171" t="s">
        <v>665</v>
      </c>
      <c r="E5571" s="1171" t="s">
        <v>8688</v>
      </c>
      <c r="F5571" s="1171">
        <v>4</v>
      </c>
      <c r="G5571" s="1171">
        <v>830</v>
      </c>
      <c r="H5571" s="1171">
        <v>783</v>
      </c>
      <c r="I5571" s="1171">
        <v>188</v>
      </c>
      <c r="J5571" s="1172">
        <v>197.4</v>
      </c>
      <c r="K5571" s="1165"/>
      <c r="L5571" s="1165"/>
      <c r="M5571" s="91"/>
      <c r="N5571" s="91"/>
      <c r="O5571" s="91"/>
      <c r="P5571" s="406"/>
      <c r="Q5571" s="34"/>
      <c r="R5571" s="236"/>
      <c r="S5571" s="236"/>
      <c r="T5571" s="236"/>
      <c r="U5571" s="236"/>
      <c r="V5571" s="236"/>
      <c r="W5571" s="236"/>
      <c r="X5571" s="236"/>
      <c r="Y5571" s="236"/>
    </row>
    <row r="5572" spans="2:25" ht="15" customHeight="1">
      <c r="B5572" s="249"/>
      <c r="C5572" s="1171" t="s">
        <v>8690</v>
      </c>
      <c r="D5572" s="1171" t="s">
        <v>665</v>
      </c>
      <c r="E5572" s="1171" t="s">
        <v>8693</v>
      </c>
      <c r="F5572" s="1171">
        <v>4</v>
      </c>
      <c r="G5572" s="1171">
        <v>93</v>
      </c>
      <c r="H5572" s="1171">
        <v>76.8</v>
      </c>
      <c r="I5572" s="1171">
        <v>64.8</v>
      </c>
      <c r="J5572" s="1172">
        <v>68.040000000000006</v>
      </c>
      <c r="K5572" s="1165"/>
      <c r="L5572" s="1165"/>
      <c r="M5572" s="91"/>
      <c r="N5572" s="91"/>
      <c r="O5572" s="91"/>
      <c r="P5572" s="236"/>
      <c r="Q5572" s="91"/>
      <c r="R5572" s="236"/>
      <c r="S5572" s="236"/>
      <c r="T5572" s="236"/>
      <c r="U5572" s="236"/>
      <c r="V5572" s="236"/>
      <c r="W5572" s="236"/>
      <c r="X5572" s="236"/>
      <c r="Y5572" s="236"/>
    </row>
    <row r="5573" spans="2:25" ht="15" customHeight="1">
      <c r="B5573" s="249"/>
      <c r="C5573" s="1171" t="s">
        <v>8806</v>
      </c>
      <c r="D5573" s="1171" t="s">
        <v>10688</v>
      </c>
      <c r="E5573" s="1171" t="s">
        <v>8805</v>
      </c>
      <c r="F5573" s="1171">
        <v>15</v>
      </c>
      <c r="G5573" s="1171">
        <v>128</v>
      </c>
      <c r="H5573" s="1171">
        <v>121</v>
      </c>
      <c r="I5573" s="1171">
        <v>105</v>
      </c>
      <c r="J5573" s="1172">
        <v>110.25</v>
      </c>
      <c r="K5573" s="1165"/>
      <c r="L5573" s="1165"/>
      <c r="M5573" s="91"/>
      <c r="N5573" s="91"/>
      <c r="O5573" s="91"/>
      <c r="P5573" s="236"/>
      <c r="Q5573" s="236"/>
      <c r="R5573" s="236"/>
      <c r="S5573" s="236"/>
      <c r="T5573" s="236"/>
      <c r="U5573" s="236"/>
      <c r="V5573" s="236"/>
      <c r="W5573" s="236"/>
      <c r="X5573" s="236"/>
      <c r="Y5573" s="236"/>
    </row>
    <row r="5574" spans="2:25" ht="15" customHeight="1">
      <c r="B5574" s="249"/>
      <c r="C5574" s="1171" t="s">
        <v>8839</v>
      </c>
      <c r="D5574" s="1171" t="s">
        <v>5869</v>
      </c>
      <c r="E5574" s="1171" t="s">
        <v>10668</v>
      </c>
      <c r="F5574" s="1171">
        <v>70</v>
      </c>
      <c r="G5574" s="1171">
        <v>175.5</v>
      </c>
      <c r="H5574" s="1171">
        <v>166</v>
      </c>
      <c r="I5574" s="1171">
        <v>665</v>
      </c>
      <c r="J5574" s="1172">
        <v>698.25</v>
      </c>
      <c r="K5574" s="1165"/>
      <c r="L5574" s="1165"/>
      <c r="M5574" s="91"/>
      <c r="N5574" s="91"/>
      <c r="O5574" s="91"/>
      <c r="P5574" s="236"/>
      <c r="Q5574" s="236"/>
      <c r="R5574" s="236"/>
      <c r="S5574" s="236"/>
      <c r="T5574" s="236"/>
      <c r="U5574" s="236"/>
      <c r="V5574" s="236"/>
      <c r="W5574" s="236"/>
      <c r="X5574" s="236"/>
      <c r="Y5574" s="236"/>
    </row>
    <row r="5575" spans="2:25" ht="15" customHeight="1">
      <c r="B5575" s="249"/>
      <c r="C5575" s="1171" t="s">
        <v>8850</v>
      </c>
      <c r="D5575" s="1171" t="s">
        <v>5869</v>
      </c>
      <c r="E5575" s="1171" t="s">
        <v>10668</v>
      </c>
      <c r="F5575" s="1171">
        <v>100</v>
      </c>
      <c r="G5575" s="1171">
        <v>175.5</v>
      </c>
      <c r="H5575" s="1171">
        <v>166</v>
      </c>
      <c r="I5575" s="1171">
        <v>950</v>
      </c>
      <c r="J5575" s="1172">
        <v>997.5</v>
      </c>
      <c r="K5575" s="1165"/>
      <c r="L5575" s="1165"/>
      <c r="M5575" s="91"/>
      <c r="N5575" s="91"/>
      <c r="O5575" s="91"/>
      <c r="P5575" s="236"/>
      <c r="Q5575" s="236"/>
      <c r="R5575" s="236"/>
      <c r="S5575" s="236"/>
      <c r="T5575" s="236"/>
      <c r="U5575" s="236"/>
      <c r="V5575" s="236"/>
      <c r="W5575" s="236"/>
      <c r="X5575" s="236"/>
      <c r="Y5575" s="236"/>
    </row>
    <row r="5576" spans="2:25" ht="15" customHeight="1">
      <c r="B5576" s="249"/>
      <c r="C5576" s="1171" t="s">
        <v>8844</v>
      </c>
      <c r="D5576" s="1171" t="s">
        <v>10671</v>
      </c>
      <c r="E5576" s="1171" t="s">
        <v>461</v>
      </c>
      <c r="F5576" s="1171">
        <v>20</v>
      </c>
      <c r="G5576" s="1171">
        <v>387</v>
      </c>
      <c r="H5576" s="1171">
        <v>368</v>
      </c>
      <c r="I5576" s="1171">
        <v>380</v>
      </c>
      <c r="J5576" s="1172">
        <v>399</v>
      </c>
      <c r="K5576" s="1165"/>
      <c r="L5576" s="1165"/>
      <c r="M5576" s="91"/>
      <c r="N5576" s="91"/>
      <c r="O5576" s="91"/>
      <c r="P5576" s="236"/>
      <c r="Q5576" s="236"/>
      <c r="R5576" s="236"/>
      <c r="S5576" s="236"/>
      <c r="T5576" s="236"/>
      <c r="U5576" s="236"/>
      <c r="V5576" s="236"/>
      <c r="W5576" s="236"/>
      <c r="X5576" s="236"/>
      <c r="Y5576" s="236"/>
    </row>
    <row r="5577" spans="2:25" ht="15" customHeight="1">
      <c r="B5577" s="249"/>
      <c r="C5577" s="1171" t="s">
        <v>8888</v>
      </c>
      <c r="D5577" s="1171" t="s">
        <v>5869</v>
      </c>
      <c r="E5577" s="1171" t="s">
        <v>10666</v>
      </c>
      <c r="F5577" s="1171">
        <v>10</v>
      </c>
      <c r="G5577" s="1171">
        <v>331</v>
      </c>
      <c r="H5577" s="1171">
        <v>307</v>
      </c>
      <c r="I5577" s="1171">
        <v>240</v>
      </c>
      <c r="J5577" s="1172">
        <v>252</v>
      </c>
      <c r="K5577" s="1165"/>
      <c r="L5577" s="1165"/>
      <c r="M5577" s="91"/>
      <c r="N5577" s="91"/>
      <c r="O5577" s="91"/>
      <c r="P5577" s="236"/>
      <c r="Q5577" s="236"/>
      <c r="R5577" s="236"/>
      <c r="S5577" s="236"/>
      <c r="T5577" s="236"/>
      <c r="U5577" s="236"/>
      <c r="V5577" s="236"/>
      <c r="W5577" s="236"/>
      <c r="X5577" s="236"/>
      <c r="Y5577" s="236"/>
    </row>
    <row r="5578" spans="2:25" ht="15" customHeight="1">
      <c r="B5578" s="249"/>
      <c r="C5578" s="1171" t="s">
        <v>9001</v>
      </c>
      <c r="D5578" s="1171" t="s">
        <v>10671</v>
      </c>
      <c r="E5578" s="1171" t="s">
        <v>461</v>
      </c>
      <c r="F5578" s="1171">
        <v>25</v>
      </c>
      <c r="G5578" s="1171">
        <v>387</v>
      </c>
      <c r="H5578" s="1171">
        <v>368</v>
      </c>
      <c r="I5578" s="1171">
        <v>475</v>
      </c>
      <c r="J5578" s="1172">
        <v>498.75</v>
      </c>
      <c r="K5578" s="1165"/>
      <c r="L5578" s="1165"/>
      <c r="M5578" s="91"/>
      <c r="N5578" s="91"/>
      <c r="O5578" s="91"/>
      <c r="P5578" s="236"/>
      <c r="Q5578" s="236"/>
      <c r="R5578" s="236"/>
      <c r="S5578" s="236"/>
      <c r="T5578" s="236"/>
      <c r="U5578" s="236"/>
      <c r="V5578" s="236"/>
      <c r="W5578" s="236"/>
      <c r="X5578" s="236"/>
      <c r="Y5578" s="236"/>
    </row>
    <row r="5579" spans="2:25" ht="15" customHeight="1">
      <c r="B5579" s="249"/>
      <c r="C5579" s="1171" t="s">
        <v>9013</v>
      </c>
      <c r="D5579" s="1171" t="s">
        <v>5869</v>
      </c>
      <c r="E5579" s="1171" t="s">
        <v>10668</v>
      </c>
      <c r="F5579" s="1171">
        <v>100</v>
      </c>
      <c r="G5579" s="1171">
        <v>166.5</v>
      </c>
      <c r="H5579" s="1171">
        <v>157</v>
      </c>
      <c r="I5579" s="1171">
        <v>950</v>
      </c>
      <c r="J5579" s="1172">
        <v>997.5</v>
      </c>
      <c r="K5579" s="1165"/>
      <c r="L5579" s="1165"/>
      <c r="M5579" s="91"/>
      <c r="N5579" s="91"/>
      <c r="O5579" s="91"/>
      <c r="P5579" s="236"/>
      <c r="Q5579" s="236"/>
      <c r="R5579" s="236"/>
      <c r="S5579" s="236"/>
      <c r="T5579" s="236"/>
      <c r="U5579" s="236"/>
      <c r="V5579" s="236"/>
      <c r="W5579" s="236"/>
      <c r="X5579" s="236"/>
      <c r="Y5579" s="236"/>
    </row>
    <row r="5580" spans="2:25" ht="15" customHeight="1">
      <c r="B5580" s="249"/>
      <c r="C5580" s="1171" t="s">
        <v>9016</v>
      </c>
      <c r="D5580" s="1171" t="s">
        <v>5869</v>
      </c>
      <c r="E5580" s="1171" t="s">
        <v>10666</v>
      </c>
      <c r="F5580" s="1171">
        <v>10</v>
      </c>
      <c r="G5580" s="1171">
        <v>331</v>
      </c>
      <c r="H5580" s="1171">
        <v>307</v>
      </c>
      <c r="I5580" s="1171">
        <v>240</v>
      </c>
      <c r="J5580" s="1172">
        <v>252</v>
      </c>
      <c r="K5580" s="1165"/>
      <c r="L5580" s="1165"/>
      <c r="M5580" s="91"/>
      <c r="N5580" s="91"/>
      <c r="O5580" s="91"/>
      <c r="P5580" s="236"/>
      <c r="Q5580" s="236"/>
      <c r="R5580" s="236"/>
      <c r="S5580" s="236"/>
      <c r="T5580" s="236"/>
      <c r="U5580" s="236"/>
      <c r="V5580" s="236"/>
      <c r="W5580" s="236"/>
      <c r="X5580" s="236"/>
      <c r="Y5580" s="236"/>
    </row>
    <row r="5581" spans="2:25" ht="15" customHeight="1">
      <c r="B5581" s="249"/>
      <c r="C5581" s="1171" t="s">
        <v>9142</v>
      </c>
      <c r="D5581" s="1171" t="s">
        <v>5869</v>
      </c>
      <c r="E5581" s="1171" t="s">
        <v>10668</v>
      </c>
      <c r="F5581" s="1171">
        <v>100</v>
      </c>
      <c r="G5581" s="1171">
        <v>166.5</v>
      </c>
      <c r="H5581" s="1171">
        <v>157</v>
      </c>
      <c r="I5581" s="1171">
        <v>950</v>
      </c>
      <c r="J5581" s="1172">
        <v>997.5</v>
      </c>
      <c r="K5581" s="1165"/>
      <c r="L5581" s="1165"/>
      <c r="M5581" s="91"/>
      <c r="N5581" s="91"/>
      <c r="O5581" s="91"/>
      <c r="P5581" s="236"/>
      <c r="Q5581" s="236"/>
      <c r="R5581" s="236"/>
      <c r="S5581" s="236"/>
      <c r="T5581" s="236"/>
      <c r="U5581" s="236"/>
      <c r="V5581" s="236"/>
      <c r="W5581" s="236"/>
      <c r="X5581" s="236"/>
      <c r="Y5581" s="236"/>
    </row>
    <row r="5582" spans="2:25" ht="15" customHeight="1">
      <c r="B5582" s="249"/>
      <c r="C5582" s="1171" t="s">
        <v>9142</v>
      </c>
      <c r="D5582" s="1171" t="s">
        <v>5869</v>
      </c>
      <c r="E5582" s="1171" t="s">
        <v>10666</v>
      </c>
      <c r="F5582" s="1171">
        <v>20</v>
      </c>
      <c r="G5582" s="1171">
        <v>331</v>
      </c>
      <c r="H5582" s="1171">
        <v>307</v>
      </c>
      <c r="I5582" s="1171">
        <v>480</v>
      </c>
      <c r="J5582" s="1172">
        <v>504</v>
      </c>
      <c r="K5582" s="1165"/>
      <c r="L5582" s="1165"/>
      <c r="M5582" s="91"/>
      <c r="N5582" s="91"/>
      <c r="O5582" s="91"/>
      <c r="P5582" s="236"/>
      <c r="Q5582" s="236"/>
      <c r="R5582" s="236"/>
      <c r="S5582" s="236"/>
      <c r="T5582" s="236"/>
      <c r="U5582" s="236"/>
      <c r="V5582" s="236"/>
      <c r="W5582" s="236"/>
      <c r="X5582" s="236"/>
      <c r="Y5582" s="236"/>
    </row>
    <row r="5583" spans="2:25" ht="15" customHeight="1">
      <c r="B5583" s="249"/>
      <c r="C5583" s="678" t="s">
        <v>9174</v>
      </c>
      <c r="D5583" s="678" t="s">
        <v>5869</v>
      </c>
      <c r="E5583" s="678" t="s">
        <v>10668</v>
      </c>
      <c r="F5583" s="678">
        <v>100</v>
      </c>
      <c r="G5583" s="678">
        <v>166.5</v>
      </c>
      <c r="H5583" s="678">
        <v>157</v>
      </c>
      <c r="I5583" s="678">
        <v>950</v>
      </c>
      <c r="J5583" s="1169">
        <v>997.5</v>
      </c>
      <c r="K5583" s="1165"/>
      <c r="L5583" s="1165"/>
      <c r="M5583" s="91"/>
      <c r="N5583" s="91"/>
      <c r="O5583" s="91"/>
      <c r="P5583" s="236"/>
      <c r="Q5583" s="236"/>
      <c r="R5583" s="236"/>
      <c r="S5583" s="236"/>
      <c r="T5583" s="236"/>
      <c r="U5583" s="236"/>
      <c r="V5583" s="236"/>
      <c r="W5583" s="236"/>
      <c r="X5583" s="236"/>
      <c r="Y5583" s="236"/>
    </row>
    <row r="5584" spans="2:25" ht="15" customHeight="1">
      <c r="B5584" s="249"/>
      <c r="C5584" s="1174" t="s">
        <v>9260</v>
      </c>
      <c r="D5584" s="1174" t="s">
        <v>10671</v>
      </c>
      <c r="E5584" s="1174" t="s">
        <v>461</v>
      </c>
      <c r="F5584" s="1174">
        <v>25</v>
      </c>
      <c r="G5584" s="1174">
        <v>387</v>
      </c>
      <c r="H5584" s="1174">
        <v>368</v>
      </c>
      <c r="I5584" s="1174">
        <v>475</v>
      </c>
      <c r="J5584" s="1175">
        <v>498.75</v>
      </c>
      <c r="K5584" s="1165"/>
      <c r="L5584" s="1165"/>
      <c r="M5584" s="91"/>
      <c r="N5584" s="91"/>
      <c r="O5584" s="91"/>
      <c r="P5584" s="236"/>
      <c r="Q5584" s="236"/>
      <c r="R5584" s="236"/>
      <c r="S5584" s="236"/>
      <c r="T5584" s="236"/>
      <c r="U5584" s="236"/>
      <c r="V5584" s="236"/>
      <c r="W5584" s="236"/>
      <c r="X5584" s="236"/>
      <c r="Y5584" s="236"/>
    </row>
    <row r="5585" spans="1:25" ht="15" customHeight="1">
      <c r="B5585" s="249"/>
      <c r="C5585" s="1174" t="s">
        <v>9450</v>
      </c>
      <c r="D5585" s="1174" t="s">
        <v>10671</v>
      </c>
      <c r="E5585" s="1174" t="s">
        <v>461</v>
      </c>
      <c r="F5585" s="1174">
        <v>40</v>
      </c>
      <c r="G5585" s="1174">
        <v>387</v>
      </c>
      <c r="H5585" s="1174">
        <v>368</v>
      </c>
      <c r="I5585" s="1174">
        <v>760</v>
      </c>
      <c r="J5585" s="1175">
        <v>798</v>
      </c>
      <c r="K5585" s="1176"/>
      <c r="L5585" s="1490"/>
      <c r="M5585" s="927"/>
      <c r="N5585" s="927"/>
      <c r="O5585" s="927"/>
      <c r="P5585" s="236"/>
      <c r="Q5585" s="236"/>
      <c r="R5585" s="236"/>
      <c r="S5585" s="236"/>
      <c r="T5585" s="236"/>
      <c r="U5585" s="236"/>
      <c r="V5585" s="236"/>
      <c r="W5585" s="236"/>
      <c r="X5585" s="236"/>
      <c r="Y5585" s="236"/>
    </row>
    <row r="5586" spans="1:25" ht="15" customHeight="1">
      <c r="B5586" s="249"/>
      <c r="C5586" s="1174" t="s">
        <v>9552</v>
      </c>
      <c r="D5586" s="1174" t="s">
        <v>5869</v>
      </c>
      <c r="E5586" s="1174" t="s">
        <v>10666</v>
      </c>
      <c r="F5586" s="1174">
        <v>10</v>
      </c>
      <c r="G5586" s="1174">
        <v>331</v>
      </c>
      <c r="H5586" s="1174">
        <v>307</v>
      </c>
      <c r="I5586" s="1174">
        <v>240</v>
      </c>
      <c r="J5586" s="1175">
        <v>252</v>
      </c>
      <c r="K5586" s="1165"/>
      <c r="L5586" s="1165"/>
      <c r="M5586" s="91"/>
      <c r="N5586" s="91"/>
      <c r="O5586" s="91"/>
      <c r="P5586" s="34"/>
      <c r="Q5586" s="217">
        <f>(P5586*F5646)*1.05</f>
        <v>0</v>
      </c>
      <c r="R5586" s="236"/>
      <c r="S5586" s="236"/>
      <c r="T5586" s="236"/>
      <c r="U5586" s="236"/>
      <c r="V5586" s="236"/>
      <c r="W5586" s="236"/>
      <c r="X5586" s="236"/>
      <c r="Y5586" s="236"/>
    </row>
    <row r="5587" spans="1:25" ht="15" customHeight="1">
      <c r="B5587" s="249"/>
      <c r="C5587" s="678" t="s">
        <v>9914</v>
      </c>
      <c r="D5587" s="678" t="s">
        <v>5869</v>
      </c>
      <c r="E5587" s="76" t="s">
        <v>9913</v>
      </c>
      <c r="F5587" s="678">
        <v>100</v>
      </c>
      <c r="G5587" s="678">
        <v>166.5</v>
      </c>
      <c r="H5587" s="678">
        <v>157</v>
      </c>
      <c r="I5587" s="678">
        <v>950</v>
      </c>
      <c r="J5587" s="1169">
        <v>997.5</v>
      </c>
      <c r="K5587" s="1165"/>
      <c r="L5587" s="1165"/>
      <c r="M5587" s="91"/>
      <c r="N5587" s="91"/>
      <c r="O5587" s="91"/>
      <c r="P5587" s="34"/>
      <c r="Q5587" s="217">
        <f>(P5587*F5647)*1.05</f>
        <v>0</v>
      </c>
      <c r="R5587" s="236"/>
      <c r="S5587" s="236"/>
      <c r="T5587" s="236"/>
      <c r="U5587" s="236"/>
      <c r="V5587" s="236"/>
      <c r="W5587" s="236"/>
      <c r="X5587" s="236"/>
      <c r="Y5587" s="236"/>
    </row>
    <row r="5588" spans="1:25" ht="15" customHeight="1">
      <c r="B5588" s="249"/>
      <c r="C5588" s="1174" t="s">
        <v>9816</v>
      </c>
      <c r="D5588" s="1174" t="s">
        <v>10671</v>
      </c>
      <c r="E5588" s="1174" t="s">
        <v>461</v>
      </c>
      <c r="F5588" s="1174">
        <v>35</v>
      </c>
      <c r="G5588" s="1174">
        <v>387</v>
      </c>
      <c r="H5588" s="1174">
        <v>368</v>
      </c>
      <c r="I5588" s="678">
        <v>665</v>
      </c>
      <c r="J5588" s="1169">
        <v>698.25</v>
      </c>
      <c r="K5588" s="1165"/>
      <c r="L5588" s="1165"/>
      <c r="M5588" s="91"/>
      <c r="N5588" s="91"/>
      <c r="O5588" s="91"/>
      <c r="P5588" s="34"/>
      <c r="Q5588" s="217">
        <f>(P5588*F5648)*1.05</f>
        <v>0</v>
      </c>
      <c r="R5588" s="236"/>
      <c r="S5588" s="236"/>
      <c r="T5588" s="236"/>
      <c r="U5588" s="236"/>
      <c r="V5588" s="236"/>
      <c r="W5588" s="236"/>
      <c r="X5588" s="236"/>
      <c r="Y5588" s="236"/>
    </row>
    <row r="5589" spans="1:25" ht="15" customHeight="1">
      <c r="B5589" s="249"/>
      <c r="C5589" s="1174" t="s">
        <v>9816</v>
      </c>
      <c r="D5589" s="1174" t="s">
        <v>10671</v>
      </c>
      <c r="E5589" s="1174" t="s">
        <v>3604</v>
      </c>
      <c r="F5589" s="1174">
        <v>3</v>
      </c>
      <c r="G5589" s="1174">
        <v>287</v>
      </c>
      <c r="H5589" s="1174">
        <v>273</v>
      </c>
      <c r="I5589" s="678">
        <v>42</v>
      </c>
      <c r="J5589" s="1169">
        <v>44.1</v>
      </c>
      <c r="K5589" s="1165"/>
      <c r="L5589" s="1165"/>
      <c r="M5589" s="91"/>
      <c r="N5589" s="91"/>
      <c r="O5589" s="91"/>
      <c r="P5589" s="34"/>
      <c r="Q5589" s="217">
        <f>(P5589*F5649)*1.05</f>
        <v>0</v>
      </c>
      <c r="R5589" s="236"/>
      <c r="S5589" s="236"/>
      <c r="T5589" s="236"/>
      <c r="U5589" s="236"/>
      <c r="V5589" s="236"/>
      <c r="W5589" s="236"/>
      <c r="X5589" s="236"/>
      <c r="Y5589" s="236"/>
    </row>
    <row r="5590" spans="1:25" ht="15" customHeight="1">
      <c r="B5590" s="249"/>
      <c r="C5590" s="1174" t="s">
        <v>10689</v>
      </c>
      <c r="D5590" s="1174" t="s">
        <v>5869</v>
      </c>
      <c r="E5590" s="1174" t="s">
        <v>10666</v>
      </c>
      <c r="F5590" s="1174">
        <v>10</v>
      </c>
      <c r="G5590" s="1174">
        <v>331</v>
      </c>
      <c r="H5590" s="1174">
        <v>307</v>
      </c>
      <c r="I5590" s="1174">
        <v>240</v>
      </c>
      <c r="J5590" s="1175">
        <v>252</v>
      </c>
      <c r="K5590" s="1165"/>
      <c r="L5590" s="1165"/>
      <c r="M5590" s="91"/>
      <c r="N5590" s="91"/>
      <c r="O5590" s="91"/>
      <c r="P5590" s="34"/>
      <c r="Q5590" s="34">
        <f>(P5590*F5650)*1.05</f>
        <v>0</v>
      </c>
      <c r="R5590" s="236"/>
      <c r="S5590" s="236"/>
      <c r="T5590" s="236"/>
      <c r="U5590" s="236"/>
      <c r="V5590" s="236"/>
      <c r="W5590" s="236"/>
      <c r="X5590" s="236"/>
      <c r="Y5590" s="236"/>
    </row>
    <row r="5591" spans="1:25" ht="15" customHeight="1">
      <c r="B5591" s="249"/>
      <c r="C5591" s="1174" t="s">
        <v>9923</v>
      </c>
      <c r="D5591" s="1174" t="s">
        <v>10671</v>
      </c>
      <c r="E5591" s="1174" t="s">
        <v>461</v>
      </c>
      <c r="F5591" s="1174">
        <v>40</v>
      </c>
      <c r="G5591" s="1174">
        <v>387</v>
      </c>
      <c r="H5591" s="1174">
        <v>368</v>
      </c>
      <c r="I5591" s="678">
        <v>760</v>
      </c>
      <c r="J5591" s="1169">
        <v>798</v>
      </c>
      <c r="K5591" s="1165"/>
      <c r="L5591" s="1165"/>
      <c r="M5591" s="91"/>
      <c r="N5591" s="91"/>
      <c r="O5591" s="91"/>
      <c r="P5591" s="91"/>
      <c r="Q5591" s="91"/>
      <c r="R5591" s="236"/>
      <c r="S5591" s="236"/>
      <c r="T5591" s="236"/>
      <c r="U5591" s="236"/>
      <c r="V5591" s="236"/>
      <c r="W5591" s="236"/>
      <c r="X5591" s="236"/>
      <c r="Y5591" s="236"/>
    </row>
    <row r="5592" spans="1:25" ht="15" customHeight="1">
      <c r="B5592" s="249"/>
      <c r="C5592" s="1174" t="s">
        <v>9923</v>
      </c>
      <c r="D5592" s="1174" t="s">
        <v>10671</v>
      </c>
      <c r="E5592" s="1174" t="s">
        <v>3604</v>
      </c>
      <c r="F5592" s="1174">
        <v>9</v>
      </c>
      <c r="G5592" s="1174">
        <v>287</v>
      </c>
      <c r="H5592" s="1174">
        <v>273</v>
      </c>
      <c r="I5592" s="678">
        <v>126</v>
      </c>
      <c r="J5592" s="1175">
        <v>132.30000000000001</v>
      </c>
      <c r="K5592" s="1165"/>
      <c r="L5592" s="1165"/>
      <c r="M5592" s="91"/>
      <c r="N5592" s="91"/>
      <c r="O5592" s="91"/>
      <c r="P5592" s="236"/>
      <c r="Q5592" s="236"/>
      <c r="R5592" s="236"/>
      <c r="S5592" s="236"/>
      <c r="T5592" s="236"/>
      <c r="U5592" s="236"/>
      <c r="V5592" s="236"/>
      <c r="W5592" s="236"/>
      <c r="X5592" s="236"/>
      <c r="Y5592" s="236"/>
    </row>
    <row r="5593" spans="1:25" ht="15" customHeight="1">
      <c r="B5593" s="249"/>
      <c r="C5593" s="678" t="s">
        <v>10052</v>
      </c>
      <c r="D5593" s="678" t="s">
        <v>5869</v>
      </c>
      <c r="E5593" s="76" t="s">
        <v>9913</v>
      </c>
      <c r="F5593" s="678">
        <v>100</v>
      </c>
      <c r="G5593" s="678">
        <v>160</v>
      </c>
      <c r="H5593" s="678">
        <v>157</v>
      </c>
      <c r="I5593" s="678">
        <v>300</v>
      </c>
      <c r="J5593" s="1169">
        <v>315</v>
      </c>
      <c r="K5593" s="1165"/>
      <c r="L5593" s="1165"/>
      <c r="M5593" s="91"/>
      <c r="N5593" s="91"/>
      <c r="O5593" s="91"/>
      <c r="P5593" s="236"/>
      <c r="Q5593" s="236"/>
      <c r="R5593" s="236"/>
      <c r="S5593" s="236"/>
      <c r="T5593" s="236"/>
      <c r="U5593" s="236"/>
      <c r="V5593" s="236"/>
      <c r="W5593" s="236"/>
      <c r="X5593" s="236"/>
      <c r="Y5593" s="236"/>
    </row>
    <row r="5594" spans="1:25" ht="15" customHeight="1">
      <c r="B5594" s="249"/>
      <c r="C5594" s="1174" t="s">
        <v>10690</v>
      </c>
      <c r="D5594" s="1174" t="s">
        <v>5869</v>
      </c>
      <c r="E5594" s="1174" t="s">
        <v>10666</v>
      </c>
      <c r="F5594" s="1174">
        <v>20</v>
      </c>
      <c r="G5594" s="1174">
        <v>331</v>
      </c>
      <c r="H5594" s="1174">
        <v>307</v>
      </c>
      <c r="I5594" s="678">
        <v>480</v>
      </c>
      <c r="J5594" s="1169">
        <v>504</v>
      </c>
      <c r="K5594" s="1165"/>
      <c r="L5594" s="1165"/>
      <c r="M5594" s="91"/>
      <c r="N5594" s="91"/>
      <c r="O5594" s="91"/>
      <c r="P5594" s="236"/>
      <c r="Q5594" s="236"/>
      <c r="R5594" s="236"/>
      <c r="S5594" s="236"/>
      <c r="T5594" s="236"/>
      <c r="U5594" s="236"/>
      <c r="V5594" s="236"/>
      <c r="W5594" s="236"/>
      <c r="X5594" s="236"/>
      <c r="Y5594" s="236"/>
    </row>
    <row r="5595" spans="1:25" ht="15" customHeight="1">
      <c r="B5595" s="249"/>
      <c r="C5595" s="678"/>
      <c r="D5595" s="1174"/>
      <c r="E5595" s="678"/>
      <c r="F5595" s="678"/>
      <c r="G5595" s="678"/>
      <c r="H5595" s="678"/>
      <c r="I5595" s="678"/>
      <c r="J5595" s="1169"/>
      <c r="K5595" s="1165"/>
      <c r="L5595" s="1165"/>
      <c r="M5595" s="91"/>
      <c r="N5595" s="91"/>
      <c r="O5595" s="91"/>
      <c r="P5595" s="236"/>
      <c r="Q5595" s="236"/>
      <c r="R5595" s="236"/>
      <c r="S5595" s="236"/>
      <c r="T5595" s="236"/>
      <c r="U5595" s="236"/>
      <c r="V5595" s="236"/>
      <c r="W5595" s="236"/>
      <c r="X5595" s="236"/>
      <c r="Y5595" s="236"/>
    </row>
    <row r="5596" spans="1:25" ht="15" customHeight="1">
      <c r="A5596" s="204"/>
      <c r="B5596" s="70"/>
      <c r="C5596" s="148"/>
      <c r="D5596" s="912"/>
      <c r="E5596" s="913"/>
      <c r="F5596" s="24"/>
      <c r="G5596" s="25"/>
      <c r="H5596" s="914"/>
      <c r="I5596" s="61"/>
      <c r="J5596" s="448"/>
      <c r="K5596" s="44"/>
      <c r="L5596" s="44"/>
      <c r="M5596" s="44"/>
      <c r="N5596" s="66"/>
      <c r="O5596" s="31"/>
      <c r="P5596" s="236"/>
      <c r="Q5596" s="236"/>
      <c r="R5596" s="236"/>
      <c r="S5596" s="236"/>
      <c r="T5596" s="236"/>
      <c r="U5596" s="236"/>
      <c r="V5596" s="236"/>
      <c r="W5596" s="236"/>
      <c r="X5596" s="236"/>
      <c r="Y5596" s="236"/>
    </row>
    <row r="5597" spans="1:25" ht="15" customHeight="1">
      <c r="A5597" s="204"/>
      <c r="B5597" s="70"/>
      <c r="C5597" s="148"/>
      <c r="D5597" s="912"/>
      <c r="E5597" s="913"/>
      <c r="F5597" s="24"/>
      <c r="G5597" s="25"/>
      <c r="H5597" s="914"/>
      <c r="I5597" s="61"/>
      <c r="J5597" s="448"/>
      <c r="K5597" s="44"/>
      <c r="L5597" s="44"/>
      <c r="M5597" s="44"/>
      <c r="N5597" s="66"/>
      <c r="O5597" s="31"/>
      <c r="P5597" s="236"/>
      <c r="Q5597" s="236"/>
      <c r="R5597" s="236"/>
      <c r="S5597" s="236"/>
      <c r="T5597" s="236"/>
      <c r="U5597" s="236"/>
      <c r="V5597" s="236"/>
      <c r="W5597" s="236"/>
      <c r="X5597" s="236"/>
      <c r="Y5597" s="236"/>
    </row>
    <row r="5598" spans="1:25" ht="15" customHeight="1">
      <c r="A5598" s="204"/>
      <c r="B5598" s="70"/>
      <c r="C5598" s="148"/>
      <c r="D5598" s="912"/>
      <c r="E5598" s="322"/>
      <c r="F5598" s="24"/>
      <c r="G5598" s="25"/>
      <c r="H5598" s="914"/>
      <c r="I5598" s="61"/>
      <c r="J5598" s="448"/>
      <c r="M5598" s="44"/>
      <c r="N5598" s="66"/>
      <c r="O5598" s="31"/>
      <c r="P5598" s="236"/>
      <c r="Q5598" s="236"/>
      <c r="R5598" s="236"/>
      <c r="S5598" s="236"/>
      <c r="T5598" s="236"/>
      <c r="U5598" s="236"/>
      <c r="V5598" s="236"/>
      <c r="W5598" s="236"/>
      <c r="X5598" s="236"/>
      <c r="Y5598" s="236"/>
    </row>
    <row r="5599" spans="1:25" ht="15" customHeight="1">
      <c r="A5599" s="204"/>
      <c r="B5599" s="70"/>
      <c r="C5599" s="148"/>
      <c r="D5599" s="24"/>
      <c r="E5599" s="322"/>
      <c r="F5599" s="24"/>
      <c r="G5599" s="25"/>
      <c r="H5599" s="914"/>
      <c r="I5599" s="61"/>
      <c r="J5599" s="448"/>
      <c r="K5599" s="44"/>
      <c r="L5599" s="44"/>
      <c r="M5599" s="44"/>
      <c r="N5599" s="66"/>
      <c r="O5599" s="31"/>
      <c r="P5599" s="236"/>
      <c r="Q5599" s="236"/>
      <c r="R5599" s="236"/>
      <c r="S5599" s="236"/>
      <c r="T5599" s="236"/>
      <c r="U5599" s="236"/>
      <c r="V5599" s="236"/>
      <c r="W5599" s="236"/>
      <c r="X5599" s="236"/>
      <c r="Y5599" s="236"/>
    </row>
    <row r="5600" spans="1:25" ht="15" customHeight="1">
      <c r="A5600" s="204"/>
      <c r="B5600" s="70"/>
      <c r="C5600" s="148"/>
      <c r="D5600" s="912"/>
      <c r="F5600" s="24"/>
      <c r="G5600" s="25"/>
      <c r="H5600" s="914"/>
      <c r="I5600" s="61"/>
      <c r="J5600" s="448"/>
      <c r="K5600" s="44"/>
      <c r="L5600" s="44"/>
      <c r="M5600" s="44"/>
      <c r="N5600" s="66"/>
      <c r="O5600" s="31"/>
      <c r="P5600" s="236"/>
      <c r="Q5600" s="236"/>
      <c r="R5600" s="236"/>
      <c r="S5600" s="236"/>
      <c r="T5600" s="236"/>
      <c r="U5600" s="236"/>
      <c r="V5600" s="236"/>
      <c r="W5600" s="236"/>
      <c r="X5600" s="236"/>
      <c r="Y5600" s="236"/>
    </row>
    <row r="5601" spans="1:25" ht="15" customHeight="1">
      <c r="A5601" s="204"/>
      <c r="B5601" s="70"/>
      <c r="C5601" s="148"/>
      <c r="D5601" s="912"/>
      <c r="E5601" s="246"/>
      <c r="F5601" s="24"/>
      <c r="G5601" s="48"/>
      <c r="H5601" s="914"/>
      <c r="I5601" s="61"/>
      <c r="J5601" s="448"/>
      <c r="K5601" s="44"/>
      <c r="L5601" s="44"/>
      <c r="M5601" s="44"/>
      <c r="N5601" s="66"/>
      <c r="O5601" s="31"/>
      <c r="P5601" s="236"/>
      <c r="Q5601" s="236"/>
      <c r="R5601" s="236"/>
      <c r="S5601" s="236"/>
      <c r="T5601" s="236"/>
      <c r="U5601" s="236"/>
      <c r="V5601" s="236"/>
      <c r="W5601" s="236"/>
      <c r="X5601" s="236"/>
      <c r="Y5601" s="236"/>
    </row>
    <row r="5602" spans="1:25" ht="15" customHeight="1">
      <c r="A5602" s="204"/>
      <c r="B5602" s="70"/>
      <c r="C5602" s="148"/>
      <c r="D5602" s="912"/>
      <c r="F5602" s="24"/>
      <c r="G5602" s="48"/>
      <c r="H5602" s="914"/>
      <c r="I5602" s="61"/>
      <c r="J5602" s="448"/>
      <c r="K5602" s="44"/>
      <c r="L5602" s="44"/>
      <c r="M5602" s="44"/>
      <c r="N5602" s="66"/>
      <c r="O5602" s="31"/>
      <c r="P5602" s="236"/>
      <c r="Q5602" s="236"/>
      <c r="R5602" s="236"/>
      <c r="S5602" s="236"/>
      <c r="T5602" s="236"/>
      <c r="U5602" s="236"/>
      <c r="V5602" s="236"/>
      <c r="W5602" s="236"/>
      <c r="X5602" s="236"/>
      <c r="Y5602" s="236"/>
    </row>
    <row r="5603" spans="1:25" ht="15" customHeight="1">
      <c r="A5603" s="204"/>
      <c r="B5603" s="70"/>
      <c r="C5603" s="148"/>
      <c r="D5603" s="912"/>
      <c r="E5603" s="246"/>
      <c r="F5603" s="24"/>
      <c r="G5603" s="48"/>
      <c r="H5603" s="914"/>
      <c r="I5603" s="61"/>
      <c r="J5603" s="448"/>
      <c r="K5603" s="44"/>
      <c r="L5603" s="44"/>
      <c r="M5603" s="44"/>
      <c r="N5603" s="66"/>
      <c r="O5603" s="31"/>
      <c r="P5603" s="236"/>
      <c r="Q5603" s="236"/>
      <c r="R5603" s="236"/>
      <c r="S5603" s="236"/>
      <c r="T5603" s="236"/>
      <c r="U5603" s="236"/>
      <c r="V5603" s="236"/>
      <c r="W5603" s="236"/>
      <c r="X5603" s="236"/>
      <c r="Y5603" s="236"/>
    </row>
    <row r="5604" spans="1:25" ht="15" customHeight="1">
      <c r="A5604" s="204"/>
      <c r="B5604" s="70"/>
      <c r="C5604" s="148"/>
      <c r="D5604" s="912"/>
      <c r="E5604" s="246"/>
      <c r="F5604" s="24"/>
      <c r="G5604" s="48"/>
      <c r="H5604" s="914"/>
      <c r="I5604" s="61"/>
      <c r="J5604" s="347"/>
      <c r="K5604" s="44"/>
      <c r="L5604" s="44"/>
      <c r="M5604" s="44"/>
      <c r="N5604" s="66"/>
      <c r="O5604" s="31"/>
      <c r="P5604" s="236"/>
      <c r="Q5604" s="236"/>
      <c r="R5604" s="236"/>
      <c r="S5604" s="236"/>
      <c r="T5604" s="236"/>
      <c r="U5604" s="236"/>
      <c r="V5604" s="236"/>
      <c r="W5604" s="236"/>
      <c r="X5604" s="236"/>
      <c r="Y5604" s="236"/>
    </row>
    <row r="5605" spans="1:25" ht="15" customHeight="1">
      <c r="A5605" s="204"/>
      <c r="B5605" s="70"/>
      <c r="C5605" s="148"/>
      <c r="D5605" s="912"/>
      <c r="E5605" s="246"/>
      <c r="F5605" s="54"/>
      <c r="G5605" s="48"/>
      <c r="H5605" s="914"/>
      <c r="I5605" s="61"/>
      <c r="J5605" s="347"/>
      <c r="K5605" s="44"/>
      <c r="L5605" s="44"/>
      <c r="M5605" s="44"/>
      <c r="N5605" s="66"/>
      <c r="O5605" s="31"/>
      <c r="P5605" s="236"/>
      <c r="Q5605" s="236"/>
      <c r="R5605" s="236"/>
      <c r="S5605" s="236"/>
      <c r="T5605" s="236"/>
      <c r="U5605" s="236"/>
      <c r="V5605" s="236"/>
      <c r="W5605" s="236"/>
      <c r="X5605" s="236"/>
      <c r="Y5605" s="236"/>
    </row>
    <row r="5606" spans="1:25" ht="15" customHeight="1">
      <c r="A5606" s="204"/>
      <c r="B5606" s="70"/>
      <c r="C5606" s="148"/>
      <c r="D5606" s="912"/>
      <c r="E5606" s="246"/>
      <c r="F5606" s="54"/>
      <c r="G5606" s="48"/>
      <c r="H5606" s="914"/>
      <c r="I5606" s="61"/>
      <c r="J5606" s="347"/>
      <c r="K5606" s="44"/>
      <c r="L5606" s="44"/>
      <c r="M5606" s="44"/>
      <c r="N5606" s="66"/>
      <c r="O5606" s="31"/>
      <c r="P5606" s="236"/>
      <c r="R5606" s="236"/>
      <c r="S5606" s="236"/>
      <c r="T5606" s="236"/>
      <c r="U5606" s="236"/>
      <c r="V5606" s="236"/>
      <c r="W5606" s="236"/>
      <c r="X5606" s="236"/>
      <c r="Y5606" s="236"/>
    </row>
    <row r="5607" spans="1:25" ht="15" customHeight="1">
      <c r="A5607" s="204"/>
      <c r="B5607" s="70"/>
      <c r="C5607" s="148"/>
      <c r="D5607" s="912"/>
      <c r="E5607" s="246"/>
      <c r="F5607" s="54"/>
      <c r="G5607" s="48"/>
      <c r="H5607" s="914"/>
      <c r="I5607" s="61"/>
      <c r="J5607" s="347"/>
      <c r="K5607" s="44"/>
      <c r="L5607" s="44"/>
      <c r="M5607" s="44"/>
      <c r="N5607" s="66"/>
      <c r="O5607" s="31"/>
      <c r="P5607" s="236"/>
      <c r="Q5607" s="236"/>
      <c r="R5607" s="236"/>
      <c r="S5607" s="236"/>
      <c r="T5607" s="236"/>
      <c r="U5607" s="236"/>
      <c r="V5607" s="236"/>
      <c r="W5607" s="236"/>
      <c r="X5607" s="236"/>
      <c r="Y5607" s="236"/>
    </row>
    <row r="5608" spans="1:25" ht="15" customHeight="1">
      <c r="A5608" s="204"/>
      <c r="B5608" s="70"/>
      <c r="C5608" s="148"/>
      <c r="D5608" s="912"/>
      <c r="E5608" s="246"/>
      <c r="F5608" s="54"/>
      <c r="G5608" s="48"/>
      <c r="H5608" s="914"/>
      <c r="I5608" s="61"/>
      <c r="J5608" s="347"/>
      <c r="K5608" s="44"/>
      <c r="L5608" s="44"/>
      <c r="M5608" s="44"/>
      <c r="N5608" s="66"/>
      <c r="O5608" s="31"/>
      <c r="P5608" s="236"/>
      <c r="Q5608" s="236"/>
      <c r="R5608" s="236"/>
      <c r="S5608" s="236"/>
      <c r="T5608" s="236"/>
      <c r="U5608" s="236"/>
      <c r="V5608" s="236"/>
      <c r="W5608" s="236"/>
      <c r="X5608" s="236"/>
      <c r="Y5608" s="236"/>
    </row>
    <row r="5609" spans="1:25" ht="15" customHeight="1">
      <c r="A5609" s="204"/>
      <c r="B5609" s="70"/>
      <c r="C5609" s="148"/>
      <c r="D5609" s="912"/>
      <c r="E5609" s="246"/>
      <c r="F5609" s="54"/>
      <c r="G5609" s="48"/>
      <c r="H5609" s="914"/>
      <c r="I5609" s="61"/>
      <c r="J5609" s="347"/>
      <c r="K5609" s="44"/>
      <c r="L5609" s="44"/>
      <c r="M5609" s="44"/>
      <c r="N5609" s="66"/>
      <c r="O5609" s="31"/>
      <c r="P5609" s="236"/>
      <c r="Q5609" s="236"/>
      <c r="R5609" s="236"/>
      <c r="S5609" s="236"/>
      <c r="T5609" s="236"/>
      <c r="U5609" s="236"/>
      <c r="V5609" s="236"/>
      <c r="W5609" s="236"/>
      <c r="X5609" s="236"/>
      <c r="Y5609" s="236"/>
    </row>
    <row r="5610" spans="1:25" ht="15" customHeight="1">
      <c r="A5610" s="204"/>
      <c r="B5610" s="70"/>
      <c r="C5610" s="148"/>
      <c r="D5610" s="912"/>
      <c r="E5610" s="246"/>
      <c r="F5610" s="54"/>
      <c r="G5610" s="48"/>
      <c r="H5610" s="914"/>
      <c r="I5610" s="61"/>
      <c r="J5610" s="347"/>
      <c r="K5610" s="44"/>
      <c r="L5610" s="44"/>
      <c r="M5610" s="44"/>
      <c r="N5610" s="66"/>
      <c r="O5610" s="31"/>
      <c r="P5610" s="236"/>
      <c r="Q5610" s="236"/>
      <c r="R5610" s="236"/>
      <c r="S5610" s="236"/>
      <c r="T5610" s="236"/>
      <c r="U5610" s="236"/>
      <c r="V5610" s="236"/>
      <c r="W5610" s="236"/>
      <c r="X5610" s="236"/>
      <c r="Y5610" s="236"/>
    </row>
    <row r="5611" spans="1:25" ht="15" customHeight="1">
      <c r="A5611" s="916"/>
      <c r="B5611" s="240"/>
      <c r="C5611" s="241"/>
      <c r="D5611" s="917"/>
      <c r="E5611" s="327"/>
      <c r="F5611" s="57"/>
      <c r="G5611" s="513"/>
      <c r="H5611" s="918">
        <f>SUM(H1037:H5610)</f>
        <v>17673642.047712658</v>
      </c>
      <c r="I5611" s="919"/>
      <c r="J5611" s="920"/>
      <c r="K5611" s="921"/>
      <c r="L5611" s="1491"/>
      <c r="M5611" s="921"/>
      <c r="N5611" s="91"/>
      <c r="O5611" s="601"/>
      <c r="P5611" s="236"/>
      <c r="Q5611" s="236"/>
      <c r="R5611" s="236"/>
      <c r="S5611" s="236"/>
      <c r="T5611" s="236"/>
      <c r="U5611" s="236"/>
      <c r="V5611" s="236"/>
      <c r="W5611" s="236"/>
      <c r="X5611" s="236"/>
      <c r="Y5611" s="236"/>
    </row>
    <row r="5612" spans="1:25" ht="15" customHeight="1">
      <c r="A5612" s="916"/>
      <c r="B5612" s="240"/>
      <c r="C5612" s="241"/>
      <c r="D5612" s="917"/>
      <c r="E5612" s="327"/>
      <c r="F5612" s="57"/>
      <c r="G5612" s="513"/>
      <c r="H5612" s="925"/>
      <c r="I5612" s="919"/>
      <c r="J5612" s="920"/>
      <c r="K5612" s="921"/>
      <c r="L5612" s="1491"/>
      <c r="M5612" s="921"/>
      <c r="N5612" s="91"/>
      <c r="O5612" s="601"/>
      <c r="P5612" s="236"/>
      <c r="Q5612" s="236"/>
      <c r="R5612" s="236"/>
      <c r="S5612" s="236"/>
      <c r="T5612" s="236"/>
      <c r="U5612" s="236"/>
      <c r="V5612" s="236"/>
      <c r="W5612" s="236"/>
      <c r="X5612" s="236"/>
      <c r="Y5612" s="236"/>
    </row>
    <row r="5613" spans="1:25" ht="15" customHeight="1">
      <c r="A5613" s="57"/>
      <c r="B5613" s="240" t="s">
        <v>263</v>
      </c>
      <c r="C5613" s="241" t="s">
        <v>264</v>
      </c>
      <c r="D5613" s="91"/>
      <c r="E5613" s="926" t="s">
        <v>5795</v>
      </c>
      <c r="F5613" s="91"/>
      <c r="G5613" s="91"/>
      <c r="H5613" s="91"/>
      <c r="I5613" s="91"/>
      <c r="J5613" s="91"/>
      <c r="K5613" s="91"/>
      <c r="L5613" s="91"/>
      <c r="M5613" s="91"/>
      <c r="N5613" s="91"/>
      <c r="O5613" s="91"/>
      <c r="P5613" s="236"/>
      <c r="Q5613" s="236"/>
      <c r="R5613" s="236"/>
      <c r="S5613" s="236"/>
      <c r="T5613" s="236"/>
      <c r="U5613" s="236"/>
      <c r="V5613" s="236"/>
      <c r="W5613" s="236"/>
      <c r="X5613" s="236"/>
      <c r="Y5613" s="236"/>
    </row>
    <row r="5614" spans="1:25" ht="15" customHeight="1">
      <c r="A5614" s="54" t="s">
        <v>266</v>
      </c>
      <c r="B5614" s="21">
        <v>29.5</v>
      </c>
      <c r="C5614" s="148">
        <v>29</v>
      </c>
      <c r="D5614" s="91"/>
      <c r="E5614" s="699" t="s">
        <v>5796</v>
      </c>
      <c r="F5614" s="91"/>
      <c r="G5614" s="91"/>
      <c r="H5614" s="91"/>
      <c r="I5614" s="91"/>
      <c r="J5614" s="91"/>
      <c r="K5614" s="91"/>
      <c r="L5614" s="91"/>
      <c r="M5614" s="91"/>
      <c r="N5614" s="91"/>
      <c r="O5614" s="91"/>
      <c r="P5614" s="236"/>
      <c r="Q5614" s="236"/>
      <c r="R5614" s="236"/>
      <c r="S5614" s="236"/>
      <c r="T5614" s="236"/>
      <c r="U5614" s="236"/>
      <c r="V5614" s="236"/>
      <c r="W5614" s="236"/>
      <c r="X5614" s="236"/>
      <c r="Y5614" s="236"/>
    </row>
    <row r="5615" spans="1:25" ht="15" customHeight="1">
      <c r="A5615" s="54" t="s">
        <v>267</v>
      </c>
      <c r="B5615" s="21">
        <v>29</v>
      </c>
      <c r="C5615" s="148">
        <v>29.315000000000001</v>
      </c>
      <c r="D5615" s="91"/>
      <c r="E5615" s="699" t="s">
        <v>5797</v>
      </c>
      <c r="F5615" s="91"/>
      <c r="G5615" s="91"/>
      <c r="H5615" s="91"/>
      <c r="I5615" s="91"/>
      <c r="J5615" s="91"/>
      <c r="K5615" s="91"/>
      <c r="L5615" s="91"/>
      <c r="M5615" s="91"/>
      <c r="N5615" s="91"/>
      <c r="O5615" s="91"/>
      <c r="P5615" s="236"/>
      <c r="Q5615" s="236"/>
      <c r="R5615" s="236"/>
      <c r="S5615" s="236"/>
      <c r="T5615" s="236"/>
      <c r="U5615" s="236"/>
      <c r="V5615" s="236"/>
      <c r="W5615" s="236"/>
      <c r="X5615" s="236"/>
      <c r="Y5615" s="236"/>
    </row>
    <row r="5616" spans="1:25" ht="15" customHeight="1">
      <c r="A5616" s="54" t="s">
        <v>268</v>
      </c>
      <c r="B5616" s="21">
        <v>29.195</v>
      </c>
      <c r="C5616" s="148">
        <v>29.184999999999999</v>
      </c>
      <c r="D5616" s="91"/>
      <c r="E5616" s="699" t="s">
        <v>5798</v>
      </c>
      <c r="F5616" s="91"/>
      <c r="G5616" s="91"/>
      <c r="H5616" s="91"/>
      <c r="I5616" s="91"/>
      <c r="J5616" s="91"/>
      <c r="K5616" s="91"/>
      <c r="L5616" s="91"/>
      <c r="M5616" s="91"/>
      <c r="N5616" s="91"/>
      <c r="O5616" s="91"/>
      <c r="P5616" s="236"/>
      <c r="Q5616" s="236"/>
      <c r="R5616" s="236"/>
      <c r="S5616" s="236"/>
      <c r="T5616" s="236"/>
      <c r="U5616" s="236"/>
      <c r="V5616" s="236"/>
      <c r="W5616" s="236"/>
      <c r="X5616" s="236"/>
      <c r="Y5616" s="236"/>
    </row>
    <row r="5617" spans="1:25" ht="15" customHeight="1">
      <c r="A5617" s="54" t="s">
        <v>269</v>
      </c>
      <c r="B5617" s="32">
        <v>29.105</v>
      </c>
      <c r="C5617" s="246">
        <v>29.41</v>
      </c>
      <c r="D5617" s="91"/>
      <c r="E5617" s="699" t="s">
        <v>5799</v>
      </c>
      <c r="F5617" s="91"/>
      <c r="G5617" s="91"/>
      <c r="H5617" s="91"/>
      <c r="I5617" s="91"/>
      <c r="J5617" s="91"/>
      <c r="K5617" s="91"/>
      <c r="L5617" s="91"/>
      <c r="M5617" s="91"/>
      <c r="N5617" s="91"/>
      <c r="O5617" s="91"/>
      <c r="P5617" s="236"/>
      <c r="Q5617" s="236"/>
      <c r="R5617" s="236"/>
      <c r="S5617" s="236"/>
      <c r="T5617" s="236"/>
      <c r="U5617" s="236"/>
      <c r="V5617" s="236"/>
      <c r="W5617" s="236"/>
      <c r="X5617" s="236"/>
      <c r="Y5617" s="236"/>
    </row>
    <row r="5618" spans="1:25" ht="15" customHeight="1">
      <c r="A5618" s="54" t="s">
        <v>270</v>
      </c>
      <c r="B5618" s="32">
        <v>29.605</v>
      </c>
      <c r="C5618" s="148">
        <v>29.875</v>
      </c>
      <c r="D5618" s="91"/>
      <c r="E5618" s="927"/>
      <c r="F5618" s="91"/>
      <c r="G5618" s="91"/>
      <c r="H5618" s="91"/>
      <c r="I5618" s="91"/>
      <c r="J5618" s="91"/>
      <c r="K5618" s="91"/>
      <c r="L5618" s="91"/>
      <c r="M5618" s="91"/>
      <c r="N5618" s="91"/>
      <c r="O5618" s="91"/>
      <c r="P5618" s="236"/>
      <c r="Q5618" s="236"/>
      <c r="R5618" s="236"/>
      <c r="S5618" s="236"/>
      <c r="T5618" s="236"/>
      <c r="U5618" s="236"/>
      <c r="V5618" s="236"/>
      <c r="W5618" s="236"/>
      <c r="X5618" s="236"/>
      <c r="Y5618" s="236"/>
    </row>
    <row r="5619" spans="1:25" ht="15" customHeight="1">
      <c r="A5619" s="54" t="s">
        <v>271</v>
      </c>
      <c r="B5619" s="32">
        <v>29.84</v>
      </c>
      <c r="C5619" s="148">
        <v>30.18</v>
      </c>
      <c r="D5619" s="91"/>
      <c r="E5619" s="927"/>
      <c r="F5619" s="91"/>
      <c r="G5619" s="91"/>
      <c r="H5619" s="91"/>
      <c r="I5619" s="91"/>
      <c r="J5619" s="91"/>
      <c r="K5619" s="91"/>
      <c r="L5619" s="91"/>
      <c r="M5619" s="91"/>
      <c r="N5619" s="91"/>
      <c r="O5619" s="91"/>
      <c r="P5619" s="236"/>
      <c r="Q5619" s="236"/>
      <c r="R5619" s="236"/>
      <c r="S5619" s="236"/>
      <c r="T5619" s="236"/>
      <c r="U5619" s="236"/>
      <c r="V5619" s="236"/>
      <c r="W5619" s="236"/>
      <c r="X5619" s="236"/>
      <c r="Y5619" s="236"/>
    </row>
    <row r="5620" spans="1:25" ht="15" customHeight="1">
      <c r="A5620" s="54" t="s">
        <v>272</v>
      </c>
      <c r="B5620" s="32">
        <v>30.51</v>
      </c>
      <c r="C5620" s="148">
        <v>30.57</v>
      </c>
      <c r="D5620" s="91"/>
      <c r="E5620" s="927"/>
      <c r="F5620" s="91"/>
      <c r="G5620" s="91"/>
      <c r="H5620" s="91"/>
      <c r="I5620" s="91"/>
      <c r="J5620" s="91"/>
      <c r="K5620" s="91"/>
      <c r="L5620" s="91"/>
      <c r="M5620" s="91"/>
      <c r="N5620" s="91"/>
      <c r="O5620" s="91"/>
      <c r="P5620" s="229"/>
      <c r="Q5620" s="236"/>
      <c r="R5620" s="236"/>
      <c r="S5620" s="236"/>
      <c r="T5620" s="236"/>
      <c r="U5620" s="236"/>
      <c r="V5620" s="236"/>
      <c r="W5620" s="236"/>
      <c r="X5620" s="236"/>
      <c r="Y5620" s="236"/>
    </row>
    <row r="5621" spans="1:25" ht="15" customHeight="1">
      <c r="A5621" s="54" t="s">
        <v>273</v>
      </c>
      <c r="B5621" s="32">
        <v>30.6</v>
      </c>
      <c r="C5621" s="148">
        <v>30.85</v>
      </c>
      <c r="D5621" s="91"/>
      <c r="E5621" s="927"/>
      <c r="F5621" s="91"/>
      <c r="G5621" s="91"/>
      <c r="H5621" s="91"/>
      <c r="I5621" s="91"/>
      <c r="J5621" s="91"/>
      <c r="K5621" s="91"/>
      <c r="L5621" s="91"/>
      <c r="M5621" s="91"/>
      <c r="N5621" s="91"/>
      <c r="O5621" s="91"/>
      <c r="P5621" s="236"/>
      <c r="Q5621" s="236"/>
      <c r="R5621" s="236"/>
      <c r="S5621" s="236"/>
      <c r="T5621" s="236"/>
      <c r="U5621" s="236"/>
      <c r="V5621" s="236"/>
      <c r="W5621" s="236"/>
      <c r="X5621" s="236"/>
      <c r="Y5621" s="236"/>
    </row>
    <row r="5622" spans="1:25" ht="15" customHeight="1">
      <c r="A5622" s="54" t="s">
        <v>274</v>
      </c>
      <c r="B5622" s="32">
        <v>30.7</v>
      </c>
      <c r="C5622" s="928">
        <v>30.8</v>
      </c>
      <c r="D5622" s="91"/>
      <c r="E5622" s="927"/>
      <c r="F5622" s="91"/>
      <c r="G5622" s="91"/>
      <c r="H5622" s="91"/>
      <c r="I5622" s="91"/>
      <c r="J5622" s="91"/>
      <c r="K5622" s="91"/>
      <c r="L5622" s="91"/>
      <c r="M5622" s="91"/>
      <c r="N5622" s="91"/>
      <c r="O5622" s="91"/>
      <c r="P5622" s="236"/>
      <c r="Q5622" s="236"/>
      <c r="R5622" s="236"/>
      <c r="S5622" s="236"/>
      <c r="T5622" s="236"/>
      <c r="U5622" s="236"/>
      <c r="V5622" s="236"/>
      <c r="W5622" s="236"/>
      <c r="X5622" s="236"/>
      <c r="Y5622" s="236"/>
    </row>
    <row r="5623" spans="1:25" ht="15" customHeight="1">
      <c r="A5623" s="54" t="s">
        <v>275</v>
      </c>
      <c r="B5623" s="32">
        <v>30.53</v>
      </c>
      <c r="C5623" s="148">
        <v>30.92</v>
      </c>
      <c r="D5623" s="91"/>
      <c r="E5623" s="927"/>
      <c r="F5623" s="91"/>
      <c r="G5623" s="91"/>
      <c r="H5623" s="91"/>
      <c r="I5623" s="91"/>
      <c r="J5623" s="91"/>
      <c r="K5623" s="91"/>
      <c r="L5623" s="91"/>
      <c r="M5623" s="91"/>
      <c r="N5623" s="91"/>
      <c r="O5623" s="91"/>
      <c r="P5623" s="236"/>
      <c r="Q5623" s="236"/>
      <c r="R5623" s="236"/>
      <c r="S5623" s="236"/>
      <c r="T5623" s="236"/>
      <c r="U5623" s="236"/>
      <c r="V5623" s="236"/>
      <c r="W5623" s="236"/>
      <c r="X5623" s="236"/>
      <c r="Y5623" s="236"/>
    </row>
    <row r="5624" spans="1:25" ht="15" customHeight="1">
      <c r="A5624" s="54" t="s">
        <v>276</v>
      </c>
      <c r="B5624" s="32">
        <v>30.914999999999999</v>
      </c>
      <c r="C5624" s="246">
        <v>30.84</v>
      </c>
      <c r="D5624" s="91"/>
      <c r="E5624" s="927"/>
      <c r="F5624" s="91"/>
      <c r="G5624" s="91"/>
      <c r="H5624" s="91"/>
      <c r="I5624" s="91"/>
      <c r="J5624" s="91"/>
      <c r="K5624" s="91"/>
      <c r="L5624" s="91"/>
      <c r="M5624" s="91"/>
      <c r="N5624" s="91"/>
      <c r="O5624" s="91"/>
      <c r="P5624" s="236"/>
      <c r="Q5624" s="236"/>
      <c r="R5624" s="236"/>
      <c r="S5624" s="236"/>
      <c r="T5624" s="236"/>
      <c r="U5624" s="236"/>
      <c r="V5624" s="236"/>
      <c r="W5624" s="236"/>
      <c r="X5624" s="236"/>
      <c r="Y5624" s="236"/>
    </row>
    <row r="5625" spans="1:25" ht="15" customHeight="1">
      <c r="A5625" s="54" t="s">
        <v>277</v>
      </c>
      <c r="B5625" s="32">
        <v>30.73</v>
      </c>
      <c r="C5625" s="148">
        <v>30.855</v>
      </c>
      <c r="D5625" s="91"/>
      <c r="E5625" s="927"/>
      <c r="F5625" s="91"/>
      <c r="G5625" s="91"/>
      <c r="H5625" s="91"/>
      <c r="I5625" s="91"/>
      <c r="J5625" s="91"/>
      <c r="K5625" s="91"/>
      <c r="L5625" s="91"/>
      <c r="M5625" s="91"/>
      <c r="N5625" s="91"/>
      <c r="O5625" s="91"/>
      <c r="P5625" s="236"/>
      <c r="Q5625" s="236"/>
      <c r="R5625" s="236"/>
      <c r="S5625" s="236"/>
      <c r="T5625" s="236"/>
      <c r="U5625" s="236"/>
      <c r="V5625" s="236"/>
      <c r="W5625" s="236"/>
      <c r="X5625" s="236"/>
      <c r="Y5625" s="236"/>
    </row>
    <row r="5626" spans="1:25" ht="15" customHeight="1">
      <c r="A5626" s="204"/>
      <c r="B5626" s="70"/>
      <c r="C5626" s="92"/>
      <c r="D5626" s="21"/>
      <c r="E5626" s="32"/>
      <c r="F5626" s="24"/>
      <c r="G5626" s="48"/>
      <c r="H5626" s="216"/>
      <c r="I5626" s="61"/>
      <c r="J5626" s="63"/>
      <c r="K5626" s="43"/>
      <c r="L5626" s="43"/>
      <c r="M5626" s="146"/>
      <c r="N5626" s="63"/>
      <c r="O5626" s="64"/>
      <c r="P5626" s="236"/>
      <c r="Q5626" s="236"/>
      <c r="R5626" s="236"/>
      <c r="S5626" s="236"/>
      <c r="T5626" s="236"/>
      <c r="U5626" s="236"/>
      <c r="V5626" s="236"/>
      <c r="W5626" s="236"/>
      <c r="X5626" s="236"/>
      <c r="Y5626" s="236"/>
    </row>
    <row r="5627" spans="1:25" ht="15" customHeight="1">
      <c r="A5627" s="204"/>
      <c r="B5627" s="70"/>
      <c r="C5627" s="92"/>
      <c r="D5627" s="21"/>
      <c r="E5627" s="32"/>
      <c r="F5627" s="24"/>
      <c r="G5627" s="48"/>
      <c r="H5627" s="216"/>
      <c r="I5627" s="61"/>
      <c r="J5627" s="63"/>
      <c r="K5627" s="43"/>
      <c r="L5627" s="43"/>
      <c r="M5627" s="146"/>
      <c r="N5627" s="63"/>
      <c r="O5627" s="64"/>
      <c r="P5627" s="236"/>
      <c r="Q5627" s="236"/>
      <c r="R5627" s="236"/>
      <c r="S5627" s="236"/>
      <c r="T5627" s="236"/>
      <c r="U5627" s="236"/>
      <c r="V5627" s="236"/>
      <c r="W5627" s="236"/>
      <c r="X5627" s="236"/>
      <c r="Y5627" s="236"/>
    </row>
    <row r="5628" spans="1:25" ht="15" customHeight="1">
      <c r="A5628" s="204"/>
      <c r="B5628" s="70"/>
      <c r="C5628" s="92"/>
      <c r="D5628" s="21"/>
      <c r="E5628" s="32"/>
      <c r="F5628" s="24"/>
      <c r="G5628" s="48"/>
      <c r="H5628" s="216"/>
      <c r="I5628" s="61"/>
      <c r="J5628" s="63"/>
      <c r="K5628" s="43"/>
      <c r="L5628" s="43"/>
      <c r="M5628" s="146"/>
      <c r="N5628" s="63"/>
      <c r="O5628" s="64"/>
      <c r="P5628" s="236"/>
      <c r="Q5628" s="236"/>
      <c r="R5628" s="236"/>
      <c r="S5628" s="236"/>
      <c r="T5628" s="236"/>
      <c r="U5628" s="236"/>
      <c r="V5628" s="236"/>
      <c r="W5628" s="236"/>
      <c r="X5628" s="236"/>
      <c r="Y5628" s="236"/>
    </row>
    <row r="5629" spans="1:25" ht="15" customHeight="1">
      <c r="A5629" s="204"/>
      <c r="B5629" s="70"/>
      <c r="C5629" s="92"/>
      <c r="D5629" s="21"/>
      <c r="E5629" s="32"/>
      <c r="F5629" s="24"/>
      <c r="G5629" s="48"/>
      <c r="H5629" s="216"/>
      <c r="I5629" s="61"/>
      <c r="J5629" s="63"/>
      <c r="K5629" s="43"/>
      <c r="L5629" s="43"/>
      <c r="M5629" s="146"/>
      <c r="N5629" s="63"/>
      <c r="O5629" s="64"/>
      <c r="P5629" s="236"/>
      <c r="Q5629" s="236"/>
      <c r="R5629" s="236"/>
      <c r="S5629" s="236"/>
      <c r="T5629" s="236"/>
      <c r="U5629" s="236"/>
      <c r="V5629" s="236"/>
      <c r="W5629" s="236"/>
      <c r="X5629" s="236"/>
      <c r="Y5629" s="236"/>
    </row>
    <row r="5630" spans="1:25" ht="15" customHeight="1">
      <c r="A5630" s="204"/>
      <c r="B5630" s="70"/>
      <c r="C5630" s="92"/>
      <c r="D5630" s="21"/>
      <c r="E5630" s="32"/>
      <c r="F5630" s="24"/>
      <c r="G5630" s="48"/>
      <c r="H5630" s="216"/>
      <c r="I5630" s="61"/>
      <c r="J5630" s="63"/>
      <c r="K5630" s="43"/>
      <c r="L5630" s="43"/>
      <c r="M5630" s="146"/>
      <c r="N5630" s="63"/>
      <c r="O5630" s="64"/>
      <c r="P5630" s="236"/>
      <c r="Q5630" s="236"/>
      <c r="R5630" s="236"/>
      <c r="S5630" s="236"/>
      <c r="T5630" s="236"/>
      <c r="U5630" s="236"/>
      <c r="V5630" s="236"/>
      <c r="W5630" s="236"/>
      <c r="X5630" s="236"/>
      <c r="Y5630" s="236"/>
    </row>
    <row r="5631" spans="1:25" ht="15" customHeight="1">
      <c r="A5631" s="205"/>
      <c r="B5631" s="21"/>
      <c r="C5631" s="92"/>
      <c r="D5631" s="21"/>
      <c r="E5631" s="32"/>
      <c r="F5631" s="24"/>
      <c r="G5631" s="48"/>
      <c r="H5631" s="462"/>
      <c r="I5631" s="87"/>
      <c r="J5631" s="63"/>
      <c r="K5631" s="43"/>
      <c r="L5631" s="43"/>
      <c r="M5631" s="146"/>
      <c r="N5631" s="63"/>
      <c r="O5631" s="64"/>
      <c r="P5631" s="236"/>
      <c r="Q5631" s="236"/>
      <c r="R5631" s="236"/>
      <c r="S5631" s="236"/>
      <c r="T5631" s="236"/>
      <c r="U5631" s="236"/>
      <c r="V5631" s="236"/>
      <c r="W5631" s="236"/>
      <c r="X5631" s="236"/>
      <c r="Y5631" s="236"/>
    </row>
    <row r="5632" spans="1:25" ht="15" customHeight="1">
      <c r="A5632" s="91"/>
      <c r="B5632" s="91"/>
      <c r="C5632" s="220"/>
      <c r="D5632" s="91"/>
      <c r="E5632" s="221" t="s">
        <v>0</v>
      </c>
      <c r="F5632" s="91"/>
      <c r="G5632" s="91"/>
      <c r="H5632" s="222">
        <f>SUM(H79:H5631)</f>
        <v>36806556.372925319</v>
      </c>
      <c r="I5632" s="91"/>
      <c r="J5632" s="57"/>
      <c r="K5632" s="153"/>
      <c r="L5632" s="153"/>
      <c r="M5632" s="153"/>
      <c r="N5632" s="57"/>
      <c r="O5632" s="224"/>
      <c r="P5632" s="236"/>
      <c r="Q5632" s="236"/>
      <c r="R5632" s="236"/>
      <c r="S5632" s="236"/>
      <c r="T5632" s="236"/>
      <c r="U5632" s="236"/>
      <c r="V5632" s="236"/>
      <c r="W5632" s="236"/>
      <c r="X5632" s="236"/>
      <c r="Y5632" s="236"/>
    </row>
    <row r="5633" spans="1:25" ht="15" customHeight="1">
      <c r="A5633" s="91"/>
      <c r="B5633" s="91"/>
      <c r="C5633" s="220"/>
      <c r="D5633" s="57"/>
      <c r="E5633" s="240" t="s">
        <v>263</v>
      </c>
      <c r="F5633" s="241" t="s">
        <v>264</v>
      </c>
      <c r="G5633" s="91"/>
      <c r="H5633" s="242"/>
      <c r="I5633" s="91"/>
      <c r="J5633" s="234"/>
      <c r="K5633" s="243"/>
      <c r="L5633" s="243"/>
      <c r="M5633" s="234" t="s">
        <v>265</v>
      </c>
      <c r="N5633" s="234"/>
      <c r="O5633" s="235"/>
      <c r="P5633" s="236"/>
      <c r="Q5633" s="236"/>
      <c r="R5633" s="236"/>
      <c r="S5633" s="236"/>
      <c r="T5633" s="236"/>
      <c r="U5633" s="236"/>
      <c r="V5633" s="236"/>
      <c r="W5633" s="236"/>
      <c r="X5633" s="236"/>
      <c r="Y5633" s="236"/>
    </row>
    <row r="5634" spans="1:25" ht="15" customHeight="1">
      <c r="A5634" s="91"/>
      <c r="B5634" s="91"/>
      <c r="C5634" s="220"/>
      <c r="D5634" s="54" t="s">
        <v>266</v>
      </c>
      <c r="E5634" s="21">
        <v>30.715</v>
      </c>
      <c r="F5634" s="148">
        <v>30.815000000000001</v>
      </c>
      <c r="G5634" s="91"/>
      <c r="H5634" s="242"/>
      <c r="I5634" s="91"/>
      <c r="J5634" s="234"/>
      <c r="K5634" s="243"/>
      <c r="L5634" s="243"/>
      <c r="M5634" s="243"/>
      <c r="N5634" s="234"/>
      <c r="O5634" s="235"/>
      <c r="P5634" s="236"/>
      <c r="Q5634" s="236"/>
      <c r="R5634" s="236"/>
      <c r="S5634" s="236"/>
      <c r="T5634" s="236"/>
      <c r="U5634" s="236"/>
      <c r="V5634" s="236"/>
      <c r="W5634" s="236"/>
      <c r="X5634" s="236"/>
      <c r="Y5634" s="236"/>
    </row>
    <row r="5635" spans="1:25" ht="15" customHeight="1">
      <c r="A5635" s="91"/>
      <c r="B5635" s="91"/>
      <c r="C5635" s="220"/>
      <c r="D5635" s="54" t="s">
        <v>267</v>
      </c>
      <c r="E5635" s="21">
        <v>30.734999999999999</v>
      </c>
      <c r="F5635" s="148">
        <v>30.85</v>
      </c>
      <c r="G5635" s="91"/>
      <c r="H5635" s="242"/>
      <c r="I5635" s="91"/>
      <c r="J5635" s="234"/>
      <c r="K5635" s="243"/>
      <c r="L5635" s="243"/>
      <c r="M5635" s="243"/>
      <c r="N5635" s="234"/>
      <c r="O5635" s="235"/>
      <c r="P5635" s="236"/>
      <c r="Q5635" s="236"/>
      <c r="R5635" s="236"/>
      <c r="S5635" s="236"/>
      <c r="T5635" s="236"/>
      <c r="U5635" s="236"/>
      <c r="V5635" s="236"/>
      <c r="W5635" s="236"/>
      <c r="X5635" s="236"/>
      <c r="Y5635" s="236"/>
    </row>
    <row r="5636" spans="1:25" ht="15" customHeight="1">
      <c r="A5636" s="91"/>
      <c r="B5636" s="91"/>
      <c r="C5636" s="220"/>
      <c r="D5636" s="54" t="s">
        <v>268</v>
      </c>
      <c r="E5636" s="21">
        <v>30.82</v>
      </c>
      <c r="F5636" s="148">
        <v>30.875</v>
      </c>
      <c r="G5636" s="91"/>
      <c r="H5636" s="242"/>
      <c r="J5636" s="234"/>
      <c r="K5636" s="243"/>
      <c r="L5636" s="243"/>
      <c r="M5636" s="243"/>
      <c r="N5636" s="234"/>
      <c r="O5636" s="235"/>
      <c r="P5636" s="236"/>
      <c r="Q5636" s="236"/>
      <c r="R5636" s="236"/>
      <c r="S5636" s="236"/>
      <c r="T5636" s="236"/>
      <c r="U5636" s="236"/>
      <c r="V5636" s="236"/>
      <c r="W5636" s="236"/>
      <c r="X5636" s="236"/>
      <c r="Y5636" s="236"/>
    </row>
    <row r="5637" spans="1:25" ht="15" customHeight="1">
      <c r="A5637" s="91"/>
      <c r="B5637" s="91"/>
      <c r="C5637" s="220"/>
      <c r="D5637" s="54" t="s">
        <v>269</v>
      </c>
      <c r="E5637" s="32">
        <v>30.795000000000002</v>
      </c>
      <c r="F5637" s="246">
        <v>30.87</v>
      </c>
      <c r="G5637" s="91"/>
      <c r="H5637" s="242"/>
      <c r="I5637" s="91"/>
      <c r="J5637" s="234"/>
      <c r="K5637" s="243"/>
      <c r="L5637" s="243"/>
      <c r="M5637" s="243"/>
      <c r="N5637" s="234"/>
      <c r="O5637" s="235"/>
      <c r="P5637" s="236"/>
      <c r="Q5637" s="236"/>
      <c r="R5637" s="236"/>
      <c r="S5637" s="236"/>
      <c r="T5637" s="236"/>
      <c r="U5637" s="236"/>
      <c r="V5637" s="236"/>
      <c r="W5637" s="236"/>
      <c r="X5637" s="236"/>
      <c r="Y5637" s="236"/>
    </row>
    <row r="5638" spans="1:25" ht="15" customHeight="1">
      <c r="A5638" s="91"/>
      <c r="B5638" s="91"/>
      <c r="C5638" s="220"/>
      <c r="D5638" s="54" t="s">
        <v>270</v>
      </c>
      <c r="E5638" s="32">
        <v>30.9</v>
      </c>
      <c r="F5638" s="148">
        <v>31.16</v>
      </c>
      <c r="G5638" s="91"/>
      <c r="H5638" s="242"/>
      <c r="I5638" s="91"/>
      <c r="J5638" s="234"/>
      <c r="K5638" s="243"/>
      <c r="L5638" s="243"/>
      <c r="M5638" s="243"/>
      <c r="N5638" s="234"/>
      <c r="O5638" s="235"/>
      <c r="P5638" s="236"/>
      <c r="Q5638" s="236"/>
      <c r="R5638" s="236"/>
      <c r="S5638" s="236"/>
      <c r="T5638" s="236"/>
      <c r="U5638" s="236"/>
      <c r="V5638" s="236"/>
      <c r="W5638" s="236"/>
      <c r="X5638" s="236"/>
      <c r="Y5638" s="236"/>
    </row>
    <row r="5639" spans="1:25" ht="15" customHeight="1">
      <c r="A5639" s="91"/>
      <c r="B5639" s="91"/>
      <c r="C5639" s="220"/>
      <c r="D5639" s="54" t="s">
        <v>271</v>
      </c>
      <c r="E5639" s="32">
        <v>31.495000000000001</v>
      </c>
      <c r="F5639" s="148">
        <v>31.52</v>
      </c>
      <c r="G5639" s="91"/>
      <c r="H5639" s="242"/>
      <c r="I5639" s="91"/>
      <c r="J5639" s="234"/>
      <c r="K5639" s="243"/>
      <c r="L5639" s="243"/>
      <c r="M5639" s="243"/>
      <c r="N5639" s="234"/>
      <c r="O5639" s="235"/>
      <c r="P5639" s="236"/>
      <c r="Q5639" s="236"/>
      <c r="R5639" s="236"/>
      <c r="S5639" s="236"/>
      <c r="T5639" s="236"/>
      <c r="U5639" s="236"/>
      <c r="V5639" s="236"/>
      <c r="W5639" s="236"/>
      <c r="X5639" s="236"/>
      <c r="Y5639" s="236"/>
    </row>
    <row r="5640" spans="1:25" ht="15" customHeight="1">
      <c r="A5640" s="91"/>
      <c r="B5640" s="91"/>
      <c r="C5640" s="220"/>
      <c r="D5640" s="54" t="s">
        <v>272</v>
      </c>
      <c r="E5640" s="32">
        <v>30.98</v>
      </c>
      <c r="F5640" s="148">
        <v>31.03</v>
      </c>
      <c r="G5640" s="91"/>
      <c r="H5640" s="242"/>
      <c r="I5640" s="91"/>
      <c r="J5640" s="234"/>
      <c r="K5640" s="243"/>
      <c r="L5640" s="243"/>
      <c r="M5640" s="243"/>
      <c r="N5640" s="234"/>
      <c r="O5640" s="240"/>
      <c r="P5640" s="236"/>
      <c r="Q5640" s="236"/>
      <c r="R5640" s="236"/>
      <c r="S5640" s="236"/>
      <c r="T5640" s="236"/>
      <c r="U5640" s="236"/>
      <c r="V5640" s="236"/>
      <c r="W5640" s="236"/>
      <c r="X5640" s="236"/>
      <c r="Y5640" s="236"/>
    </row>
    <row r="5641" spans="1:25" ht="15" customHeight="1">
      <c r="A5641" s="91"/>
      <c r="B5641" s="91"/>
      <c r="C5641" s="220"/>
      <c r="D5641" s="54" t="s">
        <v>273</v>
      </c>
      <c r="E5641" s="32">
        <v>31.09</v>
      </c>
      <c r="F5641" s="148">
        <v>31.36</v>
      </c>
      <c r="G5641" s="91"/>
      <c r="H5641" s="242"/>
      <c r="I5641" s="91"/>
      <c r="J5641" s="234"/>
      <c r="K5641" s="243"/>
      <c r="L5641" s="243"/>
      <c r="M5641" s="243"/>
      <c r="N5641" s="247"/>
      <c r="O5641" s="235"/>
      <c r="P5641" s="236"/>
      <c r="Q5641" s="236"/>
      <c r="R5641" s="236"/>
      <c r="S5641" s="236"/>
      <c r="T5641" s="236"/>
      <c r="U5641" s="236"/>
      <c r="V5641" s="236"/>
      <c r="W5641" s="236"/>
      <c r="X5641" s="236"/>
      <c r="Y5641" s="236"/>
    </row>
    <row r="5642" spans="1:25" ht="15" customHeight="1">
      <c r="A5642" s="91"/>
      <c r="B5642" s="91"/>
      <c r="C5642" s="220"/>
      <c r="D5642" s="54" t="s">
        <v>274</v>
      </c>
      <c r="E5642" s="32">
        <v>31.375</v>
      </c>
      <c r="F5642" s="32">
        <v>30.97</v>
      </c>
      <c r="G5642" s="91"/>
      <c r="H5642" s="242"/>
      <c r="I5642" s="91"/>
      <c r="J5642" s="234"/>
      <c r="K5642" s="243"/>
      <c r="L5642" s="243"/>
      <c r="M5642" s="243"/>
      <c r="N5642" s="234"/>
      <c r="O5642" s="235"/>
      <c r="P5642" s="236"/>
      <c r="Q5642" s="236"/>
      <c r="R5642" s="236"/>
      <c r="S5642" s="236"/>
      <c r="T5642" s="236"/>
      <c r="U5642" s="236"/>
      <c r="V5642" s="236"/>
      <c r="W5642" s="236"/>
      <c r="X5642" s="236"/>
      <c r="Y5642" s="236"/>
    </row>
    <row r="5643" spans="1:25" ht="15" customHeight="1">
      <c r="A5643" s="91"/>
      <c r="B5643" s="91"/>
      <c r="C5643" s="220"/>
      <c r="D5643" s="54" t="s">
        <v>275</v>
      </c>
      <c r="E5643" s="32">
        <v>31.035</v>
      </c>
      <c r="F5643" s="148">
        <v>30.71</v>
      </c>
      <c r="G5643" s="91"/>
      <c r="H5643" s="242"/>
      <c r="I5643" s="91"/>
      <c r="J5643" s="234"/>
      <c r="K5643" s="243"/>
      <c r="L5643" s="243"/>
      <c r="M5643" s="243"/>
      <c r="N5643" s="234"/>
      <c r="O5643" s="235"/>
      <c r="P5643" s="236"/>
      <c r="Q5643" s="236"/>
      <c r="R5643" s="236"/>
      <c r="S5643" s="236"/>
      <c r="T5643" s="236"/>
      <c r="U5643" s="236"/>
      <c r="V5643" s="236"/>
      <c r="W5643" s="236"/>
      <c r="X5643" s="236"/>
      <c r="Y5643" s="236"/>
    </row>
    <row r="5644" spans="1:25" ht="15" customHeight="1">
      <c r="A5644" s="248"/>
      <c r="B5644" s="91"/>
      <c r="C5644" s="220"/>
      <c r="D5644" s="54" t="s">
        <v>276</v>
      </c>
      <c r="E5644" s="32">
        <v>30.47</v>
      </c>
      <c r="F5644" s="246">
        <v>30.49</v>
      </c>
      <c r="G5644" s="91"/>
      <c r="H5644" s="242"/>
      <c r="I5644" s="91"/>
      <c r="J5644" s="234"/>
      <c r="K5644" s="243"/>
      <c r="L5644" s="243"/>
      <c r="M5644" s="243"/>
      <c r="N5644" s="234"/>
      <c r="O5644" s="235"/>
      <c r="P5644" s="236"/>
      <c r="Q5644" s="236"/>
      <c r="R5644" s="236"/>
      <c r="S5644" s="236"/>
      <c r="T5644" s="236"/>
      <c r="U5644" s="236"/>
      <c r="V5644" s="236"/>
      <c r="W5644" s="236"/>
      <c r="X5644" s="236"/>
      <c r="Y5644" s="236"/>
    </row>
    <row r="5645" spans="1:25" ht="15" customHeight="1">
      <c r="A5645" s="91"/>
      <c r="B5645" s="91"/>
      <c r="C5645" s="220"/>
      <c r="D5645" s="54" t="s">
        <v>277</v>
      </c>
      <c r="E5645" s="32">
        <v>30.495000000000001</v>
      </c>
      <c r="F5645" s="148"/>
      <c r="G5645" s="91"/>
      <c r="H5645" s="242"/>
      <c r="I5645" s="91"/>
      <c r="J5645" s="234"/>
      <c r="K5645" s="243"/>
      <c r="L5645" s="243"/>
      <c r="M5645" s="243"/>
      <c r="N5645" s="234"/>
      <c r="O5645" s="235"/>
      <c r="P5645" s="236"/>
      <c r="Q5645" s="236"/>
      <c r="R5645" s="236"/>
      <c r="S5645" s="236"/>
      <c r="T5645" s="236"/>
      <c r="U5645" s="236"/>
      <c r="V5645" s="236"/>
      <c r="W5645" s="236"/>
      <c r="X5645" s="236"/>
      <c r="Y5645" s="236"/>
    </row>
    <row r="5646" spans="1:25" ht="15" customHeight="1">
      <c r="A5646" s="204"/>
      <c r="B5646" s="70"/>
      <c r="C5646" s="92"/>
      <c r="D5646" s="71"/>
      <c r="E5646" s="32"/>
      <c r="F5646" s="24"/>
      <c r="G5646" s="48"/>
      <c r="H5646" s="216"/>
      <c r="I5646" s="132"/>
      <c r="J5646" s="63"/>
      <c r="K5646" s="43"/>
      <c r="L5646" s="43"/>
      <c r="M5646" s="146"/>
      <c r="N5646" s="63"/>
      <c r="O5646" s="64"/>
      <c r="P5646" s="236"/>
      <c r="Q5646" s="236"/>
      <c r="R5646" s="236"/>
      <c r="S5646" s="236"/>
      <c r="T5646" s="236"/>
      <c r="U5646" s="236"/>
      <c r="V5646" s="236"/>
      <c r="W5646" s="236"/>
      <c r="X5646" s="236"/>
      <c r="Y5646" s="236"/>
    </row>
    <row r="5647" spans="1:25" ht="15" customHeight="1">
      <c r="A5647" s="204"/>
      <c r="B5647" s="70"/>
      <c r="C5647" s="92"/>
      <c r="D5647" s="21"/>
      <c r="E5647" s="32"/>
      <c r="F5647" s="24"/>
      <c r="G5647" s="48"/>
      <c r="H5647" s="216"/>
      <c r="I5647" s="132"/>
      <c r="J5647" s="63"/>
      <c r="K5647" s="43"/>
      <c r="L5647" s="43"/>
      <c r="M5647" s="146"/>
      <c r="N5647" s="63"/>
      <c r="O5647" s="64"/>
      <c r="P5647" s="236"/>
      <c r="Q5647" s="236"/>
      <c r="R5647" s="236"/>
      <c r="S5647" s="236"/>
      <c r="T5647" s="236"/>
      <c r="U5647" s="236"/>
      <c r="V5647" s="236"/>
      <c r="W5647" s="236"/>
      <c r="X5647" s="236"/>
      <c r="Y5647" s="236"/>
    </row>
    <row r="5648" spans="1:25" ht="15" customHeight="1">
      <c r="A5648" s="204"/>
      <c r="B5648" s="70"/>
      <c r="C5648" s="92"/>
      <c r="D5648" s="21"/>
      <c r="E5648" s="32"/>
      <c r="F5648" s="24"/>
      <c r="G5648" s="48"/>
      <c r="H5648" s="216"/>
      <c r="I5648" s="132"/>
      <c r="J5648" s="63"/>
      <c r="K5648" s="43"/>
      <c r="L5648" s="43"/>
      <c r="M5648" s="146"/>
      <c r="N5648" s="63"/>
      <c r="O5648" s="64"/>
      <c r="P5648" s="236"/>
      <c r="Q5648" s="236"/>
      <c r="R5648" s="236"/>
      <c r="S5648" s="236"/>
      <c r="T5648" s="236"/>
      <c r="U5648" s="236"/>
      <c r="V5648" s="236"/>
      <c r="W5648" s="236"/>
      <c r="X5648" s="236"/>
      <c r="Y5648" s="236"/>
    </row>
    <row r="5649" spans="1:25" ht="15" customHeight="1">
      <c r="A5649" s="204"/>
      <c r="B5649" s="70"/>
      <c r="C5649" s="92"/>
      <c r="D5649" s="21"/>
      <c r="E5649" s="32"/>
      <c r="F5649" s="24"/>
      <c r="G5649" s="48"/>
      <c r="H5649" s="216"/>
      <c r="I5649" s="132"/>
      <c r="J5649" s="63"/>
      <c r="K5649" s="43"/>
      <c r="L5649" s="43"/>
      <c r="M5649" s="146"/>
      <c r="N5649" s="63"/>
      <c r="O5649" s="64"/>
      <c r="P5649" s="236"/>
      <c r="Q5649" s="236"/>
      <c r="R5649" s="236"/>
      <c r="S5649" s="236"/>
      <c r="T5649" s="236"/>
      <c r="U5649" s="236"/>
      <c r="V5649" s="236"/>
      <c r="W5649" s="236"/>
      <c r="X5649" s="236"/>
      <c r="Y5649" s="236"/>
    </row>
    <row r="5650" spans="1:25" ht="15" customHeight="1">
      <c r="A5650" s="204"/>
      <c r="B5650" s="70"/>
      <c r="C5650" s="92"/>
      <c r="D5650" s="21"/>
      <c r="E5650" s="32"/>
      <c r="F5650" s="24"/>
      <c r="G5650" s="48"/>
      <c r="H5650" s="216"/>
      <c r="I5650" s="132"/>
      <c r="J5650" s="63"/>
      <c r="K5650" s="43"/>
      <c r="L5650" s="43"/>
      <c r="M5650" s="146"/>
      <c r="N5650" s="63"/>
      <c r="O5650" s="64"/>
      <c r="P5650" s="236"/>
      <c r="Q5650" s="236"/>
      <c r="R5650" s="236"/>
      <c r="S5650" s="236"/>
      <c r="T5650" s="236"/>
      <c r="U5650" s="236"/>
      <c r="V5650" s="236"/>
      <c r="W5650" s="236"/>
      <c r="X5650" s="236"/>
      <c r="Y5650" s="236"/>
    </row>
    <row r="5651" spans="1:25" ht="15" customHeight="1">
      <c r="A5651" s="91"/>
      <c r="B5651" s="91"/>
      <c r="C5651" s="220"/>
      <c r="D5651" s="91"/>
      <c r="E5651" s="221" t="s">
        <v>0</v>
      </c>
      <c r="F5651" s="91"/>
      <c r="G5651" s="91"/>
      <c r="H5651" s="222">
        <f>SUM(H2:H5650)</f>
        <v>73947937.345850646</v>
      </c>
      <c r="I5651" s="223"/>
      <c r="J5651" s="57"/>
      <c r="K5651" s="153"/>
      <c r="L5651" s="153"/>
      <c r="M5651" s="153"/>
      <c r="N5651" s="57"/>
      <c r="O5651" s="224"/>
      <c r="P5651" s="236"/>
      <c r="Q5651" s="236"/>
      <c r="R5651" s="236"/>
      <c r="S5651" s="236"/>
      <c r="T5651" s="236"/>
      <c r="U5651" s="236"/>
      <c r="V5651" s="236"/>
      <c r="W5651" s="236"/>
      <c r="X5651" s="236"/>
      <c r="Y5651" s="236"/>
    </row>
    <row r="5652" spans="1:25" ht="15" customHeight="1">
      <c r="C5652" s="229"/>
      <c r="D5652" s="230"/>
      <c r="E5652" s="229"/>
      <c r="F5652" s="231"/>
      <c r="G5652" s="231"/>
      <c r="H5652" s="232"/>
      <c r="I5652" s="229"/>
      <c r="J5652" s="229"/>
      <c r="K5652" s="233"/>
      <c r="L5652" s="233"/>
      <c r="M5652" s="234"/>
      <c r="N5652" s="234"/>
      <c r="O5652" s="235"/>
      <c r="P5652" s="236"/>
      <c r="Q5652" s="236"/>
      <c r="R5652" s="236"/>
      <c r="S5652" s="236"/>
      <c r="T5652" s="236"/>
      <c r="U5652" s="236"/>
      <c r="V5652" s="236"/>
      <c r="W5652" s="236"/>
      <c r="X5652" s="236"/>
      <c r="Y5652" s="236"/>
    </row>
    <row r="5653" spans="1:25" ht="15" customHeight="1">
      <c r="A5653" s="91"/>
      <c r="B5653" s="91"/>
      <c r="C5653" s="220"/>
      <c r="D5653" s="57"/>
      <c r="E5653" s="240"/>
      <c r="F5653" s="241"/>
      <c r="G5653" s="91"/>
      <c r="H5653" s="242"/>
      <c r="I5653" s="223"/>
      <c r="J5653" s="234"/>
      <c r="K5653" s="243"/>
      <c r="L5653" s="243"/>
      <c r="M5653" s="234"/>
      <c r="N5653" s="234"/>
      <c r="O5653" s="235"/>
      <c r="P5653" s="236"/>
      <c r="Q5653" s="236"/>
      <c r="R5653" s="236"/>
      <c r="S5653" s="236"/>
      <c r="T5653" s="236"/>
      <c r="U5653" s="236"/>
      <c r="V5653" s="236"/>
      <c r="W5653" s="236"/>
      <c r="X5653" s="236"/>
      <c r="Y5653" s="236"/>
    </row>
    <row r="5654" spans="1:25" ht="15" customHeight="1">
      <c r="A5654" s="91"/>
      <c r="B5654" s="91"/>
      <c r="C5654" s="220"/>
      <c r="D5654" s="57"/>
      <c r="E5654" s="240" t="s">
        <v>263</v>
      </c>
      <c r="F5654" s="241" t="s">
        <v>264</v>
      </c>
      <c r="G5654" s="91"/>
      <c r="H5654" s="242"/>
      <c r="I5654" s="223"/>
      <c r="J5654" s="234"/>
      <c r="K5654" s="243"/>
      <c r="L5654" s="243"/>
      <c r="M5654" s="234" t="s">
        <v>265</v>
      </c>
      <c r="N5654" s="234"/>
      <c r="O5654" s="235"/>
      <c r="P5654" s="236"/>
      <c r="Q5654" s="236"/>
      <c r="R5654" s="236"/>
      <c r="S5654" s="236"/>
      <c r="T5654" s="236"/>
      <c r="U5654" s="236"/>
      <c r="V5654" s="236"/>
      <c r="W5654" s="236"/>
      <c r="X5654" s="236"/>
      <c r="Y5654" s="236"/>
    </row>
    <row r="5655" spans="1:25" ht="15" customHeight="1">
      <c r="A5655" s="91"/>
      <c r="B5655" s="91"/>
      <c r="C5655" s="220"/>
      <c r="D5655" s="54" t="s">
        <v>266</v>
      </c>
      <c r="E5655" s="21"/>
      <c r="F5655" s="148"/>
      <c r="G5655" s="91"/>
      <c r="H5655" s="242"/>
      <c r="I5655" s="223"/>
      <c r="J5655" s="234"/>
      <c r="K5655" s="243"/>
      <c r="L5655" s="243"/>
      <c r="M5655" s="243"/>
      <c r="N5655" s="234"/>
      <c r="O5655" s="235"/>
      <c r="P5655" s="236"/>
      <c r="Q5655" s="236"/>
      <c r="R5655" s="236"/>
      <c r="S5655" s="236"/>
      <c r="T5655" s="236"/>
      <c r="U5655" s="236"/>
      <c r="V5655" s="236"/>
      <c r="W5655" s="236"/>
      <c r="X5655" s="236"/>
      <c r="Y5655" s="236"/>
    </row>
    <row r="5656" spans="1:25" ht="15" customHeight="1">
      <c r="A5656" s="91"/>
      <c r="B5656" s="91"/>
      <c r="C5656" s="220"/>
      <c r="D5656" s="54" t="s">
        <v>267</v>
      </c>
      <c r="E5656" s="21"/>
      <c r="F5656" s="148"/>
      <c r="G5656" s="91"/>
      <c r="H5656" s="242"/>
      <c r="I5656" s="223"/>
      <c r="J5656" s="234"/>
      <c r="K5656" s="243"/>
      <c r="L5656" s="243"/>
      <c r="M5656" s="243"/>
      <c r="N5656" s="234"/>
      <c r="O5656" s="235"/>
      <c r="P5656" s="236"/>
      <c r="Q5656" s="236"/>
      <c r="R5656" s="236"/>
      <c r="S5656" s="236"/>
      <c r="T5656" s="236"/>
      <c r="U5656" s="236"/>
      <c r="V5656" s="236"/>
      <c r="W5656" s="236"/>
      <c r="X5656" s="236"/>
      <c r="Y5656" s="236"/>
    </row>
    <row r="5657" spans="1:25" ht="15" customHeight="1">
      <c r="A5657" s="91"/>
      <c r="B5657" s="91"/>
      <c r="C5657" s="220"/>
      <c r="D5657" s="54" t="s">
        <v>268</v>
      </c>
      <c r="E5657" s="21"/>
      <c r="F5657" s="148"/>
      <c r="G5657" s="91"/>
      <c r="H5657" s="242"/>
      <c r="I5657" s="245"/>
      <c r="J5657" s="234"/>
      <c r="K5657" s="243"/>
      <c r="L5657" s="243"/>
      <c r="M5657" s="243"/>
      <c r="N5657" s="234"/>
      <c r="O5657" s="235"/>
      <c r="P5657" s="236"/>
      <c r="Q5657" s="236"/>
      <c r="R5657" s="236"/>
      <c r="S5657" s="236"/>
      <c r="T5657" s="236"/>
      <c r="U5657" s="236"/>
      <c r="V5657" s="236"/>
      <c r="W5657" s="236"/>
      <c r="X5657" s="236"/>
      <c r="Y5657" s="236"/>
    </row>
    <row r="5658" spans="1:25" ht="15" customHeight="1">
      <c r="A5658" s="91"/>
      <c r="B5658" s="91"/>
      <c r="C5658" s="220"/>
      <c r="D5658" s="54" t="s">
        <v>269</v>
      </c>
      <c r="E5658" s="32"/>
      <c r="F5658" s="246"/>
      <c r="G5658" s="91"/>
      <c r="H5658" s="242"/>
      <c r="I5658" s="223"/>
      <c r="J5658" s="234"/>
      <c r="K5658" s="243"/>
      <c r="L5658" s="243"/>
      <c r="M5658" s="243"/>
      <c r="N5658" s="234"/>
      <c r="O5658" s="235"/>
      <c r="P5658" s="236"/>
      <c r="Q5658" s="236"/>
      <c r="R5658" s="236"/>
      <c r="S5658" s="236"/>
      <c r="T5658" s="236"/>
      <c r="U5658" s="236"/>
      <c r="V5658" s="236"/>
      <c r="W5658" s="236"/>
      <c r="X5658" s="236"/>
      <c r="Y5658" s="236"/>
    </row>
    <row r="5659" spans="1:25" ht="15" customHeight="1">
      <c r="A5659" s="91"/>
      <c r="B5659" s="91"/>
      <c r="C5659" s="220"/>
      <c r="D5659" s="54" t="s">
        <v>270</v>
      </c>
      <c r="E5659" s="32"/>
      <c r="F5659" s="148"/>
      <c r="G5659" s="91"/>
      <c r="H5659" s="242"/>
      <c r="I5659" s="223"/>
      <c r="J5659" s="234"/>
      <c r="K5659" s="243"/>
      <c r="L5659" s="243"/>
      <c r="M5659" s="243"/>
      <c r="N5659" s="234"/>
      <c r="O5659" s="235"/>
      <c r="P5659" s="236"/>
      <c r="Q5659" s="236"/>
      <c r="R5659" s="236"/>
      <c r="S5659" s="236"/>
      <c r="T5659" s="236"/>
      <c r="U5659" s="236"/>
      <c r="V5659" s="236"/>
      <c r="W5659" s="236"/>
      <c r="X5659" s="236"/>
      <c r="Y5659" s="236"/>
    </row>
    <row r="5660" spans="1:25" ht="15" customHeight="1">
      <c r="A5660" s="91"/>
      <c r="B5660" s="91"/>
      <c r="C5660" s="220"/>
      <c r="D5660" s="54" t="s">
        <v>271</v>
      </c>
      <c r="E5660" s="32"/>
      <c r="F5660" s="148"/>
      <c r="G5660" s="91"/>
      <c r="H5660" s="242"/>
      <c r="I5660" s="223"/>
      <c r="J5660" s="234"/>
      <c r="K5660" s="243"/>
      <c r="L5660" s="243"/>
      <c r="M5660" s="243"/>
      <c r="N5660" s="234"/>
      <c r="O5660" s="235"/>
      <c r="P5660" s="236"/>
      <c r="Q5660" s="236"/>
      <c r="R5660" s="236"/>
      <c r="S5660" s="236"/>
      <c r="T5660" s="236"/>
      <c r="U5660" s="236"/>
      <c r="V5660" s="236"/>
      <c r="W5660" s="236"/>
      <c r="X5660" s="236"/>
      <c r="Y5660" s="236"/>
    </row>
    <row r="5661" spans="1:25" ht="15" customHeight="1">
      <c r="A5661" s="91"/>
      <c r="B5661" s="91"/>
      <c r="C5661" s="220"/>
      <c r="D5661" s="54" t="s">
        <v>272</v>
      </c>
      <c r="E5661" s="32"/>
      <c r="F5661" s="148"/>
      <c r="G5661" s="91"/>
      <c r="H5661" s="242"/>
      <c r="I5661" s="223"/>
      <c r="J5661" s="234"/>
      <c r="K5661" s="243"/>
      <c r="L5661" s="243"/>
      <c r="M5661" s="243"/>
      <c r="N5661" s="234"/>
      <c r="O5661" s="240"/>
      <c r="P5661" s="236"/>
      <c r="Q5661" s="236"/>
      <c r="R5661" s="236"/>
      <c r="S5661" s="236"/>
      <c r="T5661" s="236"/>
      <c r="U5661" s="236"/>
      <c r="V5661" s="236"/>
      <c r="W5661" s="236"/>
      <c r="X5661" s="236"/>
      <c r="Y5661" s="236"/>
    </row>
    <row r="5662" spans="1:25" ht="15" customHeight="1">
      <c r="A5662" s="91"/>
      <c r="B5662" s="91"/>
      <c r="C5662" s="220"/>
      <c r="D5662" s="54" t="s">
        <v>273</v>
      </c>
      <c r="E5662" s="32"/>
      <c r="F5662" s="148"/>
      <c r="G5662" s="91"/>
      <c r="H5662" s="242"/>
      <c r="I5662" s="223"/>
      <c r="J5662" s="234"/>
      <c r="K5662" s="243"/>
      <c r="L5662" s="243"/>
      <c r="M5662" s="243"/>
      <c r="N5662" s="247"/>
      <c r="O5662" s="235"/>
      <c r="P5662" s="236"/>
      <c r="Q5662" s="236"/>
      <c r="R5662" s="236"/>
      <c r="S5662" s="236"/>
      <c r="T5662" s="236"/>
      <c r="U5662" s="236"/>
      <c r="V5662" s="236"/>
      <c r="W5662" s="236"/>
      <c r="X5662" s="236"/>
      <c r="Y5662" s="236"/>
    </row>
    <row r="5663" spans="1:25" ht="15" customHeight="1">
      <c r="A5663" s="91"/>
      <c r="B5663" s="91"/>
      <c r="C5663" s="220"/>
      <c r="D5663" s="54" t="s">
        <v>274</v>
      </c>
      <c r="E5663" s="32"/>
      <c r="F5663" s="32"/>
      <c r="G5663" s="91"/>
      <c r="H5663" s="242"/>
      <c r="I5663" s="223"/>
      <c r="J5663" s="234"/>
      <c r="K5663" s="243"/>
      <c r="L5663" s="243"/>
      <c r="M5663" s="243"/>
      <c r="N5663" s="234"/>
      <c r="O5663" s="235"/>
      <c r="P5663" s="236"/>
      <c r="Q5663" s="236"/>
      <c r="R5663" s="236"/>
      <c r="S5663" s="236"/>
      <c r="T5663" s="236"/>
      <c r="U5663" s="236"/>
      <c r="V5663" s="236"/>
      <c r="W5663" s="236"/>
      <c r="X5663" s="236"/>
      <c r="Y5663" s="236"/>
    </row>
    <row r="5664" spans="1:25" ht="15" customHeight="1">
      <c r="A5664" s="91"/>
      <c r="B5664" s="91"/>
      <c r="C5664" s="220"/>
      <c r="D5664" s="54" t="s">
        <v>275</v>
      </c>
      <c r="E5664" s="32"/>
      <c r="F5664" s="148"/>
      <c r="G5664" s="91"/>
      <c r="H5664" s="242"/>
      <c r="I5664" s="223"/>
      <c r="J5664" s="234"/>
      <c r="K5664" s="243"/>
      <c r="L5664" s="243"/>
      <c r="M5664" s="243"/>
      <c r="N5664" s="234"/>
      <c r="O5664" s="235"/>
      <c r="P5664" s="236"/>
      <c r="Q5664" s="236"/>
      <c r="R5664" s="236"/>
      <c r="S5664" s="236"/>
      <c r="T5664" s="236"/>
      <c r="U5664" s="236"/>
      <c r="V5664" s="236"/>
      <c r="W5664" s="236"/>
      <c r="X5664" s="236"/>
      <c r="Y5664" s="236"/>
    </row>
    <row r="5665" spans="1:25" ht="15" customHeight="1">
      <c r="A5665" s="248"/>
      <c r="B5665" s="91"/>
      <c r="C5665" s="220"/>
      <c r="D5665" s="54" t="s">
        <v>276</v>
      </c>
      <c r="E5665" s="32"/>
      <c r="F5665" s="246"/>
      <c r="G5665" s="91"/>
      <c r="H5665" s="242"/>
      <c r="I5665" s="223"/>
      <c r="J5665" s="234"/>
      <c r="K5665" s="243"/>
      <c r="L5665" s="243"/>
      <c r="M5665" s="243"/>
      <c r="N5665" s="234"/>
      <c r="O5665" s="235"/>
      <c r="P5665" s="236"/>
      <c r="Q5665" s="236"/>
      <c r="R5665" s="236"/>
      <c r="S5665" s="236"/>
      <c r="T5665" s="236"/>
      <c r="U5665" s="236"/>
      <c r="V5665" s="236"/>
      <c r="W5665" s="236"/>
      <c r="X5665" s="236"/>
      <c r="Y5665" s="236"/>
    </row>
    <row r="5666" spans="1:25" ht="15" customHeight="1">
      <c r="A5666" s="91"/>
      <c r="B5666" s="91"/>
      <c r="C5666" s="220"/>
      <c r="D5666" s="54" t="s">
        <v>277</v>
      </c>
      <c r="E5666" s="32"/>
      <c r="F5666" s="148"/>
      <c r="G5666" s="91"/>
      <c r="H5666" s="242"/>
      <c r="I5666" s="223"/>
      <c r="J5666" s="234"/>
      <c r="K5666" s="243"/>
      <c r="L5666" s="243"/>
      <c r="M5666" s="243"/>
      <c r="N5666" s="234"/>
      <c r="O5666" s="235"/>
      <c r="P5666" s="236"/>
      <c r="Q5666" s="236"/>
      <c r="R5666" s="236"/>
      <c r="S5666" s="236"/>
      <c r="T5666" s="236"/>
      <c r="U5666" s="236"/>
      <c r="V5666" s="236"/>
      <c r="W5666" s="236"/>
      <c r="X5666" s="236"/>
      <c r="Y5666" s="236"/>
    </row>
    <row r="5667" spans="1:25" ht="15" customHeight="1">
      <c r="A5667" s="91"/>
      <c r="B5667" s="91"/>
      <c r="C5667" s="220"/>
      <c r="D5667" s="91"/>
      <c r="E5667" s="221"/>
      <c r="F5667" s="91"/>
      <c r="G5667" s="91"/>
      <c r="H5667" s="242"/>
      <c r="I5667" s="223"/>
      <c r="J5667" s="234"/>
      <c r="K5667" s="243"/>
      <c r="L5667" s="243"/>
      <c r="M5667" s="243"/>
      <c r="N5667" s="234"/>
      <c r="O5667" s="235"/>
      <c r="P5667" s="236"/>
      <c r="Q5667" s="236"/>
      <c r="R5667" s="236"/>
      <c r="S5667" s="236"/>
      <c r="T5667" s="236"/>
      <c r="U5667" s="236"/>
      <c r="V5667" s="236"/>
      <c r="W5667" s="236"/>
      <c r="X5667" s="236"/>
      <c r="Y5667" s="236"/>
    </row>
    <row r="5668" spans="1:25" ht="15" customHeight="1">
      <c r="A5668" s="91"/>
      <c r="B5668" s="91"/>
      <c r="C5668" s="220"/>
      <c r="D5668" s="91"/>
      <c r="E5668" s="221"/>
      <c r="F5668" s="91"/>
      <c r="G5668" s="91"/>
      <c r="H5668" s="242"/>
      <c r="I5668" s="223"/>
      <c r="J5668" s="234"/>
      <c r="K5668" s="243"/>
      <c r="L5668" s="243"/>
      <c r="M5668" s="243"/>
      <c r="N5668" s="234"/>
      <c r="O5668" s="235"/>
      <c r="P5668" s="236"/>
      <c r="Q5668" s="236"/>
      <c r="R5668" s="236"/>
      <c r="S5668" s="236"/>
      <c r="T5668" s="236"/>
      <c r="U5668" s="236"/>
      <c r="V5668" s="236"/>
      <c r="W5668" s="236"/>
      <c r="X5668" s="236"/>
      <c r="Y5668" s="236"/>
    </row>
    <row r="5669" spans="1:25" ht="15" customHeight="1">
      <c r="A5669" s="91"/>
      <c r="B5669" s="91"/>
      <c r="C5669" s="220"/>
      <c r="D5669" s="91"/>
      <c r="E5669" s="221"/>
      <c r="F5669" s="91"/>
      <c r="G5669" s="91"/>
      <c r="H5669" s="242"/>
      <c r="I5669" s="223"/>
      <c r="J5669" s="234"/>
      <c r="K5669" s="243"/>
      <c r="L5669" s="243"/>
      <c r="M5669" s="243"/>
      <c r="N5669" s="234"/>
      <c r="O5669" s="235"/>
      <c r="P5669" s="236"/>
      <c r="Q5669" s="236"/>
      <c r="R5669" s="236"/>
      <c r="S5669" s="236"/>
      <c r="T5669" s="236"/>
      <c r="U5669" s="236"/>
      <c r="V5669" s="236"/>
      <c r="W5669" s="236"/>
      <c r="X5669" s="236"/>
      <c r="Y5669" s="236"/>
    </row>
    <row r="5670" spans="1:25" ht="15" customHeight="1">
      <c r="A5670" s="91"/>
      <c r="B5670" s="91" t="s">
        <v>0</v>
      </c>
      <c r="C5670" s="220"/>
      <c r="D5670" s="91"/>
      <c r="E5670" s="221"/>
      <c r="F5670" s="91"/>
      <c r="G5670" s="91"/>
      <c r="H5670" s="242"/>
      <c r="I5670" s="223"/>
      <c r="J5670" s="57"/>
      <c r="K5670" s="153"/>
      <c r="L5670" s="153"/>
      <c r="M5670" s="243"/>
      <c r="N5670" s="234"/>
      <c r="O5670" s="235"/>
      <c r="P5670" s="236"/>
      <c r="Q5670" s="236"/>
      <c r="R5670" s="236"/>
      <c r="S5670" s="236"/>
      <c r="T5670" s="236"/>
      <c r="U5670" s="236"/>
      <c r="V5670" s="236"/>
      <c r="W5670" s="236"/>
      <c r="X5670" s="236"/>
      <c r="Y5670" s="236"/>
    </row>
    <row r="5671" spans="1:25" ht="15" customHeight="1">
      <c r="A5671" s="91"/>
      <c r="B5671" s="91"/>
      <c r="C5671" s="220"/>
      <c r="D5671" s="91"/>
      <c r="E5671" s="221"/>
      <c r="F5671" s="91"/>
      <c r="G5671" s="91"/>
      <c r="H5671" s="242"/>
      <c r="I5671" s="223"/>
      <c r="J5671" s="57"/>
      <c r="K5671" s="153"/>
      <c r="L5671" s="153"/>
      <c r="M5671" s="243"/>
      <c r="N5671" s="234"/>
      <c r="O5671" s="235"/>
      <c r="P5671" s="236"/>
      <c r="Q5671" s="236"/>
      <c r="R5671" s="236"/>
      <c r="S5671" s="236"/>
      <c r="T5671" s="236"/>
      <c r="U5671" s="236"/>
      <c r="V5671" s="236"/>
      <c r="W5671" s="236"/>
      <c r="X5671" s="236"/>
      <c r="Y5671" s="236"/>
    </row>
    <row r="5672" spans="1:25" ht="15" customHeight="1">
      <c r="A5672" s="91"/>
      <c r="B5672" s="91"/>
      <c r="C5672" s="220"/>
      <c r="D5672" s="91"/>
      <c r="E5672" s="249"/>
      <c r="F5672" s="91"/>
      <c r="G5672" s="91"/>
      <c r="H5672" s="242"/>
      <c r="I5672" s="223"/>
      <c r="J5672" s="57"/>
      <c r="K5672" s="153"/>
      <c r="L5672" s="153"/>
      <c r="M5672" s="243"/>
      <c r="N5672" s="234"/>
      <c r="O5672" s="235"/>
      <c r="P5672" s="236"/>
      <c r="Q5672" s="236"/>
      <c r="R5672" s="236"/>
      <c r="S5672" s="236"/>
      <c r="T5672" s="236"/>
      <c r="U5672" s="236"/>
      <c r="V5672" s="236"/>
      <c r="W5672" s="236"/>
      <c r="X5672" s="236"/>
      <c r="Y5672" s="236"/>
    </row>
    <row r="5673" spans="1:25" ht="15" customHeight="1">
      <c r="A5673" s="91"/>
      <c r="B5673" s="91"/>
      <c r="C5673" s="220"/>
      <c r="D5673" s="91"/>
      <c r="E5673" s="221"/>
      <c r="F5673" s="91"/>
      <c r="G5673" s="91"/>
      <c r="H5673" s="242"/>
      <c r="I5673" s="223"/>
      <c r="J5673" s="57"/>
      <c r="K5673" s="153"/>
      <c r="L5673" s="153"/>
      <c r="M5673" s="243"/>
      <c r="N5673" s="234"/>
      <c r="O5673" s="235"/>
      <c r="P5673" s="236"/>
      <c r="Q5673" s="236"/>
      <c r="R5673" s="236"/>
      <c r="S5673" s="236"/>
      <c r="T5673" s="236"/>
      <c r="U5673" s="236"/>
      <c r="V5673" s="236"/>
      <c r="W5673" s="236"/>
      <c r="X5673" s="236"/>
      <c r="Y5673" s="236"/>
    </row>
    <row r="5674" spans="1:25" ht="15" customHeight="1">
      <c r="A5674" s="91"/>
      <c r="B5674" s="91"/>
      <c r="C5674" s="220"/>
      <c r="D5674" s="91"/>
      <c r="E5674" s="221"/>
      <c r="F5674" s="91"/>
      <c r="G5674" s="91"/>
      <c r="H5674" s="242"/>
      <c r="I5674" s="223"/>
      <c r="J5674" s="57"/>
      <c r="K5674" s="153"/>
      <c r="L5674" s="153"/>
      <c r="M5674" s="243"/>
      <c r="N5674" s="234"/>
      <c r="O5674" s="244"/>
      <c r="P5674" s="236"/>
      <c r="Q5674" s="236"/>
      <c r="R5674" s="236"/>
      <c r="S5674" s="236"/>
      <c r="T5674" s="236"/>
      <c r="U5674" s="236"/>
      <c r="V5674" s="236"/>
      <c r="W5674" s="236"/>
      <c r="X5674" s="236"/>
      <c r="Y5674" s="236"/>
    </row>
    <row r="5675" spans="1:25" ht="15" customHeight="1">
      <c r="A5675" s="91"/>
      <c r="B5675" s="91"/>
      <c r="C5675" s="220"/>
      <c r="D5675" s="91"/>
      <c r="E5675" s="221"/>
      <c r="F5675" s="91"/>
      <c r="G5675" s="91"/>
      <c r="H5675" s="242"/>
      <c r="I5675" s="223"/>
      <c r="J5675" s="57"/>
      <c r="K5675" s="153"/>
      <c r="L5675" s="153"/>
      <c r="M5675" s="243"/>
      <c r="N5675" s="234"/>
      <c r="O5675" s="235"/>
      <c r="P5675" s="236"/>
      <c r="Q5675" s="236"/>
      <c r="R5675" s="236"/>
      <c r="S5675" s="236"/>
      <c r="T5675" s="236"/>
      <c r="U5675" s="236"/>
      <c r="V5675" s="236"/>
      <c r="W5675" s="236"/>
      <c r="X5675" s="236"/>
      <c r="Y5675" s="236"/>
    </row>
    <row r="5676" spans="1:25" ht="15" customHeight="1">
      <c r="A5676" s="91"/>
      <c r="B5676" s="91"/>
      <c r="C5676" s="220"/>
      <c r="D5676" s="91"/>
      <c r="E5676" s="221"/>
      <c r="F5676" s="91"/>
      <c r="G5676" s="91"/>
      <c r="H5676" s="242"/>
      <c r="I5676" s="223"/>
      <c r="J5676" s="57"/>
      <c r="K5676" s="153"/>
      <c r="L5676" s="153"/>
      <c r="M5676" s="243"/>
      <c r="N5676" s="234"/>
      <c r="O5676" s="235"/>
      <c r="P5676" s="236"/>
      <c r="Q5676" s="236"/>
      <c r="R5676" s="236"/>
      <c r="S5676" s="236"/>
      <c r="T5676" s="236"/>
      <c r="U5676" s="236"/>
      <c r="V5676" s="236"/>
      <c r="W5676" s="236"/>
      <c r="X5676" s="236"/>
      <c r="Y5676" s="236"/>
    </row>
    <row r="5677" spans="1:25" ht="15" customHeight="1">
      <c r="A5677" s="91"/>
      <c r="B5677" s="91"/>
      <c r="C5677" s="220"/>
      <c r="D5677" s="91"/>
      <c r="E5677" s="221"/>
      <c r="F5677" s="91"/>
      <c r="G5677" s="91"/>
      <c r="H5677" s="242"/>
      <c r="I5677" s="223"/>
      <c r="J5677" s="57"/>
      <c r="K5677" s="153"/>
      <c r="L5677" s="153"/>
      <c r="M5677" s="243"/>
      <c r="N5677" s="234"/>
      <c r="O5677" s="235"/>
      <c r="P5677" s="236"/>
      <c r="Q5677" s="236"/>
      <c r="R5677" s="236"/>
      <c r="S5677" s="236"/>
      <c r="T5677" s="236"/>
      <c r="U5677" s="236"/>
      <c r="V5677" s="236"/>
      <c r="W5677" s="236"/>
      <c r="X5677" s="236"/>
      <c r="Y5677" s="236"/>
    </row>
    <row r="5678" spans="1:25" ht="15" customHeight="1">
      <c r="A5678" s="91"/>
      <c r="B5678" s="91"/>
      <c r="C5678" s="220"/>
      <c r="D5678" s="91"/>
      <c r="E5678" s="221"/>
      <c r="F5678" s="91"/>
      <c r="G5678" s="91"/>
      <c r="H5678" s="242"/>
      <c r="I5678" s="223"/>
      <c r="J5678" s="57"/>
      <c r="K5678" s="153"/>
      <c r="L5678" s="153"/>
      <c r="M5678" s="243"/>
      <c r="N5678" s="234"/>
      <c r="O5678" s="235"/>
      <c r="P5678" s="236"/>
      <c r="Q5678" s="236"/>
      <c r="R5678" s="236"/>
      <c r="S5678" s="236"/>
      <c r="T5678" s="236"/>
      <c r="U5678" s="236"/>
      <c r="V5678" s="236"/>
      <c r="W5678" s="236"/>
      <c r="X5678" s="236"/>
      <c r="Y5678" s="236"/>
    </row>
    <row r="5679" spans="1:25" ht="15" customHeight="1">
      <c r="A5679" s="91"/>
      <c r="B5679" s="91"/>
      <c r="C5679" s="220"/>
      <c r="D5679" s="91"/>
      <c r="E5679" s="221"/>
      <c r="F5679" s="91"/>
      <c r="G5679" s="91"/>
      <c r="H5679" s="242"/>
      <c r="I5679" s="223"/>
      <c r="J5679" s="57"/>
      <c r="K5679" s="153"/>
      <c r="L5679" s="153"/>
      <c r="M5679" s="243"/>
      <c r="N5679" s="234"/>
      <c r="O5679" s="235"/>
      <c r="P5679" s="236"/>
      <c r="Q5679" s="236"/>
      <c r="R5679" s="236"/>
      <c r="S5679" s="236"/>
      <c r="T5679" s="236"/>
      <c r="U5679" s="236"/>
      <c r="V5679" s="236"/>
      <c r="W5679" s="236"/>
      <c r="X5679" s="236"/>
      <c r="Y5679" s="236"/>
    </row>
    <row r="5680" spans="1:25" ht="15" customHeight="1">
      <c r="A5680" s="91"/>
      <c r="B5680" s="91"/>
      <c r="C5680" s="220"/>
      <c r="D5680" s="91"/>
      <c r="E5680" s="221"/>
      <c r="F5680" s="91"/>
      <c r="G5680" s="91"/>
      <c r="H5680" s="242"/>
      <c r="I5680" s="223"/>
      <c r="J5680" s="57"/>
      <c r="K5680" s="153"/>
      <c r="L5680" s="153"/>
      <c r="M5680" s="243"/>
      <c r="N5680" s="234"/>
      <c r="O5680" s="235"/>
      <c r="P5680" s="236"/>
      <c r="Q5680" s="236"/>
      <c r="R5680" s="236"/>
      <c r="S5680" s="236"/>
      <c r="T5680" s="236"/>
      <c r="U5680" s="236"/>
      <c r="V5680" s="236"/>
      <c r="W5680" s="236"/>
      <c r="X5680" s="236"/>
      <c r="Y5680" s="236"/>
    </row>
    <row r="5681" spans="1:25" ht="15" customHeight="1">
      <c r="A5681" s="91"/>
      <c r="B5681" s="91"/>
      <c r="C5681" s="220"/>
      <c r="D5681" s="91"/>
      <c r="E5681" s="221"/>
      <c r="F5681" s="91"/>
      <c r="G5681" s="91"/>
      <c r="H5681" s="242"/>
      <c r="I5681" s="223"/>
      <c r="J5681" s="57"/>
      <c r="K5681" s="153"/>
      <c r="L5681" s="153"/>
      <c r="M5681" s="243"/>
      <c r="N5681" s="234"/>
      <c r="O5681" s="235"/>
      <c r="P5681" s="236"/>
      <c r="Q5681" s="236"/>
      <c r="R5681" s="236"/>
      <c r="S5681" s="236"/>
      <c r="T5681" s="236"/>
      <c r="U5681" s="236"/>
      <c r="V5681" s="236"/>
      <c r="W5681" s="236"/>
      <c r="X5681" s="236"/>
      <c r="Y5681" s="236"/>
    </row>
    <row r="5682" spans="1:25" ht="15" customHeight="1">
      <c r="A5682" s="91"/>
      <c r="B5682" s="91"/>
      <c r="C5682" s="220"/>
      <c r="D5682" s="91"/>
      <c r="E5682" s="221"/>
      <c r="F5682" s="91"/>
      <c r="G5682" s="91"/>
      <c r="H5682" s="242"/>
      <c r="I5682" s="223"/>
      <c r="J5682" s="57"/>
      <c r="K5682" s="153"/>
      <c r="L5682" s="153"/>
      <c r="M5682" s="243"/>
      <c r="N5682" s="234"/>
      <c r="O5682" s="235"/>
      <c r="P5682" s="236"/>
      <c r="Q5682" s="236"/>
      <c r="R5682" s="236"/>
      <c r="S5682" s="236"/>
      <c r="T5682" s="236"/>
      <c r="U5682" s="236"/>
      <c r="V5682" s="236"/>
      <c r="W5682" s="236"/>
      <c r="X5682" s="236"/>
      <c r="Y5682" s="236"/>
    </row>
    <row r="5683" spans="1:25" ht="15" customHeight="1">
      <c r="A5683" s="91"/>
      <c r="B5683" s="91"/>
      <c r="C5683" s="220"/>
      <c r="D5683" s="91"/>
      <c r="E5683" s="221"/>
      <c r="F5683" s="91"/>
      <c r="G5683" s="91"/>
      <c r="H5683" s="242"/>
      <c r="I5683" s="223"/>
      <c r="J5683" s="57"/>
      <c r="K5683" s="153"/>
      <c r="L5683" s="153"/>
      <c r="M5683" s="243"/>
      <c r="N5683" s="234"/>
      <c r="O5683" s="235"/>
      <c r="P5683" s="236"/>
      <c r="Q5683" s="236"/>
      <c r="R5683" s="236"/>
      <c r="S5683" s="236"/>
      <c r="T5683" s="236"/>
      <c r="U5683" s="236"/>
      <c r="V5683" s="236"/>
      <c r="W5683" s="236"/>
      <c r="X5683" s="236"/>
      <c r="Y5683" s="236"/>
    </row>
    <row r="5684" spans="1:25" ht="15" customHeight="1">
      <c r="A5684" s="91"/>
      <c r="B5684" s="91"/>
      <c r="C5684" s="220"/>
      <c r="D5684" s="91"/>
      <c r="E5684" s="221"/>
      <c r="F5684" s="91"/>
      <c r="G5684" s="91"/>
      <c r="H5684" s="242"/>
      <c r="I5684" s="223"/>
      <c r="J5684" s="57"/>
      <c r="K5684" s="153"/>
      <c r="L5684" s="153"/>
      <c r="M5684" s="243"/>
      <c r="N5684" s="234"/>
      <c r="O5684" s="235"/>
      <c r="P5684" s="236"/>
      <c r="Q5684" s="236"/>
      <c r="R5684" s="236"/>
      <c r="S5684" s="236"/>
      <c r="T5684" s="236"/>
      <c r="U5684" s="236"/>
      <c r="V5684" s="236"/>
      <c r="W5684" s="236"/>
      <c r="X5684" s="236"/>
      <c r="Y5684" s="236"/>
    </row>
    <row r="5685" spans="1:25" ht="15" customHeight="1">
      <c r="A5685" s="91"/>
      <c r="B5685" s="91"/>
      <c r="C5685" s="220"/>
      <c r="D5685" s="91"/>
      <c r="E5685" s="221"/>
      <c r="F5685" s="91"/>
      <c r="G5685" s="91"/>
      <c r="H5685" s="242"/>
      <c r="I5685" s="223"/>
      <c r="J5685" s="57"/>
      <c r="K5685" s="153"/>
      <c r="L5685" s="153"/>
      <c r="M5685" s="243"/>
      <c r="N5685" s="234"/>
      <c r="O5685" s="235"/>
      <c r="P5685" s="236"/>
      <c r="Q5685" s="236"/>
      <c r="R5685" s="236"/>
      <c r="S5685" s="236"/>
      <c r="T5685" s="236"/>
      <c r="U5685" s="236"/>
      <c r="V5685" s="236"/>
      <c r="W5685" s="236"/>
      <c r="X5685" s="236"/>
      <c r="Y5685" s="236"/>
    </row>
    <row r="5686" spans="1:25" ht="15" customHeight="1">
      <c r="A5686" s="91"/>
      <c r="B5686" s="91"/>
      <c r="C5686" s="220"/>
      <c r="D5686" s="91"/>
      <c r="E5686" s="221"/>
      <c r="F5686" s="91"/>
      <c r="G5686" s="91"/>
      <c r="H5686" s="242"/>
      <c r="I5686" s="223"/>
      <c r="J5686" s="57"/>
      <c r="K5686" s="153"/>
      <c r="L5686" s="153"/>
      <c r="M5686" s="243"/>
      <c r="N5686" s="234"/>
      <c r="O5686" s="235"/>
      <c r="P5686" s="236"/>
      <c r="Q5686" s="236"/>
      <c r="R5686" s="236"/>
      <c r="S5686" s="236"/>
      <c r="T5686" s="236"/>
      <c r="U5686" s="236"/>
      <c r="V5686" s="236"/>
      <c r="W5686" s="236"/>
      <c r="X5686" s="236"/>
      <c r="Y5686" s="236"/>
    </row>
    <row r="5687" spans="1:25" ht="15" customHeight="1">
      <c r="A5687" s="91"/>
      <c r="B5687" s="91"/>
      <c r="C5687" s="220"/>
      <c r="D5687" s="91"/>
      <c r="E5687" s="221"/>
      <c r="F5687" s="91"/>
      <c r="G5687" s="91"/>
      <c r="H5687" s="242"/>
      <c r="I5687" s="223"/>
      <c r="J5687" s="57"/>
      <c r="K5687" s="153"/>
      <c r="L5687" s="153"/>
      <c r="M5687" s="243"/>
      <c r="N5687" s="234"/>
      <c r="O5687" s="235"/>
      <c r="P5687" s="236"/>
      <c r="Q5687" s="236"/>
      <c r="R5687" s="236"/>
      <c r="S5687" s="236"/>
      <c r="T5687" s="236"/>
      <c r="U5687" s="236"/>
      <c r="V5687" s="236"/>
      <c r="W5687" s="236"/>
      <c r="X5687" s="236"/>
      <c r="Y5687" s="236"/>
    </row>
    <row r="5688" spans="1:25" ht="15" customHeight="1">
      <c r="A5688" s="91"/>
      <c r="B5688" s="91"/>
      <c r="C5688" s="220"/>
      <c r="D5688" s="91"/>
      <c r="E5688" s="221"/>
      <c r="F5688" s="91"/>
      <c r="G5688" s="91"/>
      <c r="H5688" s="242"/>
      <c r="I5688" s="223"/>
      <c r="J5688" s="57"/>
      <c r="K5688" s="153"/>
      <c r="L5688" s="153"/>
      <c r="M5688" s="243"/>
      <c r="N5688" s="234"/>
      <c r="O5688" s="235"/>
      <c r="P5688" s="236"/>
      <c r="Q5688" s="236"/>
      <c r="R5688" s="236"/>
      <c r="S5688" s="236"/>
      <c r="T5688" s="236"/>
      <c r="U5688" s="236"/>
      <c r="V5688" s="236"/>
      <c r="W5688" s="236"/>
      <c r="X5688" s="236"/>
      <c r="Y5688" s="236"/>
    </row>
    <row r="5689" spans="1:25" ht="15" customHeight="1">
      <c r="A5689" s="91"/>
      <c r="B5689" s="91"/>
      <c r="C5689" s="220"/>
      <c r="D5689" s="91"/>
      <c r="E5689" s="221"/>
      <c r="F5689" s="91"/>
      <c r="G5689" s="91"/>
      <c r="H5689" s="242"/>
      <c r="I5689" s="223"/>
      <c r="J5689" s="57"/>
      <c r="K5689" s="153"/>
      <c r="L5689" s="153"/>
      <c r="M5689" s="243"/>
      <c r="N5689" s="234"/>
      <c r="O5689" s="235"/>
      <c r="P5689" s="236"/>
      <c r="Q5689" s="236"/>
      <c r="R5689" s="236"/>
      <c r="S5689" s="236"/>
      <c r="T5689" s="236"/>
      <c r="U5689" s="236"/>
      <c r="V5689" s="236"/>
      <c r="W5689" s="236"/>
      <c r="X5689" s="236"/>
      <c r="Y5689" s="236"/>
    </row>
    <row r="5690" spans="1:25" ht="15" customHeight="1">
      <c r="A5690" s="91"/>
      <c r="B5690" s="91"/>
      <c r="C5690" s="220"/>
      <c r="D5690" s="91"/>
      <c r="E5690" s="221"/>
      <c r="F5690" s="91"/>
      <c r="G5690" s="91"/>
      <c r="H5690" s="242"/>
      <c r="I5690" s="223"/>
      <c r="J5690" s="57"/>
      <c r="K5690" s="153"/>
      <c r="L5690" s="153"/>
      <c r="M5690" s="243"/>
      <c r="N5690" s="234"/>
      <c r="O5690" s="235"/>
      <c r="P5690" s="236"/>
      <c r="Q5690" s="236"/>
      <c r="R5690" s="236"/>
      <c r="S5690" s="236"/>
      <c r="T5690" s="236"/>
      <c r="U5690" s="236"/>
      <c r="V5690" s="236"/>
      <c r="W5690" s="236"/>
      <c r="X5690" s="236"/>
      <c r="Y5690" s="236"/>
    </row>
    <row r="5691" spans="1:25" ht="15" customHeight="1">
      <c r="A5691" s="91"/>
      <c r="B5691" s="91"/>
      <c r="C5691" s="220"/>
      <c r="D5691" s="91"/>
      <c r="E5691" s="221"/>
      <c r="F5691" s="91"/>
      <c r="G5691" s="91"/>
      <c r="H5691" s="242"/>
      <c r="I5691" s="223"/>
      <c r="J5691" s="57"/>
      <c r="K5691" s="153"/>
      <c r="L5691" s="153"/>
      <c r="M5691" s="243"/>
      <c r="N5691" s="234"/>
      <c r="O5691" s="235"/>
      <c r="P5691" s="236"/>
      <c r="Q5691" s="236"/>
      <c r="R5691" s="236"/>
      <c r="S5691" s="236"/>
      <c r="T5691" s="236"/>
      <c r="U5691" s="236"/>
      <c r="V5691" s="236"/>
      <c r="W5691" s="236"/>
      <c r="X5691" s="236"/>
      <c r="Y5691" s="236"/>
    </row>
    <row r="5692" spans="1:25" ht="15" customHeight="1">
      <c r="A5692" s="91"/>
      <c r="B5692" s="91"/>
      <c r="C5692" s="220"/>
      <c r="D5692" s="91"/>
      <c r="E5692" s="221"/>
      <c r="F5692" s="91"/>
      <c r="G5692" s="91"/>
      <c r="H5692" s="242"/>
      <c r="I5692" s="223"/>
      <c r="J5692" s="57"/>
      <c r="K5692" s="153"/>
      <c r="L5692" s="153"/>
      <c r="M5692" s="243"/>
      <c r="N5692" s="234"/>
      <c r="O5692" s="235"/>
      <c r="P5692" s="236"/>
      <c r="Q5692" s="236"/>
      <c r="R5692" s="236"/>
      <c r="S5692" s="236"/>
      <c r="T5692" s="236"/>
      <c r="U5692" s="236"/>
      <c r="V5692" s="236"/>
      <c r="W5692" s="236"/>
      <c r="X5692" s="236"/>
      <c r="Y5692" s="236"/>
    </row>
    <row r="5693" spans="1:25" ht="15" customHeight="1">
      <c r="A5693" s="91"/>
      <c r="B5693" s="91"/>
      <c r="C5693" s="220"/>
      <c r="D5693" s="91"/>
      <c r="E5693" s="221"/>
      <c r="F5693" s="91"/>
      <c r="G5693" s="91"/>
      <c r="H5693" s="242"/>
      <c r="I5693" s="223"/>
      <c r="J5693" s="57"/>
      <c r="K5693" s="153"/>
      <c r="L5693" s="153"/>
      <c r="M5693" s="243"/>
      <c r="N5693" s="234"/>
      <c r="O5693" s="235"/>
      <c r="P5693" s="236"/>
      <c r="Q5693" s="236"/>
      <c r="R5693" s="236"/>
      <c r="S5693" s="236"/>
      <c r="T5693" s="236"/>
      <c r="U5693" s="236"/>
      <c r="V5693" s="236"/>
      <c r="W5693" s="236"/>
      <c r="X5693" s="236"/>
      <c r="Y5693" s="236"/>
    </row>
    <row r="5694" spans="1:25" ht="15" customHeight="1">
      <c r="A5694" s="91"/>
      <c r="B5694" s="91"/>
      <c r="C5694" s="220"/>
      <c r="D5694" s="91"/>
      <c r="E5694" s="221"/>
      <c r="F5694" s="91"/>
      <c r="G5694" s="91"/>
      <c r="H5694" s="242"/>
      <c r="I5694" s="223"/>
      <c r="J5694" s="57"/>
      <c r="K5694" s="153"/>
      <c r="L5694" s="153"/>
      <c r="M5694" s="243"/>
      <c r="N5694" s="234"/>
      <c r="O5694" s="235"/>
      <c r="P5694" s="236"/>
      <c r="Q5694" s="236"/>
      <c r="R5694" s="236"/>
      <c r="S5694" s="236"/>
      <c r="T5694" s="236"/>
      <c r="U5694" s="236"/>
      <c r="V5694" s="236"/>
      <c r="W5694" s="236"/>
      <c r="X5694" s="236"/>
      <c r="Y5694" s="236"/>
    </row>
    <row r="5695" spans="1:25" ht="15" customHeight="1">
      <c r="A5695" s="91"/>
      <c r="B5695" s="91"/>
      <c r="C5695" s="220"/>
      <c r="D5695" s="91"/>
      <c r="E5695" s="221"/>
      <c r="F5695" s="91"/>
      <c r="G5695" s="91"/>
      <c r="H5695" s="242"/>
      <c r="I5695" s="223"/>
      <c r="J5695" s="57"/>
      <c r="K5695" s="153"/>
      <c r="L5695" s="153"/>
      <c r="M5695" s="243"/>
      <c r="N5695" s="234"/>
      <c r="O5695" s="235"/>
      <c r="P5695" s="236"/>
      <c r="Q5695" s="236"/>
      <c r="R5695" s="236"/>
      <c r="S5695" s="236"/>
      <c r="T5695" s="236"/>
      <c r="U5695" s="236"/>
      <c r="V5695" s="236"/>
      <c r="W5695" s="236"/>
      <c r="X5695" s="236"/>
      <c r="Y5695" s="236"/>
    </row>
    <row r="5696" spans="1:25" ht="15" customHeight="1">
      <c r="A5696" s="91"/>
      <c r="B5696" s="91"/>
      <c r="C5696" s="220"/>
      <c r="D5696" s="91"/>
      <c r="E5696" s="221"/>
      <c r="F5696" s="91"/>
      <c r="G5696" s="91"/>
      <c r="H5696" s="242"/>
      <c r="I5696" s="223"/>
      <c r="J5696" s="57"/>
      <c r="K5696" s="153"/>
      <c r="L5696" s="153"/>
      <c r="M5696" s="243"/>
      <c r="N5696" s="234"/>
      <c r="O5696" s="235"/>
      <c r="P5696" s="236"/>
      <c r="Q5696" s="236"/>
      <c r="R5696" s="236"/>
      <c r="S5696" s="236"/>
      <c r="T5696" s="236"/>
      <c r="U5696" s="236"/>
      <c r="V5696" s="236"/>
      <c r="W5696" s="236"/>
      <c r="X5696" s="236"/>
      <c r="Y5696" s="236"/>
    </row>
    <row r="5697" spans="1:25" ht="15" customHeight="1">
      <c r="A5697" s="91"/>
      <c r="B5697" s="91"/>
      <c r="C5697" s="220"/>
      <c r="D5697" s="91"/>
      <c r="E5697" s="221"/>
      <c r="F5697" s="91"/>
      <c r="G5697" s="91"/>
      <c r="H5697" s="242"/>
      <c r="I5697" s="223"/>
      <c r="J5697" s="57"/>
      <c r="K5697" s="153"/>
      <c r="L5697" s="153"/>
      <c r="M5697" s="243"/>
      <c r="N5697" s="234"/>
      <c r="O5697" s="235"/>
      <c r="P5697" s="236"/>
      <c r="Q5697" s="236"/>
      <c r="R5697" s="236"/>
      <c r="S5697" s="236"/>
      <c r="T5697" s="236"/>
      <c r="U5697" s="236"/>
      <c r="V5697" s="236"/>
      <c r="W5697" s="236"/>
      <c r="X5697" s="236"/>
      <c r="Y5697" s="236"/>
    </row>
    <row r="5698" spans="1:25" ht="15" customHeight="1">
      <c r="A5698" s="91"/>
      <c r="B5698" s="91"/>
      <c r="C5698" s="220"/>
      <c r="D5698" s="91"/>
      <c r="E5698" s="221"/>
      <c r="F5698" s="91"/>
      <c r="G5698" s="91"/>
      <c r="H5698" s="242"/>
      <c r="I5698" s="223"/>
      <c r="J5698" s="57"/>
      <c r="K5698" s="153"/>
      <c r="L5698" s="153"/>
      <c r="M5698" s="243"/>
      <c r="N5698" s="234"/>
      <c r="O5698" s="235"/>
      <c r="P5698" s="236"/>
      <c r="Q5698" s="236"/>
      <c r="R5698" s="236"/>
      <c r="S5698" s="236"/>
      <c r="T5698" s="236"/>
      <c r="U5698" s="236"/>
      <c r="V5698" s="236"/>
      <c r="W5698" s="236"/>
      <c r="X5698" s="236"/>
      <c r="Y5698" s="236"/>
    </row>
    <row r="5699" spans="1:25" ht="15" customHeight="1">
      <c r="A5699" s="91"/>
      <c r="B5699" s="91"/>
      <c r="C5699" s="220"/>
      <c r="D5699" s="91"/>
      <c r="E5699" s="221"/>
      <c r="F5699" s="91"/>
      <c r="G5699" s="91"/>
      <c r="H5699" s="242"/>
      <c r="I5699" s="223"/>
      <c r="J5699" s="57"/>
      <c r="K5699" s="153"/>
      <c r="L5699" s="153"/>
      <c r="M5699" s="243"/>
      <c r="N5699" s="234"/>
      <c r="O5699" s="235"/>
      <c r="P5699" s="236"/>
      <c r="Q5699" s="236"/>
      <c r="R5699" s="236"/>
      <c r="S5699" s="236"/>
      <c r="T5699" s="236"/>
      <c r="U5699" s="236"/>
      <c r="V5699" s="236"/>
      <c r="W5699" s="236"/>
      <c r="X5699" s="236"/>
      <c r="Y5699" s="236"/>
    </row>
    <row r="5700" spans="1:25" ht="15" customHeight="1">
      <c r="A5700" s="91"/>
      <c r="B5700" s="91"/>
      <c r="C5700" s="220"/>
      <c r="D5700" s="91"/>
      <c r="E5700" s="221"/>
      <c r="F5700" s="91"/>
      <c r="G5700" s="91"/>
      <c r="H5700" s="242"/>
      <c r="I5700" s="223"/>
      <c r="J5700" s="57"/>
      <c r="K5700" s="153"/>
      <c r="L5700" s="153"/>
      <c r="M5700" s="243"/>
      <c r="N5700" s="234"/>
      <c r="O5700" s="235"/>
      <c r="P5700" s="236"/>
      <c r="Q5700" s="236"/>
      <c r="R5700" s="236"/>
      <c r="S5700" s="236"/>
      <c r="T5700" s="236"/>
      <c r="U5700" s="236"/>
      <c r="V5700" s="236"/>
      <c r="W5700" s="236"/>
      <c r="X5700" s="236"/>
      <c r="Y5700" s="236"/>
    </row>
    <row r="5701" spans="1:25" ht="15" customHeight="1">
      <c r="A5701" s="91"/>
      <c r="B5701" s="91"/>
      <c r="C5701" s="220"/>
      <c r="D5701" s="91"/>
      <c r="E5701" s="221"/>
      <c r="F5701" s="91"/>
      <c r="G5701" s="91"/>
      <c r="H5701" s="242"/>
      <c r="I5701" s="223"/>
      <c r="J5701" s="57"/>
      <c r="K5701" s="153"/>
      <c r="L5701" s="153"/>
      <c r="M5701" s="243"/>
      <c r="N5701" s="234"/>
      <c r="O5701" s="235"/>
      <c r="P5701" s="236"/>
      <c r="Q5701" s="236"/>
      <c r="R5701" s="236"/>
      <c r="S5701" s="236"/>
      <c r="T5701" s="236"/>
      <c r="U5701" s="236"/>
      <c r="V5701" s="236"/>
      <c r="W5701" s="236"/>
      <c r="X5701" s="236"/>
      <c r="Y5701" s="236"/>
    </row>
    <row r="5702" spans="1:25" ht="15" customHeight="1">
      <c r="A5702" s="91"/>
      <c r="B5702" s="91"/>
      <c r="C5702" s="220"/>
      <c r="D5702" s="91"/>
      <c r="E5702" s="221"/>
      <c r="F5702" s="91"/>
      <c r="G5702" s="91"/>
      <c r="H5702" s="242"/>
      <c r="I5702" s="223"/>
      <c r="J5702" s="57"/>
      <c r="K5702" s="153"/>
      <c r="L5702" s="153"/>
      <c r="M5702" s="243"/>
      <c r="N5702" s="234"/>
      <c r="O5702" s="235"/>
      <c r="P5702" s="236"/>
      <c r="Q5702" s="236"/>
      <c r="R5702" s="236"/>
      <c r="S5702" s="236"/>
      <c r="T5702" s="236"/>
      <c r="U5702" s="236"/>
      <c r="V5702" s="236"/>
      <c r="W5702" s="236"/>
      <c r="X5702" s="236"/>
      <c r="Y5702" s="236"/>
    </row>
    <row r="5703" spans="1:25" ht="15" customHeight="1">
      <c r="A5703" s="91"/>
      <c r="B5703" s="91"/>
      <c r="C5703" s="220"/>
      <c r="D5703" s="91"/>
      <c r="E5703" s="221"/>
      <c r="F5703" s="91"/>
      <c r="G5703" s="91"/>
      <c r="H5703" s="242"/>
      <c r="I5703" s="223"/>
      <c r="J5703" s="57"/>
      <c r="K5703" s="153"/>
      <c r="L5703" s="153"/>
      <c r="M5703" s="243"/>
      <c r="N5703" s="234"/>
      <c r="O5703" s="235"/>
      <c r="P5703" s="236"/>
      <c r="Q5703" s="236"/>
      <c r="R5703" s="236"/>
      <c r="S5703" s="236"/>
      <c r="T5703" s="236"/>
      <c r="U5703" s="236"/>
      <c r="V5703" s="236"/>
      <c r="W5703" s="236"/>
      <c r="X5703" s="236"/>
      <c r="Y5703" s="236"/>
    </row>
    <row r="5704" spans="1:25" ht="15" customHeight="1">
      <c r="A5704" s="91"/>
      <c r="B5704" s="91"/>
      <c r="C5704" s="220"/>
      <c r="D5704" s="91"/>
      <c r="E5704" s="221"/>
      <c r="F5704" s="91"/>
      <c r="G5704" s="91"/>
      <c r="H5704" s="242"/>
      <c r="I5704" s="223"/>
      <c r="J5704" s="57"/>
      <c r="K5704" s="153"/>
      <c r="L5704" s="153"/>
      <c r="M5704" s="243"/>
      <c r="N5704" s="234"/>
      <c r="O5704" s="235"/>
      <c r="P5704" s="236"/>
      <c r="Q5704" s="236"/>
      <c r="R5704" s="236"/>
      <c r="S5704" s="236"/>
      <c r="T5704" s="236"/>
      <c r="U5704" s="236"/>
      <c r="V5704" s="236"/>
      <c r="W5704" s="236"/>
      <c r="X5704" s="236"/>
      <c r="Y5704" s="236"/>
    </row>
    <row r="5705" spans="1:25" ht="15" customHeight="1">
      <c r="A5705" s="91"/>
      <c r="B5705" s="91"/>
      <c r="C5705" s="220"/>
      <c r="D5705" s="91"/>
      <c r="E5705" s="221"/>
      <c r="F5705" s="91"/>
      <c r="G5705" s="91"/>
      <c r="H5705" s="242"/>
      <c r="I5705" s="223"/>
      <c r="J5705" s="57"/>
      <c r="K5705" s="153"/>
      <c r="L5705" s="153"/>
      <c r="M5705" s="243"/>
      <c r="N5705" s="234"/>
      <c r="O5705" s="235"/>
      <c r="P5705" s="236"/>
      <c r="Q5705" s="236"/>
      <c r="R5705" s="236"/>
      <c r="S5705" s="236"/>
      <c r="T5705" s="236"/>
      <c r="U5705" s="236"/>
      <c r="V5705" s="236"/>
      <c r="W5705" s="236"/>
      <c r="X5705" s="236"/>
      <c r="Y5705" s="236"/>
    </row>
    <row r="5706" spans="1:25" ht="15" customHeight="1">
      <c r="A5706" s="91"/>
      <c r="B5706" s="91"/>
      <c r="C5706" s="220"/>
      <c r="D5706" s="91"/>
      <c r="E5706" s="221"/>
      <c r="F5706" s="91"/>
      <c r="G5706" s="91"/>
      <c r="H5706" s="242"/>
      <c r="I5706" s="223"/>
      <c r="J5706" s="57"/>
      <c r="K5706" s="153"/>
      <c r="L5706" s="153"/>
      <c r="M5706" s="243"/>
      <c r="N5706" s="234"/>
      <c r="O5706" s="235"/>
      <c r="P5706" s="236"/>
      <c r="Q5706" s="236"/>
      <c r="R5706" s="236"/>
      <c r="S5706" s="236"/>
      <c r="T5706" s="236"/>
      <c r="U5706" s="236"/>
      <c r="V5706" s="236"/>
      <c r="W5706" s="236"/>
      <c r="X5706" s="236"/>
      <c r="Y5706" s="236"/>
    </row>
    <row r="5707" spans="1:25" ht="15" customHeight="1">
      <c r="A5707" s="91"/>
      <c r="B5707" s="91"/>
      <c r="C5707" s="220"/>
      <c r="D5707" s="91"/>
      <c r="E5707" s="221"/>
      <c r="F5707" s="91"/>
      <c r="G5707" s="91"/>
      <c r="H5707" s="242"/>
      <c r="I5707" s="223"/>
      <c r="J5707" s="57"/>
      <c r="K5707" s="153"/>
      <c r="L5707" s="153"/>
      <c r="M5707" s="243"/>
      <c r="N5707" s="234"/>
      <c r="O5707" s="235"/>
      <c r="P5707" s="236"/>
      <c r="Q5707" s="236"/>
      <c r="R5707" s="236"/>
      <c r="S5707" s="236"/>
      <c r="T5707" s="236"/>
      <c r="U5707" s="236"/>
      <c r="V5707" s="236"/>
      <c r="W5707" s="236"/>
      <c r="X5707" s="236"/>
      <c r="Y5707" s="236"/>
    </row>
    <row r="5708" spans="1:25" ht="15" customHeight="1">
      <c r="A5708" s="91"/>
      <c r="B5708" s="91"/>
      <c r="C5708" s="220"/>
      <c r="D5708" s="91"/>
      <c r="E5708" s="221"/>
      <c r="F5708" s="91"/>
      <c r="G5708" s="91"/>
      <c r="H5708" s="242"/>
      <c r="I5708" s="223"/>
      <c r="J5708" s="57"/>
      <c r="K5708" s="153"/>
      <c r="L5708" s="153"/>
      <c r="M5708" s="243"/>
      <c r="N5708" s="234"/>
      <c r="O5708" s="235"/>
      <c r="P5708" s="236"/>
      <c r="Q5708" s="236"/>
      <c r="R5708" s="236"/>
      <c r="S5708" s="236"/>
      <c r="T5708" s="236"/>
      <c r="U5708" s="236"/>
      <c r="V5708" s="236"/>
      <c r="W5708" s="236"/>
      <c r="X5708" s="236"/>
      <c r="Y5708" s="236"/>
    </row>
    <row r="5709" spans="1:25" ht="15" customHeight="1">
      <c r="A5709" s="91"/>
      <c r="B5709" s="91"/>
      <c r="C5709" s="220"/>
      <c r="D5709" s="91"/>
      <c r="E5709" s="221"/>
      <c r="F5709" s="91"/>
      <c r="G5709" s="91"/>
      <c r="H5709" s="242"/>
      <c r="I5709" s="223"/>
      <c r="J5709" s="57"/>
      <c r="K5709" s="153"/>
      <c r="L5709" s="153"/>
      <c r="M5709" s="243"/>
      <c r="N5709" s="234"/>
      <c r="O5709" s="235"/>
      <c r="P5709" s="236"/>
      <c r="Q5709" s="236"/>
      <c r="R5709" s="236"/>
      <c r="S5709" s="236"/>
      <c r="T5709" s="236"/>
      <c r="U5709" s="236"/>
      <c r="V5709" s="236"/>
      <c r="W5709" s="236"/>
      <c r="X5709" s="236"/>
      <c r="Y5709" s="236"/>
    </row>
    <row r="5710" spans="1:25" ht="15" customHeight="1">
      <c r="A5710" s="91"/>
      <c r="B5710" s="91"/>
      <c r="C5710" s="220"/>
      <c r="D5710" s="91"/>
      <c r="E5710" s="221"/>
      <c r="F5710" s="91"/>
      <c r="G5710" s="91"/>
      <c r="H5710" s="242"/>
      <c r="I5710" s="223"/>
      <c r="J5710" s="57"/>
      <c r="K5710" s="153"/>
      <c r="L5710" s="153"/>
      <c r="M5710" s="243"/>
      <c r="N5710" s="234"/>
      <c r="O5710" s="235"/>
      <c r="P5710" s="236"/>
      <c r="Q5710" s="236"/>
      <c r="R5710" s="236"/>
      <c r="S5710" s="236"/>
      <c r="T5710" s="236"/>
      <c r="U5710" s="236"/>
      <c r="V5710" s="236"/>
      <c r="W5710" s="236"/>
      <c r="X5710" s="236"/>
      <c r="Y5710" s="236"/>
    </row>
    <row r="5711" spans="1:25" ht="15" customHeight="1">
      <c r="A5711" s="91"/>
      <c r="B5711" s="91"/>
      <c r="C5711" s="220"/>
      <c r="D5711" s="91"/>
      <c r="E5711" s="221"/>
      <c r="F5711" s="91"/>
      <c r="G5711" s="91"/>
      <c r="H5711" s="242"/>
      <c r="I5711" s="223"/>
      <c r="J5711" s="57"/>
      <c r="K5711" s="153"/>
      <c r="L5711" s="153"/>
      <c r="M5711" s="243"/>
      <c r="N5711" s="234"/>
      <c r="O5711" s="235"/>
      <c r="P5711" s="236"/>
      <c r="Q5711" s="236"/>
      <c r="R5711" s="236"/>
      <c r="S5711" s="236"/>
      <c r="T5711" s="236"/>
      <c r="U5711" s="236"/>
      <c r="V5711" s="236"/>
      <c r="W5711" s="236"/>
      <c r="X5711" s="236"/>
      <c r="Y5711" s="236"/>
    </row>
    <row r="5712" spans="1:25" ht="15" customHeight="1">
      <c r="A5712" s="91"/>
      <c r="B5712" s="91"/>
      <c r="C5712" s="220"/>
      <c r="D5712" s="91"/>
      <c r="E5712" s="221"/>
      <c r="F5712" s="91"/>
      <c r="G5712" s="91"/>
      <c r="H5712" s="242"/>
      <c r="I5712" s="223"/>
      <c r="J5712" s="57"/>
      <c r="K5712" s="153"/>
      <c r="L5712" s="153"/>
      <c r="M5712" s="243"/>
      <c r="N5712" s="234"/>
      <c r="O5712" s="235"/>
      <c r="P5712" s="236"/>
      <c r="Q5712" s="236"/>
      <c r="R5712" s="236"/>
      <c r="S5712" s="236"/>
      <c r="T5712" s="236"/>
      <c r="U5712" s="236"/>
      <c r="V5712" s="236"/>
      <c r="W5712" s="236"/>
      <c r="X5712" s="236"/>
      <c r="Y5712" s="236"/>
    </row>
    <row r="5713" spans="1:25" ht="15" customHeight="1">
      <c r="A5713" s="91"/>
      <c r="B5713" s="91"/>
      <c r="C5713" s="220"/>
      <c r="D5713" s="91"/>
      <c r="E5713" s="221"/>
      <c r="F5713" s="91"/>
      <c r="G5713" s="91"/>
      <c r="H5713" s="242"/>
      <c r="I5713" s="223"/>
      <c r="J5713" s="57"/>
      <c r="K5713" s="153"/>
      <c r="L5713" s="153"/>
      <c r="M5713" s="243"/>
      <c r="N5713" s="234"/>
      <c r="O5713" s="235"/>
      <c r="P5713" s="236"/>
      <c r="Q5713" s="236"/>
      <c r="R5713" s="236"/>
      <c r="S5713" s="236"/>
      <c r="T5713" s="236"/>
      <c r="U5713" s="236"/>
      <c r="V5713" s="236"/>
      <c r="W5713" s="236"/>
      <c r="X5713" s="236"/>
      <c r="Y5713" s="236"/>
    </row>
    <row r="5714" spans="1:25" ht="15" customHeight="1">
      <c r="A5714" s="91"/>
      <c r="B5714" s="91"/>
      <c r="C5714" s="220"/>
      <c r="D5714" s="91"/>
      <c r="E5714" s="221"/>
      <c r="F5714" s="91"/>
      <c r="G5714" s="91"/>
      <c r="H5714" s="242"/>
      <c r="I5714" s="223"/>
      <c r="J5714" s="57"/>
      <c r="K5714" s="153"/>
      <c r="L5714" s="153"/>
      <c r="M5714" s="243"/>
      <c r="N5714" s="234"/>
      <c r="O5714" s="235"/>
      <c r="P5714" s="236"/>
      <c r="Q5714" s="236"/>
      <c r="R5714" s="236"/>
      <c r="S5714" s="236"/>
      <c r="T5714" s="236"/>
      <c r="U5714" s="236"/>
      <c r="V5714" s="236"/>
      <c r="W5714" s="236"/>
      <c r="X5714" s="236"/>
      <c r="Y5714" s="236"/>
    </row>
    <row r="5715" spans="1:25" ht="15" customHeight="1">
      <c r="A5715" s="91"/>
      <c r="B5715" s="91"/>
      <c r="C5715" s="220"/>
      <c r="D5715" s="91"/>
      <c r="E5715" s="221"/>
      <c r="F5715" s="91"/>
      <c r="G5715" s="91"/>
      <c r="H5715" s="242"/>
      <c r="I5715" s="223"/>
      <c r="J5715" s="57"/>
      <c r="K5715" s="153"/>
      <c r="L5715" s="153"/>
      <c r="M5715" s="243"/>
      <c r="N5715" s="234"/>
      <c r="O5715" s="235"/>
      <c r="P5715" s="236"/>
      <c r="Q5715" s="236"/>
      <c r="R5715" s="236"/>
      <c r="S5715" s="236"/>
      <c r="T5715" s="236"/>
      <c r="U5715" s="236"/>
      <c r="V5715" s="236"/>
      <c r="W5715" s="236"/>
      <c r="X5715" s="236"/>
      <c r="Y5715" s="236"/>
    </row>
    <row r="5716" spans="1:25" ht="15" customHeight="1">
      <c r="A5716" s="91"/>
      <c r="B5716" s="91"/>
      <c r="C5716" s="220"/>
      <c r="D5716" s="91"/>
      <c r="E5716" s="221"/>
      <c r="F5716" s="91"/>
      <c r="G5716" s="91"/>
      <c r="H5716" s="242"/>
      <c r="I5716" s="223"/>
      <c r="J5716" s="57"/>
      <c r="K5716" s="153"/>
      <c r="L5716" s="153"/>
      <c r="M5716" s="243"/>
      <c r="N5716" s="234"/>
      <c r="O5716" s="235"/>
      <c r="P5716" s="236"/>
      <c r="Q5716" s="236"/>
      <c r="R5716" s="236"/>
      <c r="S5716" s="236"/>
      <c r="T5716" s="236"/>
      <c r="U5716" s="236"/>
      <c r="V5716" s="236"/>
      <c r="W5716" s="236"/>
      <c r="X5716" s="236"/>
      <c r="Y5716" s="236"/>
    </row>
    <row r="5717" spans="1:25" ht="15" customHeight="1">
      <c r="A5717" s="91"/>
      <c r="B5717" s="91"/>
      <c r="C5717" s="220"/>
      <c r="D5717" s="91"/>
      <c r="E5717" s="221"/>
      <c r="F5717" s="91"/>
      <c r="G5717" s="91"/>
      <c r="H5717" s="242"/>
      <c r="I5717" s="223"/>
      <c r="J5717" s="57"/>
      <c r="K5717" s="153"/>
      <c r="L5717" s="153"/>
      <c r="M5717" s="243"/>
      <c r="N5717" s="234"/>
      <c r="O5717" s="235"/>
      <c r="P5717" s="236"/>
      <c r="Q5717" s="236"/>
      <c r="R5717" s="236"/>
      <c r="S5717" s="236"/>
      <c r="T5717" s="236"/>
      <c r="U5717" s="236"/>
      <c r="V5717" s="236"/>
      <c r="W5717" s="236"/>
      <c r="X5717" s="236"/>
      <c r="Y5717" s="236"/>
    </row>
    <row r="5718" spans="1:25" ht="15" customHeight="1">
      <c r="A5718" s="91"/>
      <c r="B5718" s="91"/>
      <c r="C5718" s="220"/>
      <c r="D5718" s="91"/>
      <c r="E5718" s="221"/>
      <c r="F5718" s="91"/>
      <c r="G5718" s="91"/>
      <c r="H5718" s="242"/>
      <c r="I5718" s="223"/>
      <c r="J5718" s="57"/>
      <c r="K5718" s="153"/>
      <c r="L5718" s="153"/>
      <c r="M5718" s="243"/>
      <c r="N5718" s="234"/>
      <c r="O5718" s="235"/>
      <c r="P5718" s="236"/>
      <c r="Q5718" s="236"/>
      <c r="R5718" s="236"/>
      <c r="S5718" s="236"/>
      <c r="T5718" s="236"/>
      <c r="U5718" s="236"/>
      <c r="V5718" s="236"/>
      <c r="W5718" s="236"/>
      <c r="X5718" s="236"/>
      <c r="Y5718" s="236"/>
    </row>
    <row r="5719" spans="1:25" ht="15" customHeight="1">
      <c r="A5719" s="91"/>
      <c r="B5719" s="91"/>
      <c r="C5719" s="220"/>
      <c r="D5719" s="91"/>
      <c r="E5719" s="221"/>
      <c r="F5719" s="91"/>
      <c r="G5719" s="91"/>
      <c r="H5719" s="242"/>
      <c r="I5719" s="223"/>
      <c r="J5719" s="57"/>
      <c r="K5719" s="153"/>
      <c r="L5719" s="153"/>
      <c r="M5719" s="243"/>
      <c r="N5719" s="234"/>
      <c r="O5719" s="235"/>
      <c r="P5719" s="236"/>
      <c r="Q5719" s="236"/>
      <c r="R5719" s="236"/>
      <c r="S5719" s="236"/>
      <c r="T5719" s="236"/>
      <c r="U5719" s="236"/>
      <c r="V5719" s="236"/>
      <c r="W5719" s="236"/>
      <c r="X5719" s="236"/>
      <c r="Y5719" s="236"/>
    </row>
    <row r="5720" spans="1:25" ht="15" customHeight="1">
      <c r="A5720" s="91"/>
      <c r="B5720" s="91"/>
      <c r="C5720" s="220"/>
      <c r="D5720" s="91"/>
      <c r="E5720" s="221"/>
      <c r="F5720" s="91"/>
      <c r="G5720" s="91"/>
      <c r="H5720" s="242"/>
      <c r="I5720" s="223"/>
      <c r="J5720" s="57"/>
      <c r="K5720" s="153"/>
      <c r="L5720" s="153"/>
      <c r="M5720" s="243"/>
      <c r="N5720" s="234"/>
      <c r="O5720" s="235"/>
      <c r="P5720" s="236"/>
      <c r="Q5720" s="236"/>
      <c r="R5720" s="236"/>
      <c r="S5720" s="236"/>
      <c r="T5720" s="236"/>
      <c r="U5720" s="236"/>
      <c r="V5720" s="236"/>
      <c r="W5720" s="236"/>
      <c r="X5720" s="236"/>
      <c r="Y5720" s="236"/>
    </row>
    <row r="5721" spans="1:25" ht="15" customHeight="1">
      <c r="A5721" s="91"/>
      <c r="B5721" s="91"/>
      <c r="C5721" s="220"/>
      <c r="D5721" s="91"/>
      <c r="E5721" s="221"/>
      <c r="F5721" s="91"/>
      <c r="G5721" s="91"/>
      <c r="H5721" s="242"/>
      <c r="I5721" s="223"/>
      <c r="J5721" s="57"/>
      <c r="K5721" s="153"/>
      <c r="L5721" s="153"/>
      <c r="M5721" s="243"/>
      <c r="N5721" s="234"/>
      <c r="O5721" s="235"/>
      <c r="P5721" s="236"/>
      <c r="Q5721" s="236"/>
      <c r="R5721" s="236"/>
      <c r="S5721" s="236"/>
      <c r="T5721" s="236"/>
      <c r="U5721" s="236"/>
      <c r="V5721" s="236"/>
      <c r="W5721" s="236"/>
      <c r="X5721" s="236"/>
      <c r="Y5721" s="236"/>
    </row>
    <row r="5722" spans="1:25" ht="15" customHeight="1">
      <c r="A5722" s="91"/>
      <c r="B5722" s="91"/>
      <c r="C5722" s="220"/>
      <c r="D5722" s="91"/>
      <c r="E5722" s="221"/>
      <c r="F5722" s="91"/>
      <c r="G5722" s="91"/>
      <c r="H5722" s="242"/>
      <c r="I5722" s="223"/>
      <c r="J5722" s="57"/>
      <c r="K5722" s="153"/>
      <c r="L5722" s="153"/>
      <c r="M5722" s="243"/>
      <c r="N5722" s="234"/>
      <c r="O5722" s="235"/>
      <c r="P5722" s="236"/>
      <c r="Q5722" s="236"/>
      <c r="R5722" s="236"/>
      <c r="S5722" s="236"/>
      <c r="T5722" s="236"/>
      <c r="U5722" s="236"/>
      <c r="V5722" s="236"/>
      <c r="W5722" s="236"/>
      <c r="X5722" s="236"/>
      <c r="Y5722" s="236"/>
    </row>
    <row r="5723" spans="1:25" ht="15" customHeight="1">
      <c r="A5723" s="91"/>
      <c r="B5723" s="91"/>
      <c r="C5723" s="220"/>
      <c r="D5723" s="91"/>
      <c r="E5723" s="221"/>
      <c r="F5723" s="91"/>
      <c r="G5723" s="91"/>
      <c r="H5723" s="242"/>
      <c r="I5723" s="223"/>
      <c r="J5723" s="57"/>
      <c r="K5723" s="153"/>
      <c r="L5723" s="153"/>
      <c r="M5723" s="243"/>
      <c r="N5723" s="234"/>
      <c r="O5723" s="235"/>
      <c r="P5723" s="236"/>
      <c r="Q5723" s="236"/>
      <c r="R5723" s="236"/>
      <c r="S5723" s="236"/>
      <c r="T5723" s="236"/>
      <c r="U5723" s="236"/>
      <c r="V5723" s="236"/>
      <c r="W5723" s="236"/>
      <c r="X5723" s="236"/>
      <c r="Y5723" s="236"/>
    </row>
    <row r="5724" spans="1:25" ht="15" customHeight="1">
      <c r="A5724" s="91"/>
      <c r="B5724" s="91"/>
      <c r="C5724" s="220"/>
      <c r="D5724" s="91"/>
      <c r="E5724" s="221"/>
      <c r="F5724" s="91"/>
      <c r="G5724" s="91"/>
      <c r="H5724" s="242"/>
      <c r="I5724" s="223"/>
      <c r="J5724" s="57"/>
      <c r="K5724" s="153"/>
      <c r="L5724" s="153"/>
      <c r="M5724" s="243"/>
      <c r="N5724" s="234"/>
      <c r="O5724" s="235"/>
      <c r="P5724" s="236"/>
      <c r="Q5724" s="236"/>
      <c r="R5724" s="236"/>
      <c r="S5724" s="236"/>
      <c r="T5724" s="236"/>
      <c r="U5724" s="236"/>
      <c r="V5724" s="236"/>
      <c r="W5724" s="236"/>
      <c r="X5724" s="236"/>
      <c r="Y5724" s="236"/>
    </row>
    <row r="5725" spans="1:25" ht="15" customHeight="1">
      <c r="A5725" s="91"/>
      <c r="B5725" s="91"/>
      <c r="C5725" s="220"/>
      <c r="D5725" s="91"/>
      <c r="E5725" s="221"/>
      <c r="F5725" s="91"/>
      <c r="G5725" s="91"/>
      <c r="H5725" s="242"/>
      <c r="I5725" s="223"/>
      <c r="J5725" s="57"/>
      <c r="K5725" s="153"/>
      <c r="L5725" s="153"/>
      <c r="M5725" s="243"/>
      <c r="N5725" s="234"/>
      <c r="O5725" s="235"/>
      <c r="P5725" s="236"/>
      <c r="Q5725" s="236"/>
      <c r="R5725" s="236"/>
      <c r="S5725" s="236"/>
      <c r="T5725" s="236"/>
      <c r="U5725" s="236"/>
      <c r="V5725" s="236"/>
      <c r="W5725" s="236"/>
      <c r="X5725" s="236"/>
      <c r="Y5725" s="236"/>
    </row>
    <row r="5726" spans="1:25" ht="15" customHeight="1">
      <c r="A5726" s="91"/>
      <c r="B5726" s="91"/>
      <c r="C5726" s="220"/>
      <c r="D5726" s="91"/>
      <c r="E5726" s="221"/>
      <c r="F5726" s="91"/>
      <c r="G5726" s="91"/>
      <c r="H5726" s="242"/>
      <c r="I5726" s="223"/>
      <c r="J5726" s="57"/>
      <c r="K5726" s="153"/>
      <c r="L5726" s="153"/>
      <c r="M5726" s="243"/>
      <c r="N5726" s="234"/>
      <c r="O5726" s="235"/>
      <c r="P5726" s="236"/>
      <c r="Q5726" s="236"/>
      <c r="R5726" s="236"/>
      <c r="S5726" s="236"/>
      <c r="T5726" s="236"/>
      <c r="U5726" s="236"/>
      <c r="V5726" s="236"/>
      <c r="W5726" s="236"/>
      <c r="X5726" s="236"/>
      <c r="Y5726" s="236"/>
    </row>
    <row r="5727" spans="1:25" ht="15" customHeight="1">
      <c r="A5727" s="91"/>
      <c r="B5727" s="91"/>
      <c r="C5727" s="220"/>
      <c r="D5727" s="91"/>
      <c r="E5727" s="221"/>
      <c r="F5727" s="91"/>
      <c r="G5727" s="91"/>
      <c r="H5727" s="242"/>
      <c r="I5727" s="223"/>
      <c r="J5727" s="57"/>
      <c r="K5727" s="153"/>
      <c r="L5727" s="153"/>
      <c r="M5727" s="243"/>
      <c r="N5727" s="234"/>
      <c r="O5727" s="235"/>
      <c r="P5727" s="236"/>
      <c r="Q5727" s="236"/>
      <c r="R5727" s="236"/>
      <c r="S5727" s="236"/>
      <c r="T5727" s="236"/>
      <c r="U5727" s="236"/>
      <c r="V5727" s="236"/>
      <c r="W5727" s="236"/>
      <c r="X5727" s="236"/>
      <c r="Y5727" s="236"/>
    </row>
    <row r="5728" spans="1:25" ht="15" customHeight="1">
      <c r="A5728" s="91"/>
      <c r="B5728" s="91"/>
      <c r="C5728" s="220"/>
      <c r="D5728" s="91"/>
      <c r="E5728" s="221"/>
      <c r="F5728" s="91"/>
      <c r="G5728" s="91"/>
      <c r="H5728" s="242"/>
      <c r="I5728" s="223"/>
      <c r="J5728" s="57"/>
      <c r="K5728" s="153"/>
      <c r="L5728" s="153"/>
      <c r="M5728" s="243"/>
      <c r="N5728" s="234"/>
      <c r="O5728" s="235"/>
      <c r="P5728" s="236"/>
      <c r="Q5728" s="236"/>
      <c r="R5728" s="236"/>
      <c r="S5728" s="236"/>
      <c r="T5728" s="236"/>
      <c r="U5728" s="236"/>
      <c r="V5728" s="236"/>
      <c r="W5728" s="236"/>
      <c r="X5728" s="236"/>
      <c r="Y5728" s="236"/>
    </row>
    <row r="5729" spans="1:25" ht="15" customHeight="1">
      <c r="A5729" s="91"/>
      <c r="B5729" s="91"/>
      <c r="C5729" s="220"/>
      <c r="D5729" s="91"/>
      <c r="E5729" s="221"/>
      <c r="F5729" s="91"/>
      <c r="G5729" s="91"/>
      <c r="H5729" s="242"/>
      <c r="I5729" s="223"/>
      <c r="J5729" s="57"/>
      <c r="K5729" s="153"/>
      <c r="L5729" s="153"/>
      <c r="M5729" s="243"/>
      <c r="N5729" s="234"/>
      <c r="O5729" s="235"/>
      <c r="P5729" s="236"/>
      <c r="Q5729" s="236"/>
      <c r="R5729" s="236"/>
      <c r="S5729" s="236"/>
      <c r="T5729" s="236"/>
      <c r="U5729" s="236"/>
      <c r="V5729" s="236"/>
      <c r="W5729" s="236"/>
      <c r="X5729" s="236"/>
      <c r="Y5729" s="236"/>
    </row>
    <row r="5730" spans="1:25" ht="15" customHeight="1">
      <c r="A5730" s="91"/>
      <c r="B5730" s="91"/>
      <c r="C5730" s="220"/>
      <c r="D5730" s="91"/>
      <c r="E5730" s="221"/>
      <c r="F5730" s="91"/>
      <c r="G5730" s="91"/>
      <c r="H5730" s="242"/>
      <c r="I5730" s="223"/>
      <c r="J5730" s="57"/>
      <c r="K5730" s="153"/>
      <c r="L5730" s="153"/>
      <c r="M5730" s="243"/>
      <c r="N5730" s="234"/>
      <c r="O5730" s="235"/>
      <c r="P5730" s="236"/>
      <c r="Q5730" s="236"/>
      <c r="R5730" s="236"/>
      <c r="S5730" s="236"/>
      <c r="T5730" s="236"/>
      <c r="U5730" s="236"/>
      <c r="V5730" s="236"/>
      <c r="W5730" s="236"/>
      <c r="X5730" s="236"/>
      <c r="Y5730" s="236"/>
    </row>
    <row r="5731" spans="1:25" ht="15" customHeight="1">
      <c r="A5731" s="91"/>
      <c r="B5731" s="91"/>
      <c r="C5731" s="220"/>
      <c r="D5731" s="91"/>
      <c r="E5731" s="221"/>
      <c r="F5731" s="91"/>
      <c r="G5731" s="91"/>
      <c r="H5731" s="242"/>
      <c r="I5731" s="223"/>
      <c r="J5731" s="57"/>
      <c r="K5731" s="153"/>
      <c r="L5731" s="153"/>
      <c r="M5731" s="243"/>
      <c r="N5731" s="234"/>
      <c r="O5731" s="235"/>
      <c r="P5731" s="236"/>
      <c r="Q5731" s="236"/>
      <c r="R5731" s="236"/>
      <c r="S5731" s="236"/>
      <c r="T5731" s="236"/>
      <c r="U5731" s="236"/>
      <c r="V5731" s="236"/>
      <c r="W5731" s="236"/>
      <c r="X5731" s="236"/>
      <c r="Y5731" s="236"/>
    </row>
    <row r="5732" spans="1:25" ht="15" customHeight="1">
      <c r="A5732" s="91"/>
      <c r="B5732" s="91"/>
      <c r="C5732" s="220"/>
      <c r="D5732" s="91"/>
      <c r="E5732" s="221"/>
      <c r="F5732" s="91"/>
      <c r="G5732" s="91"/>
      <c r="H5732" s="242"/>
      <c r="I5732" s="223"/>
      <c r="J5732" s="57"/>
      <c r="K5732" s="153"/>
      <c r="L5732" s="153"/>
      <c r="M5732" s="243"/>
      <c r="N5732" s="234"/>
      <c r="O5732" s="235"/>
      <c r="P5732" s="236"/>
      <c r="Q5732" s="236"/>
      <c r="R5732" s="236"/>
      <c r="S5732" s="236"/>
      <c r="T5732" s="236"/>
      <c r="U5732" s="236"/>
      <c r="V5732" s="236"/>
      <c r="W5732" s="236"/>
      <c r="X5732" s="236"/>
      <c r="Y5732" s="236"/>
    </row>
    <row r="5733" spans="1:25" ht="15" customHeight="1">
      <c r="A5733" s="91"/>
      <c r="B5733" s="91"/>
      <c r="C5733" s="220"/>
      <c r="D5733" s="91"/>
      <c r="E5733" s="221"/>
      <c r="F5733" s="91"/>
      <c r="G5733" s="91"/>
      <c r="H5733" s="242"/>
      <c r="I5733" s="223"/>
      <c r="J5733" s="57"/>
      <c r="K5733" s="153"/>
      <c r="L5733" s="153"/>
      <c r="M5733" s="243"/>
      <c r="N5733" s="234"/>
      <c r="O5733" s="235"/>
      <c r="P5733" s="236"/>
      <c r="Q5733" s="236"/>
      <c r="R5733" s="236"/>
      <c r="S5733" s="236"/>
      <c r="T5733" s="236"/>
      <c r="U5733" s="236"/>
      <c r="V5733" s="236"/>
      <c r="W5733" s="236"/>
      <c r="X5733" s="236"/>
      <c r="Y5733" s="236"/>
    </row>
    <row r="5734" spans="1:25" ht="15" customHeight="1">
      <c r="A5734" s="91"/>
      <c r="B5734" s="91"/>
      <c r="C5734" s="220"/>
      <c r="D5734" s="91"/>
      <c r="E5734" s="221"/>
      <c r="F5734" s="91"/>
      <c r="G5734" s="91"/>
      <c r="H5734" s="242"/>
      <c r="I5734" s="223"/>
      <c r="J5734" s="57"/>
      <c r="K5734" s="153"/>
      <c r="L5734" s="153"/>
      <c r="M5734" s="243"/>
      <c r="N5734" s="234"/>
      <c r="O5734" s="235"/>
      <c r="P5734" s="236"/>
      <c r="Q5734" s="236"/>
      <c r="R5734" s="236"/>
      <c r="S5734" s="236"/>
      <c r="T5734" s="236"/>
      <c r="U5734" s="236"/>
      <c r="V5734" s="236"/>
      <c r="W5734" s="236"/>
      <c r="X5734" s="236"/>
      <c r="Y5734" s="236"/>
    </row>
    <row r="5735" spans="1:25" ht="15" customHeight="1">
      <c r="A5735" s="91"/>
      <c r="B5735" s="91"/>
      <c r="C5735" s="220"/>
      <c r="D5735" s="91"/>
      <c r="E5735" s="221"/>
      <c r="F5735" s="91"/>
      <c r="G5735" s="91"/>
      <c r="H5735" s="242"/>
      <c r="I5735" s="223"/>
      <c r="J5735" s="57"/>
      <c r="K5735" s="153"/>
      <c r="L5735" s="153"/>
      <c r="M5735" s="243"/>
      <c r="N5735" s="234"/>
      <c r="O5735" s="235"/>
      <c r="P5735" s="236"/>
      <c r="Q5735" s="236"/>
      <c r="R5735" s="236"/>
      <c r="S5735" s="236"/>
      <c r="T5735" s="236"/>
      <c r="U5735" s="236"/>
      <c r="V5735" s="236"/>
      <c r="W5735" s="236"/>
      <c r="X5735" s="236"/>
      <c r="Y5735" s="236"/>
    </row>
    <row r="5736" spans="1:25" ht="15" customHeight="1">
      <c r="A5736" s="91"/>
      <c r="B5736" s="91"/>
      <c r="C5736" s="220"/>
      <c r="D5736" s="91"/>
      <c r="E5736" s="221"/>
      <c r="F5736" s="91"/>
      <c r="G5736" s="91"/>
      <c r="H5736" s="242"/>
      <c r="I5736" s="223"/>
      <c r="J5736" s="57"/>
      <c r="K5736" s="153"/>
      <c r="L5736" s="153"/>
      <c r="M5736" s="243"/>
      <c r="N5736" s="234"/>
      <c r="O5736" s="235"/>
      <c r="P5736" s="236"/>
      <c r="Q5736" s="236"/>
      <c r="R5736" s="236"/>
      <c r="S5736" s="236"/>
      <c r="T5736" s="236"/>
      <c r="U5736" s="236"/>
      <c r="V5736" s="236"/>
      <c r="W5736" s="236"/>
      <c r="X5736" s="236"/>
      <c r="Y5736" s="236"/>
    </row>
    <row r="5737" spans="1:25" ht="15" customHeight="1">
      <c r="A5737" s="91"/>
      <c r="B5737" s="91"/>
      <c r="C5737" s="220"/>
      <c r="D5737" s="91"/>
      <c r="E5737" s="221"/>
      <c r="F5737" s="91"/>
      <c r="G5737" s="91"/>
      <c r="H5737" s="242"/>
      <c r="I5737" s="223"/>
      <c r="J5737" s="57"/>
      <c r="K5737" s="153"/>
      <c r="L5737" s="153"/>
      <c r="M5737" s="243"/>
      <c r="N5737" s="234"/>
      <c r="O5737" s="235"/>
      <c r="P5737" s="236"/>
      <c r="Q5737" s="236"/>
      <c r="R5737" s="236"/>
      <c r="S5737" s="236"/>
      <c r="T5737" s="236"/>
      <c r="U5737" s="236"/>
      <c r="V5737" s="236"/>
      <c r="W5737" s="236"/>
      <c r="X5737" s="236"/>
      <c r="Y5737" s="236"/>
    </row>
    <row r="5738" spans="1:25" ht="15" customHeight="1">
      <c r="A5738" s="91"/>
      <c r="B5738" s="91"/>
      <c r="C5738" s="220"/>
      <c r="D5738" s="91"/>
      <c r="E5738" s="221"/>
      <c r="F5738" s="91"/>
      <c r="G5738" s="91"/>
      <c r="H5738" s="242"/>
      <c r="I5738" s="223"/>
      <c r="J5738" s="57"/>
      <c r="K5738" s="153"/>
      <c r="L5738" s="153"/>
      <c r="M5738" s="243"/>
      <c r="N5738" s="234"/>
      <c r="O5738" s="235"/>
      <c r="P5738" s="236"/>
      <c r="Q5738" s="236"/>
      <c r="R5738" s="236"/>
      <c r="S5738" s="236"/>
      <c r="T5738" s="236"/>
      <c r="U5738" s="236"/>
      <c r="V5738" s="236"/>
      <c r="W5738" s="236"/>
      <c r="X5738" s="236"/>
      <c r="Y5738" s="236"/>
    </row>
    <row r="5739" spans="1:25" ht="15" customHeight="1">
      <c r="A5739" s="91"/>
      <c r="B5739" s="91"/>
      <c r="C5739" s="220"/>
      <c r="D5739" s="91"/>
      <c r="E5739" s="221"/>
      <c r="F5739" s="91"/>
      <c r="G5739" s="91"/>
      <c r="H5739" s="242"/>
      <c r="I5739" s="223"/>
      <c r="J5739" s="57"/>
      <c r="K5739" s="153"/>
      <c r="L5739" s="153"/>
      <c r="M5739" s="243"/>
      <c r="N5739" s="234"/>
      <c r="O5739" s="235"/>
      <c r="P5739" s="236"/>
      <c r="Q5739" s="236"/>
      <c r="R5739" s="236"/>
      <c r="S5739" s="236"/>
      <c r="T5739" s="236"/>
      <c r="U5739" s="236"/>
      <c r="V5739" s="236"/>
      <c r="W5739" s="236"/>
      <c r="X5739" s="236"/>
      <c r="Y5739" s="236"/>
    </row>
    <row r="5740" spans="1:25" ht="15" customHeight="1">
      <c r="A5740" s="91"/>
      <c r="B5740" s="91"/>
      <c r="C5740" s="220"/>
      <c r="D5740" s="91"/>
      <c r="E5740" s="221"/>
      <c r="F5740" s="91"/>
      <c r="G5740" s="91"/>
      <c r="H5740" s="242"/>
      <c r="I5740" s="223"/>
      <c r="J5740" s="57"/>
      <c r="K5740" s="153"/>
      <c r="L5740" s="153"/>
      <c r="M5740" s="243"/>
      <c r="N5740" s="234"/>
      <c r="O5740" s="235"/>
      <c r="P5740" s="236"/>
      <c r="Q5740" s="236"/>
      <c r="R5740" s="236"/>
      <c r="S5740" s="236"/>
      <c r="T5740" s="236"/>
      <c r="U5740" s="236"/>
      <c r="V5740" s="236"/>
      <c r="W5740" s="236"/>
      <c r="X5740" s="236"/>
      <c r="Y5740" s="236"/>
    </row>
    <row r="5741" spans="1:25" ht="15" customHeight="1">
      <c r="A5741" s="91"/>
      <c r="B5741" s="91"/>
      <c r="C5741" s="220"/>
      <c r="D5741" s="91"/>
      <c r="E5741" s="221"/>
      <c r="F5741" s="91"/>
      <c r="G5741" s="91"/>
      <c r="H5741" s="242"/>
      <c r="I5741" s="223"/>
      <c r="J5741" s="57"/>
      <c r="K5741" s="153"/>
      <c r="L5741" s="153"/>
      <c r="M5741" s="243"/>
      <c r="N5741" s="234"/>
      <c r="O5741" s="235"/>
      <c r="P5741" s="236"/>
      <c r="Q5741" s="236"/>
      <c r="R5741" s="236"/>
      <c r="S5741" s="236"/>
      <c r="T5741" s="236"/>
      <c r="U5741" s="236"/>
      <c r="V5741" s="236"/>
      <c r="W5741" s="236"/>
      <c r="X5741" s="236"/>
      <c r="Y5741" s="236"/>
    </row>
    <row r="5742" spans="1:25" ht="15" customHeight="1">
      <c r="A5742" s="91"/>
      <c r="B5742" s="91"/>
      <c r="C5742" s="220"/>
      <c r="D5742" s="91"/>
      <c r="E5742" s="221"/>
      <c r="F5742" s="91"/>
      <c r="G5742" s="91"/>
      <c r="H5742" s="242"/>
      <c r="I5742" s="223"/>
      <c r="J5742" s="57"/>
      <c r="K5742" s="153"/>
      <c r="L5742" s="153"/>
      <c r="M5742" s="243"/>
      <c r="N5742" s="234"/>
      <c r="O5742" s="235"/>
      <c r="P5742" s="236"/>
      <c r="Q5742" s="236"/>
      <c r="R5742" s="236"/>
      <c r="S5742" s="236"/>
      <c r="T5742" s="236"/>
      <c r="U5742" s="236"/>
      <c r="V5742" s="236"/>
      <c r="W5742" s="236"/>
      <c r="X5742" s="236"/>
      <c r="Y5742" s="236"/>
    </row>
    <row r="5743" spans="1:25" ht="15" customHeight="1">
      <c r="A5743" s="91"/>
      <c r="B5743" s="91"/>
      <c r="C5743" s="220"/>
      <c r="D5743" s="91"/>
      <c r="E5743" s="221"/>
      <c r="F5743" s="91"/>
      <c r="G5743" s="91"/>
      <c r="H5743" s="242"/>
      <c r="I5743" s="223"/>
      <c r="J5743" s="57"/>
      <c r="K5743" s="153"/>
      <c r="L5743" s="153"/>
      <c r="M5743" s="243"/>
      <c r="N5743" s="234"/>
      <c r="O5743" s="235"/>
      <c r="P5743" s="236"/>
      <c r="Q5743" s="236"/>
      <c r="R5743" s="236"/>
      <c r="S5743" s="236"/>
      <c r="T5743" s="236"/>
      <c r="U5743" s="236"/>
      <c r="V5743" s="236"/>
      <c r="W5743" s="236"/>
      <c r="X5743" s="236"/>
      <c r="Y5743" s="236"/>
    </row>
    <row r="5744" spans="1:25" ht="15" customHeight="1">
      <c r="A5744" s="91"/>
      <c r="B5744" s="91"/>
      <c r="C5744" s="220"/>
      <c r="D5744" s="91"/>
      <c r="E5744" s="221"/>
      <c r="F5744" s="91"/>
      <c r="G5744" s="91"/>
      <c r="H5744" s="242"/>
      <c r="I5744" s="223"/>
      <c r="J5744" s="57"/>
      <c r="K5744" s="153"/>
      <c r="L5744" s="153"/>
      <c r="M5744" s="243"/>
      <c r="N5744" s="234"/>
      <c r="O5744" s="235"/>
      <c r="P5744" s="236"/>
      <c r="Q5744" s="236"/>
      <c r="R5744" s="236"/>
      <c r="S5744" s="236"/>
      <c r="T5744" s="236"/>
      <c r="U5744" s="236"/>
      <c r="V5744" s="236"/>
      <c r="W5744" s="236"/>
      <c r="X5744" s="236"/>
      <c r="Y5744" s="236"/>
    </row>
    <row r="5745" spans="1:25" ht="15" customHeight="1">
      <c r="A5745" s="91"/>
      <c r="B5745" s="91"/>
      <c r="C5745" s="220"/>
      <c r="D5745" s="91"/>
      <c r="E5745" s="221"/>
      <c r="F5745" s="91"/>
      <c r="G5745" s="91"/>
      <c r="H5745" s="242"/>
      <c r="I5745" s="223"/>
      <c r="J5745" s="57"/>
      <c r="K5745" s="153"/>
      <c r="L5745" s="153"/>
      <c r="M5745" s="243"/>
      <c r="N5745" s="234"/>
      <c r="O5745" s="235"/>
      <c r="P5745" s="236"/>
      <c r="Q5745" s="236"/>
      <c r="R5745" s="236"/>
      <c r="S5745" s="236"/>
      <c r="T5745" s="236"/>
      <c r="U5745" s="236"/>
      <c r="V5745" s="236"/>
      <c r="W5745" s="236"/>
      <c r="X5745" s="236"/>
      <c r="Y5745" s="236"/>
    </row>
    <row r="5746" spans="1:25" ht="15" customHeight="1">
      <c r="A5746" s="91"/>
      <c r="B5746" s="91"/>
      <c r="C5746" s="220"/>
      <c r="D5746" s="91"/>
      <c r="E5746" s="221"/>
      <c r="F5746" s="91"/>
      <c r="G5746" s="91"/>
      <c r="H5746" s="242"/>
      <c r="I5746" s="223"/>
      <c r="J5746" s="57"/>
      <c r="K5746" s="153"/>
      <c r="L5746" s="153"/>
      <c r="M5746" s="243"/>
      <c r="N5746" s="234"/>
      <c r="O5746" s="235"/>
      <c r="P5746" s="236"/>
      <c r="Q5746" s="236"/>
      <c r="R5746" s="236"/>
      <c r="S5746" s="236"/>
      <c r="T5746" s="236"/>
      <c r="U5746" s="236"/>
      <c r="V5746" s="236"/>
      <c r="W5746" s="236"/>
      <c r="X5746" s="236"/>
      <c r="Y5746" s="236"/>
    </row>
    <row r="5747" spans="1:25" ht="15" customHeight="1">
      <c r="A5747" s="91"/>
      <c r="B5747" s="91"/>
      <c r="C5747" s="220"/>
      <c r="D5747" s="91"/>
      <c r="E5747" s="221"/>
      <c r="F5747" s="91"/>
      <c r="G5747" s="91"/>
      <c r="H5747" s="242"/>
      <c r="I5747" s="223"/>
      <c r="J5747" s="57"/>
      <c r="K5747" s="153"/>
      <c r="L5747" s="153"/>
      <c r="M5747" s="243"/>
      <c r="N5747" s="234"/>
      <c r="O5747" s="235"/>
      <c r="P5747" s="236"/>
      <c r="Q5747" s="236"/>
      <c r="R5747" s="236"/>
      <c r="S5747" s="236"/>
      <c r="T5747" s="236"/>
      <c r="U5747" s="236"/>
      <c r="V5747" s="236"/>
      <c r="W5747" s="236"/>
      <c r="X5747" s="236"/>
      <c r="Y5747" s="236"/>
    </row>
    <row r="5748" spans="1:25" ht="15" customHeight="1">
      <c r="A5748" s="91"/>
      <c r="B5748" s="91"/>
      <c r="C5748" s="220"/>
      <c r="D5748" s="91"/>
      <c r="E5748" s="221"/>
      <c r="F5748" s="91"/>
      <c r="G5748" s="91"/>
      <c r="H5748" s="242"/>
      <c r="I5748" s="223"/>
      <c r="J5748" s="57"/>
      <c r="K5748" s="153"/>
      <c r="L5748" s="153"/>
      <c r="M5748" s="243"/>
      <c r="N5748" s="234"/>
      <c r="O5748" s="235"/>
      <c r="P5748" s="236"/>
      <c r="Q5748" s="236"/>
      <c r="R5748" s="236"/>
      <c r="S5748" s="236"/>
      <c r="T5748" s="236"/>
      <c r="U5748" s="236"/>
      <c r="V5748" s="236"/>
      <c r="W5748" s="236"/>
      <c r="X5748" s="236"/>
      <c r="Y5748" s="236"/>
    </row>
    <row r="5749" spans="1:25" ht="15" customHeight="1">
      <c r="A5749" s="91"/>
      <c r="B5749" s="91"/>
      <c r="C5749" s="220"/>
      <c r="D5749" s="91"/>
      <c r="E5749" s="221"/>
      <c r="F5749" s="91"/>
      <c r="G5749" s="91"/>
      <c r="H5749" s="242"/>
      <c r="I5749" s="223"/>
      <c r="J5749" s="57"/>
      <c r="K5749" s="153"/>
      <c r="L5749" s="153"/>
      <c r="M5749" s="243"/>
      <c r="N5749" s="234"/>
      <c r="O5749" s="235"/>
      <c r="P5749" s="236"/>
      <c r="Q5749" s="236"/>
      <c r="R5749" s="236"/>
      <c r="S5749" s="236"/>
      <c r="T5749" s="236"/>
      <c r="U5749" s="236"/>
      <c r="V5749" s="236"/>
      <c r="W5749" s="236"/>
      <c r="X5749" s="236"/>
      <c r="Y5749" s="236"/>
    </row>
    <row r="5750" spans="1:25" ht="15" customHeight="1">
      <c r="A5750" s="91"/>
      <c r="B5750" s="91"/>
      <c r="C5750" s="220"/>
      <c r="D5750" s="91"/>
      <c r="E5750" s="221"/>
      <c r="F5750" s="91"/>
      <c r="G5750" s="91"/>
      <c r="H5750" s="242"/>
      <c r="I5750" s="223"/>
      <c r="J5750" s="57"/>
      <c r="K5750" s="153"/>
      <c r="L5750" s="153"/>
      <c r="M5750" s="243"/>
      <c r="N5750" s="234"/>
      <c r="O5750" s="235"/>
      <c r="P5750" s="236"/>
      <c r="Q5750" s="236"/>
      <c r="R5750" s="236"/>
      <c r="S5750" s="236"/>
      <c r="T5750" s="236"/>
      <c r="U5750" s="236"/>
      <c r="V5750" s="236"/>
      <c r="W5750" s="236"/>
      <c r="X5750" s="236"/>
      <c r="Y5750" s="236"/>
    </row>
    <row r="5751" spans="1:25" ht="15" customHeight="1">
      <c r="A5751" s="91"/>
      <c r="B5751" s="91"/>
      <c r="C5751" s="220"/>
      <c r="D5751" s="91"/>
      <c r="E5751" s="221"/>
      <c r="F5751" s="91"/>
      <c r="G5751" s="91"/>
      <c r="H5751" s="242"/>
      <c r="I5751" s="223"/>
      <c r="J5751" s="57"/>
      <c r="K5751" s="153"/>
      <c r="L5751" s="153"/>
      <c r="M5751" s="243"/>
      <c r="N5751" s="234"/>
      <c r="O5751" s="235"/>
      <c r="P5751" s="236"/>
      <c r="Q5751" s="236"/>
      <c r="R5751" s="236"/>
      <c r="S5751" s="236"/>
      <c r="T5751" s="236"/>
      <c r="U5751" s="236"/>
      <c r="V5751" s="236"/>
      <c r="W5751" s="236"/>
      <c r="X5751" s="236"/>
      <c r="Y5751" s="236"/>
    </row>
    <row r="5752" spans="1:25" ht="15" customHeight="1">
      <c r="A5752" s="91"/>
      <c r="B5752" s="91"/>
      <c r="C5752" s="220"/>
      <c r="D5752" s="91"/>
      <c r="E5752" s="221"/>
      <c r="F5752" s="91"/>
      <c r="G5752" s="91"/>
      <c r="H5752" s="242"/>
      <c r="I5752" s="223"/>
      <c r="J5752" s="57"/>
      <c r="K5752" s="153"/>
      <c r="L5752" s="153"/>
      <c r="M5752" s="243"/>
      <c r="N5752" s="234"/>
      <c r="O5752" s="235"/>
      <c r="P5752" s="236"/>
      <c r="Q5752" s="236"/>
      <c r="R5752" s="236"/>
      <c r="S5752" s="236"/>
      <c r="T5752" s="236"/>
      <c r="U5752" s="236"/>
      <c r="V5752" s="236"/>
      <c r="W5752" s="236"/>
      <c r="X5752" s="236"/>
      <c r="Y5752" s="236"/>
    </row>
    <row r="5753" spans="1:25" ht="15" customHeight="1">
      <c r="A5753" s="91"/>
      <c r="B5753" s="91"/>
      <c r="C5753" s="220"/>
      <c r="D5753" s="91"/>
      <c r="E5753" s="221"/>
      <c r="F5753" s="91"/>
      <c r="G5753" s="91"/>
      <c r="H5753" s="242"/>
      <c r="I5753" s="223"/>
      <c r="J5753" s="57"/>
      <c r="K5753" s="153"/>
      <c r="L5753" s="153"/>
      <c r="M5753" s="243"/>
      <c r="N5753" s="234"/>
      <c r="O5753" s="235"/>
      <c r="P5753" s="236"/>
      <c r="Q5753" s="236"/>
      <c r="R5753" s="236"/>
      <c r="S5753" s="236"/>
      <c r="T5753" s="236"/>
      <c r="U5753" s="236"/>
      <c r="V5753" s="236"/>
      <c r="W5753" s="236"/>
      <c r="X5753" s="236"/>
      <c r="Y5753" s="236"/>
    </row>
    <row r="5754" spans="1:25" ht="15" customHeight="1">
      <c r="A5754" s="91"/>
      <c r="B5754" s="91"/>
      <c r="C5754" s="220"/>
      <c r="D5754" s="91"/>
      <c r="E5754" s="221"/>
      <c r="F5754" s="91"/>
      <c r="G5754" s="91"/>
      <c r="H5754" s="242"/>
      <c r="I5754" s="223"/>
      <c r="J5754" s="57"/>
      <c r="K5754" s="153"/>
      <c r="L5754" s="153"/>
      <c r="M5754" s="243"/>
      <c r="N5754" s="234"/>
      <c r="O5754" s="235"/>
      <c r="P5754" s="236"/>
      <c r="Q5754" s="236"/>
      <c r="R5754" s="236"/>
      <c r="S5754" s="236"/>
      <c r="T5754" s="236"/>
      <c r="U5754" s="236"/>
      <c r="V5754" s="236"/>
      <c r="W5754" s="236"/>
      <c r="X5754" s="236"/>
      <c r="Y5754" s="236"/>
    </row>
    <row r="5755" spans="1:25" ht="15" customHeight="1">
      <c r="A5755" s="91"/>
      <c r="B5755" s="91"/>
      <c r="C5755" s="220"/>
      <c r="D5755" s="91"/>
      <c r="E5755" s="221"/>
      <c r="F5755" s="91"/>
      <c r="G5755" s="91"/>
      <c r="H5755" s="242"/>
      <c r="I5755" s="223"/>
      <c r="J5755" s="57"/>
      <c r="K5755" s="153"/>
      <c r="L5755" s="153"/>
      <c r="M5755" s="243"/>
      <c r="N5755" s="234"/>
      <c r="O5755" s="235"/>
      <c r="P5755" s="236"/>
      <c r="Q5755" s="236"/>
      <c r="R5755" s="236"/>
      <c r="S5755" s="236"/>
      <c r="T5755" s="236"/>
      <c r="U5755" s="236"/>
      <c r="V5755" s="236"/>
      <c r="W5755" s="236"/>
      <c r="X5755" s="236"/>
      <c r="Y5755" s="236"/>
    </row>
    <row r="5756" spans="1:25" ht="15" customHeight="1">
      <c r="A5756" s="91"/>
      <c r="B5756" s="91"/>
      <c r="C5756" s="220"/>
      <c r="D5756" s="91"/>
      <c r="E5756" s="221"/>
      <c r="F5756" s="91"/>
      <c r="G5756" s="91"/>
      <c r="H5756" s="242"/>
      <c r="I5756" s="223"/>
      <c r="J5756" s="57"/>
      <c r="K5756" s="153"/>
      <c r="L5756" s="153"/>
      <c r="M5756" s="243"/>
      <c r="N5756" s="234"/>
      <c r="O5756" s="235"/>
      <c r="P5756" s="236"/>
      <c r="Q5756" s="236"/>
      <c r="R5756" s="236"/>
      <c r="S5756" s="236"/>
      <c r="T5756" s="236"/>
      <c r="U5756" s="236"/>
      <c r="V5756" s="236"/>
      <c r="W5756" s="236"/>
      <c r="X5756" s="236"/>
      <c r="Y5756" s="236"/>
    </row>
    <row r="5757" spans="1:25" ht="15" customHeight="1">
      <c r="A5757" s="91"/>
      <c r="B5757" s="91"/>
      <c r="C5757" s="220"/>
      <c r="D5757" s="91"/>
      <c r="E5757" s="221"/>
      <c r="F5757" s="91"/>
      <c r="G5757" s="91"/>
      <c r="H5757" s="242"/>
      <c r="I5757" s="223"/>
      <c r="J5757" s="57"/>
      <c r="K5757" s="153"/>
      <c r="L5757" s="153"/>
      <c r="M5757" s="243"/>
      <c r="N5757" s="234"/>
      <c r="O5757" s="235"/>
      <c r="P5757" s="236"/>
      <c r="Q5757" s="236"/>
      <c r="R5757" s="236"/>
      <c r="S5757" s="236"/>
      <c r="T5757" s="236"/>
      <c r="U5757" s="236"/>
      <c r="V5757" s="236"/>
      <c r="W5757" s="236"/>
      <c r="X5757" s="236"/>
      <c r="Y5757" s="236"/>
    </row>
    <row r="5758" spans="1:25" ht="15" customHeight="1">
      <c r="A5758" s="91"/>
      <c r="B5758" s="91"/>
      <c r="C5758" s="220"/>
      <c r="D5758" s="91"/>
      <c r="E5758" s="221"/>
      <c r="F5758" s="91"/>
      <c r="G5758" s="91"/>
      <c r="H5758" s="242"/>
      <c r="I5758" s="223"/>
      <c r="J5758" s="57"/>
      <c r="K5758" s="153"/>
      <c r="L5758" s="153"/>
      <c r="M5758" s="243"/>
      <c r="N5758" s="234"/>
      <c r="O5758" s="235"/>
      <c r="P5758" s="236"/>
      <c r="Q5758" s="236"/>
      <c r="R5758" s="236"/>
      <c r="S5758" s="236"/>
      <c r="T5758" s="236"/>
      <c r="U5758" s="236"/>
      <c r="V5758" s="236"/>
      <c r="W5758" s="236"/>
      <c r="X5758" s="236"/>
      <c r="Y5758" s="236"/>
    </row>
    <row r="5759" spans="1:25" ht="15" customHeight="1">
      <c r="A5759" s="91"/>
      <c r="B5759" s="91"/>
      <c r="C5759" s="220"/>
      <c r="D5759" s="91"/>
      <c r="E5759" s="221"/>
      <c r="F5759" s="91"/>
      <c r="G5759" s="91"/>
      <c r="H5759" s="242"/>
      <c r="I5759" s="223"/>
      <c r="J5759" s="57"/>
      <c r="K5759" s="153"/>
      <c r="L5759" s="153"/>
      <c r="M5759" s="243"/>
      <c r="N5759" s="234"/>
      <c r="O5759" s="235"/>
      <c r="P5759" s="236"/>
      <c r="Q5759" s="236"/>
      <c r="R5759" s="236"/>
      <c r="S5759" s="236"/>
      <c r="T5759" s="236"/>
      <c r="U5759" s="236"/>
      <c r="V5759" s="236"/>
      <c r="W5759" s="236"/>
      <c r="X5759" s="236"/>
      <c r="Y5759" s="236"/>
    </row>
    <row r="5760" spans="1:25" ht="15" customHeight="1">
      <c r="A5760" s="91"/>
      <c r="B5760" s="91"/>
      <c r="C5760" s="220"/>
      <c r="D5760" s="91"/>
      <c r="E5760" s="221"/>
      <c r="F5760" s="91"/>
      <c r="G5760" s="91"/>
      <c r="H5760" s="242"/>
      <c r="I5760" s="223"/>
      <c r="J5760" s="57"/>
      <c r="K5760" s="153"/>
      <c r="L5760" s="153"/>
      <c r="M5760" s="243"/>
      <c r="N5760" s="234"/>
      <c r="O5760" s="235"/>
      <c r="P5760" s="236"/>
      <c r="Q5760" s="236"/>
      <c r="R5760" s="236"/>
      <c r="S5760" s="236"/>
      <c r="T5760" s="236"/>
      <c r="U5760" s="236"/>
      <c r="V5760" s="236"/>
      <c r="W5760" s="236"/>
      <c r="X5760" s="236"/>
      <c r="Y5760" s="236"/>
    </row>
    <row r="5761" spans="1:25" ht="15" customHeight="1">
      <c r="A5761" s="91"/>
      <c r="B5761" s="91"/>
      <c r="C5761" s="220"/>
      <c r="D5761" s="91"/>
      <c r="E5761" s="221"/>
      <c r="F5761" s="91"/>
      <c r="G5761" s="91"/>
      <c r="H5761" s="242"/>
      <c r="I5761" s="223"/>
      <c r="J5761" s="57"/>
      <c r="K5761" s="153"/>
      <c r="L5761" s="153"/>
      <c r="M5761" s="243"/>
      <c r="N5761" s="234"/>
      <c r="O5761" s="235"/>
      <c r="P5761" s="236"/>
      <c r="Q5761" s="236"/>
      <c r="R5761" s="236"/>
      <c r="S5761" s="236"/>
      <c r="T5761" s="236"/>
      <c r="U5761" s="236"/>
      <c r="V5761" s="236"/>
      <c r="W5761" s="236"/>
      <c r="X5761" s="236"/>
      <c r="Y5761" s="236"/>
    </row>
    <row r="5762" spans="1:25" ht="15" customHeight="1">
      <c r="A5762" s="91"/>
      <c r="B5762" s="91"/>
      <c r="C5762" s="220"/>
      <c r="D5762" s="91"/>
      <c r="E5762" s="221"/>
      <c r="F5762" s="91"/>
      <c r="G5762" s="91"/>
      <c r="H5762" s="242"/>
      <c r="I5762" s="223"/>
      <c r="J5762" s="57"/>
      <c r="K5762" s="153"/>
      <c r="L5762" s="153"/>
      <c r="M5762" s="243"/>
      <c r="N5762" s="234"/>
      <c r="O5762" s="235"/>
      <c r="P5762" s="236"/>
      <c r="Q5762" s="236"/>
      <c r="R5762" s="236"/>
      <c r="S5762" s="236"/>
      <c r="T5762" s="236"/>
      <c r="U5762" s="236"/>
      <c r="V5762" s="236"/>
      <c r="W5762" s="236"/>
      <c r="X5762" s="236"/>
      <c r="Y5762" s="236"/>
    </row>
    <row r="5763" spans="1:25" ht="15" customHeight="1">
      <c r="A5763" s="91"/>
      <c r="B5763" s="91"/>
      <c r="C5763" s="220"/>
      <c r="D5763" s="91"/>
      <c r="E5763" s="221"/>
      <c r="F5763" s="91"/>
      <c r="G5763" s="91"/>
      <c r="H5763" s="242"/>
      <c r="I5763" s="223"/>
      <c r="J5763" s="57"/>
      <c r="K5763" s="153"/>
      <c r="L5763" s="153"/>
      <c r="M5763" s="243"/>
      <c r="N5763" s="234"/>
      <c r="O5763" s="235"/>
      <c r="P5763" s="236"/>
      <c r="Q5763" s="236"/>
      <c r="R5763" s="236"/>
      <c r="S5763" s="236"/>
      <c r="T5763" s="236"/>
      <c r="U5763" s="236"/>
      <c r="V5763" s="236"/>
      <c r="W5763" s="236"/>
      <c r="X5763" s="236"/>
      <c r="Y5763" s="236"/>
    </row>
    <row r="5764" spans="1:25" ht="15" customHeight="1">
      <c r="A5764" s="91"/>
      <c r="B5764" s="91"/>
      <c r="C5764" s="220"/>
      <c r="D5764" s="91"/>
      <c r="E5764" s="221"/>
      <c r="F5764" s="91"/>
      <c r="G5764" s="91"/>
      <c r="H5764" s="242"/>
      <c r="I5764" s="223"/>
      <c r="J5764" s="57"/>
      <c r="K5764" s="153"/>
      <c r="L5764" s="153"/>
      <c r="M5764" s="243"/>
      <c r="N5764" s="234"/>
      <c r="O5764" s="235"/>
      <c r="P5764" s="236"/>
      <c r="Q5764" s="236"/>
      <c r="R5764" s="236"/>
      <c r="S5764" s="236"/>
      <c r="T5764" s="236"/>
      <c r="U5764" s="236"/>
      <c r="V5764" s="236"/>
      <c r="W5764" s="236"/>
      <c r="X5764" s="236"/>
      <c r="Y5764" s="236"/>
    </row>
    <row r="5765" spans="1:25" ht="15" customHeight="1">
      <c r="A5765" s="91"/>
      <c r="B5765" s="91"/>
      <c r="C5765" s="220"/>
      <c r="D5765" s="91"/>
      <c r="E5765" s="221"/>
      <c r="F5765" s="91"/>
      <c r="G5765" s="91"/>
      <c r="H5765" s="242"/>
      <c r="I5765" s="223"/>
      <c r="J5765" s="57"/>
      <c r="K5765" s="153"/>
      <c r="L5765" s="153"/>
      <c r="M5765" s="243"/>
      <c r="N5765" s="234"/>
      <c r="O5765" s="235"/>
      <c r="P5765" s="236"/>
      <c r="Q5765" s="236"/>
      <c r="R5765" s="236"/>
      <c r="S5765" s="236"/>
      <c r="T5765" s="236"/>
      <c r="U5765" s="236"/>
      <c r="V5765" s="236"/>
      <c r="W5765" s="236"/>
      <c r="X5765" s="236"/>
      <c r="Y5765" s="236"/>
    </row>
    <row r="5766" spans="1:25" ht="15" customHeight="1">
      <c r="A5766" s="91"/>
      <c r="B5766" s="91"/>
      <c r="C5766" s="220"/>
      <c r="D5766" s="91"/>
      <c r="E5766" s="221"/>
      <c r="F5766" s="91"/>
      <c r="G5766" s="91"/>
      <c r="H5766" s="242"/>
      <c r="I5766" s="223"/>
      <c r="J5766" s="57"/>
      <c r="K5766" s="153"/>
      <c r="L5766" s="153"/>
      <c r="M5766" s="243"/>
      <c r="N5766" s="234"/>
      <c r="O5766" s="235"/>
      <c r="P5766" s="236"/>
      <c r="Q5766" s="236"/>
      <c r="R5766" s="236"/>
      <c r="S5766" s="236"/>
      <c r="T5766" s="236"/>
      <c r="U5766" s="236"/>
      <c r="V5766" s="236"/>
      <c r="W5766" s="236"/>
      <c r="X5766" s="236"/>
      <c r="Y5766" s="236"/>
    </row>
    <row r="5767" spans="1:25" ht="15" customHeight="1">
      <c r="A5767" s="91"/>
      <c r="B5767" s="91"/>
      <c r="C5767" s="220"/>
      <c r="D5767" s="91"/>
      <c r="E5767" s="221"/>
      <c r="F5767" s="91"/>
      <c r="G5767" s="91"/>
      <c r="H5767" s="242"/>
      <c r="I5767" s="223"/>
      <c r="J5767" s="57"/>
      <c r="K5767" s="153"/>
      <c r="L5767" s="153"/>
      <c r="M5767" s="243"/>
      <c r="N5767" s="234"/>
      <c r="O5767" s="235"/>
      <c r="P5767" s="236"/>
      <c r="Q5767" s="236"/>
      <c r="R5767" s="236"/>
      <c r="S5767" s="236"/>
      <c r="T5767" s="236"/>
      <c r="U5767" s="236"/>
      <c r="V5767" s="236"/>
      <c r="W5767" s="236"/>
      <c r="X5767" s="236"/>
      <c r="Y5767" s="236"/>
    </row>
    <row r="5768" spans="1:25" ht="15" customHeight="1">
      <c r="A5768" s="91"/>
      <c r="B5768" s="91"/>
      <c r="C5768" s="220"/>
      <c r="D5768" s="91"/>
      <c r="E5768" s="221"/>
      <c r="F5768" s="91"/>
      <c r="G5768" s="91"/>
      <c r="H5768" s="242"/>
      <c r="I5768" s="223"/>
      <c r="J5768" s="57"/>
      <c r="K5768" s="153"/>
      <c r="L5768" s="153"/>
      <c r="M5768" s="243"/>
      <c r="N5768" s="234"/>
      <c r="O5768" s="235"/>
      <c r="P5768" s="236"/>
      <c r="Q5768" s="236"/>
      <c r="R5768" s="236"/>
      <c r="S5768" s="236"/>
      <c r="T5768" s="236"/>
      <c r="U5768" s="236"/>
      <c r="V5768" s="236"/>
      <c r="W5768" s="236"/>
      <c r="X5768" s="236"/>
      <c r="Y5768" s="236"/>
    </row>
    <row r="5769" spans="1:25" ht="15" customHeight="1">
      <c r="A5769" s="91"/>
      <c r="B5769" s="91"/>
      <c r="C5769" s="220"/>
      <c r="D5769" s="91"/>
      <c r="E5769" s="221"/>
      <c r="F5769" s="91"/>
      <c r="G5769" s="91"/>
      <c r="H5769" s="242"/>
      <c r="I5769" s="223"/>
      <c r="J5769" s="57"/>
      <c r="K5769" s="153"/>
      <c r="L5769" s="153"/>
      <c r="M5769" s="243"/>
      <c r="N5769" s="234"/>
      <c r="O5769" s="235"/>
      <c r="P5769" s="236"/>
      <c r="Q5769" s="236"/>
      <c r="R5769" s="236"/>
      <c r="S5769" s="236"/>
      <c r="T5769" s="236"/>
      <c r="U5769" s="236"/>
      <c r="V5769" s="236"/>
      <c r="W5769" s="236"/>
      <c r="X5769" s="236"/>
      <c r="Y5769" s="236"/>
    </row>
    <row r="5770" spans="1:25" ht="15" customHeight="1">
      <c r="A5770" s="91"/>
      <c r="B5770" s="91"/>
      <c r="C5770" s="220"/>
      <c r="D5770" s="91"/>
      <c r="E5770" s="221"/>
      <c r="F5770" s="91"/>
      <c r="G5770" s="91"/>
      <c r="H5770" s="242"/>
      <c r="I5770" s="223"/>
      <c r="J5770" s="57"/>
      <c r="K5770" s="153"/>
      <c r="L5770" s="153"/>
      <c r="M5770" s="243"/>
      <c r="N5770" s="234"/>
      <c r="O5770" s="235"/>
      <c r="P5770" s="236"/>
      <c r="Q5770" s="236"/>
      <c r="R5770" s="236"/>
      <c r="S5770" s="236"/>
      <c r="T5770" s="236"/>
      <c r="U5770" s="236"/>
      <c r="V5770" s="236"/>
      <c r="W5770" s="236"/>
      <c r="X5770" s="236"/>
      <c r="Y5770" s="236"/>
    </row>
    <row r="5771" spans="1:25" ht="15" customHeight="1">
      <c r="A5771" s="91"/>
      <c r="B5771" s="91"/>
      <c r="C5771" s="220"/>
      <c r="D5771" s="91"/>
      <c r="E5771" s="221"/>
      <c r="F5771" s="91"/>
      <c r="G5771" s="91"/>
      <c r="H5771" s="242"/>
      <c r="I5771" s="223"/>
      <c r="J5771" s="57"/>
      <c r="K5771" s="153"/>
      <c r="L5771" s="153"/>
      <c r="M5771" s="243"/>
      <c r="N5771" s="234"/>
      <c r="O5771" s="235"/>
      <c r="P5771" s="236"/>
      <c r="Q5771" s="236"/>
      <c r="R5771" s="236"/>
      <c r="S5771" s="236"/>
      <c r="T5771" s="236"/>
      <c r="U5771" s="236"/>
      <c r="V5771" s="236"/>
      <c r="W5771" s="236"/>
      <c r="X5771" s="236"/>
      <c r="Y5771" s="236"/>
    </row>
    <row r="5772" spans="1:25" ht="15" customHeight="1">
      <c r="A5772" s="91"/>
      <c r="B5772" s="91"/>
      <c r="C5772" s="220"/>
      <c r="D5772" s="91"/>
      <c r="E5772" s="221"/>
      <c r="F5772" s="91"/>
      <c r="G5772" s="91"/>
      <c r="H5772" s="242"/>
      <c r="I5772" s="223"/>
      <c r="J5772" s="57"/>
      <c r="K5772" s="153"/>
      <c r="L5772" s="153"/>
      <c r="M5772" s="243"/>
      <c r="N5772" s="234"/>
      <c r="O5772" s="235"/>
      <c r="P5772" s="236"/>
      <c r="Q5772" s="236"/>
      <c r="R5772" s="236"/>
      <c r="S5772" s="236"/>
      <c r="T5772" s="236"/>
      <c r="U5772" s="236"/>
      <c r="V5772" s="236"/>
      <c r="W5772" s="236"/>
      <c r="X5772" s="236"/>
      <c r="Y5772" s="236"/>
    </row>
    <row r="5773" spans="1:25" ht="15" customHeight="1">
      <c r="A5773" s="91"/>
      <c r="B5773" s="91"/>
      <c r="C5773" s="220"/>
      <c r="D5773" s="91"/>
      <c r="E5773" s="221"/>
      <c r="F5773" s="91"/>
      <c r="G5773" s="91"/>
      <c r="H5773" s="242"/>
      <c r="I5773" s="223"/>
      <c r="J5773" s="57"/>
      <c r="K5773" s="153"/>
      <c r="L5773" s="153"/>
      <c r="M5773" s="243"/>
      <c r="N5773" s="234"/>
      <c r="O5773" s="235"/>
      <c r="P5773" s="236"/>
      <c r="Q5773" s="236"/>
      <c r="R5773" s="236"/>
      <c r="S5773" s="236"/>
      <c r="T5773" s="236"/>
      <c r="U5773" s="236"/>
      <c r="V5773" s="236"/>
      <c r="W5773" s="236"/>
      <c r="X5773" s="236"/>
      <c r="Y5773" s="236"/>
    </row>
    <row r="5774" spans="1:25" ht="15" customHeight="1">
      <c r="A5774" s="91"/>
      <c r="B5774" s="91"/>
      <c r="C5774" s="220"/>
      <c r="D5774" s="91"/>
      <c r="E5774" s="221"/>
      <c r="F5774" s="91"/>
      <c r="G5774" s="91"/>
      <c r="H5774" s="242"/>
      <c r="I5774" s="223"/>
      <c r="J5774" s="57"/>
      <c r="K5774" s="153"/>
      <c r="L5774" s="153"/>
      <c r="M5774" s="243"/>
      <c r="N5774" s="234"/>
      <c r="O5774" s="235"/>
      <c r="P5774" s="236"/>
      <c r="Q5774" s="236"/>
      <c r="R5774" s="236"/>
      <c r="S5774" s="236"/>
      <c r="T5774" s="236"/>
      <c r="U5774" s="236"/>
      <c r="V5774" s="236"/>
      <c r="W5774" s="236"/>
      <c r="X5774" s="236"/>
      <c r="Y5774" s="236"/>
    </row>
    <row r="5775" spans="1:25" ht="15" customHeight="1">
      <c r="A5775" s="91"/>
      <c r="B5775" s="91"/>
      <c r="C5775" s="220"/>
      <c r="D5775" s="91"/>
      <c r="E5775" s="221"/>
      <c r="F5775" s="91"/>
      <c r="G5775" s="91"/>
      <c r="H5775" s="242"/>
      <c r="I5775" s="223"/>
      <c r="J5775" s="57"/>
      <c r="K5775" s="153"/>
      <c r="L5775" s="153"/>
      <c r="M5775" s="243"/>
      <c r="N5775" s="234"/>
      <c r="O5775" s="235"/>
      <c r="P5775" s="236"/>
      <c r="Q5775" s="236"/>
      <c r="R5775" s="236"/>
      <c r="S5775" s="236"/>
      <c r="T5775" s="236"/>
      <c r="U5775" s="236"/>
      <c r="V5775" s="236"/>
      <c r="W5775" s="236"/>
      <c r="X5775" s="236"/>
      <c r="Y5775" s="236"/>
    </row>
    <row r="5776" spans="1:25" ht="15" customHeight="1">
      <c r="A5776" s="91"/>
      <c r="B5776" s="91"/>
      <c r="C5776" s="220"/>
      <c r="D5776" s="91"/>
      <c r="E5776" s="221"/>
      <c r="F5776" s="91"/>
      <c r="G5776" s="91"/>
      <c r="H5776" s="242"/>
      <c r="I5776" s="223"/>
      <c r="J5776" s="57"/>
      <c r="K5776" s="153"/>
      <c r="L5776" s="153"/>
      <c r="M5776" s="243"/>
      <c r="N5776" s="234"/>
      <c r="O5776" s="235"/>
      <c r="P5776" s="236"/>
      <c r="Q5776" s="236"/>
      <c r="R5776" s="236"/>
      <c r="S5776" s="236"/>
      <c r="T5776" s="236"/>
      <c r="U5776" s="236"/>
      <c r="V5776" s="236"/>
      <c r="W5776" s="236"/>
      <c r="X5776" s="236"/>
      <c r="Y5776" s="236"/>
    </row>
    <row r="5777" spans="1:25" ht="15" customHeight="1">
      <c r="A5777" s="91"/>
      <c r="B5777" s="91"/>
      <c r="C5777" s="220"/>
      <c r="D5777" s="91"/>
      <c r="E5777" s="221"/>
      <c r="F5777" s="91"/>
      <c r="G5777" s="91"/>
      <c r="H5777" s="242"/>
      <c r="I5777" s="223"/>
      <c r="J5777" s="57"/>
      <c r="K5777" s="153"/>
      <c r="L5777" s="153"/>
      <c r="M5777" s="243"/>
      <c r="N5777" s="234"/>
      <c r="O5777" s="235"/>
      <c r="P5777" s="236"/>
      <c r="Q5777" s="236"/>
      <c r="R5777" s="236"/>
      <c r="S5777" s="236"/>
      <c r="T5777" s="236"/>
      <c r="U5777" s="236"/>
      <c r="V5777" s="236"/>
      <c r="W5777" s="236"/>
      <c r="X5777" s="236"/>
      <c r="Y5777" s="236"/>
    </row>
    <row r="5778" spans="1:25" ht="15" customHeight="1">
      <c r="A5778" s="91"/>
      <c r="B5778" s="91"/>
      <c r="C5778" s="220"/>
      <c r="D5778" s="91"/>
      <c r="E5778" s="221"/>
      <c r="F5778" s="91"/>
      <c r="G5778" s="91"/>
      <c r="H5778" s="242"/>
      <c r="I5778" s="223"/>
      <c r="J5778" s="57"/>
      <c r="K5778" s="153"/>
      <c r="L5778" s="153"/>
      <c r="M5778" s="243"/>
      <c r="N5778" s="234"/>
      <c r="O5778" s="235"/>
      <c r="P5778" s="236"/>
      <c r="Q5778" s="236"/>
      <c r="R5778" s="236"/>
      <c r="S5778" s="236"/>
      <c r="T5778" s="236"/>
      <c r="U5778" s="236"/>
      <c r="V5778" s="236"/>
      <c r="W5778" s="236"/>
      <c r="X5778" s="236"/>
      <c r="Y5778" s="236"/>
    </row>
    <row r="5779" spans="1:25" ht="15" customHeight="1">
      <c r="A5779" s="91"/>
      <c r="B5779" s="91"/>
      <c r="C5779" s="220"/>
      <c r="D5779" s="91"/>
      <c r="E5779" s="221"/>
      <c r="F5779" s="91"/>
      <c r="G5779" s="91"/>
      <c r="H5779" s="242"/>
      <c r="I5779" s="223"/>
      <c r="J5779" s="57"/>
      <c r="K5779" s="153"/>
      <c r="L5779" s="153"/>
      <c r="M5779" s="243"/>
      <c r="N5779" s="234"/>
      <c r="O5779" s="235"/>
      <c r="P5779" s="236"/>
      <c r="Q5779" s="236"/>
      <c r="R5779" s="236"/>
      <c r="S5779" s="236"/>
      <c r="T5779" s="236"/>
      <c r="U5779" s="236"/>
      <c r="V5779" s="236"/>
      <c r="W5779" s="236"/>
      <c r="X5779" s="236"/>
      <c r="Y5779" s="236"/>
    </row>
    <row r="5780" spans="1:25" ht="15" customHeight="1">
      <c r="A5780" s="91"/>
      <c r="B5780" s="91"/>
      <c r="C5780" s="220"/>
      <c r="D5780" s="91"/>
      <c r="E5780" s="221"/>
      <c r="F5780" s="91"/>
      <c r="G5780" s="91"/>
      <c r="H5780" s="242"/>
      <c r="I5780" s="223"/>
      <c r="J5780" s="57"/>
      <c r="K5780" s="153"/>
      <c r="L5780" s="153"/>
      <c r="M5780" s="243"/>
      <c r="N5780" s="234"/>
      <c r="O5780" s="235"/>
      <c r="P5780" s="236"/>
      <c r="Q5780" s="236"/>
      <c r="R5780" s="236"/>
      <c r="S5780" s="236"/>
      <c r="T5780" s="236"/>
      <c r="U5780" s="236"/>
      <c r="V5780" s="236"/>
      <c r="W5780" s="236"/>
      <c r="X5780" s="236"/>
      <c r="Y5780" s="236"/>
    </row>
    <row r="5781" spans="1:25" ht="15" customHeight="1">
      <c r="A5781" s="91"/>
      <c r="B5781" s="91"/>
      <c r="C5781" s="220"/>
      <c r="D5781" s="91"/>
      <c r="E5781" s="221"/>
      <c r="F5781" s="91"/>
      <c r="G5781" s="91"/>
      <c r="H5781" s="242"/>
      <c r="I5781" s="223"/>
      <c r="J5781" s="57"/>
      <c r="K5781" s="153"/>
      <c r="L5781" s="153"/>
      <c r="M5781" s="243"/>
      <c r="N5781" s="234"/>
      <c r="O5781" s="235"/>
      <c r="P5781" s="236"/>
      <c r="Q5781" s="236"/>
      <c r="R5781" s="236"/>
      <c r="S5781" s="236"/>
      <c r="T5781" s="236"/>
      <c r="U5781" s="236"/>
      <c r="V5781" s="236"/>
      <c r="W5781" s="236"/>
      <c r="X5781" s="236"/>
      <c r="Y5781" s="236"/>
    </row>
    <row r="5782" spans="1:25" ht="15" customHeight="1">
      <c r="A5782" s="91"/>
      <c r="B5782" s="91"/>
      <c r="C5782" s="220"/>
      <c r="D5782" s="91"/>
      <c r="E5782" s="221"/>
      <c r="F5782" s="91"/>
      <c r="G5782" s="91"/>
      <c r="H5782" s="242"/>
      <c r="I5782" s="223"/>
      <c r="J5782" s="57"/>
      <c r="K5782" s="153"/>
      <c r="L5782" s="153"/>
      <c r="M5782" s="243"/>
      <c r="N5782" s="234"/>
      <c r="O5782" s="235"/>
      <c r="P5782" s="236"/>
      <c r="Q5782" s="236"/>
      <c r="R5782" s="236"/>
      <c r="S5782" s="236"/>
      <c r="T5782" s="236"/>
      <c r="U5782" s="236"/>
      <c r="V5782" s="236"/>
      <c r="W5782" s="236"/>
      <c r="X5782" s="236"/>
      <c r="Y5782" s="236"/>
    </row>
    <row r="5783" spans="1:25" ht="15" customHeight="1">
      <c r="A5783" s="91"/>
      <c r="B5783" s="91"/>
      <c r="C5783" s="220"/>
      <c r="D5783" s="91"/>
      <c r="E5783" s="221"/>
      <c r="F5783" s="91"/>
      <c r="G5783" s="91"/>
      <c r="H5783" s="242"/>
      <c r="I5783" s="223"/>
      <c r="J5783" s="57"/>
      <c r="K5783" s="153"/>
      <c r="L5783" s="153"/>
      <c r="M5783" s="243"/>
      <c r="N5783" s="234"/>
      <c r="O5783" s="235"/>
      <c r="P5783" s="236"/>
      <c r="Q5783" s="236"/>
      <c r="R5783" s="236"/>
      <c r="S5783" s="236"/>
      <c r="T5783" s="236"/>
      <c r="U5783" s="236"/>
      <c r="V5783" s="236"/>
      <c r="W5783" s="236"/>
      <c r="X5783" s="236"/>
      <c r="Y5783" s="236"/>
    </row>
    <row r="5784" spans="1:25" ht="15" customHeight="1">
      <c r="A5784" s="91"/>
      <c r="B5784" s="91"/>
      <c r="C5784" s="220"/>
      <c r="D5784" s="91"/>
      <c r="E5784" s="221"/>
      <c r="F5784" s="91"/>
      <c r="G5784" s="91"/>
      <c r="H5784" s="242"/>
      <c r="I5784" s="223"/>
      <c r="J5784" s="57"/>
      <c r="K5784" s="153"/>
      <c r="L5784" s="153"/>
      <c r="M5784" s="243"/>
      <c r="N5784" s="234"/>
      <c r="O5784" s="235"/>
      <c r="P5784" s="236"/>
      <c r="Q5784" s="236"/>
      <c r="R5784" s="236"/>
      <c r="S5784" s="236"/>
      <c r="T5784" s="236"/>
      <c r="U5784" s="236"/>
      <c r="V5784" s="236"/>
      <c r="W5784" s="236"/>
      <c r="X5784" s="236"/>
      <c r="Y5784" s="236"/>
    </row>
    <row r="5785" spans="1:25" ht="15" customHeight="1">
      <c r="A5785" s="91"/>
      <c r="B5785" s="91"/>
      <c r="C5785" s="220"/>
      <c r="D5785" s="91"/>
      <c r="E5785" s="221"/>
      <c r="F5785" s="91"/>
      <c r="G5785" s="91"/>
      <c r="H5785" s="242"/>
      <c r="I5785" s="223"/>
      <c r="J5785" s="57"/>
      <c r="K5785" s="153"/>
      <c r="L5785" s="153"/>
      <c r="M5785" s="243"/>
      <c r="N5785" s="234"/>
      <c r="O5785" s="235"/>
      <c r="P5785" s="236"/>
      <c r="Q5785" s="236"/>
      <c r="R5785" s="236"/>
      <c r="S5785" s="236"/>
      <c r="T5785" s="236"/>
      <c r="U5785" s="236"/>
      <c r="V5785" s="236"/>
      <c r="W5785" s="236"/>
      <c r="X5785" s="236"/>
      <c r="Y5785" s="236"/>
    </row>
    <row r="5786" spans="1:25" ht="15" customHeight="1">
      <c r="A5786" s="91"/>
      <c r="B5786" s="91"/>
      <c r="C5786" s="220"/>
      <c r="D5786" s="91"/>
      <c r="E5786" s="221"/>
      <c r="F5786" s="91"/>
      <c r="G5786" s="91"/>
      <c r="H5786" s="242"/>
      <c r="I5786" s="223"/>
      <c r="J5786" s="57"/>
      <c r="K5786" s="153"/>
      <c r="L5786" s="153"/>
      <c r="M5786" s="243"/>
      <c r="N5786" s="234"/>
      <c r="O5786" s="235"/>
      <c r="P5786" s="236"/>
      <c r="Q5786" s="236"/>
      <c r="R5786" s="236"/>
      <c r="S5786" s="236"/>
      <c r="T5786" s="236"/>
      <c r="U5786" s="236"/>
      <c r="V5786" s="236"/>
      <c r="W5786" s="236"/>
      <c r="X5786" s="236"/>
      <c r="Y5786" s="236"/>
    </row>
    <row r="5787" spans="1:25" ht="15" customHeight="1">
      <c r="A5787" s="91"/>
      <c r="C5787" s="220"/>
      <c r="D5787" s="91"/>
      <c r="E5787" s="221"/>
      <c r="F5787" s="91"/>
      <c r="G5787" s="91"/>
      <c r="H5787" s="242"/>
      <c r="I5787" s="223"/>
      <c r="J5787" s="57"/>
      <c r="K5787" s="153"/>
      <c r="L5787" s="153"/>
      <c r="M5787" s="243"/>
      <c r="N5787" s="234"/>
      <c r="O5787" s="235"/>
      <c r="P5787" s="236"/>
      <c r="Q5787" s="236"/>
      <c r="R5787" s="236"/>
      <c r="S5787" s="236"/>
      <c r="T5787" s="236"/>
      <c r="U5787" s="236"/>
      <c r="V5787" s="236"/>
      <c r="W5787" s="236"/>
      <c r="X5787" s="236"/>
      <c r="Y5787" s="236"/>
    </row>
    <row r="5788" spans="1:25" ht="15" customHeight="1">
      <c r="A5788" s="91"/>
      <c r="B5788" s="91"/>
      <c r="C5788" s="220"/>
      <c r="D5788" s="91"/>
      <c r="E5788" s="221"/>
      <c r="F5788" s="91"/>
      <c r="G5788" s="91"/>
      <c r="H5788" s="242"/>
      <c r="I5788" s="223"/>
      <c r="J5788" s="57"/>
      <c r="K5788" s="153"/>
      <c r="L5788" s="153"/>
      <c r="M5788" s="243"/>
      <c r="N5788" s="234"/>
      <c r="O5788" s="235"/>
      <c r="P5788" s="236"/>
      <c r="Q5788" s="236"/>
      <c r="R5788" s="236"/>
      <c r="S5788" s="236"/>
      <c r="T5788" s="236"/>
      <c r="U5788" s="236"/>
      <c r="V5788" s="236"/>
      <c r="W5788" s="236"/>
      <c r="X5788" s="236"/>
      <c r="Y5788" s="236"/>
    </row>
    <row r="5789" spans="1:25" ht="15" customHeight="1">
      <c r="A5789" s="91"/>
      <c r="B5789" s="91"/>
      <c r="C5789" s="220"/>
      <c r="D5789" s="91"/>
      <c r="E5789" s="221"/>
      <c r="F5789" s="91"/>
      <c r="G5789" s="91"/>
      <c r="H5789" s="242"/>
      <c r="I5789" s="223"/>
      <c r="J5789" s="57"/>
      <c r="K5789" s="153"/>
      <c r="L5789" s="153"/>
      <c r="M5789" s="243"/>
      <c r="N5789" s="234"/>
      <c r="O5789" s="235"/>
      <c r="P5789" s="236"/>
      <c r="Q5789" s="236"/>
      <c r="R5789" s="236"/>
      <c r="S5789" s="236"/>
      <c r="T5789" s="236"/>
      <c r="U5789" s="236"/>
      <c r="V5789" s="236"/>
      <c r="W5789" s="236"/>
      <c r="X5789" s="236"/>
      <c r="Y5789" s="236"/>
    </row>
    <row r="5790" spans="1:25" ht="15" customHeight="1">
      <c r="A5790" s="91"/>
      <c r="B5790" s="91"/>
      <c r="C5790" s="220"/>
      <c r="D5790" s="91"/>
      <c r="E5790" s="221"/>
      <c r="F5790" s="91"/>
      <c r="G5790" s="91"/>
      <c r="H5790" s="242"/>
      <c r="I5790" s="223"/>
      <c r="J5790" s="57"/>
      <c r="K5790" s="153"/>
      <c r="L5790" s="153"/>
      <c r="M5790" s="243"/>
      <c r="N5790" s="234"/>
      <c r="O5790" s="235"/>
      <c r="P5790" s="236"/>
      <c r="Q5790" s="236"/>
      <c r="R5790" s="236"/>
      <c r="S5790" s="236"/>
      <c r="T5790" s="236"/>
      <c r="U5790" s="236"/>
      <c r="V5790" s="236"/>
      <c r="W5790" s="236"/>
      <c r="X5790" s="236"/>
      <c r="Y5790" s="236"/>
    </row>
    <row r="5791" spans="1:25" ht="15" customHeight="1">
      <c r="A5791" s="91"/>
      <c r="B5791" s="91"/>
      <c r="C5791" s="220"/>
      <c r="D5791" s="91"/>
      <c r="E5791" s="221"/>
      <c r="F5791" s="91"/>
      <c r="G5791" s="91"/>
      <c r="H5791" s="242"/>
      <c r="I5791" s="223"/>
      <c r="J5791" s="57"/>
      <c r="K5791" s="153"/>
      <c r="L5791" s="153"/>
      <c r="M5791" s="243"/>
      <c r="N5791" s="234"/>
      <c r="O5791" s="235"/>
      <c r="P5791" s="236"/>
      <c r="Q5791" s="236"/>
      <c r="R5791" s="236"/>
      <c r="S5791" s="236"/>
      <c r="T5791" s="236"/>
      <c r="U5791" s="236"/>
      <c r="V5791" s="236"/>
      <c r="W5791" s="236"/>
      <c r="X5791" s="236"/>
      <c r="Y5791" s="236"/>
    </row>
    <row r="5792" spans="1:25" ht="15" customHeight="1">
      <c r="A5792" s="91"/>
      <c r="B5792" s="91"/>
      <c r="C5792" s="220"/>
      <c r="D5792" s="91"/>
      <c r="E5792" s="221"/>
      <c r="F5792" s="91"/>
      <c r="G5792" s="91"/>
      <c r="H5792" s="242"/>
      <c r="I5792" s="223"/>
      <c r="J5792" s="57"/>
      <c r="K5792" s="153"/>
      <c r="L5792" s="153"/>
      <c r="M5792" s="243"/>
      <c r="N5792" s="234"/>
      <c r="O5792" s="235"/>
      <c r="P5792" s="236"/>
      <c r="Q5792" s="236"/>
      <c r="R5792" s="236"/>
      <c r="S5792" s="236"/>
      <c r="T5792" s="236"/>
      <c r="U5792" s="236"/>
      <c r="V5792" s="236"/>
      <c r="W5792" s="236"/>
      <c r="X5792" s="236"/>
      <c r="Y5792" s="236"/>
    </row>
    <row r="5793" spans="1:25" ht="15" customHeight="1">
      <c r="A5793" s="91"/>
      <c r="B5793" s="91"/>
      <c r="C5793" s="220"/>
      <c r="D5793" s="91"/>
      <c r="E5793" s="221"/>
      <c r="F5793" s="91"/>
      <c r="G5793" s="91"/>
      <c r="H5793" s="242"/>
      <c r="I5793" s="223"/>
      <c r="J5793" s="57"/>
      <c r="K5793" s="153"/>
      <c r="L5793" s="153"/>
      <c r="M5793" s="243"/>
      <c r="N5793" s="234"/>
      <c r="O5793" s="235"/>
      <c r="P5793" s="236"/>
      <c r="Q5793" s="236"/>
      <c r="R5793" s="236"/>
      <c r="S5793" s="236"/>
      <c r="T5793" s="236"/>
      <c r="U5793" s="236"/>
      <c r="V5793" s="236"/>
      <c r="W5793" s="236"/>
      <c r="X5793" s="236"/>
      <c r="Y5793" s="236"/>
    </row>
    <row r="5794" spans="1:25" ht="15" customHeight="1">
      <c r="A5794" s="91"/>
      <c r="B5794" s="91"/>
      <c r="C5794" s="220"/>
      <c r="D5794" s="91"/>
      <c r="E5794" s="221"/>
      <c r="F5794" s="91"/>
      <c r="G5794" s="91"/>
      <c r="H5794" s="242"/>
      <c r="I5794" s="223"/>
      <c r="J5794" s="57"/>
      <c r="K5794" s="153"/>
      <c r="L5794" s="153"/>
      <c r="M5794" s="243"/>
      <c r="N5794" s="234"/>
      <c r="O5794" s="235"/>
      <c r="P5794" s="236"/>
      <c r="Q5794" s="236"/>
      <c r="R5794" s="236"/>
      <c r="S5794" s="236"/>
      <c r="T5794" s="236"/>
      <c r="U5794" s="236"/>
      <c r="V5794" s="236"/>
      <c r="W5794" s="236"/>
      <c r="X5794" s="236"/>
      <c r="Y5794" s="236"/>
    </row>
    <row r="5795" spans="1:25" ht="15" customHeight="1">
      <c r="A5795" s="91"/>
      <c r="B5795" s="91"/>
      <c r="C5795" s="220"/>
      <c r="D5795" s="91"/>
      <c r="E5795" s="221"/>
      <c r="F5795" s="91"/>
      <c r="G5795" s="91"/>
      <c r="H5795" s="242"/>
      <c r="I5795" s="223"/>
      <c r="J5795" s="57"/>
      <c r="K5795" s="153"/>
      <c r="L5795" s="153"/>
      <c r="M5795" s="243"/>
      <c r="N5795" s="234"/>
      <c r="O5795" s="235"/>
      <c r="P5795" s="236"/>
      <c r="Q5795" s="236"/>
      <c r="R5795" s="236"/>
      <c r="S5795" s="236"/>
      <c r="T5795" s="236"/>
      <c r="U5795" s="236"/>
      <c r="V5795" s="236"/>
      <c r="W5795" s="236"/>
      <c r="X5795" s="236"/>
      <c r="Y5795" s="236"/>
    </row>
    <row r="5796" spans="1:25" ht="15" customHeight="1">
      <c r="A5796" s="91"/>
      <c r="B5796" s="91"/>
      <c r="C5796" s="220"/>
      <c r="D5796" s="91"/>
      <c r="E5796" s="221"/>
      <c r="F5796" s="91"/>
      <c r="G5796" s="91"/>
      <c r="H5796" s="242"/>
      <c r="I5796" s="223"/>
      <c r="J5796" s="57"/>
      <c r="K5796" s="153"/>
      <c r="L5796" s="153"/>
      <c r="M5796" s="243"/>
      <c r="N5796" s="234"/>
      <c r="O5796" s="235"/>
      <c r="P5796" s="236"/>
      <c r="Q5796" s="236"/>
      <c r="R5796" s="236"/>
      <c r="S5796" s="236"/>
      <c r="T5796" s="236"/>
      <c r="U5796" s="236"/>
      <c r="V5796" s="236"/>
      <c r="W5796" s="236"/>
      <c r="X5796" s="236"/>
      <c r="Y5796" s="236"/>
    </row>
    <row r="5797" spans="1:25" ht="15" customHeight="1">
      <c r="A5797" s="91"/>
      <c r="B5797" s="91"/>
      <c r="C5797" s="220"/>
      <c r="D5797" s="91"/>
      <c r="E5797" s="221"/>
      <c r="F5797" s="91"/>
      <c r="G5797" s="91"/>
      <c r="H5797" s="242"/>
      <c r="I5797" s="223"/>
      <c r="J5797" s="57"/>
      <c r="K5797" s="153"/>
      <c r="L5797" s="153"/>
      <c r="M5797" s="243"/>
      <c r="N5797" s="234"/>
      <c r="O5797" s="235"/>
      <c r="P5797" s="236"/>
      <c r="Q5797" s="236"/>
      <c r="R5797" s="236"/>
      <c r="S5797" s="236"/>
      <c r="T5797" s="236"/>
      <c r="U5797" s="236"/>
      <c r="V5797" s="236"/>
      <c r="W5797" s="236"/>
      <c r="X5797" s="236"/>
      <c r="Y5797" s="236"/>
    </row>
    <row r="5798" spans="1:25" ht="15" customHeight="1">
      <c r="A5798" s="91"/>
      <c r="B5798" s="91"/>
      <c r="C5798" s="220"/>
      <c r="D5798" s="91"/>
      <c r="E5798" s="221"/>
      <c r="F5798" s="91"/>
      <c r="G5798" s="91"/>
      <c r="H5798" s="242"/>
      <c r="I5798" s="223"/>
      <c r="J5798" s="57"/>
      <c r="K5798" s="153"/>
      <c r="L5798" s="153"/>
      <c r="M5798" s="243"/>
      <c r="N5798" s="234"/>
      <c r="O5798" s="235"/>
      <c r="P5798" s="236"/>
      <c r="Q5798" s="236"/>
      <c r="R5798" s="236"/>
      <c r="S5798" s="236"/>
      <c r="T5798" s="236"/>
      <c r="U5798" s="236"/>
      <c r="V5798" s="236"/>
      <c r="W5798" s="236"/>
      <c r="X5798" s="236"/>
      <c r="Y5798" s="236"/>
    </row>
    <row r="5799" spans="1:25" ht="15" customHeight="1">
      <c r="A5799" s="91"/>
      <c r="B5799" s="91"/>
      <c r="C5799" s="220"/>
      <c r="D5799" s="91"/>
      <c r="E5799" s="221"/>
      <c r="F5799" s="91"/>
      <c r="G5799" s="91"/>
      <c r="H5799" s="242"/>
      <c r="I5799" s="223"/>
      <c r="J5799" s="57"/>
      <c r="K5799" s="153"/>
      <c r="L5799" s="153"/>
      <c r="M5799" s="243"/>
      <c r="N5799" s="234"/>
      <c r="O5799" s="235"/>
      <c r="P5799" s="236"/>
      <c r="Q5799" s="236"/>
      <c r="R5799" s="236"/>
      <c r="S5799" s="236"/>
      <c r="T5799" s="236"/>
      <c r="U5799" s="236"/>
      <c r="V5799" s="236"/>
      <c r="W5799" s="236"/>
      <c r="X5799" s="236"/>
      <c r="Y5799" s="236"/>
    </row>
    <row r="5800" spans="1:25" ht="15" customHeight="1">
      <c r="A5800" s="91"/>
      <c r="B5800" s="91"/>
      <c r="C5800" s="220"/>
      <c r="D5800" s="91"/>
      <c r="E5800" s="221"/>
      <c r="F5800" s="91"/>
      <c r="G5800" s="91"/>
      <c r="H5800" s="242"/>
      <c r="I5800" s="223"/>
      <c r="J5800" s="57"/>
      <c r="K5800" s="153"/>
      <c r="L5800" s="153"/>
      <c r="M5800" s="243"/>
      <c r="N5800" s="234"/>
      <c r="O5800" s="235"/>
      <c r="P5800" s="236"/>
      <c r="Q5800" s="236"/>
      <c r="R5800" s="236"/>
      <c r="S5800" s="236"/>
      <c r="T5800" s="236"/>
      <c r="U5800" s="236"/>
      <c r="V5800" s="236"/>
      <c r="W5800" s="236"/>
      <c r="X5800" s="236"/>
      <c r="Y5800" s="236"/>
    </row>
    <row r="5801" spans="1:25" ht="15" customHeight="1">
      <c r="A5801" s="91"/>
      <c r="B5801" s="91"/>
      <c r="C5801" s="220"/>
      <c r="D5801" s="91"/>
      <c r="E5801" s="221"/>
      <c r="F5801" s="91"/>
      <c r="G5801" s="91"/>
      <c r="H5801" s="242"/>
      <c r="I5801" s="223"/>
      <c r="J5801" s="57"/>
      <c r="K5801" s="153"/>
      <c r="L5801" s="153"/>
      <c r="M5801" s="243"/>
      <c r="N5801" s="234"/>
      <c r="O5801" s="235"/>
      <c r="P5801" s="236"/>
      <c r="Q5801" s="236"/>
      <c r="R5801" s="236"/>
      <c r="S5801" s="236"/>
      <c r="T5801" s="236"/>
      <c r="U5801" s="236"/>
      <c r="V5801" s="236"/>
      <c r="W5801" s="236"/>
      <c r="X5801" s="236"/>
      <c r="Y5801" s="236"/>
    </row>
    <row r="5802" spans="1:25" ht="15" customHeight="1">
      <c r="A5802" s="91"/>
      <c r="B5802" s="91"/>
      <c r="C5802" s="220"/>
      <c r="D5802" s="91"/>
      <c r="E5802" s="221"/>
      <c r="F5802" s="91"/>
      <c r="G5802" s="91"/>
      <c r="H5802" s="242"/>
      <c r="I5802" s="223"/>
      <c r="J5802" s="57"/>
      <c r="K5802" s="153"/>
      <c r="L5802" s="153"/>
      <c r="M5802" s="243"/>
      <c r="N5802" s="234"/>
      <c r="O5802" s="235"/>
      <c r="P5802" s="236"/>
      <c r="Q5802" s="236"/>
      <c r="R5802" s="236"/>
      <c r="S5802" s="236"/>
      <c r="T5802" s="236"/>
      <c r="U5802" s="236"/>
      <c r="V5802" s="236"/>
      <c r="W5802" s="236"/>
      <c r="X5802" s="236"/>
      <c r="Y5802" s="236"/>
    </row>
    <row r="5803" spans="1:25" ht="15" customHeight="1">
      <c r="A5803" s="91"/>
      <c r="B5803" s="91"/>
      <c r="C5803" s="220"/>
      <c r="D5803" s="91"/>
      <c r="E5803" s="221"/>
      <c r="F5803" s="91"/>
      <c r="G5803" s="91"/>
      <c r="H5803" s="242"/>
      <c r="I5803" s="223"/>
      <c r="J5803" s="57"/>
      <c r="K5803" s="153"/>
      <c r="L5803" s="153"/>
      <c r="M5803" s="243"/>
      <c r="N5803" s="234"/>
      <c r="O5803" s="235"/>
      <c r="P5803" s="236"/>
      <c r="Q5803" s="236"/>
      <c r="R5803" s="236"/>
      <c r="S5803" s="236"/>
      <c r="T5803" s="236"/>
      <c r="U5803" s="236"/>
      <c r="V5803" s="236"/>
      <c r="W5803" s="236"/>
      <c r="X5803" s="236"/>
      <c r="Y5803" s="236"/>
    </row>
    <row r="5804" spans="1:25" ht="15" customHeight="1">
      <c r="A5804" s="91"/>
      <c r="B5804" s="91"/>
      <c r="C5804" s="220"/>
      <c r="D5804" s="91"/>
      <c r="E5804" s="221"/>
      <c r="F5804" s="91"/>
      <c r="G5804" s="91"/>
      <c r="H5804" s="242"/>
      <c r="I5804" s="223"/>
      <c r="J5804" s="57"/>
      <c r="K5804" s="153"/>
      <c r="L5804" s="153"/>
      <c r="M5804" s="243"/>
      <c r="N5804" s="234"/>
      <c r="O5804" s="235"/>
      <c r="P5804" s="236"/>
      <c r="Q5804" s="236"/>
      <c r="R5804" s="236"/>
      <c r="S5804" s="236"/>
      <c r="T5804" s="236"/>
      <c r="U5804" s="236"/>
      <c r="V5804" s="236"/>
      <c r="W5804" s="236"/>
      <c r="X5804" s="236"/>
      <c r="Y5804" s="236"/>
    </row>
    <row r="5805" spans="1:25" ht="15" customHeight="1">
      <c r="A5805" s="91"/>
      <c r="B5805" s="91"/>
      <c r="C5805" s="220"/>
      <c r="D5805" s="91"/>
      <c r="E5805" s="221"/>
      <c r="F5805" s="91"/>
      <c r="G5805" s="91"/>
      <c r="H5805" s="242"/>
      <c r="I5805" s="223"/>
      <c r="J5805" s="57"/>
      <c r="K5805" s="153"/>
      <c r="L5805" s="153"/>
      <c r="M5805" s="243"/>
      <c r="N5805" s="234"/>
      <c r="O5805" s="235"/>
      <c r="P5805" s="236"/>
      <c r="Q5805" s="236"/>
      <c r="R5805" s="236"/>
      <c r="S5805" s="236"/>
      <c r="T5805" s="236"/>
      <c r="U5805" s="236"/>
      <c r="V5805" s="236"/>
      <c r="W5805" s="236"/>
      <c r="X5805" s="236"/>
      <c r="Y5805" s="236"/>
    </row>
    <row r="5806" spans="1:25" ht="15" customHeight="1">
      <c r="A5806" s="91"/>
      <c r="B5806" s="91"/>
      <c r="C5806" s="220"/>
      <c r="D5806" s="91"/>
      <c r="E5806" s="221"/>
      <c r="F5806" s="91"/>
      <c r="G5806" s="91"/>
      <c r="H5806" s="242"/>
      <c r="I5806" s="223"/>
      <c r="J5806" s="57"/>
      <c r="K5806" s="153"/>
      <c r="L5806" s="153"/>
      <c r="M5806" s="243"/>
      <c r="N5806" s="234"/>
      <c r="O5806" s="235"/>
      <c r="P5806" s="236"/>
      <c r="Q5806" s="236"/>
      <c r="R5806" s="236"/>
      <c r="S5806" s="236"/>
      <c r="T5806" s="236"/>
      <c r="U5806" s="236"/>
      <c r="V5806" s="236"/>
      <c r="W5806" s="236"/>
      <c r="X5806" s="236"/>
      <c r="Y5806" s="236"/>
    </row>
    <row r="5807" spans="1:25" ht="15" customHeight="1">
      <c r="A5807" s="91"/>
      <c r="B5807" s="91"/>
      <c r="C5807" s="220"/>
      <c r="D5807" s="91"/>
      <c r="E5807" s="221"/>
      <c r="F5807" s="91"/>
      <c r="G5807" s="91"/>
      <c r="H5807" s="242"/>
      <c r="I5807" s="223"/>
      <c r="J5807" s="57"/>
      <c r="K5807" s="153"/>
      <c r="L5807" s="153"/>
      <c r="M5807" s="243"/>
      <c r="N5807" s="234"/>
      <c r="O5807" s="235"/>
      <c r="P5807" s="236"/>
      <c r="Q5807" s="236"/>
      <c r="R5807" s="236"/>
      <c r="S5807" s="236"/>
      <c r="T5807" s="236"/>
      <c r="U5807" s="236"/>
      <c r="V5807" s="236"/>
      <c r="W5807" s="236"/>
      <c r="X5807" s="236"/>
      <c r="Y5807" s="236"/>
    </row>
    <row r="5808" spans="1:25" ht="15" customHeight="1">
      <c r="A5808" s="91"/>
      <c r="B5808" s="91"/>
      <c r="C5808" s="220"/>
      <c r="D5808" s="91"/>
      <c r="E5808" s="221"/>
      <c r="F5808" s="91"/>
      <c r="G5808" s="91"/>
      <c r="H5808" s="242"/>
      <c r="I5808" s="223"/>
      <c r="J5808" s="57"/>
      <c r="K5808" s="153"/>
      <c r="L5808" s="153"/>
      <c r="M5808" s="243"/>
      <c r="N5808" s="234"/>
      <c r="O5808" s="235"/>
      <c r="P5808" s="236"/>
      <c r="Q5808" s="236"/>
      <c r="R5808" s="236"/>
      <c r="S5808" s="236"/>
      <c r="T5808" s="236"/>
      <c r="U5808" s="236"/>
      <c r="V5808" s="236"/>
      <c r="W5808" s="236"/>
      <c r="X5808" s="236"/>
      <c r="Y5808" s="236"/>
    </row>
    <row r="5809" spans="1:25" ht="15" customHeight="1">
      <c r="A5809" s="91"/>
      <c r="B5809" s="91"/>
      <c r="C5809" s="220"/>
      <c r="D5809" s="91"/>
      <c r="E5809" s="221"/>
      <c r="F5809" s="91"/>
      <c r="G5809" s="91"/>
      <c r="H5809" s="242"/>
      <c r="I5809" s="223"/>
      <c r="J5809" s="57"/>
      <c r="K5809" s="153"/>
      <c r="L5809" s="153"/>
      <c r="M5809" s="243"/>
      <c r="N5809" s="234"/>
      <c r="O5809" s="235"/>
      <c r="P5809" s="236"/>
      <c r="Q5809" s="236"/>
      <c r="R5809" s="236"/>
      <c r="S5809" s="236"/>
      <c r="T5809" s="236"/>
      <c r="U5809" s="236"/>
      <c r="V5809" s="236"/>
      <c r="W5809" s="236"/>
      <c r="X5809" s="236"/>
      <c r="Y5809" s="236"/>
    </row>
    <row r="5810" spans="1:25" ht="15" customHeight="1">
      <c r="A5810" s="91"/>
      <c r="B5810" s="91"/>
      <c r="C5810" s="220"/>
      <c r="D5810" s="91"/>
      <c r="E5810" s="221"/>
      <c r="F5810" s="91"/>
      <c r="G5810" s="91"/>
      <c r="H5810" s="242"/>
      <c r="I5810" s="223"/>
      <c r="J5810" s="57"/>
      <c r="K5810" s="153"/>
      <c r="L5810" s="153"/>
      <c r="M5810" s="243"/>
      <c r="N5810" s="234"/>
      <c r="O5810" s="235"/>
      <c r="P5810" s="236"/>
      <c r="Q5810" s="236"/>
      <c r="R5810" s="236"/>
      <c r="S5810" s="236"/>
      <c r="T5810" s="236"/>
      <c r="U5810" s="236"/>
      <c r="V5810" s="236"/>
      <c r="W5810" s="236"/>
      <c r="X5810" s="236"/>
      <c r="Y5810" s="236"/>
    </row>
    <row r="5811" spans="1:25" ht="15" customHeight="1">
      <c r="A5811" s="91"/>
      <c r="B5811" s="91"/>
      <c r="C5811" s="220"/>
      <c r="D5811" s="91"/>
      <c r="E5811" s="221"/>
      <c r="F5811" s="91"/>
      <c r="G5811" s="91"/>
      <c r="H5811" s="242"/>
      <c r="I5811" s="223"/>
      <c r="J5811" s="57"/>
      <c r="K5811" s="153"/>
      <c r="L5811" s="153"/>
      <c r="M5811" s="243"/>
      <c r="N5811" s="234"/>
      <c r="O5811" s="235"/>
      <c r="P5811" s="236"/>
      <c r="Q5811" s="236"/>
      <c r="R5811" s="236"/>
      <c r="S5811" s="236"/>
      <c r="T5811" s="236"/>
      <c r="U5811" s="236"/>
      <c r="V5811" s="236"/>
      <c r="W5811" s="236"/>
      <c r="X5811" s="236"/>
      <c r="Y5811" s="236"/>
    </row>
    <row r="5812" spans="1:25" ht="15" customHeight="1">
      <c r="A5812" s="91"/>
      <c r="B5812" s="91"/>
      <c r="C5812" s="220"/>
      <c r="D5812" s="91"/>
      <c r="E5812" s="221"/>
      <c r="F5812" s="91"/>
      <c r="G5812" s="91"/>
      <c r="H5812" s="242"/>
      <c r="I5812" s="223"/>
      <c r="J5812" s="57"/>
      <c r="K5812" s="153"/>
      <c r="L5812" s="153"/>
      <c r="M5812" s="243"/>
      <c r="N5812" s="234"/>
      <c r="O5812" s="235"/>
      <c r="P5812" s="236"/>
      <c r="Q5812" s="236"/>
      <c r="R5812" s="236"/>
      <c r="S5812" s="236"/>
      <c r="T5812" s="236"/>
      <c r="U5812" s="236"/>
      <c r="V5812" s="236"/>
      <c r="W5812" s="236"/>
      <c r="X5812" s="236"/>
      <c r="Y5812" s="236"/>
    </row>
    <row r="5813" spans="1:25" ht="15" customHeight="1">
      <c r="A5813" s="91"/>
      <c r="B5813" s="91"/>
      <c r="C5813" s="220"/>
      <c r="D5813" s="91"/>
      <c r="E5813" s="221"/>
      <c r="F5813" s="91"/>
      <c r="G5813" s="91"/>
      <c r="H5813" s="242"/>
      <c r="I5813" s="223"/>
      <c r="J5813" s="57"/>
      <c r="K5813" s="153"/>
      <c r="L5813" s="153"/>
      <c r="M5813" s="243"/>
      <c r="N5813" s="234"/>
      <c r="O5813" s="235"/>
      <c r="P5813" s="236"/>
      <c r="Q5813" s="236"/>
      <c r="R5813" s="236"/>
      <c r="S5813" s="236"/>
      <c r="T5813" s="236"/>
      <c r="U5813" s="236"/>
      <c r="V5813" s="236"/>
      <c r="W5813" s="236"/>
      <c r="X5813" s="236"/>
      <c r="Y5813" s="236"/>
    </row>
    <row r="5814" spans="1:25" ht="15" customHeight="1">
      <c r="A5814" s="91"/>
      <c r="B5814" s="91"/>
      <c r="C5814" s="220"/>
      <c r="D5814" s="91"/>
      <c r="E5814" s="221"/>
      <c r="F5814" s="91"/>
      <c r="G5814" s="91"/>
      <c r="H5814" s="242"/>
      <c r="I5814" s="223"/>
      <c r="J5814" s="57"/>
      <c r="K5814" s="153"/>
      <c r="L5814" s="153"/>
      <c r="M5814" s="243"/>
      <c r="N5814" s="234"/>
      <c r="O5814" s="235"/>
      <c r="P5814" s="236"/>
      <c r="Q5814" s="236"/>
      <c r="R5814" s="236"/>
      <c r="S5814" s="236"/>
      <c r="T5814" s="236"/>
      <c r="U5814" s="236"/>
      <c r="V5814" s="236"/>
      <c r="W5814" s="236"/>
      <c r="X5814" s="236"/>
      <c r="Y5814" s="236"/>
    </row>
    <row r="5815" spans="1:25" ht="15" customHeight="1">
      <c r="A5815" s="91"/>
      <c r="B5815" s="91"/>
      <c r="C5815" s="220"/>
      <c r="D5815" s="91"/>
      <c r="E5815" s="221"/>
      <c r="F5815" s="91"/>
      <c r="G5815" s="91"/>
      <c r="H5815" s="242"/>
      <c r="I5815" s="223"/>
      <c r="J5815" s="57"/>
      <c r="K5815" s="153"/>
      <c r="L5815" s="153"/>
      <c r="M5815" s="243"/>
      <c r="N5815" s="234"/>
      <c r="O5815" s="235"/>
      <c r="P5815" s="236"/>
      <c r="Q5815" s="236"/>
      <c r="R5815" s="236"/>
      <c r="S5815" s="236"/>
      <c r="T5815" s="236"/>
      <c r="U5815" s="236"/>
      <c r="V5815" s="236"/>
      <c r="W5815" s="236"/>
      <c r="X5815" s="236"/>
      <c r="Y5815" s="236"/>
    </row>
    <row r="5816" spans="1:25" ht="15" customHeight="1">
      <c r="A5816" s="91"/>
      <c r="B5816" s="91"/>
      <c r="C5816" s="220"/>
      <c r="D5816" s="91"/>
      <c r="E5816" s="221"/>
      <c r="F5816" s="91"/>
      <c r="G5816" s="91"/>
      <c r="H5816" s="242"/>
      <c r="I5816" s="223"/>
      <c r="J5816" s="57"/>
      <c r="K5816" s="153"/>
      <c r="L5816" s="153"/>
      <c r="M5816" s="243"/>
      <c r="N5816" s="234"/>
      <c r="O5816" s="235"/>
      <c r="P5816" s="236"/>
      <c r="Q5816" s="236"/>
      <c r="R5816" s="236"/>
      <c r="S5816" s="236"/>
      <c r="T5816" s="236"/>
      <c r="U5816" s="236"/>
      <c r="V5816" s="236"/>
      <c r="W5816" s="236"/>
      <c r="X5816" s="236"/>
      <c r="Y5816" s="236"/>
    </row>
    <row r="5817" spans="1:25" ht="15" customHeight="1">
      <c r="A5817" s="91"/>
      <c r="B5817" s="91"/>
      <c r="C5817" s="220"/>
      <c r="D5817" s="91"/>
      <c r="E5817" s="221"/>
      <c r="F5817" s="91"/>
      <c r="G5817" s="91"/>
      <c r="H5817" s="242"/>
      <c r="I5817" s="223"/>
      <c r="J5817" s="57"/>
      <c r="K5817" s="153"/>
      <c r="L5817" s="153"/>
      <c r="M5817" s="243"/>
      <c r="N5817" s="234"/>
      <c r="O5817" s="235"/>
      <c r="P5817" s="236"/>
      <c r="Q5817" s="236"/>
      <c r="R5817" s="236"/>
      <c r="S5817" s="236"/>
      <c r="T5817" s="236"/>
      <c r="U5817" s="236"/>
      <c r="V5817" s="236"/>
      <c r="W5817" s="236"/>
      <c r="X5817" s="236"/>
      <c r="Y5817" s="236"/>
    </row>
    <row r="5818" spans="1:25" ht="15" customHeight="1">
      <c r="A5818" s="91"/>
      <c r="B5818" s="91"/>
      <c r="C5818" s="220"/>
      <c r="D5818" s="91"/>
      <c r="E5818" s="221"/>
      <c r="F5818" s="91"/>
      <c r="G5818" s="91"/>
      <c r="H5818" s="242"/>
      <c r="I5818" s="223"/>
      <c r="J5818" s="57"/>
      <c r="K5818" s="153"/>
      <c r="L5818" s="153"/>
      <c r="M5818" s="243"/>
      <c r="N5818" s="234"/>
      <c r="O5818" s="235"/>
      <c r="P5818" s="236"/>
      <c r="Q5818" s="236"/>
      <c r="R5818" s="236"/>
      <c r="S5818" s="236"/>
      <c r="T5818" s="236"/>
      <c r="U5818" s="236"/>
      <c r="V5818" s="236"/>
      <c r="W5818" s="236"/>
      <c r="X5818" s="236"/>
      <c r="Y5818" s="236"/>
    </row>
    <row r="5819" spans="1:25" ht="15" customHeight="1">
      <c r="A5819" s="91"/>
      <c r="B5819" s="91"/>
      <c r="C5819" s="220"/>
      <c r="D5819" s="91"/>
      <c r="E5819" s="221"/>
      <c r="F5819" s="91"/>
      <c r="G5819" s="91"/>
      <c r="H5819" s="242"/>
      <c r="I5819" s="223"/>
      <c r="J5819" s="57"/>
      <c r="K5819" s="153"/>
      <c r="L5819" s="153"/>
      <c r="M5819" s="243"/>
      <c r="N5819" s="234"/>
      <c r="O5819" s="235"/>
      <c r="P5819" s="236"/>
      <c r="Q5819" s="236"/>
      <c r="R5819" s="236"/>
      <c r="S5819" s="236"/>
      <c r="T5819" s="236"/>
      <c r="U5819" s="236"/>
      <c r="V5819" s="236"/>
      <c r="W5819" s="236"/>
      <c r="X5819" s="236"/>
      <c r="Y5819" s="236"/>
    </row>
    <row r="5820" spans="1:25" ht="15" customHeight="1">
      <c r="A5820" s="91"/>
      <c r="B5820" s="91"/>
      <c r="C5820" s="220"/>
      <c r="D5820" s="91"/>
      <c r="E5820" s="221"/>
      <c r="F5820" s="91"/>
      <c r="G5820" s="91"/>
      <c r="H5820" s="242"/>
      <c r="I5820" s="223"/>
      <c r="J5820" s="57"/>
      <c r="K5820" s="153"/>
      <c r="L5820" s="153"/>
      <c r="M5820" s="243"/>
      <c r="N5820" s="234"/>
      <c r="O5820" s="235"/>
      <c r="P5820" s="236"/>
      <c r="Q5820" s="236"/>
      <c r="R5820" s="236"/>
      <c r="S5820" s="236"/>
      <c r="T5820" s="236"/>
      <c r="U5820" s="236"/>
      <c r="V5820" s="236"/>
      <c r="W5820" s="236"/>
      <c r="X5820" s="236"/>
      <c r="Y5820" s="236"/>
    </row>
    <row r="5821" spans="1:25" ht="15" customHeight="1">
      <c r="A5821" s="91"/>
      <c r="B5821" s="91"/>
      <c r="C5821" s="220"/>
      <c r="D5821" s="91"/>
      <c r="E5821" s="221"/>
      <c r="F5821" s="91"/>
      <c r="G5821" s="91"/>
      <c r="H5821" s="242"/>
      <c r="I5821" s="223"/>
      <c r="J5821" s="57"/>
      <c r="K5821" s="153"/>
      <c r="L5821" s="153"/>
      <c r="M5821" s="243"/>
      <c r="N5821" s="234"/>
      <c r="O5821" s="235"/>
      <c r="P5821" s="236"/>
      <c r="Q5821" s="236"/>
      <c r="R5821" s="236"/>
      <c r="S5821" s="236"/>
      <c r="T5821" s="236"/>
      <c r="U5821" s="236"/>
      <c r="V5821" s="236"/>
      <c r="W5821" s="236"/>
      <c r="X5821" s="236"/>
      <c r="Y5821" s="236"/>
    </row>
    <row r="5822" spans="1:25" ht="15" customHeight="1">
      <c r="A5822" s="91"/>
      <c r="B5822" s="91"/>
      <c r="C5822" s="220"/>
      <c r="D5822" s="91"/>
      <c r="E5822" s="221"/>
      <c r="F5822" s="91"/>
      <c r="G5822" s="91"/>
      <c r="H5822" s="242"/>
      <c r="I5822" s="223"/>
      <c r="J5822" s="57"/>
      <c r="K5822" s="153"/>
      <c r="L5822" s="153"/>
      <c r="M5822" s="243"/>
      <c r="N5822" s="234"/>
      <c r="O5822" s="235"/>
      <c r="P5822" s="236"/>
      <c r="Q5822" s="236"/>
      <c r="R5822" s="236"/>
      <c r="S5822" s="236"/>
      <c r="T5822" s="236"/>
      <c r="U5822" s="236"/>
      <c r="V5822" s="236"/>
      <c r="W5822" s="236"/>
      <c r="X5822" s="236"/>
      <c r="Y5822" s="236"/>
    </row>
    <row r="5823" spans="1:25" ht="15" customHeight="1">
      <c r="A5823" s="91"/>
      <c r="B5823" s="91"/>
      <c r="C5823" s="220"/>
      <c r="D5823" s="91"/>
      <c r="E5823" s="221"/>
      <c r="F5823" s="91"/>
      <c r="G5823" s="91"/>
      <c r="H5823" s="242"/>
      <c r="I5823" s="223"/>
      <c r="J5823" s="57"/>
      <c r="K5823" s="153"/>
      <c r="L5823" s="153"/>
      <c r="M5823" s="243"/>
      <c r="N5823" s="234"/>
      <c r="O5823" s="235"/>
      <c r="P5823" s="236"/>
      <c r="Q5823" s="236"/>
      <c r="R5823" s="236"/>
      <c r="S5823" s="236"/>
      <c r="T5823" s="236"/>
      <c r="U5823" s="236"/>
      <c r="V5823" s="236"/>
      <c r="W5823" s="236"/>
      <c r="X5823" s="236"/>
      <c r="Y5823" s="236"/>
    </row>
    <row r="5824" spans="1:25" ht="15" customHeight="1">
      <c r="A5824" s="91"/>
      <c r="B5824" s="91"/>
      <c r="C5824" s="220"/>
      <c r="D5824" s="91"/>
      <c r="E5824" s="221"/>
      <c r="F5824" s="91"/>
      <c r="G5824" s="91"/>
      <c r="H5824" s="242"/>
      <c r="I5824" s="223"/>
      <c r="J5824" s="57"/>
      <c r="K5824" s="153"/>
      <c r="L5824" s="153"/>
      <c r="M5824" s="243"/>
      <c r="N5824" s="234"/>
      <c r="O5824" s="235"/>
      <c r="P5824" s="236"/>
      <c r="Q5824" s="236"/>
      <c r="R5824" s="236"/>
      <c r="S5824" s="236"/>
      <c r="T5824" s="236"/>
      <c r="U5824" s="236"/>
      <c r="V5824" s="236"/>
      <c r="W5824" s="236"/>
      <c r="X5824" s="236"/>
      <c r="Y5824" s="236"/>
    </row>
    <row r="5825" spans="1:25" ht="15" customHeight="1">
      <c r="A5825" s="91"/>
      <c r="B5825" s="91"/>
      <c r="C5825" s="220"/>
      <c r="D5825" s="91"/>
      <c r="E5825" s="221"/>
      <c r="F5825" s="91"/>
      <c r="G5825" s="91"/>
      <c r="H5825" s="242"/>
      <c r="I5825" s="223"/>
      <c r="J5825" s="57"/>
      <c r="K5825" s="153"/>
      <c r="L5825" s="153"/>
      <c r="M5825" s="243"/>
      <c r="N5825" s="234"/>
      <c r="O5825" s="235"/>
      <c r="P5825" s="236"/>
      <c r="Q5825" s="236"/>
      <c r="R5825" s="236"/>
      <c r="S5825" s="236"/>
      <c r="T5825" s="236"/>
      <c r="U5825" s="236"/>
      <c r="V5825" s="236"/>
      <c r="W5825" s="236"/>
      <c r="X5825" s="236"/>
      <c r="Y5825" s="236"/>
    </row>
    <row r="5826" spans="1:25" ht="15" customHeight="1">
      <c r="A5826" s="91"/>
      <c r="B5826" s="91"/>
      <c r="C5826" s="220"/>
      <c r="D5826" s="91"/>
      <c r="E5826" s="221"/>
      <c r="F5826" s="91"/>
      <c r="G5826" s="91"/>
      <c r="H5826" s="242"/>
      <c r="I5826" s="223"/>
      <c r="J5826" s="57"/>
      <c r="K5826" s="153"/>
      <c r="L5826" s="153"/>
      <c r="M5826" s="243"/>
      <c r="N5826" s="234"/>
      <c r="O5826" s="235"/>
      <c r="P5826" s="236"/>
      <c r="Q5826" s="236"/>
      <c r="R5826" s="236"/>
      <c r="S5826" s="236"/>
      <c r="T5826" s="236"/>
      <c r="U5826" s="236"/>
      <c r="V5826" s="236"/>
      <c r="W5826" s="236"/>
      <c r="X5826" s="236"/>
      <c r="Y5826" s="236"/>
    </row>
    <row r="5827" spans="1:25" ht="15" customHeight="1">
      <c r="A5827" s="91"/>
      <c r="B5827" s="91"/>
      <c r="C5827" s="220"/>
      <c r="D5827" s="91"/>
      <c r="E5827" s="221"/>
      <c r="F5827" s="91"/>
      <c r="G5827" s="91"/>
      <c r="H5827" s="242"/>
      <c r="I5827" s="223"/>
      <c r="J5827" s="57"/>
      <c r="K5827" s="153"/>
      <c r="L5827" s="153"/>
      <c r="M5827" s="243"/>
      <c r="N5827" s="234"/>
      <c r="O5827" s="235"/>
      <c r="P5827" s="236"/>
      <c r="Q5827" s="236"/>
      <c r="R5827" s="236"/>
      <c r="S5827" s="236"/>
      <c r="T5827" s="236"/>
      <c r="U5827" s="236"/>
      <c r="V5827" s="236"/>
      <c r="W5827" s="236"/>
      <c r="X5827" s="236"/>
      <c r="Y5827" s="236"/>
    </row>
    <row r="5828" spans="1:25" ht="15" customHeight="1">
      <c r="A5828" s="91"/>
      <c r="B5828" s="91"/>
      <c r="C5828" s="220"/>
      <c r="D5828" s="91"/>
      <c r="E5828" s="221"/>
      <c r="F5828" s="91"/>
      <c r="G5828" s="91"/>
      <c r="H5828" s="242"/>
      <c r="I5828" s="223"/>
      <c r="J5828" s="57"/>
      <c r="K5828" s="153"/>
      <c r="L5828" s="153"/>
      <c r="M5828" s="243"/>
      <c r="N5828" s="234"/>
      <c r="O5828" s="235"/>
      <c r="P5828" s="236"/>
      <c r="Q5828" s="236"/>
      <c r="R5828" s="236"/>
      <c r="S5828" s="236"/>
      <c r="T5828" s="236"/>
      <c r="U5828" s="236"/>
      <c r="V5828" s="236"/>
      <c r="W5828" s="236"/>
      <c r="X5828" s="236"/>
      <c r="Y5828" s="236"/>
    </row>
    <row r="5829" spans="1:25" ht="15" customHeight="1">
      <c r="A5829" s="91"/>
      <c r="B5829" s="91"/>
      <c r="C5829" s="220"/>
      <c r="D5829" s="91"/>
      <c r="E5829" s="221"/>
      <c r="F5829" s="91"/>
      <c r="G5829" s="91"/>
      <c r="H5829" s="242"/>
      <c r="I5829" s="223"/>
      <c r="J5829" s="57"/>
      <c r="K5829" s="153"/>
      <c r="L5829" s="153"/>
      <c r="M5829" s="243"/>
      <c r="N5829" s="234"/>
      <c r="O5829" s="235"/>
      <c r="P5829" s="236"/>
      <c r="Q5829" s="236"/>
      <c r="R5829" s="236"/>
      <c r="S5829" s="236"/>
      <c r="T5829" s="236"/>
      <c r="U5829" s="236"/>
      <c r="V5829" s="236"/>
      <c r="W5829" s="236"/>
      <c r="X5829" s="236"/>
      <c r="Y5829" s="236"/>
    </row>
    <row r="5830" spans="1:25" ht="15" customHeight="1">
      <c r="A5830" s="91"/>
      <c r="B5830" s="91"/>
      <c r="C5830" s="220"/>
      <c r="D5830" s="91"/>
      <c r="E5830" s="221"/>
      <c r="F5830" s="91"/>
      <c r="G5830" s="91"/>
      <c r="H5830" s="242"/>
      <c r="I5830" s="223"/>
      <c r="J5830" s="57"/>
      <c r="K5830" s="153"/>
      <c r="L5830" s="153"/>
      <c r="M5830" s="243"/>
      <c r="N5830" s="234"/>
      <c r="O5830" s="235"/>
      <c r="P5830" s="236"/>
      <c r="Q5830" s="236"/>
      <c r="R5830" s="236"/>
      <c r="S5830" s="236"/>
      <c r="T5830" s="236"/>
      <c r="U5830" s="236"/>
      <c r="V5830" s="236"/>
      <c r="W5830" s="236"/>
      <c r="X5830" s="236"/>
      <c r="Y5830" s="236"/>
    </row>
    <row r="5831" spans="1:25" ht="15" customHeight="1">
      <c r="A5831" s="91"/>
      <c r="B5831" s="91"/>
      <c r="C5831" s="220"/>
      <c r="D5831" s="91"/>
      <c r="E5831" s="221"/>
      <c r="F5831" s="91"/>
      <c r="G5831" s="91"/>
      <c r="H5831" s="242"/>
      <c r="I5831" s="223"/>
      <c r="J5831" s="57"/>
      <c r="K5831" s="153"/>
      <c r="L5831" s="153"/>
      <c r="M5831" s="243"/>
      <c r="N5831" s="234"/>
      <c r="O5831" s="235"/>
      <c r="P5831" s="236"/>
      <c r="Q5831" s="236"/>
      <c r="R5831" s="236"/>
      <c r="S5831" s="236"/>
      <c r="T5831" s="236"/>
      <c r="U5831" s="236"/>
      <c r="V5831" s="236"/>
      <c r="W5831" s="236"/>
      <c r="X5831" s="236"/>
      <c r="Y5831" s="236"/>
    </row>
    <row r="5832" spans="1:25" ht="15" customHeight="1">
      <c r="A5832" s="91"/>
      <c r="B5832" s="91"/>
      <c r="C5832" s="220"/>
      <c r="D5832" s="91"/>
      <c r="E5832" s="221"/>
      <c r="F5832" s="91"/>
      <c r="G5832" s="91"/>
      <c r="H5832" s="242"/>
      <c r="I5832" s="223"/>
      <c r="J5832" s="57"/>
      <c r="K5832" s="153"/>
      <c r="L5832" s="153"/>
      <c r="M5832" s="243"/>
      <c r="N5832" s="234"/>
      <c r="O5832" s="235"/>
      <c r="P5832" s="236"/>
      <c r="Q5832" s="236"/>
      <c r="R5832" s="236"/>
      <c r="S5832" s="236"/>
      <c r="T5832" s="236"/>
      <c r="U5832" s="236"/>
      <c r="V5832" s="236"/>
      <c r="W5832" s="236"/>
      <c r="X5832" s="236"/>
      <c r="Y5832" s="236"/>
    </row>
    <row r="5833" spans="1:25" ht="15" customHeight="1">
      <c r="A5833" s="91"/>
      <c r="B5833" s="91"/>
      <c r="C5833" s="220"/>
      <c r="D5833" s="91"/>
      <c r="E5833" s="221"/>
      <c r="F5833" s="91"/>
      <c r="G5833" s="91"/>
      <c r="H5833" s="242"/>
      <c r="I5833" s="223"/>
      <c r="J5833" s="57"/>
      <c r="K5833" s="153"/>
      <c r="L5833" s="153"/>
      <c r="M5833" s="243"/>
      <c r="N5833" s="234"/>
      <c r="O5833" s="235"/>
      <c r="P5833" s="236"/>
      <c r="Q5833" s="236"/>
      <c r="R5833" s="236"/>
      <c r="S5833" s="236"/>
      <c r="T5833" s="236"/>
      <c r="U5833" s="236"/>
      <c r="V5833" s="236"/>
      <c r="W5833" s="236"/>
      <c r="X5833" s="236"/>
      <c r="Y5833" s="236"/>
    </row>
    <row r="5834" spans="1:25" ht="15" customHeight="1">
      <c r="A5834" s="91"/>
      <c r="B5834" s="91"/>
      <c r="C5834" s="220"/>
      <c r="D5834" s="91"/>
      <c r="E5834" s="221"/>
      <c r="F5834" s="91"/>
      <c r="G5834" s="91"/>
      <c r="H5834" s="242"/>
      <c r="I5834" s="223"/>
      <c r="J5834" s="57"/>
      <c r="K5834" s="153"/>
      <c r="L5834" s="153"/>
      <c r="M5834" s="243"/>
      <c r="N5834" s="234"/>
      <c r="O5834" s="235"/>
      <c r="P5834" s="236"/>
      <c r="Q5834" s="236"/>
      <c r="R5834" s="236"/>
      <c r="S5834" s="236"/>
      <c r="T5834" s="236"/>
      <c r="U5834" s="236"/>
      <c r="V5834" s="236"/>
      <c r="W5834" s="236"/>
      <c r="X5834" s="236"/>
      <c r="Y5834" s="236"/>
    </row>
    <row r="5835" spans="1:25" ht="15" customHeight="1">
      <c r="A5835" s="91"/>
      <c r="B5835" s="91"/>
      <c r="C5835" s="220"/>
      <c r="D5835" s="91"/>
      <c r="E5835" s="221"/>
      <c r="F5835" s="91"/>
      <c r="G5835" s="91"/>
      <c r="H5835" s="242"/>
      <c r="I5835" s="223"/>
      <c r="J5835" s="57"/>
      <c r="K5835" s="153"/>
      <c r="L5835" s="153"/>
      <c r="M5835" s="243"/>
      <c r="N5835" s="234"/>
      <c r="O5835" s="235"/>
      <c r="P5835" s="236"/>
      <c r="Q5835" s="236"/>
      <c r="R5835" s="236"/>
      <c r="S5835" s="236"/>
      <c r="T5835" s="236"/>
      <c r="U5835" s="236"/>
      <c r="V5835" s="236"/>
      <c r="W5835" s="236"/>
      <c r="X5835" s="236"/>
      <c r="Y5835" s="236"/>
    </row>
    <row r="5836" spans="1:25" ht="15" customHeight="1">
      <c r="A5836" s="91"/>
      <c r="B5836" s="91"/>
      <c r="C5836" s="220"/>
      <c r="D5836" s="91"/>
      <c r="E5836" s="221"/>
      <c r="F5836" s="91"/>
      <c r="G5836" s="91"/>
      <c r="H5836" s="242"/>
      <c r="I5836" s="223"/>
      <c r="J5836" s="57"/>
      <c r="K5836" s="153"/>
      <c r="L5836" s="153"/>
      <c r="M5836" s="243"/>
      <c r="N5836" s="234"/>
      <c r="O5836" s="235"/>
      <c r="P5836" s="236"/>
      <c r="Q5836" s="236"/>
      <c r="R5836" s="236"/>
      <c r="S5836" s="236"/>
      <c r="T5836" s="236"/>
      <c r="U5836" s="236"/>
      <c r="V5836" s="236"/>
      <c r="W5836" s="236"/>
      <c r="X5836" s="236"/>
      <c r="Y5836" s="236"/>
    </row>
    <row r="5837" spans="1:25" ht="15" customHeight="1">
      <c r="A5837" s="91"/>
      <c r="B5837" s="91"/>
      <c r="C5837" s="220"/>
      <c r="D5837" s="91"/>
      <c r="E5837" s="221"/>
      <c r="F5837" s="91"/>
      <c r="G5837" s="91"/>
      <c r="H5837" s="242"/>
      <c r="I5837" s="223"/>
      <c r="J5837" s="57"/>
      <c r="K5837" s="153"/>
      <c r="L5837" s="153"/>
      <c r="M5837" s="243"/>
      <c r="N5837" s="234"/>
      <c r="O5837" s="235"/>
      <c r="P5837" s="236"/>
      <c r="Q5837" s="236"/>
      <c r="R5837" s="236"/>
      <c r="S5837" s="236"/>
      <c r="T5837" s="236"/>
      <c r="U5837" s="236"/>
      <c r="V5837" s="236"/>
      <c r="W5837" s="236"/>
      <c r="X5837" s="236"/>
      <c r="Y5837" s="236"/>
    </row>
    <row r="5838" spans="1:25" ht="15" customHeight="1">
      <c r="A5838" s="91"/>
      <c r="B5838" s="91"/>
      <c r="C5838" s="220"/>
      <c r="D5838" s="91"/>
      <c r="E5838" s="221"/>
      <c r="F5838" s="91"/>
      <c r="G5838" s="91"/>
      <c r="H5838" s="242"/>
      <c r="I5838" s="223"/>
      <c r="J5838" s="57"/>
      <c r="K5838" s="153"/>
      <c r="L5838" s="153"/>
      <c r="M5838" s="243"/>
      <c r="N5838" s="234"/>
      <c r="O5838" s="235"/>
      <c r="P5838" s="236"/>
      <c r="Q5838" s="236"/>
      <c r="R5838" s="236"/>
      <c r="S5838" s="236"/>
      <c r="T5838" s="236"/>
      <c r="U5838" s="236"/>
      <c r="V5838" s="236"/>
      <c r="W5838" s="236"/>
      <c r="X5838" s="236"/>
      <c r="Y5838" s="236"/>
    </row>
    <row r="5839" spans="1:25" ht="15" customHeight="1">
      <c r="A5839" s="91"/>
      <c r="B5839" s="91"/>
      <c r="C5839" s="220"/>
      <c r="D5839" s="91"/>
      <c r="E5839" s="221"/>
      <c r="F5839" s="91"/>
      <c r="G5839" s="91"/>
      <c r="H5839" s="242"/>
      <c r="I5839" s="223"/>
      <c r="J5839" s="57"/>
      <c r="K5839" s="153"/>
      <c r="L5839" s="153"/>
      <c r="M5839" s="243"/>
      <c r="N5839" s="234"/>
      <c r="O5839" s="235"/>
      <c r="P5839" s="236"/>
      <c r="Q5839" s="236"/>
      <c r="R5839" s="236"/>
      <c r="S5839" s="236"/>
      <c r="T5839" s="236"/>
      <c r="U5839" s="236"/>
      <c r="V5839" s="236"/>
      <c r="W5839" s="236"/>
      <c r="X5839" s="236"/>
      <c r="Y5839" s="236"/>
    </row>
    <row r="5840" spans="1:25" ht="15" customHeight="1">
      <c r="A5840" s="91"/>
      <c r="B5840" s="91"/>
      <c r="C5840" s="220"/>
      <c r="D5840" s="91"/>
      <c r="E5840" s="221"/>
      <c r="F5840" s="91"/>
      <c r="G5840" s="91"/>
      <c r="H5840" s="242"/>
      <c r="I5840" s="223"/>
      <c r="J5840" s="57"/>
      <c r="K5840" s="153"/>
      <c r="L5840" s="153"/>
      <c r="M5840" s="243"/>
      <c r="N5840" s="234"/>
      <c r="O5840" s="235"/>
      <c r="P5840" s="236"/>
      <c r="Q5840" s="236"/>
      <c r="R5840" s="236"/>
      <c r="S5840" s="236"/>
      <c r="T5840" s="236"/>
      <c r="U5840" s="236"/>
      <c r="V5840" s="236"/>
      <c r="W5840" s="236"/>
      <c r="X5840" s="236"/>
      <c r="Y5840" s="236"/>
    </row>
    <row r="5841" spans="1:25" ht="15" customHeight="1">
      <c r="A5841" s="91"/>
      <c r="B5841" s="91"/>
      <c r="C5841" s="220"/>
      <c r="D5841" s="91"/>
      <c r="E5841" s="221"/>
      <c r="F5841" s="91"/>
      <c r="G5841" s="91"/>
      <c r="H5841" s="242"/>
      <c r="I5841" s="223"/>
      <c r="J5841" s="57"/>
      <c r="K5841" s="153"/>
      <c r="L5841" s="153"/>
      <c r="M5841" s="243"/>
      <c r="N5841" s="234"/>
      <c r="O5841" s="235"/>
      <c r="P5841" s="236"/>
      <c r="Q5841" s="236"/>
      <c r="R5841" s="236"/>
      <c r="S5841" s="236"/>
      <c r="T5841" s="236"/>
      <c r="U5841" s="236"/>
      <c r="V5841" s="236"/>
      <c r="W5841" s="236"/>
      <c r="X5841" s="236"/>
      <c r="Y5841" s="236"/>
    </row>
    <row r="5842" spans="1:25" ht="15" customHeight="1">
      <c r="A5842" s="91"/>
      <c r="B5842" s="91"/>
      <c r="C5842" s="220"/>
      <c r="D5842" s="91"/>
      <c r="E5842" s="221"/>
      <c r="F5842" s="91"/>
      <c r="G5842" s="91"/>
      <c r="H5842" s="242"/>
      <c r="I5842" s="223"/>
      <c r="J5842" s="57"/>
      <c r="K5842" s="153"/>
      <c r="L5842" s="153"/>
      <c r="M5842" s="243"/>
      <c r="N5842" s="234"/>
      <c r="O5842" s="235"/>
      <c r="P5842" s="236"/>
      <c r="Q5842" s="236"/>
      <c r="R5842" s="236"/>
      <c r="S5842" s="236"/>
      <c r="T5842" s="236"/>
      <c r="U5842" s="236"/>
      <c r="V5842" s="236"/>
      <c r="W5842" s="236"/>
      <c r="X5842" s="236"/>
      <c r="Y5842" s="236"/>
    </row>
    <row r="5843" spans="1:25" ht="15" customHeight="1">
      <c r="A5843" s="91"/>
      <c r="B5843" s="91"/>
      <c r="C5843" s="220"/>
      <c r="D5843" s="91"/>
      <c r="E5843" s="221"/>
      <c r="F5843" s="91"/>
      <c r="G5843" s="91"/>
      <c r="H5843" s="242"/>
      <c r="I5843" s="223"/>
      <c r="J5843" s="57"/>
      <c r="K5843" s="153"/>
      <c r="L5843" s="153"/>
      <c r="M5843" s="243"/>
      <c r="N5843" s="234"/>
      <c r="O5843" s="235"/>
      <c r="P5843" s="236"/>
      <c r="Q5843" s="236"/>
      <c r="R5843" s="236"/>
      <c r="S5843" s="236"/>
      <c r="T5843" s="236"/>
      <c r="U5843" s="236"/>
      <c r="V5843" s="236"/>
      <c r="W5843" s="236"/>
      <c r="X5843" s="236"/>
      <c r="Y5843" s="236"/>
    </row>
    <row r="5844" spans="1:25" ht="15" customHeight="1">
      <c r="A5844" s="91"/>
      <c r="B5844" s="91"/>
      <c r="C5844" s="220"/>
      <c r="D5844" s="91"/>
      <c r="E5844" s="221"/>
      <c r="F5844" s="91"/>
      <c r="G5844" s="91"/>
      <c r="H5844" s="242"/>
      <c r="I5844" s="223"/>
      <c r="J5844" s="57"/>
      <c r="K5844" s="153"/>
      <c r="L5844" s="153"/>
      <c r="M5844" s="243"/>
      <c r="N5844" s="234"/>
      <c r="O5844" s="235"/>
      <c r="P5844" s="236"/>
      <c r="Q5844" s="236"/>
      <c r="R5844" s="236"/>
      <c r="S5844" s="236"/>
      <c r="T5844" s="236"/>
      <c r="U5844" s="236"/>
      <c r="V5844" s="236"/>
      <c r="W5844" s="236"/>
      <c r="X5844" s="236"/>
      <c r="Y5844" s="236"/>
    </row>
    <row r="5845" spans="1:25" ht="15" customHeight="1">
      <c r="A5845" s="91"/>
      <c r="B5845" s="91"/>
      <c r="C5845" s="220"/>
      <c r="D5845" s="91"/>
      <c r="E5845" s="221"/>
      <c r="F5845" s="91"/>
      <c r="G5845" s="91"/>
      <c r="H5845" s="242"/>
      <c r="I5845" s="223"/>
      <c r="J5845" s="57"/>
      <c r="K5845" s="153"/>
      <c r="L5845" s="153"/>
      <c r="M5845" s="243"/>
      <c r="N5845" s="234"/>
      <c r="O5845" s="235"/>
      <c r="P5845" s="236"/>
      <c r="Q5845" s="236"/>
      <c r="R5845" s="236"/>
      <c r="S5845" s="236"/>
      <c r="T5845" s="236"/>
      <c r="U5845" s="236"/>
      <c r="V5845" s="236"/>
      <c r="W5845" s="236"/>
      <c r="X5845" s="236"/>
      <c r="Y5845" s="236"/>
    </row>
    <row r="5846" spans="1:25" ht="15" customHeight="1">
      <c r="A5846" s="91"/>
      <c r="B5846" s="91"/>
      <c r="C5846" s="220"/>
      <c r="D5846" s="91"/>
      <c r="E5846" s="221"/>
      <c r="F5846" s="91"/>
      <c r="G5846" s="91"/>
      <c r="H5846" s="242"/>
      <c r="I5846" s="223"/>
      <c r="J5846" s="57"/>
      <c r="K5846" s="153"/>
      <c r="L5846" s="153"/>
      <c r="M5846" s="243"/>
      <c r="N5846" s="234"/>
      <c r="O5846" s="235"/>
      <c r="P5846" s="236"/>
      <c r="Q5846" s="236"/>
      <c r="R5846" s="236"/>
      <c r="S5846" s="236"/>
      <c r="T5846" s="236"/>
      <c r="U5846" s="236"/>
      <c r="V5846" s="236"/>
      <c r="W5846" s="236"/>
      <c r="X5846" s="236"/>
      <c r="Y5846" s="236"/>
    </row>
    <row r="5847" spans="1:25" ht="15" customHeight="1">
      <c r="A5847" s="91"/>
      <c r="B5847" s="91"/>
      <c r="C5847" s="220"/>
      <c r="D5847" s="91"/>
      <c r="E5847" s="221"/>
      <c r="F5847" s="91"/>
      <c r="G5847" s="91"/>
      <c r="H5847" s="242"/>
      <c r="I5847" s="223"/>
      <c r="J5847" s="57"/>
      <c r="K5847" s="153"/>
      <c r="L5847" s="153"/>
      <c r="M5847" s="243"/>
      <c r="N5847" s="234"/>
      <c r="O5847" s="235"/>
      <c r="P5847" s="236"/>
      <c r="Q5847" s="236"/>
      <c r="R5847" s="236"/>
      <c r="S5847" s="236"/>
      <c r="T5847" s="236"/>
      <c r="U5847" s="236"/>
      <c r="V5847" s="236"/>
      <c r="W5847" s="236"/>
      <c r="X5847" s="236"/>
      <c r="Y5847" s="236"/>
    </row>
    <row r="5848" spans="1:25" ht="15" customHeight="1">
      <c r="A5848" s="91"/>
      <c r="B5848" s="91"/>
      <c r="C5848" s="220"/>
      <c r="D5848" s="91"/>
      <c r="E5848" s="221"/>
      <c r="F5848" s="91"/>
      <c r="G5848" s="91"/>
      <c r="H5848" s="242"/>
      <c r="I5848" s="223"/>
      <c r="J5848" s="57"/>
      <c r="K5848" s="153"/>
      <c r="L5848" s="153"/>
      <c r="M5848" s="243"/>
      <c r="N5848" s="234"/>
      <c r="O5848" s="235"/>
      <c r="P5848" s="236"/>
      <c r="Q5848" s="236"/>
      <c r="R5848" s="236"/>
      <c r="S5848" s="236"/>
      <c r="T5848" s="236"/>
      <c r="U5848" s="236"/>
      <c r="V5848" s="236"/>
      <c r="W5848" s="236"/>
      <c r="X5848" s="236"/>
      <c r="Y5848" s="236"/>
    </row>
    <row r="5849" spans="1:25" ht="15" customHeight="1">
      <c r="A5849" s="91"/>
      <c r="B5849" s="91"/>
      <c r="C5849" s="220"/>
      <c r="D5849" s="91"/>
      <c r="E5849" s="221"/>
      <c r="F5849" s="91"/>
      <c r="G5849" s="91"/>
      <c r="H5849" s="242"/>
      <c r="I5849" s="223"/>
      <c r="J5849" s="57"/>
      <c r="K5849" s="153"/>
      <c r="L5849" s="153"/>
      <c r="M5849" s="243"/>
      <c r="N5849" s="234"/>
      <c r="O5849" s="235"/>
      <c r="P5849" s="236"/>
      <c r="Q5849" s="236"/>
      <c r="R5849" s="236"/>
      <c r="S5849" s="236"/>
      <c r="T5849" s="236"/>
      <c r="U5849" s="236"/>
      <c r="V5849" s="236"/>
      <c r="W5849" s="236"/>
      <c r="X5849" s="236"/>
      <c r="Y5849" s="236"/>
    </row>
    <row r="5850" spans="1:25" ht="15" customHeight="1">
      <c r="A5850" s="91"/>
      <c r="B5850" s="91"/>
      <c r="C5850" s="220"/>
      <c r="D5850" s="91"/>
      <c r="E5850" s="221"/>
      <c r="F5850" s="91"/>
      <c r="G5850" s="91"/>
      <c r="H5850" s="242"/>
      <c r="I5850" s="223"/>
      <c r="J5850" s="57"/>
      <c r="K5850" s="153"/>
      <c r="L5850" s="153"/>
      <c r="M5850" s="243"/>
      <c r="N5850" s="234"/>
      <c r="O5850" s="235"/>
      <c r="P5850" s="236"/>
      <c r="Q5850" s="236"/>
      <c r="R5850" s="236"/>
      <c r="S5850" s="236"/>
      <c r="T5850" s="236"/>
      <c r="U5850" s="236"/>
      <c r="V5850" s="236"/>
      <c r="W5850" s="236"/>
      <c r="X5850" s="236"/>
      <c r="Y5850" s="236"/>
    </row>
    <row r="5851" spans="1:25" ht="15" customHeight="1">
      <c r="A5851" s="91"/>
      <c r="B5851" s="91"/>
      <c r="C5851" s="220"/>
      <c r="D5851" s="91"/>
      <c r="E5851" s="221"/>
      <c r="F5851" s="91"/>
      <c r="G5851" s="91"/>
      <c r="H5851" s="242"/>
      <c r="I5851" s="223"/>
      <c r="J5851" s="57"/>
      <c r="K5851" s="153"/>
      <c r="L5851" s="153"/>
      <c r="M5851" s="243"/>
      <c r="N5851" s="234"/>
      <c r="O5851" s="235"/>
      <c r="P5851" s="236"/>
      <c r="Q5851" s="236"/>
      <c r="R5851" s="236"/>
      <c r="S5851" s="236"/>
      <c r="T5851" s="236"/>
      <c r="U5851" s="236"/>
      <c r="V5851" s="236"/>
      <c r="W5851" s="236"/>
      <c r="X5851" s="236"/>
      <c r="Y5851" s="236"/>
    </row>
    <row r="5852" spans="1:25" ht="15" customHeight="1">
      <c r="A5852" s="91"/>
      <c r="B5852" s="91"/>
      <c r="C5852" s="220"/>
      <c r="D5852" s="91"/>
      <c r="E5852" s="221"/>
      <c r="F5852" s="91"/>
      <c r="G5852" s="91"/>
      <c r="H5852" s="242"/>
      <c r="I5852" s="223"/>
      <c r="J5852" s="57"/>
      <c r="K5852" s="153"/>
      <c r="L5852" s="153"/>
      <c r="M5852" s="243"/>
      <c r="N5852" s="234"/>
      <c r="O5852" s="235"/>
      <c r="P5852" s="236"/>
      <c r="Q5852" s="236"/>
      <c r="R5852" s="236"/>
      <c r="S5852" s="236"/>
      <c r="T5852" s="236"/>
      <c r="U5852" s="236"/>
      <c r="V5852" s="236"/>
      <c r="W5852" s="236"/>
      <c r="X5852" s="236"/>
      <c r="Y5852" s="236"/>
    </row>
    <row r="5853" spans="1:25" ht="15" customHeight="1">
      <c r="A5853" s="91"/>
      <c r="B5853" s="91"/>
      <c r="C5853" s="220"/>
      <c r="D5853" s="91"/>
      <c r="E5853" s="221"/>
      <c r="F5853" s="91"/>
      <c r="G5853" s="91"/>
      <c r="H5853" s="242"/>
      <c r="I5853" s="223"/>
      <c r="J5853" s="57"/>
      <c r="K5853" s="153"/>
      <c r="L5853" s="153"/>
      <c r="M5853" s="243"/>
      <c r="N5853" s="234"/>
      <c r="O5853" s="235"/>
      <c r="P5853" s="236"/>
      <c r="Q5853" s="236"/>
      <c r="R5853" s="236"/>
      <c r="S5853" s="236"/>
      <c r="T5853" s="236"/>
      <c r="U5853" s="236"/>
      <c r="V5853" s="236"/>
      <c r="W5853" s="236"/>
      <c r="X5853" s="236"/>
      <c r="Y5853" s="236"/>
    </row>
    <row r="5854" spans="1:25" ht="15" customHeight="1">
      <c r="A5854" s="91"/>
      <c r="B5854" s="91"/>
      <c r="C5854" s="220"/>
      <c r="D5854" s="91"/>
      <c r="E5854" s="221"/>
      <c r="F5854" s="91"/>
      <c r="G5854" s="91"/>
      <c r="H5854" s="242"/>
      <c r="I5854" s="223"/>
      <c r="J5854" s="57"/>
      <c r="K5854" s="153"/>
      <c r="L5854" s="153"/>
      <c r="M5854" s="243"/>
      <c r="N5854" s="234"/>
      <c r="O5854" s="235"/>
      <c r="P5854" s="236"/>
      <c r="Q5854" s="236"/>
      <c r="R5854" s="236"/>
      <c r="S5854" s="236"/>
      <c r="T5854" s="236"/>
      <c r="U5854" s="236"/>
      <c r="V5854" s="236"/>
      <c r="W5854" s="236"/>
      <c r="X5854" s="236"/>
      <c r="Y5854" s="236"/>
    </row>
    <row r="5855" spans="1:25" ht="15" customHeight="1">
      <c r="A5855" s="91"/>
      <c r="B5855" s="91"/>
      <c r="C5855" s="220"/>
      <c r="D5855" s="91"/>
      <c r="E5855" s="221"/>
      <c r="F5855" s="91"/>
      <c r="G5855" s="91"/>
      <c r="H5855" s="242"/>
      <c r="I5855" s="223"/>
      <c r="J5855" s="57"/>
      <c r="K5855" s="153"/>
      <c r="L5855" s="153"/>
      <c r="M5855" s="243"/>
      <c r="N5855" s="234"/>
      <c r="O5855" s="235"/>
      <c r="P5855" s="236"/>
      <c r="Q5855" s="236"/>
      <c r="R5855" s="236"/>
      <c r="S5855" s="236"/>
      <c r="T5855" s="236"/>
      <c r="U5855" s="236"/>
      <c r="V5855" s="236"/>
      <c r="W5855" s="236"/>
      <c r="X5855" s="236"/>
      <c r="Y5855" s="236"/>
    </row>
    <row r="5856" spans="1:25" ht="15" customHeight="1">
      <c r="A5856" s="91"/>
      <c r="B5856" s="91"/>
      <c r="C5856" s="220"/>
      <c r="D5856" s="91"/>
      <c r="E5856" s="221"/>
      <c r="F5856" s="91"/>
      <c r="G5856" s="91"/>
      <c r="H5856" s="242"/>
      <c r="I5856" s="223"/>
      <c r="J5856" s="57"/>
      <c r="K5856" s="153"/>
      <c r="L5856" s="153"/>
      <c r="M5856" s="243"/>
      <c r="N5856" s="234"/>
      <c r="O5856" s="235"/>
      <c r="P5856" s="236"/>
      <c r="Q5856" s="236"/>
      <c r="R5856" s="236"/>
      <c r="S5856" s="236"/>
      <c r="T5856" s="236"/>
      <c r="U5856" s="236"/>
      <c r="V5856" s="236"/>
      <c r="W5856" s="236"/>
      <c r="X5856" s="236"/>
      <c r="Y5856" s="236"/>
    </row>
    <row r="5857" spans="1:25" ht="15" customHeight="1">
      <c r="A5857" s="91"/>
      <c r="B5857" s="91"/>
      <c r="C5857" s="220"/>
      <c r="D5857" s="91"/>
      <c r="E5857" s="221"/>
      <c r="F5857" s="91"/>
      <c r="G5857" s="91"/>
      <c r="H5857" s="242"/>
      <c r="I5857" s="223"/>
      <c r="J5857" s="57"/>
      <c r="K5857" s="153"/>
      <c r="L5857" s="153"/>
      <c r="M5857" s="243"/>
      <c r="N5857" s="234"/>
      <c r="O5857" s="235"/>
      <c r="P5857" s="236"/>
      <c r="Q5857" s="236"/>
      <c r="R5857" s="236"/>
      <c r="S5857" s="236"/>
      <c r="T5857" s="236"/>
      <c r="U5857" s="236"/>
      <c r="V5857" s="236"/>
      <c r="W5857" s="236"/>
      <c r="X5857" s="236"/>
      <c r="Y5857" s="236"/>
    </row>
    <row r="5858" spans="1:25" ht="15" customHeight="1">
      <c r="A5858" s="91"/>
      <c r="B5858" s="91"/>
      <c r="C5858" s="220"/>
      <c r="D5858" s="91"/>
      <c r="E5858" s="221"/>
      <c r="F5858" s="91"/>
      <c r="G5858" s="91"/>
      <c r="H5858" s="242"/>
      <c r="I5858" s="223"/>
      <c r="J5858" s="57"/>
      <c r="K5858" s="153"/>
      <c r="L5858" s="153"/>
      <c r="M5858" s="243"/>
      <c r="N5858" s="234"/>
      <c r="O5858" s="235"/>
      <c r="P5858" s="236"/>
      <c r="Q5858" s="236"/>
      <c r="R5858" s="236"/>
      <c r="S5858" s="236"/>
      <c r="T5858" s="236"/>
      <c r="U5858" s="236"/>
      <c r="V5858" s="236"/>
      <c r="W5858" s="236"/>
      <c r="X5858" s="236"/>
      <c r="Y5858" s="236"/>
    </row>
    <row r="5859" spans="1:25" ht="15" customHeight="1">
      <c r="A5859" s="91"/>
      <c r="B5859" s="91"/>
      <c r="C5859" s="220"/>
      <c r="D5859" s="91"/>
      <c r="E5859" s="221"/>
      <c r="F5859" s="91"/>
      <c r="G5859" s="91"/>
      <c r="H5859" s="242"/>
      <c r="I5859" s="223"/>
      <c r="J5859" s="57"/>
      <c r="K5859" s="153"/>
      <c r="L5859" s="153"/>
      <c r="M5859" s="243"/>
      <c r="N5859" s="234"/>
      <c r="O5859" s="235"/>
      <c r="P5859" s="236"/>
      <c r="Q5859" s="236"/>
      <c r="R5859" s="236"/>
      <c r="S5859" s="236"/>
      <c r="T5859" s="236"/>
      <c r="U5859" s="236"/>
      <c r="V5859" s="236"/>
      <c r="W5859" s="236"/>
      <c r="X5859" s="236"/>
      <c r="Y5859" s="236"/>
    </row>
    <row r="5860" spans="1:25" ht="15" customHeight="1">
      <c r="A5860" s="91"/>
      <c r="B5860" s="91"/>
      <c r="C5860" s="220"/>
      <c r="D5860" s="91"/>
      <c r="E5860" s="221"/>
      <c r="F5860" s="91"/>
      <c r="G5860" s="91"/>
      <c r="H5860" s="242"/>
      <c r="I5860" s="223"/>
      <c r="J5860" s="57"/>
      <c r="K5860" s="153"/>
      <c r="L5860" s="153"/>
      <c r="M5860" s="243"/>
      <c r="N5860" s="234"/>
      <c r="O5860" s="235"/>
      <c r="P5860" s="236"/>
      <c r="Q5860" s="236"/>
      <c r="R5860" s="236"/>
      <c r="S5860" s="236"/>
      <c r="T5860" s="236"/>
      <c r="U5860" s="236"/>
      <c r="V5860" s="236"/>
      <c r="W5860" s="236"/>
      <c r="X5860" s="236"/>
      <c r="Y5860" s="236"/>
    </row>
    <row r="5861" spans="1:25" ht="15" customHeight="1">
      <c r="A5861" s="91"/>
      <c r="B5861" s="91"/>
      <c r="C5861" s="220"/>
      <c r="D5861" s="91"/>
      <c r="E5861" s="221"/>
      <c r="F5861" s="91"/>
      <c r="G5861" s="91"/>
      <c r="H5861" s="242"/>
      <c r="I5861" s="223"/>
      <c r="J5861" s="57"/>
      <c r="K5861" s="153"/>
      <c r="L5861" s="153"/>
      <c r="M5861" s="243"/>
      <c r="N5861" s="234"/>
      <c r="O5861" s="235"/>
      <c r="P5861" s="236"/>
      <c r="Q5861" s="236"/>
      <c r="R5861" s="236"/>
      <c r="S5861" s="236"/>
      <c r="T5861" s="236"/>
      <c r="U5861" s="236"/>
      <c r="V5861" s="236"/>
      <c r="W5861" s="236"/>
      <c r="X5861" s="236"/>
      <c r="Y5861" s="236"/>
    </row>
    <row r="5862" spans="1:25" ht="15" customHeight="1">
      <c r="A5862" s="91"/>
      <c r="B5862" s="91"/>
      <c r="C5862" s="220"/>
      <c r="D5862" s="91"/>
      <c r="E5862" s="221"/>
      <c r="F5862" s="91"/>
      <c r="G5862" s="91"/>
      <c r="H5862" s="242"/>
      <c r="I5862" s="223"/>
      <c r="J5862" s="57"/>
      <c r="K5862" s="153"/>
      <c r="L5862" s="153"/>
      <c r="M5862" s="243"/>
      <c r="N5862" s="234"/>
      <c r="O5862" s="235"/>
      <c r="P5862" s="236"/>
      <c r="Q5862" s="236"/>
      <c r="R5862" s="236"/>
      <c r="S5862" s="236"/>
      <c r="T5862" s="236"/>
      <c r="U5862" s="236"/>
      <c r="V5862" s="236"/>
      <c r="W5862" s="236"/>
      <c r="X5862" s="236"/>
      <c r="Y5862" s="236"/>
    </row>
    <row r="5863" spans="1:25" ht="15" customHeight="1">
      <c r="A5863" s="91"/>
      <c r="B5863" s="91"/>
      <c r="C5863" s="220"/>
      <c r="D5863" s="91"/>
      <c r="E5863" s="221"/>
      <c r="F5863" s="91"/>
      <c r="G5863" s="91"/>
      <c r="H5863" s="242"/>
      <c r="I5863" s="223"/>
      <c r="J5863" s="57"/>
      <c r="K5863" s="153"/>
      <c r="L5863" s="153"/>
      <c r="M5863" s="243"/>
      <c r="N5863" s="234"/>
      <c r="O5863" s="235"/>
      <c r="P5863" s="236"/>
      <c r="Q5863" s="236"/>
      <c r="R5863" s="236"/>
      <c r="S5863" s="236"/>
      <c r="T5863" s="236"/>
      <c r="U5863" s="236"/>
      <c r="V5863" s="236"/>
      <c r="W5863" s="236"/>
      <c r="X5863" s="236"/>
      <c r="Y5863" s="236"/>
    </row>
    <row r="5864" spans="1:25" ht="15" customHeight="1">
      <c r="A5864" s="91"/>
      <c r="B5864" s="91"/>
      <c r="C5864" s="220"/>
      <c r="D5864" s="91"/>
      <c r="E5864" s="221"/>
      <c r="F5864" s="91"/>
      <c r="G5864" s="91"/>
      <c r="H5864" s="242"/>
      <c r="I5864" s="223"/>
      <c r="J5864" s="57"/>
      <c r="K5864" s="153"/>
      <c r="L5864" s="153"/>
      <c r="M5864" s="243"/>
      <c r="N5864" s="234"/>
      <c r="O5864" s="235"/>
      <c r="P5864" s="236"/>
      <c r="Q5864" s="236"/>
      <c r="R5864" s="236"/>
      <c r="S5864" s="236"/>
      <c r="T5864" s="236"/>
      <c r="U5864" s="236"/>
      <c r="V5864" s="236"/>
      <c r="W5864" s="236"/>
      <c r="X5864" s="236"/>
      <c r="Y5864" s="236"/>
    </row>
    <row r="5865" spans="1:25" ht="15" customHeight="1">
      <c r="A5865" s="91"/>
      <c r="B5865" s="91"/>
      <c r="C5865" s="220"/>
      <c r="D5865" s="91"/>
      <c r="E5865" s="221"/>
      <c r="F5865" s="91"/>
      <c r="G5865" s="91"/>
      <c r="H5865" s="242"/>
      <c r="I5865" s="223"/>
      <c r="J5865" s="57"/>
      <c r="K5865" s="153"/>
      <c r="L5865" s="153"/>
      <c r="M5865" s="243"/>
      <c r="N5865" s="234"/>
      <c r="O5865" s="235"/>
      <c r="P5865" s="236"/>
      <c r="Q5865" s="236"/>
      <c r="R5865" s="236"/>
      <c r="S5865" s="236"/>
      <c r="T5865" s="236"/>
      <c r="U5865" s="236"/>
      <c r="V5865" s="236"/>
      <c r="W5865" s="236"/>
      <c r="X5865" s="236"/>
      <c r="Y5865" s="236"/>
    </row>
    <row r="5866" spans="1:25" ht="15" customHeight="1">
      <c r="A5866" s="91"/>
      <c r="B5866" s="91"/>
      <c r="C5866" s="220"/>
      <c r="D5866" s="91"/>
      <c r="E5866" s="221"/>
      <c r="F5866" s="91"/>
      <c r="G5866" s="91"/>
      <c r="H5866" s="242"/>
      <c r="I5866" s="223"/>
      <c r="J5866" s="57"/>
      <c r="K5866" s="153"/>
      <c r="L5866" s="153"/>
      <c r="M5866" s="243"/>
      <c r="N5866" s="234"/>
      <c r="O5866" s="235"/>
      <c r="P5866" s="236"/>
      <c r="Q5866" s="236"/>
      <c r="R5866" s="236"/>
      <c r="S5866" s="236"/>
      <c r="T5866" s="236"/>
      <c r="U5866" s="236"/>
      <c r="V5866" s="236"/>
      <c r="W5866" s="236"/>
      <c r="X5866" s="236"/>
      <c r="Y5866" s="236"/>
    </row>
    <row r="5867" spans="1:25" ht="15" customHeight="1">
      <c r="A5867" s="91"/>
      <c r="B5867" s="91"/>
      <c r="C5867" s="220"/>
      <c r="D5867" s="91"/>
      <c r="E5867" s="221"/>
      <c r="F5867" s="91"/>
      <c r="G5867" s="91"/>
      <c r="H5867" s="242"/>
      <c r="I5867" s="223"/>
      <c r="J5867" s="57"/>
      <c r="K5867" s="153"/>
      <c r="L5867" s="153"/>
      <c r="M5867" s="243"/>
      <c r="N5867" s="234"/>
      <c r="O5867" s="235"/>
      <c r="P5867" s="236"/>
      <c r="Q5867" s="236"/>
      <c r="R5867" s="236"/>
      <c r="S5867" s="236"/>
      <c r="T5867" s="236"/>
      <c r="U5867" s="236"/>
      <c r="V5867" s="236"/>
      <c r="W5867" s="236"/>
      <c r="X5867" s="236"/>
      <c r="Y5867" s="236"/>
    </row>
    <row r="5868" spans="1:25" ht="15" customHeight="1">
      <c r="A5868" s="91"/>
      <c r="B5868" s="91"/>
      <c r="C5868" s="220"/>
      <c r="D5868" s="91"/>
      <c r="E5868" s="221"/>
      <c r="F5868" s="91"/>
      <c r="G5868" s="91"/>
      <c r="H5868" s="242"/>
      <c r="I5868" s="223"/>
      <c r="J5868" s="57"/>
      <c r="K5868" s="153"/>
      <c r="L5868" s="153"/>
      <c r="M5868" s="243"/>
      <c r="N5868" s="234"/>
      <c r="O5868" s="235"/>
      <c r="P5868" s="236"/>
      <c r="Q5868" s="236"/>
      <c r="R5868" s="236"/>
      <c r="S5868" s="236"/>
      <c r="T5868" s="236"/>
      <c r="U5868" s="236"/>
      <c r="V5868" s="236"/>
      <c r="W5868" s="236"/>
      <c r="X5868" s="236"/>
      <c r="Y5868" s="236"/>
    </row>
    <row r="5869" spans="1:25" ht="15" customHeight="1">
      <c r="A5869" s="91"/>
      <c r="B5869" s="91"/>
      <c r="C5869" s="220"/>
      <c r="D5869" s="91"/>
      <c r="E5869" s="221"/>
      <c r="F5869" s="91"/>
      <c r="G5869" s="91"/>
      <c r="H5869" s="242"/>
      <c r="I5869" s="223"/>
      <c r="J5869" s="57"/>
      <c r="K5869" s="153"/>
      <c r="L5869" s="153"/>
      <c r="M5869" s="243"/>
      <c r="N5869" s="234"/>
      <c r="O5869" s="235"/>
      <c r="P5869" s="236"/>
      <c r="Q5869" s="236"/>
      <c r="R5869" s="236"/>
      <c r="S5869" s="236"/>
      <c r="T5869" s="236"/>
      <c r="U5869" s="236"/>
      <c r="V5869" s="236"/>
      <c r="W5869" s="236"/>
      <c r="X5869" s="236"/>
      <c r="Y5869" s="236"/>
    </row>
    <row r="5870" spans="1:25" ht="15" customHeight="1">
      <c r="A5870" s="91"/>
      <c r="B5870" s="91"/>
      <c r="C5870" s="220"/>
      <c r="D5870" s="91"/>
      <c r="E5870" s="221"/>
      <c r="F5870" s="91"/>
      <c r="G5870" s="91"/>
      <c r="H5870" s="242"/>
      <c r="I5870" s="223"/>
      <c r="J5870" s="57"/>
      <c r="K5870" s="153"/>
      <c r="L5870" s="153"/>
      <c r="M5870" s="243"/>
      <c r="N5870" s="234"/>
      <c r="O5870" s="235"/>
      <c r="P5870" s="236"/>
      <c r="Q5870" s="236"/>
      <c r="R5870" s="236"/>
      <c r="S5870" s="236"/>
      <c r="T5870" s="236"/>
      <c r="U5870" s="236"/>
      <c r="V5870" s="236"/>
      <c r="W5870" s="236"/>
      <c r="X5870" s="236"/>
      <c r="Y5870" s="236"/>
    </row>
    <row r="5871" spans="1:25" ht="15" customHeight="1">
      <c r="A5871" s="91"/>
      <c r="B5871" s="91"/>
      <c r="C5871" s="220"/>
      <c r="D5871" s="91"/>
      <c r="E5871" s="221"/>
      <c r="F5871" s="91"/>
      <c r="G5871" s="91"/>
      <c r="H5871" s="242"/>
      <c r="I5871" s="223"/>
      <c r="J5871" s="57"/>
      <c r="K5871" s="153"/>
      <c r="L5871" s="153"/>
      <c r="M5871" s="243"/>
      <c r="N5871" s="234"/>
      <c r="O5871" s="235"/>
      <c r="P5871" s="236"/>
      <c r="Q5871" s="236"/>
      <c r="R5871" s="236"/>
      <c r="S5871" s="236"/>
      <c r="T5871" s="236"/>
      <c r="U5871" s="236"/>
      <c r="V5871" s="236"/>
      <c r="W5871" s="236"/>
      <c r="X5871" s="236"/>
      <c r="Y5871" s="236"/>
    </row>
    <row r="5872" spans="1:25" ht="15" customHeight="1">
      <c r="A5872" s="91"/>
      <c r="B5872" s="91"/>
      <c r="C5872" s="220"/>
      <c r="D5872" s="91"/>
      <c r="E5872" s="221"/>
      <c r="F5872" s="91"/>
      <c r="G5872" s="91"/>
      <c r="H5872" s="242"/>
      <c r="I5872" s="223"/>
      <c r="J5872" s="57"/>
      <c r="K5872" s="153"/>
      <c r="L5872" s="153"/>
      <c r="M5872" s="243"/>
      <c r="N5872" s="234"/>
      <c r="O5872" s="235"/>
      <c r="P5872" s="236"/>
      <c r="Q5872" s="236"/>
      <c r="R5872" s="236"/>
      <c r="S5872" s="236"/>
      <c r="T5872" s="236"/>
      <c r="U5872" s="236"/>
      <c r="V5872" s="236"/>
      <c r="W5872" s="236"/>
      <c r="X5872" s="236"/>
      <c r="Y5872" s="236"/>
    </row>
    <row r="5873" spans="1:25" ht="15" customHeight="1">
      <c r="A5873" s="91"/>
      <c r="B5873" s="91"/>
      <c r="C5873" s="220"/>
      <c r="D5873" s="91"/>
      <c r="E5873" s="221"/>
      <c r="F5873" s="91"/>
      <c r="G5873" s="91"/>
      <c r="H5873" s="242"/>
      <c r="I5873" s="223"/>
      <c r="J5873" s="57"/>
      <c r="K5873" s="153"/>
      <c r="L5873" s="153"/>
      <c r="M5873" s="243"/>
      <c r="N5873" s="234"/>
      <c r="O5873" s="235"/>
      <c r="P5873" s="236"/>
      <c r="Q5873" s="236"/>
      <c r="R5873" s="236"/>
      <c r="S5873" s="236"/>
      <c r="T5873" s="236"/>
      <c r="U5873" s="236"/>
      <c r="V5873" s="236"/>
      <c r="W5873" s="236"/>
      <c r="X5873" s="236"/>
      <c r="Y5873" s="236"/>
    </row>
    <row r="5874" spans="1:25" ht="15" customHeight="1">
      <c r="A5874" s="91"/>
      <c r="B5874" s="91"/>
      <c r="C5874" s="220"/>
      <c r="D5874" s="91"/>
      <c r="E5874" s="221"/>
      <c r="F5874" s="91"/>
      <c r="G5874" s="91"/>
      <c r="H5874" s="242"/>
      <c r="I5874" s="223"/>
      <c r="J5874" s="57"/>
      <c r="K5874" s="153"/>
      <c r="L5874" s="153"/>
      <c r="M5874" s="243"/>
      <c r="N5874" s="234"/>
      <c r="O5874" s="235"/>
      <c r="P5874" s="236"/>
      <c r="Q5874" s="236"/>
      <c r="R5874" s="236"/>
      <c r="S5874" s="236"/>
      <c r="T5874" s="236"/>
      <c r="U5874" s="236"/>
      <c r="V5874" s="236"/>
      <c r="W5874" s="236"/>
      <c r="X5874" s="236"/>
      <c r="Y5874" s="236"/>
    </row>
    <row r="5875" spans="1:25" ht="15" customHeight="1">
      <c r="A5875" s="91"/>
      <c r="B5875" s="91"/>
      <c r="C5875" s="220"/>
      <c r="D5875" s="91"/>
      <c r="E5875" s="221"/>
      <c r="F5875" s="91"/>
      <c r="G5875" s="91"/>
      <c r="H5875" s="242"/>
      <c r="I5875" s="223"/>
      <c r="J5875" s="57"/>
      <c r="K5875" s="153"/>
      <c r="L5875" s="153"/>
      <c r="M5875" s="243"/>
      <c r="N5875" s="234"/>
      <c r="O5875" s="235"/>
      <c r="P5875" s="236"/>
      <c r="Q5875" s="236"/>
      <c r="R5875" s="236"/>
      <c r="S5875" s="236"/>
      <c r="T5875" s="236"/>
      <c r="U5875" s="236"/>
      <c r="V5875" s="236"/>
      <c r="W5875" s="236"/>
      <c r="X5875" s="236"/>
      <c r="Y5875" s="236"/>
    </row>
    <row r="5876" spans="1:25" ht="15" customHeight="1">
      <c r="A5876" s="91"/>
      <c r="B5876" s="91"/>
      <c r="C5876" s="220"/>
      <c r="D5876" s="91"/>
      <c r="E5876" s="221"/>
      <c r="F5876" s="91"/>
      <c r="G5876" s="91"/>
      <c r="H5876" s="242"/>
      <c r="I5876" s="223"/>
      <c r="J5876" s="57"/>
      <c r="K5876" s="153"/>
      <c r="L5876" s="153"/>
      <c r="M5876" s="243"/>
      <c r="N5876" s="234"/>
      <c r="O5876" s="235"/>
      <c r="P5876" s="236"/>
      <c r="Q5876" s="236"/>
      <c r="R5876" s="236"/>
      <c r="S5876" s="236"/>
      <c r="T5876" s="236"/>
      <c r="U5876" s="236"/>
      <c r="V5876" s="236"/>
      <c r="W5876" s="236"/>
      <c r="X5876" s="236"/>
      <c r="Y5876" s="236"/>
    </row>
    <row r="5877" spans="1:25" ht="15" customHeight="1">
      <c r="A5877" s="91"/>
      <c r="B5877" s="91"/>
      <c r="C5877" s="220"/>
      <c r="D5877" s="91"/>
      <c r="E5877" s="221"/>
      <c r="F5877" s="91"/>
      <c r="G5877" s="91"/>
      <c r="H5877" s="242"/>
      <c r="I5877" s="223"/>
      <c r="J5877" s="57"/>
      <c r="K5877" s="153"/>
      <c r="L5877" s="153"/>
      <c r="M5877" s="243"/>
      <c r="N5877" s="234"/>
      <c r="O5877" s="235"/>
      <c r="P5877" s="236"/>
      <c r="Q5877" s="236"/>
      <c r="R5877" s="236"/>
      <c r="S5877" s="236"/>
      <c r="T5877" s="236"/>
      <c r="U5877" s="236"/>
      <c r="V5877" s="236"/>
      <c r="W5877" s="236"/>
      <c r="X5877" s="236"/>
      <c r="Y5877" s="236"/>
    </row>
    <row r="5878" spans="1:25" ht="15" customHeight="1">
      <c r="A5878" s="91"/>
      <c r="B5878" s="91"/>
      <c r="C5878" s="220"/>
      <c r="D5878" s="91"/>
      <c r="E5878" s="221"/>
      <c r="F5878" s="91"/>
      <c r="G5878" s="91"/>
      <c r="H5878" s="242"/>
      <c r="I5878" s="223"/>
      <c r="J5878" s="57"/>
      <c r="K5878" s="153"/>
      <c r="L5878" s="153"/>
      <c r="M5878" s="243"/>
      <c r="N5878" s="234"/>
      <c r="O5878" s="235"/>
      <c r="P5878" s="236"/>
      <c r="Q5878" s="236"/>
      <c r="R5878" s="236"/>
      <c r="S5878" s="236"/>
      <c r="T5878" s="236"/>
      <c r="U5878" s="236"/>
      <c r="V5878" s="236"/>
      <c r="W5878" s="236"/>
      <c r="X5878" s="236"/>
      <c r="Y5878" s="236"/>
    </row>
    <row r="5879" spans="1:25" ht="15" customHeight="1">
      <c r="A5879" s="91"/>
      <c r="B5879" s="91"/>
      <c r="C5879" s="220"/>
      <c r="D5879" s="91"/>
      <c r="E5879" s="221"/>
      <c r="F5879" s="91"/>
      <c r="G5879" s="91"/>
      <c r="H5879" s="242"/>
      <c r="I5879" s="223"/>
      <c r="J5879" s="57"/>
      <c r="K5879" s="153"/>
      <c r="L5879" s="153"/>
      <c r="M5879" s="243"/>
      <c r="N5879" s="234"/>
      <c r="O5879" s="235"/>
      <c r="P5879" s="236"/>
      <c r="Q5879" s="236"/>
      <c r="R5879" s="236"/>
      <c r="S5879" s="236"/>
      <c r="T5879" s="236"/>
      <c r="U5879" s="236"/>
      <c r="V5879" s="236"/>
      <c r="W5879" s="236"/>
      <c r="X5879" s="236"/>
      <c r="Y5879" s="236"/>
    </row>
    <row r="5880" spans="1:25" ht="15" customHeight="1">
      <c r="A5880" s="91"/>
      <c r="B5880" s="91"/>
      <c r="C5880" s="220"/>
      <c r="D5880" s="91"/>
      <c r="E5880" s="221"/>
      <c r="F5880" s="91"/>
      <c r="G5880" s="91"/>
      <c r="H5880" s="242"/>
      <c r="I5880" s="223"/>
      <c r="J5880" s="57"/>
      <c r="K5880" s="153"/>
      <c r="L5880" s="153"/>
      <c r="M5880" s="243"/>
      <c r="N5880" s="234"/>
      <c r="O5880" s="235"/>
      <c r="P5880" s="236"/>
      <c r="Q5880" s="236"/>
      <c r="R5880" s="236"/>
      <c r="S5880" s="236"/>
      <c r="T5880" s="236"/>
      <c r="U5880" s="236"/>
      <c r="V5880" s="236"/>
      <c r="W5880" s="236"/>
      <c r="X5880" s="236"/>
      <c r="Y5880" s="236"/>
    </row>
    <row r="5881" spans="1:25" ht="15" customHeight="1">
      <c r="A5881" s="91"/>
      <c r="B5881" s="91"/>
      <c r="C5881" s="220"/>
      <c r="D5881" s="91"/>
      <c r="E5881" s="221"/>
      <c r="F5881" s="91"/>
      <c r="G5881" s="91"/>
      <c r="H5881" s="242"/>
      <c r="I5881" s="223"/>
      <c r="J5881" s="57"/>
      <c r="K5881" s="153"/>
      <c r="L5881" s="153"/>
      <c r="M5881" s="243"/>
      <c r="N5881" s="234"/>
      <c r="O5881" s="235"/>
      <c r="P5881" s="236"/>
      <c r="Q5881" s="236"/>
      <c r="R5881" s="236"/>
      <c r="S5881" s="236"/>
      <c r="T5881" s="236"/>
      <c r="U5881" s="236"/>
      <c r="V5881" s="236"/>
      <c r="W5881" s="236"/>
      <c r="X5881" s="236"/>
      <c r="Y5881" s="236"/>
    </row>
    <row r="5882" spans="1:25" ht="15" customHeight="1">
      <c r="A5882" s="91"/>
      <c r="B5882" s="91"/>
      <c r="C5882" s="220"/>
      <c r="D5882" s="91"/>
      <c r="E5882" s="221"/>
      <c r="F5882" s="91"/>
      <c r="G5882" s="91"/>
      <c r="H5882" s="242"/>
      <c r="I5882" s="223"/>
      <c r="J5882" s="57"/>
      <c r="K5882" s="153"/>
      <c r="L5882" s="153"/>
      <c r="M5882" s="243"/>
      <c r="N5882" s="234"/>
      <c r="O5882" s="235"/>
      <c r="P5882" s="236"/>
      <c r="Q5882" s="236"/>
      <c r="R5882" s="236"/>
      <c r="S5882" s="236"/>
      <c r="T5882" s="236"/>
      <c r="U5882" s="236"/>
      <c r="V5882" s="236"/>
      <c r="W5882" s="236"/>
      <c r="X5882" s="236"/>
      <c r="Y5882" s="236"/>
    </row>
    <row r="5883" spans="1:25" ht="15" customHeight="1">
      <c r="A5883" s="91"/>
      <c r="B5883" s="91"/>
      <c r="C5883" s="220"/>
      <c r="D5883" s="91"/>
      <c r="E5883" s="221"/>
      <c r="F5883" s="91"/>
      <c r="G5883" s="91"/>
      <c r="H5883" s="242"/>
      <c r="I5883" s="223"/>
      <c r="J5883" s="57"/>
      <c r="K5883" s="153"/>
      <c r="L5883" s="153"/>
      <c r="M5883" s="243"/>
      <c r="N5883" s="234"/>
      <c r="O5883" s="235"/>
      <c r="P5883" s="236"/>
      <c r="Q5883" s="236"/>
      <c r="R5883" s="236"/>
      <c r="S5883" s="236"/>
      <c r="T5883" s="236"/>
      <c r="U5883" s="236"/>
      <c r="V5883" s="236"/>
      <c r="W5883" s="236"/>
      <c r="X5883" s="236"/>
      <c r="Y5883" s="236"/>
    </row>
    <row r="5884" spans="1:25" ht="15" customHeight="1">
      <c r="A5884" s="91"/>
      <c r="B5884" s="91"/>
      <c r="C5884" s="220"/>
      <c r="D5884" s="91"/>
      <c r="E5884" s="221"/>
      <c r="F5884" s="91"/>
      <c r="G5884" s="91"/>
      <c r="H5884" s="242"/>
      <c r="I5884" s="223"/>
      <c r="J5884" s="57"/>
      <c r="K5884" s="153"/>
      <c r="L5884" s="153"/>
      <c r="M5884" s="243"/>
      <c r="N5884" s="234"/>
      <c r="O5884" s="235"/>
      <c r="P5884" s="236"/>
      <c r="Q5884" s="236"/>
      <c r="R5884" s="236"/>
      <c r="S5884" s="236"/>
      <c r="T5884" s="236"/>
      <c r="U5884" s="236"/>
      <c r="V5884" s="236"/>
      <c r="W5884" s="236"/>
      <c r="X5884" s="236"/>
      <c r="Y5884" s="236"/>
    </row>
    <row r="5885" spans="1:25" ht="15" customHeight="1">
      <c r="A5885" s="91"/>
      <c r="B5885" s="91"/>
      <c r="C5885" s="220"/>
      <c r="D5885" s="91"/>
      <c r="E5885" s="221"/>
      <c r="F5885" s="91"/>
      <c r="G5885" s="91"/>
      <c r="H5885" s="242"/>
      <c r="I5885" s="223"/>
      <c r="J5885" s="57"/>
      <c r="K5885" s="153"/>
      <c r="L5885" s="153"/>
      <c r="M5885" s="243"/>
      <c r="N5885" s="234"/>
      <c r="O5885" s="235"/>
      <c r="P5885" s="236"/>
      <c r="Q5885" s="236"/>
      <c r="R5885" s="236"/>
      <c r="S5885" s="236"/>
      <c r="T5885" s="236"/>
      <c r="U5885" s="236"/>
      <c r="V5885" s="236"/>
      <c r="W5885" s="236"/>
      <c r="X5885" s="236"/>
      <c r="Y5885" s="236"/>
    </row>
    <row r="5886" spans="1:25" ht="15" customHeight="1">
      <c r="A5886" s="91"/>
      <c r="B5886" s="91"/>
      <c r="C5886" s="220"/>
      <c r="D5886" s="91"/>
      <c r="E5886" s="221"/>
      <c r="F5886" s="91"/>
      <c r="G5886" s="91"/>
      <c r="H5886" s="242"/>
      <c r="I5886" s="223"/>
      <c r="J5886" s="57"/>
      <c r="K5886" s="153"/>
      <c r="L5886" s="153"/>
      <c r="M5886" s="243"/>
      <c r="N5886" s="234"/>
      <c r="O5886" s="235"/>
      <c r="P5886" s="236"/>
      <c r="Q5886" s="236"/>
      <c r="R5886" s="236"/>
      <c r="S5886" s="236"/>
      <c r="T5886" s="236"/>
      <c r="U5886" s="236"/>
      <c r="V5886" s="236"/>
      <c r="W5886" s="236"/>
      <c r="X5886" s="236"/>
      <c r="Y5886" s="236"/>
    </row>
    <row r="5887" spans="1:25" ht="15" customHeight="1">
      <c r="A5887" s="91"/>
      <c r="B5887" s="91"/>
      <c r="C5887" s="220"/>
      <c r="D5887" s="91"/>
      <c r="E5887" s="221"/>
      <c r="F5887" s="91"/>
      <c r="G5887" s="91"/>
      <c r="H5887" s="242"/>
      <c r="I5887" s="223"/>
      <c r="J5887" s="57"/>
      <c r="K5887" s="153"/>
      <c r="L5887" s="153"/>
      <c r="M5887" s="243"/>
      <c r="N5887" s="234"/>
      <c r="O5887" s="235"/>
      <c r="P5887" s="236"/>
      <c r="Q5887" s="236"/>
      <c r="R5887" s="236"/>
      <c r="S5887" s="236"/>
      <c r="T5887" s="236"/>
      <c r="U5887" s="236"/>
      <c r="V5887" s="236"/>
      <c r="W5887" s="236"/>
      <c r="X5887" s="236"/>
      <c r="Y5887" s="236"/>
    </row>
    <row r="5888" spans="1:25" ht="15" customHeight="1">
      <c r="A5888" s="91"/>
      <c r="B5888" s="91"/>
      <c r="C5888" s="220"/>
      <c r="D5888" s="91"/>
      <c r="E5888" s="221"/>
      <c r="F5888" s="91"/>
      <c r="G5888" s="91"/>
      <c r="H5888" s="242"/>
      <c r="I5888" s="223"/>
      <c r="J5888" s="57"/>
      <c r="K5888" s="153"/>
      <c r="L5888" s="153"/>
      <c r="M5888" s="243"/>
      <c r="N5888" s="234"/>
      <c r="O5888" s="235"/>
      <c r="P5888" s="236"/>
      <c r="Q5888" s="236"/>
      <c r="R5888" s="236"/>
      <c r="S5888" s="236"/>
      <c r="T5888" s="236"/>
      <c r="U5888" s="236"/>
      <c r="V5888" s="236"/>
      <c r="W5888" s="236"/>
      <c r="X5888" s="236"/>
      <c r="Y5888" s="236"/>
    </row>
    <row r="5889" spans="1:25" ht="15" customHeight="1">
      <c r="A5889" s="91"/>
      <c r="B5889" s="91"/>
      <c r="C5889" s="220"/>
      <c r="D5889" s="91"/>
      <c r="E5889" s="221"/>
      <c r="F5889" s="91"/>
      <c r="G5889" s="91"/>
      <c r="H5889" s="242"/>
      <c r="I5889" s="223"/>
      <c r="J5889" s="57"/>
      <c r="K5889" s="153"/>
      <c r="L5889" s="153"/>
      <c r="M5889" s="243"/>
      <c r="N5889" s="234"/>
      <c r="O5889" s="235"/>
      <c r="P5889" s="236"/>
      <c r="Q5889" s="236"/>
      <c r="R5889" s="236"/>
      <c r="S5889" s="236"/>
      <c r="T5889" s="236"/>
      <c r="U5889" s="236"/>
      <c r="V5889" s="236"/>
      <c r="W5889" s="236"/>
      <c r="X5889" s="236"/>
      <c r="Y5889" s="236"/>
    </row>
    <row r="5890" spans="1:25" ht="15" customHeight="1">
      <c r="A5890" s="91"/>
      <c r="B5890" s="91"/>
      <c r="C5890" s="220"/>
      <c r="D5890" s="91"/>
      <c r="E5890" s="221"/>
      <c r="F5890" s="91"/>
      <c r="G5890" s="91"/>
      <c r="H5890" s="242"/>
      <c r="I5890" s="223"/>
      <c r="J5890" s="57"/>
      <c r="K5890" s="153"/>
      <c r="L5890" s="153"/>
      <c r="M5890" s="243"/>
      <c r="N5890" s="234"/>
      <c r="O5890" s="235"/>
      <c r="P5890" s="236"/>
      <c r="Q5890" s="236"/>
      <c r="R5890" s="236"/>
      <c r="S5890" s="236"/>
      <c r="T5890" s="236"/>
      <c r="U5890" s="236"/>
      <c r="V5890" s="236"/>
      <c r="W5890" s="236"/>
      <c r="X5890" s="236"/>
      <c r="Y5890" s="236"/>
    </row>
    <row r="5891" spans="1:25" ht="15" customHeight="1">
      <c r="A5891" s="91"/>
      <c r="B5891" s="91"/>
      <c r="C5891" s="220"/>
      <c r="D5891" s="91"/>
      <c r="E5891" s="221"/>
      <c r="F5891" s="91"/>
      <c r="G5891" s="91"/>
      <c r="H5891" s="242"/>
      <c r="I5891" s="223"/>
      <c r="J5891" s="57"/>
      <c r="K5891" s="153"/>
      <c r="L5891" s="153"/>
      <c r="M5891" s="243"/>
      <c r="N5891" s="234"/>
      <c r="O5891" s="235"/>
      <c r="P5891" s="236"/>
      <c r="Q5891" s="236"/>
      <c r="R5891" s="236"/>
      <c r="S5891" s="236"/>
      <c r="T5891" s="236"/>
      <c r="U5891" s="236"/>
      <c r="V5891" s="236"/>
      <c r="W5891" s="236"/>
      <c r="X5891" s="236"/>
      <c r="Y5891" s="236"/>
    </row>
    <row r="5892" spans="1:25" ht="15" customHeight="1">
      <c r="A5892" s="91"/>
      <c r="B5892" s="91"/>
      <c r="C5892" s="220"/>
      <c r="D5892" s="91"/>
      <c r="E5892" s="221"/>
      <c r="F5892" s="91"/>
      <c r="G5892" s="91"/>
      <c r="H5892" s="242"/>
      <c r="I5892" s="223"/>
      <c r="J5892" s="57"/>
      <c r="K5892" s="153"/>
      <c r="L5892" s="153"/>
      <c r="M5892" s="243"/>
      <c r="N5892" s="234"/>
      <c r="O5892" s="235"/>
      <c r="P5892" s="236"/>
      <c r="Q5892" s="236"/>
      <c r="R5892" s="236"/>
      <c r="S5892" s="236"/>
      <c r="T5892" s="236"/>
      <c r="U5892" s="236"/>
      <c r="V5892" s="236"/>
      <c r="W5892" s="236"/>
      <c r="X5892" s="236"/>
      <c r="Y5892" s="236"/>
    </row>
    <row r="5893" spans="1:25" ht="15" customHeight="1">
      <c r="A5893" s="91"/>
      <c r="B5893" s="91"/>
      <c r="C5893" s="220"/>
      <c r="D5893" s="91"/>
      <c r="E5893" s="221"/>
      <c r="F5893" s="91"/>
      <c r="G5893" s="91"/>
      <c r="H5893" s="242"/>
      <c r="I5893" s="223"/>
      <c r="J5893" s="57"/>
      <c r="K5893" s="153"/>
      <c r="L5893" s="153"/>
      <c r="M5893" s="243"/>
      <c r="N5893" s="234"/>
      <c r="O5893" s="235"/>
      <c r="P5893" s="236"/>
      <c r="Q5893" s="236"/>
      <c r="R5893" s="236"/>
      <c r="S5893" s="236"/>
      <c r="T5893" s="236"/>
      <c r="U5893" s="236"/>
      <c r="V5893" s="236"/>
      <c r="W5893" s="236"/>
      <c r="X5893" s="236"/>
      <c r="Y5893" s="236"/>
    </row>
    <row r="5894" spans="1:25" ht="15" customHeight="1">
      <c r="A5894" s="91"/>
      <c r="B5894" s="91"/>
      <c r="C5894" s="220"/>
      <c r="D5894" s="91"/>
      <c r="E5894" s="221"/>
      <c r="F5894" s="91"/>
      <c r="G5894" s="91"/>
      <c r="H5894" s="242"/>
      <c r="I5894" s="223"/>
      <c r="J5894" s="57"/>
      <c r="K5894" s="153"/>
      <c r="L5894" s="153"/>
      <c r="M5894" s="243"/>
      <c r="N5894" s="234"/>
      <c r="O5894" s="235"/>
      <c r="P5894" s="236"/>
      <c r="Q5894" s="236"/>
      <c r="R5894" s="236"/>
      <c r="S5894" s="236"/>
      <c r="T5894" s="236"/>
      <c r="U5894" s="236"/>
      <c r="V5894" s="236"/>
      <c r="W5894" s="236"/>
      <c r="X5894" s="236"/>
      <c r="Y5894" s="236"/>
    </row>
    <row r="5895" spans="1:25" ht="15" customHeight="1">
      <c r="A5895" s="91"/>
      <c r="B5895" s="91"/>
      <c r="C5895" s="220"/>
      <c r="D5895" s="91"/>
      <c r="E5895" s="221"/>
      <c r="F5895" s="91"/>
      <c r="G5895" s="91"/>
      <c r="H5895" s="242"/>
      <c r="I5895" s="223"/>
      <c r="J5895" s="57"/>
      <c r="K5895" s="153"/>
      <c r="L5895" s="153"/>
      <c r="M5895" s="243"/>
      <c r="N5895" s="234"/>
      <c r="O5895" s="235"/>
      <c r="P5895" s="236"/>
      <c r="Q5895" s="236"/>
      <c r="R5895" s="236"/>
      <c r="S5895" s="236"/>
      <c r="T5895" s="236"/>
      <c r="U5895" s="236"/>
      <c r="V5895" s="236"/>
      <c r="W5895" s="236"/>
      <c r="X5895" s="236"/>
      <c r="Y5895" s="236"/>
    </row>
    <row r="5896" spans="1:25" ht="15" customHeight="1">
      <c r="A5896" s="91"/>
      <c r="B5896" s="91"/>
      <c r="C5896" s="220"/>
      <c r="D5896" s="91"/>
      <c r="E5896" s="221"/>
      <c r="F5896" s="91"/>
      <c r="G5896" s="91"/>
      <c r="H5896" s="242"/>
      <c r="I5896" s="223"/>
      <c r="J5896" s="57"/>
      <c r="K5896" s="153"/>
      <c r="L5896" s="153"/>
      <c r="M5896" s="243"/>
      <c r="N5896" s="234"/>
      <c r="O5896" s="235"/>
      <c r="P5896" s="236"/>
      <c r="Q5896" s="236"/>
      <c r="R5896" s="236"/>
      <c r="S5896" s="236"/>
      <c r="T5896" s="236"/>
      <c r="U5896" s="236"/>
      <c r="V5896" s="236"/>
      <c r="W5896" s="236"/>
      <c r="X5896" s="236"/>
      <c r="Y5896" s="236"/>
    </row>
    <row r="5897" spans="1:25" ht="15" customHeight="1">
      <c r="A5897" s="91"/>
      <c r="B5897" s="91"/>
      <c r="C5897" s="220"/>
      <c r="D5897" s="91"/>
      <c r="E5897" s="221"/>
      <c r="F5897" s="91"/>
      <c r="G5897" s="91"/>
      <c r="H5897" s="242"/>
      <c r="I5897" s="223"/>
      <c r="J5897" s="57"/>
      <c r="K5897" s="153"/>
      <c r="L5897" s="153"/>
      <c r="M5897" s="243"/>
      <c r="N5897" s="234"/>
      <c r="O5897" s="235"/>
      <c r="P5897" s="236"/>
      <c r="Q5897" s="236"/>
      <c r="R5897" s="236"/>
      <c r="S5897" s="236"/>
      <c r="T5897" s="236"/>
      <c r="U5897" s="236"/>
      <c r="V5897" s="236"/>
      <c r="W5897" s="236"/>
      <c r="X5897" s="236"/>
      <c r="Y5897" s="236"/>
    </row>
    <row r="5898" spans="1:25" ht="15" customHeight="1">
      <c r="A5898" s="91"/>
      <c r="B5898" s="91"/>
      <c r="C5898" s="220"/>
      <c r="D5898" s="91"/>
      <c r="E5898" s="221"/>
      <c r="F5898" s="91"/>
      <c r="G5898" s="91"/>
      <c r="H5898" s="242"/>
      <c r="I5898" s="223"/>
      <c r="J5898" s="57"/>
      <c r="K5898" s="153"/>
      <c r="L5898" s="153"/>
      <c r="M5898" s="243"/>
      <c r="N5898" s="234"/>
      <c r="O5898" s="235"/>
      <c r="P5898" s="236"/>
      <c r="Q5898" s="236"/>
      <c r="R5898" s="236"/>
      <c r="S5898" s="236"/>
      <c r="T5898" s="236"/>
      <c r="U5898" s="236"/>
      <c r="V5898" s="236"/>
      <c r="W5898" s="236"/>
      <c r="X5898" s="236"/>
      <c r="Y5898" s="236"/>
    </row>
    <row r="5899" spans="1:25" ht="15" customHeight="1">
      <c r="A5899" s="91"/>
      <c r="B5899" s="91"/>
      <c r="C5899" s="220"/>
      <c r="D5899" s="91"/>
      <c r="E5899" s="221"/>
      <c r="F5899" s="91"/>
      <c r="G5899" s="91"/>
      <c r="H5899" s="242"/>
      <c r="I5899" s="223"/>
      <c r="J5899" s="57"/>
      <c r="K5899" s="153"/>
      <c r="L5899" s="153"/>
      <c r="M5899" s="243"/>
      <c r="N5899" s="234"/>
      <c r="O5899" s="235"/>
      <c r="P5899" s="236"/>
      <c r="Q5899" s="236"/>
      <c r="R5899" s="236"/>
      <c r="S5899" s="236"/>
      <c r="T5899" s="236"/>
      <c r="U5899" s="236"/>
      <c r="V5899" s="236"/>
      <c r="W5899" s="236"/>
      <c r="X5899" s="236"/>
      <c r="Y5899" s="236"/>
    </row>
    <row r="5900" spans="1:25" ht="15" customHeight="1">
      <c r="A5900" s="91"/>
      <c r="B5900" s="91"/>
      <c r="C5900" s="220"/>
      <c r="D5900" s="91"/>
      <c r="E5900" s="221"/>
      <c r="F5900" s="91"/>
      <c r="G5900" s="91"/>
      <c r="H5900" s="242"/>
      <c r="I5900" s="223"/>
      <c r="J5900" s="57"/>
      <c r="K5900" s="153"/>
      <c r="L5900" s="153"/>
      <c r="M5900" s="243"/>
      <c r="N5900" s="234"/>
      <c r="O5900" s="235"/>
      <c r="P5900" s="236"/>
      <c r="Q5900" s="236"/>
      <c r="R5900" s="236"/>
      <c r="S5900" s="236"/>
      <c r="T5900" s="236"/>
      <c r="U5900" s="236"/>
      <c r="V5900" s="236"/>
      <c r="W5900" s="236"/>
      <c r="X5900" s="236"/>
      <c r="Y5900" s="236"/>
    </row>
    <row r="5901" spans="1:25" ht="15" customHeight="1">
      <c r="A5901" s="91"/>
      <c r="B5901" s="91"/>
      <c r="C5901" s="220"/>
      <c r="D5901" s="91"/>
      <c r="E5901" s="221"/>
      <c r="F5901" s="91"/>
      <c r="G5901" s="91"/>
      <c r="H5901" s="242"/>
      <c r="I5901" s="223"/>
      <c r="J5901" s="57"/>
      <c r="K5901" s="153"/>
      <c r="L5901" s="153"/>
      <c r="M5901" s="243"/>
      <c r="N5901" s="234"/>
      <c r="O5901" s="235"/>
      <c r="P5901" s="236"/>
      <c r="Q5901" s="236"/>
      <c r="R5901" s="236"/>
      <c r="S5901" s="236"/>
      <c r="T5901" s="236"/>
      <c r="U5901" s="236"/>
      <c r="V5901" s="236"/>
      <c r="W5901" s="236"/>
      <c r="X5901" s="236"/>
      <c r="Y5901" s="236"/>
    </row>
    <row r="5902" spans="1:25" ht="15" customHeight="1">
      <c r="A5902" s="91"/>
      <c r="B5902" s="91"/>
      <c r="C5902" s="220"/>
      <c r="D5902" s="91"/>
      <c r="E5902" s="221"/>
      <c r="F5902" s="91"/>
      <c r="G5902" s="91"/>
      <c r="H5902" s="242"/>
      <c r="I5902" s="223"/>
      <c r="J5902" s="57"/>
      <c r="K5902" s="153"/>
      <c r="L5902" s="153"/>
      <c r="M5902" s="243"/>
      <c r="N5902" s="234"/>
      <c r="O5902" s="235"/>
      <c r="P5902" s="236"/>
      <c r="Q5902" s="236"/>
      <c r="R5902" s="236"/>
      <c r="S5902" s="236"/>
      <c r="T5902" s="236"/>
      <c r="U5902" s="236"/>
      <c r="V5902" s="236"/>
      <c r="W5902" s="236"/>
      <c r="X5902" s="236"/>
      <c r="Y5902" s="236"/>
    </row>
    <row r="5903" spans="1:25" ht="15" customHeight="1">
      <c r="A5903" s="91"/>
      <c r="B5903" s="91"/>
      <c r="C5903" s="220"/>
      <c r="D5903" s="91"/>
      <c r="E5903" s="221"/>
      <c r="F5903" s="91"/>
      <c r="G5903" s="91"/>
      <c r="H5903" s="242"/>
      <c r="I5903" s="223"/>
      <c r="J5903" s="57"/>
      <c r="K5903" s="153"/>
      <c r="L5903" s="153"/>
      <c r="M5903" s="243"/>
      <c r="N5903" s="234"/>
      <c r="O5903" s="235"/>
      <c r="P5903" s="236"/>
      <c r="Q5903" s="236"/>
      <c r="R5903" s="236"/>
      <c r="S5903" s="236"/>
      <c r="T5903" s="236"/>
      <c r="U5903" s="236"/>
      <c r="V5903" s="236"/>
      <c r="W5903" s="236"/>
      <c r="X5903" s="236"/>
      <c r="Y5903" s="236"/>
    </row>
    <row r="5904" spans="1:25" ht="15" customHeight="1">
      <c r="A5904" s="91"/>
      <c r="B5904" s="91"/>
      <c r="C5904" s="220"/>
      <c r="D5904" s="91"/>
      <c r="E5904" s="221"/>
      <c r="F5904" s="91"/>
      <c r="G5904" s="91"/>
      <c r="H5904" s="242"/>
      <c r="I5904" s="223"/>
      <c r="J5904" s="57"/>
      <c r="K5904" s="153"/>
      <c r="L5904" s="153"/>
      <c r="M5904" s="243"/>
      <c r="N5904" s="234"/>
      <c r="O5904" s="235"/>
      <c r="P5904" s="236"/>
      <c r="Q5904" s="236"/>
      <c r="R5904" s="236"/>
      <c r="S5904" s="236"/>
      <c r="T5904" s="236"/>
      <c r="U5904" s="236"/>
      <c r="V5904" s="236"/>
      <c r="W5904" s="236"/>
      <c r="X5904" s="236"/>
      <c r="Y5904" s="236"/>
    </row>
    <row r="5905" spans="1:25" ht="15" customHeight="1">
      <c r="A5905" s="91"/>
      <c r="B5905" s="91"/>
      <c r="C5905" s="220"/>
      <c r="D5905" s="91"/>
      <c r="E5905" s="221"/>
      <c r="F5905" s="91"/>
      <c r="G5905" s="91"/>
      <c r="H5905" s="242"/>
      <c r="I5905" s="223"/>
      <c r="J5905" s="57"/>
      <c r="K5905" s="153"/>
      <c r="L5905" s="153"/>
      <c r="M5905" s="243"/>
      <c r="N5905" s="234"/>
      <c r="O5905" s="235"/>
      <c r="P5905" s="236"/>
      <c r="Q5905" s="236"/>
      <c r="R5905" s="236"/>
      <c r="S5905" s="236"/>
      <c r="T5905" s="236"/>
      <c r="U5905" s="236"/>
      <c r="V5905" s="236"/>
      <c r="W5905" s="236"/>
      <c r="X5905" s="236"/>
      <c r="Y5905" s="236"/>
    </row>
    <row r="5906" spans="1:25" ht="15" customHeight="1">
      <c r="A5906" s="91"/>
      <c r="B5906" s="91"/>
      <c r="C5906" s="220"/>
      <c r="D5906" s="91"/>
      <c r="E5906" s="221"/>
      <c r="F5906" s="91"/>
      <c r="G5906" s="91"/>
      <c r="H5906" s="242"/>
      <c r="I5906" s="223"/>
      <c r="J5906" s="57"/>
      <c r="K5906" s="153"/>
      <c r="L5906" s="153"/>
      <c r="M5906" s="243"/>
      <c r="N5906" s="234"/>
      <c r="O5906" s="235"/>
      <c r="P5906" s="236"/>
      <c r="Q5906" s="236"/>
      <c r="R5906" s="236"/>
      <c r="S5906" s="236"/>
      <c r="T5906" s="236"/>
      <c r="U5906" s="236"/>
      <c r="V5906" s="236"/>
      <c r="W5906" s="236"/>
      <c r="X5906" s="236"/>
      <c r="Y5906" s="236"/>
    </row>
    <row r="5907" spans="1:25" ht="15" customHeight="1">
      <c r="A5907" s="91"/>
      <c r="B5907" s="91"/>
      <c r="C5907" s="220"/>
      <c r="D5907" s="91"/>
      <c r="E5907" s="221"/>
      <c r="F5907" s="91"/>
      <c r="G5907" s="91"/>
      <c r="H5907" s="242"/>
      <c r="I5907" s="223"/>
      <c r="J5907" s="57"/>
      <c r="K5907" s="153"/>
      <c r="L5907" s="153"/>
      <c r="M5907" s="243"/>
      <c r="N5907" s="234"/>
      <c r="O5907" s="235"/>
      <c r="P5907" s="236"/>
      <c r="Q5907" s="236"/>
      <c r="R5907" s="236"/>
      <c r="S5907" s="236"/>
      <c r="T5907" s="236"/>
      <c r="U5907" s="236"/>
      <c r="V5907" s="236"/>
      <c r="W5907" s="236"/>
      <c r="X5907" s="236"/>
      <c r="Y5907" s="236"/>
    </row>
    <row r="5908" spans="1:25" ht="15" customHeight="1">
      <c r="A5908" s="91"/>
      <c r="B5908" s="91"/>
      <c r="C5908" s="220"/>
      <c r="D5908" s="91"/>
      <c r="E5908" s="221"/>
      <c r="F5908" s="91"/>
      <c r="G5908" s="91"/>
      <c r="H5908" s="242"/>
      <c r="I5908" s="223"/>
      <c r="J5908" s="57"/>
      <c r="K5908" s="153"/>
      <c r="L5908" s="153"/>
      <c r="M5908" s="243"/>
      <c r="N5908" s="234"/>
      <c r="O5908" s="235"/>
      <c r="P5908" s="236"/>
      <c r="Q5908" s="236"/>
      <c r="R5908" s="236"/>
      <c r="S5908" s="236"/>
      <c r="T5908" s="236"/>
      <c r="U5908" s="236"/>
      <c r="V5908" s="236"/>
      <c r="W5908" s="236"/>
      <c r="X5908" s="236"/>
      <c r="Y5908" s="236"/>
    </row>
    <row r="5909" spans="1:25" ht="15" customHeight="1">
      <c r="A5909" s="91"/>
      <c r="B5909" s="91"/>
      <c r="C5909" s="220"/>
      <c r="D5909" s="91"/>
      <c r="E5909" s="221"/>
      <c r="F5909" s="91"/>
      <c r="G5909" s="91"/>
      <c r="H5909" s="242"/>
      <c r="I5909" s="223"/>
      <c r="J5909" s="57"/>
      <c r="K5909" s="153"/>
      <c r="L5909" s="153"/>
      <c r="M5909" s="243"/>
      <c r="N5909" s="234"/>
      <c r="O5909" s="235"/>
      <c r="P5909" s="236"/>
      <c r="Q5909" s="236"/>
      <c r="R5909" s="236"/>
      <c r="S5909" s="236"/>
      <c r="T5909" s="236"/>
      <c r="U5909" s="236"/>
      <c r="V5909" s="236"/>
      <c r="W5909" s="236"/>
      <c r="X5909" s="236"/>
      <c r="Y5909" s="236"/>
    </row>
    <row r="5910" spans="1:25" ht="15" customHeight="1">
      <c r="A5910" s="91"/>
      <c r="B5910" s="91"/>
      <c r="C5910" s="220"/>
      <c r="D5910" s="91"/>
      <c r="E5910" s="221"/>
      <c r="F5910" s="91"/>
      <c r="G5910" s="91"/>
      <c r="H5910" s="242"/>
      <c r="I5910" s="223"/>
      <c r="J5910" s="57"/>
      <c r="K5910" s="153"/>
      <c r="L5910" s="153"/>
      <c r="M5910" s="243"/>
      <c r="N5910" s="234"/>
      <c r="O5910" s="235"/>
      <c r="P5910" s="236"/>
      <c r="Q5910" s="236"/>
      <c r="R5910" s="236"/>
      <c r="S5910" s="236"/>
      <c r="T5910" s="236"/>
      <c r="U5910" s="236"/>
      <c r="V5910" s="236"/>
      <c r="W5910" s="236"/>
      <c r="X5910" s="236"/>
      <c r="Y5910" s="236"/>
    </row>
    <row r="5911" spans="1:25" ht="15" customHeight="1">
      <c r="A5911" s="91"/>
      <c r="B5911" s="91"/>
      <c r="C5911" s="220"/>
      <c r="D5911" s="91"/>
      <c r="E5911" s="221"/>
      <c r="F5911" s="91"/>
      <c r="G5911" s="91"/>
      <c r="H5911" s="242"/>
      <c r="I5911" s="223"/>
      <c r="J5911" s="57"/>
      <c r="K5911" s="153"/>
      <c r="L5911" s="153"/>
      <c r="M5911" s="243"/>
      <c r="N5911" s="234"/>
      <c r="O5911" s="235"/>
      <c r="P5911" s="236"/>
      <c r="Q5911" s="236"/>
      <c r="R5911" s="236"/>
      <c r="S5911" s="236"/>
      <c r="T5911" s="236"/>
      <c r="U5911" s="236"/>
      <c r="V5911" s="236"/>
      <c r="W5911" s="236"/>
      <c r="X5911" s="236"/>
      <c r="Y5911" s="236"/>
    </row>
    <row r="5912" spans="1:25" ht="15" customHeight="1">
      <c r="A5912" s="91"/>
      <c r="B5912" s="91"/>
      <c r="C5912" s="220"/>
      <c r="D5912" s="91"/>
      <c r="E5912" s="221"/>
      <c r="F5912" s="91"/>
      <c r="G5912" s="91"/>
      <c r="H5912" s="242"/>
      <c r="I5912" s="223"/>
      <c r="J5912" s="57"/>
      <c r="K5912" s="153"/>
      <c r="L5912" s="153"/>
      <c r="M5912" s="243"/>
      <c r="N5912" s="234"/>
      <c r="O5912" s="235"/>
      <c r="P5912" s="236"/>
      <c r="Q5912" s="236"/>
      <c r="R5912" s="236"/>
      <c r="S5912" s="236"/>
      <c r="T5912" s="236"/>
      <c r="U5912" s="236"/>
      <c r="V5912" s="236"/>
      <c r="W5912" s="236"/>
      <c r="X5912" s="236"/>
      <c r="Y5912" s="236"/>
    </row>
    <row r="5913" spans="1:25" ht="15" customHeight="1">
      <c r="A5913" s="91"/>
      <c r="B5913" s="91"/>
      <c r="C5913" s="220"/>
      <c r="D5913" s="91"/>
      <c r="E5913" s="221"/>
      <c r="F5913" s="91"/>
      <c r="G5913" s="91"/>
      <c r="H5913" s="242"/>
      <c r="I5913" s="223"/>
      <c r="J5913" s="57"/>
      <c r="K5913" s="153"/>
      <c r="L5913" s="153"/>
      <c r="M5913" s="243"/>
      <c r="N5913" s="234"/>
      <c r="O5913" s="235"/>
      <c r="P5913" s="236"/>
      <c r="Q5913" s="236"/>
      <c r="R5913" s="236"/>
      <c r="S5913" s="236"/>
      <c r="T5913" s="236"/>
      <c r="U5913" s="236"/>
      <c r="V5913" s="236"/>
      <c r="W5913" s="236"/>
      <c r="X5913" s="236"/>
      <c r="Y5913" s="236"/>
    </row>
    <row r="5914" spans="1:25" ht="15" customHeight="1">
      <c r="A5914" s="91"/>
      <c r="B5914" s="91"/>
      <c r="C5914" s="220"/>
      <c r="D5914" s="91"/>
      <c r="E5914" s="221"/>
      <c r="F5914" s="91"/>
      <c r="G5914" s="91"/>
      <c r="H5914" s="242"/>
      <c r="I5914" s="223"/>
      <c r="J5914" s="57"/>
      <c r="K5914" s="153"/>
      <c r="L5914" s="153"/>
      <c r="M5914" s="243"/>
      <c r="N5914" s="234"/>
      <c r="O5914" s="235"/>
      <c r="P5914" s="236"/>
      <c r="Q5914" s="236"/>
      <c r="R5914" s="236"/>
      <c r="S5914" s="236"/>
      <c r="T5914" s="236"/>
      <c r="U5914" s="236"/>
      <c r="V5914" s="236"/>
      <c r="W5914" s="236"/>
      <c r="X5914" s="236"/>
      <c r="Y5914" s="236"/>
    </row>
    <row r="5915" spans="1:25" ht="15" customHeight="1">
      <c r="A5915" s="91"/>
      <c r="B5915" s="91"/>
      <c r="C5915" s="220"/>
      <c r="D5915" s="91"/>
      <c r="E5915" s="221"/>
      <c r="F5915" s="91"/>
      <c r="G5915" s="91"/>
      <c r="H5915" s="242"/>
      <c r="I5915" s="223"/>
      <c r="J5915" s="57"/>
      <c r="K5915" s="153"/>
      <c r="L5915" s="153"/>
      <c r="M5915" s="243"/>
      <c r="N5915" s="234"/>
      <c r="O5915" s="235"/>
      <c r="P5915" s="236"/>
      <c r="Q5915" s="236"/>
      <c r="R5915" s="236"/>
      <c r="S5915" s="236"/>
      <c r="T5915" s="236"/>
      <c r="U5915" s="236"/>
      <c r="V5915" s="236"/>
      <c r="W5915" s="236"/>
      <c r="X5915" s="236"/>
      <c r="Y5915" s="236"/>
    </row>
    <row r="5916" spans="1:25" ht="15" customHeight="1">
      <c r="A5916" s="91"/>
      <c r="B5916" s="91"/>
      <c r="C5916" s="220"/>
      <c r="D5916" s="91"/>
      <c r="E5916" s="221"/>
      <c r="F5916" s="91"/>
      <c r="G5916" s="91"/>
      <c r="H5916" s="242"/>
      <c r="I5916" s="223"/>
      <c r="J5916" s="57"/>
      <c r="K5916" s="153"/>
      <c r="L5916" s="153"/>
      <c r="M5916" s="243"/>
      <c r="N5916" s="234"/>
      <c r="O5916" s="235"/>
      <c r="P5916" s="236"/>
      <c r="Q5916" s="236"/>
      <c r="R5916" s="236"/>
      <c r="S5916" s="236"/>
      <c r="T5916" s="236"/>
      <c r="U5916" s="236"/>
      <c r="V5916" s="236"/>
      <c r="W5916" s="236"/>
      <c r="X5916" s="236"/>
      <c r="Y5916" s="236"/>
    </row>
    <row r="5917" spans="1:25" ht="15" customHeight="1">
      <c r="A5917" s="91"/>
      <c r="B5917" s="91"/>
      <c r="C5917" s="220"/>
      <c r="D5917" s="91"/>
      <c r="E5917" s="221"/>
      <c r="F5917" s="91"/>
      <c r="G5917" s="91"/>
      <c r="H5917" s="242"/>
      <c r="I5917" s="223"/>
      <c r="J5917" s="57"/>
      <c r="K5917" s="153"/>
      <c r="L5917" s="153"/>
      <c r="M5917" s="243"/>
      <c r="N5917" s="234"/>
      <c r="O5917" s="235"/>
      <c r="P5917" s="236"/>
      <c r="Q5917" s="236"/>
      <c r="R5917" s="236"/>
      <c r="S5917" s="236"/>
      <c r="T5917" s="236"/>
      <c r="U5917" s="236"/>
      <c r="V5917" s="236"/>
      <c r="W5917" s="236"/>
      <c r="X5917" s="236"/>
      <c r="Y5917" s="236"/>
    </row>
    <row r="5918" spans="1:25" ht="15" customHeight="1">
      <c r="A5918" s="91"/>
      <c r="B5918" s="91"/>
      <c r="C5918" s="220"/>
      <c r="D5918" s="91"/>
      <c r="E5918" s="221"/>
      <c r="F5918" s="91"/>
      <c r="G5918" s="91"/>
      <c r="H5918" s="242"/>
      <c r="I5918" s="223"/>
      <c r="J5918" s="57"/>
      <c r="K5918" s="153"/>
      <c r="L5918" s="153"/>
      <c r="M5918" s="243"/>
      <c r="N5918" s="234"/>
      <c r="O5918" s="235"/>
      <c r="P5918" s="236"/>
      <c r="Q5918" s="236"/>
      <c r="R5918" s="236"/>
      <c r="S5918" s="236"/>
      <c r="T5918" s="236"/>
      <c r="U5918" s="236"/>
      <c r="V5918" s="236"/>
      <c r="W5918" s="236"/>
      <c r="X5918" s="236"/>
      <c r="Y5918" s="236"/>
    </row>
    <row r="5919" spans="1:25" ht="15" customHeight="1">
      <c r="A5919" s="91"/>
      <c r="B5919" s="91"/>
      <c r="C5919" s="220"/>
      <c r="D5919" s="91"/>
      <c r="E5919" s="221"/>
      <c r="F5919" s="91"/>
      <c r="G5919" s="91"/>
      <c r="H5919" s="242"/>
      <c r="I5919" s="223"/>
      <c r="J5919" s="57"/>
      <c r="K5919" s="153"/>
      <c r="L5919" s="153"/>
      <c r="M5919" s="243"/>
      <c r="N5919" s="234"/>
      <c r="O5919" s="235"/>
      <c r="P5919" s="236"/>
      <c r="Q5919" s="236"/>
      <c r="R5919" s="236"/>
      <c r="S5919" s="236"/>
      <c r="T5919" s="236"/>
      <c r="U5919" s="236"/>
      <c r="V5919" s="236"/>
      <c r="W5919" s="236"/>
      <c r="X5919" s="236"/>
      <c r="Y5919" s="236"/>
    </row>
    <row r="5920" spans="1:25" ht="15" customHeight="1">
      <c r="A5920" s="91"/>
      <c r="B5920" s="91"/>
      <c r="C5920" s="220"/>
      <c r="D5920" s="91"/>
      <c r="E5920" s="221"/>
      <c r="F5920" s="91"/>
      <c r="G5920" s="91"/>
      <c r="H5920" s="242"/>
      <c r="I5920" s="223"/>
      <c r="J5920" s="57"/>
      <c r="K5920" s="153"/>
      <c r="L5920" s="153"/>
      <c r="M5920" s="243"/>
      <c r="N5920" s="234"/>
      <c r="O5920" s="235"/>
      <c r="P5920" s="236"/>
      <c r="Q5920" s="236"/>
      <c r="R5920" s="236"/>
      <c r="S5920" s="236"/>
      <c r="T5920" s="236"/>
      <c r="U5920" s="236"/>
      <c r="V5920" s="236"/>
      <c r="W5920" s="236"/>
      <c r="X5920" s="236"/>
      <c r="Y5920" s="236"/>
    </row>
    <row r="5921" spans="1:25" ht="15" customHeight="1">
      <c r="A5921" s="91"/>
      <c r="B5921" s="91"/>
      <c r="C5921" s="220"/>
      <c r="D5921" s="91"/>
      <c r="E5921" s="221"/>
      <c r="F5921" s="91"/>
      <c r="G5921" s="91"/>
      <c r="H5921" s="242"/>
      <c r="I5921" s="223"/>
      <c r="J5921" s="57"/>
      <c r="K5921" s="153"/>
      <c r="L5921" s="153"/>
      <c r="M5921" s="243"/>
      <c r="N5921" s="234"/>
      <c r="O5921" s="235"/>
      <c r="P5921" s="236"/>
      <c r="Q5921" s="236"/>
      <c r="R5921" s="236"/>
      <c r="S5921" s="236"/>
      <c r="T5921" s="236"/>
      <c r="U5921" s="236"/>
      <c r="V5921" s="236"/>
      <c r="W5921" s="236"/>
      <c r="X5921" s="236"/>
      <c r="Y5921" s="236"/>
    </row>
    <row r="5922" spans="1:25" ht="15" customHeight="1">
      <c r="A5922" s="91"/>
      <c r="B5922" s="91"/>
      <c r="C5922" s="220"/>
      <c r="D5922" s="91"/>
      <c r="E5922" s="221"/>
      <c r="F5922" s="91"/>
      <c r="G5922" s="91"/>
      <c r="H5922" s="242"/>
      <c r="I5922" s="223"/>
      <c r="J5922" s="57"/>
      <c r="K5922" s="153"/>
      <c r="L5922" s="153"/>
      <c r="M5922" s="243"/>
      <c r="N5922" s="234"/>
      <c r="O5922" s="235"/>
      <c r="P5922" s="236"/>
      <c r="Q5922" s="236"/>
      <c r="R5922" s="236"/>
      <c r="S5922" s="236"/>
      <c r="T5922" s="236"/>
      <c r="U5922" s="236"/>
      <c r="V5922" s="236"/>
      <c r="W5922" s="236"/>
      <c r="X5922" s="236"/>
      <c r="Y5922" s="236"/>
    </row>
    <row r="5923" spans="1:25" ht="15" customHeight="1">
      <c r="A5923" s="91"/>
      <c r="B5923" s="91"/>
      <c r="C5923" s="220"/>
      <c r="D5923" s="91"/>
      <c r="E5923" s="221"/>
      <c r="F5923" s="91"/>
      <c r="G5923" s="91"/>
      <c r="H5923" s="242"/>
      <c r="I5923" s="223"/>
      <c r="J5923" s="57"/>
      <c r="K5923" s="153"/>
      <c r="L5923" s="153"/>
      <c r="M5923" s="243"/>
      <c r="N5923" s="234"/>
      <c r="O5923" s="235"/>
      <c r="P5923" s="236"/>
      <c r="Q5923" s="236"/>
      <c r="R5923" s="236"/>
      <c r="S5923" s="236"/>
      <c r="T5923" s="236"/>
      <c r="U5923" s="236"/>
      <c r="V5923" s="236"/>
      <c r="W5923" s="236"/>
      <c r="X5923" s="236"/>
      <c r="Y5923" s="236"/>
    </row>
    <row r="5924" spans="1:25" ht="15" customHeight="1">
      <c r="A5924" s="91"/>
      <c r="B5924" s="91"/>
      <c r="C5924" s="220"/>
      <c r="D5924" s="91"/>
      <c r="E5924" s="221"/>
      <c r="F5924" s="91"/>
      <c r="G5924" s="91"/>
      <c r="H5924" s="242"/>
      <c r="I5924" s="223"/>
      <c r="J5924" s="57"/>
      <c r="K5924" s="153"/>
      <c r="L5924" s="153"/>
      <c r="M5924" s="243"/>
      <c r="N5924" s="234"/>
      <c r="O5924" s="235"/>
      <c r="P5924" s="236"/>
      <c r="Q5924" s="236"/>
      <c r="R5924" s="236"/>
      <c r="S5924" s="236"/>
      <c r="T5924" s="236"/>
      <c r="U5924" s="236"/>
      <c r="V5924" s="236"/>
      <c r="W5924" s="236"/>
      <c r="X5924" s="236"/>
      <c r="Y5924" s="236"/>
    </row>
    <row r="5925" spans="1:25" ht="15" customHeight="1">
      <c r="A5925" s="91"/>
      <c r="B5925" s="91"/>
      <c r="C5925" s="220"/>
      <c r="D5925" s="91"/>
      <c r="E5925" s="221"/>
      <c r="F5925" s="91"/>
      <c r="G5925" s="91"/>
      <c r="H5925" s="242"/>
      <c r="I5925" s="223"/>
      <c r="J5925" s="57"/>
      <c r="K5925" s="153"/>
      <c r="L5925" s="153"/>
      <c r="M5925" s="243"/>
      <c r="N5925" s="234"/>
      <c r="O5925" s="235"/>
      <c r="P5925" s="236"/>
      <c r="Q5925" s="236"/>
      <c r="R5925" s="236"/>
      <c r="S5925" s="236"/>
      <c r="T5925" s="236"/>
      <c r="U5925" s="236"/>
      <c r="V5925" s="236"/>
      <c r="W5925" s="236"/>
      <c r="X5925" s="236"/>
      <c r="Y5925" s="236"/>
    </row>
    <row r="5926" spans="1:25" ht="15" customHeight="1">
      <c r="A5926" s="91"/>
      <c r="B5926" s="91"/>
      <c r="C5926" s="220"/>
      <c r="D5926" s="91"/>
      <c r="E5926" s="221"/>
      <c r="F5926" s="91"/>
      <c r="G5926" s="91"/>
      <c r="H5926" s="242"/>
      <c r="I5926" s="223"/>
      <c r="J5926" s="57"/>
      <c r="K5926" s="153"/>
      <c r="L5926" s="153"/>
      <c r="M5926" s="243"/>
      <c r="N5926" s="234"/>
      <c r="O5926" s="235"/>
      <c r="P5926" s="236"/>
      <c r="Q5926" s="236"/>
      <c r="R5926" s="236"/>
      <c r="S5926" s="236"/>
      <c r="T5926" s="236"/>
      <c r="U5926" s="236"/>
      <c r="V5926" s="236"/>
      <c r="W5926" s="236"/>
      <c r="X5926" s="236"/>
      <c r="Y5926" s="236"/>
    </row>
    <row r="5927" spans="1:25" ht="15" customHeight="1">
      <c r="A5927" s="91"/>
      <c r="B5927" s="91"/>
      <c r="C5927" s="220"/>
      <c r="D5927" s="91"/>
      <c r="E5927" s="221"/>
      <c r="F5927" s="91"/>
      <c r="G5927" s="91"/>
      <c r="H5927" s="242"/>
      <c r="I5927" s="223"/>
      <c r="J5927" s="57"/>
      <c r="K5927" s="153"/>
      <c r="L5927" s="153"/>
      <c r="M5927" s="243"/>
      <c r="N5927" s="234"/>
      <c r="O5927" s="235"/>
      <c r="P5927" s="236"/>
      <c r="Q5927" s="236"/>
      <c r="R5927" s="236"/>
      <c r="S5927" s="236"/>
      <c r="T5927" s="236"/>
      <c r="U5927" s="236"/>
      <c r="V5927" s="236"/>
      <c r="W5927" s="236"/>
      <c r="X5927" s="236"/>
      <c r="Y5927" s="236"/>
    </row>
    <row r="5928" spans="1:25" ht="15" customHeight="1">
      <c r="A5928" s="91"/>
      <c r="B5928" s="91"/>
      <c r="C5928" s="220"/>
      <c r="D5928" s="91"/>
      <c r="E5928" s="221"/>
      <c r="F5928" s="91"/>
      <c r="G5928" s="91"/>
      <c r="H5928" s="242"/>
      <c r="I5928" s="223"/>
      <c r="J5928" s="57"/>
      <c r="K5928" s="153"/>
      <c r="L5928" s="153"/>
      <c r="M5928" s="243"/>
      <c r="N5928" s="234"/>
      <c r="O5928" s="235"/>
      <c r="P5928" s="236"/>
      <c r="Q5928" s="236"/>
      <c r="R5928" s="236"/>
      <c r="S5928" s="236"/>
      <c r="T5928" s="236"/>
      <c r="U5928" s="236"/>
      <c r="V5928" s="236"/>
      <c r="W5928" s="236"/>
      <c r="X5928" s="236"/>
      <c r="Y5928" s="236"/>
    </row>
    <row r="5929" spans="1:25" ht="15" customHeight="1">
      <c r="A5929" s="91"/>
      <c r="B5929" s="91"/>
      <c r="C5929" s="220"/>
      <c r="D5929" s="91"/>
      <c r="E5929" s="221"/>
      <c r="F5929" s="91"/>
      <c r="G5929" s="91"/>
      <c r="H5929" s="242"/>
      <c r="I5929" s="223"/>
      <c r="J5929" s="57"/>
      <c r="K5929" s="153"/>
      <c r="L5929" s="153"/>
      <c r="M5929" s="243"/>
      <c r="N5929" s="234"/>
      <c r="O5929" s="235"/>
      <c r="P5929" s="236"/>
      <c r="Q5929" s="236"/>
      <c r="R5929" s="236"/>
      <c r="S5929" s="236"/>
      <c r="T5929" s="236"/>
      <c r="U5929" s="236"/>
      <c r="V5929" s="236"/>
      <c r="W5929" s="236"/>
      <c r="X5929" s="236"/>
      <c r="Y5929" s="236"/>
    </row>
    <row r="5930" spans="1:25" ht="15" customHeight="1">
      <c r="A5930" s="91"/>
      <c r="B5930" s="91"/>
      <c r="C5930" s="220"/>
      <c r="D5930" s="91"/>
      <c r="E5930" s="221"/>
      <c r="F5930" s="91"/>
      <c r="G5930" s="91"/>
      <c r="H5930" s="242"/>
      <c r="I5930" s="223"/>
      <c r="J5930" s="57"/>
      <c r="K5930" s="153"/>
      <c r="L5930" s="153"/>
      <c r="M5930" s="243"/>
      <c r="N5930" s="234"/>
      <c r="O5930" s="235"/>
      <c r="P5930" s="236"/>
      <c r="Q5930" s="236"/>
      <c r="R5930" s="236"/>
      <c r="S5930" s="236"/>
      <c r="T5930" s="236"/>
      <c r="U5930" s="236"/>
      <c r="V5930" s="236"/>
      <c r="W5930" s="236"/>
      <c r="X5930" s="236"/>
      <c r="Y5930" s="236"/>
    </row>
    <row r="5931" spans="1:25" ht="15" customHeight="1">
      <c r="A5931" s="91"/>
      <c r="B5931" s="91"/>
      <c r="C5931" s="220"/>
      <c r="D5931" s="91"/>
      <c r="E5931" s="221"/>
      <c r="F5931" s="91"/>
      <c r="G5931" s="91"/>
      <c r="H5931" s="242"/>
      <c r="I5931" s="223"/>
      <c r="J5931" s="57"/>
      <c r="K5931" s="153"/>
      <c r="L5931" s="153"/>
      <c r="M5931" s="243"/>
      <c r="N5931" s="234"/>
      <c r="O5931" s="235"/>
      <c r="P5931" s="236"/>
      <c r="Q5931" s="236"/>
      <c r="R5931" s="236"/>
      <c r="S5931" s="236"/>
      <c r="T5931" s="236"/>
      <c r="U5931" s="236"/>
      <c r="V5931" s="236"/>
      <c r="W5931" s="236"/>
      <c r="X5931" s="236"/>
      <c r="Y5931" s="236"/>
    </row>
    <row r="5932" spans="1:25" ht="15" customHeight="1">
      <c r="A5932" s="91"/>
      <c r="B5932" s="91"/>
      <c r="C5932" s="220"/>
      <c r="D5932" s="91"/>
      <c r="E5932" s="221"/>
      <c r="F5932" s="91"/>
      <c r="G5932" s="91"/>
      <c r="H5932" s="242"/>
      <c r="I5932" s="223"/>
      <c r="J5932" s="57"/>
      <c r="K5932" s="153"/>
      <c r="L5932" s="153"/>
      <c r="M5932" s="243"/>
      <c r="N5932" s="234"/>
      <c r="O5932" s="235"/>
      <c r="P5932" s="236"/>
      <c r="Q5932" s="236"/>
      <c r="R5932" s="236"/>
      <c r="S5932" s="236"/>
      <c r="T5932" s="236"/>
      <c r="U5932" s="236"/>
      <c r="V5932" s="236"/>
      <c r="W5932" s="236"/>
      <c r="X5932" s="236"/>
      <c r="Y5932" s="236"/>
    </row>
    <row r="5933" spans="1:25" ht="15" customHeight="1">
      <c r="A5933" s="91"/>
      <c r="B5933" s="91"/>
      <c r="C5933" s="220"/>
      <c r="D5933" s="91"/>
      <c r="E5933" s="221"/>
      <c r="F5933" s="91"/>
      <c r="G5933" s="91"/>
      <c r="H5933" s="242"/>
      <c r="I5933" s="223"/>
      <c r="J5933" s="57"/>
      <c r="K5933" s="153"/>
      <c r="L5933" s="153"/>
      <c r="M5933" s="243"/>
      <c r="N5933" s="234"/>
      <c r="O5933" s="235"/>
      <c r="P5933" s="236"/>
      <c r="Q5933" s="236"/>
      <c r="R5933" s="236"/>
      <c r="S5933" s="236"/>
      <c r="T5933" s="236"/>
      <c r="U5933" s="236"/>
      <c r="V5933" s="236"/>
      <c r="W5933" s="236"/>
      <c r="X5933" s="236"/>
      <c r="Y5933" s="236"/>
    </row>
    <row r="5934" spans="1:25" ht="15" customHeight="1">
      <c r="A5934" s="91"/>
      <c r="B5934" s="91"/>
      <c r="C5934" s="220"/>
      <c r="D5934" s="91"/>
      <c r="E5934" s="221"/>
      <c r="F5934" s="91"/>
      <c r="G5934" s="91"/>
      <c r="H5934" s="242"/>
      <c r="I5934" s="223"/>
      <c r="J5934" s="57"/>
      <c r="K5934" s="153"/>
      <c r="L5934" s="153"/>
      <c r="M5934" s="243"/>
      <c r="N5934" s="234"/>
      <c r="O5934" s="235"/>
      <c r="P5934" s="236"/>
      <c r="Q5934" s="236"/>
      <c r="R5934" s="236"/>
      <c r="S5934" s="236"/>
      <c r="T5934" s="236"/>
      <c r="U5934" s="236"/>
      <c r="V5934" s="236"/>
      <c r="W5934" s="236"/>
      <c r="X5934" s="236"/>
      <c r="Y5934" s="236"/>
    </row>
    <row r="5935" spans="1:25" ht="15" customHeight="1">
      <c r="A5935" s="91"/>
      <c r="B5935" s="91"/>
      <c r="C5935" s="220"/>
      <c r="D5935" s="91"/>
      <c r="E5935" s="221"/>
      <c r="F5935" s="91"/>
      <c r="G5935" s="91"/>
      <c r="H5935" s="242"/>
      <c r="I5935" s="223"/>
      <c r="J5935" s="57"/>
      <c r="K5935" s="153"/>
      <c r="L5935" s="153"/>
      <c r="M5935" s="243"/>
      <c r="N5935" s="234"/>
      <c r="O5935" s="235"/>
      <c r="P5935" s="236"/>
      <c r="Q5935" s="236"/>
      <c r="R5935" s="236"/>
      <c r="S5935" s="236"/>
      <c r="T5935" s="236"/>
      <c r="U5935" s="236"/>
      <c r="V5935" s="236"/>
      <c r="W5935" s="236"/>
      <c r="X5935" s="236"/>
      <c r="Y5935" s="236"/>
    </row>
    <row r="5936" spans="1:25" ht="15" customHeight="1">
      <c r="A5936" s="91"/>
      <c r="B5936" s="91"/>
      <c r="C5936" s="220"/>
      <c r="D5936" s="91"/>
      <c r="E5936" s="221"/>
      <c r="F5936" s="91"/>
      <c r="G5936" s="91"/>
      <c r="H5936" s="242"/>
      <c r="I5936" s="223"/>
      <c r="J5936" s="57"/>
      <c r="K5936" s="153"/>
      <c r="L5936" s="153"/>
      <c r="M5936" s="243"/>
      <c r="N5936" s="234"/>
      <c r="O5936" s="235"/>
      <c r="P5936" s="236"/>
      <c r="Q5936" s="236"/>
      <c r="R5936" s="236"/>
      <c r="S5936" s="236"/>
      <c r="T5936" s="236"/>
      <c r="U5936" s="236"/>
      <c r="V5936" s="236"/>
      <c r="W5936" s="236"/>
      <c r="X5936" s="236"/>
      <c r="Y5936" s="236"/>
    </row>
    <row r="5937" spans="1:25" ht="15" customHeight="1">
      <c r="A5937" s="91"/>
      <c r="B5937" s="91"/>
      <c r="C5937" s="220"/>
      <c r="D5937" s="91"/>
      <c r="E5937" s="221"/>
      <c r="F5937" s="91"/>
      <c r="G5937" s="91"/>
      <c r="H5937" s="242"/>
      <c r="I5937" s="223"/>
      <c r="J5937" s="57"/>
      <c r="K5937" s="153"/>
      <c r="L5937" s="153"/>
      <c r="M5937" s="243"/>
      <c r="N5937" s="234"/>
      <c r="O5937" s="235"/>
      <c r="P5937" s="236"/>
      <c r="Q5937" s="236"/>
      <c r="R5937" s="236"/>
      <c r="S5937" s="236"/>
      <c r="T5937" s="236"/>
      <c r="U5937" s="236"/>
      <c r="V5937" s="236"/>
      <c r="W5937" s="236"/>
      <c r="X5937" s="236"/>
      <c r="Y5937" s="236"/>
    </row>
    <row r="5938" spans="1:25" ht="15" customHeight="1">
      <c r="A5938" s="91"/>
      <c r="B5938" s="91"/>
      <c r="C5938" s="220"/>
      <c r="D5938" s="91"/>
      <c r="E5938" s="221"/>
      <c r="F5938" s="91"/>
      <c r="G5938" s="91"/>
      <c r="H5938" s="242"/>
      <c r="I5938" s="223"/>
      <c r="J5938" s="57"/>
      <c r="K5938" s="153"/>
      <c r="L5938" s="153"/>
      <c r="M5938" s="243"/>
      <c r="N5938" s="234"/>
      <c r="O5938" s="235"/>
      <c r="P5938" s="236"/>
      <c r="Q5938" s="236"/>
      <c r="R5938" s="236"/>
      <c r="S5938" s="236"/>
      <c r="T5938" s="236"/>
      <c r="U5938" s="236"/>
      <c r="V5938" s="236"/>
      <c r="W5938" s="236"/>
      <c r="X5938" s="236"/>
      <c r="Y5938" s="236"/>
    </row>
    <row r="5939" spans="1:25" ht="15" customHeight="1">
      <c r="A5939" s="91"/>
      <c r="B5939" s="91"/>
      <c r="C5939" s="220"/>
      <c r="D5939" s="91"/>
      <c r="E5939" s="221"/>
      <c r="F5939" s="91"/>
      <c r="G5939" s="91"/>
      <c r="H5939" s="242"/>
      <c r="I5939" s="223"/>
      <c r="J5939" s="57"/>
      <c r="K5939" s="153"/>
      <c r="L5939" s="153"/>
      <c r="M5939" s="243"/>
      <c r="N5939" s="234"/>
      <c r="O5939" s="235"/>
      <c r="P5939" s="236"/>
      <c r="Q5939" s="236"/>
      <c r="R5939" s="236"/>
      <c r="S5939" s="236"/>
      <c r="T5939" s="236"/>
      <c r="U5939" s="236"/>
      <c r="V5939" s="236"/>
      <c r="W5939" s="236"/>
      <c r="X5939" s="236"/>
      <c r="Y5939" s="236"/>
    </row>
    <row r="5940" spans="1:25" ht="15" customHeight="1">
      <c r="A5940" s="91"/>
      <c r="B5940" s="91"/>
      <c r="C5940" s="220"/>
      <c r="D5940" s="91"/>
      <c r="E5940" s="221"/>
      <c r="F5940" s="91"/>
      <c r="G5940" s="91"/>
      <c r="H5940" s="242"/>
      <c r="I5940" s="223"/>
      <c r="J5940" s="57"/>
      <c r="K5940" s="153"/>
      <c r="L5940" s="153"/>
      <c r="M5940" s="243"/>
      <c r="N5940" s="234"/>
      <c r="O5940" s="235"/>
      <c r="P5940" s="236"/>
      <c r="Q5940" s="236"/>
      <c r="R5940" s="236"/>
      <c r="S5940" s="236"/>
      <c r="T5940" s="236"/>
      <c r="U5940" s="236"/>
      <c r="V5940" s="236"/>
      <c r="W5940" s="236"/>
      <c r="X5940" s="236"/>
      <c r="Y5940" s="236"/>
    </row>
    <row r="5941" spans="1:25" ht="15" customHeight="1">
      <c r="A5941" s="91"/>
      <c r="B5941" s="91"/>
      <c r="C5941" s="220"/>
      <c r="D5941" s="91"/>
      <c r="E5941" s="221"/>
      <c r="F5941" s="91"/>
      <c r="G5941" s="91"/>
      <c r="H5941" s="242"/>
      <c r="I5941" s="223"/>
      <c r="J5941" s="57"/>
      <c r="K5941" s="153"/>
      <c r="L5941" s="153"/>
      <c r="M5941" s="243"/>
      <c r="N5941" s="234"/>
      <c r="O5941" s="235"/>
      <c r="P5941" s="236"/>
      <c r="Q5941" s="236"/>
      <c r="R5941" s="236"/>
      <c r="S5941" s="236"/>
      <c r="T5941" s="236"/>
      <c r="U5941" s="236"/>
      <c r="V5941" s="236"/>
      <c r="W5941" s="236"/>
      <c r="X5941" s="236"/>
      <c r="Y5941" s="236"/>
    </row>
    <row r="5942" spans="1:25" ht="15" customHeight="1">
      <c r="A5942" s="91"/>
      <c r="B5942" s="91"/>
      <c r="C5942" s="220"/>
      <c r="D5942" s="91"/>
      <c r="E5942" s="221"/>
      <c r="F5942" s="91"/>
      <c r="G5942" s="91"/>
      <c r="H5942" s="242"/>
      <c r="I5942" s="223"/>
      <c r="J5942" s="57"/>
      <c r="K5942" s="153"/>
      <c r="L5942" s="153"/>
      <c r="M5942" s="243"/>
      <c r="N5942" s="234"/>
      <c r="O5942" s="235"/>
      <c r="P5942" s="236"/>
      <c r="Q5942" s="236"/>
      <c r="R5942" s="236"/>
      <c r="S5942" s="236"/>
      <c r="T5942" s="236"/>
      <c r="U5942" s="236"/>
      <c r="V5942" s="236"/>
      <c r="W5942" s="236"/>
      <c r="X5942" s="236"/>
      <c r="Y5942" s="236"/>
    </row>
    <row r="5943" spans="1:25" ht="15" customHeight="1">
      <c r="A5943" s="91"/>
      <c r="B5943" s="91"/>
      <c r="C5943" s="220"/>
      <c r="D5943" s="91"/>
      <c r="E5943" s="221"/>
      <c r="F5943" s="91"/>
      <c r="G5943" s="91"/>
      <c r="H5943" s="242"/>
      <c r="I5943" s="223"/>
      <c r="J5943" s="57"/>
      <c r="K5943" s="153"/>
      <c r="L5943" s="153"/>
      <c r="M5943" s="243"/>
      <c r="N5943" s="234"/>
      <c r="O5943" s="235"/>
      <c r="P5943" s="236"/>
      <c r="Q5943" s="236"/>
      <c r="R5943" s="236"/>
      <c r="S5943" s="236"/>
      <c r="T5943" s="236"/>
      <c r="U5943" s="236"/>
      <c r="V5943" s="236"/>
      <c r="W5943" s="236"/>
      <c r="X5943" s="236"/>
      <c r="Y5943" s="236"/>
    </row>
    <row r="5944" spans="1:25" ht="15" customHeight="1">
      <c r="A5944" s="91"/>
      <c r="B5944" s="91"/>
      <c r="C5944" s="220"/>
      <c r="D5944" s="91"/>
      <c r="E5944" s="221"/>
      <c r="F5944" s="91"/>
      <c r="G5944" s="91"/>
      <c r="H5944" s="242"/>
      <c r="I5944" s="223"/>
      <c r="J5944" s="57"/>
      <c r="K5944" s="153"/>
      <c r="L5944" s="153"/>
      <c r="M5944" s="243"/>
      <c r="N5944" s="234"/>
      <c r="O5944" s="235"/>
      <c r="P5944" s="236"/>
      <c r="Q5944" s="236"/>
      <c r="R5944" s="236"/>
      <c r="S5944" s="236"/>
      <c r="T5944" s="236"/>
      <c r="U5944" s="236"/>
      <c r="V5944" s="236"/>
      <c r="W5944" s="236"/>
      <c r="X5944" s="236"/>
      <c r="Y5944" s="236"/>
    </row>
    <row r="5945" spans="1:25" ht="15" customHeight="1">
      <c r="A5945" s="91"/>
      <c r="B5945" s="91"/>
      <c r="C5945" s="220"/>
      <c r="D5945" s="91"/>
      <c r="E5945" s="221"/>
      <c r="F5945" s="91"/>
      <c r="G5945" s="91"/>
      <c r="H5945" s="242"/>
      <c r="I5945" s="223"/>
      <c r="J5945" s="57"/>
      <c r="K5945" s="153"/>
      <c r="L5945" s="153"/>
      <c r="M5945" s="243"/>
      <c r="N5945" s="234"/>
      <c r="O5945" s="235"/>
      <c r="P5945" s="236"/>
      <c r="Q5945" s="236"/>
      <c r="R5945" s="236"/>
      <c r="S5945" s="236"/>
      <c r="T5945" s="236"/>
      <c r="U5945" s="236"/>
      <c r="V5945" s="236"/>
      <c r="W5945" s="236"/>
      <c r="X5945" s="236"/>
      <c r="Y5945" s="236"/>
    </row>
    <row r="5946" spans="1:25" ht="15" customHeight="1">
      <c r="A5946" s="91"/>
      <c r="B5946" s="91"/>
      <c r="C5946" s="220"/>
      <c r="D5946" s="91"/>
      <c r="E5946" s="221"/>
      <c r="F5946" s="91"/>
      <c r="G5946" s="91"/>
      <c r="H5946" s="242"/>
      <c r="I5946" s="223"/>
      <c r="J5946" s="57"/>
      <c r="K5946" s="153"/>
      <c r="L5946" s="153"/>
      <c r="M5946" s="243"/>
      <c r="N5946" s="234"/>
      <c r="O5946" s="235"/>
      <c r="P5946" s="236"/>
      <c r="Q5946" s="236"/>
      <c r="R5946" s="236"/>
      <c r="S5946" s="236"/>
      <c r="T5946" s="236"/>
      <c r="U5946" s="236"/>
      <c r="V5946" s="236"/>
      <c r="W5946" s="236"/>
      <c r="X5946" s="236"/>
      <c r="Y5946" s="236"/>
    </row>
    <row r="5947" spans="1:25" ht="15" customHeight="1">
      <c r="A5947" s="91"/>
      <c r="B5947" s="91"/>
      <c r="C5947" s="220"/>
      <c r="D5947" s="91"/>
      <c r="E5947" s="221"/>
      <c r="F5947" s="91"/>
      <c r="G5947" s="91"/>
      <c r="H5947" s="242"/>
      <c r="I5947" s="223"/>
      <c r="J5947" s="57"/>
      <c r="K5947" s="153"/>
      <c r="L5947" s="153"/>
      <c r="M5947" s="243"/>
      <c r="N5947" s="234"/>
      <c r="O5947" s="235"/>
      <c r="P5947" s="236"/>
      <c r="Q5947" s="236"/>
      <c r="R5947" s="236"/>
      <c r="S5947" s="236"/>
      <c r="T5947" s="236"/>
      <c r="U5947" s="236"/>
      <c r="V5947" s="236"/>
      <c r="W5947" s="236"/>
      <c r="X5947" s="236"/>
      <c r="Y5947" s="236"/>
    </row>
    <row r="5948" spans="1:25" ht="15" customHeight="1">
      <c r="A5948" s="91"/>
      <c r="B5948" s="91"/>
      <c r="C5948" s="220"/>
      <c r="D5948" s="91"/>
      <c r="E5948" s="221"/>
      <c r="F5948" s="91"/>
      <c r="G5948" s="91"/>
      <c r="H5948" s="242"/>
      <c r="I5948" s="223"/>
      <c r="J5948" s="57"/>
      <c r="K5948" s="153"/>
      <c r="L5948" s="153"/>
      <c r="M5948" s="243"/>
      <c r="N5948" s="234"/>
      <c r="O5948" s="235"/>
      <c r="P5948" s="236"/>
      <c r="Q5948" s="236"/>
      <c r="R5948" s="236"/>
      <c r="S5948" s="236"/>
      <c r="T5948" s="236"/>
      <c r="U5948" s="236"/>
      <c r="V5948" s="236"/>
      <c r="W5948" s="236"/>
      <c r="X5948" s="236"/>
      <c r="Y5948" s="236"/>
    </row>
    <row r="5949" spans="1:25" ht="15" customHeight="1">
      <c r="A5949" s="91"/>
      <c r="B5949" s="91"/>
      <c r="C5949" s="220"/>
      <c r="D5949" s="91"/>
      <c r="E5949" s="221"/>
      <c r="F5949" s="91"/>
      <c r="G5949" s="91"/>
      <c r="H5949" s="242"/>
      <c r="I5949" s="223"/>
      <c r="J5949" s="57"/>
      <c r="K5949" s="153"/>
      <c r="L5949" s="153"/>
      <c r="M5949" s="243"/>
      <c r="N5949" s="234"/>
      <c r="O5949" s="235"/>
      <c r="P5949" s="236"/>
      <c r="Q5949" s="236"/>
      <c r="R5949" s="236"/>
      <c r="S5949" s="236"/>
      <c r="T5949" s="236"/>
      <c r="U5949" s="236"/>
      <c r="V5949" s="236"/>
      <c r="W5949" s="236"/>
      <c r="X5949" s="236"/>
      <c r="Y5949" s="236"/>
    </row>
    <row r="5950" spans="1:25" ht="15" customHeight="1">
      <c r="A5950" s="91"/>
      <c r="B5950" s="91"/>
      <c r="C5950" s="220"/>
      <c r="D5950" s="91"/>
      <c r="E5950" s="221"/>
      <c r="F5950" s="91"/>
      <c r="G5950" s="91"/>
      <c r="H5950" s="242"/>
      <c r="I5950" s="223"/>
      <c r="J5950" s="57"/>
      <c r="K5950" s="153"/>
      <c r="L5950" s="153"/>
      <c r="M5950" s="243"/>
      <c r="N5950" s="234"/>
      <c r="O5950" s="235"/>
      <c r="P5950" s="236"/>
      <c r="Q5950" s="236"/>
      <c r="R5950" s="236"/>
      <c r="S5950" s="236"/>
      <c r="T5950" s="236"/>
      <c r="U5950" s="236"/>
      <c r="V5950" s="236"/>
      <c r="W5950" s="236"/>
      <c r="X5950" s="236"/>
      <c r="Y5950" s="236"/>
    </row>
    <row r="5951" spans="1:25" ht="15" customHeight="1">
      <c r="A5951" s="91"/>
      <c r="B5951" s="91"/>
      <c r="C5951" s="220"/>
      <c r="D5951" s="91"/>
      <c r="E5951" s="221"/>
      <c r="F5951" s="91"/>
      <c r="G5951" s="91"/>
      <c r="H5951" s="242"/>
      <c r="I5951" s="223"/>
      <c r="J5951" s="57"/>
      <c r="K5951" s="153"/>
      <c r="L5951" s="153"/>
      <c r="M5951" s="243"/>
      <c r="N5951" s="234"/>
      <c r="O5951" s="235"/>
      <c r="P5951" s="236"/>
      <c r="Q5951" s="236"/>
      <c r="R5951" s="236"/>
      <c r="S5951" s="236"/>
      <c r="T5951" s="236"/>
      <c r="U5951" s="236"/>
      <c r="V5951" s="236"/>
      <c r="W5951" s="236"/>
      <c r="X5951" s="236"/>
      <c r="Y5951" s="236"/>
    </row>
    <row r="5952" spans="1:25" ht="15" customHeight="1">
      <c r="A5952" s="91"/>
      <c r="B5952" s="91"/>
      <c r="C5952" s="220"/>
      <c r="D5952" s="91"/>
      <c r="E5952" s="221"/>
      <c r="F5952" s="91"/>
      <c r="G5952" s="91"/>
      <c r="H5952" s="242"/>
      <c r="I5952" s="223"/>
      <c r="J5952" s="57"/>
      <c r="K5952" s="153"/>
      <c r="L5952" s="153"/>
      <c r="M5952" s="243"/>
      <c r="N5952" s="234"/>
      <c r="O5952" s="235"/>
      <c r="P5952" s="236"/>
      <c r="Q5952" s="236"/>
      <c r="R5952" s="236"/>
      <c r="S5952" s="236"/>
      <c r="T5952" s="236"/>
      <c r="U5952" s="236"/>
      <c r="V5952" s="236"/>
      <c r="W5952" s="236"/>
      <c r="X5952" s="236"/>
      <c r="Y5952" s="236"/>
    </row>
    <row r="5953" spans="1:25" ht="15" customHeight="1">
      <c r="A5953" s="91"/>
      <c r="B5953" s="91"/>
      <c r="C5953" s="220"/>
      <c r="D5953" s="91"/>
      <c r="E5953" s="221"/>
      <c r="F5953" s="91"/>
      <c r="G5953" s="91"/>
      <c r="H5953" s="242"/>
      <c r="I5953" s="223"/>
      <c r="J5953" s="57"/>
      <c r="K5953" s="153"/>
      <c r="L5953" s="153"/>
      <c r="M5953" s="243"/>
      <c r="N5953" s="234"/>
      <c r="O5953" s="235"/>
      <c r="P5953" s="236"/>
      <c r="Q5953" s="236"/>
      <c r="R5953" s="236"/>
      <c r="S5953" s="236"/>
      <c r="T5953" s="236"/>
      <c r="U5953" s="236"/>
      <c r="V5953" s="236"/>
      <c r="W5953" s="236"/>
      <c r="X5953" s="236"/>
      <c r="Y5953" s="236"/>
    </row>
    <row r="5954" spans="1:25" ht="15" customHeight="1">
      <c r="A5954" s="91"/>
      <c r="B5954" s="91"/>
      <c r="C5954" s="220"/>
      <c r="D5954" s="91"/>
      <c r="E5954" s="221"/>
      <c r="F5954" s="91"/>
      <c r="G5954" s="91"/>
      <c r="H5954" s="242"/>
      <c r="I5954" s="223"/>
      <c r="J5954" s="57"/>
      <c r="K5954" s="153"/>
      <c r="L5954" s="153"/>
      <c r="M5954" s="243"/>
      <c r="N5954" s="234"/>
      <c r="O5954" s="235"/>
      <c r="P5954" s="236"/>
      <c r="Q5954" s="236"/>
      <c r="R5954" s="236"/>
      <c r="S5954" s="236"/>
      <c r="T5954" s="236"/>
      <c r="U5954" s="236"/>
      <c r="V5954" s="236"/>
      <c r="W5954" s="236"/>
      <c r="X5954" s="236"/>
      <c r="Y5954" s="236"/>
    </row>
    <row r="5955" spans="1:25" ht="15" customHeight="1">
      <c r="A5955" s="91"/>
      <c r="B5955" s="91"/>
      <c r="C5955" s="220"/>
      <c r="D5955" s="91"/>
      <c r="E5955" s="221"/>
      <c r="F5955" s="91"/>
      <c r="G5955" s="91"/>
      <c r="H5955" s="242"/>
      <c r="I5955" s="223"/>
      <c r="J5955" s="57"/>
      <c r="K5955" s="153"/>
      <c r="L5955" s="153"/>
      <c r="M5955" s="243"/>
      <c r="N5955" s="234"/>
      <c r="O5955" s="235"/>
      <c r="P5955" s="236"/>
      <c r="Q5955" s="236"/>
      <c r="R5955" s="236"/>
      <c r="S5955" s="236"/>
      <c r="T5955" s="236"/>
      <c r="U5955" s="236"/>
      <c r="V5955" s="236"/>
      <c r="W5955" s="236"/>
      <c r="X5955" s="236"/>
      <c r="Y5955" s="236"/>
    </row>
    <row r="5956" spans="1:25" ht="15" customHeight="1">
      <c r="A5956" s="91"/>
      <c r="B5956" s="91"/>
      <c r="C5956" s="220"/>
      <c r="D5956" s="91"/>
      <c r="E5956" s="221"/>
      <c r="F5956" s="91"/>
      <c r="G5956" s="91"/>
      <c r="H5956" s="242"/>
      <c r="I5956" s="223"/>
      <c r="J5956" s="57"/>
      <c r="K5956" s="153"/>
      <c r="L5956" s="153"/>
      <c r="M5956" s="243"/>
      <c r="N5956" s="234"/>
      <c r="O5956" s="235"/>
      <c r="P5956" s="236"/>
      <c r="Q5956" s="236"/>
      <c r="R5956" s="236"/>
      <c r="S5956" s="236"/>
      <c r="T5956" s="236"/>
      <c r="U5956" s="236"/>
      <c r="V5956" s="236"/>
      <c r="W5956" s="236"/>
      <c r="X5956" s="236"/>
      <c r="Y5956" s="236"/>
    </row>
    <row r="5957" spans="1:25" ht="15" customHeight="1">
      <c r="A5957" s="91"/>
      <c r="B5957" s="91"/>
      <c r="C5957" s="220"/>
      <c r="D5957" s="91"/>
      <c r="E5957" s="221"/>
      <c r="F5957" s="91"/>
      <c r="G5957" s="91"/>
      <c r="H5957" s="242"/>
      <c r="I5957" s="223"/>
      <c r="J5957" s="57"/>
      <c r="K5957" s="153"/>
      <c r="L5957" s="153"/>
      <c r="M5957" s="243"/>
      <c r="N5957" s="234"/>
      <c r="O5957" s="235"/>
      <c r="P5957" s="236"/>
      <c r="Q5957" s="236"/>
      <c r="R5957" s="236"/>
      <c r="S5957" s="236"/>
      <c r="T5957" s="236"/>
      <c r="U5957" s="236"/>
      <c r="V5957" s="236"/>
      <c r="W5957" s="236"/>
      <c r="X5957" s="236"/>
      <c r="Y5957" s="236"/>
    </row>
    <row r="5958" spans="1:25" ht="15" customHeight="1">
      <c r="A5958" s="91"/>
      <c r="B5958" s="91"/>
      <c r="C5958" s="220"/>
      <c r="D5958" s="91"/>
      <c r="E5958" s="221"/>
      <c r="F5958" s="91"/>
      <c r="G5958" s="91"/>
      <c r="H5958" s="242"/>
      <c r="I5958" s="223"/>
      <c r="J5958" s="57"/>
      <c r="K5958" s="153"/>
      <c r="L5958" s="153"/>
      <c r="M5958" s="243"/>
      <c r="N5958" s="234"/>
      <c r="O5958" s="235"/>
      <c r="P5958" s="236"/>
      <c r="Q5958" s="236"/>
      <c r="R5958" s="236"/>
      <c r="S5958" s="236"/>
      <c r="T5958" s="236"/>
      <c r="U5958" s="236"/>
      <c r="V5958" s="236"/>
      <c r="W5958" s="236"/>
      <c r="X5958" s="236"/>
      <c r="Y5958" s="236"/>
    </row>
    <row r="5959" spans="1:25" ht="15" customHeight="1">
      <c r="A5959" s="91"/>
      <c r="B5959" s="91"/>
      <c r="C5959" s="220"/>
      <c r="D5959" s="91"/>
      <c r="E5959" s="221"/>
      <c r="F5959" s="91"/>
      <c r="G5959" s="91"/>
      <c r="H5959" s="242"/>
      <c r="I5959" s="223"/>
      <c r="J5959" s="57"/>
      <c r="K5959" s="153"/>
      <c r="L5959" s="153"/>
      <c r="M5959" s="243"/>
      <c r="N5959" s="234"/>
      <c r="O5959" s="235"/>
      <c r="P5959" s="236"/>
      <c r="Q5959" s="236"/>
      <c r="R5959" s="236"/>
      <c r="S5959" s="236"/>
      <c r="T5959" s="236"/>
      <c r="U5959" s="236"/>
      <c r="V5959" s="236"/>
      <c r="W5959" s="236"/>
      <c r="X5959" s="236"/>
      <c r="Y5959" s="236"/>
    </row>
    <row r="5960" spans="1:25" ht="15" customHeight="1">
      <c r="A5960" s="91"/>
      <c r="B5960" s="91"/>
      <c r="C5960" s="220"/>
      <c r="D5960" s="91"/>
      <c r="E5960" s="221"/>
      <c r="F5960" s="91"/>
      <c r="G5960" s="91"/>
      <c r="H5960" s="242"/>
      <c r="I5960" s="223"/>
      <c r="J5960" s="57"/>
      <c r="K5960" s="153"/>
      <c r="L5960" s="153"/>
      <c r="M5960" s="243"/>
      <c r="N5960" s="234"/>
      <c r="O5960" s="235"/>
      <c r="P5960" s="236"/>
      <c r="Q5960" s="236"/>
      <c r="R5960" s="236"/>
      <c r="S5960" s="236"/>
      <c r="T5960" s="236"/>
      <c r="U5960" s="236"/>
      <c r="V5960" s="236"/>
      <c r="W5960" s="236"/>
      <c r="X5960" s="236"/>
      <c r="Y5960" s="236"/>
    </row>
    <row r="5961" spans="1:25" ht="15" customHeight="1">
      <c r="A5961" s="91"/>
      <c r="B5961" s="91"/>
      <c r="C5961" s="220"/>
      <c r="D5961" s="91"/>
      <c r="E5961" s="221"/>
      <c r="F5961" s="91"/>
      <c r="G5961" s="91"/>
      <c r="H5961" s="242"/>
      <c r="I5961" s="223"/>
      <c r="J5961" s="57"/>
      <c r="K5961" s="153"/>
      <c r="L5961" s="153"/>
      <c r="M5961" s="243"/>
      <c r="N5961" s="234"/>
      <c r="O5961" s="235"/>
      <c r="P5961" s="236"/>
      <c r="Q5961" s="236"/>
      <c r="R5961" s="236"/>
      <c r="S5961" s="236"/>
      <c r="T5961" s="236"/>
      <c r="U5961" s="236"/>
      <c r="V5961" s="236"/>
      <c r="W5961" s="236"/>
      <c r="X5961" s="236"/>
      <c r="Y5961" s="236"/>
    </row>
    <row r="5962" spans="1:25" ht="15" customHeight="1">
      <c r="A5962" s="91"/>
      <c r="B5962" s="91"/>
      <c r="C5962" s="220"/>
      <c r="D5962" s="91"/>
      <c r="E5962" s="221"/>
      <c r="F5962" s="91"/>
      <c r="G5962" s="91"/>
      <c r="H5962" s="242"/>
      <c r="I5962" s="223"/>
      <c r="J5962" s="57"/>
      <c r="K5962" s="153"/>
      <c r="L5962" s="153"/>
      <c r="M5962" s="243"/>
      <c r="N5962" s="234"/>
      <c r="O5962" s="235"/>
      <c r="P5962" s="236"/>
      <c r="Q5962" s="236"/>
      <c r="R5962" s="236"/>
      <c r="S5962" s="236"/>
      <c r="T5962" s="236"/>
      <c r="U5962" s="236"/>
      <c r="V5962" s="236"/>
      <c r="W5962" s="236"/>
      <c r="X5962" s="236"/>
      <c r="Y5962" s="236"/>
    </row>
    <row r="5963" spans="1:25" ht="15" customHeight="1">
      <c r="A5963" s="91"/>
      <c r="B5963" s="91"/>
      <c r="C5963" s="220"/>
      <c r="D5963" s="91"/>
      <c r="E5963" s="221"/>
      <c r="F5963" s="91"/>
      <c r="G5963" s="91"/>
      <c r="H5963" s="242"/>
      <c r="I5963" s="223"/>
      <c r="J5963" s="57"/>
      <c r="K5963" s="153"/>
      <c r="L5963" s="153"/>
      <c r="M5963" s="243"/>
      <c r="N5963" s="234"/>
      <c r="O5963" s="235"/>
      <c r="P5963" s="236"/>
      <c r="Q5963" s="236"/>
      <c r="R5963" s="236"/>
      <c r="S5963" s="236"/>
      <c r="T5963" s="236"/>
      <c r="U5963" s="236"/>
      <c r="V5963" s="236"/>
      <c r="W5963" s="236"/>
      <c r="X5963" s="236"/>
      <c r="Y5963" s="236"/>
    </row>
    <row r="5964" spans="1:25" ht="15" customHeight="1">
      <c r="A5964" s="91"/>
      <c r="B5964" s="91"/>
      <c r="C5964" s="220"/>
      <c r="D5964" s="91"/>
      <c r="E5964" s="221"/>
      <c r="F5964" s="91"/>
      <c r="G5964" s="91"/>
      <c r="H5964" s="242"/>
      <c r="I5964" s="223"/>
      <c r="J5964" s="57"/>
      <c r="K5964" s="153"/>
      <c r="L5964" s="153"/>
      <c r="M5964" s="243"/>
      <c r="N5964" s="234"/>
      <c r="O5964" s="235"/>
      <c r="P5964" s="236"/>
      <c r="Q5964" s="236"/>
      <c r="R5964" s="236"/>
      <c r="S5964" s="236"/>
      <c r="T5964" s="236"/>
      <c r="U5964" s="236"/>
      <c r="V5964" s="236"/>
      <c r="W5964" s="236"/>
      <c r="X5964" s="236"/>
      <c r="Y5964" s="236"/>
    </row>
    <row r="5965" spans="1:25" ht="15" customHeight="1">
      <c r="A5965" s="91"/>
      <c r="B5965" s="91"/>
      <c r="C5965" s="220"/>
      <c r="D5965" s="91"/>
      <c r="E5965" s="221"/>
      <c r="F5965" s="91"/>
      <c r="G5965" s="91"/>
      <c r="H5965" s="242"/>
      <c r="I5965" s="223"/>
      <c r="J5965" s="57"/>
      <c r="K5965" s="153"/>
      <c r="L5965" s="153"/>
      <c r="M5965" s="243"/>
      <c r="N5965" s="234"/>
      <c r="O5965" s="235"/>
      <c r="P5965" s="236"/>
      <c r="Q5965" s="236"/>
      <c r="R5965" s="236"/>
      <c r="S5965" s="236"/>
      <c r="T5965" s="236"/>
      <c r="U5965" s="236"/>
      <c r="V5965" s="236"/>
      <c r="W5965" s="236"/>
      <c r="X5965" s="236"/>
      <c r="Y5965" s="236"/>
    </row>
    <row r="5966" spans="1:25" ht="15" customHeight="1">
      <c r="A5966" s="91"/>
      <c r="B5966" s="91"/>
      <c r="C5966" s="220"/>
      <c r="D5966" s="91"/>
      <c r="E5966" s="221"/>
      <c r="F5966" s="91"/>
      <c r="G5966" s="91"/>
      <c r="H5966" s="242"/>
      <c r="I5966" s="223"/>
      <c r="J5966" s="57"/>
      <c r="K5966" s="153"/>
      <c r="L5966" s="153"/>
      <c r="M5966" s="243"/>
      <c r="N5966" s="234"/>
      <c r="O5966" s="235"/>
      <c r="P5966" s="236"/>
      <c r="Q5966" s="236"/>
      <c r="R5966" s="236"/>
      <c r="S5966" s="236"/>
      <c r="T5966" s="236"/>
      <c r="U5966" s="236"/>
      <c r="V5966" s="236"/>
      <c r="W5966" s="236"/>
      <c r="X5966" s="236"/>
      <c r="Y5966" s="236"/>
    </row>
    <row r="5967" spans="1:25" ht="15" customHeight="1">
      <c r="A5967" s="91"/>
      <c r="B5967" s="91"/>
      <c r="C5967" s="220"/>
      <c r="D5967" s="91"/>
      <c r="E5967" s="221"/>
      <c r="F5967" s="91"/>
      <c r="G5967" s="91"/>
      <c r="H5967" s="242"/>
      <c r="I5967" s="223"/>
      <c r="J5967" s="57"/>
      <c r="K5967" s="153"/>
      <c r="L5967" s="153"/>
      <c r="M5967" s="243"/>
      <c r="N5967" s="234"/>
      <c r="O5967" s="235"/>
      <c r="P5967" s="236"/>
      <c r="Q5967" s="236"/>
      <c r="R5967" s="236"/>
      <c r="S5967" s="236"/>
      <c r="T5967" s="236"/>
      <c r="U5967" s="236"/>
      <c r="V5967" s="236"/>
      <c r="W5967" s="236"/>
      <c r="X5967" s="236"/>
      <c r="Y5967" s="236"/>
    </row>
    <row r="5968" spans="1:25" ht="15" customHeight="1">
      <c r="A5968" s="91"/>
      <c r="B5968" s="91"/>
      <c r="C5968" s="220"/>
      <c r="D5968" s="91"/>
      <c r="E5968" s="221"/>
      <c r="F5968" s="91"/>
      <c r="G5968" s="91"/>
      <c r="H5968" s="242"/>
      <c r="I5968" s="223"/>
      <c r="J5968" s="57"/>
      <c r="K5968" s="153"/>
      <c r="L5968" s="153"/>
      <c r="M5968" s="243"/>
      <c r="N5968" s="234"/>
      <c r="O5968" s="235"/>
      <c r="P5968" s="236"/>
      <c r="Q5968" s="236"/>
      <c r="R5968" s="236"/>
      <c r="S5968" s="236"/>
      <c r="T5968" s="236"/>
      <c r="U5968" s="236"/>
      <c r="V5968" s="236"/>
      <c r="W5968" s="236"/>
      <c r="X5968" s="236"/>
      <c r="Y5968" s="236"/>
    </row>
    <row r="5969" spans="1:25" ht="15" customHeight="1">
      <c r="A5969" s="91"/>
      <c r="B5969" s="91"/>
      <c r="C5969" s="220"/>
      <c r="D5969" s="91"/>
      <c r="E5969" s="221"/>
      <c r="F5969" s="91"/>
      <c r="G5969" s="91"/>
      <c r="H5969" s="242"/>
      <c r="I5969" s="223"/>
      <c r="J5969" s="57"/>
      <c r="K5969" s="153"/>
      <c r="L5969" s="153"/>
      <c r="M5969" s="243"/>
      <c r="N5969" s="234"/>
      <c r="O5969" s="235"/>
      <c r="P5969" s="236"/>
      <c r="Q5969" s="236"/>
      <c r="R5969" s="236"/>
      <c r="S5969" s="236"/>
      <c r="T5969" s="236"/>
      <c r="U5969" s="236"/>
      <c r="V5969" s="236"/>
      <c r="W5969" s="236"/>
      <c r="X5969" s="236"/>
      <c r="Y5969" s="236"/>
    </row>
    <row r="5970" spans="1:25" ht="15" customHeight="1">
      <c r="A5970" s="91"/>
      <c r="B5970" s="91"/>
      <c r="C5970" s="220"/>
      <c r="D5970" s="91"/>
      <c r="E5970" s="221"/>
      <c r="F5970" s="91"/>
      <c r="G5970" s="91"/>
      <c r="H5970" s="242"/>
      <c r="I5970" s="223"/>
      <c r="J5970" s="57"/>
      <c r="K5970" s="153"/>
      <c r="L5970" s="153"/>
      <c r="M5970" s="243"/>
      <c r="N5970" s="234"/>
      <c r="O5970" s="235"/>
      <c r="P5970" s="236"/>
      <c r="Q5970" s="236"/>
      <c r="R5970" s="236"/>
      <c r="S5970" s="236"/>
      <c r="T5970" s="236"/>
      <c r="U5970" s="236"/>
      <c r="V5970" s="236"/>
      <c r="W5970" s="236"/>
      <c r="X5970" s="236"/>
      <c r="Y5970" s="236"/>
    </row>
    <row r="5971" spans="1:25" ht="15" customHeight="1">
      <c r="A5971" s="91"/>
      <c r="B5971" s="91"/>
      <c r="C5971" s="220"/>
      <c r="D5971" s="91"/>
      <c r="E5971" s="221"/>
      <c r="F5971" s="91"/>
      <c r="G5971" s="91"/>
      <c r="H5971" s="242"/>
      <c r="I5971" s="223"/>
      <c r="J5971" s="57"/>
      <c r="K5971" s="153"/>
      <c r="L5971" s="153"/>
      <c r="M5971" s="243"/>
      <c r="N5971" s="234"/>
      <c r="O5971" s="235"/>
      <c r="P5971" s="236"/>
      <c r="Q5971" s="236"/>
      <c r="R5971" s="236"/>
      <c r="S5971" s="236"/>
      <c r="T5971" s="236"/>
      <c r="U5971" s="236"/>
      <c r="V5971" s="236"/>
      <c r="W5971" s="236"/>
      <c r="X5971" s="236"/>
      <c r="Y5971" s="236"/>
    </row>
    <row r="5972" spans="1:25" ht="15" customHeight="1">
      <c r="A5972" s="91"/>
      <c r="B5972" s="91"/>
      <c r="C5972" s="220"/>
      <c r="D5972" s="91"/>
      <c r="E5972" s="221"/>
      <c r="F5972" s="91"/>
      <c r="G5972" s="91"/>
      <c r="H5972" s="242"/>
      <c r="I5972" s="223"/>
      <c r="J5972" s="57"/>
      <c r="K5972" s="153"/>
      <c r="L5972" s="153"/>
      <c r="M5972" s="243"/>
      <c r="N5972" s="234"/>
      <c r="O5972" s="235"/>
      <c r="P5972" s="236"/>
      <c r="Q5972" s="236"/>
      <c r="R5972" s="236"/>
      <c r="S5972" s="236"/>
      <c r="T5972" s="236"/>
      <c r="U5972" s="236"/>
      <c r="V5972" s="236"/>
      <c r="W5972" s="236"/>
      <c r="X5972" s="236"/>
      <c r="Y5972" s="236"/>
    </row>
    <row r="5973" spans="1:25" ht="15" customHeight="1">
      <c r="A5973" s="91"/>
      <c r="B5973" s="91"/>
      <c r="C5973" s="220"/>
      <c r="D5973" s="91"/>
      <c r="E5973" s="221"/>
      <c r="F5973" s="91"/>
      <c r="G5973" s="91"/>
      <c r="H5973" s="242"/>
      <c r="I5973" s="223"/>
      <c r="J5973" s="57"/>
      <c r="K5973" s="153"/>
      <c r="L5973" s="153"/>
      <c r="M5973" s="243"/>
      <c r="N5973" s="234"/>
      <c r="O5973" s="235"/>
      <c r="P5973" s="236"/>
      <c r="Q5973" s="236"/>
      <c r="R5973" s="236"/>
      <c r="S5973" s="236"/>
      <c r="T5973" s="236"/>
      <c r="U5973" s="236"/>
      <c r="V5973" s="236"/>
      <c r="W5973" s="236"/>
      <c r="X5973" s="236"/>
      <c r="Y5973" s="236"/>
    </row>
    <row r="5974" spans="1:25" ht="15" customHeight="1">
      <c r="A5974" s="91"/>
      <c r="B5974" s="91"/>
      <c r="C5974" s="220"/>
      <c r="D5974" s="91"/>
      <c r="E5974" s="221"/>
      <c r="F5974" s="91"/>
      <c r="G5974" s="91"/>
      <c r="H5974" s="242"/>
      <c r="I5974" s="223"/>
      <c r="J5974" s="57"/>
      <c r="K5974" s="153"/>
      <c r="L5974" s="153"/>
      <c r="M5974" s="243"/>
      <c r="N5974" s="234"/>
      <c r="O5974" s="235"/>
      <c r="P5974" s="236"/>
      <c r="Q5974" s="236"/>
      <c r="R5974" s="236"/>
      <c r="S5974" s="236"/>
      <c r="T5974" s="236"/>
      <c r="U5974" s="236"/>
      <c r="V5974" s="236"/>
      <c r="W5974" s="236"/>
      <c r="X5974" s="236"/>
      <c r="Y5974" s="236"/>
    </row>
    <row r="5975" spans="1:25" ht="15" customHeight="1">
      <c r="A5975" s="91"/>
      <c r="B5975" s="91"/>
      <c r="C5975" s="220"/>
      <c r="D5975" s="91"/>
      <c r="E5975" s="221"/>
      <c r="F5975" s="91"/>
      <c r="G5975" s="91"/>
      <c r="H5975" s="242"/>
      <c r="I5975" s="223"/>
      <c r="J5975" s="57"/>
      <c r="K5975" s="153"/>
      <c r="L5975" s="153"/>
      <c r="M5975" s="243"/>
      <c r="N5975" s="234"/>
      <c r="O5975" s="235"/>
      <c r="P5975" s="236"/>
      <c r="Q5975" s="236"/>
      <c r="R5975" s="236"/>
      <c r="S5975" s="236"/>
      <c r="T5975" s="236"/>
      <c r="U5975" s="236"/>
      <c r="V5975" s="236"/>
      <c r="W5975" s="236"/>
      <c r="X5975" s="236"/>
      <c r="Y5975" s="236"/>
    </row>
    <row r="5976" spans="1:25" ht="15" customHeight="1">
      <c r="A5976" s="91"/>
      <c r="B5976" s="91"/>
      <c r="C5976" s="220"/>
      <c r="D5976" s="91"/>
      <c r="E5976" s="221"/>
      <c r="F5976" s="91"/>
      <c r="G5976" s="91"/>
      <c r="H5976" s="242"/>
      <c r="I5976" s="223"/>
      <c r="J5976" s="57"/>
      <c r="K5976" s="153"/>
      <c r="L5976" s="153"/>
      <c r="M5976" s="243"/>
      <c r="N5976" s="234"/>
      <c r="O5976" s="235"/>
      <c r="P5976" s="236"/>
      <c r="Q5976" s="236"/>
      <c r="R5976" s="236"/>
      <c r="S5976" s="236"/>
      <c r="T5976" s="236"/>
      <c r="U5976" s="236"/>
      <c r="V5976" s="236"/>
      <c r="W5976" s="236"/>
      <c r="X5976" s="236"/>
      <c r="Y5976" s="236"/>
    </row>
    <row r="5977" spans="1:25" ht="15" customHeight="1">
      <c r="A5977" s="91"/>
      <c r="B5977" s="91"/>
      <c r="C5977" s="220"/>
      <c r="D5977" s="91"/>
      <c r="E5977" s="221"/>
      <c r="F5977" s="91"/>
      <c r="G5977" s="91"/>
      <c r="H5977" s="242"/>
      <c r="I5977" s="223"/>
      <c r="J5977" s="57"/>
      <c r="K5977" s="153"/>
      <c r="L5977" s="153"/>
      <c r="M5977" s="243"/>
      <c r="N5977" s="234"/>
      <c r="O5977" s="235"/>
      <c r="P5977" s="236"/>
      <c r="Q5977" s="236"/>
      <c r="R5977" s="236"/>
      <c r="S5977" s="236"/>
      <c r="T5977" s="236"/>
      <c r="U5977" s="236"/>
      <c r="V5977" s="236"/>
      <c r="W5977" s="236"/>
      <c r="X5977" s="236"/>
      <c r="Y5977" s="236"/>
    </row>
    <row r="5978" spans="1:25" ht="15" customHeight="1">
      <c r="A5978" s="91"/>
      <c r="B5978" s="91"/>
      <c r="C5978" s="220"/>
      <c r="D5978" s="91"/>
      <c r="E5978" s="221"/>
      <c r="F5978" s="91"/>
      <c r="G5978" s="91"/>
      <c r="H5978" s="242"/>
      <c r="I5978" s="223"/>
      <c r="J5978" s="57"/>
      <c r="K5978" s="153"/>
      <c r="L5978" s="153"/>
      <c r="M5978" s="243"/>
      <c r="N5978" s="234"/>
      <c r="O5978" s="235"/>
      <c r="P5978" s="236"/>
      <c r="Q5978" s="236"/>
      <c r="R5978" s="236"/>
      <c r="S5978" s="236"/>
      <c r="T5978" s="236"/>
      <c r="U5978" s="236"/>
      <c r="V5978" s="236"/>
      <c r="W5978" s="236"/>
      <c r="X5978" s="236"/>
      <c r="Y5978" s="236"/>
    </row>
    <row r="5979" spans="1:25" ht="15" customHeight="1">
      <c r="A5979" s="91"/>
      <c r="B5979" s="91"/>
      <c r="C5979" s="220"/>
      <c r="D5979" s="91"/>
      <c r="E5979" s="221"/>
      <c r="F5979" s="91"/>
      <c r="G5979" s="91"/>
      <c r="H5979" s="242"/>
      <c r="I5979" s="223"/>
      <c r="J5979" s="57"/>
      <c r="K5979" s="153"/>
      <c r="L5979" s="153"/>
      <c r="M5979" s="243"/>
      <c r="N5979" s="234"/>
      <c r="O5979" s="235"/>
      <c r="P5979" s="236"/>
      <c r="Q5979" s="236"/>
      <c r="R5979" s="236"/>
      <c r="S5979" s="236"/>
      <c r="T5979" s="236"/>
      <c r="U5979" s="236"/>
      <c r="V5979" s="236"/>
      <c r="W5979" s="236"/>
      <c r="X5979" s="236"/>
      <c r="Y5979" s="236"/>
    </row>
    <row r="5980" spans="1:25" ht="15" customHeight="1">
      <c r="A5980" s="91"/>
      <c r="B5980" s="91"/>
      <c r="C5980" s="220"/>
      <c r="D5980" s="91"/>
      <c r="E5980" s="221"/>
      <c r="F5980" s="91"/>
      <c r="G5980" s="91"/>
      <c r="H5980" s="242"/>
      <c r="I5980" s="223"/>
      <c r="J5980" s="57"/>
      <c r="K5980" s="153"/>
      <c r="L5980" s="153"/>
      <c r="M5980" s="243"/>
      <c r="N5980" s="234"/>
      <c r="O5980" s="235"/>
      <c r="P5980" s="236"/>
      <c r="Q5980" s="236"/>
      <c r="R5980" s="236"/>
      <c r="S5980" s="236"/>
      <c r="T5980" s="236"/>
      <c r="U5980" s="236"/>
      <c r="V5980" s="236"/>
      <c r="W5980" s="236"/>
      <c r="X5980" s="236"/>
      <c r="Y5980" s="236"/>
    </row>
    <row r="5981" spans="1:25" ht="15" customHeight="1">
      <c r="A5981" s="91"/>
      <c r="B5981" s="91"/>
      <c r="C5981" s="220"/>
      <c r="D5981" s="91"/>
      <c r="E5981" s="221"/>
      <c r="F5981" s="91"/>
      <c r="G5981" s="91"/>
      <c r="H5981" s="242"/>
      <c r="I5981" s="223"/>
      <c r="J5981" s="57"/>
      <c r="K5981" s="153"/>
      <c r="L5981" s="153"/>
      <c r="M5981" s="243"/>
      <c r="N5981" s="234"/>
      <c r="O5981" s="235"/>
      <c r="P5981" s="236"/>
      <c r="Q5981" s="236"/>
      <c r="R5981" s="236"/>
      <c r="S5981" s="236"/>
      <c r="T5981" s="236"/>
      <c r="U5981" s="236"/>
      <c r="V5981" s="236"/>
      <c r="W5981" s="236"/>
      <c r="X5981" s="236"/>
      <c r="Y5981" s="236"/>
    </row>
    <row r="5982" spans="1:25" ht="15" customHeight="1">
      <c r="A5982" s="91"/>
      <c r="B5982" s="91"/>
      <c r="C5982" s="220"/>
      <c r="D5982" s="91"/>
      <c r="E5982" s="221"/>
      <c r="F5982" s="91"/>
      <c r="G5982" s="91"/>
      <c r="H5982" s="242"/>
      <c r="I5982" s="223"/>
      <c r="J5982" s="57"/>
      <c r="K5982" s="153"/>
      <c r="L5982" s="153"/>
      <c r="M5982" s="243"/>
      <c r="N5982" s="234"/>
      <c r="O5982" s="235"/>
      <c r="P5982" s="236"/>
      <c r="Q5982" s="236"/>
      <c r="R5982" s="236"/>
      <c r="S5982" s="236"/>
      <c r="T5982" s="236"/>
      <c r="U5982" s="236"/>
      <c r="V5982" s="236"/>
      <c r="W5982" s="236"/>
      <c r="X5982" s="236"/>
      <c r="Y5982" s="236"/>
    </row>
    <row r="5983" spans="1:25" ht="15" customHeight="1">
      <c r="A5983" s="91"/>
      <c r="B5983" s="91"/>
      <c r="C5983" s="220"/>
      <c r="D5983" s="91"/>
      <c r="E5983" s="221"/>
      <c r="F5983" s="91"/>
      <c r="G5983" s="91"/>
      <c r="H5983" s="242"/>
      <c r="I5983" s="223"/>
      <c r="J5983" s="57"/>
      <c r="K5983" s="153"/>
      <c r="L5983" s="153"/>
      <c r="M5983" s="243"/>
      <c r="N5983" s="234"/>
      <c r="O5983" s="235"/>
      <c r="P5983" s="236"/>
      <c r="Q5983" s="236"/>
      <c r="R5983" s="236"/>
      <c r="S5983" s="236"/>
      <c r="T5983" s="236"/>
      <c r="U5983" s="236"/>
      <c r="V5983" s="236"/>
      <c r="W5983" s="236"/>
      <c r="X5983" s="236"/>
      <c r="Y5983" s="236"/>
    </row>
    <row r="5984" spans="1:25" ht="15" customHeight="1">
      <c r="A5984" s="91"/>
      <c r="B5984" s="91"/>
      <c r="C5984" s="220"/>
      <c r="D5984" s="91"/>
      <c r="E5984" s="221"/>
      <c r="F5984" s="91"/>
      <c r="G5984" s="91"/>
      <c r="H5984" s="242"/>
      <c r="I5984" s="223"/>
      <c r="J5984" s="57"/>
      <c r="K5984" s="153"/>
      <c r="L5984" s="153"/>
      <c r="M5984" s="243"/>
      <c r="N5984" s="234"/>
      <c r="O5984" s="235"/>
      <c r="P5984" s="236"/>
      <c r="Q5984" s="236"/>
      <c r="R5984" s="236"/>
      <c r="S5984" s="236"/>
      <c r="T5984" s="236"/>
      <c r="U5984" s="236"/>
      <c r="V5984" s="236"/>
      <c r="W5984" s="236"/>
      <c r="X5984" s="236"/>
      <c r="Y5984" s="236"/>
    </row>
    <row r="5985" spans="1:25" ht="15" customHeight="1">
      <c r="A5985" s="91"/>
      <c r="B5985" s="91"/>
      <c r="C5985" s="220"/>
      <c r="D5985" s="91"/>
      <c r="E5985" s="221"/>
      <c r="F5985" s="91"/>
      <c r="G5985" s="91"/>
      <c r="H5985" s="242"/>
      <c r="I5985" s="223"/>
      <c r="J5985" s="57"/>
      <c r="K5985" s="153"/>
      <c r="L5985" s="153"/>
      <c r="M5985" s="243"/>
      <c r="N5985" s="234"/>
      <c r="O5985" s="235"/>
      <c r="P5985" s="236"/>
      <c r="Q5985" s="236"/>
      <c r="R5985" s="236"/>
      <c r="S5985" s="236"/>
      <c r="T5985" s="236"/>
      <c r="U5985" s="236"/>
      <c r="V5985" s="236"/>
      <c r="W5985" s="236"/>
      <c r="X5985" s="236"/>
      <c r="Y5985" s="236"/>
    </row>
    <row r="5986" spans="1:25" ht="15" customHeight="1">
      <c r="A5986" s="91"/>
      <c r="B5986" s="91"/>
      <c r="C5986" s="220"/>
      <c r="D5986" s="91"/>
      <c r="E5986" s="221"/>
      <c r="F5986" s="91"/>
      <c r="G5986" s="91"/>
      <c r="H5986" s="242"/>
      <c r="I5986" s="223"/>
      <c r="J5986" s="57"/>
      <c r="K5986" s="153"/>
      <c r="L5986" s="153"/>
      <c r="M5986" s="243"/>
      <c r="N5986" s="234"/>
      <c r="O5986" s="235"/>
      <c r="P5986" s="236"/>
      <c r="Q5986" s="236"/>
      <c r="R5986" s="236"/>
      <c r="S5986" s="236"/>
      <c r="T5986" s="236"/>
      <c r="U5986" s="236"/>
      <c r="V5986" s="236"/>
      <c r="W5986" s="236"/>
      <c r="X5986" s="236"/>
      <c r="Y5986" s="236"/>
    </row>
    <row r="5987" spans="1:25" ht="15" customHeight="1">
      <c r="A5987" s="91"/>
      <c r="B5987" s="91"/>
      <c r="C5987" s="220"/>
      <c r="D5987" s="91"/>
      <c r="E5987" s="221"/>
      <c r="F5987" s="91"/>
      <c r="G5987" s="91"/>
      <c r="H5987" s="242"/>
      <c r="I5987" s="223"/>
      <c r="J5987" s="57"/>
      <c r="K5987" s="153"/>
      <c r="L5987" s="153"/>
      <c r="M5987" s="243"/>
      <c r="N5987" s="234"/>
      <c r="O5987" s="235"/>
      <c r="P5987" s="236"/>
      <c r="Q5987" s="236"/>
      <c r="R5987" s="236"/>
      <c r="S5987" s="236"/>
      <c r="T5987" s="236"/>
      <c r="U5987" s="236"/>
      <c r="V5987" s="236"/>
      <c r="W5987" s="236"/>
      <c r="X5987" s="236"/>
      <c r="Y5987" s="236"/>
    </row>
    <row r="5988" spans="1:25" ht="15" customHeight="1">
      <c r="A5988" s="91"/>
      <c r="B5988" s="91"/>
      <c r="C5988" s="220"/>
      <c r="D5988" s="91"/>
      <c r="E5988" s="221"/>
      <c r="F5988" s="91"/>
      <c r="G5988" s="91"/>
      <c r="H5988" s="242"/>
      <c r="I5988" s="223"/>
      <c r="J5988" s="57"/>
      <c r="K5988" s="153"/>
      <c r="L5988" s="153"/>
      <c r="M5988" s="243"/>
      <c r="N5988" s="234"/>
      <c r="O5988" s="235"/>
      <c r="P5988" s="236"/>
      <c r="Q5988" s="236"/>
      <c r="R5988" s="236"/>
      <c r="S5988" s="236"/>
      <c r="T5988" s="236"/>
      <c r="U5988" s="236"/>
      <c r="V5988" s="236"/>
      <c r="W5988" s="236"/>
      <c r="X5988" s="236"/>
      <c r="Y5988" s="236"/>
    </row>
    <row r="5989" spans="1:25" ht="15" customHeight="1">
      <c r="A5989" s="91"/>
      <c r="B5989" s="91"/>
      <c r="C5989" s="220"/>
      <c r="D5989" s="91"/>
      <c r="E5989" s="221"/>
      <c r="F5989" s="91"/>
      <c r="G5989" s="91"/>
      <c r="H5989" s="242"/>
      <c r="I5989" s="223"/>
      <c r="J5989" s="57"/>
      <c r="K5989" s="153"/>
      <c r="L5989" s="153"/>
      <c r="M5989" s="243"/>
      <c r="N5989" s="234"/>
      <c r="O5989" s="235"/>
      <c r="P5989" s="236"/>
      <c r="Q5989" s="236"/>
      <c r="R5989" s="236"/>
      <c r="S5989" s="236"/>
      <c r="T5989" s="236"/>
      <c r="U5989" s="236"/>
      <c r="V5989" s="236"/>
      <c r="W5989" s="236"/>
      <c r="X5989" s="236"/>
      <c r="Y5989" s="236"/>
    </row>
    <row r="5990" spans="1:25" ht="15" customHeight="1">
      <c r="A5990" s="91"/>
      <c r="B5990" s="91"/>
      <c r="C5990" s="220"/>
      <c r="D5990" s="91"/>
      <c r="E5990" s="221"/>
      <c r="F5990" s="91"/>
      <c r="G5990" s="91"/>
      <c r="H5990" s="242"/>
      <c r="I5990" s="223"/>
      <c r="J5990" s="57"/>
      <c r="K5990" s="153"/>
      <c r="L5990" s="153"/>
      <c r="M5990" s="243"/>
      <c r="N5990" s="234"/>
      <c r="O5990" s="235"/>
      <c r="P5990" s="236"/>
      <c r="Q5990" s="236"/>
      <c r="R5990" s="236"/>
      <c r="S5990" s="236"/>
      <c r="T5990" s="236"/>
      <c r="U5990" s="236"/>
      <c r="V5990" s="236"/>
      <c r="W5990" s="236"/>
      <c r="X5990" s="236"/>
      <c r="Y5990" s="236"/>
    </row>
    <row r="5991" spans="1:25" ht="15" customHeight="1">
      <c r="A5991" s="91"/>
      <c r="B5991" s="91"/>
      <c r="C5991" s="220"/>
      <c r="D5991" s="91"/>
      <c r="E5991" s="221"/>
      <c r="F5991" s="91"/>
      <c r="G5991" s="91"/>
      <c r="H5991" s="242"/>
      <c r="I5991" s="223"/>
      <c r="J5991" s="57"/>
      <c r="K5991" s="153"/>
      <c r="L5991" s="153"/>
      <c r="M5991" s="243"/>
      <c r="N5991" s="234"/>
      <c r="O5991" s="235"/>
      <c r="P5991" s="236"/>
      <c r="Q5991" s="236"/>
      <c r="R5991" s="236"/>
      <c r="S5991" s="236"/>
      <c r="T5991" s="236"/>
      <c r="U5991" s="236"/>
      <c r="V5991" s="236"/>
      <c r="W5991" s="236"/>
      <c r="X5991" s="236"/>
      <c r="Y5991" s="236"/>
    </row>
    <row r="5992" spans="1:25" ht="15" customHeight="1">
      <c r="A5992" s="91"/>
      <c r="B5992" s="91"/>
      <c r="C5992" s="220"/>
      <c r="D5992" s="91"/>
      <c r="E5992" s="221"/>
      <c r="F5992" s="91"/>
      <c r="G5992" s="91"/>
      <c r="H5992" s="242"/>
      <c r="I5992" s="223"/>
      <c r="J5992" s="57"/>
      <c r="K5992" s="153"/>
      <c r="L5992" s="153"/>
      <c r="M5992" s="243"/>
      <c r="N5992" s="234"/>
      <c r="O5992" s="235"/>
      <c r="P5992" s="236"/>
      <c r="Q5992" s="236"/>
      <c r="R5992" s="236"/>
      <c r="S5992" s="236"/>
      <c r="T5992" s="236"/>
      <c r="U5992" s="236"/>
      <c r="V5992" s="236"/>
      <c r="W5992" s="236"/>
      <c r="X5992" s="236"/>
      <c r="Y5992" s="236"/>
    </row>
    <row r="5993" spans="1:25" ht="15" customHeight="1">
      <c r="A5993" s="91"/>
      <c r="B5993" s="91"/>
      <c r="C5993" s="220"/>
      <c r="D5993" s="91"/>
      <c r="E5993" s="221"/>
      <c r="F5993" s="91"/>
      <c r="G5993" s="91"/>
      <c r="H5993" s="242"/>
      <c r="I5993" s="223"/>
      <c r="J5993" s="57"/>
      <c r="K5993" s="153"/>
      <c r="L5993" s="153"/>
      <c r="M5993" s="243"/>
      <c r="N5993" s="234"/>
      <c r="O5993" s="235"/>
      <c r="P5993" s="236"/>
      <c r="Q5993" s="236"/>
      <c r="R5993" s="236"/>
      <c r="S5993" s="236"/>
      <c r="T5993" s="236"/>
      <c r="U5993" s="236"/>
      <c r="V5993" s="236"/>
      <c r="W5993" s="236"/>
      <c r="X5993" s="236"/>
      <c r="Y5993" s="236"/>
    </row>
    <row r="5994" spans="1:25" ht="15" customHeight="1">
      <c r="A5994" s="91"/>
      <c r="B5994" s="91"/>
      <c r="C5994" s="220"/>
      <c r="D5994" s="91"/>
      <c r="E5994" s="221"/>
      <c r="F5994" s="91"/>
      <c r="G5994" s="91"/>
      <c r="H5994" s="242"/>
      <c r="I5994" s="223"/>
      <c r="J5994" s="57"/>
      <c r="K5994" s="153"/>
      <c r="L5994" s="153"/>
      <c r="M5994" s="243"/>
      <c r="N5994" s="234"/>
      <c r="O5994" s="235"/>
      <c r="P5994" s="236"/>
      <c r="Q5994" s="236"/>
      <c r="R5994" s="236"/>
      <c r="S5994" s="236"/>
      <c r="T5994" s="236"/>
      <c r="U5994" s="236"/>
      <c r="V5994" s="236"/>
      <c r="W5994" s="236"/>
      <c r="X5994" s="236"/>
      <c r="Y5994" s="236"/>
    </row>
    <row r="5995" spans="1:25" ht="15" customHeight="1">
      <c r="A5995" s="91"/>
      <c r="B5995" s="91"/>
      <c r="C5995" s="220"/>
      <c r="D5995" s="91"/>
      <c r="E5995" s="221"/>
      <c r="F5995" s="91"/>
      <c r="G5995" s="91"/>
      <c r="H5995" s="242"/>
      <c r="I5995" s="223"/>
      <c r="J5995" s="57"/>
      <c r="K5995" s="153"/>
      <c r="L5995" s="153"/>
      <c r="M5995" s="243"/>
      <c r="N5995" s="234"/>
      <c r="O5995" s="235"/>
      <c r="P5995" s="236"/>
      <c r="Q5995" s="236"/>
      <c r="R5995" s="236"/>
      <c r="S5995" s="236"/>
      <c r="T5995" s="236"/>
      <c r="U5995" s="236"/>
      <c r="V5995" s="236"/>
      <c r="W5995" s="236"/>
      <c r="X5995" s="236"/>
      <c r="Y5995" s="236"/>
    </row>
    <row r="5996" spans="1:25" ht="15" customHeight="1">
      <c r="A5996" s="91"/>
      <c r="B5996" s="91"/>
      <c r="C5996" s="220"/>
      <c r="D5996" s="91"/>
      <c r="E5996" s="221"/>
      <c r="F5996" s="91"/>
      <c r="G5996" s="91"/>
      <c r="H5996" s="242"/>
      <c r="I5996" s="223"/>
      <c r="J5996" s="57"/>
      <c r="K5996" s="153"/>
      <c r="L5996" s="153"/>
      <c r="M5996" s="243"/>
      <c r="N5996" s="234"/>
      <c r="O5996" s="235"/>
      <c r="P5996" s="236"/>
      <c r="Q5996" s="236"/>
      <c r="R5996" s="236"/>
      <c r="S5996" s="236"/>
      <c r="T5996" s="236"/>
      <c r="U5996" s="236"/>
      <c r="V5996" s="236"/>
      <c r="W5996" s="236"/>
      <c r="X5996" s="236"/>
      <c r="Y5996" s="236"/>
    </row>
    <row r="5997" spans="1:25" ht="15" customHeight="1">
      <c r="A5997" s="91"/>
      <c r="B5997" s="91"/>
      <c r="C5997" s="220"/>
      <c r="D5997" s="91"/>
      <c r="E5997" s="221"/>
      <c r="F5997" s="91"/>
      <c r="G5997" s="91"/>
      <c r="H5997" s="242"/>
      <c r="I5997" s="223"/>
      <c r="J5997" s="57"/>
      <c r="K5997" s="153"/>
      <c r="L5997" s="153"/>
      <c r="M5997" s="243"/>
      <c r="N5997" s="234"/>
      <c r="O5997" s="235"/>
      <c r="P5997" s="236"/>
      <c r="Q5997" s="236"/>
      <c r="R5997" s="236"/>
      <c r="S5997" s="236"/>
      <c r="T5997" s="236"/>
      <c r="U5997" s="236"/>
      <c r="V5997" s="236"/>
      <c r="W5997" s="236"/>
      <c r="X5997" s="236"/>
      <c r="Y5997" s="236"/>
    </row>
    <row r="5998" spans="1:25" ht="15" customHeight="1">
      <c r="A5998" s="91"/>
      <c r="B5998" s="91"/>
      <c r="C5998" s="220"/>
      <c r="D5998" s="91"/>
      <c r="E5998" s="221"/>
      <c r="F5998" s="91"/>
      <c r="G5998" s="91"/>
      <c r="H5998" s="242"/>
      <c r="I5998" s="223"/>
      <c r="J5998" s="57"/>
      <c r="K5998" s="153"/>
      <c r="L5998" s="153"/>
      <c r="M5998" s="243"/>
      <c r="N5998" s="234"/>
      <c r="O5998" s="235"/>
      <c r="P5998" s="236"/>
      <c r="Q5998" s="236"/>
      <c r="R5998" s="236"/>
      <c r="S5998" s="236"/>
      <c r="T5998" s="236"/>
      <c r="U5998" s="236"/>
      <c r="V5998" s="236"/>
      <c r="W5998" s="236"/>
      <c r="X5998" s="236"/>
      <c r="Y5998" s="236"/>
    </row>
    <row r="5999" spans="1:25" ht="15" customHeight="1">
      <c r="A5999" s="91"/>
      <c r="B5999" s="91"/>
      <c r="C5999" s="220"/>
      <c r="D5999" s="91"/>
      <c r="E5999" s="221"/>
      <c r="F5999" s="91"/>
      <c r="G5999" s="91"/>
      <c r="H5999" s="242"/>
      <c r="I5999" s="223"/>
      <c r="J5999" s="57"/>
      <c r="K5999" s="153"/>
      <c r="L5999" s="153"/>
      <c r="M5999" s="243"/>
      <c r="N5999" s="234"/>
      <c r="O5999" s="235"/>
      <c r="P5999" s="236"/>
      <c r="Q5999" s="236"/>
      <c r="R5999" s="236"/>
      <c r="S5999" s="236"/>
      <c r="T5999" s="236"/>
      <c r="U5999" s="236"/>
      <c r="V5999" s="236"/>
      <c r="W5999" s="236"/>
      <c r="X5999" s="236"/>
      <c r="Y5999" s="236"/>
    </row>
    <row r="6000" spans="1:25" ht="15" customHeight="1">
      <c r="A6000" s="91"/>
      <c r="B6000" s="91"/>
      <c r="C6000" s="220"/>
      <c r="D6000" s="91"/>
      <c r="E6000" s="221"/>
      <c r="F6000" s="91"/>
      <c r="G6000" s="91"/>
      <c r="H6000" s="242"/>
      <c r="I6000" s="223"/>
      <c r="J6000" s="57"/>
      <c r="K6000" s="153"/>
      <c r="L6000" s="153"/>
      <c r="M6000" s="243"/>
      <c r="N6000" s="234"/>
      <c r="O6000" s="235"/>
      <c r="P6000" s="236"/>
      <c r="Q6000" s="236"/>
      <c r="R6000" s="236"/>
      <c r="S6000" s="236"/>
      <c r="T6000" s="236"/>
      <c r="U6000" s="236"/>
      <c r="V6000" s="236"/>
      <c r="W6000" s="236"/>
      <c r="X6000" s="236"/>
      <c r="Y6000" s="236"/>
    </row>
    <row r="6001" spans="1:25" ht="15" customHeight="1">
      <c r="A6001" s="91"/>
      <c r="B6001" s="91"/>
      <c r="C6001" s="220"/>
      <c r="D6001" s="91"/>
      <c r="E6001" s="221"/>
      <c r="F6001" s="91"/>
      <c r="G6001" s="91"/>
      <c r="H6001" s="242"/>
      <c r="I6001" s="223"/>
      <c r="J6001" s="57"/>
      <c r="K6001" s="153"/>
      <c r="L6001" s="153"/>
      <c r="M6001" s="243"/>
      <c r="N6001" s="234"/>
      <c r="O6001" s="235"/>
      <c r="P6001" s="236"/>
      <c r="Q6001" s="236"/>
      <c r="R6001" s="236"/>
      <c r="S6001" s="236"/>
      <c r="T6001" s="236"/>
      <c r="U6001" s="236"/>
      <c r="V6001" s="236"/>
      <c r="W6001" s="236"/>
      <c r="X6001" s="236"/>
      <c r="Y6001" s="236"/>
    </row>
    <row r="6002" spans="1:25" ht="15" customHeight="1">
      <c r="A6002" s="91"/>
      <c r="B6002" s="91"/>
      <c r="C6002" s="220"/>
      <c r="D6002" s="91"/>
      <c r="E6002" s="221"/>
      <c r="F6002" s="91"/>
      <c r="G6002" s="91"/>
      <c r="H6002" s="242"/>
      <c r="I6002" s="223"/>
      <c r="J6002" s="57"/>
      <c r="K6002" s="153"/>
      <c r="L6002" s="153"/>
      <c r="M6002" s="243"/>
      <c r="N6002" s="234"/>
      <c r="O6002" s="235"/>
      <c r="P6002" s="236"/>
      <c r="Q6002" s="236"/>
      <c r="R6002" s="236"/>
      <c r="S6002" s="236"/>
      <c r="T6002" s="236"/>
      <c r="U6002" s="236"/>
      <c r="V6002" s="236"/>
      <c r="W6002" s="236"/>
      <c r="X6002" s="236"/>
      <c r="Y6002" s="236"/>
    </row>
    <row r="6003" spans="1:25" ht="15" customHeight="1">
      <c r="A6003" s="91"/>
      <c r="B6003" s="91"/>
      <c r="C6003" s="220"/>
      <c r="D6003" s="91"/>
      <c r="E6003" s="221"/>
      <c r="F6003" s="91"/>
      <c r="G6003" s="91"/>
      <c r="H6003" s="242"/>
      <c r="I6003" s="223"/>
      <c r="J6003" s="57"/>
      <c r="K6003" s="153"/>
      <c r="L6003" s="153"/>
      <c r="M6003" s="243"/>
      <c r="N6003" s="234"/>
      <c r="O6003" s="235"/>
      <c r="P6003" s="236"/>
      <c r="Q6003" s="236"/>
      <c r="R6003" s="236"/>
      <c r="S6003" s="236"/>
      <c r="T6003" s="236"/>
      <c r="U6003" s="236"/>
      <c r="V6003" s="236"/>
      <c r="W6003" s="236"/>
      <c r="X6003" s="236"/>
      <c r="Y6003" s="236"/>
    </row>
    <row r="6004" spans="1:25" ht="15" customHeight="1">
      <c r="A6004" s="91"/>
      <c r="B6004" s="91"/>
      <c r="C6004" s="220"/>
      <c r="D6004" s="91"/>
      <c r="E6004" s="221"/>
      <c r="F6004" s="91"/>
      <c r="G6004" s="91"/>
      <c r="H6004" s="242"/>
      <c r="I6004" s="223"/>
      <c r="J6004" s="57"/>
      <c r="K6004" s="153"/>
      <c r="L6004" s="153"/>
      <c r="M6004" s="243"/>
      <c r="N6004" s="234"/>
      <c r="O6004" s="235"/>
      <c r="P6004" s="236"/>
      <c r="Q6004" s="236"/>
      <c r="R6004" s="236"/>
      <c r="S6004" s="236"/>
      <c r="T6004" s="236"/>
      <c r="U6004" s="236"/>
      <c r="V6004" s="236"/>
      <c r="W6004" s="236"/>
      <c r="X6004" s="236"/>
      <c r="Y6004" s="236"/>
    </row>
    <row r="6005" spans="1:25" ht="15" customHeight="1">
      <c r="A6005" s="91"/>
      <c r="B6005" s="91"/>
      <c r="C6005" s="220"/>
      <c r="D6005" s="91"/>
      <c r="E6005" s="221"/>
      <c r="F6005" s="91"/>
      <c r="G6005" s="91"/>
      <c r="H6005" s="242"/>
      <c r="I6005" s="223"/>
      <c r="J6005" s="57"/>
      <c r="K6005" s="153"/>
      <c r="L6005" s="153"/>
      <c r="M6005" s="243"/>
      <c r="N6005" s="234"/>
      <c r="O6005" s="235"/>
      <c r="P6005" s="236"/>
      <c r="Q6005" s="236"/>
      <c r="R6005" s="236"/>
      <c r="S6005" s="236"/>
      <c r="T6005" s="236"/>
      <c r="U6005" s="236"/>
      <c r="V6005" s="236"/>
      <c r="W6005" s="236"/>
      <c r="X6005" s="236"/>
      <c r="Y6005" s="236"/>
    </row>
    <row r="6006" spans="1:25" ht="15" customHeight="1">
      <c r="A6006" s="91"/>
      <c r="B6006" s="91"/>
      <c r="C6006" s="220"/>
      <c r="D6006" s="91"/>
      <c r="E6006" s="221"/>
      <c r="F6006" s="91"/>
      <c r="G6006" s="91"/>
      <c r="H6006" s="242"/>
      <c r="I6006" s="223"/>
      <c r="J6006" s="57"/>
      <c r="K6006" s="153"/>
      <c r="L6006" s="153"/>
      <c r="M6006" s="243"/>
      <c r="N6006" s="234"/>
      <c r="O6006" s="235"/>
      <c r="P6006" s="236"/>
      <c r="Q6006" s="236"/>
      <c r="R6006" s="236"/>
      <c r="S6006" s="236"/>
      <c r="T6006" s="236"/>
      <c r="U6006" s="236"/>
      <c r="V6006" s="236"/>
      <c r="W6006" s="236"/>
      <c r="X6006" s="236"/>
      <c r="Y6006" s="236"/>
    </row>
    <row r="6007" spans="1:25" ht="15" customHeight="1">
      <c r="A6007" s="91"/>
      <c r="B6007" s="91"/>
      <c r="C6007" s="220"/>
      <c r="D6007" s="91"/>
      <c r="E6007" s="221"/>
      <c r="F6007" s="91"/>
      <c r="G6007" s="91"/>
      <c r="H6007" s="242"/>
      <c r="I6007" s="223"/>
      <c r="J6007" s="57"/>
      <c r="K6007" s="153"/>
      <c r="L6007" s="153"/>
      <c r="M6007" s="243"/>
      <c r="N6007" s="234"/>
      <c r="O6007" s="235"/>
      <c r="P6007" s="236"/>
      <c r="Q6007" s="236"/>
      <c r="R6007" s="236"/>
      <c r="S6007" s="236"/>
      <c r="T6007" s="236"/>
      <c r="U6007" s="236"/>
      <c r="V6007" s="236"/>
      <c r="W6007" s="236"/>
      <c r="X6007" s="236"/>
      <c r="Y6007" s="236"/>
    </row>
    <row r="6008" spans="1:25" ht="15" customHeight="1">
      <c r="A6008" s="91"/>
      <c r="B6008" s="91"/>
      <c r="C6008" s="220"/>
      <c r="D6008" s="91"/>
      <c r="E6008" s="221"/>
      <c r="F6008" s="91"/>
      <c r="G6008" s="91"/>
      <c r="H6008" s="242"/>
      <c r="I6008" s="223"/>
      <c r="J6008" s="57"/>
      <c r="K6008" s="153"/>
      <c r="L6008" s="153"/>
      <c r="M6008" s="243"/>
      <c r="N6008" s="234"/>
      <c r="O6008" s="235"/>
      <c r="P6008" s="236"/>
      <c r="Q6008" s="236"/>
      <c r="R6008" s="236"/>
      <c r="S6008" s="236"/>
      <c r="T6008" s="236"/>
      <c r="U6008" s="236"/>
      <c r="V6008" s="236"/>
      <c r="W6008" s="236"/>
      <c r="X6008" s="236"/>
      <c r="Y6008" s="236"/>
    </row>
    <row r="6009" spans="1:25" ht="15" customHeight="1">
      <c r="A6009" s="91"/>
      <c r="B6009" s="91"/>
      <c r="C6009" s="220"/>
      <c r="D6009" s="91"/>
      <c r="E6009" s="221"/>
      <c r="F6009" s="91"/>
      <c r="G6009" s="91"/>
      <c r="H6009" s="242"/>
      <c r="I6009" s="223"/>
      <c r="J6009" s="57"/>
      <c r="K6009" s="153"/>
      <c r="L6009" s="153"/>
      <c r="M6009" s="243"/>
      <c r="N6009" s="234"/>
      <c r="O6009" s="235"/>
      <c r="P6009" s="236"/>
      <c r="Q6009" s="236"/>
      <c r="R6009" s="236"/>
      <c r="S6009" s="236"/>
      <c r="T6009" s="236"/>
      <c r="U6009" s="236"/>
      <c r="V6009" s="236"/>
      <c r="W6009" s="236"/>
      <c r="X6009" s="236"/>
      <c r="Y6009" s="236"/>
    </row>
    <row r="6010" spans="1:25" ht="15" customHeight="1">
      <c r="A6010" s="91"/>
      <c r="B6010" s="91"/>
      <c r="C6010" s="220"/>
      <c r="D6010" s="91"/>
      <c r="E6010" s="221"/>
      <c r="F6010" s="91"/>
      <c r="G6010" s="91"/>
      <c r="H6010" s="242"/>
      <c r="I6010" s="223"/>
      <c r="J6010" s="57"/>
      <c r="K6010" s="153"/>
      <c r="L6010" s="153"/>
      <c r="M6010" s="243"/>
      <c r="N6010" s="234"/>
      <c r="O6010" s="235"/>
      <c r="P6010" s="236"/>
      <c r="Q6010" s="236"/>
      <c r="R6010" s="236"/>
      <c r="S6010" s="236"/>
      <c r="T6010" s="236"/>
      <c r="U6010" s="236"/>
      <c r="V6010" s="236"/>
      <c r="W6010" s="236"/>
      <c r="X6010" s="236"/>
      <c r="Y6010" s="236"/>
    </row>
    <row r="6011" spans="1:25" ht="15" customHeight="1">
      <c r="A6011" s="91"/>
      <c r="B6011" s="91"/>
      <c r="C6011" s="220"/>
      <c r="D6011" s="91"/>
      <c r="E6011" s="221"/>
      <c r="F6011" s="91"/>
      <c r="G6011" s="91"/>
      <c r="H6011" s="242"/>
      <c r="I6011" s="223"/>
      <c r="J6011" s="57"/>
      <c r="K6011" s="153"/>
      <c r="L6011" s="153"/>
      <c r="M6011" s="243"/>
      <c r="N6011" s="234"/>
      <c r="O6011" s="235"/>
      <c r="P6011" s="236"/>
      <c r="Q6011" s="236"/>
      <c r="R6011" s="236"/>
      <c r="S6011" s="236"/>
      <c r="T6011" s="236"/>
      <c r="U6011" s="236"/>
      <c r="V6011" s="236"/>
      <c r="W6011" s="236"/>
      <c r="X6011" s="236"/>
      <c r="Y6011" s="236"/>
    </row>
    <row r="6012" spans="1:25" ht="15" customHeight="1">
      <c r="A6012" s="91"/>
      <c r="B6012" s="91"/>
      <c r="C6012" s="220"/>
      <c r="D6012" s="91"/>
      <c r="E6012" s="221"/>
      <c r="F6012" s="91"/>
      <c r="G6012" s="91"/>
      <c r="H6012" s="242"/>
      <c r="I6012" s="223"/>
      <c r="J6012" s="57"/>
      <c r="K6012" s="153"/>
      <c r="L6012" s="153"/>
      <c r="M6012" s="243"/>
      <c r="N6012" s="234"/>
      <c r="O6012" s="235"/>
      <c r="P6012" s="236"/>
      <c r="Q6012" s="236"/>
      <c r="R6012" s="236"/>
      <c r="S6012" s="236"/>
      <c r="T6012" s="236"/>
      <c r="U6012" s="236"/>
      <c r="V6012" s="236"/>
      <c r="W6012" s="236"/>
      <c r="X6012" s="236"/>
      <c r="Y6012" s="236"/>
    </row>
    <row r="6013" spans="1:25" ht="15" customHeight="1">
      <c r="A6013" s="91"/>
      <c r="B6013" s="91"/>
      <c r="C6013" s="220"/>
      <c r="D6013" s="91"/>
      <c r="E6013" s="221"/>
      <c r="F6013" s="91"/>
      <c r="G6013" s="91"/>
      <c r="H6013" s="242"/>
      <c r="I6013" s="223"/>
      <c r="J6013" s="57"/>
      <c r="K6013" s="153"/>
      <c r="L6013" s="153"/>
      <c r="M6013" s="243"/>
      <c r="N6013" s="234"/>
      <c r="O6013" s="235"/>
      <c r="P6013" s="236"/>
      <c r="Q6013" s="236"/>
      <c r="R6013" s="236"/>
      <c r="S6013" s="236"/>
      <c r="T6013" s="236"/>
      <c r="U6013" s="236"/>
      <c r="V6013" s="236"/>
      <c r="W6013" s="236"/>
      <c r="X6013" s="236"/>
      <c r="Y6013" s="236"/>
    </row>
    <row r="6014" spans="1:25" ht="15" customHeight="1">
      <c r="A6014" s="91"/>
      <c r="B6014" s="91"/>
      <c r="C6014" s="220"/>
      <c r="D6014" s="91"/>
      <c r="E6014" s="221"/>
      <c r="F6014" s="91"/>
      <c r="G6014" s="91"/>
      <c r="H6014" s="242"/>
      <c r="I6014" s="223"/>
      <c r="J6014" s="57"/>
      <c r="K6014" s="153"/>
      <c r="L6014" s="153"/>
      <c r="M6014" s="243"/>
      <c r="N6014" s="234"/>
      <c r="O6014" s="235"/>
      <c r="P6014" s="236"/>
      <c r="Q6014" s="236"/>
      <c r="R6014" s="236"/>
      <c r="S6014" s="236"/>
      <c r="T6014" s="236"/>
      <c r="U6014" s="236"/>
      <c r="V6014" s="236"/>
      <c r="W6014" s="236"/>
      <c r="X6014" s="236"/>
      <c r="Y6014" s="236"/>
    </row>
    <row r="6015" spans="1:25" ht="15" customHeight="1">
      <c r="A6015" s="91"/>
      <c r="B6015" s="91"/>
      <c r="C6015" s="220"/>
      <c r="D6015" s="91"/>
      <c r="E6015" s="221"/>
      <c r="F6015" s="91"/>
      <c r="G6015" s="91"/>
      <c r="H6015" s="242"/>
      <c r="I6015" s="223"/>
      <c r="J6015" s="57"/>
      <c r="K6015" s="153"/>
      <c r="L6015" s="153"/>
      <c r="M6015" s="243"/>
      <c r="N6015" s="234"/>
      <c r="O6015" s="235"/>
      <c r="P6015" s="236"/>
      <c r="Q6015" s="236"/>
      <c r="R6015" s="236"/>
      <c r="S6015" s="236"/>
      <c r="T6015" s="236"/>
      <c r="U6015" s="236"/>
      <c r="V6015" s="236"/>
      <c r="W6015" s="236"/>
      <c r="X6015" s="236"/>
      <c r="Y6015" s="236"/>
    </row>
    <row r="6016" spans="1:25" ht="15" customHeight="1">
      <c r="A6016" s="91"/>
      <c r="B6016" s="91"/>
      <c r="C6016" s="220"/>
      <c r="D6016" s="91"/>
      <c r="E6016" s="221"/>
      <c r="F6016" s="91"/>
      <c r="G6016" s="91"/>
      <c r="H6016" s="242"/>
      <c r="I6016" s="223"/>
      <c r="J6016" s="57"/>
      <c r="K6016" s="153"/>
      <c r="L6016" s="153"/>
      <c r="M6016" s="243"/>
      <c r="N6016" s="234"/>
      <c r="O6016" s="235"/>
      <c r="P6016" s="236"/>
      <c r="Q6016" s="236"/>
      <c r="R6016" s="236"/>
      <c r="S6016" s="236"/>
      <c r="T6016" s="236"/>
      <c r="U6016" s="236"/>
      <c r="V6016" s="236"/>
      <c r="W6016" s="236"/>
      <c r="X6016" s="236"/>
      <c r="Y6016" s="236"/>
    </row>
    <row r="6017" spans="1:25" ht="15" customHeight="1">
      <c r="A6017" s="91"/>
      <c r="B6017" s="91"/>
      <c r="C6017" s="220"/>
      <c r="D6017" s="91"/>
      <c r="E6017" s="221"/>
      <c r="F6017" s="91"/>
      <c r="G6017" s="91"/>
      <c r="H6017" s="242"/>
      <c r="I6017" s="223"/>
      <c r="J6017" s="57"/>
      <c r="K6017" s="153"/>
      <c r="L6017" s="153"/>
      <c r="M6017" s="243"/>
      <c r="N6017" s="234"/>
      <c r="O6017" s="235"/>
      <c r="P6017" s="236"/>
      <c r="Q6017" s="236"/>
      <c r="R6017" s="236"/>
      <c r="S6017" s="236"/>
      <c r="T6017" s="236"/>
      <c r="U6017" s="236"/>
      <c r="V6017" s="236"/>
      <c r="W6017" s="236"/>
      <c r="X6017" s="236"/>
      <c r="Y6017" s="236"/>
    </row>
    <row r="6018" spans="1:25" ht="15" customHeight="1">
      <c r="A6018" s="91"/>
      <c r="B6018" s="91"/>
      <c r="C6018" s="220"/>
      <c r="D6018" s="91"/>
      <c r="E6018" s="221"/>
      <c r="F6018" s="91"/>
      <c r="G6018" s="91"/>
      <c r="H6018" s="242"/>
      <c r="I6018" s="223"/>
      <c r="J6018" s="57"/>
      <c r="K6018" s="153"/>
      <c r="L6018" s="153"/>
      <c r="M6018" s="243"/>
      <c r="N6018" s="234"/>
      <c r="O6018" s="235"/>
      <c r="P6018" s="236"/>
      <c r="Q6018" s="236"/>
      <c r="R6018" s="236"/>
      <c r="S6018" s="236"/>
      <c r="T6018" s="236"/>
      <c r="U6018" s="236"/>
      <c r="V6018" s="236"/>
      <c r="W6018" s="236"/>
      <c r="X6018" s="236"/>
      <c r="Y6018" s="236"/>
    </row>
    <row r="6019" spans="1:25" ht="15" customHeight="1">
      <c r="A6019" s="91"/>
      <c r="B6019" s="91"/>
      <c r="C6019" s="220"/>
      <c r="D6019" s="91"/>
      <c r="E6019" s="221"/>
      <c r="F6019" s="91"/>
      <c r="G6019" s="91"/>
      <c r="H6019" s="242"/>
      <c r="I6019" s="223"/>
      <c r="J6019" s="57"/>
      <c r="K6019" s="153"/>
      <c r="L6019" s="153"/>
      <c r="M6019" s="243"/>
      <c r="N6019" s="234"/>
      <c r="O6019" s="235"/>
      <c r="P6019" s="236"/>
      <c r="Q6019" s="236"/>
      <c r="R6019" s="236"/>
      <c r="S6019" s="236"/>
      <c r="T6019" s="236"/>
      <c r="U6019" s="236"/>
      <c r="V6019" s="236"/>
      <c r="W6019" s="236"/>
      <c r="X6019" s="236"/>
      <c r="Y6019" s="236"/>
    </row>
    <row r="6020" spans="1:25" ht="15" customHeight="1">
      <c r="A6020" s="91"/>
      <c r="B6020" s="91"/>
      <c r="C6020" s="220"/>
      <c r="D6020" s="91"/>
      <c r="E6020" s="221"/>
      <c r="F6020" s="91"/>
      <c r="G6020" s="91"/>
      <c r="H6020" s="242"/>
      <c r="I6020" s="223"/>
      <c r="J6020" s="57"/>
      <c r="K6020" s="153"/>
      <c r="L6020" s="153"/>
      <c r="M6020" s="243"/>
      <c r="N6020" s="234"/>
      <c r="O6020" s="235"/>
      <c r="P6020" s="236"/>
      <c r="Q6020" s="236"/>
      <c r="R6020" s="236"/>
      <c r="S6020" s="236"/>
      <c r="T6020" s="236"/>
      <c r="U6020" s="236"/>
      <c r="V6020" s="236"/>
      <c r="W6020" s="236"/>
      <c r="X6020" s="236"/>
      <c r="Y6020" s="236"/>
    </row>
    <row r="6021" spans="1:25" ht="15" customHeight="1">
      <c r="A6021" s="91"/>
      <c r="B6021" s="91"/>
      <c r="C6021" s="220"/>
      <c r="D6021" s="91"/>
      <c r="E6021" s="221"/>
      <c r="F6021" s="91"/>
      <c r="G6021" s="91"/>
      <c r="H6021" s="242"/>
      <c r="I6021" s="223"/>
      <c r="J6021" s="57"/>
      <c r="K6021" s="153"/>
      <c r="L6021" s="153"/>
      <c r="M6021" s="243"/>
      <c r="N6021" s="234"/>
      <c r="O6021" s="235"/>
      <c r="P6021" s="236"/>
      <c r="Q6021" s="236"/>
      <c r="R6021" s="236"/>
      <c r="S6021" s="236"/>
      <c r="T6021" s="236"/>
      <c r="U6021" s="236"/>
      <c r="V6021" s="236"/>
      <c r="W6021" s="236"/>
      <c r="X6021" s="236"/>
      <c r="Y6021" s="236"/>
    </row>
    <row r="6022" spans="1:25" ht="15" customHeight="1">
      <c r="A6022" s="91"/>
      <c r="B6022" s="91"/>
      <c r="C6022" s="220"/>
      <c r="D6022" s="91"/>
      <c r="E6022" s="221"/>
      <c r="F6022" s="91"/>
      <c r="G6022" s="91"/>
      <c r="H6022" s="242"/>
      <c r="I6022" s="223"/>
      <c r="J6022" s="57"/>
      <c r="K6022" s="153"/>
      <c r="L6022" s="153"/>
      <c r="M6022" s="243"/>
      <c r="N6022" s="234"/>
      <c r="O6022" s="235"/>
      <c r="P6022" s="236"/>
      <c r="Q6022" s="236"/>
      <c r="R6022" s="236"/>
      <c r="S6022" s="236"/>
      <c r="T6022" s="236"/>
      <c r="U6022" s="236"/>
      <c r="V6022" s="236"/>
      <c r="W6022" s="236"/>
      <c r="X6022" s="236"/>
      <c r="Y6022" s="236"/>
    </row>
    <row r="6023" spans="1:25" ht="15" customHeight="1">
      <c r="A6023" s="91"/>
      <c r="B6023" s="91"/>
      <c r="C6023" s="220"/>
      <c r="D6023" s="91"/>
      <c r="E6023" s="221"/>
      <c r="F6023" s="91"/>
      <c r="G6023" s="91"/>
      <c r="H6023" s="242"/>
      <c r="I6023" s="223"/>
      <c r="J6023" s="57"/>
      <c r="K6023" s="153"/>
      <c r="L6023" s="153"/>
      <c r="M6023" s="243"/>
      <c r="N6023" s="234"/>
      <c r="O6023" s="235"/>
      <c r="P6023" s="236"/>
      <c r="Q6023" s="236"/>
      <c r="R6023" s="236"/>
      <c r="S6023" s="236"/>
      <c r="T6023" s="236"/>
      <c r="U6023" s="236"/>
      <c r="V6023" s="236"/>
      <c r="W6023" s="236"/>
      <c r="X6023" s="236"/>
      <c r="Y6023" s="236"/>
    </row>
    <row r="6024" spans="1:25" ht="15" customHeight="1">
      <c r="A6024" s="91"/>
      <c r="B6024" s="91"/>
      <c r="C6024" s="220"/>
      <c r="D6024" s="91"/>
      <c r="E6024" s="221"/>
      <c r="F6024" s="91"/>
      <c r="G6024" s="91"/>
      <c r="H6024" s="242"/>
      <c r="I6024" s="223"/>
      <c r="J6024" s="57"/>
      <c r="K6024" s="153"/>
      <c r="L6024" s="153"/>
      <c r="M6024" s="243"/>
      <c r="N6024" s="234"/>
      <c r="O6024" s="235"/>
      <c r="P6024" s="236"/>
      <c r="Q6024" s="236"/>
      <c r="R6024" s="236"/>
      <c r="S6024" s="236"/>
      <c r="T6024" s="236"/>
      <c r="U6024" s="236"/>
      <c r="V6024" s="236"/>
      <c r="W6024" s="236"/>
      <c r="X6024" s="236"/>
      <c r="Y6024" s="236"/>
    </row>
    <row r="6025" spans="1:25" ht="15" customHeight="1">
      <c r="A6025" s="91"/>
      <c r="B6025" s="91"/>
      <c r="C6025" s="220"/>
      <c r="D6025" s="91"/>
      <c r="E6025" s="221"/>
      <c r="F6025" s="91"/>
      <c r="G6025" s="91"/>
      <c r="H6025" s="242"/>
      <c r="I6025" s="223"/>
      <c r="J6025" s="57"/>
      <c r="K6025" s="153"/>
      <c r="L6025" s="153"/>
      <c r="M6025" s="243"/>
      <c r="N6025" s="234"/>
      <c r="O6025" s="235"/>
      <c r="P6025" s="236"/>
      <c r="Q6025" s="236"/>
      <c r="R6025" s="236"/>
      <c r="S6025" s="236"/>
      <c r="T6025" s="236"/>
      <c r="U6025" s="236"/>
      <c r="V6025" s="236"/>
      <c r="W6025" s="236"/>
      <c r="X6025" s="236"/>
      <c r="Y6025" s="236"/>
    </row>
    <row r="6026" spans="1:25" ht="15" customHeight="1">
      <c r="A6026" s="91"/>
      <c r="B6026" s="91"/>
      <c r="C6026" s="220"/>
      <c r="D6026" s="91"/>
      <c r="E6026" s="221"/>
      <c r="F6026" s="91"/>
      <c r="G6026" s="91"/>
      <c r="H6026" s="242"/>
      <c r="I6026" s="223"/>
      <c r="J6026" s="57"/>
      <c r="K6026" s="153"/>
      <c r="L6026" s="153"/>
      <c r="M6026" s="243"/>
      <c r="N6026" s="234"/>
      <c r="O6026" s="235"/>
      <c r="P6026" s="236"/>
      <c r="Q6026" s="236"/>
      <c r="R6026" s="236"/>
      <c r="S6026" s="236"/>
      <c r="T6026" s="236"/>
      <c r="U6026" s="236"/>
      <c r="V6026" s="236"/>
      <c r="W6026" s="236"/>
      <c r="X6026" s="236"/>
      <c r="Y6026" s="236"/>
    </row>
    <row r="6027" spans="1:25" ht="15" customHeight="1">
      <c r="A6027" s="91"/>
      <c r="B6027" s="91"/>
      <c r="C6027" s="220"/>
      <c r="D6027" s="91"/>
      <c r="E6027" s="221"/>
      <c r="F6027" s="91"/>
      <c r="G6027" s="91"/>
      <c r="H6027" s="242"/>
      <c r="I6027" s="223"/>
      <c r="J6027" s="57"/>
      <c r="K6027" s="153"/>
      <c r="L6027" s="153"/>
      <c r="M6027" s="243"/>
      <c r="N6027" s="234"/>
      <c r="O6027" s="235"/>
      <c r="P6027" s="236"/>
      <c r="Q6027" s="236"/>
      <c r="R6027" s="236"/>
      <c r="S6027" s="236"/>
      <c r="T6027" s="236"/>
      <c r="U6027" s="236"/>
      <c r="V6027" s="236"/>
      <c r="W6027" s="236"/>
      <c r="X6027" s="236"/>
      <c r="Y6027" s="236"/>
    </row>
    <row r="6028" spans="1:25" ht="15" customHeight="1">
      <c r="A6028" s="91"/>
      <c r="B6028" s="91"/>
      <c r="C6028" s="220"/>
      <c r="D6028" s="91"/>
      <c r="E6028" s="221"/>
      <c r="F6028" s="91"/>
      <c r="G6028" s="91"/>
      <c r="H6028" s="242"/>
      <c r="I6028" s="223"/>
      <c r="J6028" s="57"/>
      <c r="K6028" s="153"/>
      <c r="L6028" s="153"/>
      <c r="M6028" s="243"/>
      <c r="N6028" s="234"/>
      <c r="O6028" s="235"/>
      <c r="P6028" s="236"/>
      <c r="Q6028" s="236"/>
      <c r="R6028" s="236"/>
      <c r="S6028" s="236"/>
      <c r="T6028" s="236"/>
      <c r="U6028" s="236"/>
      <c r="V6028" s="236"/>
      <c r="W6028" s="236"/>
      <c r="X6028" s="236"/>
      <c r="Y6028" s="236"/>
    </row>
    <row r="6029" spans="1:25" ht="15" customHeight="1">
      <c r="A6029" s="91"/>
      <c r="B6029" s="91"/>
      <c r="C6029" s="220"/>
      <c r="D6029" s="91"/>
      <c r="E6029" s="221"/>
      <c r="F6029" s="91"/>
      <c r="G6029" s="91"/>
      <c r="H6029" s="242"/>
      <c r="I6029" s="223"/>
      <c r="J6029" s="57"/>
      <c r="K6029" s="153"/>
      <c r="L6029" s="153"/>
      <c r="M6029" s="243"/>
      <c r="N6029" s="234"/>
      <c r="O6029" s="235"/>
      <c r="P6029" s="236"/>
      <c r="Q6029" s="236"/>
      <c r="R6029" s="236"/>
      <c r="S6029" s="236"/>
      <c r="T6029" s="236"/>
      <c r="U6029" s="236"/>
      <c r="V6029" s="236"/>
      <c r="W6029" s="236"/>
      <c r="X6029" s="236"/>
      <c r="Y6029" s="236"/>
    </row>
    <row r="6030" spans="1:25" ht="15" customHeight="1">
      <c r="A6030" s="91"/>
      <c r="B6030" s="91"/>
      <c r="C6030" s="220"/>
      <c r="D6030" s="91"/>
      <c r="E6030" s="221"/>
      <c r="F6030" s="91"/>
      <c r="G6030" s="91"/>
      <c r="H6030" s="242"/>
      <c r="I6030" s="223"/>
      <c r="J6030" s="57"/>
      <c r="K6030" s="153"/>
      <c r="L6030" s="153"/>
      <c r="M6030" s="243"/>
      <c r="N6030" s="234"/>
      <c r="O6030" s="235"/>
      <c r="P6030" s="236"/>
      <c r="Q6030" s="236"/>
      <c r="R6030" s="236"/>
      <c r="S6030" s="236"/>
      <c r="T6030" s="236"/>
      <c r="U6030" s="236"/>
      <c r="V6030" s="236"/>
      <c r="W6030" s="236"/>
      <c r="X6030" s="236"/>
      <c r="Y6030" s="236"/>
    </row>
    <row r="6031" spans="1:25" ht="15" customHeight="1">
      <c r="A6031" s="91"/>
      <c r="B6031" s="91"/>
      <c r="C6031" s="220"/>
      <c r="D6031" s="91"/>
      <c r="E6031" s="221"/>
      <c r="F6031" s="91"/>
      <c r="G6031" s="91"/>
      <c r="H6031" s="242"/>
      <c r="I6031" s="223"/>
      <c r="J6031" s="57"/>
      <c r="K6031" s="153"/>
      <c r="L6031" s="153"/>
      <c r="M6031" s="243"/>
      <c r="N6031" s="234"/>
      <c r="O6031" s="235"/>
      <c r="P6031" s="236"/>
      <c r="Q6031" s="236"/>
      <c r="R6031" s="236"/>
      <c r="S6031" s="236"/>
      <c r="T6031" s="236"/>
      <c r="U6031" s="236"/>
      <c r="V6031" s="236"/>
      <c r="W6031" s="236"/>
      <c r="X6031" s="236"/>
      <c r="Y6031" s="236"/>
    </row>
    <row r="6032" spans="1:25" ht="15" customHeight="1">
      <c r="A6032" s="91"/>
      <c r="B6032" s="91"/>
      <c r="C6032" s="220"/>
      <c r="D6032" s="91"/>
      <c r="E6032" s="221"/>
      <c r="F6032" s="91"/>
      <c r="G6032" s="91"/>
      <c r="H6032" s="242"/>
      <c r="I6032" s="223"/>
      <c r="J6032" s="57"/>
      <c r="K6032" s="153"/>
      <c r="L6032" s="153"/>
      <c r="M6032" s="243"/>
      <c r="N6032" s="234"/>
      <c r="O6032" s="235"/>
      <c r="P6032" s="236"/>
      <c r="Q6032" s="236"/>
      <c r="R6032" s="236"/>
      <c r="S6032" s="236"/>
      <c r="T6032" s="236"/>
      <c r="U6032" s="236"/>
      <c r="V6032" s="236"/>
      <c r="W6032" s="236"/>
      <c r="X6032" s="236"/>
      <c r="Y6032" s="236"/>
    </row>
    <row r="6033" spans="1:25" ht="15" customHeight="1">
      <c r="A6033" s="91"/>
      <c r="B6033" s="91"/>
      <c r="C6033" s="220"/>
      <c r="D6033" s="91"/>
      <c r="E6033" s="221"/>
      <c r="F6033" s="91"/>
      <c r="G6033" s="91"/>
      <c r="H6033" s="242"/>
      <c r="I6033" s="223"/>
      <c r="J6033" s="57"/>
      <c r="K6033" s="153"/>
      <c r="L6033" s="153"/>
      <c r="M6033" s="243"/>
      <c r="N6033" s="234"/>
      <c r="O6033" s="235"/>
      <c r="P6033" s="236"/>
      <c r="Q6033" s="236"/>
      <c r="R6033" s="236"/>
      <c r="S6033" s="236"/>
      <c r="T6033" s="236"/>
      <c r="U6033" s="236"/>
      <c r="V6033" s="236"/>
      <c r="W6033" s="236"/>
      <c r="X6033" s="236"/>
      <c r="Y6033" s="236"/>
    </row>
    <row r="6034" spans="1:25" ht="15" customHeight="1">
      <c r="A6034" s="91"/>
      <c r="B6034" s="91"/>
      <c r="C6034" s="220"/>
      <c r="D6034" s="91"/>
      <c r="E6034" s="221"/>
      <c r="F6034" s="91"/>
      <c r="G6034" s="91"/>
      <c r="H6034" s="242"/>
      <c r="I6034" s="223"/>
      <c r="J6034" s="57"/>
      <c r="K6034" s="153"/>
      <c r="L6034" s="153"/>
      <c r="M6034" s="243"/>
      <c r="N6034" s="234"/>
      <c r="O6034" s="235"/>
      <c r="P6034" s="236"/>
      <c r="Q6034" s="236"/>
      <c r="R6034" s="236"/>
      <c r="S6034" s="236"/>
      <c r="T6034" s="236"/>
      <c r="U6034" s="236"/>
      <c r="V6034" s="236"/>
      <c r="W6034" s="236"/>
      <c r="X6034" s="236"/>
      <c r="Y6034" s="236"/>
    </row>
    <row r="6035" spans="1:25" ht="15" customHeight="1">
      <c r="A6035" s="91"/>
      <c r="B6035" s="91"/>
      <c r="C6035" s="220"/>
      <c r="D6035" s="91"/>
      <c r="E6035" s="221"/>
      <c r="F6035" s="91"/>
      <c r="G6035" s="91"/>
      <c r="H6035" s="242"/>
      <c r="I6035" s="223"/>
      <c r="J6035" s="57"/>
      <c r="K6035" s="153"/>
      <c r="L6035" s="153"/>
      <c r="M6035" s="243"/>
      <c r="N6035" s="234"/>
      <c r="O6035" s="235"/>
      <c r="P6035" s="236"/>
      <c r="Q6035" s="236"/>
      <c r="R6035" s="236"/>
      <c r="S6035" s="236"/>
      <c r="T6035" s="236"/>
      <c r="U6035" s="236"/>
      <c r="V6035" s="236"/>
      <c r="W6035" s="236"/>
      <c r="X6035" s="236"/>
      <c r="Y6035" s="236"/>
    </row>
    <row r="6036" spans="1:25" ht="15" customHeight="1">
      <c r="A6036" s="91"/>
      <c r="B6036" s="91"/>
      <c r="C6036" s="220"/>
      <c r="D6036" s="91"/>
      <c r="E6036" s="221"/>
      <c r="F6036" s="91"/>
      <c r="G6036" s="91"/>
      <c r="H6036" s="242"/>
      <c r="I6036" s="223"/>
      <c r="J6036" s="57"/>
      <c r="K6036" s="153"/>
      <c r="L6036" s="153"/>
      <c r="M6036" s="243"/>
      <c r="N6036" s="234"/>
      <c r="O6036" s="235"/>
      <c r="P6036" s="236"/>
      <c r="Q6036" s="236"/>
      <c r="R6036" s="236"/>
      <c r="S6036" s="236"/>
      <c r="T6036" s="236"/>
      <c r="U6036" s="236"/>
      <c r="V6036" s="236"/>
      <c r="W6036" s="236"/>
      <c r="X6036" s="236"/>
      <c r="Y6036" s="236"/>
    </row>
    <row r="6037" spans="1:25" ht="15" customHeight="1">
      <c r="A6037" s="91"/>
      <c r="B6037" s="91"/>
      <c r="C6037" s="220"/>
      <c r="D6037" s="91"/>
      <c r="E6037" s="221"/>
      <c r="F6037" s="91"/>
      <c r="G6037" s="91"/>
      <c r="H6037" s="242"/>
      <c r="I6037" s="223"/>
      <c r="J6037" s="57"/>
      <c r="K6037" s="153"/>
      <c r="L6037" s="153"/>
      <c r="M6037" s="243"/>
      <c r="N6037" s="234"/>
      <c r="O6037" s="235"/>
      <c r="P6037" s="236"/>
      <c r="Q6037" s="236"/>
      <c r="R6037" s="236"/>
      <c r="S6037" s="236"/>
      <c r="T6037" s="236"/>
      <c r="U6037" s="236"/>
      <c r="V6037" s="236"/>
      <c r="W6037" s="236"/>
      <c r="X6037" s="236"/>
      <c r="Y6037" s="236"/>
    </row>
    <row r="6038" spans="1:25" ht="15" customHeight="1">
      <c r="A6038" s="91"/>
      <c r="B6038" s="91"/>
      <c r="C6038" s="220"/>
      <c r="D6038" s="91"/>
      <c r="E6038" s="221"/>
      <c r="F6038" s="91"/>
      <c r="G6038" s="91"/>
      <c r="H6038" s="242"/>
      <c r="I6038" s="223"/>
      <c r="J6038" s="57"/>
      <c r="K6038" s="153"/>
      <c r="L6038" s="153"/>
      <c r="M6038" s="243"/>
      <c r="N6038" s="234"/>
      <c r="O6038" s="235"/>
      <c r="P6038" s="236"/>
      <c r="Q6038" s="236"/>
      <c r="R6038" s="236"/>
      <c r="S6038" s="236"/>
      <c r="T6038" s="236"/>
      <c r="U6038" s="236"/>
      <c r="V6038" s="236"/>
      <c r="W6038" s="236"/>
      <c r="X6038" s="236"/>
      <c r="Y6038" s="236"/>
    </row>
    <row r="6039" spans="1:25" ht="15" customHeight="1">
      <c r="A6039" s="91"/>
      <c r="B6039" s="91"/>
      <c r="C6039" s="220"/>
      <c r="D6039" s="91"/>
      <c r="E6039" s="221"/>
      <c r="F6039" s="91"/>
      <c r="G6039" s="91"/>
      <c r="H6039" s="242"/>
      <c r="I6039" s="223"/>
      <c r="J6039" s="57"/>
      <c r="K6039" s="153"/>
      <c r="L6039" s="153"/>
      <c r="M6039" s="243"/>
      <c r="N6039" s="234"/>
      <c r="O6039" s="235"/>
      <c r="P6039" s="236"/>
      <c r="Q6039" s="236"/>
      <c r="R6039" s="236"/>
      <c r="S6039" s="236"/>
      <c r="T6039" s="236"/>
      <c r="U6039" s="236"/>
      <c r="V6039" s="236"/>
      <c r="W6039" s="236"/>
      <c r="X6039" s="236"/>
      <c r="Y6039" s="236"/>
    </row>
    <row r="6040" spans="1:25" ht="15" customHeight="1">
      <c r="A6040" s="91"/>
      <c r="B6040" s="91"/>
      <c r="C6040" s="220"/>
      <c r="D6040" s="91"/>
      <c r="E6040" s="221"/>
      <c r="F6040" s="91"/>
      <c r="G6040" s="91"/>
      <c r="H6040" s="242"/>
      <c r="I6040" s="223"/>
      <c r="J6040" s="57"/>
      <c r="K6040" s="153"/>
      <c r="L6040" s="153"/>
      <c r="M6040" s="243"/>
      <c r="N6040" s="234"/>
      <c r="O6040" s="235"/>
      <c r="P6040" s="236"/>
      <c r="Q6040" s="236"/>
      <c r="R6040" s="236"/>
      <c r="S6040" s="236"/>
      <c r="T6040" s="236"/>
      <c r="U6040" s="236"/>
      <c r="V6040" s="236"/>
      <c r="W6040" s="236"/>
      <c r="X6040" s="236"/>
      <c r="Y6040" s="236"/>
    </row>
    <row r="6041" spans="1:25" ht="15" customHeight="1">
      <c r="A6041" s="91"/>
      <c r="B6041" s="91"/>
      <c r="C6041" s="220"/>
      <c r="D6041" s="91"/>
      <c r="E6041" s="221"/>
      <c r="F6041" s="91"/>
      <c r="G6041" s="91"/>
      <c r="H6041" s="242"/>
      <c r="I6041" s="223"/>
      <c r="J6041" s="57"/>
      <c r="K6041" s="153"/>
      <c r="L6041" s="153"/>
      <c r="M6041" s="243"/>
      <c r="N6041" s="234"/>
      <c r="O6041" s="235"/>
      <c r="P6041" s="236"/>
      <c r="Q6041" s="236"/>
      <c r="R6041" s="236"/>
      <c r="S6041" s="236"/>
      <c r="T6041" s="236"/>
      <c r="U6041" s="236"/>
      <c r="V6041" s="236"/>
      <c r="W6041" s="236"/>
      <c r="X6041" s="236"/>
      <c r="Y6041" s="236"/>
    </row>
    <row r="6042" spans="1:25" ht="15" customHeight="1">
      <c r="A6042" s="91"/>
      <c r="B6042" s="91"/>
      <c r="C6042" s="220"/>
      <c r="D6042" s="91"/>
      <c r="E6042" s="221"/>
      <c r="F6042" s="91"/>
      <c r="G6042" s="91"/>
      <c r="H6042" s="242"/>
      <c r="I6042" s="223"/>
      <c r="J6042" s="57"/>
      <c r="K6042" s="153"/>
      <c r="L6042" s="153"/>
      <c r="M6042" s="243"/>
      <c r="N6042" s="234"/>
      <c r="O6042" s="235"/>
      <c r="P6042" s="236"/>
      <c r="Q6042" s="236"/>
      <c r="R6042" s="236"/>
      <c r="S6042" s="236"/>
      <c r="T6042" s="236"/>
      <c r="U6042" s="236"/>
      <c r="V6042" s="236"/>
      <c r="W6042" s="236"/>
      <c r="X6042" s="236"/>
      <c r="Y6042" s="236"/>
    </row>
    <row r="6043" spans="1:25" ht="15" customHeight="1">
      <c r="A6043" s="91"/>
      <c r="B6043" s="91"/>
      <c r="C6043" s="220"/>
      <c r="D6043" s="91"/>
      <c r="E6043" s="221"/>
      <c r="F6043" s="91"/>
      <c r="G6043" s="91"/>
      <c r="H6043" s="242"/>
      <c r="I6043" s="223"/>
      <c r="J6043" s="57"/>
      <c r="K6043" s="153"/>
      <c r="L6043" s="153"/>
      <c r="M6043" s="243"/>
      <c r="N6043" s="234"/>
      <c r="O6043" s="235"/>
      <c r="P6043" s="236"/>
      <c r="Q6043" s="236"/>
      <c r="R6043" s="236"/>
      <c r="S6043" s="236"/>
      <c r="T6043" s="236"/>
      <c r="U6043" s="236"/>
      <c r="V6043" s="236"/>
      <c r="W6043" s="236"/>
      <c r="X6043" s="236"/>
      <c r="Y6043" s="236"/>
    </row>
    <row r="6044" spans="1:25" ht="15" customHeight="1">
      <c r="A6044" s="91"/>
      <c r="B6044" s="91"/>
      <c r="C6044" s="220"/>
      <c r="D6044" s="91"/>
      <c r="E6044" s="221"/>
      <c r="F6044" s="91"/>
      <c r="G6044" s="91"/>
      <c r="H6044" s="242"/>
      <c r="I6044" s="223"/>
      <c r="J6044" s="57"/>
      <c r="K6044" s="153"/>
      <c r="L6044" s="153"/>
      <c r="M6044" s="243"/>
      <c r="N6044" s="234"/>
      <c r="O6044" s="235"/>
      <c r="P6044" s="236"/>
      <c r="Q6044" s="236"/>
      <c r="R6044" s="236"/>
      <c r="S6044" s="236"/>
      <c r="T6044" s="236"/>
      <c r="U6044" s="236"/>
      <c r="V6044" s="236"/>
      <c r="W6044" s="236"/>
      <c r="X6044" s="236"/>
      <c r="Y6044" s="236"/>
    </row>
    <row r="6045" spans="1:25" ht="15" customHeight="1">
      <c r="A6045" s="91"/>
      <c r="B6045" s="91"/>
      <c r="C6045" s="220"/>
      <c r="D6045" s="91"/>
      <c r="E6045" s="221"/>
      <c r="F6045" s="91"/>
      <c r="G6045" s="91"/>
      <c r="H6045" s="242"/>
      <c r="I6045" s="223"/>
      <c r="J6045" s="57"/>
      <c r="K6045" s="153"/>
      <c r="L6045" s="153"/>
      <c r="M6045" s="243"/>
      <c r="N6045" s="234"/>
      <c r="O6045" s="235"/>
      <c r="P6045" s="236"/>
      <c r="Q6045" s="236"/>
      <c r="R6045" s="236"/>
      <c r="S6045" s="236"/>
      <c r="T6045" s="236"/>
      <c r="U6045" s="236"/>
      <c r="V6045" s="236"/>
      <c r="W6045" s="236"/>
      <c r="X6045" s="236"/>
      <c r="Y6045" s="236"/>
    </row>
    <row r="6046" spans="1:25" ht="15" customHeight="1">
      <c r="A6046" s="91"/>
      <c r="B6046" s="91"/>
      <c r="C6046" s="220"/>
      <c r="D6046" s="91"/>
      <c r="E6046" s="221"/>
      <c r="F6046" s="91"/>
      <c r="G6046" s="91"/>
      <c r="H6046" s="242"/>
      <c r="I6046" s="223"/>
      <c r="J6046" s="57"/>
      <c r="K6046" s="153"/>
      <c r="L6046" s="153"/>
      <c r="M6046" s="243"/>
      <c r="N6046" s="234"/>
      <c r="O6046" s="235"/>
      <c r="P6046" s="236"/>
      <c r="Q6046" s="236"/>
      <c r="R6046" s="236"/>
      <c r="S6046" s="236"/>
      <c r="T6046" s="236"/>
      <c r="U6046" s="236"/>
      <c r="V6046" s="236"/>
      <c r="W6046" s="236"/>
      <c r="X6046" s="236"/>
      <c r="Y6046" s="236"/>
    </row>
    <row r="6047" spans="1:25" ht="15" customHeight="1">
      <c r="A6047" s="91"/>
      <c r="B6047" s="91"/>
      <c r="C6047" s="220"/>
      <c r="D6047" s="91"/>
      <c r="E6047" s="221"/>
      <c r="F6047" s="91"/>
      <c r="G6047" s="91"/>
      <c r="H6047" s="242"/>
      <c r="I6047" s="223"/>
      <c r="J6047" s="57"/>
      <c r="K6047" s="153"/>
      <c r="L6047" s="153"/>
      <c r="M6047" s="243"/>
      <c r="N6047" s="234"/>
      <c r="O6047" s="235"/>
      <c r="P6047" s="236"/>
      <c r="Q6047" s="236"/>
      <c r="R6047" s="236"/>
      <c r="S6047" s="236"/>
      <c r="T6047" s="236"/>
      <c r="U6047" s="236"/>
      <c r="V6047" s="236"/>
      <c r="W6047" s="236"/>
      <c r="X6047" s="236"/>
      <c r="Y6047" s="236"/>
    </row>
    <row r="6048" spans="1:25" ht="15" customHeight="1">
      <c r="A6048" s="91"/>
      <c r="B6048" s="91"/>
      <c r="C6048" s="220"/>
      <c r="D6048" s="91"/>
      <c r="E6048" s="221"/>
      <c r="F6048" s="91"/>
      <c r="G6048" s="91"/>
      <c r="H6048" s="242"/>
      <c r="I6048" s="223"/>
      <c r="J6048" s="57"/>
      <c r="K6048" s="153"/>
      <c r="L6048" s="153"/>
      <c r="M6048" s="243"/>
      <c r="N6048" s="234"/>
      <c r="O6048" s="235"/>
      <c r="P6048" s="236"/>
      <c r="Q6048" s="236"/>
      <c r="R6048" s="236"/>
      <c r="S6048" s="236"/>
      <c r="T6048" s="236"/>
      <c r="U6048" s="236"/>
      <c r="V6048" s="236"/>
      <c r="W6048" s="236"/>
      <c r="X6048" s="236"/>
      <c r="Y6048" s="236"/>
    </row>
    <row r="6049" spans="1:25" ht="15" customHeight="1">
      <c r="A6049" s="91"/>
      <c r="B6049" s="91"/>
      <c r="C6049" s="220"/>
      <c r="D6049" s="91"/>
      <c r="E6049" s="221"/>
      <c r="F6049" s="91"/>
      <c r="G6049" s="91"/>
      <c r="H6049" s="242"/>
      <c r="I6049" s="223"/>
      <c r="J6049" s="57"/>
      <c r="K6049" s="153"/>
      <c r="L6049" s="153"/>
      <c r="M6049" s="243"/>
      <c r="N6049" s="234"/>
      <c r="O6049" s="235"/>
      <c r="P6049" s="236"/>
      <c r="Q6049" s="236"/>
      <c r="R6049" s="236"/>
      <c r="S6049" s="236"/>
      <c r="T6049" s="236"/>
      <c r="U6049" s="236"/>
      <c r="V6049" s="236"/>
      <c r="W6049" s="236"/>
      <c r="X6049" s="236"/>
      <c r="Y6049" s="236"/>
    </row>
    <row r="6050" spans="1:25" ht="15" customHeight="1">
      <c r="A6050" s="91"/>
      <c r="B6050" s="91"/>
      <c r="C6050" s="220"/>
      <c r="D6050" s="91"/>
      <c r="E6050" s="221"/>
      <c r="F6050" s="91"/>
      <c r="G6050" s="91"/>
      <c r="H6050" s="242"/>
      <c r="I6050" s="223"/>
      <c r="J6050" s="57"/>
      <c r="K6050" s="153"/>
      <c r="L6050" s="153"/>
      <c r="M6050" s="243"/>
      <c r="N6050" s="234"/>
      <c r="O6050" s="235"/>
      <c r="P6050" s="236"/>
      <c r="Q6050" s="236"/>
      <c r="R6050" s="236"/>
      <c r="S6050" s="236"/>
      <c r="T6050" s="236"/>
      <c r="U6050" s="236"/>
      <c r="V6050" s="236"/>
      <c r="W6050" s="236"/>
      <c r="X6050" s="236"/>
      <c r="Y6050" s="236"/>
    </row>
    <row r="6051" spans="1:25" ht="15" customHeight="1">
      <c r="A6051" s="91"/>
      <c r="B6051" s="91"/>
      <c r="C6051" s="220"/>
      <c r="D6051" s="91"/>
      <c r="E6051" s="221"/>
      <c r="F6051" s="91"/>
      <c r="G6051" s="91"/>
      <c r="H6051" s="242"/>
      <c r="I6051" s="223"/>
      <c r="J6051" s="57"/>
      <c r="K6051" s="153"/>
      <c r="L6051" s="153"/>
      <c r="M6051" s="243"/>
      <c r="N6051" s="234"/>
      <c r="O6051" s="235"/>
      <c r="P6051" s="236"/>
      <c r="Q6051" s="236"/>
      <c r="R6051" s="236"/>
      <c r="S6051" s="236"/>
      <c r="T6051" s="236"/>
      <c r="U6051" s="236"/>
      <c r="V6051" s="236"/>
      <c r="W6051" s="236"/>
      <c r="X6051" s="236"/>
      <c r="Y6051" s="236"/>
    </row>
    <row r="6052" spans="1:25" ht="15" customHeight="1">
      <c r="A6052" s="91"/>
      <c r="B6052" s="91"/>
      <c r="C6052" s="220"/>
      <c r="D6052" s="91"/>
      <c r="E6052" s="221"/>
      <c r="F6052" s="91"/>
      <c r="G6052" s="91"/>
      <c r="H6052" s="242"/>
      <c r="I6052" s="223"/>
      <c r="J6052" s="57"/>
      <c r="K6052" s="153"/>
      <c r="L6052" s="153"/>
      <c r="M6052" s="243"/>
      <c r="N6052" s="234"/>
      <c r="O6052" s="235"/>
      <c r="P6052" s="236"/>
      <c r="Q6052" s="236"/>
      <c r="R6052" s="236"/>
      <c r="S6052" s="236"/>
      <c r="T6052" s="236"/>
      <c r="U6052" s="236"/>
      <c r="V6052" s="236"/>
      <c r="W6052" s="236"/>
      <c r="X6052" s="236"/>
      <c r="Y6052" s="236"/>
    </row>
    <row r="6053" spans="1:25" ht="15" customHeight="1">
      <c r="A6053" s="91"/>
      <c r="B6053" s="91"/>
      <c r="C6053" s="220"/>
      <c r="D6053" s="91"/>
      <c r="E6053" s="221"/>
      <c r="F6053" s="91"/>
      <c r="G6053" s="91"/>
      <c r="H6053" s="242"/>
      <c r="I6053" s="223"/>
      <c r="J6053" s="57"/>
      <c r="K6053" s="153"/>
      <c r="L6053" s="153"/>
      <c r="M6053" s="243"/>
      <c r="N6053" s="234"/>
      <c r="O6053" s="235"/>
      <c r="P6053" s="236"/>
      <c r="Q6053" s="236"/>
      <c r="R6053" s="236"/>
      <c r="S6053" s="236"/>
      <c r="T6053" s="236"/>
      <c r="U6053" s="236"/>
      <c r="V6053" s="236"/>
      <c r="W6053" s="236"/>
      <c r="X6053" s="236"/>
      <c r="Y6053" s="236"/>
    </row>
    <row r="6054" spans="1:25" ht="15" customHeight="1">
      <c r="A6054" s="91"/>
      <c r="B6054" s="91"/>
      <c r="C6054" s="220"/>
      <c r="D6054" s="91"/>
      <c r="E6054" s="221"/>
      <c r="F6054" s="91"/>
      <c r="G6054" s="91"/>
      <c r="H6054" s="242"/>
      <c r="I6054" s="223"/>
      <c r="J6054" s="57"/>
      <c r="K6054" s="153"/>
      <c r="L6054" s="153"/>
      <c r="M6054" s="243"/>
      <c r="N6054" s="234"/>
      <c r="O6054" s="235"/>
      <c r="P6054" s="236"/>
      <c r="Q6054" s="236"/>
      <c r="R6054" s="236"/>
      <c r="S6054" s="236"/>
      <c r="T6054" s="236"/>
      <c r="U6054" s="236"/>
      <c r="V6054" s="236"/>
      <c r="W6054" s="236"/>
      <c r="X6054" s="236"/>
      <c r="Y6054" s="236"/>
    </row>
    <row r="6055" spans="1:25" ht="15" customHeight="1">
      <c r="A6055" s="91"/>
      <c r="B6055" s="91"/>
      <c r="C6055" s="220"/>
      <c r="D6055" s="91"/>
      <c r="E6055" s="221"/>
      <c r="F6055" s="91"/>
      <c r="G6055" s="91"/>
      <c r="H6055" s="242"/>
      <c r="I6055" s="223"/>
      <c r="J6055" s="57"/>
      <c r="K6055" s="153"/>
      <c r="L6055" s="153"/>
      <c r="M6055" s="243"/>
      <c r="N6055" s="234"/>
      <c r="O6055" s="235"/>
      <c r="P6055" s="236"/>
      <c r="Q6055" s="236"/>
      <c r="R6055" s="236"/>
      <c r="S6055" s="236"/>
      <c r="T6055" s="236"/>
      <c r="U6055" s="236"/>
      <c r="V6055" s="236"/>
      <c r="W6055" s="236"/>
      <c r="X6055" s="236"/>
      <c r="Y6055" s="236"/>
    </row>
    <row r="6056" spans="1:25" ht="15" customHeight="1">
      <c r="A6056" s="91"/>
      <c r="B6056" s="91"/>
      <c r="C6056" s="220"/>
      <c r="D6056" s="91"/>
      <c r="E6056" s="221"/>
      <c r="F6056" s="91"/>
      <c r="G6056" s="91"/>
      <c r="H6056" s="242"/>
      <c r="I6056" s="223"/>
      <c r="J6056" s="57"/>
      <c r="K6056" s="153"/>
      <c r="L6056" s="153"/>
      <c r="M6056" s="243"/>
      <c r="N6056" s="234"/>
      <c r="O6056" s="235"/>
      <c r="P6056" s="236"/>
      <c r="Q6056" s="236"/>
      <c r="R6056" s="236"/>
      <c r="S6056" s="236"/>
      <c r="T6056" s="236"/>
      <c r="U6056" s="236"/>
      <c r="V6056" s="236"/>
      <c r="W6056" s="236"/>
      <c r="X6056" s="236"/>
      <c r="Y6056" s="236"/>
    </row>
    <row r="6057" spans="1:25" ht="15" customHeight="1">
      <c r="A6057" s="91"/>
      <c r="B6057" s="91"/>
      <c r="C6057" s="220"/>
      <c r="D6057" s="91"/>
      <c r="E6057" s="221"/>
      <c r="F6057" s="91"/>
      <c r="G6057" s="91"/>
      <c r="H6057" s="242"/>
      <c r="I6057" s="223"/>
      <c r="J6057" s="57"/>
      <c r="K6057" s="153"/>
      <c r="L6057" s="153"/>
      <c r="M6057" s="243"/>
      <c r="N6057" s="234"/>
      <c r="O6057" s="235"/>
      <c r="P6057" s="236"/>
      <c r="Q6057" s="236"/>
      <c r="R6057" s="236"/>
      <c r="S6057" s="236"/>
      <c r="T6057" s="236"/>
      <c r="U6057" s="236"/>
      <c r="V6057" s="236"/>
      <c r="W6057" s="236"/>
      <c r="X6057" s="236"/>
      <c r="Y6057" s="236"/>
    </row>
    <row r="6058" spans="1:25" ht="15" customHeight="1">
      <c r="A6058" s="91"/>
      <c r="B6058" s="91"/>
      <c r="C6058" s="220"/>
      <c r="D6058" s="91"/>
      <c r="E6058" s="221"/>
      <c r="F6058" s="91"/>
      <c r="G6058" s="91"/>
      <c r="H6058" s="242"/>
      <c r="I6058" s="223"/>
      <c r="J6058" s="57"/>
      <c r="K6058" s="153"/>
      <c r="L6058" s="153"/>
      <c r="M6058" s="243"/>
      <c r="N6058" s="234"/>
      <c r="O6058" s="235"/>
      <c r="P6058" s="236"/>
      <c r="Q6058" s="236"/>
      <c r="R6058" s="236"/>
      <c r="S6058" s="236"/>
      <c r="T6058" s="236"/>
      <c r="U6058" s="236"/>
      <c r="V6058" s="236"/>
      <c r="W6058" s="236"/>
      <c r="X6058" s="236"/>
      <c r="Y6058" s="236"/>
    </row>
    <row r="6059" spans="1:25" ht="15" customHeight="1">
      <c r="A6059" s="91"/>
      <c r="B6059" s="91"/>
      <c r="C6059" s="220"/>
      <c r="D6059" s="91"/>
      <c r="E6059" s="221"/>
      <c r="F6059" s="91"/>
      <c r="G6059" s="91"/>
      <c r="H6059" s="242"/>
      <c r="I6059" s="223"/>
      <c r="J6059" s="57"/>
      <c r="K6059" s="153"/>
      <c r="L6059" s="153"/>
      <c r="M6059" s="243"/>
      <c r="N6059" s="234"/>
      <c r="O6059" s="235"/>
      <c r="P6059" s="236"/>
      <c r="Q6059" s="236"/>
      <c r="R6059" s="236"/>
      <c r="S6059" s="236"/>
      <c r="T6059" s="236"/>
      <c r="U6059" s="236"/>
      <c r="V6059" s="236"/>
      <c r="W6059" s="236"/>
      <c r="X6059" s="236"/>
      <c r="Y6059" s="236"/>
    </row>
    <row r="6060" spans="1:25" ht="15" customHeight="1">
      <c r="A6060" s="91"/>
      <c r="B6060" s="91"/>
      <c r="C6060" s="220"/>
      <c r="D6060" s="91"/>
      <c r="E6060" s="221"/>
      <c r="F6060" s="91"/>
      <c r="G6060" s="91"/>
      <c r="H6060" s="242"/>
      <c r="I6060" s="223"/>
      <c r="J6060" s="57"/>
      <c r="K6060" s="153"/>
      <c r="L6060" s="153"/>
      <c r="M6060" s="243"/>
      <c r="N6060" s="234"/>
      <c r="O6060" s="235"/>
      <c r="P6060" s="236"/>
      <c r="Q6060" s="236"/>
      <c r="R6060" s="236"/>
      <c r="S6060" s="236"/>
      <c r="T6060" s="236"/>
      <c r="U6060" s="236"/>
      <c r="V6060" s="236"/>
      <c r="W6060" s="236"/>
      <c r="X6060" s="236"/>
      <c r="Y6060" s="236"/>
    </row>
    <row r="6061" spans="1:25" ht="15" customHeight="1">
      <c r="A6061" s="91"/>
      <c r="B6061" s="91"/>
      <c r="C6061" s="220"/>
      <c r="D6061" s="91"/>
      <c r="E6061" s="221"/>
      <c r="F6061" s="91"/>
      <c r="G6061" s="91"/>
      <c r="H6061" s="242"/>
      <c r="I6061" s="223"/>
      <c r="J6061" s="57"/>
      <c r="K6061" s="153"/>
      <c r="L6061" s="153"/>
      <c r="M6061" s="243"/>
      <c r="N6061" s="234"/>
      <c r="O6061" s="235"/>
      <c r="P6061" s="236"/>
      <c r="Q6061" s="236"/>
      <c r="R6061" s="236"/>
      <c r="S6061" s="236"/>
      <c r="T6061" s="236"/>
      <c r="U6061" s="236"/>
      <c r="V6061" s="236"/>
      <c r="W6061" s="236"/>
      <c r="X6061" s="236"/>
      <c r="Y6061" s="236"/>
    </row>
    <row r="6062" spans="1:25" ht="15" customHeight="1">
      <c r="A6062" s="91"/>
      <c r="B6062" s="91"/>
      <c r="C6062" s="220"/>
      <c r="D6062" s="91"/>
      <c r="E6062" s="221"/>
      <c r="F6062" s="91"/>
      <c r="G6062" s="91"/>
      <c r="H6062" s="242"/>
      <c r="I6062" s="223"/>
      <c r="J6062" s="57"/>
      <c r="K6062" s="153"/>
      <c r="L6062" s="153"/>
      <c r="M6062" s="243"/>
      <c r="N6062" s="234"/>
      <c r="O6062" s="235"/>
      <c r="P6062" s="236"/>
      <c r="Q6062" s="236"/>
      <c r="R6062" s="236"/>
      <c r="S6062" s="236"/>
      <c r="T6062" s="236"/>
      <c r="U6062" s="236"/>
      <c r="V6062" s="236"/>
      <c r="W6062" s="236"/>
      <c r="X6062" s="236"/>
      <c r="Y6062" s="236"/>
    </row>
    <row r="6063" spans="1:25" ht="15" customHeight="1">
      <c r="A6063" s="91"/>
      <c r="B6063" s="91"/>
      <c r="C6063" s="220"/>
      <c r="D6063" s="91"/>
      <c r="E6063" s="221"/>
      <c r="F6063" s="91"/>
      <c r="G6063" s="91"/>
      <c r="H6063" s="242"/>
      <c r="I6063" s="223"/>
      <c r="J6063" s="57"/>
      <c r="K6063" s="153"/>
      <c r="L6063" s="153"/>
      <c r="M6063" s="243"/>
      <c r="N6063" s="234"/>
      <c r="O6063" s="235"/>
      <c r="P6063" s="236"/>
      <c r="Q6063" s="236"/>
      <c r="R6063" s="236"/>
      <c r="S6063" s="236"/>
      <c r="T6063" s="236"/>
      <c r="U6063" s="236"/>
      <c r="V6063" s="236"/>
      <c r="W6063" s="236"/>
      <c r="X6063" s="236"/>
      <c r="Y6063" s="236"/>
    </row>
    <row r="6064" spans="1:25" ht="15" customHeight="1">
      <c r="A6064" s="91"/>
      <c r="B6064" s="91"/>
      <c r="C6064" s="220"/>
      <c r="D6064" s="91"/>
      <c r="E6064" s="221"/>
      <c r="F6064" s="91"/>
      <c r="G6064" s="91"/>
      <c r="H6064" s="242"/>
      <c r="I6064" s="223"/>
      <c r="J6064" s="57"/>
      <c r="K6064" s="153"/>
      <c r="L6064" s="153"/>
      <c r="M6064" s="243"/>
      <c r="N6064" s="234"/>
      <c r="O6064" s="235"/>
      <c r="P6064" s="236"/>
      <c r="Q6064" s="236"/>
      <c r="R6064" s="236"/>
      <c r="S6064" s="236"/>
      <c r="T6064" s="236"/>
      <c r="U6064" s="236"/>
      <c r="V6064" s="236"/>
      <c r="W6064" s="236"/>
      <c r="X6064" s="236"/>
      <c r="Y6064" s="236"/>
    </row>
    <row r="6065" spans="1:25" ht="15" customHeight="1">
      <c r="A6065" s="91"/>
      <c r="B6065" s="91"/>
      <c r="C6065" s="220"/>
      <c r="D6065" s="91"/>
      <c r="E6065" s="221"/>
      <c r="F6065" s="91"/>
      <c r="G6065" s="91"/>
      <c r="H6065" s="242"/>
      <c r="I6065" s="223"/>
      <c r="J6065" s="57"/>
      <c r="K6065" s="153"/>
      <c r="L6065" s="153"/>
      <c r="M6065" s="243"/>
      <c r="N6065" s="234"/>
      <c r="O6065" s="235"/>
      <c r="P6065" s="236"/>
      <c r="Q6065" s="236"/>
      <c r="R6065" s="236"/>
      <c r="S6065" s="236"/>
      <c r="T6065" s="236"/>
      <c r="U6065" s="236"/>
      <c r="V6065" s="236"/>
      <c r="W6065" s="236"/>
      <c r="X6065" s="236"/>
      <c r="Y6065" s="236"/>
    </row>
    <row r="6066" spans="1:25" ht="15" customHeight="1">
      <c r="A6066" s="91"/>
      <c r="B6066" s="91"/>
      <c r="C6066" s="220"/>
      <c r="D6066" s="91"/>
      <c r="E6066" s="221"/>
      <c r="F6066" s="91"/>
      <c r="G6066" s="91"/>
      <c r="H6066" s="242"/>
      <c r="I6066" s="223"/>
      <c r="J6066" s="57"/>
      <c r="K6066" s="153"/>
      <c r="L6066" s="153"/>
      <c r="M6066" s="243"/>
      <c r="N6066" s="234"/>
      <c r="O6066" s="235"/>
      <c r="P6066" s="236"/>
      <c r="Q6066" s="236"/>
      <c r="R6066" s="236"/>
      <c r="S6066" s="236"/>
      <c r="T6066" s="236"/>
      <c r="U6066" s="236"/>
      <c r="V6066" s="236"/>
      <c r="W6066" s="236"/>
      <c r="X6066" s="236"/>
      <c r="Y6066" s="236"/>
    </row>
    <row r="6067" spans="1:25" ht="15" customHeight="1">
      <c r="A6067" s="91"/>
      <c r="B6067" s="91"/>
      <c r="C6067" s="220"/>
      <c r="D6067" s="91"/>
      <c r="E6067" s="221"/>
      <c r="F6067" s="91"/>
      <c r="G6067" s="91"/>
      <c r="H6067" s="242"/>
      <c r="I6067" s="223"/>
      <c r="J6067" s="57"/>
      <c r="K6067" s="153"/>
      <c r="L6067" s="153"/>
      <c r="M6067" s="243"/>
      <c r="N6067" s="234"/>
      <c r="O6067" s="235"/>
      <c r="P6067" s="236"/>
      <c r="Q6067" s="236"/>
      <c r="R6067" s="236"/>
      <c r="S6067" s="236"/>
      <c r="T6067" s="236"/>
      <c r="U6067" s="236"/>
      <c r="V6067" s="236"/>
      <c r="W6067" s="236"/>
      <c r="X6067" s="236"/>
      <c r="Y6067" s="236"/>
    </row>
    <row r="6068" spans="1:25" ht="15" customHeight="1">
      <c r="A6068" s="91"/>
      <c r="B6068" s="91"/>
      <c r="C6068" s="220"/>
      <c r="D6068" s="91"/>
      <c r="E6068" s="221"/>
      <c r="F6068" s="91"/>
      <c r="G6068" s="91"/>
      <c r="H6068" s="242"/>
      <c r="I6068" s="223"/>
      <c r="J6068" s="57"/>
      <c r="K6068" s="153"/>
      <c r="L6068" s="153"/>
      <c r="M6068" s="243"/>
      <c r="N6068" s="234"/>
      <c r="O6068" s="235"/>
      <c r="P6068" s="236"/>
      <c r="Q6068" s="236"/>
      <c r="R6068" s="236"/>
      <c r="S6068" s="236"/>
      <c r="T6068" s="236"/>
      <c r="U6068" s="236"/>
      <c r="V6068" s="236"/>
      <c r="W6068" s="236"/>
      <c r="X6068" s="236"/>
      <c r="Y6068" s="236"/>
    </row>
    <row r="6069" spans="1:25" ht="15" customHeight="1">
      <c r="A6069" s="91"/>
      <c r="B6069" s="91"/>
      <c r="C6069" s="220"/>
      <c r="D6069" s="91"/>
      <c r="E6069" s="221"/>
      <c r="F6069" s="91"/>
      <c r="G6069" s="91"/>
      <c r="H6069" s="242"/>
      <c r="I6069" s="223"/>
      <c r="J6069" s="57"/>
      <c r="K6069" s="153"/>
      <c r="L6069" s="153"/>
      <c r="M6069" s="243"/>
      <c r="N6069" s="234"/>
      <c r="O6069" s="235"/>
      <c r="P6069" s="236"/>
      <c r="Q6069" s="236"/>
      <c r="R6069" s="236"/>
      <c r="S6069" s="236"/>
      <c r="T6069" s="236"/>
      <c r="U6069" s="236"/>
      <c r="V6069" s="236"/>
      <c r="W6069" s="236"/>
      <c r="X6069" s="236"/>
      <c r="Y6069" s="236"/>
    </row>
    <row r="6070" spans="1:25" ht="15" customHeight="1">
      <c r="A6070" s="91"/>
      <c r="B6070" s="91"/>
      <c r="C6070" s="220"/>
      <c r="D6070" s="91"/>
      <c r="E6070" s="221"/>
      <c r="F6070" s="91"/>
      <c r="G6070" s="91"/>
      <c r="H6070" s="242"/>
      <c r="I6070" s="223"/>
      <c r="J6070" s="57"/>
      <c r="K6070" s="153"/>
      <c r="L6070" s="153"/>
      <c r="M6070" s="243"/>
      <c r="N6070" s="234"/>
      <c r="O6070" s="235"/>
      <c r="P6070" s="236"/>
      <c r="Q6070" s="236"/>
      <c r="R6070" s="236"/>
      <c r="S6070" s="236"/>
      <c r="T6070" s="236"/>
      <c r="U6070" s="236"/>
      <c r="V6070" s="236"/>
      <c r="W6070" s="236"/>
      <c r="X6070" s="236"/>
      <c r="Y6070" s="236"/>
    </row>
    <row r="6071" spans="1:25" ht="15" customHeight="1">
      <c r="A6071" s="91"/>
      <c r="B6071" s="91"/>
      <c r="C6071" s="220"/>
      <c r="D6071" s="91"/>
      <c r="E6071" s="221"/>
      <c r="F6071" s="91"/>
      <c r="G6071" s="91"/>
      <c r="H6071" s="242"/>
      <c r="I6071" s="223"/>
      <c r="J6071" s="57"/>
      <c r="K6071" s="153"/>
      <c r="L6071" s="153"/>
      <c r="M6071" s="243"/>
      <c r="N6071" s="234"/>
      <c r="O6071" s="235"/>
      <c r="P6071" s="236"/>
      <c r="Q6071" s="236"/>
      <c r="R6071" s="236"/>
      <c r="S6071" s="236"/>
      <c r="T6071" s="236"/>
      <c r="U6071" s="236"/>
      <c r="V6071" s="236"/>
      <c r="W6071" s="236"/>
      <c r="X6071" s="236"/>
      <c r="Y6071" s="236"/>
    </row>
    <row r="6072" spans="1:25" ht="15" customHeight="1">
      <c r="A6072" s="91"/>
      <c r="B6072" s="91"/>
      <c r="C6072" s="220"/>
      <c r="D6072" s="91"/>
      <c r="E6072" s="221"/>
      <c r="F6072" s="91"/>
      <c r="G6072" s="91"/>
      <c r="H6072" s="242"/>
      <c r="I6072" s="223"/>
      <c r="J6072" s="57"/>
      <c r="K6072" s="153"/>
      <c r="L6072" s="153"/>
      <c r="M6072" s="243"/>
      <c r="N6072" s="234"/>
      <c r="O6072" s="235"/>
      <c r="P6072" s="236"/>
      <c r="Q6072" s="236"/>
      <c r="R6072" s="236"/>
      <c r="S6072" s="236"/>
      <c r="T6072" s="236"/>
      <c r="U6072" s="236"/>
      <c r="V6072" s="236"/>
      <c r="W6072" s="236"/>
      <c r="X6072" s="236"/>
      <c r="Y6072" s="236"/>
    </row>
    <row r="6073" spans="1:25" ht="15" customHeight="1">
      <c r="A6073" s="91"/>
      <c r="B6073" s="91"/>
      <c r="C6073" s="220"/>
      <c r="D6073" s="91"/>
      <c r="E6073" s="221"/>
      <c r="F6073" s="91"/>
      <c r="G6073" s="91"/>
      <c r="H6073" s="242"/>
      <c r="I6073" s="223"/>
      <c r="J6073" s="57"/>
      <c r="K6073" s="153"/>
      <c r="L6073" s="153"/>
      <c r="M6073" s="243"/>
      <c r="N6073" s="234"/>
      <c r="O6073" s="235"/>
      <c r="P6073" s="236"/>
      <c r="Q6073" s="236"/>
      <c r="R6073" s="236"/>
      <c r="S6073" s="236"/>
      <c r="T6073" s="236"/>
      <c r="U6073" s="236"/>
      <c r="V6073" s="236"/>
      <c r="W6073" s="236"/>
      <c r="X6073" s="236"/>
      <c r="Y6073" s="236"/>
    </row>
    <row r="6074" spans="1:25" ht="15" customHeight="1">
      <c r="A6074" s="91"/>
      <c r="B6074" s="91"/>
      <c r="C6074" s="220"/>
      <c r="D6074" s="91"/>
      <c r="E6074" s="221"/>
      <c r="F6074" s="91"/>
      <c r="G6074" s="91"/>
      <c r="H6074" s="242"/>
      <c r="I6074" s="223"/>
      <c r="J6074" s="57"/>
      <c r="K6074" s="153"/>
      <c r="L6074" s="153"/>
      <c r="M6074" s="243"/>
      <c r="N6074" s="234"/>
      <c r="O6074" s="235"/>
      <c r="P6074" s="236"/>
      <c r="Q6074" s="236"/>
      <c r="R6074" s="236"/>
      <c r="S6074" s="236"/>
      <c r="T6074" s="236"/>
      <c r="U6074" s="236"/>
      <c r="V6074" s="236"/>
      <c r="W6074" s="236"/>
      <c r="X6074" s="236"/>
      <c r="Y6074" s="236"/>
    </row>
    <row r="6075" spans="1:25" ht="15" customHeight="1">
      <c r="A6075" s="91"/>
      <c r="B6075" s="91"/>
      <c r="C6075" s="220"/>
      <c r="D6075" s="91"/>
      <c r="E6075" s="221"/>
      <c r="F6075" s="91"/>
      <c r="G6075" s="91"/>
      <c r="H6075" s="242"/>
      <c r="I6075" s="223"/>
      <c r="J6075" s="57"/>
      <c r="K6075" s="153"/>
      <c r="L6075" s="153"/>
      <c r="M6075" s="243"/>
      <c r="N6075" s="234"/>
      <c r="O6075" s="235"/>
      <c r="P6075" s="236"/>
      <c r="Q6075" s="236"/>
      <c r="R6075" s="236"/>
      <c r="S6075" s="236"/>
      <c r="T6075" s="236"/>
      <c r="U6075" s="236"/>
      <c r="V6075" s="236"/>
      <c r="W6075" s="236"/>
      <c r="X6075" s="236"/>
      <c r="Y6075" s="236"/>
    </row>
    <row r="6076" spans="1:25" ht="15" customHeight="1">
      <c r="A6076" s="91"/>
      <c r="B6076" s="91"/>
      <c r="C6076" s="220"/>
      <c r="D6076" s="91"/>
      <c r="E6076" s="221"/>
      <c r="F6076" s="91"/>
      <c r="G6076" s="91"/>
      <c r="H6076" s="242"/>
      <c r="I6076" s="223"/>
      <c r="J6076" s="57"/>
      <c r="K6076" s="153"/>
      <c r="L6076" s="153"/>
      <c r="M6076" s="243"/>
      <c r="N6076" s="234"/>
      <c r="O6076" s="235"/>
      <c r="P6076" s="236"/>
      <c r="Q6076" s="236"/>
      <c r="R6076" s="236"/>
      <c r="S6076" s="236"/>
      <c r="T6076" s="236"/>
      <c r="U6076" s="236"/>
      <c r="V6076" s="236"/>
      <c r="W6076" s="236"/>
      <c r="X6076" s="236"/>
      <c r="Y6076" s="236"/>
    </row>
    <row r="6077" spans="1:25" ht="15" customHeight="1">
      <c r="A6077" s="91"/>
      <c r="B6077" s="91"/>
      <c r="C6077" s="220"/>
      <c r="D6077" s="91"/>
      <c r="E6077" s="221"/>
      <c r="F6077" s="91"/>
      <c r="G6077" s="91"/>
      <c r="H6077" s="242"/>
      <c r="I6077" s="223"/>
      <c r="J6077" s="57"/>
      <c r="K6077" s="153"/>
      <c r="L6077" s="153"/>
      <c r="M6077" s="243"/>
      <c r="N6077" s="234"/>
      <c r="O6077" s="235"/>
      <c r="P6077" s="236"/>
      <c r="Q6077" s="236"/>
      <c r="R6077" s="236"/>
      <c r="S6077" s="236"/>
      <c r="T6077" s="236"/>
      <c r="U6077" s="236"/>
      <c r="V6077" s="236"/>
      <c r="W6077" s="236"/>
      <c r="X6077" s="236"/>
      <c r="Y6077" s="236"/>
    </row>
    <row r="6078" spans="1:25" ht="15" customHeight="1">
      <c r="A6078" s="91"/>
      <c r="B6078" s="91"/>
      <c r="C6078" s="220"/>
      <c r="D6078" s="91"/>
      <c r="E6078" s="221"/>
      <c r="F6078" s="91"/>
      <c r="G6078" s="91"/>
      <c r="H6078" s="242"/>
      <c r="I6078" s="223"/>
      <c r="J6078" s="57"/>
      <c r="K6078" s="153"/>
      <c r="L6078" s="153"/>
      <c r="M6078" s="243"/>
      <c r="N6078" s="234"/>
      <c r="O6078" s="235"/>
      <c r="P6078" s="236"/>
      <c r="Q6078" s="236"/>
      <c r="R6078" s="236"/>
      <c r="S6078" s="236"/>
      <c r="T6078" s="236"/>
      <c r="U6078" s="236"/>
      <c r="V6078" s="236"/>
      <c r="W6078" s="236"/>
      <c r="X6078" s="236"/>
      <c r="Y6078" s="236"/>
    </row>
    <row r="6079" spans="1:25" ht="15" customHeight="1">
      <c r="A6079" s="91"/>
      <c r="B6079" s="91"/>
      <c r="C6079" s="220"/>
      <c r="D6079" s="91"/>
      <c r="E6079" s="221"/>
      <c r="F6079" s="91"/>
      <c r="G6079" s="91"/>
      <c r="H6079" s="242"/>
      <c r="I6079" s="223"/>
      <c r="J6079" s="57"/>
      <c r="K6079" s="153"/>
      <c r="L6079" s="153"/>
      <c r="M6079" s="243"/>
      <c r="N6079" s="234"/>
      <c r="O6079" s="235"/>
      <c r="P6079" s="236"/>
      <c r="Q6079" s="236"/>
      <c r="R6079" s="236"/>
      <c r="S6079" s="236"/>
      <c r="T6079" s="236"/>
      <c r="U6079" s="236"/>
      <c r="V6079" s="236"/>
      <c r="W6079" s="236"/>
      <c r="X6079" s="236"/>
      <c r="Y6079" s="236"/>
    </row>
    <row r="6080" spans="1:25" ht="15" customHeight="1">
      <c r="A6080" s="91"/>
      <c r="B6080" s="91"/>
      <c r="C6080" s="220"/>
      <c r="D6080" s="91"/>
      <c r="E6080" s="221"/>
      <c r="F6080" s="91"/>
      <c r="G6080" s="91"/>
      <c r="H6080" s="242"/>
      <c r="I6080" s="223"/>
      <c r="J6080" s="57"/>
      <c r="K6080" s="153"/>
      <c r="L6080" s="153"/>
      <c r="M6080" s="243"/>
      <c r="N6080" s="234"/>
      <c r="O6080" s="235"/>
      <c r="P6080" s="236"/>
      <c r="Q6080" s="236"/>
      <c r="R6080" s="236"/>
      <c r="S6080" s="236"/>
      <c r="T6080" s="236"/>
      <c r="U6080" s="236"/>
      <c r="V6080" s="236"/>
      <c r="W6080" s="236"/>
      <c r="X6080" s="236"/>
      <c r="Y6080" s="236"/>
    </row>
    <row r="6081" spans="1:25" ht="15" customHeight="1">
      <c r="A6081" s="91"/>
      <c r="B6081" s="91"/>
      <c r="C6081" s="220"/>
      <c r="D6081" s="91"/>
      <c r="E6081" s="221"/>
      <c r="F6081" s="91"/>
      <c r="G6081" s="91"/>
      <c r="H6081" s="242"/>
      <c r="I6081" s="223"/>
      <c r="J6081" s="57"/>
      <c r="K6081" s="153"/>
      <c r="L6081" s="153"/>
      <c r="M6081" s="243"/>
      <c r="N6081" s="234"/>
      <c r="O6081" s="235"/>
      <c r="P6081" s="236"/>
      <c r="Q6081" s="236"/>
      <c r="R6081" s="236"/>
      <c r="S6081" s="236"/>
      <c r="T6081" s="236"/>
      <c r="U6081" s="236"/>
      <c r="V6081" s="236"/>
      <c r="W6081" s="236"/>
      <c r="X6081" s="236"/>
      <c r="Y6081" s="236"/>
    </row>
    <row r="6082" spans="1:25" ht="15" customHeight="1">
      <c r="A6082" s="91"/>
      <c r="B6082" s="91"/>
      <c r="C6082" s="220"/>
      <c r="D6082" s="91"/>
      <c r="E6082" s="221"/>
      <c r="F6082" s="91"/>
      <c r="G6082" s="91"/>
      <c r="H6082" s="242"/>
      <c r="I6082" s="223"/>
      <c r="J6082" s="57"/>
      <c r="K6082" s="153"/>
      <c r="L6082" s="153"/>
      <c r="M6082" s="243"/>
      <c r="N6082" s="234"/>
      <c r="O6082" s="235"/>
      <c r="P6082" s="236"/>
      <c r="Q6082" s="236"/>
      <c r="R6082" s="236"/>
      <c r="S6082" s="236"/>
      <c r="T6082" s="236"/>
      <c r="U6082" s="236"/>
      <c r="V6082" s="236"/>
      <c r="W6082" s="236"/>
      <c r="X6082" s="236"/>
      <c r="Y6082" s="236"/>
    </row>
    <row r="6083" spans="1:25" ht="15" customHeight="1">
      <c r="A6083" s="91"/>
      <c r="B6083" s="91"/>
      <c r="C6083" s="220"/>
      <c r="D6083" s="91"/>
      <c r="E6083" s="221"/>
      <c r="F6083" s="91"/>
      <c r="G6083" s="91"/>
      <c r="H6083" s="242"/>
      <c r="I6083" s="223"/>
      <c r="J6083" s="57"/>
      <c r="K6083" s="153"/>
      <c r="L6083" s="153"/>
      <c r="M6083" s="243"/>
      <c r="N6083" s="234"/>
      <c r="O6083" s="235"/>
      <c r="P6083" s="236"/>
      <c r="Q6083" s="236"/>
      <c r="R6083" s="236"/>
      <c r="S6083" s="236"/>
      <c r="T6083" s="236"/>
      <c r="U6083" s="236"/>
      <c r="V6083" s="236"/>
      <c r="W6083" s="236"/>
      <c r="X6083" s="236"/>
      <c r="Y6083" s="236"/>
    </row>
    <row r="6084" spans="1:25" ht="15" customHeight="1">
      <c r="A6084" s="91"/>
      <c r="B6084" s="91"/>
      <c r="C6084" s="220"/>
      <c r="D6084" s="91"/>
      <c r="E6084" s="221"/>
      <c r="F6084" s="91"/>
      <c r="G6084" s="91"/>
      <c r="H6084" s="242"/>
      <c r="I6084" s="223"/>
      <c r="J6084" s="57"/>
      <c r="K6084" s="153"/>
      <c r="L6084" s="153"/>
      <c r="M6084" s="243"/>
      <c r="N6084" s="234"/>
      <c r="O6084" s="235"/>
      <c r="P6084" s="236"/>
      <c r="Q6084" s="236"/>
      <c r="R6084" s="236"/>
      <c r="S6084" s="236"/>
      <c r="T6084" s="236"/>
      <c r="U6084" s="236"/>
      <c r="V6084" s="236"/>
      <c r="W6084" s="236"/>
      <c r="X6084" s="236"/>
      <c r="Y6084" s="236"/>
    </row>
    <row r="6085" spans="1:25" ht="15" customHeight="1">
      <c r="A6085" s="91"/>
      <c r="B6085" s="91"/>
      <c r="C6085" s="220"/>
      <c r="D6085" s="91"/>
      <c r="E6085" s="221"/>
      <c r="F6085" s="91"/>
      <c r="G6085" s="91"/>
      <c r="H6085" s="242"/>
      <c r="I6085" s="223"/>
      <c r="J6085" s="57"/>
      <c r="K6085" s="153"/>
      <c r="L6085" s="153"/>
      <c r="M6085" s="243"/>
      <c r="N6085" s="234"/>
      <c r="O6085" s="235"/>
      <c r="P6085" s="236"/>
      <c r="Q6085" s="236"/>
      <c r="R6085" s="236"/>
      <c r="S6085" s="236"/>
      <c r="T6085" s="236"/>
      <c r="U6085" s="236"/>
      <c r="V6085" s="236"/>
      <c r="W6085" s="236"/>
      <c r="X6085" s="236"/>
      <c r="Y6085" s="236"/>
    </row>
    <row r="6086" spans="1:25" ht="15" customHeight="1">
      <c r="A6086" s="91"/>
      <c r="B6086" s="91"/>
      <c r="C6086" s="220"/>
      <c r="D6086" s="91"/>
      <c r="E6086" s="221"/>
      <c r="F6086" s="91"/>
      <c r="G6086" s="91"/>
      <c r="H6086" s="242"/>
      <c r="I6086" s="223"/>
      <c r="J6086" s="57"/>
      <c r="K6086" s="153"/>
      <c r="L6086" s="153"/>
      <c r="M6086" s="243"/>
      <c r="N6086" s="234"/>
      <c r="O6086" s="235"/>
      <c r="P6086" s="236"/>
      <c r="Q6086" s="236"/>
      <c r="R6086" s="236"/>
      <c r="S6086" s="236"/>
      <c r="T6086" s="236"/>
      <c r="U6086" s="236"/>
      <c r="V6086" s="236"/>
      <c r="W6086" s="236"/>
      <c r="X6086" s="236"/>
      <c r="Y6086" s="236"/>
    </row>
    <row r="6087" spans="1:25" ht="15" customHeight="1">
      <c r="A6087" s="91"/>
      <c r="B6087" s="91"/>
      <c r="C6087" s="220"/>
      <c r="D6087" s="91"/>
      <c r="E6087" s="221"/>
      <c r="F6087" s="91"/>
      <c r="G6087" s="91"/>
      <c r="H6087" s="242"/>
      <c r="I6087" s="223"/>
      <c r="J6087" s="57"/>
      <c r="K6087" s="153"/>
      <c r="L6087" s="153"/>
      <c r="M6087" s="243"/>
      <c r="N6087" s="234"/>
      <c r="O6087" s="235"/>
      <c r="P6087" s="236"/>
      <c r="Q6087" s="236"/>
      <c r="R6087" s="236"/>
      <c r="S6087" s="236"/>
      <c r="T6087" s="236"/>
      <c r="U6087" s="236"/>
      <c r="V6087" s="236"/>
      <c r="W6087" s="236"/>
      <c r="X6087" s="236"/>
      <c r="Y6087" s="236"/>
    </row>
    <row r="6088" spans="1:25" ht="15" customHeight="1">
      <c r="A6088" s="91"/>
      <c r="B6088" s="91"/>
      <c r="C6088" s="220"/>
      <c r="D6088" s="91"/>
      <c r="E6088" s="221"/>
      <c r="F6088" s="91"/>
      <c r="G6088" s="91"/>
      <c r="H6088" s="242"/>
      <c r="I6088" s="223"/>
      <c r="J6088" s="57"/>
      <c r="K6088" s="153"/>
      <c r="L6088" s="153"/>
      <c r="M6088" s="243"/>
      <c r="N6088" s="234"/>
      <c r="O6088" s="235"/>
      <c r="P6088" s="236"/>
      <c r="Q6088" s="236"/>
      <c r="R6088" s="236"/>
      <c r="S6088" s="236"/>
      <c r="T6088" s="236"/>
      <c r="U6088" s="236"/>
      <c r="V6088" s="236"/>
      <c r="W6088" s="236"/>
      <c r="X6088" s="236"/>
      <c r="Y6088" s="236"/>
    </row>
    <row r="6089" spans="1:25" ht="15" customHeight="1">
      <c r="A6089" s="91"/>
      <c r="B6089" s="91"/>
      <c r="C6089" s="220"/>
      <c r="D6089" s="91"/>
      <c r="E6089" s="221"/>
      <c r="F6089" s="91"/>
      <c r="G6089" s="91"/>
      <c r="H6089" s="242"/>
      <c r="I6089" s="223"/>
      <c r="J6089" s="57"/>
      <c r="K6089" s="153"/>
      <c r="L6089" s="153"/>
      <c r="M6089" s="243"/>
      <c r="N6089" s="234"/>
      <c r="O6089" s="235"/>
      <c r="P6089" s="236"/>
      <c r="Q6089" s="236"/>
      <c r="R6089" s="236"/>
      <c r="S6089" s="236"/>
      <c r="T6089" s="236"/>
      <c r="U6089" s="236"/>
      <c r="V6089" s="236"/>
      <c r="W6089" s="236"/>
      <c r="X6089" s="236"/>
      <c r="Y6089" s="236"/>
    </row>
    <row r="6090" spans="1:25" ht="15" customHeight="1">
      <c r="A6090" s="91"/>
      <c r="B6090" s="91"/>
      <c r="C6090" s="220"/>
      <c r="D6090" s="91"/>
      <c r="E6090" s="221"/>
      <c r="F6090" s="91"/>
      <c r="G6090" s="91"/>
      <c r="H6090" s="242"/>
      <c r="I6090" s="223"/>
      <c r="J6090" s="57"/>
      <c r="K6090" s="153"/>
      <c r="L6090" s="153"/>
      <c r="M6090" s="243"/>
      <c r="N6090" s="234"/>
      <c r="O6090" s="235"/>
      <c r="P6090" s="236"/>
      <c r="Q6090" s="236"/>
      <c r="R6090" s="236"/>
      <c r="S6090" s="236"/>
      <c r="T6090" s="236"/>
      <c r="U6090" s="236"/>
      <c r="V6090" s="236"/>
      <c r="W6090" s="236"/>
      <c r="X6090" s="236"/>
      <c r="Y6090" s="236"/>
    </row>
    <row r="6091" spans="1:25" ht="15" customHeight="1">
      <c r="A6091" s="91"/>
      <c r="B6091" s="91"/>
      <c r="C6091" s="220"/>
      <c r="D6091" s="91"/>
      <c r="E6091" s="221"/>
      <c r="F6091" s="91"/>
      <c r="G6091" s="91"/>
      <c r="H6091" s="242"/>
      <c r="I6091" s="223"/>
      <c r="J6091" s="57"/>
      <c r="K6091" s="153"/>
      <c r="L6091" s="153"/>
      <c r="M6091" s="243"/>
      <c r="N6091" s="234"/>
      <c r="O6091" s="235"/>
      <c r="P6091" s="236"/>
      <c r="Q6091" s="236"/>
      <c r="R6091" s="236"/>
      <c r="S6091" s="236"/>
      <c r="T6091" s="236"/>
      <c r="U6091" s="236"/>
      <c r="V6091" s="236"/>
      <c r="W6091" s="236"/>
      <c r="X6091" s="236"/>
      <c r="Y6091" s="236"/>
    </row>
    <row r="6092" spans="1:25" ht="15" customHeight="1">
      <c r="A6092" s="91"/>
      <c r="B6092" s="91"/>
      <c r="C6092" s="220"/>
      <c r="D6092" s="91"/>
      <c r="E6092" s="221"/>
      <c r="F6092" s="91"/>
      <c r="G6092" s="91"/>
      <c r="H6092" s="242"/>
      <c r="I6092" s="223"/>
      <c r="J6092" s="57"/>
      <c r="K6092" s="153"/>
      <c r="L6092" s="153"/>
      <c r="M6092" s="243"/>
      <c r="N6092" s="234"/>
      <c r="O6092" s="235"/>
      <c r="P6092" s="236"/>
      <c r="Q6092" s="236"/>
      <c r="R6092" s="236"/>
      <c r="S6092" s="236"/>
      <c r="T6092" s="236"/>
      <c r="U6092" s="236"/>
      <c r="V6092" s="236"/>
      <c r="W6092" s="236"/>
      <c r="X6092" s="236"/>
      <c r="Y6092" s="236"/>
    </row>
    <row r="6093" spans="1:25" ht="15" customHeight="1">
      <c r="A6093" s="91"/>
      <c r="B6093" s="91"/>
      <c r="C6093" s="220"/>
      <c r="D6093" s="91"/>
      <c r="E6093" s="221"/>
      <c r="F6093" s="91"/>
      <c r="G6093" s="91"/>
      <c r="H6093" s="242"/>
      <c r="I6093" s="223"/>
      <c r="J6093" s="57"/>
      <c r="K6093" s="153"/>
      <c r="L6093" s="153"/>
      <c r="M6093" s="243"/>
      <c r="N6093" s="234"/>
      <c r="O6093" s="235"/>
      <c r="P6093" s="236"/>
      <c r="Q6093" s="236"/>
      <c r="R6093" s="236"/>
      <c r="S6093" s="236"/>
      <c r="T6093" s="236"/>
      <c r="U6093" s="236"/>
      <c r="V6093" s="236"/>
      <c r="W6093" s="236"/>
      <c r="X6093" s="236"/>
      <c r="Y6093" s="236"/>
    </row>
    <row r="6094" spans="1:25" ht="15" customHeight="1">
      <c r="A6094" s="91"/>
      <c r="B6094" s="91"/>
      <c r="C6094" s="220"/>
      <c r="D6094" s="91"/>
      <c r="E6094" s="221"/>
      <c r="F6094" s="91"/>
      <c r="G6094" s="91"/>
      <c r="H6094" s="242"/>
      <c r="I6094" s="223"/>
      <c r="J6094" s="57"/>
      <c r="K6094" s="153"/>
      <c r="L6094" s="153"/>
      <c r="M6094" s="243"/>
      <c r="N6094" s="234"/>
      <c r="O6094" s="235"/>
      <c r="P6094" s="236"/>
      <c r="Q6094" s="236"/>
      <c r="R6094" s="236"/>
      <c r="S6094" s="236"/>
      <c r="T6094" s="236"/>
      <c r="U6094" s="236"/>
      <c r="V6094" s="236"/>
      <c r="W6094" s="236"/>
      <c r="X6094" s="236"/>
      <c r="Y6094" s="236"/>
    </row>
    <row r="6095" spans="1:25" ht="15" customHeight="1">
      <c r="A6095" s="91"/>
      <c r="B6095" s="91"/>
      <c r="C6095" s="220"/>
      <c r="D6095" s="91"/>
      <c r="E6095" s="221"/>
      <c r="F6095" s="91"/>
      <c r="G6095" s="91"/>
      <c r="H6095" s="242"/>
      <c r="I6095" s="223"/>
      <c r="J6095" s="57"/>
      <c r="K6095" s="153"/>
      <c r="L6095" s="153"/>
      <c r="M6095" s="243"/>
      <c r="N6095" s="234"/>
      <c r="O6095" s="235"/>
      <c r="P6095" s="236"/>
      <c r="Q6095" s="236"/>
      <c r="R6095" s="236"/>
      <c r="S6095" s="236"/>
      <c r="T6095" s="236"/>
      <c r="U6095" s="236"/>
      <c r="V6095" s="236"/>
      <c r="W6095" s="236"/>
      <c r="X6095" s="236"/>
      <c r="Y6095" s="236"/>
    </row>
    <row r="6096" spans="1:25" ht="15" customHeight="1">
      <c r="A6096" s="91"/>
      <c r="B6096" s="91"/>
      <c r="C6096" s="220"/>
      <c r="D6096" s="91"/>
      <c r="E6096" s="221"/>
      <c r="F6096" s="91"/>
      <c r="G6096" s="91"/>
      <c r="H6096" s="242"/>
      <c r="I6096" s="223"/>
      <c r="J6096" s="57"/>
      <c r="K6096" s="153"/>
      <c r="L6096" s="153"/>
      <c r="M6096" s="243"/>
      <c r="N6096" s="234"/>
      <c r="O6096" s="235"/>
      <c r="P6096" s="236"/>
      <c r="Q6096" s="236"/>
      <c r="R6096" s="236"/>
      <c r="S6096" s="236"/>
      <c r="T6096" s="236"/>
      <c r="U6096" s="236"/>
      <c r="V6096" s="236"/>
      <c r="W6096" s="236"/>
      <c r="X6096" s="236"/>
      <c r="Y6096" s="236"/>
    </row>
    <row r="6097" spans="1:25" ht="15" customHeight="1">
      <c r="A6097" s="91"/>
      <c r="B6097" s="91"/>
      <c r="C6097" s="220"/>
      <c r="D6097" s="91"/>
      <c r="E6097" s="221"/>
      <c r="F6097" s="91"/>
      <c r="G6097" s="91"/>
      <c r="H6097" s="242"/>
      <c r="I6097" s="223"/>
      <c r="J6097" s="57"/>
      <c r="K6097" s="153"/>
      <c r="L6097" s="153"/>
      <c r="M6097" s="243"/>
      <c r="N6097" s="234"/>
      <c r="O6097" s="235"/>
      <c r="P6097" s="236"/>
      <c r="Q6097" s="236"/>
      <c r="R6097" s="236"/>
      <c r="S6097" s="236"/>
      <c r="T6097" s="236"/>
      <c r="U6097" s="236"/>
      <c r="V6097" s="236"/>
      <c r="W6097" s="236"/>
      <c r="X6097" s="236"/>
      <c r="Y6097" s="236"/>
    </row>
    <row r="6098" spans="1:25" ht="15" customHeight="1">
      <c r="A6098" s="91"/>
      <c r="B6098" s="91"/>
      <c r="C6098" s="220"/>
      <c r="D6098" s="91"/>
      <c r="E6098" s="221"/>
      <c r="F6098" s="91"/>
      <c r="G6098" s="91"/>
      <c r="H6098" s="242"/>
      <c r="I6098" s="223"/>
      <c r="J6098" s="57"/>
      <c r="K6098" s="153"/>
      <c r="L6098" s="153"/>
      <c r="M6098" s="243"/>
      <c r="N6098" s="234"/>
      <c r="O6098" s="235"/>
      <c r="P6098" s="236"/>
      <c r="Q6098" s="236"/>
      <c r="R6098" s="236"/>
      <c r="S6098" s="236"/>
      <c r="T6098" s="236"/>
      <c r="U6098" s="236"/>
      <c r="V6098" s="236"/>
      <c r="W6098" s="236"/>
      <c r="X6098" s="236"/>
      <c r="Y6098" s="236"/>
    </row>
    <row r="6099" spans="1:25" ht="15" customHeight="1">
      <c r="A6099" s="91"/>
      <c r="B6099" s="91"/>
      <c r="C6099" s="220"/>
      <c r="D6099" s="91"/>
      <c r="E6099" s="221"/>
      <c r="F6099" s="91"/>
      <c r="G6099" s="91"/>
      <c r="H6099" s="242"/>
      <c r="I6099" s="223"/>
      <c r="J6099" s="57"/>
      <c r="K6099" s="153"/>
      <c r="L6099" s="153"/>
      <c r="M6099" s="243"/>
      <c r="N6099" s="234"/>
      <c r="O6099" s="235"/>
      <c r="P6099" s="236"/>
      <c r="Q6099" s="236"/>
      <c r="R6099" s="236"/>
      <c r="S6099" s="236"/>
      <c r="T6099" s="236"/>
      <c r="U6099" s="236"/>
      <c r="V6099" s="236"/>
      <c r="W6099" s="236"/>
      <c r="X6099" s="236"/>
      <c r="Y6099" s="236"/>
    </row>
    <row r="6100" spans="1:25" ht="15" customHeight="1">
      <c r="A6100" s="91"/>
      <c r="B6100" s="91"/>
      <c r="C6100" s="220"/>
      <c r="D6100" s="91"/>
      <c r="E6100" s="221"/>
      <c r="F6100" s="91"/>
      <c r="G6100" s="91"/>
      <c r="H6100" s="242"/>
      <c r="I6100" s="223"/>
      <c r="J6100" s="57"/>
      <c r="K6100" s="153"/>
      <c r="L6100" s="153"/>
      <c r="M6100" s="243"/>
      <c r="N6100" s="234"/>
      <c r="O6100" s="235"/>
      <c r="P6100" s="236"/>
      <c r="Q6100" s="236"/>
      <c r="R6100" s="236"/>
      <c r="S6100" s="236"/>
      <c r="T6100" s="236"/>
      <c r="U6100" s="236"/>
      <c r="V6100" s="236"/>
      <c r="W6100" s="236"/>
      <c r="X6100" s="236"/>
      <c r="Y6100" s="236"/>
    </row>
    <row r="6101" spans="1:25" ht="15" customHeight="1">
      <c r="A6101" s="91"/>
      <c r="B6101" s="91"/>
      <c r="C6101" s="220"/>
      <c r="D6101" s="91"/>
      <c r="E6101" s="221"/>
      <c r="F6101" s="91"/>
      <c r="G6101" s="91"/>
      <c r="H6101" s="242"/>
      <c r="I6101" s="223"/>
      <c r="J6101" s="57"/>
      <c r="K6101" s="153"/>
      <c r="L6101" s="153"/>
      <c r="M6101" s="243"/>
      <c r="N6101" s="234"/>
      <c r="O6101" s="235"/>
      <c r="P6101" s="236"/>
      <c r="Q6101" s="236"/>
      <c r="R6101" s="236"/>
      <c r="S6101" s="236"/>
      <c r="T6101" s="236"/>
      <c r="U6101" s="236"/>
      <c r="V6101" s="236"/>
      <c r="W6101" s="236"/>
      <c r="X6101" s="236"/>
      <c r="Y6101" s="236"/>
    </row>
    <row r="6102" spans="1:25" ht="15" customHeight="1">
      <c r="A6102" s="91"/>
      <c r="B6102" s="91"/>
      <c r="C6102" s="220"/>
      <c r="D6102" s="91"/>
      <c r="E6102" s="221"/>
      <c r="F6102" s="91"/>
      <c r="G6102" s="91"/>
      <c r="H6102" s="242"/>
      <c r="I6102" s="223"/>
      <c r="J6102" s="57"/>
      <c r="K6102" s="153"/>
      <c r="L6102" s="153"/>
      <c r="M6102" s="243"/>
      <c r="N6102" s="234"/>
      <c r="O6102" s="235"/>
      <c r="P6102" s="236"/>
      <c r="Q6102" s="236"/>
      <c r="R6102" s="236"/>
      <c r="S6102" s="236"/>
      <c r="T6102" s="236"/>
      <c r="U6102" s="236"/>
      <c r="V6102" s="236"/>
      <c r="W6102" s="236"/>
      <c r="X6102" s="236"/>
      <c r="Y6102" s="236"/>
    </row>
    <row r="6103" spans="1:25" ht="15" customHeight="1">
      <c r="A6103" s="91"/>
      <c r="B6103" s="91"/>
      <c r="C6103" s="220"/>
      <c r="D6103" s="91"/>
      <c r="E6103" s="221"/>
      <c r="F6103" s="91"/>
      <c r="G6103" s="91"/>
      <c r="H6103" s="242"/>
      <c r="I6103" s="223"/>
      <c r="J6103" s="57"/>
      <c r="K6103" s="153"/>
      <c r="L6103" s="153"/>
      <c r="M6103" s="243"/>
      <c r="N6103" s="234"/>
      <c r="O6103" s="235"/>
      <c r="P6103" s="236"/>
      <c r="Q6103" s="236"/>
      <c r="R6103" s="236"/>
      <c r="S6103" s="236"/>
      <c r="T6103" s="236"/>
      <c r="U6103" s="236"/>
      <c r="V6103" s="236"/>
      <c r="W6103" s="236"/>
      <c r="X6103" s="236"/>
      <c r="Y6103" s="236"/>
    </row>
    <row r="6104" spans="1:25" ht="15" customHeight="1">
      <c r="A6104" s="91"/>
      <c r="B6104" s="91"/>
      <c r="C6104" s="220"/>
      <c r="D6104" s="91"/>
      <c r="E6104" s="221"/>
      <c r="F6104" s="91"/>
      <c r="G6104" s="91"/>
      <c r="H6104" s="242"/>
      <c r="I6104" s="223"/>
      <c r="J6104" s="57"/>
      <c r="K6104" s="153"/>
      <c r="L6104" s="153"/>
      <c r="M6104" s="243"/>
      <c r="N6104" s="234"/>
      <c r="O6104" s="235"/>
      <c r="P6104" s="236"/>
      <c r="Q6104" s="236"/>
      <c r="R6104" s="236"/>
      <c r="S6104" s="236"/>
      <c r="T6104" s="236"/>
      <c r="U6104" s="236"/>
      <c r="V6104" s="236"/>
      <c r="W6104" s="236"/>
      <c r="X6104" s="236"/>
      <c r="Y6104" s="236"/>
    </row>
    <row r="6105" spans="1:25" ht="15" customHeight="1">
      <c r="A6105" s="91"/>
      <c r="B6105" s="91"/>
      <c r="C6105" s="220"/>
      <c r="D6105" s="91"/>
      <c r="E6105" s="221"/>
      <c r="F6105" s="91"/>
      <c r="G6105" s="91"/>
      <c r="H6105" s="242"/>
      <c r="I6105" s="223"/>
      <c r="J6105" s="57"/>
      <c r="K6105" s="153"/>
      <c r="L6105" s="153"/>
      <c r="M6105" s="243"/>
      <c r="N6105" s="234"/>
      <c r="O6105" s="235"/>
      <c r="P6105" s="236"/>
      <c r="Q6105" s="236"/>
      <c r="R6105" s="236"/>
      <c r="S6105" s="236"/>
      <c r="T6105" s="236"/>
      <c r="U6105" s="236"/>
      <c r="V6105" s="236"/>
      <c r="W6105" s="236"/>
      <c r="X6105" s="236"/>
      <c r="Y6105" s="236"/>
    </row>
    <row r="6106" spans="1:25" ht="15" customHeight="1">
      <c r="A6106" s="91"/>
      <c r="B6106" s="91"/>
      <c r="C6106" s="220"/>
      <c r="D6106" s="91"/>
      <c r="E6106" s="221"/>
      <c r="F6106" s="91"/>
      <c r="G6106" s="91"/>
      <c r="H6106" s="242"/>
      <c r="I6106" s="223"/>
      <c r="J6106" s="57"/>
      <c r="K6106" s="153"/>
      <c r="L6106" s="153"/>
      <c r="M6106" s="243"/>
      <c r="N6106" s="234"/>
      <c r="O6106" s="235"/>
      <c r="P6106" s="236"/>
      <c r="Q6106" s="236"/>
      <c r="R6106" s="236"/>
      <c r="S6106" s="236"/>
      <c r="T6106" s="236"/>
      <c r="U6106" s="236"/>
      <c r="V6106" s="236"/>
      <c r="W6106" s="236"/>
      <c r="X6106" s="236"/>
      <c r="Y6106" s="236"/>
    </row>
    <row r="6107" spans="1:25" ht="15" customHeight="1">
      <c r="A6107" s="91"/>
      <c r="B6107" s="91"/>
      <c r="C6107" s="220"/>
      <c r="D6107" s="91"/>
      <c r="E6107" s="221"/>
      <c r="F6107" s="91"/>
      <c r="G6107" s="91"/>
      <c r="H6107" s="242"/>
      <c r="I6107" s="223"/>
      <c r="J6107" s="57"/>
      <c r="K6107" s="153"/>
      <c r="L6107" s="153"/>
      <c r="M6107" s="243"/>
      <c r="N6107" s="234"/>
      <c r="O6107" s="235"/>
      <c r="P6107" s="236"/>
      <c r="Q6107" s="236"/>
      <c r="R6107" s="236"/>
      <c r="S6107" s="236"/>
      <c r="T6107" s="236"/>
      <c r="U6107" s="236"/>
      <c r="V6107" s="236"/>
      <c r="W6107" s="236"/>
      <c r="X6107" s="236"/>
      <c r="Y6107" s="236"/>
    </row>
    <row r="6108" spans="1:25" ht="15" customHeight="1">
      <c r="A6108" s="91"/>
      <c r="B6108" s="91"/>
      <c r="C6108" s="220"/>
      <c r="D6108" s="91"/>
      <c r="E6108" s="221"/>
      <c r="F6108" s="91"/>
      <c r="G6108" s="91"/>
      <c r="H6108" s="242"/>
      <c r="I6108" s="223"/>
      <c r="J6108" s="57"/>
      <c r="K6108" s="153"/>
      <c r="L6108" s="153"/>
      <c r="M6108" s="243"/>
      <c r="N6108" s="234"/>
      <c r="O6108" s="235"/>
      <c r="P6108" s="236"/>
      <c r="Q6108" s="236"/>
      <c r="R6108" s="236"/>
      <c r="S6108" s="236"/>
      <c r="T6108" s="236"/>
      <c r="U6108" s="236"/>
      <c r="V6108" s="236"/>
      <c r="W6108" s="236"/>
      <c r="X6108" s="236"/>
      <c r="Y6108" s="236"/>
    </row>
    <row r="6109" spans="1:25" ht="15" customHeight="1">
      <c r="A6109" s="91"/>
      <c r="B6109" s="91"/>
      <c r="C6109" s="220"/>
      <c r="D6109" s="91"/>
      <c r="E6109" s="221"/>
      <c r="F6109" s="91"/>
      <c r="G6109" s="91"/>
      <c r="H6109" s="242"/>
      <c r="I6109" s="223"/>
      <c r="J6109" s="57"/>
      <c r="K6109" s="153"/>
      <c r="L6109" s="153"/>
      <c r="M6109" s="243"/>
      <c r="N6109" s="234"/>
      <c r="O6109" s="235"/>
      <c r="P6109" s="236"/>
      <c r="Q6109" s="236"/>
      <c r="R6109" s="236"/>
      <c r="S6109" s="236"/>
      <c r="T6109" s="236"/>
      <c r="U6109" s="236"/>
      <c r="V6109" s="236"/>
      <c r="W6109" s="236"/>
      <c r="X6109" s="236"/>
      <c r="Y6109" s="236"/>
    </row>
    <row r="6110" spans="1:25" ht="15" customHeight="1">
      <c r="A6110" s="91"/>
      <c r="B6110" s="91"/>
      <c r="C6110" s="220"/>
      <c r="D6110" s="91"/>
      <c r="E6110" s="221"/>
      <c r="F6110" s="91"/>
      <c r="G6110" s="91"/>
      <c r="H6110" s="242"/>
      <c r="I6110" s="223"/>
      <c r="J6110" s="57"/>
      <c r="K6110" s="153"/>
      <c r="L6110" s="153"/>
      <c r="M6110" s="243"/>
      <c r="N6110" s="234"/>
      <c r="O6110" s="235"/>
      <c r="P6110" s="236"/>
      <c r="Q6110" s="236"/>
      <c r="R6110" s="236"/>
      <c r="S6110" s="236"/>
      <c r="T6110" s="236"/>
      <c r="U6110" s="236"/>
      <c r="V6110" s="236"/>
      <c r="W6110" s="236"/>
      <c r="X6110" s="236"/>
      <c r="Y6110" s="236"/>
    </row>
    <row r="6111" spans="1:25" ht="15" customHeight="1">
      <c r="A6111" s="91"/>
      <c r="B6111" s="91"/>
      <c r="C6111" s="220"/>
      <c r="D6111" s="91"/>
      <c r="E6111" s="221"/>
      <c r="F6111" s="91"/>
      <c r="G6111" s="91"/>
      <c r="H6111" s="242"/>
      <c r="I6111" s="223"/>
      <c r="J6111" s="57"/>
      <c r="K6111" s="153"/>
      <c r="L6111" s="153"/>
      <c r="M6111" s="243"/>
      <c r="N6111" s="234"/>
      <c r="O6111" s="235"/>
      <c r="P6111" s="236"/>
      <c r="Q6111" s="236"/>
      <c r="R6111" s="236"/>
      <c r="S6111" s="236"/>
      <c r="T6111" s="236"/>
      <c r="U6111" s="236"/>
      <c r="V6111" s="236"/>
      <c r="W6111" s="236"/>
      <c r="X6111" s="236"/>
      <c r="Y6111" s="236"/>
    </row>
    <row r="6112" spans="1:25" ht="15" customHeight="1">
      <c r="A6112" s="91"/>
      <c r="B6112" s="91"/>
      <c r="C6112" s="220"/>
      <c r="D6112" s="91"/>
      <c r="E6112" s="221"/>
      <c r="F6112" s="91"/>
      <c r="G6112" s="91"/>
      <c r="H6112" s="242"/>
      <c r="I6112" s="223"/>
      <c r="J6112" s="57"/>
      <c r="K6112" s="153"/>
      <c r="L6112" s="153"/>
      <c r="M6112" s="243"/>
      <c r="N6112" s="234"/>
      <c r="O6112" s="235"/>
      <c r="P6112" s="236"/>
      <c r="Q6112" s="236"/>
      <c r="R6112" s="236"/>
      <c r="S6112" s="236"/>
      <c r="T6112" s="236"/>
      <c r="U6112" s="236"/>
      <c r="V6112" s="236"/>
      <c r="W6112" s="236"/>
      <c r="X6112" s="236"/>
      <c r="Y6112" s="236"/>
    </row>
    <row r="6113" spans="1:25" ht="15" customHeight="1">
      <c r="A6113" s="91"/>
      <c r="B6113" s="91"/>
      <c r="C6113" s="220"/>
      <c r="D6113" s="91"/>
      <c r="E6113" s="221"/>
      <c r="F6113" s="91"/>
      <c r="G6113" s="91"/>
      <c r="H6113" s="242"/>
      <c r="I6113" s="223"/>
      <c r="J6113" s="57"/>
      <c r="K6113" s="153"/>
      <c r="L6113" s="153"/>
      <c r="M6113" s="243"/>
      <c r="N6113" s="234"/>
      <c r="O6113" s="235"/>
      <c r="P6113" s="236"/>
      <c r="Q6113" s="236"/>
      <c r="R6113" s="236"/>
      <c r="S6113" s="236"/>
      <c r="T6113" s="236"/>
      <c r="U6113" s="236"/>
      <c r="V6113" s="236"/>
      <c r="W6113" s="236"/>
      <c r="X6113" s="236"/>
      <c r="Y6113" s="236"/>
    </row>
    <row r="6114" spans="1:25" ht="15" customHeight="1">
      <c r="A6114" s="91"/>
      <c r="B6114" s="91"/>
      <c r="C6114" s="220"/>
      <c r="D6114" s="91"/>
      <c r="E6114" s="221"/>
      <c r="F6114" s="91"/>
      <c r="G6114" s="91"/>
      <c r="H6114" s="242"/>
      <c r="I6114" s="223"/>
      <c r="J6114" s="57"/>
      <c r="K6114" s="153"/>
      <c r="L6114" s="153"/>
      <c r="M6114" s="243"/>
      <c r="N6114" s="234"/>
      <c r="O6114" s="235"/>
      <c r="P6114" s="236"/>
      <c r="Q6114" s="236"/>
      <c r="R6114" s="236"/>
      <c r="S6114" s="236"/>
      <c r="T6114" s="236"/>
      <c r="U6114" s="236"/>
      <c r="V6114" s="236"/>
      <c r="W6114" s="236"/>
      <c r="X6114" s="236"/>
      <c r="Y6114" s="236"/>
    </row>
    <row r="6115" spans="1:25" ht="15" customHeight="1">
      <c r="A6115" s="91"/>
      <c r="B6115" s="91"/>
      <c r="C6115" s="220"/>
      <c r="D6115" s="91"/>
      <c r="E6115" s="221"/>
      <c r="F6115" s="91"/>
      <c r="G6115" s="91"/>
      <c r="H6115" s="242"/>
      <c r="I6115" s="223"/>
      <c r="J6115" s="57"/>
      <c r="K6115" s="153"/>
      <c r="L6115" s="153"/>
      <c r="M6115" s="243"/>
      <c r="N6115" s="234"/>
      <c r="O6115" s="235"/>
      <c r="P6115" s="236"/>
      <c r="Q6115" s="236"/>
      <c r="R6115" s="236"/>
      <c r="S6115" s="236"/>
      <c r="T6115" s="236"/>
      <c r="U6115" s="236"/>
      <c r="V6115" s="236"/>
      <c r="W6115" s="236"/>
      <c r="X6115" s="236"/>
      <c r="Y6115" s="236"/>
    </row>
    <row r="6116" spans="1:25" ht="15" customHeight="1">
      <c r="A6116" s="91"/>
      <c r="B6116" s="91"/>
      <c r="C6116" s="220"/>
      <c r="D6116" s="91"/>
      <c r="E6116" s="221"/>
      <c r="F6116" s="91"/>
      <c r="G6116" s="91"/>
      <c r="H6116" s="242"/>
      <c r="I6116" s="223"/>
      <c r="J6116" s="57"/>
      <c r="K6116" s="153"/>
      <c r="L6116" s="153"/>
      <c r="M6116" s="243"/>
      <c r="N6116" s="234"/>
      <c r="O6116" s="235"/>
      <c r="P6116" s="236"/>
      <c r="Q6116" s="236"/>
      <c r="R6116" s="236"/>
      <c r="S6116" s="236"/>
      <c r="T6116" s="236"/>
      <c r="U6116" s="236"/>
      <c r="V6116" s="236"/>
      <c r="W6116" s="236"/>
      <c r="X6116" s="236"/>
      <c r="Y6116" s="236"/>
    </row>
    <row r="6117" spans="1:25" ht="15" customHeight="1">
      <c r="A6117" s="91"/>
      <c r="B6117" s="91"/>
      <c r="C6117" s="220"/>
      <c r="D6117" s="91"/>
      <c r="E6117" s="221"/>
      <c r="F6117" s="91"/>
      <c r="G6117" s="91"/>
      <c r="H6117" s="242"/>
      <c r="I6117" s="223"/>
      <c r="J6117" s="57"/>
      <c r="K6117" s="153"/>
      <c r="L6117" s="153"/>
      <c r="M6117" s="243"/>
      <c r="N6117" s="234"/>
      <c r="O6117" s="235"/>
      <c r="P6117" s="236"/>
      <c r="Q6117" s="236"/>
      <c r="R6117" s="236"/>
      <c r="S6117" s="236"/>
      <c r="T6117" s="236"/>
      <c r="U6117" s="236"/>
      <c r="V6117" s="236"/>
      <c r="W6117" s="236"/>
      <c r="X6117" s="236"/>
      <c r="Y6117" s="236"/>
    </row>
    <row r="6118" spans="1:25" ht="15" customHeight="1">
      <c r="A6118" s="91"/>
      <c r="B6118" s="91"/>
      <c r="C6118" s="220"/>
      <c r="D6118" s="91"/>
      <c r="E6118" s="221"/>
      <c r="F6118" s="91"/>
      <c r="G6118" s="91"/>
      <c r="H6118" s="242"/>
      <c r="I6118" s="223"/>
      <c r="J6118" s="57"/>
      <c r="K6118" s="153"/>
      <c r="L6118" s="153"/>
      <c r="M6118" s="243"/>
      <c r="N6118" s="234"/>
      <c r="O6118" s="235"/>
      <c r="P6118" s="236"/>
      <c r="Q6118" s="236"/>
      <c r="R6118" s="236"/>
      <c r="S6118" s="236"/>
      <c r="T6118" s="236"/>
      <c r="U6118" s="236"/>
      <c r="V6118" s="236"/>
      <c r="W6118" s="236"/>
      <c r="X6118" s="236"/>
      <c r="Y6118" s="236"/>
    </row>
    <row r="6119" spans="1:25" ht="15" customHeight="1">
      <c r="A6119" s="91"/>
      <c r="B6119" s="91"/>
      <c r="C6119" s="220"/>
      <c r="D6119" s="91"/>
      <c r="E6119" s="221"/>
      <c r="F6119" s="91"/>
      <c r="G6119" s="91"/>
      <c r="H6119" s="242"/>
      <c r="I6119" s="223"/>
      <c r="J6119" s="57"/>
      <c r="K6119" s="153"/>
      <c r="L6119" s="153"/>
      <c r="M6119" s="243"/>
      <c r="N6119" s="234"/>
      <c r="O6119" s="235"/>
      <c r="P6119" s="236"/>
      <c r="Q6119" s="236"/>
      <c r="R6119" s="236"/>
      <c r="S6119" s="236"/>
      <c r="T6119" s="236"/>
      <c r="U6119" s="236"/>
      <c r="V6119" s="236"/>
      <c r="W6119" s="236"/>
      <c r="X6119" s="236"/>
      <c r="Y6119" s="236"/>
    </row>
    <row r="6120" spans="1:25" ht="15" customHeight="1">
      <c r="A6120" s="91"/>
      <c r="B6120" s="91"/>
      <c r="C6120" s="220"/>
      <c r="D6120" s="91"/>
      <c r="E6120" s="221"/>
      <c r="F6120" s="91"/>
      <c r="G6120" s="91"/>
      <c r="H6120" s="242"/>
      <c r="I6120" s="223"/>
      <c r="J6120" s="57"/>
      <c r="K6120" s="153"/>
      <c r="L6120" s="153"/>
      <c r="M6120" s="243"/>
      <c r="N6120" s="234"/>
      <c r="O6120" s="235"/>
      <c r="P6120" s="236"/>
      <c r="Q6120" s="236"/>
      <c r="R6120" s="236"/>
      <c r="S6120" s="236"/>
      <c r="T6120" s="236"/>
      <c r="U6120" s="236"/>
      <c r="V6120" s="236"/>
      <c r="W6120" s="236"/>
      <c r="X6120" s="236"/>
      <c r="Y6120" s="236"/>
    </row>
    <row r="6121" spans="1:25" ht="15" customHeight="1">
      <c r="A6121" s="91"/>
      <c r="B6121" s="91"/>
      <c r="C6121" s="220"/>
      <c r="D6121" s="91"/>
      <c r="E6121" s="221"/>
      <c r="F6121" s="91"/>
      <c r="G6121" s="91"/>
      <c r="H6121" s="242"/>
      <c r="I6121" s="223"/>
      <c r="J6121" s="57"/>
      <c r="K6121" s="153"/>
      <c r="L6121" s="153"/>
      <c r="M6121" s="243"/>
      <c r="N6121" s="234"/>
      <c r="O6121" s="235"/>
      <c r="P6121" s="236"/>
      <c r="Q6121" s="236"/>
      <c r="R6121" s="236"/>
      <c r="S6121" s="236"/>
      <c r="T6121" s="236"/>
      <c r="U6121" s="236"/>
      <c r="V6121" s="236"/>
      <c r="W6121" s="236"/>
      <c r="X6121" s="236"/>
      <c r="Y6121" s="236"/>
    </row>
    <row r="6122" spans="1:25" ht="15" customHeight="1">
      <c r="A6122" s="91"/>
      <c r="B6122" s="91"/>
      <c r="C6122" s="220"/>
      <c r="D6122" s="91"/>
      <c r="E6122" s="221"/>
      <c r="F6122" s="91"/>
      <c r="G6122" s="91"/>
      <c r="H6122" s="242"/>
      <c r="I6122" s="223"/>
      <c r="J6122" s="57"/>
      <c r="K6122" s="153"/>
      <c r="L6122" s="153"/>
      <c r="M6122" s="243"/>
      <c r="N6122" s="234"/>
      <c r="O6122" s="235"/>
      <c r="P6122" s="236"/>
      <c r="Q6122" s="236"/>
      <c r="R6122" s="236"/>
      <c r="S6122" s="236"/>
      <c r="T6122" s="236"/>
      <c r="U6122" s="236"/>
      <c r="V6122" s="236"/>
      <c r="W6122" s="236"/>
      <c r="X6122" s="236"/>
      <c r="Y6122" s="236"/>
    </row>
    <row r="6123" spans="1:25" ht="15" customHeight="1">
      <c r="A6123" s="91"/>
      <c r="B6123" s="91"/>
      <c r="C6123" s="220"/>
      <c r="D6123" s="91"/>
      <c r="E6123" s="221"/>
      <c r="F6123" s="91"/>
      <c r="G6123" s="91"/>
      <c r="H6123" s="242"/>
      <c r="I6123" s="223"/>
      <c r="J6123" s="57"/>
      <c r="K6123" s="153"/>
      <c r="L6123" s="153"/>
      <c r="M6123" s="243"/>
      <c r="N6123" s="234"/>
      <c r="O6123" s="235"/>
      <c r="P6123" s="236"/>
      <c r="Q6123" s="236"/>
      <c r="R6123" s="236"/>
      <c r="S6123" s="236"/>
      <c r="T6123" s="236"/>
      <c r="U6123" s="236"/>
      <c r="V6123" s="236"/>
      <c r="W6123" s="236"/>
      <c r="X6123" s="236"/>
      <c r="Y6123" s="236"/>
    </row>
    <row r="6124" spans="1:25" ht="15" customHeight="1">
      <c r="A6124" s="91"/>
      <c r="B6124" s="91"/>
      <c r="C6124" s="220"/>
      <c r="D6124" s="91"/>
      <c r="E6124" s="221"/>
      <c r="F6124" s="91"/>
      <c r="G6124" s="91"/>
      <c r="H6124" s="242"/>
      <c r="I6124" s="223"/>
      <c r="J6124" s="57"/>
      <c r="K6124" s="153"/>
      <c r="L6124" s="153"/>
      <c r="M6124" s="243"/>
      <c r="N6124" s="234"/>
      <c r="O6124" s="235"/>
      <c r="P6124" s="236"/>
      <c r="Q6124" s="236"/>
      <c r="R6124" s="236"/>
      <c r="S6124" s="236"/>
      <c r="T6124" s="236"/>
      <c r="U6124" s="236"/>
      <c r="V6124" s="236"/>
      <c r="W6124" s="236"/>
      <c r="X6124" s="236"/>
      <c r="Y6124" s="236"/>
    </row>
    <row r="6125" spans="1:25" ht="15" customHeight="1">
      <c r="A6125" s="91"/>
      <c r="B6125" s="91"/>
      <c r="C6125" s="220"/>
      <c r="D6125" s="91"/>
      <c r="E6125" s="221"/>
      <c r="F6125" s="91"/>
      <c r="G6125" s="91"/>
      <c r="H6125" s="242"/>
      <c r="I6125" s="223"/>
      <c r="J6125" s="57"/>
      <c r="K6125" s="153"/>
      <c r="L6125" s="153"/>
      <c r="M6125" s="243"/>
      <c r="N6125" s="234"/>
      <c r="O6125" s="235"/>
      <c r="P6125" s="236"/>
      <c r="Q6125" s="236"/>
      <c r="R6125" s="236"/>
      <c r="S6125" s="236"/>
      <c r="T6125" s="236"/>
      <c r="U6125" s="236"/>
      <c r="V6125" s="236"/>
      <c r="W6125" s="236"/>
      <c r="X6125" s="236"/>
      <c r="Y6125" s="236"/>
    </row>
    <row r="6126" spans="1:25" ht="15" customHeight="1">
      <c r="A6126" s="91"/>
      <c r="B6126" s="91"/>
      <c r="C6126" s="220"/>
      <c r="D6126" s="91"/>
      <c r="E6126" s="221"/>
      <c r="F6126" s="91"/>
      <c r="G6126" s="91"/>
      <c r="H6126" s="242"/>
      <c r="I6126" s="223"/>
      <c r="J6126" s="57"/>
      <c r="K6126" s="153"/>
      <c r="L6126" s="153"/>
      <c r="M6126" s="243"/>
      <c r="N6126" s="234"/>
      <c r="O6126" s="235"/>
      <c r="P6126" s="236"/>
      <c r="Q6126" s="236"/>
      <c r="R6126" s="236"/>
      <c r="S6126" s="236"/>
      <c r="T6126" s="236"/>
      <c r="U6126" s="236"/>
      <c r="V6126" s="236"/>
      <c r="W6126" s="236"/>
      <c r="X6126" s="236"/>
      <c r="Y6126" s="236"/>
    </row>
    <row r="6127" spans="1:25" ht="15" customHeight="1">
      <c r="A6127" s="91"/>
      <c r="B6127" s="91"/>
      <c r="C6127" s="220"/>
      <c r="D6127" s="91"/>
      <c r="E6127" s="221"/>
      <c r="F6127" s="91"/>
      <c r="G6127" s="91"/>
      <c r="H6127" s="242"/>
      <c r="I6127" s="223"/>
      <c r="J6127" s="57"/>
      <c r="K6127" s="153"/>
      <c r="L6127" s="153"/>
      <c r="M6127" s="243"/>
      <c r="N6127" s="234"/>
      <c r="O6127" s="235"/>
      <c r="P6127" s="236"/>
      <c r="Q6127" s="236"/>
      <c r="R6127" s="236"/>
      <c r="S6127" s="236"/>
      <c r="T6127" s="236"/>
      <c r="U6127" s="236"/>
      <c r="V6127" s="236"/>
      <c r="W6127" s="236"/>
      <c r="X6127" s="236"/>
      <c r="Y6127" s="236"/>
    </row>
    <row r="6128" spans="1:25" ht="15" customHeight="1">
      <c r="A6128" s="91"/>
      <c r="B6128" s="91"/>
      <c r="C6128" s="220"/>
      <c r="D6128" s="91"/>
      <c r="E6128" s="221"/>
      <c r="F6128" s="91"/>
      <c r="G6128" s="91"/>
      <c r="H6128" s="242"/>
      <c r="I6128" s="223"/>
      <c r="J6128" s="57"/>
      <c r="K6128" s="153"/>
      <c r="L6128" s="153"/>
      <c r="M6128" s="243"/>
      <c r="N6128" s="234"/>
      <c r="O6128" s="235"/>
      <c r="P6128" s="236"/>
      <c r="Q6128" s="236"/>
      <c r="R6128" s="236"/>
      <c r="S6128" s="236"/>
      <c r="T6128" s="236"/>
      <c r="U6128" s="236"/>
      <c r="V6128" s="236"/>
      <c r="W6128" s="236"/>
      <c r="X6128" s="236"/>
      <c r="Y6128" s="236"/>
    </row>
    <row r="6129" spans="1:25" ht="15" customHeight="1">
      <c r="A6129" s="91"/>
      <c r="B6129" s="91"/>
      <c r="C6129" s="220"/>
      <c r="D6129" s="91"/>
      <c r="E6129" s="221"/>
      <c r="F6129" s="91"/>
      <c r="G6129" s="91"/>
      <c r="H6129" s="242"/>
      <c r="I6129" s="223"/>
      <c r="J6129" s="57"/>
      <c r="K6129" s="153"/>
      <c r="L6129" s="153"/>
      <c r="M6129" s="243"/>
      <c r="N6129" s="234"/>
      <c r="O6129" s="235"/>
      <c r="P6129" s="236"/>
      <c r="Q6129" s="236"/>
      <c r="R6129" s="236"/>
      <c r="S6129" s="236"/>
      <c r="T6129" s="236"/>
      <c r="U6129" s="236"/>
      <c r="V6129" s="236"/>
      <c r="W6129" s="236"/>
      <c r="X6129" s="236"/>
      <c r="Y6129" s="236"/>
    </row>
    <row r="6130" spans="1:25" ht="15" customHeight="1">
      <c r="A6130" s="91"/>
      <c r="B6130" s="91"/>
      <c r="C6130" s="220"/>
      <c r="D6130" s="91"/>
      <c r="E6130" s="221"/>
      <c r="F6130" s="91"/>
      <c r="G6130" s="91"/>
      <c r="H6130" s="242"/>
      <c r="I6130" s="223"/>
      <c r="J6130" s="57"/>
      <c r="K6130" s="153"/>
      <c r="L6130" s="153"/>
      <c r="M6130" s="243"/>
      <c r="N6130" s="234"/>
      <c r="O6130" s="235"/>
      <c r="P6130" s="236"/>
      <c r="Q6130" s="236"/>
      <c r="R6130" s="236"/>
      <c r="S6130" s="236"/>
      <c r="T6130" s="236"/>
      <c r="U6130" s="236"/>
      <c r="V6130" s="236"/>
      <c r="W6130" s="236"/>
      <c r="X6130" s="236"/>
      <c r="Y6130" s="236"/>
    </row>
    <row r="6131" spans="1:25" ht="15" customHeight="1">
      <c r="A6131" s="91"/>
      <c r="B6131" s="91"/>
      <c r="C6131" s="220"/>
      <c r="D6131" s="91"/>
      <c r="E6131" s="221"/>
      <c r="F6131" s="91"/>
      <c r="G6131" s="91"/>
      <c r="H6131" s="242"/>
      <c r="I6131" s="223"/>
      <c r="J6131" s="57"/>
      <c r="K6131" s="153"/>
      <c r="L6131" s="153"/>
      <c r="M6131" s="243"/>
      <c r="N6131" s="234"/>
      <c r="O6131" s="235"/>
      <c r="P6131" s="236"/>
      <c r="Q6131" s="236"/>
      <c r="R6131" s="236"/>
      <c r="S6131" s="236"/>
      <c r="T6131" s="236"/>
      <c r="U6131" s="236"/>
      <c r="V6131" s="236"/>
      <c r="W6131" s="236"/>
      <c r="X6131" s="236"/>
      <c r="Y6131" s="236"/>
    </row>
    <row r="6132" spans="1:25" ht="15" customHeight="1">
      <c r="A6132" s="91"/>
      <c r="B6132" s="91"/>
      <c r="C6132" s="220"/>
      <c r="D6132" s="91"/>
      <c r="E6132" s="221"/>
      <c r="F6132" s="91"/>
      <c r="G6132" s="91"/>
      <c r="H6132" s="242"/>
      <c r="I6132" s="223"/>
      <c r="J6132" s="57"/>
      <c r="K6132" s="153"/>
      <c r="L6132" s="153"/>
      <c r="M6132" s="243"/>
      <c r="N6132" s="234"/>
      <c r="O6132" s="235"/>
      <c r="P6132" s="236"/>
      <c r="Q6132" s="236"/>
      <c r="R6132" s="236"/>
      <c r="S6132" s="236"/>
      <c r="T6132" s="236"/>
      <c r="U6132" s="236"/>
      <c r="V6132" s="236"/>
      <c r="W6132" s="236"/>
      <c r="X6132" s="236"/>
      <c r="Y6132" s="236"/>
    </row>
    <row r="6133" spans="1:25" ht="15" customHeight="1">
      <c r="A6133" s="91"/>
      <c r="B6133" s="91"/>
      <c r="C6133" s="220"/>
      <c r="D6133" s="91"/>
      <c r="E6133" s="221"/>
      <c r="F6133" s="91"/>
      <c r="G6133" s="91"/>
      <c r="H6133" s="242"/>
      <c r="I6133" s="223"/>
      <c r="J6133" s="57"/>
      <c r="K6133" s="153"/>
      <c r="L6133" s="153"/>
      <c r="M6133" s="243"/>
      <c r="N6133" s="234"/>
      <c r="O6133" s="235"/>
      <c r="P6133" s="236"/>
      <c r="Q6133" s="236"/>
      <c r="R6133" s="236"/>
      <c r="S6133" s="236"/>
      <c r="T6133" s="236"/>
      <c r="U6133" s="236"/>
      <c r="V6133" s="236"/>
      <c r="W6133" s="236"/>
      <c r="X6133" s="236"/>
      <c r="Y6133" s="236"/>
    </row>
    <row r="6134" spans="1:25" ht="15" customHeight="1">
      <c r="A6134" s="91"/>
      <c r="B6134" s="91"/>
      <c r="C6134" s="220"/>
      <c r="D6134" s="91"/>
      <c r="E6134" s="221"/>
      <c r="F6134" s="91"/>
      <c r="G6134" s="91"/>
      <c r="H6134" s="242"/>
      <c r="I6134" s="223"/>
      <c r="J6134" s="57"/>
      <c r="K6134" s="153"/>
      <c r="L6134" s="153"/>
      <c r="M6134" s="243"/>
      <c r="N6134" s="234"/>
      <c r="O6134" s="235"/>
      <c r="P6134" s="236"/>
      <c r="Q6134" s="236"/>
      <c r="R6134" s="236"/>
      <c r="S6134" s="236"/>
      <c r="T6134" s="236"/>
      <c r="U6134" s="236"/>
      <c r="V6134" s="236"/>
      <c r="W6134" s="236"/>
      <c r="X6134" s="236"/>
      <c r="Y6134" s="236"/>
    </row>
    <row r="6135" spans="1:25" ht="15" customHeight="1">
      <c r="A6135" s="91"/>
      <c r="B6135" s="91"/>
      <c r="C6135" s="220"/>
      <c r="D6135" s="91"/>
      <c r="E6135" s="221"/>
      <c r="F6135" s="91"/>
      <c r="G6135" s="91"/>
      <c r="H6135" s="242"/>
      <c r="I6135" s="223"/>
      <c r="J6135" s="57"/>
      <c r="K6135" s="153"/>
      <c r="L6135" s="153"/>
      <c r="M6135" s="243"/>
      <c r="N6135" s="234"/>
      <c r="O6135" s="235"/>
      <c r="P6135" s="236"/>
      <c r="Q6135" s="236"/>
      <c r="R6135" s="236"/>
      <c r="S6135" s="236"/>
      <c r="T6135" s="236"/>
      <c r="U6135" s="236"/>
      <c r="V6135" s="236"/>
      <c r="W6135" s="236"/>
      <c r="X6135" s="236"/>
      <c r="Y6135" s="236"/>
    </row>
    <row r="6136" spans="1:25" ht="15" customHeight="1">
      <c r="A6136" s="91"/>
      <c r="B6136" s="91"/>
      <c r="C6136" s="220"/>
      <c r="D6136" s="91"/>
      <c r="E6136" s="221"/>
      <c r="F6136" s="91"/>
      <c r="G6136" s="91"/>
      <c r="H6136" s="242"/>
      <c r="I6136" s="223"/>
      <c r="J6136" s="57"/>
      <c r="K6136" s="153"/>
      <c r="L6136" s="153"/>
      <c r="M6136" s="243"/>
      <c r="N6136" s="234"/>
      <c r="O6136" s="235"/>
      <c r="P6136" s="236"/>
      <c r="Q6136" s="236"/>
      <c r="R6136" s="236"/>
      <c r="S6136" s="236"/>
      <c r="T6136" s="236"/>
      <c r="U6136" s="236"/>
      <c r="V6136" s="236"/>
      <c r="W6136" s="236"/>
      <c r="X6136" s="236"/>
      <c r="Y6136" s="236"/>
    </row>
    <row r="6137" spans="1:25" ht="15" customHeight="1">
      <c r="A6137" s="91"/>
      <c r="B6137" s="91"/>
      <c r="C6137" s="220"/>
      <c r="D6137" s="91"/>
      <c r="E6137" s="221"/>
      <c r="F6137" s="91"/>
      <c r="G6137" s="91"/>
      <c r="H6137" s="242"/>
      <c r="I6137" s="223"/>
      <c r="J6137" s="57"/>
      <c r="K6137" s="153"/>
      <c r="L6137" s="153"/>
      <c r="M6137" s="243"/>
      <c r="N6137" s="234"/>
      <c r="O6137" s="235"/>
      <c r="P6137" s="236"/>
      <c r="Q6137" s="236"/>
      <c r="R6137" s="236"/>
      <c r="S6137" s="236"/>
      <c r="T6137" s="236"/>
      <c r="U6137" s="236"/>
      <c r="V6137" s="236"/>
      <c r="W6137" s="236"/>
      <c r="X6137" s="236"/>
      <c r="Y6137" s="236"/>
    </row>
    <row r="6138" spans="1:25" ht="15" customHeight="1">
      <c r="A6138" s="91"/>
      <c r="B6138" s="91"/>
      <c r="C6138" s="220"/>
      <c r="D6138" s="91"/>
      <c r="E6138" s="221"/>
      <c r="F6138" s="91"/>
      <c r="G6138" s="91"/>
      <c r="H6138" s="242"/>
      <c r="I6138" s="223"/>
      <c r="J6138" s="57"/>
      <c r="K6138" s="153"/>
      <c r="L6138" s="153"/>
      <c r="M6138" s="243"/>
      <c r="N6138" s="234"/>
      <c r="O6138" s="235"/>
      <c r="P6138" s="236"/>
      <c r="Q6138" s="236"/>
      <c r="R6138" s="236"/>
      <c r="S6138" s="236"/>
      <c r="T6138" s="236"/>
      <c r="U6138" s="236"/>
      <c r="V6138" s="236"/>
      <c r="W6138" s="236"/>
      <c r="X6138" s="236"/>
      <c r="Y6138" s="236"/>
    </row>
    <row r="6139" spans="1:25" ht="15" customHeight="1">
      <c r="A6139" s="91"/>
      <c r="B6139" s="91"/>
      <c r="C6139" s="220"/>
      <c r="D6139" s="91"/>
      <c r="E6139" s="221"/>
      <c r="F6139" s="91"/>
      <c r="G6139" s="91"/>
      <c r="H6139" s="242"/>
      <c r="I6139" s="223"/>
      <c r="J6139" s="57"/>
      <c r="K6139" s="153"/>
      <c r="L6139" s="153"/>
      <c r="M6139" s="243"/>
      <c r="N6139" s="234"/>
      <c r="O6139" s="235"/>
      <c r="P6139" s="236"/>
      <c r="Q6139" s="236"/>
      <c r="R6139" s="236"/>
      <c r="S6139" s="236"/>
      <c r="T6139" s="236"/>
      <c r="U6139" s="236"/>
      <c r="V6139" s="236"/>
      <c r="W6139" s="236"/>
      <c r="X6139" s="236"/>
      <c r="Y6139" s="236"/>
    </row>
    <row r="6140" spans="1:25" ht="15" customHeight="1">
      <c r="A6140" s="91"/>
      <c r="B6140" s="91"/>
      <c r="C6140" s="220"/>
      <c r="D6140" s="91"/>
      <c r="E6140" s="221"/>
      <c r="F6140" s="91"/>
      <c r="G6140" s="91"/>
      <c r="H6140" s="242"/>
      <c r="I6140" s="223"/>
      <c r="J6140" s="57"/>
      <c r="K6140" s="153"/>
      <c r="L6140" s="153"/>
      <c r="M6140" s="243"/>
      <c r="N6140" s="234"/>
      <c r="O6140" s="235"/>
      <c r="P6140" s="236"/>
      <c r="Q6140" s="236"/>
      <c r="R6140" s="236"/>
      <c r="S6140" s="236"/>
      <c r="T6140" s="236"/>
      <c r="U6140" s="236"/>
      <c r="V6140" s="236"/>
      <c r="W6140" s="236"/>
      <c r="X6140" s="236"/>
      <c r="Y6140" s="236"/>
    </row>
    <row r="6141" spans="1:25" ht="15" customHeight="1">
      <c r="A6141" s="91"/>
      <c r="B6141" s="91"/>
      <c r="C6141" s="220"/>
      <c r="D6141" s="91"/>
      <c r="E6141" s="221"/>
      <c r="F6141" s="91"/>
      <c r="G6141" s="91"/>
      <c r="H6141" s="242"/>
      <c r="I6141" s="223"/>
      <c r="J6141" s="57"/>
      <c r="K6141" s="153"/>
      <c r="L6141" s="153"/>
      <c r="M6141" s="243"/>
      <c r="N6141" s="234"/>
      <c r="O6141" s="235"/>
      <c r="P6141" s="236"/>
      <c r="Q6141" s="236"/>
      <c r="R6141" s="236"/>
      <c r="S6141" s="236"/>
      <c r="T6141" s="236"/>
      <c r="U6141" s="236"/>
      <c r="V6141" s="236"/>
      <c r="W6141" s="236"/>
      <c r="X6141" s="236"/>
      <c r="Y6141" s="236"/>
    </row>
    <row r="6142" spans="1:25" ht="15" customHeight="1">
      <c r="A6142" s="91"/>
      <c r="B6142" s="91"/>
      <c r="C6142" s="220"/>
      <c r="D6142" s="91"/>
      <c r="E6142" s="221"/>
      <c r="F6142" s="91"/>
      <c r="G6142" s="91"/>
      <c r="H6142" s="242"/>
      <c r="I6142" s="223"/>
      <c r="J6142" s="57"/>
      <c r="K6142" s="153"/>
      <c r="L6142" s="153"/>
      <c r="M6142" s="243"/>
      <c r="N6142" s="234"/>
      <c r="O6142" s="235"/>
      <c r="P6142" s="236"/>
      <c r="Q6142" s="236"/>
      <c r="R6142" s="236"/>
      <c r="S6142" s="236"/>
      <c r="T6142" s="236"/>
      <c r="U6142" s="236"/>
      <c r="V6142" s="236"/>
      <c r="W6142" s="236"/>
      <c r="X6142" s="236"/>
      <c r="Y6142" s="236"/>
    </row>
    <row r="6143" spans="1:25" ht="15" customHeight="1">
      <c r="A6143" s="91"/>
      <c r="B6143" s="91"/>
      <c r="C6143" s="220"/>
      <c r="D6143" s="91"/>
      <c r="E6143" s="221"/>
      <c r="F6143" s="91"/>
      <c r="G6143" s="91"/>
      <c r="H6143" s="242"/>
      <c r="I6143" s="223"/>
      <c r="J6143" s="57"/>
      <c r="K6143" s="153"/>
      <c r="L6143" s="153"/>
      <c r="M6143" s="243"/>
      <c r="N6143" s="234"/>
      <c r="O6143" s="235"/>
      <c r="P6143" s="236"/>
      <c r="Q6143" s="236"/>
      <c r="R6143" s="236"/>
      <c r="S6143" s="236"/>
      <c r="T6143" s="236"/>
      <c r="U6143" s="236"/>
      <c r="V6143" s="236"/>
      <c r="W6143" s="236"/>
      <c r="X6143" s="236"/>
      <c r="Y6143" s="236"/>
    </row>
    <row r="6144" spans="1:25" ht="15" customHeight="1">
      <c r="A6144" s="91"/>
      <c r="B6144" s="91"/>
      <c r="C6144" s="220"/>
      <c r="D6144" s="91"/>
      <c r="E6144" s="221"/>
      <c r="F6144" s="91"/>
      <c r="G6144" s="91"/>
      <c r="H6144" s="242"/>
      <c r="I6144" s="223"/>
      <c r="J6144" s="57"/>
      <c r="K6144" s="153"/>
      <c r="L6144" s="153"/>
      <c r="M6144" s="243"/>
      <c r="N6144" s="234"/>
      <c r="O6144" s="235"/>
      <c r="P6144" s="236"/>
      <c r="Q6144" s="236"/>
      <c r="R6144" s="236"/>
      <c r="S6144" s="236"/>
      <c r="T6144" s="236"/>
      <c r="U6144" s="236"/>
      <c r="V6144" s="236"/>
      <c r="W6144" s="236"/>
      <c r="X6144" s="236"/>
      <c r="Y6144" s="236"/>
    </row>
    <row r="6145" spans="1:25" ht="15" customHeight="1">
      <c r="A6145" s="91"/>
      <c r="B6145" s="91"/>
      <c r="C6145" s="220"/>
      <c r="D6145" s="91"/>
      <c r="E6145" s="221"/>
      <c r="F6145" s="91"/>
      <c r="G6145" s="91"/>
      <c r="H6145" s="242"/>
      <c r="I6145" s="223"/>
      <c r="J6145" s="57"/>
      <c r="K6145" s="153"/>
      <c r="L6145" s="153"/>
      <c r="M6145" s="243"/>
      <c r="N6145" s="234"/>
      <c r="O6145" s="235"/>
      <c r="P6145" s="236"/>
      <c r="Q6145" s="236"/>
      <c r="R6145" s="236"/>
      <c r="S6145" s="236"/>
      <c r="T6145" s="236"/>
      <c r="U6145" s="236"/>
      <c r="V6145" s="236"/>
      <c r="W6145" s="236"/>
      <c r="X6145" s="236"/>
      <c r="Y6145" s="236"/>
    </row>
    <row r="6146" spans="1:25" ht="15" customHeight="1">
      <c r="A6146" s="91"/>
      <c r="B6146" s="91"/>
      <c r="C6146" s="220"/>
      <c r="D6146" s="91"/>
      <c r="E6146" s="221"/>
      <c r="F6146" s="91"/>
      <c r="G6146" s="91"/>
      <c r="H6146" s="242"/>
      <c r="I6146" s="223"/>
      <c r="J6146" s="57"/>
      <c r="K6146" s="153"/>
      <c r="L6146" s="153"/>
      <c r="M6146" s="243"/>
      <c r="N6146" s="234"/>
      <c r="O6146" s="235"/>
      <c r="P6146" s="236"/>
      <c r="Q6146" s="236"/>
      <c r="R6146" s="236"/>
      <c r="S6146" s="236"/>
      <c r="T6146" s="236"/>
      <c r="U6146" s="236"/>
      <c r="V6146" s="236"/>
      <c r="W6146" s="236"/>
      <c r="X6146" s="236"/>
      <c r="Y6146" s="236"/>
    </row>
    <row r="6147" spans="1:25" ht="15" customHeight="1">
      <c r="A6147" s="91"/>
      <c r="B6147" s="91"/>
      <c r="C6147" s="220"/>
      <c r="D6147" s="91"/>
      <c r="E6147" s="221"/>
      <c r="F6147" s="91"/>
      <c r="G6147" s="91"/>
      <c r="H6147" s="242"/>
      <c r="I6147" s="223"/>
      <c r="J6147" s="57"/>
      <c r="K6147" s="153"/>
      <c r="L6147" s="153"/>
      <c r="M6147" s="243"/>
      <c r="N6147" s="234"/>
      <c r="O6147" s="235"/>
      <c r="P6147" s="236"/>
      <c r="Q6147" s="236"/>
      <c r="R6147" s="236"/>
      <c r="S6147" s="236"/>
      <c r="T6147" s="236"/>
      <c r="U6147" s="236"/>
      <c r="V6147" s="236"/>
      <c r="W6147" s="236"/>
      <c r="X6147" s="236"/>
      <c r="Y6147" s="236"/>
    </row>
    <row r="6148" spans="1:25" ht="15" customHeight="1">
      <c r="A6148" s="91"/>
      <c r="B6148" s="91"/>
      <c r="C6148" s="220"/>
      <c r="D6148" s="91"/>
      <c r="E6148" s="221"/>
      <c r="F6148" s="91"/>
      <c r="G6148" s="91"/>
      <c r="H6148" s="242"/>
      <c r="I6148" s="223"/>
      <c r="J6148" s="57"/>
      <c r="K6148" s="153"/>
      <c r="L6148" s="153"/>
      <c r="M6148" s="243"/>
      <c r="N6148" s="234"/>
      <c r="O6148" s="235"/>
      <c r="P6148" s="236"/>
      <c r="Q6148" s="236"/>
      <c r="R6148" s="236"/>
      <c r="S6148" s="236"/>
      <c r="T6148" s="236"/>
      <c r="U6148" s="236"/>
      <c r="V6148" s="236"/>
      <c r="W6148" s="236"/>
      <c r="X6148" s="236"/>
      <c r="Y6148" s="236"/>
    </row>
    <row r="6149" spans="1:25" ht="15" customHeight="1">
      <c r="A6149" s="91"/>
      <c r="B6149" s="91"/>
      <c r="C6149" s="220"/>
      <c r="D6149" s="91"/>
      <c r="E6149" s="221"/>
      <c r="F6149" s="91"/>
      <c r="G6149" s="91"/>
      <c r="H6149" s="242"/>
      <c r="I6149" s="223"/>
      <c r="J6149" s="57"/>
      <c r="K6149" s="153"/>
      <c r="L6149" s="153"/>
      <c r="M6149" s="243"/>
      <c r="N6149" s="234"/>
      <c r="O6149" s="235"/>
      <c r="P6149" s="236"/>
      <c r="Q6149" s="236"/>
      <c r="R6149" s="236"/>
      <c r="S6149" s="236"/>
      <c r="T6149" s="236"/>
      <c r="U6149" s="236"/>
      <c r="V6149" s="236"/>
      <c r="W6149" s="236"/>
      <c r="X6149" s="236"/>
      <c r="Y6149" s="236"/>
    </row>
    <row r="6150" spans="1:25" ht="15" customHeight="1">
      <c r="A6150" s="91"/>
      <c r="B6150" s="91"/>
      <c r="C6150" s="220"/>
      <c r="D6150" s="91"/>
      <c r="E6150" s="221"/>
      <c r="F6150" s="91"/>
      <c r="G6150" s="91"/>
      <c r="H6150" s="242"/>
      <c r="I6150" s="223"/>
      <c r="J6150" s="57"/>
      <c r="K6150" s="153"/>
      <c r="L6150" s="153"/>
      <c r="M6150" s="243"/>
      <c r="N6150" s="234"/>
      <c r="O6150" s="235"/>
      <c r="P6150" s="236"/>
      <c r="Q6150" s="236"/>
      <c r="R6150" s="236"/>
      <c r="S6150" s="236"/>
      <c r="T6150" s="236"/>
      <c r="U6150" s="236"/>
      <c r="V6150" s="236"/>
      <c r="W6150" s="236"/>
      <c r="X6150" s="236"/>
      <c r="Y6150" s="236"/>
    </row>
    <row r="6151" spans="1:25" ht="15" customHeight="1">
      <c r="A6151" s="91"/>
      <c r="B6151" s="91"/>
      <c r="C6151" s="220"/>
      <c r="D6151" s="91"/>
      <c r="E6151" s="221"/>
      <c r="F6151" s="91"/>
      <c r="G6151" s="91"/>
      <c r="H6151" s="242"/>
      <c r="I6151" s="223"/>
      <c r="J6151" s="57"/>
      <c r="K6151" s="153"/>
      <c r="L6151" s="153"/>
      <c r="M6151" s="243"/>
      <c r="N6151" s="234"/>
      <c r="O6151" s="235"/>
      <c r="P6151" s="236"/>
      <c r="Q6151" s="236"/>
      <c r="R6151" s="236"/>
      <c r="S6151" s="236"/>
      <c r="T6151" s="236"/>
      <c r="U6151" s="236"/>
      <c r="V6151" s="236"/>
      <c r="W6151" s="236"/>
      <c r="X6151" s="236"/>
      <c r="Y6151" s="236"/>
    </row>
    <row r="6152" spans="1:25" ht="15" customHeight="1">
      <c r="A6152" s="91"/>
      <c r="B6152" s="91"/>
      <c r="C6152" s="220"/>
      <c r="D6152" s="91"/>
      <c r="E6152" s="221"/>
      <c r="F6152" s="91"/>
      <c r="G6152" s="91"/>
      <c r="H6152" s="242"/>
      <c r="I6152" s="223"/>
      <c r="J6152" s="57"/>
      <c r="K6152" s="153"/>
      <c r="L6152" s="153"/>
      <c r="M6152" s="243"/>
      <c r="N6152" s="234"/>
      <c r="O6152" s="235"/>
      <c r="P6152" s="236"/>
      <c r="Q6152" s="236"/>
      <c r="R6152" s="236"/>
      <c r="S6152" s="236"/>
      <c r="T6152" s="236"/>
      <c r="U6152" s="236"/>
      <c r="V6152" s="236"/>
      <c r="W6152" s="236"/>
      <c r="X6152" s="236"/>
      <c r="Y6152" s="236"/>
    </row>
    <row r="6153" spans="1:25" ht="15" customHeight="1">
      <c r="A6153" s="91"/>
      <c r="B6153" s="91"/>
      <c r="C6153" s="220"/>
      <c r="D6153" s="91"/>
      <c r="E6153" s="221"/>
      <c r="F6153" s="91"/>
      <c r="G6153" s="91"/>
      <c r="H6153" s="242"/>
      <c r="I6153" s="223"/>
      <c r="J6153" s="57"/>
      <c r="K6153" s="153"/>
      <c r="L6153" s="153"/>
      <c r="M6153" s="243"/>
      <c r="N6153" s="234"/>
      <c r="O6153" s="235"/>
      <c r="P6153" s="236"/>
      <c r="Q6153" s="236"/>
      <c r="R6153" s="236"/>
      <c r="S6153" s="236"/>
      <c r="T6153" s="236"/>
      <c r="U6153" s="236"/>
      <c r="V6153" s="236"/>
      <c r="W6153" s="236"/>
      <c r="X6153" s="236"/>
      <c r="Y6153" s="236"/>
    </row>
    <row r="6154" spans="1:25" ht="15" customHeight="1">
      <c r="A6154" s="91"/>
      <c r="B6154" s="91"/>
      <c r="C6154" s="220"/>
      <c r="D6154" s="91"/>
      <c r="E6154" s="221"/>
      <c r="F6154" s="91"/>
      <c r="G6154" s="91"/>
      <c r="H6154" s="242"/>
      <c r="I6154" s="223"/>
      <c r="J6154" s="57"/>
      <c r="K6154" s="153"/>
      <c r="L6154" s="153"/>
      <c r="M6154" s="243"/>
      <c r="N6154" s="234"/>
      <c r="O6154" s="235"/>
      <c r="P6154" s="236"/>
      <c r="Q6154" s="236"/>
      <c r="R6154" s="236"/>
      <c r="S6154" s="236"/>
      <c r="T6154" s="236"/>
      <c r="U6154" s="236"/>
      <c r="V6154" s="236"/>
      <c r="W6154" s="236"/>
      <c r="X6154" s="236"/>
      <c r="Y6154" s="236"/>
    </row>
    <row r="6155" spans="1:25" ht="15" customHeight="1">
      <c r="A6155" s="91"/>
      <c r="B6155" s="91"/>
      <c r="C6155" s="220"/>
      <c r="D6155" s="91"/>
      <c r="E6155" s="221"/>
      <c r="F6155" s="91"/>
      <c r="G6155" s="91"/>
      <c r="H6155" s="242"/>
      <c r="I6155" s="223"/>
      <c r="J6155" s="57"/>
      <c r="K6155" s="153"/>
      <c r="L6155" s="153"/>
      <c r="M6155" s="243"/>
      <c r="N6155" s="234"/>
      <c r="O6155" s="235"/>
      <c r="P6155" s="236"/>
      <c r="Q6155" s="236"/>
      <c r="R6155" s="236"/>
      <c r="S6155" s="236"/>
      <c r="T6155" s="236"/>
      <c r="U6155" s="236"/>
      <c r="V6155" s="236"/>
      <c r="W6155" s="236"/>
      <c r="X6155" s="236"/>
      <c r="Y6155" s="236"/>
    </row>
    <row r="6156" spans="1:25" ht="15" customHeight="1">
      <c r="A6156" s="91"/>
      <c r="B6156" s="91"/>
      <c r="C6156" s="220"/>
      <c r="D6156" s="91"/>
      <c r="E6156" s="221"/>
      <c r="F6156" s="91"/>
      <c r="G6156" s="91"/>
      <c r="H6156" s="242"/>
      <c r="I6156" s="223"/>
      <c r="J6156" s="57"/>
      <c r="K6156" s="153"/>
      <c r="L6156" s="153"/>
      <c r="M6156" s="243"/>
      <c r="N6156" s="234"/>
      <c r="O6156" s="235"/>
      <c r="P6156" s="236"/>
      <c r="Q6156" s="236"/>
      <c r="R6156" s="236"/>
      <c r="S6156" s="236"/>
      <c r="T6156" s="236"/>
      <c r="U6156" s="236"/>
      <c r="V6156" s="236"/>
      <c r="W6156" s="236"/>
      <c r="X6156" s="236"/>
      <c r="Y6156" s="236"/>
    </row>
    <row r="6157" spans="1:25" ht="15" customHeight="1">
      <c r="A6157" s="91"/>
      <c r="B6157" s="91"/>
      <c r="C6157" s="220"/>
      <c r="D6157" s="91"/>
      <c r="E6157" s="221"/>
      <c r="F6157" s="91"/>
      <c r="G6157" s="91"/>
      <c r="H6157" s="242"/>
      <c r="I6157" s="223"/>
      <c r="J6157" s="57"/>
      <c r="K6157" s="153"/>
      <c r="L6157" s="153"/>
      <c r="M6157" s="243"/>
      <c r="N6157" s="234"/>
      <c r="O6157" s="235"/>
      <c r="P6157" s="236"/>
      <c r="Q6157" s="236"/>
      <c r="R6157" s="236"/>
      <c r="S6157" s="236"/>
      <c r="T6157" s="236"/>
      <c r="U6157" s="236"/>
      <c r="V6157" s="236"/>
      <c r="W6157" s="236"/>
      <c r="X6157" s="236"/>
      <c r="Y6157" s="236"/>
    </row>
    <row r="6158" spans="1:25" ht="15" customHeight="1">
      <c r="A6158" s="91"/>
      <c r="B6158" s="91"/>
      <c r="C6158" s="220"/>
      <c r="D6158" s="91"/>
      <c r="E6158" s="221"/>
      <c r="F6158" s="91"/>
      <c r="G6158" s="91"/>
      <c r="H6158" s="242"/>
      <c r="I6158" s="223"/>
      <c r="J6158" s="57"/>
      <c r="K6158" s="153"/>
      <c r="L6158" s="153"/>
      <c r="M6158" s="243"/>
      <c r="N6158" s="234"/>
      <c r="O6158" s="235"/>
      <c r="P6158" s="236"/>
      <c r="Q6158" s="236"/>
      <c r="R6158" s="236"/>
      <c r="S6158" s="236"/>
      <c r="T6158" s="236"/>
      <c r="U6158" s="236"/>
      <c r="V6158" s="236"/>
      <c r="W6158" s="236"/>
      <c r="X6158" s="236"/>
      <c r="Y6158" s="236"/>
    </row>
    <row r="6159" spans="1:25" ht="15" customHeight="1">
      <c r="A6159" s="91"/>
      <c r="B6159" s="91"/>
      <c r="C6159" s="220"/>
      <c r="D6159" s="91"/>
      <c r="E6159" s="221"/>
      <c r="F6159" s="91"/>
      <c r="G6159" s="91"/>
      <c r="H6159" s="242"/>
      <c r="I6159" s="223"/>
      <c r="J6159" s="57"/>
      <c r="K6159" s="153"/>
      <c r="L6159" s="153"/>
      <c r="M6159" s="243"/>
      <c r="N6159" s="234"/>
      <c r="O6159" s="235"/>
      <c r="P6159" s="236"/>
      <c r="Q6159" s="236"/>
      <c r="R6159" s="236"/>
      <c r="S6159" s="236"/>
      <c r="T6159" s="236"/>
      <c r="U6159" s="236"/>
      <c r="V6159" s="236"/>
      <c r="W6159" s="236"/>
      <c r="X6159" s="236"/>
      <c r="Y6159" s="236"/>
    </row>
    <row r="6160" spans="1:25" ht="15" customHeight="1">
      <c r="A6160" s="91"/>
      <c r="B6160" s="91"/>
      <c r="C6160" s="220"/>
      <c r="D6160" s="91"/>
      <c r="E6160" s="221"/>
      <c r="F6160" s="91"/>
      <c r="G6160" s="91"/>
      <c r="H6160" s="242"/>
      <c r="I6160" s="223"/>
      <c r="J6160" s="57"/>
      <c r="K6160" s="153"/>
      <c r="L6160" s="153"/>
      <c r="M6160" s="243"/>
      <c r="N6160" s="234"/>
      <c r="O6160" s="235"/>
      <c r="P6160" s="236"/>
      <c r="Q6160" s="236"/>
      <c r="R6160" s="236"/>
      <c r="S6160" s="236"/>
      <c r="T6160" s="236"/>
      <c r="U6160" s="236"/>
      <c r="V6160" s="236"/>
      <c r="W6160" s="236"/>
      <c r="X6160" s="236"/>
      <c r="Y6160" s="236"/>
    </row>
    <row r="6161" spans="1:25" ht="15" customHeight="1">
      <c r="A6161" s="91"/>
      <c r="B6161" s="91"/>
      <c r="C6161" s="220"/>
      <c r="D6161" s="91"/>
      <c r="E6161" s="221"/>
      <c r="F6161" s="91"/>
      <c r="G6161" s="91"/>
      <c r="H6161" s="242"/>
      <c r="I6161" s="223"/>
      <c r="J6161" s="57"/>
      <c r="K6161" s="153"/>
      <c r="L6161" s="153"/>
      <c r="M6161" s="243"/>
      <c r="N6161" s="234"/>
      <c r="O6161" s="235"/>
      <c r="P6161" s="236"/>
      <c r="Q6161" s="236"/>
      <c r="R6161" s="236"/>
      <c r="S6161" s="236"/>
      <c r="T6161" s="236"/>
      <c r="U6161" s="236"/>
      <c r="V6161" s="236"/>
      <c r="W6161" s="236"/>
      <c r="X6161" s="236"/>
      <c r="Y6161" s="236"/>
    </row>
    <row r="6162" spans="1:25" ht="15" customHeight="1">
      <c r="A6162" s="91"/>
      <c r="B6162" s="91"/>
      <c r="C6162" s="220"/>
      <c r="D6162" s="91"/>
      <c r="E6162" s="221"/>
      <c r="F6162" s="91"/>
      <c r="G6162" s="91"/>
      <c r="H6162" s="242"/>
      <c r="I6162" s="223"/>
      <c r="J6162" s="57"/>
      <c r="K6162" s="153"/>
      <c r="L6162" s="153"/>
      <c r="M6162" s="243"/>
      <c r="N6162" s="234"/>
      <c r="O6162" s="235"/>
      <c r="P6162" s="236"/>
      <c r="Q6162" s="236"/>
      <c r="R6162" s="236"/>
      <c r="S6162" s="236"/>
      <c r="T6162" s="236"/>
      <c r="U6162" s="236"/>
      <c r="V6162" s="236"/>
      <c r="W6162" s="236"/>
      <c r="X6162" s="236"/>
      <c r="Y6162" s="236"/>
    </row>
    <row r="6163" spans="1:25" ht="15" customHeight="1">
      <c r="A6163" s="91"/>
      <c r="B6163" s="91"/>
      <c r="C6163" s="220"/>
      <c r="D6163" s="91"/>
      <c r="E6163" s="221"/>
      <c r="F6163" s="91"/>
      <c r="G6163" s="91"/>
      <c r="H6163" s="242"/>
      <c r="I6163" s="223"/>
      <c r="J6163" s="57"/>
      <c r="K6163" s="153"/>
      <c r="L6163" s="153"/>
      <c r="M6163" s="243"/>
      <c r="N6163" s="234"/>
      <c r="O6163" s="235"/>
      <c r="P6163" s="236"/>
      <c r="Q6163" s="236"/>
      <c r="R6163" s="236"/>
      <c r="S6163" s="236"/>
      <c r="T6163" s="236"/>
      <c r="U6163" s="236"/>
      <c r="V6163" s="236"/>
      <c r="W6163" s="236"/>
      <c r="X6163" s="236"/>
      <c r="Y6163" s="236"/>
    </row>
    <row r="6164" spans="1:25" ht="15" customHeight="1">
      <c r="A6164" s="91"/>
      <c r="B6164" s="91"/>
      <c r="C6164" s="220"/>
      <c r="D6164" s="91"/>
      <c r="E6164" s="221"/>
      <c r="F6164" s="91"/>
      <c r="G6164" s="91"/>
      <c r="H6164" s="242"/>
      <c r="I6164" s="223"/>
      <c r="J6164" s="57"/>
      <c r="K6164" s="153"/>
      <c r="L6164" s="153"/>
      <c r="M6164" s="243"/>
      <c r="N6164" s="234"/>
      <c r="O6164" s="235"/>
      <c r="P6164" s="236"/>
      <c r="Q6164" s="236"/>
      <c r="R6164" s="236"/>
      <c r="S6164" s="236"/>
      <c r="T6164" s="236"/>
      <c r="U6164" s="236"/>
      <c r="V6164" s="236"/>
      <c r="W6164" s="236"/>
      <c r="X6164" s="236"/>
      <c r="Y6164" s="236"/>
    </row>
    <row r="6165" spans="1:25" ht="15" customHeight="1">
      <c r="A6165" s="91"/>
      <c r="B6165" s="91"/>
      <c r="C6165" s="220"/>
      <c r="D6165" s="91"/>
      <c r="E6165" s="221"/>
      <c r="F6165" s="91"/>
      <c r="G6165" s="91"/>
      <c r="H6165" s="242"/>
      <c r="I6165" s="223"/>
      <c r="J6165" s="57"/>
      <c r="K6165" s="153"/>
      <c r="L6165" s="153"/>
      <c r="M6165" s="243"/>
      <c r="N6165" s="234"/>
      <c r="O6165" s="235"/>
      <c r="P6165" s="236"/>
      <c r="Q6165" s="236"/>
      <c r="R6165" s="236"/>
      <c r="S6165" s="236"/>
      <c r="T6165" s="236"/>
      <c r="U6165" s="236"/>
      <c r="V6165" s="236"/>
      <c r="W6165" s="236"/>
      <c r="X6165" s="236"/>
      <c r="Y6165" s="236"/>
    </row>
    <row r="6166" spans="1:25" ht="15" customHeight="1">
      <c r="A6166" s="91"/>
      <c r="B6166" s="91"/>
      <c r="C6166" s="220"/>
      <c r="D6166" s="91"/>
      <c r="E6166" s="221"/>
      <c r="F6166" s="91"/>
      <c r="G6166" s="91"/>
      <c r="H6166" s="242"/>
      <c r="I6166" s="223"/>
      <c r="J6166" s="57"/>
      <c r="K6166" s="153"/>
      <c r="L6166" s="153"/>
      <c r="M6166" s="243"/>
      <c r="N6166" s="234"/>
      <c r="O6166" s="235"/>
      <c r="P6166" s="236"/>
      <c r="Q6166" s="236"/>
      <c r="R6166" s="236"/>
      <c r="S6166" s="236"/>
      <c r="T6166" s="236"/>
      <c r="U6166" s="236"/>
      <c r="V6166" s="236"/>
      <c r="W6166" s="236"/>
      <c r="X6166" s="236"/>
      <c r="Y6166" s="236"/>
    </row>
    <row r="6167" spans="1:25" ht="15" customHeight="1">
      <c r="A6167" s="91"/>
      <c r="B6167" s="91"/>
      <c r="C6167" s="220"/>
      <c r="D6167" s="91"/>
      <c r="E6167" s="221"/>
      <c r="F6167" s="91"/>
      <c r="G6167" s="91"/>
      <c r="H6167" s="242"/>
      <c r="I6167" s="223"/>
      <c r="J6167" s="57"/>
      <c r="K6167" s="153"/>
      <c r="L6167" s="153"/>
      <c r="M6167" s="243"/>
      <c r="N6167" s="234"/>
      <c r="O6167" s="235"/>
      <c r="P6167" s="236"/>
      <c r="Q6167" s="236"/>
      <c r="R6167" s="236"/>
      <c r="S6167" s="236"/>
      <c r="T6167" s="236"/>
      <c r="U6167" s="236"/>
      <c r="V6167" s="236"/>
      <c r="W6167" s="236"/>
      <c r="X6167" s="236"/>
      <c r="Y6167" s="236"/>
    </row>
    <row r="6168" spans="1:25" ht="15" customHeight="1">
      <c r="A6168" s="91"/>
      <c r="B6168" s="91"/>
      <c r="C6168" s="220"/>
      <c r="D6168" s="91"/>
      <c r="E6168" s="221"/>
      <c r="F6168" s="91"/>
      <c r="G6168" s="91"/>
      <c r="H6168" s="242"/>
      <c r="I6168" s="223"/>
      <c r="J6168" s="57"/>
      <c r="K6168" s="153"/>
      <c r="L6168" s="153"/>
      <c r="M6168" s="243"/>
      <c r="N6168" s="234"/>
      <c r="O6168" s="235"/>
      <c r="P6168" s="236"/>
      <c r="Q6168" s="236"/>
      <c r="R6168" s="236"/>
      <c r="S6168" s="236"/>
      <c r="T6168" s="236"/>
      <c r="U6168" s="236"/>
      <c r="V6168" s="236"/>
      <c r="W6168" s="236"/>
      <c r="X6168" s="236"/>
      <c r="Y6168" s="236"/>
    </row>
    <row r="6169" spans="1:25" ht="15" customHeight="1">
      <c r="A6169" s="91"/>
      <c r="B6169" s="91"/>
      <c r="C6169" s="220"/>
      <c r="D6169" s="91"/>
      <c r="E6169" s="221"/>
      <c r="F6169" s="91"/>
      <c r="G6169" s="91"/>
      <c r="H6169" s="242"/>
      <c r="I6169" s="223"/>
      <c r="J6169" s="57"/>
      <c r="K6169" s="153"/>
      <c r="L6169" s="153"/>
      <c r="M6169" s="243"/>
      <c r="N6169" s="234"/>
      <c r="O6169" s="235"/>
      <c r="P6169" s="236"/>
      <c r="Q6169" s="236"/>
      <c r="R6169" s="236"/>
      <c r="S6169" s="236"/>
      <c r="T6169" s="236"/>
      <c r="U6169" s="236"/>
      <c r="V6169" s="236"/>
      <c r="W6169" s="236"/>
      <c r="X6169" s="236"/>
      <c r="Y6169" s="236"/>
    </row>
    <row r="6170" spans="1:25" ht="15" customHeight="1">
      <c r="A6170" s="91"/>
      <c r="B6170" s="91"/>
      <c r="C6170" s="220"/>
      <c r="D6170" s="91"/>
      <c r="E6170" s="221"/>
      <c r="F6170" s="91"/>
      <c r="G6170" s="91"/>
      <c r="H6170" s="242"/>
      <c r="I6170" s="223"/>
      <c r="J6170" s="57"/>
      <c r="K6170" s="153"/>
      <c r="L6170" s="153"/>
      <c r="M6170" s="243"/>
      <c r="N6170" s="234"/>
      <c r="O6170" s="235"/>
      <c r="P6170" s="236"/>
      <c r="Q6170" s="236"/>
      <c r="R6170" s="236"/>
      <c r="S6170" s="236"/>
      <c r="T6170" s="236"/>
      <c r="U6170" s="236"/>
      <c r="V6170" s="236"/>
      <c r="W6170" s="236"/>
      <c r="X6170" s="236"/>
      <c r="Y6170" s="236"/>
    </row>
    <row r="6171" spans="1:25" ht="15" customHeight="1">
      <c r="A6171" s="91"/>
      <c r="B6171" s="91"/>
      <c r="C6171" s="220"/>
      <c r="D6171" s="91"/>
      <c r="E6171" s="221"/>
      <c r="F6171" s="91"/>
      <c r="G6171" s="91"/>
      <c r="H6171" s="242"/>
      <c r="I6171" s="223"/>
      <c r="J6171" s="57"/>
      <c r="K6171" s="153"/>
      <c r="L6171" s="153"/>
      <c r="M6171" s="243"/>
      <c r="N6171" s="234"/>
      <c r="O6171" s="235"/>
      <c r="P6171" s="236"/>
      <c r="Q6171" s="236"/>
      <c r="R6171" s="236"/>
      <c r="S6171" s="236"/>
      <c r="T6171" s="236"/>
      <c r="U6171" s="236"/>
      <c r="V6171" s="236"/>
      <c r="W6171" s="236"/>
      <c r="X6171" s="236"/>
      <c r="Y6171" s="236"/>
    </row>
    <row r="6172" spans="1:25" ht="15" customHeight="1">
      <c r="A6172" s="91"/>
      <c r="B6172" s="91"/>
      <c r="C6172" s="220"/>
      <c r="D6172" s="91"/>
      <c r="E6172" s="221"/>
      <c r="F6172" s="91"/>
      <c r="G6172" s="91"/>
      <c r="H6172" s="242"/>
      <c r="I6172" s="223"/>
      <c r="J6172" s="57"/>
      <c r="K6172" s="153"/>
      <c r="L6172" s="153"/>
      <c r="M6172" s="243"/>
      <c r="N6172" s="234"/>
      <c r="O6172" s="235"/>
      <c r="P6172" s="236"/>
      <c r="Q6172" s="236"/>
      <c r="R6172" s="236"/>
      <c r="S6172" s="236"/>
      <c r="T6172" s="236"/>
      <c r="U6172" s="236"/>
      <c r="V6172" s="236"/>
      <c r="W6172" s="236"/>
      <c r="X6172" s="236"/>
      <c r="Y6172" s="236"/>
    </row>
    <row r="6173" spans="1:25" ht="15" customHeight="1">
      <c r="A6173" s="91"/>
      <c r="B6173" s="91"/>
      <c r="C6173" s="220"/>
      <c r="D6173" s="91"/>
      <c r="E6173" s="221"/>
      <c r="F6173" s="91"/>
      <c r="G6173" s="91"/>
      <c r="H6173" s="242"/>
      <c r="I6173" s="223"/>
      <c r="J6173" s="57"/>
      <c r="K6173" s="153"/>
      <c r="L6173" s="153"/>
      <c r="M6173" s="243"/>
      <c r="N6173" s="234"/>
      <c r="O6173" s="235"/>
      <c r="P6173" s="236"/>
      <c r="Q6173" s="236"/>
      <c r="R6173" s="236"/>
      <c r="S6173" s="236"/>
      <c r="T6173" s="236"/>
      <c r="U6173" s="236"/>
      <c r="V6173" s="236"/>
      <c r="W6173" s="236"/>
      <c r="X6173" s="236"/>
      <c r="Y6173" s="236"/>
    </row>
    <row r="6174" spans="1:25" ht="15" customHeight="1">
      <c r="A6174" s="91"/>
      <c r="B6174" s="91"/>
      <c r="C6174" s="220"/>
      <c r="D6174" s="91"/>
      <c r="E6174" s="221"/>
      <c r="F6174" s="91"/>
      <c r="G6174" s="91"/>
      <c r="H6174" s="242"/>
      <c r="I6174" s="223"/>
      <c r="J6174" s="57"/>
      <c r="K6174" s="153"/>
      <c r="L6174" s="153"/>
      <c r="M6174" s="243"/>
      <c r="N6174" s="234"/>
      <c r="O6174" s="235"/>
      <c r="P6174" s="236"/>
      <c r="Q6174" s="236"/>
      <c r="R6174" s="236"/>
      <c r="S6174" s="236"/>
      <c r="T6174" s="236"/>
      <c r="U6174" s="236"/>
      <c r="V6174" s="236"/>
      <c r="W6174" s="236"/>
      <c r="X6174" s="236"/>
      <c r="Y6174" s="236"/>
    </row>
    <row r="6175" spans="1:25" ht="15" customHeight="1">
      <c r="A6175" s="91"/>
      <c r="B6175" s="91"/>
      <c r="C6175" s="220"/>
      <c r="D6175" s="91"/>
      <c r="E6175" s="221"/>
      <c r="F6175" s="91"/>
      <c r="G6175" s="91"/>
      <c r="H6175" s="242"/>
      <c r="I6175" s="223"/>
      <c r="J6175" s="57"/>
      <c r="K6175" s="153"/>
      <c r="L6175" s="153"/>
      <c r="M6175" s="243"/>
      <c r="N6175" s="234"/>
      <c r="O6175" s="235"/>
      <c r="P6175" s="236"/>
      <c r="Q6175" s="236"/>
      <c r="R6175" s="236"/>
      <c r="S6175" s="236"/>
      <c r="T6175" s="236"/>
      <c r="U6175" s="236"/>
      <c r="V6175" s="236"/>
      <c r="W6175" s="236"/>
      <c r="X6175" s="236"/>
      <c r="Y6175" s="236"/>
    </row>
    <row r="6176" spans="1:25" ht="15" customHeight="1">
      <c r="A6176" s="91"/>
      <c r="B6176" s="91"/>
      <c r="C6176" s="220"/>
      <c r="D6176" s="91"/>
      <c r="E6176" s="221"/>
      <c r="F6176" s="91"/>
      <c r="G6176" s="91"/>
      <c r="H6176" s="242"/>
      <c r="I6176" s="223"/>
      <c r="J6176" s="57"/>
      <c r="K6176" s="153"/>
      <c r="L6176" s="153"/>
      <c r="M6176" s="243"/>
      <c r="N6176" s="234"/>
      <c r="O6176" s="235"/>
      <c r="P6176" s="236"/>
      <c r="Q6176" s="236"/>
      <c r="R6176" s="236"/>
      <c r="S6176" s="236"/>
      <c r="T6176" s="236"/>
      <c r="U6176" s="236"/>
      <c r="V6176" s="236"/>
      <c r="W6176" s="236"/>
      <c r="X6176" s="236"/>
      <c r="Y6176" s="236"/>
    </row>
    <row r="6177" spans="1:25" ht="15" customHeight="1">
      <c r="A6177" s="91"/>
      <c r="B6177" s="91"/>
      <c r="C6177" s="220"/>
      <c r="D6177" s="91"/>
      <c r="E6177" s="221"/>
      <c r="F6177" s="91"/>
      <c r="G6177" s="91"/>
      <c r="H6177" s="242"/>
      <c r="I6177" s="223"/>
      <c r="J6177" s="57"/>
      <c r="K6177" s="153"/>
      <c r="L6177" s="153"/>
      <c r="M6177" s="243"/>
      <c r="N6177" s="234"/>
      <c r="O6177" s="235"/>
      <c r="P6177" s="236"/>
      <c r="Q6177" s="236"/>
      <c r="R6177" s="236"/>
      <c r="S6177" s="236"/>
      <c r="T6177" s="236"/>
      <c r="U6177" s="236"/>
      <c r="V6177" s="236"/>
      <c r="W6177" s="236"/>
      <c r="X6177" s="236"/>
      <c r="Y6177" s="236"/>
    </row>
    <row r="6178" spans="1:25" ht="15" customHeight="1">
      <c r="A6178" s="91"/>
      <c r="B6178" s="91"/>
      <c r="C6178" s="220"/>
      <c r="D6178" s="91"/>
      <c r="E6178" s="221"/>
      <c r="F6178" s="91"/>
      <c r="G6178" s="91"/>
      <c r="H6178" s="242"/>
      <c r="I6178" s="223"/>
      <c r="J6178" s="57"/>
      <c r="K6178" s="153"/>
      <c r="L6178" s="153"/>
      <c r="M6178" s="243"/>
      <c r="N6178" s="234"/>
      <c r="O6178" s="235"/>
      <c r="P6178" s="236"/>
      <c r="Q6178" s="236"/>
      <c r="R6178" s="236"/>
      <c r="S6178" s="236"/>
      <c r="T6178" s="236"/>
      <c r="U6178" s="236"/>
      <c r="V6178" s="236"/>
      <c r="W6178" s="236"/>
      <c r="X6178" s="236"/>
      <c r="Y6178" s="236"/>
    </row>
    <row r="6179" spans="1:25" ht="15" customHeight="1">
      <c r="A6179" s="91"/>
      <c r="B6179" s="91"/>
      <c r="C6179" s="220"/>
      <c r="D6179" s="91"/>
      <c r="E6179" s="221"/>
      <c r="F6179" s="91"/>
      <c r="G6179" s="91"/>
      <c r="H6179" s="242"/>
      <c r="I6179" s="223"/>
      <c r="J6179" s="57"/>
      <c r="K6179" s="153"/>
      <c r="L6179" s="153"/>
      <c r="M6179" s="243"/>
      <c r="N6179" s="234"/>
      <c r="O6179" s="235"/>
      <c r="P6179" s="236"/>
      <c r="Q6179" s="236"/>
      <c r="R6179" s="236"/>
      <c r="S6179" s="236"/>
      <c r="T6179" s="236"/>
      <c r="U6179" s="236"/>
      <c r="V6179" s="236"/>
      <c r="W6179" s="236"/>
      <c r="X6179" s="236"/>
      <c r="Y6179" s="236"/>
    </row>
    <row r="6180" spans="1:25" ht="15" customHeight="1">
      <c r="A6180" s="91"/>
      <c r="B6180" s="91"/>
      <c r="C6180" s="220"/>
      <c r="D6180" s="91"/>
      <c r="E6180" s="221"/>
      <c r="F6180" s="91"/>
      <c r="G6180" s="91"/>
      <c r="H6180" s="242"/>
      <c r="I6180" s="223"/>
      <c r="J6180" s="57"/>
      <c r="K6180" s="153"/>
      <c r="L6180" s="153"/>
      <c r="M6180" s="243"/>
      <c r="N6180" s="234"/>
      <c r="O6180" s="235"/>
      <c r="P6180" s="236"/>
      <c r="Q6180" s="236"/>
      <c r="R6180" s="236"/>
      <c r="S6180" s="236"/>
      <c r="T6180" s="236"/>
      <c r="U6180" s="236"/>
      <c r="V6180" s="236"/>
      <c r="W6180" s="236"/>
      <c r="X6180" s="236"/>
      <c r="Y6180" s="236"/>
    </row>
    <row r="6181" spans="1:25" ht="15" customHeight="1">
      <c r="A6181" s="91"/>
      <c r="B6181" s="91"/>
      <c r="C6181" s="220"/>
      <c r="D6181" s="91"/>
      <c r="E6181" s="221"/>
      <c r="F6181" s="91"/>
      <c r="G6181" s="91"/>
      <c r="H6181" s="242"/>
      <c r="I6181" s="223"/>
      <c r="J6181" s="57"/>
      <c r="K6181" s="153"/>
      <c r="L6181" s="153"/>
      <c r="M6181" s="243"/>
      <c r="N6181" s="234"/>
      <c r="O6181" s="235"/>
      <c r="P6181" s="236"/>
      <c r="Q6181" s="236"/>
      <c r="R6181" s="236"/>
      <c r="S6181" s="236"/>
      <c r="T6181" s="236"/>
      <c r="U6181" s="236"/>
      <c r="V6181" s="236"/>
      <c r="W6181" s="236"/>
      <c r="X6181" s="236"/>
      <c r="Y6181" s="236"/>
    </row>
    <row r="6182" spans="1:25" ht="15" customHeight="1">
      <c r="A6182" s="91"/>
      <c r="B6182" s="91"/>
      <c r="C6182" s="220"/>
      <c r="D6182" s="91"/>
      <c r="E6182" s="221"/>
      <c r="F6182" s="91"/>
      <c r="G6182" s="91"/>
      <c r="H6182" s="242"/>
      <c r="I6182" s="223"/>
      <c r="J6182" s="57"/>
      <c r="K6182" s="153"/>
      <c r="L6182" s="153"/>
      <c r="M6182" s="243"/>
      <c r="N6182" s="234"/>
      <c r="O6182" s="235"/>
      <c r="P6182" s="236"/>
      <c r="Q6182" s="236"/>
      <c r="R6182" s="236"/>
      <c r="S6182" s="236"/>
      <c r="T6182" s="236"/>
      <c r="U6182" s="236"/>
      <c r="V6182" s="236"/>
      <c r="W6182" s="236"/>
      <c r="X6182" s="236"/>
      <c r="Y6182" s="236"/>
    </row>
    <row r="6183" spans="1:25" ht="15" customHeight="1">
      <c r="A6183" s="91"/>
      <c r="B6183" s="91"/>
      <c r="C6183" s="220"/>
      <c r="D6183" s="91"/>
      <c r="E6183" s="221"/>
      <c r="F6183" s="91"/>
      <c r="G6183" s="91"/>
      <c r="H6183" s="242"/>
      <c r="I6183" s="223"/>
      <c r="J6183" s="57"/>
      <c r="K6183" s="153"/>
      <c r="L6183" s="153"/>
      <c r="M6183" s="243"/>
      <c r="N6183" s="234"/>
      <c r="O6183" s="235"/>
      <c r="P6183" s="236"/>
      <c r="Q6183" s="236"/>
      <c r="R6183" s="236"/>
      <c r="S6183" s="236"/>
      <c r="T6183" s="236"/>
      <c r="U6183" s="236"/>
      <c r="V6183" s="236"/>
      <c r="W6183" s="236"/>
      <c r="X6183" s="236"/>
      <c r="Y6183" s="236"/>
    </row>
    <row r="6184" spans="1:25" ht="15" customHeight="1">
      <c r="A6184" s="91"/>
      <c r="B6184" s="91"/>
      <c r="C6184" s="220"/>
      <c r="D6184" s="91"/>
      <c r="E6184" s="221"/>
      <c r="F6184" s="91"/>
      <c r="G6184" s="91"/>
      <c r="H6184" s="242"/>
      <c r="I6184" s="223"/>
      <c r="J6184" s="57"/>
      <c r="K6184" s="153"/>
      <c r="L6184" s="153"/>
      <c r="M6184" s="243"/>
      <c r="N6184" s="234"/>
      <c r="O6184" s="235"/>
      <c r="P6184" s="236"/>
      <c r="Q6184" s="236"/>
      <c r="R6184" s="236"/>
      <c r="S6184" s="236"/>
      <c r="T6184" s="236"/>
      <c r="U6184" s="236"/>
      <c r="V6184" s="236"/>
      <c r="W6184" s="236"/>
      <c r="X6184" s="236"/>
      <c r="Y6184" s="236"/>
    </row>
    <row r="6185" spans="1:25" ht="15" customHeight="1">
      <c r="A6185" s="91"/>
      <c r="B6185" s="91"/>
      <c r="C6185" s="220"/>
      <c r="D6185" s="91"/>
      <c r="E6185" s="221"/>
      <c r="F6185" s="91"/>
      <c r="G6185" s="91"/>
      <c r="H6185" s="242"/>
      <c r="I6185" s="223"/>
      <c r="J6185" s="57"/>
      <c r="K6185" s="153"/>
      <c r="L6185" s="153"/>
      <c r="M6185" s="243"/>
      <c r="N6185" s="234"/>
      <c r="O6185" s="235"/>
      <c r="P6185" s="236"/>
      <c r="Q6185" s="236"/>
      <c r="R6185" s="236"/>
      <c r="S6185" s="236"/>
      <c r="T6185" s="236"/>
      <c r="U6185" s="236"/>
      <c r="V6185" s="236"/>
      <c r="W6185" s="236"/>
      <c r="X6185" s="236"/>
      <c r="Y6185" s="236"/>
    </row>
    <row r="6186" spans="1:25" ht="15" customHeight="1">
      <c r="A6186" s="91"/>
      <c r="B6186" s="91"/>
      <c r="C6186" s="220"/>
      <c r="D6186" s="91"/>
      <c r="E6186" s="221"/>
      <c r="F6186" s="91"/>
      <c r="G6186" s="91"/>
      <c r="H6186" s="242"/>
      <c r="I6186" s="223"/>
      <c r="J6186" s="57"/>
      <c r="K6186" s="153"/>
      <c r="L6186" s="153"/>
      <c r="M6186" s="243"/>
      <c r="N6186" s="234"/>
      <c r="O6186" s="235"/>
      <c r="P6186" s="236"/>
      <c r="Q6186" s="236"/>
      <c r="R6186" s="236"/>
      <c r="S6186" s="236"/>
      <c r="T6186" s="236"/>
      <c r="U6186" s="236"/>
      <c r="V6186" s="236"/>
      <c r="W6186" s="236"/>
      <c r="X6186" s="236"/>
      <c r="Y6186" s="236"/>
    </row>
    <row r="6187" spans="1:25" ht="15" customHeight="1">
      <c r="A6187" s="91"/>
      <c r="B6187" s="91"/>
      <c r="C6187" s="220"/>
      <c r="D6187" s="91"/>
      <c r="E6187" s="221"/>
      <c r="F6187" s="91"/>
      <c r="G6187" s="91"/>
      <c r="H6187" s="242"/>
      <c r="I6187" s="223"/>
      <c r="J6187" s="57"/>
      <c r="K6187" s="153"/>
      <c r="L6187" s="153"/>
      <c r="M6187" s="243"/>
      <c r="N6187" s="234"/>
      <c r="O6187" s="235"/>
      <c r="P6187" s="236"/>
      <c r="Q6187" s="236"/>
      <c r="R6187" s="236"/>
      <c r="S6187" s="236"/>
      <c r="T6187" s="236"/>
      <c r="U6187" s="236"/>
      <c r="V6187" s="236"/>
      <c r="W6187" s="236"/>
      <c r="X6187" s="236"/>
      <c r="Y6187" s="236"/>
    </row>
    <row r="6188" spans="1:25" ht="15" customHeight="1">
      <c r="A6188" s="91"/>
      <c r="B6188" s="91"/>
      <c r="C6188" s="220"/>
      <c r="D6188" s="91"/>
      <c r="E6188" s="221"/>
      <c r="F6188" s="91"/>
      <c r="G6188" s="91"/>
      <c r="H6188" s="242"/>
      <c r="I6188" s="223"/>
      <c r="J6188" s="57"/>
      <c r="K6188" s="153"/>
      <c r="L6188" s="153"/>
      <c r="M6188" s="243"/>
      <c r="N6188" s="234"/>
      <c r="O6188" s="235"/>
      <c r="P6188" s="236"/>
      <c r="Q6188" s="236"/>
      <c r="R6188" s="236"/>
      <c r="S6188" s="236"/>
      <c r="T6188" s="236"/>
      <c r="U6188" s="236"/>
      <c r="V6188" s="236"/>
      <c r="W6188" s="236"/>
      <c r="X6188" s="236"/>
      <c r="Y6188" s="236"/>
    </row>
    <row r="6189" spans="1:25" ht="15" customHeight="1">
      <c r="A6189" s="91"/>
      <c r="B6189" s="91"/>
      <c r="C6189" s="220"/>
      <c r="D6189" s="91"/>
      <c r="E6189" s="221"/>
      <c r="F6189" s="91"/>
      <c r="G6189" s="91"/>
      <c r="H6189" s="242"/>
      <c r="I6189" s="223"/>
      <c r="J6189" s="57"/>
      <c r="K6189" s="153"/>
      <c r="L6189" s="153"/>
      <c r="M6189" s="243"/>
      <c r="N6189" s="234"/>
      <c r="O6189" s="235"/>
      <c r="P6189" s="236"/>
      <c r="Q6189" s="236"/>
      <c r="R6189" s="236"/>
      <c r="S6189" s="236"/>
      <c r="T6189" s="236"/>
      <c r="U6189" s="236"/>
      <c r="V6189" s="236"/>
      <c r="W6189" s="236"/>
      <c r="X6189" s="236"/>
      <c r="Y6189" s="236"/>
    </row>
    <row r="6190" spans="1:25" ht="15" customHeight="1">
      <c r="A6190" s="91"/>
      <c r="B6190" s="91"/>
      <c r="C6190" s="220"/>
      <c r="D6190" s="91"/>
      <c r="E6190" s="221"/>
      <c r="F6190" s="91"/>
      <c r="G6190" s="91"/>
      <c r="H6190" s="242"/>
      <c r="I6190" s="223"/>
      <c r="J6190" s="57"/>
      <c r="K6190" s="153"/>
      <c r="L6190" s="153"/>
      <c r="M6190" s="243"/>
      <c r="N6190" s="234"/>
      <c r="O6190" s="235"/>
      <c r="P6190" s="236"/>
      <c r="Q6190" s="236"/>
      <c r="R6190" s="236"/>
      <c r="S6190" s="236"/>
      <c r="T6190" s="236"/>
      <c r="U6190" s="236"/>
      <c r="V6190" s="236"/>
      <c r="W6190" s="236"/>
      <c r="X6190" s="236"/>
      <c r="Y6190" s="236"/>
    </row>
    <row r="6191" spans="1:25" ht="15" customHeight="1">
      <c r="A6191" s="91"/>
      <c r="B6191" s="91"/>
      <c r="C6191" s="220"/>
      <c r="D6191" s="91"/>
      <c r="E6191" s="221"/>
      <c r="F6191" s="91"/>
      <c r="G6191" s="91"/>
      <c r="H6191" s="242"/>
      <c r="I6191" s="223"/>
      <c r="J6191" s="57"/>
      <c r="K6191" s="153"/>
      <c r="L6191" s="153"/>
      <c r="M6191" s="243"/>
      <c r="N6191" s="234"/>
      <c r="O6191" s="235"/>
      <c r="P6191" s="236"/>
      <c r="Q6191" s="236"/>
      <c r="R6191" s="236"/>
      <c r="S6191" s="236"/>
      <c r="T6191" s="236"/>
      <c r="U6191" s="236"/>
      <c r="V6191" s="236"/>
      <c r="W6191" s="236"/>
      <c r="X6191" s="236"/>
      <c r="Y6191" s="236"/>
    </row>
    <row r="6192" spans="1:25" ht="15" customHeight="1">
      <c r="A6192" s="91"/>
      <c r="B6192" s="91"/>
      <c r="C6192" s="220"/>
      <c r="D6192" s="91"/>
      <c r="E6192" s="221"/>
      <c r="F6192" s="91"/>
      <c r="G6192" s="91"/>
      <c r="H6192" s="242"/>
      <c r="I6192" s="223"/>
      <c r="J6192" s="57"/>
      <c r="K6192" s="153"/>
      <c r="L6192" s="153"/>
      <c r="M6192" s="243"/>
      <c r="N6192" s="234"/>
      <c r="O6192" s="235"/>
      <c r="P6192" s="236"/>
      <c r="Q6192" s="236"/>
      <c r="R6192" s="236"/>
      <c r="S6192" s="236"/>
      <c r="T6192" s="236"/>
      <c r="U6192" s="236"/>
      <c r="V6192" s="236"/>
      <c r="W6192" s="236"/>
      <c r="X6192" s="236"/>
      <c r="Y6192" s="236"/>
    </row>
    <row r="6193" spans="1:25" ht="15" customHeight="1">
      <c r="A6193" s="91"/>
      <c r="B6193" s="91"/>
      <c r="C6193" s="220"/>
      <c r="D6193" s="91"/>
      <c r="E6193" s="221"/>
      <c r="F6193" s="91"/>
      <c r="G6193" s="91"/>
      <c r="H6193" s="242"/>
      <c r="I6193" s="223"/>
      <c r="J6193" s="57"/>
      <c r="K6193" s="153"/>
      <c r="L6193" s="153"/>
      <c r="M6193" s="243"/>
      <c r="N6193" s="234"/>
      <c r="O6193" s="235"/>
      <c r="P6193" s="236"/>
      <c r="Q6193" s="236"/>
      <c r="R6193" s="236"/>
      <c r="S6193" s="236"/>
      <c r="T6193" s="236"/>
      <c r="U6193" s="236"/>
      <c r="V6193" s="236"/>
      <c r="W6193" s="236"/>
      <c r="X6193" s="236"/>
      <c r="Y6193" s="236"/>
    </row>
    <row r="6194" spans="1:25" ht="15" customHeight="1">
      <c r="A6194" s="91"/>
      <c r="B6194" s="91"/>
      <c r="C6194" s="220"/>
      <c r="D6194" s="91"/>
      <c r="E6194" s="221"/>
      <c r="F6194" s="91"/>
      <c r="G6194" s="91"/>
      <c r="H6194" s="242"/>
      <c r="I6194" s="223"/>
      <c r="J6194" s="57"/>
      <c r="K6194" s="153"/>
      <c r="L6194" s="153"/>
      <c r="M6194" s="243"/>
      <c r="N6194" s="234"/>
      <c r="O6194" s="235"/>
      <c r="P6194" s="236"/>
      <c r="Q6194" s="236"/>
      <c r="R6194" s="236"/>
      <c r="S6194" s="236"/>
      <c r="T6194" s="236"/>
      <c r="U6194" s="236"/>
      <c r="V6194" s="236"/>
      <c r="W6194" s="236"/>
      <c r="X6194" s="236"/>
      <c r="Y6194" s="236"/>
    </row>
    <row r="6195" spans="1:25" ht="15" customHeight="1">
      <c r="A6195" s="91"/>
      <c r="B6195" s="91"/>
      <c r="C6195" s="220"/>
      <c r="D6195" s="91"/>
      <c r="E6195" s="221"/>
      <c r="F6195" s="91"/>
      <c r="G6195" s="91"/>
      <c r="H6195" s="242"/>
      <c r="I6195" s="223"/>
      <c r="J6195" s="57"/>
      <c r="K6195" s="153"/>
      <c r="L6195" s="153"/>
      <c r="M6195" s="243"/>
      <c r="N6195" s="234"/>
      <c r="O6195" s="235"/>
      <c r="P6195" s="236"/>
      <c r="Q6195" s="236"/>
      <c r="R6195" s="236"/>
      <c r="S6195" s="236"/>
      <c r="T6195" s="236"/>
      <c r="U6195" s="236"/>
      <c r="V6195" s="236"/>
      <c r="W6195" s="236"/>
      <c r="X6195" s="236"/>
      <c r="Y6195" s="236"/>
    </row>
    <row r="6196" spans="1:25" ht="15" customHeight="1">
      <c r="A6196" s="91"/>
      <c r="B6196" s="91"/>
      <c r="C6196" s="220"/>
      <c r="D6196" s="91"/>
      <c r="E6196" s="221"/>
      <c r="F6196" s="91"/>
      <c r="G6196" s="91"/>
      <c r="H6196" s="242"/>
      <c r="I6196" s="223"/>
      <c r="J6196" s="57"/>
      <c r="K6196" s="153"/>
      <c r="L6196" s="153"/>
      <c r="M6196" s="243"/>
      <c r="N6196" s="234"/>
      <c r="O6196" s="235"/>
      <c r="P6196" s="236"/>
      <c r="Q6196" s="236"/>
      <c r="R6196" s="236"/>
      <c r="S6196" s="236"/>
      <c r="T6196" s="236"/>
      <c r="U6196" s="236"/>
      <c r="V6196" s="236"/>
      <c r="W6196" s="236"/>
      <c r="X6196" s="236"/>
      <c r="Y6196" s="236"/>
    </row>
    <row r="6197" spans="1:25" ht="15" customHeight="1">
      <c r="A6197" s="91"/>
      <c r="B6197" s="91"/>
      <c r="C6197" s="220"/>
      <c r="D6197" s="91"/>
      <c r="E6197" s="221"/>
      <c r="F6197" s="91"/>
      <c r="G6197" s="91"/>
      <c r="H6197" s="242"/>
      <c r="I6197" s="223"/>
      <c r="J6197" s="57"/>
      <c r="K6197" s="153"/>
      <c r="L6197" s="153"/>
      <c r="M6197" s="243"/>
      <c r="N6197" s="234"/>
      <c r="O6197" s="235"/>
      <c r="P6197" s="236"/>
      <c r="Q6197" s="236"/>
      <c r="R6197" s="236"/>
      <c r="S6197" s="236"/>
      <c r="T6197" s="236"/>
      <c r="U6197" s="236"/>
      <c r="V6197" s="236"/>
      <c r="W6197" s="236"/>
      <c r="X6197" s="236"/>
      <c r="Y6197" s="236"/>
    </row>
    <row r="6198" spans="1:25" ht="15" customHeight="1">
      <c r="A6198" s="91"/>
      <c r="B6198" s="91"/>
      <c r="C6198" s="220"/>
      <c r="D6198" s="91"/>
      <c r="E6198" s="221"/>
      <c r="F6198" s="91"/>
      <c r="G6198" s="91"/>
      <c r="H6198" s="242"/>
      <c r="I6198" s="223"/>
      <c r="J6198" s="57"/>
      <c r="K6198" s="153"/>
      <c r="L6198" s="153"/>
      <c r="M6198" s="243"/>
      <c r="N6198" s="234"/>
      <c r="O6198" s="235"/>
      <c r="P6198" s="236"/>
      <c r="Q6198" s="236"/>
      <c r="R6198" s="236"/>
      <c r="S6198" s="236"/>
      <c r="T6198" s="236"/>
      <c r="U6198" s="236"/>
      <c r="V6198" s="236"/>
      <c r="W6198" s="236"/>
      <c r="X6198" s="236"/>
      <c r="Y6198" s="236"/>
    </row>
    <row r="6199" spans="1:25" ht="15" customHeight="1">
      <c r="A6199" s="91"/>
      <c r="B6199" s="91"/>
      <c r="C6199" s="220"/>
      <c r="D6199" s="91"/>
      <c r="E6199" s="221"/>
      <c r="F6199" s="91"/>
      <c r="G6199" s="91"/>
      <c r="H6199" s="242"/>
      <c r="I6199" s="223"/>
      <c r="J6199" s="57"/>
      <c r="K6199" s="153"/>
      <c r="L6199" s="153"/>
      <c r="M6199" s="243"/>
      <c r="N6199" s="234"/>
      <c r="O6199" s="235"/>
      <c r="P6199" s="236"/>
      <c r="Q6199" s="236"/>
      <c r="R6199" s="236"/>
      <c r="S6199" s="236"/>
      <c r="T6199" s="236"/>
      <c r="U6199" s="236"/>
      <c r="V6199" s="236"/>
      <c r="W6199" s="236"/>
      <c r="X6199" s="236"/>
      <c r="Y6199" s="236"/>
    </row>
    <row r="6200" spans="1:25" ht="15" customHeight="1">
      <c r="A6200" s="91"/>
      <c r="B6200" s="91"/>
      <c r="C6200" s="220"/>
      <c r="D6200" s="91"/>
      <c r="E6200" s="221"/>
      <c r="F6200" s="91"/>
      <c r="G6200" s="91"/>
      <c r="H6200" s="242"/>
      <c r="I6200" s="223"/>
      <c r="J6200" s="57"/>
      <c r="K6200" s="153"/>
      <c r="L6200" s="153"/>
      <c r="M6200" s="243"/>
      <c r="N6200" s="234"/>
      <c r="O6200" s="235"/>
      <c r="P6200" s="236"/>
      <c r="Q6200" s="236"/>
      <c r="R6200" s="236"/>
      <c r="S6200" s="236"/>
      <c r="T6200" s="236"/>
      <c r="U6200" s="236"/>
      <c r="V6200" s="236"/>
      <c r="W6200" s="236"/>
      <c r="X6200" s="236"/>
      <c r="Y6200" s="236"/>
    </row>
    <row r="6201" spans="1:25" ht="15" customHeight="1">
      <c r="A6201" s="91"/>
      <c r="B6201" s="91"/>
      <c r="C6201" s="220"/>
      <c r="D6201" s="91"/>
      <c r="E6201" s="221"/>
      <c r="F6201" s="91"/>
      <c r="G6201" s="91"/>
      <c r="H6201" s="242"/>
      <c r="I6201" s="223"/>
      <c r="J6201" s="57"/>
      <c r="K6201" s="153"/>
      <c r="L6201" s="153"/>
      <c r="M6201" s="243"/>
      <c r="N6201" s="234"/>
      <c r="O6201" s="235"/>
      <c r="P6201" s="236"/>
      <c r="Q6201" s="236"/>
      <c r="R6201" s="236"/>
      <c r="S6201" s="236"/>
      <c r="T6201" s="236"/>
      <c r="U6201" s="236"/>
      <c r="V6201" s="236"/>
      <c r="W6201" s="236"/>
      <c r="X6201" s="236"/>
      <c r="Y6201" s="236"/>
    </row>
    <row r="6202" spans="1:25" ht="15" customHeight="1">
      <c r="A6202" s="91"/>
      <c r="B6202" s="91"/>
      <c r="C6202" s="220"/>
      <c r="D6202" s="91"/>
      <c r="E6202" s="221"/>
      <c r="F6202" s="91"/>
      <c r="G6202" s="91"/>
      <c r="H6202" s="242"/>
      <c r="I6202" s="223"/>
      <c r="J6202" s="57"/>
      <c r="K6202" s="153"/>
      <c r="L6202" s="153"/>
      <c r="M6202" s="243"/>
      <c r="N6202" s="234"/>
      <c r="O6202" s="235"/>
      <c r="P6202" s="236"/>
      <c r="Q6202" s="236"/>
      <c r="R6202" s="236"/>
      <c r="S6202" s="236"/>
      <c r="T6202" s="236"/>
      <c r="U6202" s="236"/>
      <c r="V6202" s="236"/>
      <c r="W6202" s="236"/>
      <c r="X6202" s="236"/>
      <c r="Y6202" s="236"/>
    </row>
    <row r="6203" spans="1:25" ht="15" customHeight="1">
      <c r="A6203" s="91"/>
      <c r="B6203" s="91"/>
      <c r="C6203" s="220"/>
      <c r="D6203" s="91"/>
      <c r="E6203" s="221"/>
      <c r="F6203" s="91"/>
      <c r="G6203" s="91"/>
      <c r="H6203" s="242"/>
      <c r="I6203" s="223"/>
      <c r="J6203" s="57"/>
      <c r="K6203" s="153"/>
      <c r="L6203" s="153"/>
      <c r="M6203" s="243"/>
      <c r="N6203" s="234"/>
      <c r="O6203" s="235"/>
      <c r="P6203" s="236"/>
      <c r="Q6203" s="236"/>
      <c r="R6203" s="236"/>
      <c r="S6203" s="236"/>
      <c r="T6203" s="236"/>
      <c r="U6203" s="236"/>
      <c r="V6203" s="236"/>
      <c r="W6203" s="236"/>
      <c r="X6203" s="236"/>
      <c r="Y6203" s="236"/>
    </row>
    <row r="6204" spans="1:25" ht="15" customHeight="1">
      <c r="A6204" s="91"/>
      <c r="B6204" s="91"/>
      <c r="C6204" s="220"/>
      <c r="D6204" s="91"/>
      <c r="E6204" s="221"/>
      <c r="F6204" s="91"/>
      <c r="G6204" s="91"/>
      <c r="H6204" s="242"/>
      <c r="I6204" s="223"/>
      <c r="J6204" s="57"/>
      <c r="K6204" s="153"/>
      <c r="L6204" s="153"/>
      <c r="M6204" s="243"/>
      <c r="N6204" s="234"/>
      <c r="O6204" s="235"/>
      <c r="P6204" s="236"/>
      <c r="Q6204" s="236"/>
      <c r="R6204" s="236"/>
      <c r="S6204" s="236"/>
      <c r="T6204" s="236"/>
      <c r="U6204" s="236"/>
      <c r="V6204" s="236"/>
      <c r="W6204" s="236"/>
      <c r="X6204" s="236"/>
      <c r="Y6204" s="236"/>
    </row>
    <row r="6205" spans="1:25" ht="15" customHeight="1">
      <c r="A6205" s="91"/>
      <c r="B6205" s="91"/>
      <c r="C6205" s="220"/>
      <c r="D6205" s="91"/>
      <c r="E6205" s="221"/>
      <c r="F6205" s="91"/>
      <c r="G6205" s="91"/>
      <c r="H6205" s="242"/>
      <c r="I6205" s="223"/>
      <c r="J6205" s="57"/>
      <c r="K6205" s="153"/>
      <c r="L6205" s="153"/>
      <c r="M6205" s="243"/>
      <c r="N6205" s="234"/>
      <c r="O6205" s="235"/>
      <c r="P6205" s="236"/>
      <c r="Q6205" s="236"/>
      <c r="R6205" s="236"/>
      <c r="S6205" s="236"/>
      <c r="T6205" s="236"/>
      <c r="U6205" s="236"/>
      <c r="V6205" s="236"/>
      <c r="W6205" s="236"/>
      <c r="X6205" s="236"/>
      <c r="Y6205" s="236"/>
    </row>
    <row r="6206" spans="1:25" ht="15" customHeight="1">
      <c r="A6206" s="91"/>
      <c r="B6206" s="91"/>
      <c r="C6206" s="220"/>
      <c r="D6206" s="91"/>
      <c r="E6206" s="221"/>
      <c r="F6206" s="91"/>
      <c r="G6206" s="91"/>
      <c r="H6206" s="242"/>
      <c r="I6206" s="223"/>
      <c r="J6206" s="57"/>
      <c r="K6206" s="153"/>
      <c r="L6206" s="153"/>
      <c r="M6206" s="243"/>
      <c r="N6206" s="234"/>
      <c r="O6206" s="235"/>
      <c r="P6206" s="236"/>
      <c r="Q6206" s="236"/>
      <c r="R6206" s="236"/>
      <c r="S6206" s="236"/>
      <c r="T6206" s="236"/>
      <c r="U6206" s="236"/>
      <c r="V6206" s="236"/>
      <c r="W6206" s="236"/>
      <c r="X6206" s="236"/>
      <c r="Y6206" s="236"/>
    </row>
    <row r="6207" spans="1:25" ht="15" customHeight="1">
      <c r="A6207" s="91"/>
      <c r="B6207" s="91"/>
      <c r="C6207" s="220"/>
      <c r="D6207" s="91"/>
      <c r="E6207" s="221"/>
      <c r="F6207" s="91"/>
      <c r="G6207" s="91"/>
      <c r="H6207" s="242"/>
      <c r="I6207" s="223"/>
      <c r="J6207" s="57"/>
      <c r="K6207" s="153"/>
      <c r="L6207" s="153"/>
      <c r="M6207" s="243"/>
      <c r="N6207" s="234"/>
      <c r="O6207" s="235"/>
      <c r="P6207" s="236"/>
      <c r="Q6207" s="236"/>
      <c r="R6207" s="236"/>
      <c r="S6207" s="236"/>
      <c r="T6207" s="236"/>
      <c r="U6207" s="236"/>
      <c r="V6207" s="236"/>
      <c r="W6207" s="236"/>
      <c r="X6207" s="236"/>
      <c r="Y6207" s="236"/>
    </row>
    <row r="6208" spans="1:25" ht="15" customHeight="1">
      <c r="A6208" s="91"/>
      <c r="B6208" s="91"/>
      <c r="C6208" s="220"/>
      <c r="D6208" s="91"/>
      <c r="E6208" s="221"/>
      <c r="F6208" s="91"/>
      <c r="G6208" s="91"/>
      <c r="H6208" s="242"/>
      <c r="I6208" s="223"/>
      <c r="J6208" s="57"/>
      <c r="K6208" s="153"/>
      <c r="L6208" s="153"/>
      <c r="M6208" s="243"/>
      <c r="N6208" s="234"/>
      <c r="O6208" s="235"/>
      <c r="P6208" s="236"/>
      <c r="Q6208" s="236"/>
      <c r="R6208" s="236"/>
      <c r="S6208" s="236"/>
      <c r="T6208" s="236"/>
      <c r="U6208" s="236"/>
      <c r="V6208" s="236"/>
      <c r="W6208" s="236"/>
      <c r="X6208" s="236"/>
      <c r="Y6208" s="236"/>
    </row>
    <row r="6209" spans="1:25" ht="15" customHeight="1">
      <c r="A6209" s="91"/>
      <c r="B6209" s="91"/>
      <c r="C6209" s="220"/>
      <c r="D6209" s="91"/>
      <c r="E6209" s="221"/>
      <c r="F6209" s="91"/>
      <c r="G6209" s="91"/>
      <c r="H6209" s="242"/>
      <c r="I6209" s="223"/>
      <c r="J6209" s="57"/>
      <c r="K6209" s="153"/>
      <c r="L6209" s="153"/>
      <c r="M6209" s="243"/>
      <c r="N6209" s="234"/>
      <c r="O6209" s="235"/>
      <c r="P6209" s="236"/>
      <c r="Q6209" s="236"/>
      <c r="R6209" s="236"/>
      <c r="S6209" s="236"/>
      <c r="T6209" s="236"/>
      <c r="U6209" s="236"/>
      <c r="V6209" s="236"/>
      <c r="W6209" s="236"/>
      <c r="X6209" s="236"/>
      <c r="Y6209" s="236"/>
    </row>
    <row r="6210" spans="1:25" ht="15" customHeight="1">
      <c r="A6210" s="91"/>
      <c r="B6210" s="91"/>
      <c r="C6210" s="220"/>
      <c r="D6210" s="91"/>
      <c r="E6210" s="221"/>
      <c r="F6210" s="91"/>
      <c r="G6210" s="91"/>
      <c r="H6210" s="242"/>
      <c r="I6210" s="223"/>
      <c r="J6210" s="57"/>
      <c r="K6210" s="153"/>
      <c r="L6210" s="153"/>
      <c r="M6210" s="243"/>
      <c r="N6210" s="234"/>
      <c r="O6210" s="235"/>
      <c r="P6210" s="236"/>
      <c r="Q6210" s="236"/>
      <c r="R6210" s="236"/>
      <c r="S6210" s="236"/>
      <c r="T6210" s="236"/>
      <c r="U6210" s="236"/>
      <c r="V6210" s="236"/>
      <c r="W6210" s="236"/>
      <c r="X6210" s="236"/>
      <c r="Y6210" s="236"/>
    </row>
    <row r="6211" spans="1:25" ht="15" customHeight="1">
      <c r="A6211" s="91"/>
      <c r="B6211" s="91"/>
      <c r="C6211" s="220"/>
      <c r="D6211" s="91"/>
      <c r="E6211" s="221"/>
      <c r="F6211" s="91"/>
      <c r="G6211" s="91"/>
      <c r="H6211" s="242"/>
      <c r="I6211" s="223"/>
      <c r="J6211" s="57"/>
      <c r="K6211" s="153"/>
      <c r="L6211" s="153"/>
      <c r="M6211" s="243"/>
      <c r="N6211" s="234"/>
      <c r="O6211" s="235"/>
      <c r="P6211" s="236"/>
      <c r="Q6211" s="236"/>
      <c r="R6211" s="236"/>
      <c r="S6211" s="236"/>
      <c r="T6211" s="236"/>
      <c r="U6211" s="236"/>
      <c r="V6211" s="236"/>
      <c r="W6211" s="236"/>
      <c r="X6211" s="236"/>
      <c r="Y6211" s="236"/>
    </row>
    <row r="6212" spans="1:25" ht="15" customHeight="1">
      <c r="A6212" s="91"/>
      <c r="B6212" s="91"/>
      <c r="C6212" s="220"/>
      <c r="D6212" s="91"/>
      <c r="E6212" s="221"/>
      <c r="F6212" s="91"/>
      <c r="G6212" s="91"/>
      <c r="H6212" s="242"/>
      <c r="I6212" s="223"/>
      <c r="J6212" s="57"/>
      <c r="K6212" s="153"/>
      <c r="L6212" s="153"/>
      <c r="M6212" s="243"/>
      <c r="N6212" s="234"/>
      <c r="O6212" s="235"/>
      <c r="P6212" s="236"/>
      <c r="Q6212" s="236"/>
      <c r="R6212" s="236"/>
      <c r="S6212" s="236"/>
      <c r="T6212" s="236"/>
      <c r="U6212" s="236"/>
      <c r="V6212" s="236"/>
      <c r="W6212" s="236"/>
      <c r="X6212" s="236"/>
      <c r="Y6212" s="236"/>
    </row>
    <row r="6213" spans="1:25" ht="15" customHeight="1">
      <c r="A6213" s="91"/>
      <c r="B6213" s="91"/>
      <c r="C6213" s="220"/>
      <c r="D6213" s="91"/>
      <c r="E6213" s="221"/>
      <c r="F6213" s="91"/>
      <c r="G6213" s="91"/>
      <c r="H6213" s="242"/>
      <c r="I6213" s="223"/>
      <c r="J6213" s="57"/>
      <c r="K6213" s="153"/>
      <c r="L6213" s="153"/>
      <c r="M6213" s="243"/>
      <c r="N6213" s="234"/>
      <c r="O6213" s="235"/>
      <c r="P6213" s="236"/>
      <c r="Q6213" s="236"/>
      <c r="R6213" s="236"/>
      <c r="S6213" s="236"/>
      <c r="T6213" s="236"/>
      <c r="U6213" s="236"/>
      <c r="V6213" s="236"/>
      <c r="W6213" s="236"/>
      <c r="X6213" s="236"/>
      <c r="Y6213" s="236"/>
    </row>
    <row r="6214" spans="1:25" ht="15" customHeight="1">
      <c r="A6214" s="91"/>
      <c r="B6214" s="91"/>
      <c r="C6214" s="220"/>
      <c r="D6214" s="91"/>
      <c r="E6214" s="221"/>
      <c r="F6214" s="91"/>
      <c r="G6214" s="91"/>
      <c r="H6214" s="242"/>
      <c r="I6214" s="223"/>
      <c r="J6214" s="57"/>
      <c r="K6214" s="153"/>
      <c r="L6214" s="153"/>
      <c r="M6214" s="243"/>
      <c r="N6214" s="234"/>
      <c r="O6214" s="235"/>
      <c r="P6214" s="236"/>
      <c r="Q6214" s="236"/>
      <c r="R6214" s="236"/>
      <c r="S6214" s="236"/>
      <c r="T6214" s="236"/>
      <c r="U6214" s="236"/>
      <c r="V6214" s="236"/>
      <c r="W6214" s="236"/>
      <c r="X6214" s="236"/>
      <c r="Y6214" s="236"/>
    </row>
    <row r="6215" spans="1:25" ht="15" customHeight="1">
      <c r="A6215" s="91"/>
      <c r="B6215" s="91"/>
      <c r="C6215" s="220"/>
      <c r="D6215" s="91"/>
      <c r="E6215" s="221"/>
      <c r="F6215" s="91"/>
      <c r="G6215" s="91"/>
      <c r="H6215" s="242"/>
      <c r="I6215" s="223"/>
      <c r="J6215" s="57"/>
      <c r="K6215" s="153"/>
      <c r="L6215" s="153"/>
      <c r="M6215" s="243"/>
      <c r="N6215" s="234"/>
      <c r="O6215" s="235"/>
      <c r="P6215" s="236"/>
      <c r="Q6215" s="236"/>
      <c r="R6215" s="236"/>
      <c r="S6215" s="236"/>
      <c r="T6215" s="236"/>
      <c r="U6215" s="236"/>
      <c r="V6215" s="236"/>
      <c r="W6215" s="236"/>
      <c r="X6215" s="236"/>
      <c r="Y6215" s="236"/>
    </row>
    <row r="6216" spans="1:25" ht="15" customHeight="1">
      <c r="A6216" s="91"/>
      <c r="B6216" s="91"/>
      <c r="C6216" s="220"/>
      <c r="D6216" s="91"/>
      <c r="E6216" s="221"/>
      <c r="F6216" s="91"/>
      <c r="G6216" s="91"/>
      <c r="H6216" s="242"/>
      <c r="I6216" s="223"/>
      <c r="J6216" s="57"/>
      <c r="K6216" s="153"/>
      <c r="L6216" s="153"/>
      <c r="M6216" s="243"/>
      <c r="N6216" s="234"/>
      <c r="O6216" s="235"/>
      <c r="P6216" s="236"/>
      <c r="Q6216" s="236"/>
      <c r="R6216" s="236"/>
      <c r="S6216" s="236"/>
      <c r="T6216" s="236"/>
      <c r="U6216" s="236"/>
      <c r="V6216" s="236"/>
      <c r="W6216" s="236"/>
      <c r="X6216" s="236"/>
      <c r="Y6216" s="236"/>
    </row>
    <row r="6217" spans="1:25" ht="15" customHeight="1">
      <c r="A6217" s="91"/>
      <c r="B6217" s="91"/>
      <c r="C6217" s="220"/>
      <c r="D6217" s="91"/>
      <c r="E6217" s="221"/>
      <c r="F6217" s="91"/>
      <c r="G6217" s="91"/>
      <c r="H6217" s="242"/>
      <c r="I6217" s="223"/>
      <c r="J6217" s="57"/>
      <c r="K6217" s="153"/>
      <c r="L6217" s="153"/>
      <c r="M6217" s="243"/>
      <c r="N6217" s="234"/>
      <c r="O6217" s="235"/>
      <c r="P6217" s="236"/>
      <c r="Q6217" s="236"/>
      <c r="R6217" s="236"/>
      <c r="S6217" s="236"/>
      <c r="T6217" s="236"/>
      <c r="U6217" s="236"/>
      <c r="V6217" s="236"/>
      <c r="W6217" s="236"/>
      <c r="X6217" s="236"/>
      <c r="Y6217" s="236"/>
    </row>
    <row r="6218" spans="1:25" ht="15" customHeight="1">
      <c r="A6218" s="91"/>
      <c r="B6218" s="91"/>
      <c r="C6218" s="220"/>
      <c r="D6218" s="91"/>
      <c r="E6218" s="221"/>
      <c r="F6218" s="91"/>
      <c r="G6218" s="91"/>
      <c r="H6218" s="242"/>
      <c r="I6218" s="223"/>
      <c r="J6218" s="57"/>
      <c r="K6218" s="153"/>
      <c r="L6218" s="153"/>
      <c r="M6218" s="243"/>
      <c r="N6218" s="234"/>
      <c r="O6218" s="235"/>
      <c r="P6218" s="236"/>
      <c r="Q6218" s="236"/>
      <c r="R6218" s="236"/>
      <c r="S6218" s="236"/>
      <c r="T6218" s="236"/>
      <c r="U6218" s="236"/>
      <c r="V6218" s="236"/>
      <c r="W6218" s="236"/>
      <c r="X6218" s="236"/>
      <c r="Y6218" s="236"/>
    </row>
    <row r="6219" spans="1:25" ht="15" customHeight="1">
      <c r="A6219" s="91"/>
      <c r="B6219" s="91"/>
      <c r="C6219" s="220"/>
      <c r="D6219" s="91"/>
      <c r="E6219" s="221"/>
      <c r="F6219" s="91"/>
      <c r="G6219" s="91"/>
      <c r="H6219" s="242"/>
      <c r="I6219" s="223"/>
      <c r="J6219" s="57"/>
      <c r="K6219" s="153"/>
      <c r="L6219" s="153"/>
      <c r="M6219" s="243"/>
      <c r="N6219" s="234"/>
      <c r="O6219" s="235"/>
      <c r="P6219" s="236"/>
      <c r="Q6219" s="236"/>
      <c r="R6219" s="236"/>
      <c r="S6219" s="236"/>
      <c r="T6219" s="236"/>
      <c r="U6219" s="236"/>
      <c r="V6219" s="236"/>
      <c r="W6219" s="236"/>
      <c r="X6219" s="236"/>
      <c r="Y6219" s="236"/>
    </row>
    <row r="6220" spans="1:25" ht="15" customHeight="1">
      <c r="A6220" s="91"/>
      <c r="B6220" s="91"/>
      <c r="C6220" s="220"/>
      <c r="D6220" s="91"/>
      <c r="E6220" s="221"/>
      <c r="F6220" s="91"/>
      <c r="G6220" s="91"/>
      <c r="H6220" s="242"/>
      <c r="I6220" s="223"/>
      <c r="J6220" s="57"/>
      <c r="K6220" s="153"/>
      <c r="L6220" s="153"/>
      <c r="M6220" s="243"/>
      <c r="N6220" s="234"/>
      <c r="O6220" s="235"/>
      <c r="P6220" s="236"/>
      <c r="Q6220" s="236"/>
      <c r="R6220" s="236"/>
      <c r="S6220" s="236"/>
      <c r="T6220" s="236"/>
      <c r="U6220" s="236"/>
      <c r="V6220" s="236"/>
      <c r="W6220" s="236"/>
      <c r="X6220" s="236"/>
      <c r="Y6220" s="236"/>
    </row>
    <row r="6221" spans="1:25" ht="15" customHeight="1">
      <c r="A6221" s="91"/>
      <c r="B6221" s="91"/>
      <c r="C6221" s="220"/>
      <c r="D6221" s="91"/>
      <c r="E6221" s="221"/>
      <c r="F6221" s="91"/>
      <c r="G6221" s="91"/>
      <c r="H6221" s="242"/>
      <c r="I6221" s="223"/>
      <c r="J6221" s="57"/>
      <c r="K6221" s="153"/>
      <c r="L6221" s="153"/>
      <c r="M6221" s="243"/>
      <c r="N6221" s="234"/>
      <c r="O6221" s="235"/>
      <c r="P6221" s="236"/>
      <c r="Q6221" s="236"/>
      <c r="R6221" s="236"/>
      <c r="S6221" s="236"/>
      <c r="T6221" s="236"/>
      <c r="U6221" s="236"/>
      <c r="V6221" s="236"/>
      <c r="W6221" s="236"/>
      <c r="X6221" s="236"/>
      <c r="Y6221" s="236"/>
    </row>
    <row r="6222" spans="1:25" ht="15" customHeight="1">
      <c r="A6222" s="91"/>
      <c r="B6222" s="91"/>
      <c r="C6222" s="220"/>
      <c r="D6222" s="91"/>
      <c r="E6222" s="221"/>
      <c r="F6222" s="91"/>
      <c r="G6222" s="91"/>
      <c r="H6222" s="242"/>
      <c r="I6222" s="223"/>
      <c r="J6222" s="57"/>
      <c r="K6222" s="153"/>
      <c r="L6222" s="153"/>
      <c r="M6222" s="243"/>
      <c r="N6222" s="234"/>
      <c r="O6222" s="235"/>
      <c r="P6222" s="236"/>
      <c r="Q6222" s="236"/>
      <c r="R6222" s="236"/>
      <c r="S6222" s="236"/>
      <c r="T6222" s="236"/>
      <c r="U6222" s="236"/>
      <c r="V6222" s="236"/>
      <c r="W6222" s="236"/>
      <c r="X6222" s="236"/>
      <c r="Y6222" s="236"/>
    </row>
    <row r="6223" spans="1:25" ht="15" customHeight="1">
      <c r="A6223" s="91"/>
      <c r="B6223" s="91"/>
      <c r="C6223" s="220"/>
      <c r="D6223" s="91"/>
      <c r="E6223" s="221"/>
      <c r="F6223" s="91"/>
      <c r="G6223" s="91"/>
      <c r="H6223" s="242"/>
      <c r="I6223" s="223"/>
      <c r="J6223" s="57"/>
      <c r="K6223" s="153"/>
      <c r="L6223" s="153"/>
      <c r="M6223" s="243"/>
      <c r="N6223" s="234"/>
      <c r="O6223" s="235"/>
      <c r="P6223" s="236"/>
      <c r="Q6223" s="236"/>
      <c r="R6223" s="236"/>
      <c r="S6223" s="236"/>
      <c r="T6223" s="236"/>
      <c r="U6223" s="236"/>
      <c r="V6223" s="236"/>
      <c r="W6223" s="236"/>
      <c r="X6223" s="236"/>
      <c r="Y6223" s="236"/>
    </row>
    <row r="6224" spans="1:25" ht="15" customHeight="1">
      <c r="A6224" s="91"/>
      <c r="B6224" s="91"/>
      <c r="C6224" s="220"/>
      <c r="D6224" s="91"/>
      <c r="E6224" s="221"/>
      <c r="F6224" s="91"/>
      <c r="G6224" s="91"/>
      <c r="H6224" s="242"/>
      <c r="I6224" s="223"/>
      <c r="J6224" s="57"/>
      <c r="K6224" s="153"/>
      <c r="L6224" s="153"/>
      <c r="M6224" s="243"/>
      <c r="N6224" s="234"/>
      <c r="O6224" s="235"/>
      <c r="P6224" s="236"/>
      <c r="Q6224" s="236"/>
      <c r="R6224" s="236"/>
      <c r="S6224" s="236"/>
      <c r="T6224" s="236"/>
      <c r="U6224" s="236"/>
      <c r="V6224" s="236"/>
      <c r="W6224" s="236"/>
      <c r="X6224" s="236"/>
      <c r="Y6224" s="236"/>
    </row>
    <row r="6225" spans="1:25" ht="15" customHeight="1">
      <c r="A6225" s="91"/>
      <c r="B6225" s="91"/>
      <c r="C6225" s="220"/>
      <c r="D6225" s="91"/>
      <c r="E6225" s="221"/>
      <c r="F6225" s="91"/>
      <c r="G6225" s="91"/>
      <c r="H6225" s="242"/>
      <c r="I6225" s="223"/>
      <c r="J6225" s="57"/>
      <c r="K6225" s="153"/>
      <c r="L6225" s="153"/>
      <c r="M6225" s="243"/>
      <c r="N6225" s="234"/>
      <c r="O6225" s="235"/>
      <c r="P6225" s="236"/>
      <c r="Q6225" s="236"/>
      <c r="R6225" s="236"/>
      <c r="S6225" s="236"/>
      <c r="T6225" s="236"/>
      <c r="U6225" s="236"/>
      <c r="V6225" s="236"/>
      <c r="W6225" s="236"/>
      <c r="X6225" s="236"/>
      <c r="Y6225" s="236"/>
    </row>
    <row r="6226" spans="1:25" ht="15" customHeight="1">
      <c r="A6226" s="91"/>
      <c r="B6226" s="91"/>
      <c r="C6226" s="220"/>
      <c r="D6226" s="91"/>
      <c r="E6226" s="221"/>
      <c r="F6226" s="91"/>
      <c r="G6226" s="91"/>
      <c r="H6226" s="242"/>
      <c r="I6226" s="223"/>
      <c r="J6226" s="57"/>
      <c r="K6226" s="153"/>
      <c r="L6226" s="153"/>
      <c r="M6226" s="243"/>
      <c r="N6226" s="234"/>
      <c r="O6226" s="235"/>
      <c r="P6226" s="236"/>
      <c r="Q6226" s="236"/>
      <c r="R6226" s="236"/>
      <c r="S6226" s="236"/>
      <c r="T6226" s="236"/>
      <c r="U6226" s="236"/>
      <c r="V6226" s="236"/>
      <c r="W6226" s="236"/>
      <c r="X6226" s="236"/>
      <c r="Y6226" s="236"/>
    </row>
    <row r="6227" spans="1:25" ht="15" customHeight="1">
      <c r="A6227" s="91"/>
      <c r="B6227" s="91"/>
      <c r="C6227" s="220"/>
      <c r="D6227" s="91"/>
      <c r="E6227" s="221"/>
      <c r="F6227" s="91"/>
      <c r="G6227" s="91"/>
      <c r="H6227" s="242"/>
      <c r="I6227" s="223"/>
      <c r="J6227" s="57"/>
      <c r="K6227" s="153"/>
      <c r="L6227" s="153"/>
      <c r="M6227" s="243"/>
      <c r="N6227" s="234"/>
      <c r="O6227" s="235"/>
      <c r="P6227" s="236"/>
      <c r="Q6227" s="236"/>
      <c r="R6227" s="236"/>
      <c r="S6227" s="236"/>
      <c r="T6227" s="236"/>
      <c r="U6227" s="236"/>
      <c r="V6227" s="236"/>
      <c r="W6227" s="236"/>
      <c r="X6227" s="236"/>
      <c r="Y6227" s="236"/>
    </row>
    <row r="6228" spans="1:25" ht="15" customHeight="1">
      <c r="A6228" s="91"/>
      <c r="B6228" s="91"/>
      <c r="C6228" s="220"/>
      <c r="D6228" s="91"/>
      <c r="E6228" s="221"/>
      <c r="F6228" s="91"/>
      <c r="G6228" s="91"/>
      <c r="H6228" s="242"/>
      <c r="I6228" s="223"/>
      <c r="J6228" s="57"/>
      <c r="K6228" s="153"/>
      <c r="L6228" s="153"/>
      <c r="M6228" s="243"/>
      <c r="N6228" s="234"/>
      <c r="O6228" s="235"/>
      <c r="P6228" s="236"/>
      <c r="Q6228" s="236"/>
      <c r="R6228" s="236"/>
      <c r="S6228" s="236"/>
      <c r="T6228" s="236"/>
      <c r="U6228" s="236"/>
      <c r="V6228" s="236"/>
      <c r="W6228" s="236"/>
      <c r="X6228" s="236"/>
      <c r="Y6228" s="236"/>
    </row>
    <row r="6229" spans="1:25" ht="15" customHeight="1">
      <c r="A6229" s="91"/>
      <c r="B6229" s="91"/>
      <c r="C6229" s="220"/>
      <c r="D6229" s="91"/>
      <c r="E6229" s="221"/>
      <c r="F6229" s="91"/>
      <c r="G6229" s="91"/>
      <c r="H6229" s="242"/>
      <c r="I6229" s="223"/>
      <c r="J6229" s="57"/>
      <c r="K6229" s="153"/>
      <c r="L6229" s="153"/>
      <c r="M6229" s="243"/>
      <c r="N6229" s="234"/>
      <c r="O6229" s="235"/>
      <c r="P6229" s="236"/>
      <c r="Q6229" s="236"/>
      <c r="R6229" s="236"/>
      <c r="S6229" s="236"/>
      <c r="T6229" s="236"/>
      <c r="U6229" s="236"/>
      <c r="V6229" s="236"/>
      <c r="W6229" s="236"/>
      <c r="X6229" s="236"/>
      <c r="Y6229" s="236"/>
    </row>
    <row r="6230" spans="1:25" ht="15" customHeight="1">
      <c r="A6230" s="91"/>
      <c r="B6230" s="91"/>
      <c r="C6230" s="220"/>
      <c r="D6230" s="91"/>
      <c r="E6230" s="221"/>
      <c r="F6230" s="91"/>
      <c r="G6230" s="91"/>
      <c r="H6230" s="242"/>
      <c r="I6230" s="223"/>
      <c r="J6230" s="57"/>
      <c r="K6230" s="153"/>
      <c r="L6230" s="153"/>
      <c r="M6230" s="243"/>
      <c r="N6230" s="234"/>
      <c r="O6230" s="235"/>
      <c r="P6230" s="236"/>
      <c r="Q6230" s="236"/>
      <c r="R6230" s="236"/>
      <c r="S6230" s="236"/>
      <c r="T6230" s="236"/>
      <c r="U6230" s="236"/>
      <c r="V6230" s="236"/>
      <c r="W6230" s="236"/>
      <c r="X6230" s="236"/>
      <c r="Y6230" s="236"/>
    </row>
    <row r="6231" spans="1:25" ht="15" customHeight="1">
      <c r="A6231" s="91"/>
      <c r="B6231" s="91"/>
      <c r="C6231" s="220"/>
      <c r="D6231" s="91"/>
      <c r="E6231" s="221"/>
      <c r="F6231" s="91"/>
      <c r="G6231" s="91"/>
      <c r="H6231" s="242"/>
      <c r="I6231" s="223"/>
      <c r="J6231" s="57"/>
      <c r="K6231" s="153"/>
      <c r="L6231" s="153"/>
      <c r="M6231" s="243"/>
      <c r="N6231" s="234"/>
      <c r="O6231" s="235"/>
      <c r="P6231" s="236"/>
      <c r="Q6231" s="236"/>
      <c r="R6231" s="236"/>
      <c r="S6231" s="236"/>
      <c r="T6231" s="236"/>
      <c r="U6231" s="236"/>
      <c r="V6231" s="236"/>
      <c r="W6231" s="236"/>
      <c r="X6231" s="236"/>
      <c r="Y6231" s="236"/>
    </row>
    <row r="6232" spans="1:25" ht="15" customHeight="1">
      <c r="A6232" s="91"/>
      <c r="B6232" s="91"/>
      <c r="C6232" s="220"/>
      <c r="D6232" s="91"/>
      <c r="E6232" s="221"/>
      <c r="F6232" s="91"/>
      <c r="G6232" s="91"/>
      <c r="H6232" s="242"/>
      <c r="I6232" s="223"/>
      <c r="J6232" s="57"/>
      <c r="K6232" s="153"/>
      <c r="L6232" s="153"/>
      <c r="M6232" s="243"/>
      <c r="N6232" s="234"/>
      <c r="O6232" s="235"/>
      <c r="P6232" s="236"/>
      <c r="Q6232" s="236"/>
      <c r="R6232" s="236"/>
      <c r="S6232" s="236"/>
      <c r="T6232" s="236"/>
      <c r="U6232" s="236"/>
      <c r="V6232" s="236"/>
      <c r="W6232" s="236"/>
      <c r="X6232" s="236"/>
      <c r="Y6232" s="236"/>
    </row>
    <row r="6233" spans="1:25" ht="15" customHeight="1">
      <c r="A6233" s="91"/>
      <c r="B6233" s="91"/>
      <c r="C6233" s="220"/>
      <c r="D6233" s="91"/>
      <c r="E6233" s="221"/>
      <c r="F6233" s="91"/>
      <c r="G6233" s="91"/>
      <c r="H6233" s="242"/>
      <c r="I6233" s="223"/>
      <c r="J6233" s="57"/>
      <c r="K6233" s="153"/>
      <c r="L6233" s="153"/>
      <c r="M6233" s="243"/>
      <c r="N6233" s="234"/>
      <c r="O6233" s="235"/>
      <c r="P6233" s="236"/>
      <c r="Q6233" s="236"/>
      <c r="R6233" s="236"/>
      <c r="S6233" s="236"/>
      <c r="T6233" s="236"/>
      <c r="U6233" s="236"/>
      <c r="V6233" s="236"/>
      <c r="W6233" s="236"/>
      <c r="X6233" s="236"/>
      <c r="Y6233" s="236"/>
    </row>
    <row r="6234" spans="1:25" ht="15" customHeight="1">
      <c r="A6234" s="91"/>
      <c r="B6234" s="91"/>
      <c r="C6234" s="220"/>
      <c r="D6234" s="91"/>
      <c r="E6234" s="221"/>
      <c r="F6234" s="91"/>
      <c r="G6234" s="91"/>
      <c r="H6234" s="242"/>
      <c r="I6234" s="223"/>
      <c r="J6234" s="57"/>
      <c r="K6234" s="153"/>
      <c r="L6234" s="153"/>
      <c r="M6234" s="243"/>
      <c r="N6234" s="234"/>
      <c r="O6234" s="235"/>
      <c r="P6234" s="236"/>
      <c r="Q6234" s="236"/>
      <c r="R6234" s="236"/>
      <c r="S6234" s="236"/>
      <c r="T6234" s="236"/>
      <c r="U6234" s="236"/>
      <c r="V6234" s="236"/>
      <c r="W6234" s="236"/>
      <c r="X6234" s="236"/>
      <c r="Y6234" s="236"/>
    </row>
    <row r="6235" spans="1:25" ht="15" customHeight="1">
      <c r="A6235" s="91"/>
      <c r="B6235" s="91"/>
      <c r="C6235" s="220"/>
      <c r="D6235" s="91"/>
      <c r="E6235" s="221"/>
      <c r="F6235" s="91"/>
      <c r="G6235" s="91"/>
      <c r="H6235" s="242"/>
      <c r="I6235" s="223"/>
      <c r="J6235" s="57"/>
      <c r="K6235" s="153"/>
      <c r="L6235" s="153"/>
      <c r="M6235" s="243"/>
      <c r="N6235" s="234"/>
      <c r="O6235" s="235"/>
      <c r="P6235" s="236"/>
      <c r="Q6235" s="236"/>
      <c r="R6235" s="236"/>
      <c r="S6235" s="236"/>
      <c r="T6235" s="236"/>
      <c r="U6235" s="236"/>
      <c r="V6235" s="236"/>
      <c r="W6235" s="236"/>
      <c r="X6235" s="236"/>
      <c r="Y6235" s="236"/>
    </row>
    <row r="6236" spans="1:25" ht="15" customHeight="1">
      <c r="A6236" s="91"/>
      <c r="B6236" s="91"/>
      <c r="C6236" s="220"/>
      <c r="D6236" s="91"/>
      <c r="E6236" s="221"/>
      <c r="F6236" s="91"/>
      <c r="G6236" s="91"/>
      <c r="H6236" s="242"/>
      <c r="I6236" s="223"/>
      <c r="J6236" s="57"/>
      <c r="K6236" s="153"/>
      <c r="L6236" s="153"/>
      <c r="M6236" s="243"/>
      <c r="N6236" s="234"/>
      <c r="O6236" s="235"/>
      <c r="P6236" s="236"/>
      <c r="Q6236" s="236"/>
      <c r="R6236" s="236"/>
      <c r="S6236" s="236"/>
      <c r="T6236" s="236"/>
      <c r="U6236" s="236"/>
      <c r="V6236" s="236"/>
      <c r="W6236" s="236"/>
      <c r="X6236" s="236"/>
      <c r="Y6236" s="236"/>
    </row>
    <row r="6237" spans="1:25" ht="15" customHeight="1">
      <c r="A6237" s="91"/>
      <c r="B6237" s="91"/>
      <c r="C6237" s="220"/>
      <c r="D6237" s="91"/>
      <c r="E6237" s="221"/>
      <c r="F6237" s="91"/>
      <c r="G6237" s="91"/>
      <c r="H6237" s="242"/>
      <c r="I6237" s="223"/>
      <c r="J6237" s="57"/>
      <c r="K6237" s="153"/>
      <c r="L6237" s="153"/>
      <c r="M6237" s="243"/>
      <c r="N6237" s="234"/>
      <c r="O6237" s="235"/>
      <c r="P6237" s="236"/>
      <c r="Q6237" s="236"/>
      <c r="R6237" s="236"/>
      <c r="S6237" s="236"/>
      <c r="T6237" s="236"/>
      <c r="U6237" s="236"/>
      <c r="V6237" s="236"/>
      <c r="W6237" s="236"/>
      <c r="X6237" s="236"/>
      <c r="Y6237" s="236"/>
    </row>
    <row r="6238" spans="1:25" ht="15" customHeight="1">
      <c r="A6238" s="91"/>
      <c r="B6238" s="91"/>
      <c r="C6238" s="220"/>
      <c r="D6238" s="91"/>
      <c r="E6238" s="221"/>
      <c r="F6238" s="91"/>
      <c r="G6238" s="91"/>
      <c r="H6238" s="242"/>
      <c r="I6238" s="223"/>
      <c r="J6238" s="57"/>
      <c r="K6238" s="153"/>
      <c r="L6238" s="153"/>
      <c r="M6238" s="243"/>
      <c r="N6238" s="234"/>
      <c r="O6238" s="235"/>
      <c r="P6238" s="236"/>
      <c r="Q6238" s="236"/>
      <c r="R6238" s="236"/>
      <c r="S6238" s="236"/>
      <c r="T6238" s="236"/>
      <c r="U6238" s="236"/>
      <c r="V6238" s="236"/>
      <c r="W6238" s="236"/>
      <c r="X6238" s="236"/>
      <c r="Y6238" s="236"/>
    </row>
    <row r="6239" spans="1:25" ht="15" customHeight="1">
      <c r="A6239" s="91"/>
      <c r="B6239" s="91"/>
      <c r="C6239" s="220"/>
      <c r="D6239" s="91"/>
      <c r="E6239" s="221"/>
      <c r="F6239" s="91"/>
      <c r="G6239" s="91"/>
      <c r="H6239" s="242"/>
      <c r="I6239" s="223"/>
      <c r="J6239" s="57"/>
      <c r="K6239" s="153"/>
      <c r="L6239" s="153"/>
      <c r="M6239" s="243"/>
      <c r="N6239" s="234"/>
      <c r="O6239" s="235"/>
      <c r="P6239" s="236"/>
      <c r="Q6239" s="236"/>
      <c r="R6239" s="236"/>
      <c r="S6239" s="236"/>
      <c r="T6239" s="236"/>
      <c r="U6239" s="236"/>
      <c r="V6239" s="236"/>
      <c r="W6239" s="236"/>
      <c r="X6239" s="236"/>
      <c r="Y6239" s="236"/>
    </row>
    <row r="6240" spans="1:25" ht="15" customHeight="1">
      <c r="A6240" s="91"/>
      <c r="B6240" s="91"/>
      <c r="C6240" s="220"/>
      <c r="D6240" s="91"/>
      <c r="E6240" s="221"/>
      <c r="F6240" s="91"/>
      <c r="G6240" s="91"/>
      <c r="H6240" s="242"/>
      <c r="I6240" s="223"/>
      <c r="J6240" s="57"/>
      <c r="K6240" s="153"/>
      <c r="L6240" s="153"/>
      <c r="M6240" s="243"/>
      <c r="N6240" s="234"/>
      <c r="O6240" s="235"/>
      <c r="P6240" s="236"/>
      <c r="Q6240" s="236"/>
      <c r="R6240" s="236"/>
      <c r="S6240" s="236"/>
      <c r="T6240" s="236"/>
      <c r="U6240" s="236"/>
      <c r="V6240" s="236"/>
      <c r="W6240" s="236"/>
      <c r="X6240" s="236"/>
      <c r="Y6240" s="236"/>
    </row>
    <row r="6241" spans="1:25" ht="15" customHeight="1">
      <c r="A6241" s="91"/>
      <c r="B6241" s="91"/>
      <c r="C6241" s="220"/>
      <c r="D6241" s="91"/>
      <c r="E6241" s="221"/>
      <c r="F6241" s="91"/>
      <c r="G6241" s="91"/>
      <c r="H6241" s="242"/>
      <c r="I6241" s="223"/>
      <c r="J6241" s="57"/>
      <c r="K6241" s="153"/>
      <c r="L6241" s="153"/>
      <c r="M6241" s="243"/>
      <c r="N6241" s="234"/>
      <c r="O6241" s="235"/>
      <c r="P6241" s="236"/>
      <c r="Q6241" s="236"/>
      <c r="R6241" s="236"/>
      <c r="S6241" s="236"/>
      <c r="T6241" s="236"/>
      <c r="U6241" s="236"/>
      <c r="V6241" s="236"/>
      <c r="W6241" s="236"/>
      <c r="X6241" s="236"/>
      <c r="Y6241" s="236"/>
    </row>
    <row r="6242" spans="1:25" ht="15" customHeight="1">
      <c r="A6242" s="91"/>
      <c r="B6242" s="91"/>
      <c r="C6242" s="220"/>
      <c r="D6242" s="91"/>
      <c r="E6242" s="221"/>
      <c r="F6242" s="91"/>
      <c r="G6242" s="91"/>
      <c r="H6242" s="242"/>
      <c r="I6242" s="223"/>
      <c r="J6242" s="57"/>
      <c r="K6242" s="153"/>
      <c r="L6242" s="153"/>
      <c r="M6242" s="243"/>
      <c r="N6242" s="234"/>
      <c r="O6242" s="235"/>
      <c r="P6242" s="236"/>
      <c r="Q6242" s="236"/>
      <c r="R6242" s="236"/>
      <c r="S6242" s="236"/>
      <c r="T6242" s="236"/>
      <c r="U6242" s="236"/>
      <c r="V6242" s="236"/>
      <c r="W6242" s="236"/>
      <c r="X6242" s="236"/>
      <c r="Y6242" s="236"/>
    </row>
    <row r="6243" spans="1:25" ht="15" customHeight="1">
      <c r="A6243" s="91"/>
      <c r="B6243" s="91"/>
      <c r="C6243" s="220"/>
      <c r="D6243" s="91"/>
      <c r="E6243" s="221"/>
      <c r="F6243" s="91"/>
      <c r="G6243" s="91"/>
      <c r="H6243" s="242"/>
      <c r="I6243" s="223"/>
      <c r="J6243" s="57"/>
      <c r="K6243" s="153"/>
      <c r="L6243" s="153"/>
      <c r="M6243" s="243"/>
      <c r="N6243" s="234"/>
      <c r="O6243" s="235"/>
      <c r="P6243" s="236"/>
      <c r="Q6243" s="236"/>
      <c r="R6243" s="236"/>
      <c r="S6243" s="236"/>
      <c r="T6243" s="236"/>
      <c r="U6243" s="236"/>
      <c r="V6243" s="236"/>
      <c r="W6243" s="236"/>
      <c r="X6243" s="236"/>
      <c r="Y6243" s="236"/>
    </row>
    <row r="6244" spans="1:25" ht="15" customHeight="1">
      <c r="A6244" s="91"/>
      <c r="B6244" s="91"/>
      <c r="C6244" s="220"/>
      <c r="D6244" s="91"/>
      <c r="E6244" s="221"/>
      <c r="F6244" s="91"/>
      <c r="G6244" s="91"/>
      <c r="H6244" s="242"/>
      <c r="I6244" s="223"/>
      <c r="J6244" s="57"/>
      <c r="K6244" s="153"/>
      <c r="L6244" s="153"/>
      <c r="M6244" s="243"/>
      <c r="N6244" s="234"/>
      <c r="O6244" s="235"/>
      <c r="P6244" s="236"/>
      <c r="Q6244" s="236"/>
      <c r="R6244" s="236"/>
      <c r="S6244" s="236"/>
      <c r="T6244" s="236"/>
      <c r="U6244" s="236"/>
      <c r="V6244" s="236"/>
      <c r="W6244" s="236"/>
      <c r="X6244" s="236"/>
      <c r="Y6244" s="236"/>
    </row>
    <row r="6245" spans="1:25" ht="15" customHeight="1">
      <c r="A6245" s="91"/>
      <c r="B6245" s="91"/>
      <c r="C6245" s="220"/>
      <c r="D6245" s="91"/>
      <c r="E6245" s="221"/>
      <c r="F6245" s="91"/>
      <c r="G6245" s="91"/>
      <c r="H6245" s="242"/>
      <c r="I6245" s="223"/>
      <c r="J6245" s="57"/>
      <c r="K6245" s="153"/>
      <c r="L6245" s="153"/>
      <c r="M6245" s="243"/>
      <c r="N6245" s="234"/>
      <c r="O6245" s="235"/>
      <c r="P6245" s="236"/>
      <c r="Q6245" s="236"/>
      <c r="R6245" s="236"/>
      <c r="S6245" s="236"/>
      <c r="T6245" s="236"/>
      <c r="U6245" s="236"/>
      <c r="V6245" s="236"/>
      <c r="W6245" s="236"/>
      <c r="X6245" s="236"/>
      <c r="Y6245" s="236"/>
    </row>
    <row r="6246" spans="1:25" ht="15" customHeight="1">
      <c r="A6246" s="91"/>
      <c r="B6246" s="91"/>
      <c r="C6246" s="220"/>
      <c r="D6246" s="91"/>
      <c r="E6246" s="221"/>
      <c r="F6246" s="91"/>
      <c r="G6246" s="91"/>
      <c r="H6246" s="242"/>
      <c r="I6246" s="223"/>
      <c r="J6246" s="57"/>
      <c r="K6246" s="153"/>
      <c r="L6246" s="153"/>
      <c r="M6246" s="243"/>
      <c r="N6246" s="234"/>
      <c r="O6246" s="235"/>
      <c r="P6246" s="236"/>
      <c r="Q6246" s="236"/>
      <c r="R6246" s="236"/>
      <c r="S6246" s="236"/>
      <c r="T6246" s="236"/>
      <c r="U6246" s="236"/>
      <c r="V6246" s="236"/>
      <c r="W6246" s="236"/>
      <c r="X6246" s="236"/>
      <c r="Y6246" s="236"/>
    </row>
    <row r="6247" spans="1:25" ht="15" customHeight="1">
      <c r="A6247" s="91"/>
      <c r="B6247" s="91"/>
      <c r="C6247" s="220"/>
      <c r="D6247" s="91"/>
      <c r="E6247" s="221"/>
      <c r="F6247" s="91"/>
      <c r="G6247" s="91"/>
      <c r="H6247" s="242"/>
      <c r="I6247" s="223"/>
      <c r="J6247" s="57"/>
      <c r="K6247" s="153"/>
      <c r="L6247" s="153"/>
      <c r="M6247" s="243"/>
      <c r="N6247" s="234"/>
      <c r="O6247" s="235"/>
      <c r="P6247" s="236"/>
      <c r="Q6247" s="236"/>
      <c r="R6247" s="236"/>
      <c r="S6247" s="236"/>
      <c r="T6247" s="236"/>
      <c r="U6247" s="236"/>
      <c r="V6247" s="236"/>
      <c r="W6247" s="236"/>
      <c r="X6247" s="236"/>
      <c r="Y6247" s="236"/>
    </row>
    <row r="6248" spans="1:25" ht="15" customHeight="1">
      <c r="A6248" s="91"/>
      <c r="B6248" s="91"/>
      <c r="C6248" s="220"/>
      <c r="D6248" s="91"/>
      <c r="E6248" s="221"/>
      <c r="F6248" s="91"/>
      <c r="G6248" s="91"/>
      <c r="H6248" s="242"/>
      <c r="I6248" s="223"/>
      <c r="J6248" s="57"/>
      <c r="K6248" s="153"/>
      <c r="L6248" s="153"/>
      <c r="M6248" s="243"/>
      <c r="N6248" s="234"/>
      <c r="O6248" s="235"/>
      <c r="P6248" s="236"/>
      <c r="Q6248" s="236"/>
      <c r="R6248" s="236"/>
      <c r="S6248" s="236"/>
      <c r="T6248" s="236"/>
      <c r="U6248" s="236"/>
      <c r="V6248" s="236"/>
      <c r="W6248" s="236"/>
      <c r="X6248" s="236"/>
      <c r="Y6248" s="236"/>
    </row>
    <row r="6249" spans="1:25" ht="15" customHeight="1">
      <c r="A6249" s="91"/>
      <c r="B6249" s="91"/>
      <c r="C6249" s="220"/>
      <c r="D6249" s="91"/>
      <c r="E6249" s="221"/>
      <c r="F6249" s="91"/>
      <c r="G6249" s="91"/>
      <c r="H6249" s="242"/>
      <c r="I6249" s="223"/>
      <c r="J6249" s="57"/>
      <c r="K6249" s="153"/>
      <c r="L6249" s="153"/>
      <c r="M6249" s="243"/>
      <c r="N6249" s="234"/>
      <c r="O6249" s="235"/>
      <c r="P6249" s="236"/>
      <c r="Q6249" s="236"/>
      <c r="R6249" s="236"/>
      <c r="S6249" s="236"/>
      <c r="T6249" s="236"/>
      <c r="U6249" s="236"/>
      <c r="V6249" s="236"/>
      <c r="W6249" s="236"/>
      <c r="X6249" s="236"/>
      <c r="Y6249" s="236"/>
    </row>
    <row r="6250" spans="1:25" ht="15" customHeight="1">
      <c r="A6250" s="91"/>
      <c r="B6250" s="91"/>
      <c r="C6250" s="220"/>
      <c r="D6250" s="91"/>
      <c r="E6250" s="221"/>
      <c r="F6250" s="91"/>
      <c r="G6250" s="91"/>
      <c r="H6250" s="242"/>
      <c r="I6250" s="223"/>
      <c r="J6250" s="57"/>
      <c r="K6250" s="153"/>
      <c r="L6250" s="153"/>
      <c r="M6250" s="243"/>
      <c r="N6250" s="234"/>
      <c r="O6250" s="235"/>
      <c r="P6250" s="236"/>
      <c r="Q6250" s="236"/>
      <c r="R6250" s="236"/>
      <c r="S6250" s="236"/>
      <c r="T6250" s="236"/>
      <c r="U6250" s="236"/>
      <c r="V6250" s="236"/>
      <c r="W6250" s="236"/>
      <c r="X6250" s="236"/>
      <c r="Y6250" s="236"/>
    </row>
    <row r="6251" spans="1:25" ht="15" customHeight="1">
      <c r="A6251" s="91"/>
      <c r="B6251" s="91"/>
      <c r="C6251" s="220"/>
      <c r="D6251" s="91"/>
      <c r="E6251" s="221"/>
      <c r="F6251" s="91"/>
      <c r="G6251" s="91"/>
      <c r="H6251" s="242"/>
      <c r="I6251" s="223"/>
      <c r="J6251" s="57"/>
      <c r="K6251" s="153"/>
      <c r="L6251" s="153"/>
      <c r="M6251" s="243"/>
      <c r="N6251" s="234"/>
      <c r="O6251" s="235"/>
      <c r="P6251" s="236"/>
      <c r="Q6251" s="236"/>
      <c r="R6251" s="236"/>
      <c r="S6251" s="236"/>
      <c r="T6251" s="236"/>
      <c r="U6251" s="236"/>
      <c r="V6251" s="236"/>
      <c r="W6251" s="236"/>
      <c r="X6251" s="236"/>
      <c r="Y6251" s="236"/>
    </row>
    <row r="6252" spans="1:25" ht="15" customHeight="1">
      <c r="A6252" s="91"/>
      <c r="B6252" s="91"/>
      <c r="C6252" s="220"/>
      <c r="D6252" s="91"/>
      <c r="E6252" s="221"/>
      <c r="F6252" s="91"/>
      <c r="G6252" s="91"/>
      <c r="H6252" s="242"/>
      <c r="I6252" s="223"/>
      <c r="J6252" s="57"/>
      <c r="K6252" s="153"/>
      <c r="L6252" s="153"/>
      <c r="M6252" s="243"/>
      <c r="N6252" s="234"/>
      <c r="O6252" s="235"/>
      <c r="P6252" s="236"/>
      <c r="Q6252" s="236"/>
      <c r="R6252" s="236"/>
      <c r="S6252" s="236"/>
      <c r="T6252" s="236"/>
      <c r="U6252" s="236"/>
      <c r="V6252" s="236"/>
      <c r="W6252" s="236"/>
      <c r="X6252" s="236"/>
      <c r="Y6252" s="236"/>
    </row>
    <row r="6253" spans="1:25" ht="15" customHeight="1">
      <c r="A6253" s="91"/>
      <c r="B6253" s="91"/>
      <c r="C6253" s="220"/>
      <c r="D6253" s="91"/>
      <c r="E6253" s="221"/>
      <c r="F6253" s="91"/>
      <c r="G6253" s="91"/>
      <c r="H6253" s="242"/>
      <c r="I6253" s="223"/>
      <c r="J6253" s="57"/>
      <c r="K6253" s="153"/>
      <c r="L6253" s="153"/>
      <c r="M6253" s="243"/>
      <c r="N6253" s="234"/>
      <c r="O6253" s="235"/>
      <c r="P6253" s="236"/>
      <c r="Q6253" s="236"/>
      <c r="R6253" s="236"/>
      <c r="S6253" s="236"/>
      <c r="T6253" s="236"/>
      <c r="U6253" s="236"/>
      <c r="V6253" s="236"/>
      <c r="W6253" s="236"/>
      <c r="X6253" s="236"/>
      <c r="Y6253" s="236"/>
    </row>
    <row r="6254" spans="1:25" ht="15" customHeight="1">
      <c r="A6254" s="91"/>
      <c r="B6254" s="91"/>
      <c r="C6254" s="220"/>
      <c r="D6254" s="91"/>
      <c r="E6254" s="221"/>
      <c r="F6254" s="91"/>
      <c r="G6254" s="91"/>
      <c r="H6254" s="242"/>
      <c r="I6254" s="223"/>
      <c r="J6254" s="57"/>
      <c r="K6254" s="153"/>
      <c r="L6254" s="153"/>
      <c r="M6254" s="243"/>
      <c r="N6254" s="234"/>
      <c r="O6254" s="235"/>
      <c r="P6254" s="236"/>
      <c r="Q6254" s="236"/>
      <c r="R6254" s="236"/>
      <c r="S6254" s="236"/>
      <c r="T6254" s="236"/>
      <c r="U6254" s="236"/>
      <c r="V6254" s="236"/>
      <c r="W6254" s="236"/>
      <c r="X6254" s="236"/>
      <c r="Y6254" s="236"/>
    </row>
    <row r="6255" spans="1:25" ht="15" customHeight="1">
      <c r="A6255" s="91"/>
      <c r="B6255" s="91"/>
      <c r="C6255" s="220"/>
      <c r="D6255" s="91"/>
      <c r="E6255" s="221"/>
      <c r="F6255" s="91"/>
      <c r="G6255" s="91"/>
      <c r="H6255" s="242"/>
      <c r="I6255" s="223"/>
      <c r="J6255" s="57"/>
      <c r="K6255" s="153"/>
      <c r="L6255" s="153"/>
      <c r="M6255" s="243"/>
      <c r="N6255" s="234"/>
      <c r="O6255" s="235"/>
      <c r="P6255" s="236"/>
      <c r="Q6255" s="236"/>
      <c r="R6255" s="236"/>
      <c r="S6255" s="236"/>
      <c r="T6255" s="236"/>
      <c r="U6255" s="236"/>
      <c r="V6255" s="236"/>
      <c r="W6255" s="236"/>
      <c r="X6255" s="236"/>
      <c r="Y6255" s="236"/>
    </row>
    <row r="6256" spans="1:25" ht="15" customHeight="1">
      <c r="A6256" s="91"/>
      <c r="B6256" s="91"/>
      <c r="C6256" s="220"/>
      <c r="D6256" s="91"/>
      <c r="E6256" s="221"/>
      <c r="F6256" s="91"/>
      <c r="G6256" s="91"/>
      <c r="H6256" s="242"/>
      <c r="I6256" s="223"/>
      <c r="J6256" s="57"/>
      <c r="K6256" s="153"/>
      <c r="L6256" s="153"/>
      <c r="M6256" s="243"/>
      <c r="N6256" s="234"/>
      <c r="O6256" s="235"/>
      <c r="P6256" s="236"/>
      <c r="Q6256" s="236"/>
      <c r="R6256" s="236"/>
      <c r="S6256" s="236"/>
      <c r="T6256" s="236"/>
      <c r="U6256" s="236"/>
      <c r="V6256" s="236"/>
      <c r="W6256" s="236"/>
      <c r="X6256" s="236"/>
      <c r="Y6256" s="236"/>
    </row>
    <row r="6257" spans="1:25" ht="15" customHeight="1">
      <c r="A6257" s="91"/>
      <c r="B6257" s="91"/>
      <c r="C6257" s="220"/>
      <c r="D6257" s="91"/>
      <c r="E6257" s="221"/>
      <c r="F6257" s="91"/>
      <c r="G6257" s="91"/>
      <c r="H6257" s="242"/>
      <c r="I6257" s="223"/>
      <c r="J6257" s="57"/>
      <c r="K6257" s="153"/>
      <c r="L6257" s="153"/>
      <c r="M6257" s="243"/>
      <c r="N6257" s="234"/>
      <c r="O6257" s="235"/>
      <c r="P6257" s="236"/>
      <c r="Q6257" s="236"/>
      <c r="R6257" s="236"/>
      <c r="S6257" s="236"/>
      <c r="T6257" s="236"/>
      <c r="U6257" s="236"/>
      <c r="V6257" s="236"/>
      <c r="W6257" s="236"/>
      <c r="X6257" s="236"/>
      <c r="Y6257" s="236"/>
    </row>
    <row r="6258" spans="1:25" ht="15" customHeight="1">
      <c r="A6258" s="91"/>
      <c r="B6258" s="91"/>
      <c r="C6258" s="220"/>
      <c r="D6258" s="91"/>
      <c r="E6258" s="221"/>
      <c r="F6258" s="91"/>
      <c r="G6258" s="91"/>
      <c r="H6258" s="242"/>
      <c r="I6258" s="223"/>
      <c r="J6258" s="57"/>
      <c r="K6258" s="153"/>
      <c r="L6258" s="153"/>
      <c r="M6258" s="243"/>
      <c r="N6258" s="234"/>
      <c r="O6258" s="235"/>
      <c r="P6258" s="236"/>
      <c r="Q6258" s="236"/>
      <c r="R6258" s="236"/>
      <c r="S6258" s="236"/>
      <c r="T6258" s="236"/>
      <c r="U6258" s="236"/>
      <c r="V6258" s="236"/>
      <c r="W6258" s="236"/>
      <c r="X6258" s="236"/>
      <c r="Y6258" s="236"/>
    </row>
    <row r="6259" spans="1:25" ht="15" customHeight="1">
      <c r="A6259" s="91"/>
      <c r="B6259" s="91"/>
      <c r="C6259" s="220"/>
      <c r="D6259" s="91"/>
      <c r="E6259" s="221"/>
      <c r="F6259" s="91"/>
      <c r="G6259" s="91"/>
      <c r="H6259" s="242"/>
      <c r="I6259" s="223"/>
      <c r="J6259" s="57"/>
      <c r="K6259" s="153"/>
      <c r="L6259" s="153"/>
      <c r="M6259" s="243"/>
      <c r="N6259" s="234"/>
      <c r="O6259" s="235"/>
      <c r="P6259" s="236"/>
      <c r="Q6259" s="236"/>
      <c r="R6259" s="236"/>
      <c r="S6259" s="236"/>
      <c r="T6259" s="236"/>
      <c r="U6259" s="236"/>
      <c r="V6259" s="236"/>
      <c r="W6259" s="236"/>
      <c r="X6259" s="236"/>
      <c r="Y6259" s="236"/>
    </row>
    <row r="6260" spans="1:25" ht="15" customHeight="1">
      <c r="A6260" s="91"/>
      <c r="B6260" s="91"/>
      <c r="C6260" s="220"/>
      <c r="D6260" s="91"/>
      <c r="E6260" s="221"/>
      <c r="F6260" s="91"/>
      <c r="G6260" s="91"/>
      <c r="H6260" s="242"/>
      <c r="I6260" s="223"/>
      <c r="J6260" s="57"/>
      <c r="K6260" s="153"/>
      <c r="L6260" s="153"/>
      <c r="M6260" s="243"/>
      <c r="N6260" s="234"/>
      <c r="O6260" s="235"/>
      <c r="P6260" s="236"/>
      <c r="Q6260" s="236"/>
      <c r="R6260" s="236"/>
      <c r="S6260" s="236"/>
      <c r="T6260" s="236"/>
      <c r="U6260" s="236"/>
      <c r="V6260" s="236"/>
      <c r="W6260" s="236"/>
      <c r="X6260" s="236"/>
      <c r="Y6260" s="236"/>
    </row>
    <row r="6261" spans="1:25" ht="15" customHeight="1">
      <c r="A6261" s="91"/>
      <c r="B6261" s="91"/>
      <c r="C6261" s="220"/>
      <c r="D6261" s="91"/>
      <c r="E6261" s="221"/>
      <c r="F6261" s="91"/>
      <c r="G6261" s="91"/>
      <c r="H6261" s="242"/>
      <c r="I6261" s="223"/>
      <c r="J6261" s="57"/>
      <c r="K6261" s="153"/>
      <c r="L6261" s="153"/>
      <c r="M6261" s="243"/>
      <c r="N6261" s="234"/>
      <c r="O6261" s="235"/>
      <c r="P6261" s="236"/>
      <c r="Q6261" s="236"/>
      <c r="R6261" s="236"/>
      <c r="S6261" s="236"/>
      <c r="T6261" s="236"/>
      <c r="U6261" s="236"/>
      <c r="V6261" s="236"/>
      <c r="W6261" s="236"/>
      <c r="X6261" s="236"/>
      <c r="Y6261" s="236"/>
    </row>
    <row r="6262" spans="1:25" ht="15" customHeight="1">
      <c r="A6262" s="91"/>
      <c r="B6262" s="91"/>
      <c r="C6262" s="220"/>
      <c r="D6262" s="91"/>
      <c r="E6262" s="221"/>
      <c r="F6262" s="91"/>
      <c r="G6262" s="91"/>
      <c r="H6262" s="242"/>
      <c r="I6262" s="223"/>
      <c r="J6262" s="57"/>
      <c r="K6262" s="153"/>
      <c r="L6262" s="153"/>
      <c r="M6262" s="243"/>
      <c r="N6262" s="234"/>
      <c r="O6262" s="235"/>
      <c r="P6262" s="236"/>
      <c r="Q6262" s="236"/>
      <c r="R6262" s="236"/>
      <c r="S6262" s="236"/>
      <c r="T6262" s="236"/>
      <c r="U6262" s="236"/>
      <c r="V6262" s="236"/>
      <c r="W6262" s="236"/>
      <c r="X6262" s="236"/>
      <c r="Y6262" s="236"/>
    </row>
    <row r="6263" spans="1:25" ht="15" customHeight="1">
      <c r="A6263" s="91"/>
      <c r="B6263" s="91"/>
      <c r="C6263" s="220"/>
      <c r="D6263" s="91"/>
      <c r="E6263" s="221"/>
      <c r="F6263" s="91"/>
      <c r="G6263" s="91"/>
      <c r="H6263" s="242"/>
      <c r="I6263" s="223"/>
      <c r="J6263" s="57"/>
      <c r="K6263" s="153"/>
      <c r="L6263" s="153"/>
      <c r="M6263" s="243"/>
      <c r="N6263" s="234"/>
      <c r="O6263" s="235"/>
      <c r="P6263" s="236"/>
      <c r="Q6263" s="236"/>
      <c r="R6263" s="236"/>
      <c r="S6263" s="236"/>
      <c r="T6263" s="236"/>
      <c r="U6263" s="236"/>
      <c r="V6263" s="236"/>
      <c r="W6263" s="236"/>
      <c r="X6263" s="236"/>
      <c r="Y6263" s="236"/>
    </row>
    <row r="6264" spans="1:25" ht="15" customHeight="1">
      <c r="A6264" s="91"/>
      <c r="B6264" s="91"/>
      <c r="C6264" s="220"/>
      <c r="D6264" s="91"/>
      <c r="E6264" s="221"/>
      <c r="F6264" s="91"/>
      <c r="G6264" s="91"/>
      <c r="H6264" s="242"/>
      <c r="I6264" s="223"/>
      <c r="J6264" s="57"/>
      <c r="K6264" s="153"/>
      <c r="L6264" s="153"/>
      <c r="M6264" s="243"/>
      <c r="N6264" s="234"/>
      <c r="O6264" s="235"/>
      <c r="P6264" s="236"/>
      <c r="Q6264" s="236"/>
      <c r="R6264" s="236"/>
      <c r="S6264" s="236"/>
      <c r="T6264" s="236"/>
      <c r="U6264" s="236"/>
      <c r="V6264" s="236"/>
      <c r="W6264" s="236"/>
      <c r="X6264" s="236"/>
      <c r="Y6264" s="236"/>
    </row>
    <row r="6265" spans="1:25" ht="15" customHeight="1">
      <c r="A6265" s="91"/>
      <c r="B6265" s="91"/>
      <c r="C6265" s="220"/>
      <c r="D6265" s="91"/>
      <c r="E6265" s="221"/>
      <c r="F6265" s="91"/>
      <c r="G6265" s="91"/>
      <c r="H6265" s="242"/>
      <c r="I6265" s="223"/>
      <c r="J6265" s="57"/>
      <c r="K6265" s="153"/>
      <c r="L6265" s="153"/>
      <c r="M6265" s="243"/>
      <c r="N6265" s="234"/>
      <c r="O6265" s="235"/>
      <c r="P6265" s="236"/>
      <c r="Q6265" s="236"/>
      <c r="R6265" s="236"/>
      <c r="S6265" s="236"/>
      <c r="T6265" s="236"/>
      <c r="U6265" s="236"/>
      <c r="V6265" s="236"/>
      <c r="W6265" s="236"/>
      <c r="X6265" s="236"/>
      <c r="Y6265" s="236"/>
    </row>
    <row r="6266" spans="1:25" ht="15" customHeight="1">
      <c r="A6266" s="91"/>
      <c r="B6266" s="91"/>
      <c r="C6266" s="220"/>
      <c r="D6266" s="91"/>
      <c r="E6266" s="221"/>
      <c r="F6266" s="91"/>
      <c r="G6266" s="91"/>
      <c r="H6266" s="242"/>
      <c r="I6266" s="223"/>
      <c r="J6266" s="57"/>
      <c r="K6266" s="153"/>
      <c r="L6266" s="153"/>
      <c r="M6266" s="243"/>
      <c r="N6266" s="234"/>
      <c r="O6266" s="235"/>
      <c r="P6266" s="236"/>
      <c r="Q6266" s="236"/>
      <c r="R6266" s="236"/>
      <c r="S6266" s="236"/>
      <c r="T6266" s="236"/>
      <c r="U6266" s="236"/>
      <c r="V6266" s="236"/>
      <c r="W6266" s="236"/>
      <c r="X6266" s="236"/>
      <c r="Y6266" s="236"/>
    </row>
    <row r="6267" spans="1:25" ht="15" customHeight="1">
      <c r="A6267" s="91"/>
      <c r="B6267" s="91"/>
      <c r="C6267" s="220"/>
      <c r="D6267" s="91"/>
      <c r="E6267" s="221"/>
      <c r="F6267" s="91"/>
      <c r="G6267" s="91"/>
      <c r="H6267" s="242"/>
      <c r="I6267" s="223"/>
      <c r="J6267" s="57"/>
      <c r="K6267" s="153"/>
      <c r="L6267" s="153"/>
      <c r="M6267" s="243"/>
      <c r="N6267" s="234"/>
      <c r="O6267" s="235"/>
      <c r="P6267" s="236"/>
      <c r="Q6267" s="236"/>
      <c r="R6267" s="236"/>
      <c r="S6267" s="236"/>
      <c r="T6267" s="236"/>
      <c r="U6267" s="236"/>
      <c r="V6267" s="236"/>
      <c r="W6267" s="236"/>
      <c r="X6267" s="236"/>
      <c r="Y6267" s="236"/>
    </row>
    <row r="6268" spans="1:25" ht="15" customHeight="1">
      <c r="A6268" s="91"/>
      <c r="B6268" s="91"/>
      <c r="C6268" s="220"/>
      <c r="D6268" s="91"/>
      <c r="E6268" s="221"/>
      <c r="F6268" s="91"/>
      <c r="G6268" s="91"/>
      <c r="H6268" s="242"/>
      <c r="I6268" s="223"/>
      <c r="J6268" s="57"/>
      <c r="K6268" s="153"/>
      <c r="L6268" s="153"/>
      <c r="M6268" s="243"/>
      <c r="N6268" s="234"/>
      <c r="O6268" s="235"/>
      <c r="P6268" s="236"/>
      <c r="Q6268" s="236"/>
      <c r="R6268" s="236"/>
      <c r="S6268" s="236"/>
      <c r="T6268" s="236"/>
      <c r="U6268" s="236"/>
      <c r="V6268" s="236"/>
      <c r="W6268" s="236"/>
      <c r="X6268" s="236"/>
      <c r="Y6268" s="236"/>
    </row>
    <row r="6269" spans="1:25" ht="15" customHeight="1">
      <c r="A6269" s="91"/>
      <c r="B6269" s="91"/>
      <c r="C6269" s="220"/>
      <c r="D6269" s="91"/>
      <c r="E6269" s="221"/>
      <c r="F6269" s="91"/>
      <c r="G6269" s="91"/>
      <c r="H6269" s="242"/>
      <c r="I6269" s="223"/>
      <c r="J6269" s="57"/>
      <c r="K6269" s="153"/>
      <c r="L6269" s="153"/>
      <c r="M6269" s="243"/>
      <c r="N6269" s="234"/>
      <c r="O6269" s="235"/>
      <c r="P6269" s="236"/>
      <c r="Q6269" s="236"/>
      <c r="R6269" s="236"/>
      <c r="S6269" s="236"/>
      <c r="T6269" s="236"/>
      <c r="U6269" s="236"/>
      <c r="V6269" s="236"/>
      <c r="W6269" s="236"/>
      <c r="X6269" s="236"/>
      <c r="Y6269" s="236"/>
    </row>
    <row r="6270" spans="1:25" ht="15" customHeight="1">
      <c r="A6270" s="91"/>
      <c r="B6270" s="91"/>
      <c r="C6270" s="220"/>
      <c r="D6270" s="91"/>
      <c r="E6270" s="221"/>
      <c r="F6270" s="91"/>
      <c r="G6270" s="91"/>
      <c r="H6270" s="242"/>
      <c r="I6270" s="223"/>
      <c r="J6270" s="57"/>
      <c r="K6270" s="153"/>
      <c r="L6270" s="153"/>
      <c r="M6270" s="243"/>
      <c r="N6270" s="234"/>
      <c r="O6270" s="235"/>
      <c r="P6270" s="236"/>
      <c r="Q6270" s="236"/>
      <c r="R6270" s="236"/>
      <c r="S6270" s="236"/>
      <c r="T6270" s="236"/>
      <c r="U6270" s="236"/>
      <c r="V6270" s="236"/>
      <c r="W6270" s="236"/>
      <c r="X6270" s="236"/>
      <c r="Y6270" s="236"/>
    </row>
    <row r="6271" spans="1:25" ht="15" customHeight="1">
      <c r="A6271" s="91"/>
      <c r="B6271" s="91"/>
      <c r="C6271" s="220"/>
      <c r="D6271" s="91"/>
      <c r="E6271" s="221"/>
      <c r="F6271" s="91"/>
      <c r="G6271" s="91"/>
      <c r="H6271" s="242"/>
      <c r="I6271" s="223"/>
      <c r="J6271" s="57"/>
      <c r="K6271" s="153"/>
      <c r="L6271" s="153"/>
      <c r="M6271" s="243"/>
      <c r="N6271" s="234"/>
      <c r="O6271" s="235"/>
      <c r="P6271" s="236"/>
      <c r="Q6271" s="236"/>
      <c r="R6271" s="236"/>
      <c r="S6271" s="236"/>
      <c r="T6271" s="236"/>
      <c r="U6271" s="236"/>
      <c r="V6271" s="236"/>
      <c r="W6271" s="236"/>
      <c r="X6271" s="236"/>
      <c r="Y6271" s="236"/>
    </row>
    <row r="6272" spans="1:25" ht="15" customHeight="1">
      <c r="A6272" s="91"/>
      <c r="B6272" s="91"/>
      <c r="C6272" s="220"/>
      <c r="D6272" s="91"/>
      <c r="E6272" s="221"/>
      <c r="F6272" s="91"/>
      <c r="G6272" s="91"/>
      <c r="H6272" s="242"/>
      <c r="I6272" s="223"/>
      <c r="J6272" s="57"/>
      <c r="K6272" s="153"/>
      <c r="L6272" s="153"/>
      <c r="M6272" s="243"/>
      <c r="N6272" s="234"/>
      <c r="O6272" s="235"/>
      <c r="P6272" s="236"/>
      <c r="Q6272" s="236"/>
      <c r="R6272" s="236"/>
      <c r="S6272" s="236"/>
      <c r="T6272" s="236"/>
      <c r="U6272" s="236"/>
      <c r="V6272" s="236"/>
      <c r="W6272" s="236"/>
      <c r="X6272" s="236"/>
      <c r="Y6272" s="236"/>
    </row>
    <row r="6273" spans="1:25" ht="15" customHeight="1">
      <c r="A6273" s="91"/>
      <c r="B6273" s="91"/>
      <c r="C6273" s="220"/>
      <c r="D6273" s="91"/>
      <c r="E6273" s="221"/>
      <c r="F6273" s="91"/>
      <c r="G6273" s="91"/>
      <c r="H6273" s="242"/>
      <c r="I6273" s="223"/>
      <c r="J6273" s="57"/>
      <c r="K6273" s="153"/>
      <c r="L6273" s="153"/>
      <c r="M6273" s="243"/>
      <c r="N6273" s="234"/>
      <c r="O6273" s="235"/>
      <c r="P6273" s="236"/>
      <c r="Q6273" s="236"/>
      <c r="R6273" s="236"/>
      <c r="S6273" s="236"/>
      <c r="T6273" s="236"/>
      <c r="U6273" s="236"/>
      <c r="V6273" s="236"/>
      <c r="W6273" s="236"/>
      <c r="X6273" s="236"/>
      <c r="Y6273" s="236"/>
    </row>
    <row r="6274" spans="1:25" ht="15" customHeight="1">
      <c r="A6274" s="91"/>
      <c r="B6274" s="91"/>
      <c r="C6274" s="220"/>
      <c r="D6274" s="91"/>
      <c r="E6274" s="221"/>
      <c r="F6274" s="91"/>
      <c r="G6274" s="91"/>
      <c r="H6274" s="242"/>
      <c r="I6274" s="223"/>
      <c r="J6274" s="57"/>
      <c r="K6274" s="153"/>
      <c r="L6274" s="153"/>
      <c r="M6274" s="243"/>
      <c r="N6274" s="234"/>
      <c r="O6274" s="235"/>
      <c r="P6274" s="236"/>
      <c r="Q6274" s="236"/>
      <c r="R6274" s="236"/>
      <c r="S6274" s="236"/>
      <c r="T6274" s="236"/>
      <c r="U6274" s="236"/>
      <c r="V6274" s="236"/>
      <c r="W6274" s="236"/>
      <c r="X6274" s="236"/>
      <c r="Y6274" s="236"/>
    </row>
    <row r="6275" spans="1:25" ht="15" customHeight="1">
      <c r="A6275" s="91"/>
      <c r="B6275" s="91"/>
      <c r="C6275" s="220"/>
      <c r="D6275" s="91"/>
      <c r="E6275" s="221"/>
      <c r="F6275" s="91"/>
      <c r="G6275" s="91"/>
      <c r="H6275" s="242"/>
      <c r="I6275" s="223"/>
      <c r="J6275" s="57"/>
      <c r="K6275" s="153"/>
      <c r="L6275" s="153"/>
      <c r="M6275" s="243"/>
      <c r="N6275" s="234"/>
      <c r="O6275" s="235"/>
      <c r="P6275" s="236"/>
      <c r="Q6275" s="236"/>
      <c r="R6275" s="236"/>
      <c r="S6275" s="236"/>
      <c r="T6275" s="236"/>
      <c r="U6275" s="236"/>
      <c r="V6275" s="236"/>
      <c r="W6275" s="236"/>
      <c r="X6275" s="236"/>
      <c r="Y6275" s="236"/>
    </row>
    <row r="6276" spans="1:25" ht="15" customHeight="1">
      <c r="A6276" s="91"/>
      <c r="B6276" s="91"/>
      <c r="C6276" s="220"/>
      <c r="D6276" s="91"/>
      <c r="E6276" s="221"/>
      <c r="F6276" s="91"/>
      <c r="G6276" s="91"/>
      <c r="H6276" s="242"/>
      <c r="I6276" s="223"/>
      <c r="J6276" s="57"/>
      <c r="K6276" s="153"/>
      <c r="L6276" s="153"/>
      <c r="M6276" s="243"/>
      <c r="N6276" s="234"/>
      <c r="O6276" s="235"/>
      <c r="P6276" s="236"/>
      <c r="Q6276" s="236"/>
      <c r="R6276" s="236"/>
      <c r="S6276" s="236"/>
      <c r="T6276" s="236"/>
      <c r="U6276" s="236"/>
      <c r="V6276" s="236"/>
      <c r="W6276" s="236"/>
      <c r="X6276" s="236"/>
      <c r="Y6276" s="236"/>
    </row>
    <row r="6277" spans="1:25" ht="15" customHeight="1">
      <c r="A6277" s="91"/>
      <c r="B6277" s="91"/>
      <c r="C6277" s="220"/>
      <c r="D6277" s="91"/>
      <c r="E6277" s="221"/>
      <c r="F6277" s="91"/>
      <c r="G6277" s="91"/>
      <c r="H6277" s="242"/>
      <c r="I6277" s="223"/>
      <c r="J6277" s="57"/>
      <c r="K6277" s="153"/>
      <c r="L6277" s="153"/>
      <c r="M6277" s="243"/>
      <c r="N6277" s="234"/>
      <c r="O6277" s="235"/>
      <c r="P6277" s="236"/>
      <c r="Q6277" s="236"/>
      <c r="R6277" s="236"/>
      <c r="S6277" s="236"/>
      <c r="T6277" s="236"/>
      <c r="U6277" s="236"/>
      <c r="V6277" s="236"/>
      <c r="W6277" s="236"/>
      <c r="X6277" s="236"/>
      <c r="Y6277" s="236"/>
    </row>
    <row r="6278" spans="1:25" ht="15" customHeight="1">
      <c r="A6278" s="91"/>
      <c r="B6278" s="91"/>
      <c r="C6278" s="220"/>
      <c r="D6278" s="91"/>
      <c r="E6278" s="221"/>
      <c r="F6278" s="91"/>
      <c r="G6278" s="91"/>
      <c r="H6278" s="242"/>
      <c r="I6278" s="223"/>
      <c r="J6278" s="57"/>
      <c r="K6278" s="153"/>
      <c r="L6278" s="153"/>
      <c r="M6278" s="243"/>
      <c r="N6278" s="234"/>
      <c r="O6278" s="235"/>
      <c r="P6278" s="236"/>
      <c r="Q6278" s="236"/>
      <c r="R6278" s="236"/>
      <c r="S6278" s="236"/>
      <c r="T6278" s="236"/>
      <c r="U6278" s="236"/>
      <c r="V6278" s="236"/>
      <c r="W6278" s="236"/>
      <c r="X6278" s="236"/>
      <c r="Y6278" s="236"/>
    </row>
    <row r="6279" spans="1:25" ht="15" customHeight="1">
      <c r="A6279" s="91"/>
      <c r="B6279" s="91"/>
      <c r="C6279" s="220"/>
      <c r="D6279" s="91"/>
      <c r="E6279" s="221"/>
      <c r="F6279" s="91"/>
      <c r="G6279" s="91"/>
      <c r="H6279" s="242"/>
      <c r="I6279" s="223"/>
      <c r="J6279" s="57"/>
      <c r="K6279" s="153"/>
      <c r="L6279" s="153"/>
      <c r="M6279" s="243"/>
      <c r="N6279" s="234"/>
      <c r="O6279" s="235"/>
      <c r="P6279" s="236"/>
      <c r="Q6279" s="236"/>
      <c r="R6279" s="236"/>
      <c r="S6279" s="236"/>
      <c r="T6279" s="236"/>
      <c r="U6279" s="236"/>
      <c r="V6279" s="236"/>
      <c r="W6279" s="236"/>
      <c r="X6279" s="236"/>
      <c r="Y6279" s="236"/>
    </row>
    <row r="6280" spans="1:25" ht="15" customHeight="1">
      <c r="A6280" s="91"/>
      <c r="B6280" s="91"/>
      <c r="C6280" s="220"/>
      <c r="D6280" s="91"/>
      <c r="E6280" s="221"/>
      <c r="F6280" s="91"/>
      <c r="G6280" s="91"/>
      <c r="H6280" s="242"/>
      <c r="I6280" s="223"/>
      <c r="J6280" s="57"/>
      <c r="K6280" s="153"/>
      <c r="L6280" s="153"/>
      <c r="M6280" s="243"/>
      <c r="N6280" s="234"/>
      <c r="O6280" s="235"/>
      <c r="P6280" s="236"/>
      <c r="Q6280" s="236"/>
      <c r="R6280" s="236"/>
      <c r="S6280" s="236"/>
      <c r="T6280" s="236"/>
      <c r="U6280" s="236"/>
      <c r="V6280" s="236"/>
      <c r="W6280" s="236"/>
      <c r="X6280" s="236"/>
      <c r="Y6280" s="236"/>
    </row>
    <row r="6281" spans="1:25" ht="15" customHeight="1">
      <c r="A6281" s="91"/>
      <c r="B6281" s="91"/>
      <c r="C6281" s="220"/>
      <c r="D6281" s="91"/>
      <c r="E6281" s="221"/>
      <c r="F6281" s="91"/>
      <c r="G6281" s="91"/>
      <c r="H6281" s="242"/>
      <c r="I6281" s="223"/>
      <c r="J6281" s="57"/>
      <c r="K6281" s="153"/>
      <c r="L6281" s="153"/>
      <c r="M6281" s="243"/>
      <c r="N6281" s="234"/>
      <c r="O6281" s="235"/>
      <c r="P6281" s="236"/>
      <c r="Q6281" s="236"/>
      <c r="R6281" s="236"/>
      <c r="S6281" s="236"/>
      <c r="T6281" s="236"/>
      <c r="U6281" s="236"/>
      <c r="V6281" s="236"/>
      <c r="W6281" s="236"/>
      <c r="X6281" s="236"/>
      <c r="Y6281" s="236"/>
    </row>
    <row r="6282" spans="1:25" ht="15" customHeight="1">
      <c r="A6282" s="91"/>
      <c r="B6282" s="91"/>
      <c r="C6282" s="220"/>
      <c r="D6282" s="91"/>
      <c r="E6282" s="221"/>
      <c r="F6282" s="91"/>
      <c r="G6282" s="91"/>
      <c r="H6282" s="242"/>
      <c r="I6282" s="223"/>
      <c r="J6282" s="57"/>
      <c r="K6282" s="153"/>
      <c r="L6282" s="153"/>
      <c r="M6282" s="243"/>
      <c r="N6282" s="234"/>
      <c r="O6282" s="235"/>
      <c r="P6282" s="236"/>
      <c r="Q6282" s="236"/>
      <c r="R6282" s="236"/>
      <c r="S6282" s="236"/>
      <c r="T6282" s="236"/>
      <c r="U6282" s="236"/>
      <c r="V6282" s="236"/>
      <c r="W6282" s="236"/>
      <c r="X6282" s="236"/>
      <c r="Y6282" s="236"/>
    </row>
    <row r="6283" spans="1:25" ht="15" customHeight="1">
      <c r="A6283" s="91"/>
      <c r="B6283" s="91"/>
      <c r="C6283" s="220"/>
      <c r="D6283" s="91"/>
      <c r="E6283" s="221"/>
      <c r="F6283" s="91"/>
      <c r="G6283" s="91"/>
      <c r="H6283" s="242"/>
      <c r="I6283" s="223"/>
      <c r="J6283" s="57"/>
      <c r="K6283" s="153"/>
      <c r="L6283" s="153"/>
      <c r="M6283" s="243"/>
      <c r="N6283" s="234"/>
      <c r="O6283" s="235"/>
      <c r="P6283" s="236"/>
      <c r="Q6283" s="236"/>
      <c r="R6283" s="236"/>
      <c r="S6283" s="236"/>
      <c r="T6283" s="236"/>
      <c r="U6283" s="236"/>
      <c r="V6283" s="236"/>
      <c r="W6283" s="236"/>
      <c r="X6283" s="236"/>
      <c r="Y6283" s="236"/>
    </row>
    <row r="6284" spans="1:25" ht="15" customHeight="1">
      <c r="A6284" s="91"/>
      <c r="B6284" s="91"/>
      <c r="C6284" s="220"/>
      <c r="D6284" s="91"/>
      <c r="E6284" s="221"/>
      <c r="F6284" s="91"/>
      <c r="G6284" s="91"/>
      <c r="H6284" s="242"/>
      <c r="I6284" s="223"/>
      <c r="J6284" s="57"/>
      <c r="K6284" s="153"/>
      <c r="L6284" s="153"/>
      <c r="M6284" s="243"/>
      <c r="N6284" s="234"/>
      <c r="O6284" s="235"/>
      <c r="P6284" s="236"/>
      <c r="Q6284" s="236"/>
      <c r="R6284" s="236"/>
      <c r="S6284" s="236"/>
      <c r="T6284" s="236"/>
      <c r="U6284" s="236"/>
      <c r="V6284" s="236"/>
      <c r="W6284" s="236"/>
      <c r="X6284" s="236"/>
      <c r="Y6284" s="236"/>
    </row>
    <row r="6285" spans="1:25" ht="15" customHeight="1">
      <c r="A6285" s="91"/>
      <c r="B6285" s="91"/>
      <c r="C6285" s="220"/>
      <c r="D6285" s="91"/>
      <c r="E6285" s="221"/>
      <c r="F6285" s="91"/>
      <c r="G6285" s="91"/>
      <c r="H6285" s="242"/>
      <c r="I6285" s="223"/>
      <c r="J6285" s="57"/>
      <c r="K6285" s="153"/>
      <c r="L6285" s="153"/>
      <c r="M6285" s="243"/>
      <c r="N6285" s="234"/>
      <c r="O6285" s="235"/>
      <c r="P6285" s="236"/>
      <c r="Q6285" s="236"/>
      <c r="R6285" s="236"/>
      <c r="S6285" s="236"/>
      <c r="T6285" s="236"/>
      <c r="U6285" s="236"/>
      <c r="V6285" s="236"/>
      <c r="W6285" s="236"/>
      <c r="X6285" s="236"/>
      <c r="Y6285" s="236"/>
    </row>
    <row r="6286" spans="1:25" ht="15" customHeight="1">
      <c r="A6286" s="91"/>
      <c r="B6286" s="91"/>
      <c r="C6286" s="220"/>
      <c r="D6286" s="91"/>
      <c r="E6286" s="221"/>
      <c r="F6286" s="91"/>
      <c r="G6286" s="91"/>
      <c r="H6286" s="242"/>
      <c r="I6286" s="223"/>
      <c r="J6286" s="57"/>
      <c r="K6286" s="153"/>
      <c r="L6286" s="153"/>
      <c r="M6286" s="243"/>
      <c r="N6286" s="234"/>
      <c r="O6286" s="235"/>
      <c r="P6286" s="236"/>
      <c r="Q6286" s="236"/>
      <c r="R6286" s="236"/>
      <c r="S6286" s="236"/>
      <c r="T6286" s="236"/>
      <c r="U6286" s="236"/>
      <c r="V6286" s="236"/>
      <c r="W6286" s="236"/>
      <c r="X6286" s="236"/>
      <c r="Y6286" s="236"/>
    </row>
    <row r="6287" spans="1:25" ht="15" customHeight="1">
      <c r="A6287" s="91"/>
      <c r="B6287" s="91"/>
      <c r="C6287" s="220"/>
      <c r="D6287" s="91"/>
      <c r="E6287" s="221"/>
      <c r="F6287" s="91"/>
      <c r="G6287" s="91"/>
      <c r="H6287" s="242"/>
      <c r="I6287" s="223"/>
      <c r="J6287" s="57"/>
      <c r="K6287" s="153"/>
      <c r="L6287" s="153"/>
      <c r="M6287" s="243"/>
      <c r="N6287" s="234"/>
      <c r="O6287" s="235"/>
      <c r="P6287" s="236"/>
      <c r="Q6287" s="236"/>
      <c r="R6287" s="236"/>
      <c r="S6287" s="236"/>
      <c r="T6287" s="236"/>
      <c r="U6287" s="236"/>
      <c r="V6287" s="236"/>
      <c r="W6287" s="236"/>
      <c r="X6287" s="236"/>
      <c r="Y6287" s="236"/>
    </row>
    <row r="6288" spans="1:25" ht="15" customHeight="1">
      <c r="A6288" s="91"/>
      <c r="B6288" s="91"/>
      <c r="C6288" s="220"/>
      <c r="D6288" s="91"/>
      <c r="E6288" s="221"/>
      <c r="F6288" s="91"/>
      <c r="G6288" s="91"/>
      <c r="H6288" s="242"/>
      <c r="I6288" s="223"/>
      <c r="J6288" s="57"/>
      <c r="K6288" s="153"/>
      <c r="L6288" s="153"/>
      <c r="M6288" s="243"/>
      <c r="N6288" s="234"/>
      <c r="O6288" s="235"/>
      <c r="P6288" s="236"/>
      <c r="Q6288" s="236"/>
      <c r="R6288" s="236"/>
      <c r="S6288" s="236"/>
      <c r="T6288" s="236"/>
      <c r="U6288" s="236"/>
      <c r="V6288" s="236"/>
      <c r="W6288" s="236"/>
      <c r="X6288" s="236"/>
      <c r="Y6288" s="236"/>
    </row>
    <row r="6289" spans="1:25" ht="15" customHeight="1">
      <c r="A6289" s="91"/>
      <c r="B6289" s="91"/>
      <c r="C6289" s="220"/>
      <c r="D6289" s="91"/>
      <c r="E6289" s="221"/>
      <c r="F6289" s="91"/>
      <c r="G6289" s="91"/>
      <c r="H6289" s="242"/>
      <c r="I6289" s="223"/>
      <c r="J6289" s="57"/>
      <c r="K6289" s="153"/>
      <c r="L6289" s="153"/>
      <c r="M6289" s="243"/>
      <c r="N6289" s="234"/>
      <c r="O6289" s="235"/>
      <c r="P6289" s="236"/>
      <c r="Q6289" s="236"/>
      <c r="R6289" s="236"/>
      <c r="S6289" s="236"/>
      <c r="T6289" s="236"/>
      <c r="U6289" s="236"/>
      <c r="V6289" s="236"/>
      <c r="W6289" s="236"/>
      <c r="X6289" s="236"/>
      <c r="Y6289" s="236"/>
    </row>
    <row r="6290" spans="1:25" ht="15" customHeight="1">
      <c r="A6290" s="91"/>
      <c r="B6290" s="91"/>
      <c r="C6290" s="220"/>
      <c r="D6290" s="91"/>
      <c r="E6290" s="221"/>
      <c r="F6290" s="91"/>
      <c r="G6290" s="91"/>
      <c r="H6290" s="242"/>
      <c r="I6290" s="223"/>
      <c r="J6290" s="57"/>
      <c r="K6290" s="153"/>
      <c r="L6290" s="153"/>
      <c r="M6290" s="243"/>
      <c r="N6290" s="234"/>
      <c r="O6290" s="235"/>
      <c r="P6290" s="236"/>
      <c r="Q6290" s="236"/>
      <c r="R6290" s="236"/>
      <c r="S6290" s="236"/>
      <c r="T6290" s="236"/>
      <c r="U6290" s="236"/>
      <c r="V6290" s="236"/>
      <c r="W6290" s="236"/>
      <c r="X6290" s="236"/>
      <c r="Y6290" s="236"/>
    </row>
    <row r="6291" spans="1:25" ht="15" customHeight="1">
      <c r="A6291" s="91"/>
      <c r="B6291" s="91"/>
      <c r="C6291" s="220"/>
      <c r="D6291" s="91"/>
      <c r="E6291" s="221"/>
      <c r="F6291" s="91"/>
      <c r="G6291" s="91"/>
      <c r="H6291" s="242"/>
      <c r="I6291" s="223"/>
      <c r="J6291" s="57"/>
      <c r="K6291" s="153"/>
      <c r="L6291" s="153"/>
      <c r="M6291" s="243"/>
      <c r="N6291" s="234"/>
      <c r="O6291" s="235"/>
      <c r="P6291" s="236"/>
      <c r="Q6291" s="236"/>
      <c r="R6291" s="236"/>
      <c r="S6291" s="236"/>
      <c r="T6291" s="236"/>
      <c r="U6291" s="236"/>
      <c r="V6291" s="236"/>
      <c r="W6291" s="236"/>
      <c r="X6291" s="236"/>
      <c r="Y6291" s="236"/>
    </row>
    <row r="6292" spans="1:25" ht="15" customHeight="1">
      <c r="A6292" s="91"/>
      <c r="B6292" s="91"/>
      <c r="C6292" s="220"/>
      <c r="D6292" s="91"/>
      <c r="E6292" s="221"/>
      <c r="F6292" s="91"/>
      <c r="G6292" s="91"/>
      <c r="H6292" s="242"/>
      <c r="I6292" s="223"/>
      <c r="J6292" s="57"/>
      <c r="K6292" s="153"/>
      <c r="L6292" s="153"/>
      <c r="M6292" s="243"/>
      <c r="N6292" s="234"/>
      <c r="O6292" s="235"/>
      <c r="P6292" s="236"/>
      <c r="Q6292" s="236"/>
      <c r="R6292" s="236"/>
      <c r="S6292" s="236"/>
      <c r="T6292" s="236"/>
      <c r="U6292" s="236"/>
      <c r="V6292" s="236"/>
      <c r="W6292" s="236"/>
      <c r="X6292" s="236"/>
      <c r="Y6292" s="236"/>
    </row>
    <row r="6293" spans="1:25" ht="15" customHeight="1">
      <c r="A6293" s="91"/>
      <c r="B6293" s="91"/>
      <c r="C6293" s="220"/>
      <c r="D6293" s="91"/>
      <c r="E6293" s="221"/>
      <c r="F6293" s="91"/>
      <c r="G6293" s="91"/>
      <c r="H6293" s="242"/>
      <c r="I6293" s="223"/>
      <c r="J6293" s="57"/>
      <c r="K6293" s="153"/>
      <c r="L6293" s="153"/>
      <c r="M6293" s="243"/>
      <c r="N6293" s="234"/>
      <c r="O6293" s="235"/>
      <c r="P6293" s="236"/>
      <c r="Q6293" s="236"/>
      <c r="R6293" s="236"/>
      <c r="S6293" s="236"/>
      <c r="T6293" s="236"/>
      <c r="U6293" s="236"/>
      <c r="V6293" s="236"/>
      <c r="W6293" s="236"/>
      <c r="X6293" s="236"/>
      <c r="Y6293" s="236"/>
    </row>
    <row r="6294" spans="1:25" ht="15" customHeight="1">
      <c r="A6294" s="91"/>
      <c r="B6294" s="91"/>
      <c r="C6294" s="220"/>
      <c r="D6294" s="91"/>
      <c r="E6294" s="221"/>
      <c r="F6294" s="91"/>
      <c r="G6294" s="91"/>
      <c r="H6294" s="242"/>
      <c r="I6294" s="223"/>
      <c r="J6294" s="57"/>
      <c r="K6294" s="153"/>
      <c r="L6294" s="153"/>
      <c r="M6294" s="243"/>
      <c r="N6294" s="234"/>
      <c r="O6294" s="235"/>
      <c r="P6294" s="236"/>
      <c r="Q6294" s="236"/>
      <c r="R6294" s="236"/>
      <c r="S6294" s="236"/>
      <c r="T6294" s="236"/>
      <c r="U6294" s="236"/>
      <c r="V6294" s="236"/>
      <c r="W6294" s="236"/>
      <c r="X6294" s="236"/>
      <c r="Y6294" s="236"/>
    </row>
    <row r="6295" spans="1:25" ht="15" customHeight="1">
      <c r="A6295" s="91"/>
      <c r="B6295" s="91"/>
      <c r="C6295" s="220"/>
      <c r="D6295" s="91"/>
      <c r="E6295" s="221"/>
      <c r="F6295" s="91"/>
      <c r="G6295" s="91"/>
      <c r="H6295" s="242"/>
      <c r="I6295" s="223"/>
      <c r="J6295" s="57"/>
      <c r="K6295" s="153"/>
      <c r="L6295" s="153"/>
      <c r="M6295" s="243"/>
      <c r="N6295" s="234"/>
      <c r="O6295" s="235"/>
      <c r="P6295" s="236"/>
      <c r="Q6295" s="236"/>
      <c r="R6295" s="236"/>
      <c r="S6295" s="236"/>
      <c r="T6295" s="236"/>
      <c r="U6295" s="236"/>
      <c r="V6295" s="236"/>
      <c r="W6295" s="236"/>
      <c r="X6295" s="236"/>
      <c r="Y6295" s="236"/>
    </row>
    <row r="6296" spans="1:25" ht="15" customHeight="1">
      <c r="A6296" s="91"/>
      <c r="B6296" s="91"/>
      <c r="C6296" s="220"/>
      <c r="D6296" s="91"/>
      <c r="E6296" s="221"/>
      <c r="F6296" s="91"/>
      <c r="G6296" s="91"/>
      <c r="H6296" s="242"/>
      <c r="I6296" s="223"/>
      <c r="J6296" s="57"/>
      <c r="K6296" s="153"/>
      <c r="L6296" s="153"/>
      <c r="M6296" s="243"/>
      <c r="N6296" s="234"/>
      <c r="O6296" s="235"/>
      <c r="P6296" s="236"/>
      <c r="Q6296" s="236"/>
      <c r="R6296" s="236"/>
      <c r="S6296" s="236"/>
      <c r="T6296" s="236"/>
      <c r="U6296" s="236"/>
      <c r="V6296" s="236"/>
      <c r="W6296" s="236"/>
      <c r="X6296" s="236"/>
      <c r="Y6296" s="236"/>
    </row>
    <row r="6297" spans="1:25" ht="15" customHeight="1">
      <c r="A6297" s="91"/>
      <c r="B6297" s="91"/>
      <c r="C6297" s="220"/>
      <c r="D6297" s="91"/>
      <c r="E6297" s="221"/>
      <c r="F6297" s="91"/>
      <c r="G6297" s="91"/>
      <c r="H6297" s="242"/>
      <c r="I6297" s="223"/>
      <c r="J6297" s="57"/>
      <c r="K6297" s="153"/>
      <c r="L6297" s="153"/>
      <c r="M6297" s="243"/>
      <c r="N6297" s="234"/>
      <c r="O6297" s="235"/>
      <c r="P6297" s="236"/>
      <c r="Q6297" s="236"/>
      <c r="R6297" s="236"/>
      <c r="S6297" s="236"/>
      <c r="T6297" s="236"/>
      <c r="U6297" s="236"/>
      <c r="V6297" s="236"/>
      <c r="W6297" s="236"/>
      <c r="X6297" s="236"/>
      <c r="Y6297" s="236"/>
    </row>
    <row r="6298" spans="1:25" ht="15" customHeight="1">
      <c r="A6298" s="91"/>
      <c r="B6298" s="91"/>
      <c r="C6298" s="220"/>
      <c r="D6298" s="91"/>
      <c r="E6298" s="221"/>
      <c r="F6298" s="91"/>
      <c r="G6298" s="91"/>
      <c r="H6298" s="242"/>
      <c r="I6298" s="223"/>
      <c r="J6298" s="57"/>
      <c r="K6298" s="153"/>
      <c r="L6298" s="153"/>
      <c r="M6298" s="243"/>
      <c r="N6298" s="234"/>
      <c r="O6298" s="235"/>
      <c r="P6298" s="236"/>
      <c r="Q6298" s="236"/>
      <c r="R6298" s="236"/>
      <c r="S6298" s="236"/>
      <c r="T6298" s="236"/>
      <c r="U6298" s="236"/>
      <c r="V6298" s="236"/>
      <c r="W6298" s="236"/>
      <c r="X6298" s="236"/>
      <c r="Y6298" s="236"/>
    </row>
    <row r="6299" spans="1:25" ht="15" customHeight="1">
      <c r="A6299" s="91"/>
      <c r="B6299" s="91"/>
      <c r="C6299" s="220"/>
      <c r="D6299" s="91"/>
      <c r="E6299" s="221"/>
      <c r="F6299" s="91"/>
      <c r="G6299" s="91"/>
      <c r="H6299" s="242"/>
      <c r="I6299" s="223"/>
      <c r="J6299" s="57"/>
      <c r="K6299" s="153"/>
      <c r="L6299" s="153"/>
      <c r="M6299" s="243"/>
      <c r="N6299" s="234"/>
      <c r="O6299" s="235"/>
      <c r="P6299" s="236"/>
      <c r="Q6299" s="236"/>
      <c r="R6299" s="236"/>
      <c r="S6299" s="236"/>
      <c r="T6299" s="236"/>
      <c r="U6299" s="236"/>
      <c r="V6299" s="236"/>
      <c r="W6299" s="236"/>
      <c r="X6299" s="236"/>
      <c r="Y6299" s="236"/>
    </row>
    <row r="6300" spans="1:25" ht="15" customHeight="1">
      <c r="A6300" s="91"/>
      <c r="B6300" s="91"/>
      <c r="C6300" s="220"/>
      <c r="D6300" s="91"/>
      <c r="E6300" s="221"/>
      <c r="F6300" s="91"/>
      <c r="G6300" s="91"/>
      <c r="H6300" s="242"/>
      <c r="I6300" s="223"/>
      <c r="J6300" s="57"/>
      <c r="K6300" s="153"/>
      <c r="L6300" s="153"/>
      <c r="M6300" s="243"/>
      <c r="N6300" s="234"/>
      <c r="O6300" s="235"/>
      <c r="P6300" s="236"/>
      <c r="Q6300" s="236"/>
      <c r="R6300" s="236"/>
      <c r="S6300" s="236"/>
      <c r="T6300" s="236"/>
      <c r="U6300" s="236"/>
      <c r="V6300" s="236"/>
      <c r="W6300" s="236"/>
      <c r="X6300" s="236"/>
      <c r="Y6300" s="236"/>
    </row>
    <row r="6301" spans="1:25" ht="15" customHeight="1">
      <c r="A6301" s="91"/>
      <c r="B6301" s="91"/>
      <c r="C6301" s="220"/>
      <c r="D6301" s="91"/>
      <c r="E6301" s="221"/>
      <c r="F6301" s="91"/>
      <c r="G6301" s="91"/>
      <c r="H6301" s="242"/>
      <c r="I6301" s="223"/>
      <c r="J6301" s="57"/>
      <c r="K6301" s="153"/>
      <c r="L6301" s="153"/>
      <c r="M6301" s="243"/>
      <c r="N6301" s="234"/>
      <c r="O6301" s="235"/>
      <c r="P6301" s="236"/>
      <c r="Q6301" s="236"/>
      <c r="R6301" s="236"/>
      <c r="S6301" s="236"/>
      <c r="T6301" s="236"/>
      <c r="U6301" s="236"/>
      <c r="V6301" s="236"/>
      <c r="W6301" s="236"/>
      <c r="X6301" s="236"/>
      <c r="Y6301" s="236"/>
    </row>
    <row r="6302" spans="1:25" ht="15" customHeight="1">
      <c r="A6302" s="91"/>
      <c r="B6302" s="91"/>
      <c r="C6302" s="220"/>
      <c r="D6302" s="91"/>
      <c r="E6302" s="221"/>
      <c r="F6302" s="91"/>
      <c r="G6302" s="91"/>
      <c r="H6302" s="242"/>
      <c r="I6302" s="223"/>
      <c r="J6302" s="57"/>
      <c r="K6302" s="153"/>
      <c r="L6302" s="153"/>
      <c r="M6302" s="243"/>
      <c r="N6302" s="234"/>
      <c r="O6302" s="235"/>
      <c r="P6302" s="236"/>
      <c r="Q6302" s="236"/>
      <c r="R6302" s="236"/>
      <c r="S6302" s="236"/>
      <c r="T6302" s="236"/>
      <c r="U6302" s="236"/>
      <c r="V6302" s="236"/>
      <c r="W6302" s="236"/>
      <c r="X6302" s="236"/>
      <c r="Y6302" s="236"/>
    </row>
    <row r="6303" spans="1:25" ht="15" customHeight="1">
      <c r="A6303" s="91"/>
      <c r="B6303" s="91"/>
      <c r="C6303" s="220"/>
      <c r="D6303" s="91"/>
      <c r="E6303" s="221"/>
      <c r="F6303" s="91"/>
      <c r="G6303" s="91"/>
      <c r="H6303" s="242"/>
      <c r="I6303" s="223"/>
      <c r="J6303" s="57"/>
      <c r="K6303" s="153"/>
      <c r="L6303" s="153"/>
      <c r="M6303" s="243"/>
      <c r="N6303" s="234"/>
      <c r="O6303" s="235"/>
      <c r="P6303" s="236"/>
      <c r="Q6303" s="236"/>
      <c r="R6303" s="236"/>
      <c r="S6303" s="236"/>
      <c r="T6303" s="236"/>
      <c r="U6303" s="236"/>
      <c r="V6303" s="236"/>
      <c r="W6303" s="236"/>
      <c r="X6303" s="236"/>
      <c r="Y6303" s="236"/>
    </row>
    <row r="6304" spans="1:25" ht="15" customHeight="1">
      <c r="A6304" s="91"/>
      <c r="B6304" s="91"/>
      <c r="C6304" s="220"/>
      <c r="D6304" s="91"/>
      <c r="E6304" s="221"/>
      <c r="F6304" s="91"/>
      <c r="G6304" s="91"/>
      <c r="H6304" s="242"/>
      <c r="I6304" s="223"/>
      <c r="J6304" s="57"/>
      <c r="K6304" s="153"/>
      <c r="L6304" s="153"/>
      <c r="M6304" s="243"/>
      <c r="N6304" s="234"/>
      <c r="O6304" s="235"/>
      <c r="P6304" s="236"/>
      <c r="Q6304" s="236"/>
      <c r="R6304" s="236"/>
      <c r="S6304" s="236"/>
      <c r="T6304" s="236"/>
      <c r="U6304" s="236"/>
      <c r="V6304" s="236"/>
      <c r="W6304" s="236"/>
      <c r="X6304" s="236"/>
      <c r="Y6304" s="236"/>
    </row>
    <row r="6305" spans="1:25" ht="15" customHeight="1">
      <c r="A6305" s="91"/>
      <c r="B6305" s="91"/>
      <c r="C6305" s="220"/>
      <c r="D6305" s="91"/>
      <c r="E6305" s="221"/>
      <c r="F6305" s="91"/>
      <c r="G6305" s="91"/>
      <c r="H6305" s="242"/>
      <c r="I6305" s="223"/>
      <c r="J6305" s="57"/>
      <c r="K6305" s="153"/>
      <c r="L6305" s="153"/>
      <c r="M6305" s="243"/>
      <c r="N6305" s="234"/>
      <c r="O6305" s="235"/>
      <c r="P6305" s="236"/>
      <c r="Q6305" s="236"/>
      <c r="R6305" s="236"/>
      <c r="S6305" s="236"/>
      <c r="T6305" s="236"/>
      <c r="U6305" s="236"/>
      <c r="V6305" s="236"/>
      <c r="W6305" s="236"/>
      <c r="X6305" s="236"/>
      <c r="Y6305" s="236"/>
    </row>
    <row r="6306" spans="1:25" ht="15" customHeight="1">
      <c r="A6306" s="91"/>
      <c r="B6306" s="91"/>
      <c r="C6306" s="220"/>
      <c r="D6306" s="91"/>
      <c r="E6306" s="221"/>
      <c r="F6306" s="91"/>
      <c r="G6306" s="91"/>
      <c r="H6306" s="242"/>
      <c r="I6306" s="223"/>
      <c r="J6306" s="57"/>
      <c r="K6306" s="153"/>
      <c r="L6306" s="153"/>
      <c r="M6306" s="243"/>
      <c r="N6306" s="234"/>
      <c r="O6306" s="235"/>
      <c r="P6306" s="236"/>
      <c r="Q6306" s="236"/>
      <c r="R6306" s="236"/>
      <c r="S6306" s="236"/>
      <c r="T6306" s="236"/>
      <c r="U6306" s="236"/>
      <c r="V6306" s="236"/>
      <c r="W6306" s="236"/>
      <c r="X6306" s="236"/>
      <c r="Y6306" s="236"/>
    </row>
    <row r="6307" spans="1:25" ht="15" customHeight="1">
      <c r="A6307" s="91"/>
      <c r="B6307" s="91"/>
      <c r="C6307" s="220"/>
      <c r="D6307" s="91"/>
      <c r="E6307" s="221"/>
      <c r="F6307" s="91"/>
      <c r="G6307" s="91"/>
      <c r="H6307" s="242"/>
      <c r="I6307" s="223"/>
      <c r="J6307" s="57"/>
      <c r="K6307" s="153"/>
      <c r="L6307" s="153"/>
      <c r="M6307" s="243"/>
      <c r="N6307" s="234"/>
      <c r="O6307" s="235"/>
      <c r="P6307" s="236"/>
      <c r="Q6307" s="236"/>
      <c r="R6307" s="236"/>
      <c r="S6307" s="236"/>
      <c r="T6307" s="236"/>
      <c r="U6307" s="236"/>
      <c r="V6307" s="236"/>
      <c r="W6307" s="236"/>
      <c r="X6307" s="236"/>
      <c r="Y6307" s="236"/>
    </row>
    <row r="6308" spans="1:25" ht="15" customHeight="1">
      <c r="A6308" s="91"/>
      <c r="B6308" s="91"/>
      <c r="C6308" s="220"/>
      <c r="D6308" s="91"/>
      <c r="E6308" s="221"/>
      <c r="F6308" s="91"/>
      <c r="G6308" s="91"/>
      <c r="H6308" s="242"/>
      <c r="I6308" s="223"/>
      <c r="J6308" s="57"/>
      <c r="K6308" s="153"/>
      <c r="L6308" s="153"/>
      <c r="M6308" s="243"/>
      <c r="N6308" s="234"/>
      <c r="O6308" s="235"/>
      <c r="P6308" s="236"/>
      <c r="Q6308" s="236"/>
      <c r="R6308" s="236"/>
      <c r="S6308" s="236"/>
      <c r="T6308" s="236"/>
      <c r="U6308" s="236"/>
      <c r="V6308" s="236"/>
      <c r="W6308" s="236"/>
      <c r="X6308" s="236"/>
      <c r="Y6308" s="236"/>
    </row>
    <row r="6309" spans="1:25" ht="15" customHeight="1">
      <c r="A6309" s="91"/>
      <c r="B6309" s="91"/>
      <c r="C6309" s="220"/>
      <c r="D6309" s="91"/>
      <c r="E6309" s="221"/>
      <c r="F6309" s="91"/>
      <c r="G6309" s="91"/>
      <c r="H6309" s="242"/>
      <c r="I6309" s="223"/>
      <c r="J6309" s="57"/>
      <c r="K6309" s="153"/>
      <c r="L6309" s="153"/>
      <c r="M6309" s="243"/>
      <c r="N6309" s="234"/>
      <c r="O6309" s="235"/>
      <c r="P6309" s="236"/>
      <c r="Q6309" s="236"/>
      <c r="R6309" s="236"/>
      <c r="S6309" s="236"/>
      <c r="T6309" s="236"/>
      <c r="U6309" s="236"/>
      <c r="V6309" s="236"/>
      <c r="W6309" s="236"/>
      <c r="X6309" s="236"/>
      <c r="Y6309" s="236"/>
    </row>
    <row r="6310" spans="1:25" ht="15" customHeight="1">
      <c r="A6310" s="91"/>
      <c r="B6310" s="91"/>
      <c r="C6310" s="220"/>
      <c r="D6310" s="91"/>
      <c r="E6310" s="221"/>
      <c r="F6310" s="91"/>
      <c r="G6310" s="91"/>
      <c r="H6310" s="242"/>
      <c r="I6310" s="223"/>
      <c r="J6310" s="57"/>
      <c r="K6310" s="153"/>
      <c r="L6310" s="153"/>
      <c r="M6310" s="243"/>
      <c r="N6310" s="234"/>
      <c r="O6310" s="235"/>
      <c r="P6310" s="236"/>
      <c r="Q6310" s="236"/>
      <c r="R6310" s="236"/>
      <c r="S6310" s="236"/>
      <c r="T6310" s="236"/>
      <c r="U6310" s="236"/>
      <c r="V6310" s="236"/>
      <c r="W6310" s="236"/>
      <c r="X6310" s="236"/>
      <c r="Y6310" s="236"/>
    </row>
    <row r="6311" spans="1:25" ht="15" customHeight="1">
      <c r="A6311" s="91"/>
      <c r="B6311" s="91"/>
      <c r="C6311" s="220"/>
      <c r="D6311" s="91"/>
      <c r="E6311" s="221"/>
      <c r="F6311" s="91"/>
      <c r="G6311" s="91"/>
      <c r="H6311" s="242"/>
      <c r="I6311" s="223"/>
      <c r="J6311" s="57"/>
      <c r="K6311" s="153"/>
      <c r="L6311" s="153"/>
      <c r="M6311" s="243"/>
      <c r="N6311" s="234"/>
      <c r="O6311" s="235"/>
      <c r="P6311" s="236"/>
      <c r="Q6311" s="236"/>
      <c r="R6311" s="236"/>
      <c r="S6311" s="236"/>
      <c r="T6311" s="236"/>
      <c r="U6311" s="236"/>
      <c r="V6311" s="236"/>
      <c r="W6311" s="236"/>
      <c r="X6311" s="236"/>
      <c r="Y6311" s="236"/>
    </row>
    <row r="6312" spans="1:25" ht="15" customHeight="1">
      <c r="A6312" s="91"/>
      <c r="B6312" s="91"/>
      <c r="C6312" s="220"/>
      <c r="D6312" s="91"/>
      <c r="E6312" s="221"/>
      <c r="F6312" s="91"/>
      <c r="G6312" s="91"/>
      <c r="H6312" s="242"/>
      <c r="I6312" s="223"/>
      <c r="J6312" s="57"/>
      <c r="K6312" s="153"/>
      <c r="L6312" s="153"/>
      <c r="M6312" s="243"/>
      <c r="N6312" s="234"/>
      <c r="O6312" s="235"/>
      <c r="P6312" s="236"/>
      <c r="Q6312" s="236"/>
      <c r="R6312" s="236"/>
      <c r="S6312" s="236"/>
      <c r="T6312" s="236"/>
      <c r="U6312" s="236"/>
      <c r="V6312" s="236"/>
      <c r="W6312" s="236"/>
      <c r="X6312" s="236"/>
      <c r="Y6312" s="236"/>
    </row>
    <row r="6313" spans="1:25" ht="15" customHeight="1">
      <c r="A6313" s="91"/>
      <c r="B6313" s="91"/>
      <c r="C6313" s="220"/>
      <c r="D6313" s="91"/>
      <c r="E6313" s="221"/>
      <c r="F6313" s="91"/>
      <c r="G6313" s="91"/>
      <c r="H6313" s="242"/>
      <c r="I6313" s="223"/>
      <c r="J6313" s="57"/>
      <c r="K6313" s="153"/>
      <c r="L6313" s="153"/>
      <c r="M6313" s="243"/>
      <c r="N6313" s="234"/>
      <c r="O6313" s="235"/>
      <c r="P6313" s="236"/>
      <c r="Q6313" s="236"/>
      <c r="R6313" s="236"/>
      <c r="S6313" s="236"/>
      <c r="T6313" s="236"/>
      <c r="U6313" s="236"/>
      <c r="V6313" s="236"/>
      <c r="W6313" s="236"/>
      <c r="X6313" s="236"/>
      <c r="Y6313" s="236"/>
    </row>
    <row r="6314" spans="1:25" ht="15" customHeight="1">
      <c r="A6314" s="91"/>
      <c r="B6314" s="91"/>
      <c r="C6314" s="220"/>
      <c r="D6314" s="91"/>
      <c r="E6314" s="221"/>
      <c r="F6314" s="91"/>
      <c r="G6314" s="91"/>
      <c r="H6314" s="242"/>
      <c r="I6314" s="223"/>
      <c r="J6314" s="57"/>
      <c r="K6314" s="153"/>
      <c r="L6314" s="153"/>
      <c r="M6314" s="243"/>
      <c r="N6314" s="234"/>
      <c r="O6314" s="235"/>
      <c r="P6314" s="236"/>
      <c r="Q6314" s="236"/>
      <c r="R6314" s="236"/>
      <c r="S6314" s="236"/>
      <c r="T6314" s="236"/>
      <c r="U6314" s="236"/>
      <c r="V6314" s="236"/>
      <c r="W6314" s="236"/>
      <c r="X6314" s="236"/>
      <c r="Y6314" s="236"/>
    </row>
    <row r="6315" spans="1:25" ht="15" customHeight="1">
      <c r="A6315" s="91"/>
      <c r="B6315" s="91"/>
      <c r="C6315" s="220"/>
      <c r="D6315" s="91"/>
      <c r="E6315" s="221"/>
      <c r="F6315" s="91"/>
      <c r="G6315" s="91"/>
      <c r="H6315" s="242"/>
      <c r="I6315" s="223"/>
      <c r="J6315" s="57"/>
      <c r="K6315" s="153"/>
      <c r="L6315" s="153"/>
      <c r="M6315" s="243"/>
      <c r="N6315" s="234"/>
      <c r="O6315" s="235"/>
      <c r="P6315" s="236"/>
      <c r="Q6315" s="236"/>
      <c r="R6315" s="236"/>
      <c r="S6315" s="236"/>
      <c r="T6315" s="236"/>
      <c r="U6315" s="236"/>
      <c r="V6315" s="236"/>
      <c r="W6315" s="236"/>
      <c r="X6315" s="236"/>
      <c r="Y6315" s="236"/>
    </row>
    <row r="6316" spans="1:25" ht="15" customHeight="1">
      <c r="A6316" s="91"/>
      <c r="B6316" s="91"/>
      <c r="C6316" s="220"/>
      <c r="D6316" s="91"/>
      <c r="E6316" s="221"/>
      <c r="F6316" s="91"/>
      <c r="G6316" s="91"/>
      <c r="H6316" s="242"/>
      <c r="I6316" s="223"/>
      <c r="J6316" s="57"/>
      <c r="K6316" s="153"/>
      <c r="L6316" s="153"/>
      <c r="M6316" s="243"/>
      <c r="N6316" s="234"/>
      <c r="O6316" s="235"/>
      <c r="P6316" s="236"/>
      <c r="Q6316" s="236"/>
      <c r="R6316" s="236"/>
      <c r="S6316" s="236"/>
      <c r="T6316" s="236"/>
      <c r="U6316" s="236"/>
      <c r="V6316" s="236"/>
      <c r="W6316" s="236"/>
      <c r="X6316" s="236"/>
      <c r="Y6316" s="236"/>
    </row>
    <row r="6317" spans="1:25" ht="15" customHeight="1">
      <c r="A6317" s="91"/>
      <c r="B6317" s="91"/>
      <c r="C6317" s="220"/>
      <c r="D6317" s="91"/>
      <c r="E6317" s="221"/>
      <c r="F6317" s="91"/>
      <c r="G6317" s="91"/>
      <c r="H6317" s="242"/>
      <c r="I6317" s="223"/>
      <c r="J6317" s="57"/>
      <c r="K6317" s="153"/>
      <c r="L6317" s="153"/>
      <c r="M6317" s="243"/>
      <c r="N6317" s="234"/>
      <c r="O6317" s="235"/>
      <c r="P6317" s="236"/>
      <c r="Q6317" s="236"/>
      <c r="R6317" s="236"/>
      <c r="S6317" s="236"/>
      <c r="T6317" s="236"/>
      <c r="U6317" s="236"/>
      <c r="V6317" s="236"/>
      <c r="W6317" s="236"/>
      <c r="X6317" s="236"/>
      <c r="Y6317" s="236"/>
    </row>
    <row r="6318" spans="1:25" ht="15" customHeight="1">
      <c r="A6318" s="91"/>
      <c r="B6318" s="91"/>
      <c r="C6318" s="220"/>
      <c r="D6318" s="91"/>
      <c r="E6318" s="221"/>
      <c r="F6318" s="91"/>
      <c r="G6318" s="91"/>
      <c r="H6318" s="242"/>
      <c r="I6318" s="223"/>
      <c r="J6318" s="57"/>
      <c r="K6318" s="153"/>
      <c r="L6318" s="153"/>
      <c r="M6318" s="243"/>
      <c r="N6318" s="234"/>
      <c r="O6318" s="235"/>
      <c r="P6318" s="236"/>
      <c r="Q6318" s="236"/>
      <c r="R6318" s="236"/>
      <c r="S6318" s="236"/>
      <c r="T6318" s="236"/>
      <c r="U6318" s="236"/>
      <c r="V6318" s="236"/>
      <c r="W6318" s="236"/>
      <c r="X6318" s="236"/>
      <c r="Y6318" s="236"/>
    </row>
    <row r="6319" spans="1:25" ht="15" customHeight="1">
      <c r="A6319" s="91"/>
      <c r="B6319" s="91"/>
      <c r="C6319" s="220"/>
      <c r="D6319" s="91"/>
      <c r="E6319" s="221"/>
      <c r="F6319" s="91"/>
      <c r="G6319" s="91"/>
      <c r="H6319" s="242"/>
      <c r="I6319" s="223"/>
      <c r="J6319" s="57"/>
      <c r="K6319" s="153"/>
      <c r="L6319" s="153"/>
      <c r="M6319" s="243"/>
      <c r="N6319" s="234"/>
      <c r="O6319" s="235"/>
      <c r="P6319" s="236"/>
      <c r="Q6319" s="236"/>
      <c r="R6319" s="236"/>
      <c r="S6319" s="236"/>
      <c r="T6319" s="236"/>
      <c r="U6319" s="236"/>
      <c r="V6319" s="236"/>
      <c r="W6319" s="236"/>
      <c r="X6319" s="236"/>
      <c r="Y6319" s="236"/>
    </row>
    <row r="6320" spans="1:25" ht="15" customHeight="1">
      <c r="A6320" s="91"/>
      <c r="B6320" s="91"/>
      <c r="C6320" s="220"/>
      <c r="D6320" s="91"/>
      <c r="E6320" s="221"/>
      <c r="F6320" s="91"/>
      <c r="G6320" s="91"/>
      <c r="H6320" s="242"/>
      <c r="I6320" s="223"/>
      <c r="J6320" s="57"/>
      <c r="K6320" s="153"/>
      <c r="L6320" s="153"/>
      <c r="M6320" s="243"/>
      <c r="N6320" s="234"/>
      <c r="O6320" s="235"/>
      <c r="P6320" s="236"/>
      <c r="Q6320" s="236"/>
      <c r="R6320" s="236"/>
      <c r="S6320" s="236"/>
      <c r="T6320" s="236"/>
      <c r="U6320" s="236"/>
      <c r="V6320" s="236"/>
      <c r="W6320" s="236"/>
      <c r="X6320" s="236"/>
      <c r="Y6320" s="236"/>
    </row>
    <row r="6321" spans="1:25" ht="15" customHeight="1">
      <c r="A6321" s="91"/>
      <c r="B6321" s="91"/>
      <c r="C6321" s="220"/>
      <c r="D6321" s="91"/>
      <c r="E6321" s="221"/>
      <c r="F6321" s="91"/>
      <c r="G6321" s="91"/>
      <c r="H6321" s="242"/>
      <c r="I6321" s="223"/>
      <c r="J6321" s="57"/>
      <c r="K6321" s="153"/>
      <c r="L6321" s="153"/>
      <c r="M6321" s="243"/>
      <c r="N6321" s="234"/>
      <c r="O6321" s="235"/>
      <c r="P6321" s="236"/>
      <c r="Q6321" s="236"/>
      <c r="R6321" s="236"/>
      <c r="S6321" s="236"/>
      <c r="T6321" s="236"/>
      <c r="U6321" s="236"/>
      <c r="V6321" s="236"/>
      <c r="W6321" s="236"/>
      <c r="X6321" s="236"/>
      <c r="Y6321" s="236"/>
    </row>
    <row r="6322" spans="1:25" ht="15" customHeight="1">
      <c r="A6322" s="91"/>
      <c r="B6322" s="91"/>
      <c r="C6322" s="220"/>
      <c r="D6322" s="91"/>
      <c r="E6322" s="221"/>
      <c r="F6322" s="91"/>
      <c r="G6322" s="91"/>
      <c r="H6322" s="242"/>
      <c r="I6322" s="223"/>
      <c r="J6322" s="57"/>
      <c r="K6322" s="153"/>
      <c r="L6322" s="153"/>
      <c r="M6322" s="243"/>
      <c r="N6322" s="234"/>
      <c r="O6322" s="235"/>
      <c r="P6322" s="236"/>
      <c r="Q6322" s="236"/>
      <c r="R6322" s="236"/>
      <c r="S6322" s="236"/>
      <c r="T6322" s="236"/>
      <c r="U6322" s="236"/>
      <c r="V6322" s="236"/>
      <c r="W6322" s="236"/>
      <c r="X6322" s="236"/>
      <c r="Y6322" s="236"/>
    </row>
    <row r="6323" spans="1:25" ht="15" customHeight="1">
      <c r="A6323" s="91"/>
      <c r="B6323" s="91"/>
      <c r="C6323" s="220"/>
      <c r="D6323" s="91"/>
      <c r="E6323" s="221"/>
      <c r="F6323" s="91"/>
      <c r="G6323" s="91"/>
      <c r="H6323" s="242"/>
      <c r="I6323" s="223"/>
      <c r="J6323" s="57"/>
      <c r="K6323" s="153"/>
      <c r="L6323" s="153"/>
      <c r="M6323" s="243"/>
      <c r="N6323" s="234"/>
      <c r="O6323" s="235"/>
      <c r="P6323" s="236"/>
      <c r="Q6323" s="236"/>
      <c r="R6323" s="236"/>
      <c r="S6323" s="236"/>
      <c r="T6323" s="236"/>
      <c r="U6323" s="236"/>
      <c r="V6323" s="236"/>
      <c r="W6323" s="236"/>
      <c r="X6323" s="236"/>
      <c r="Y6323" s="236"/>
    </row>
    <row r="6324" spans="1:25" ht="15" customHeight="1">
      <c r="A6324" s="91"/>
      <c r="B6324" s="91"/>
      <c r="C6324" s="220"/>
      <c r="D6324" s="91"/>
      <c r="E6324" s="221"/>
      <c r="F6324" s="91"/>
      <c r="G6324" s="91"/>
      <c r="H6324" s="242"/>
      <c r="I6324" s="223"/>
      <c r="J6324" s="57"/>
      <c r="K6324" s="153"/>
      <c r="L6324" s="153"/>
      <c r="M6324" s="243"/>
      <c r="N6324" s="234"/>
      <c r="O6324" s="235"/>
      <c r="P6324" s="236"/>
      <c r="Q6324" s="236"/>
      <c r="R6324" s="236"/>
      <c r="S6324" s="236"/>
      <c r="T6324" s="236"/>
      <c r="U6324" s="236"/>
      <c r="V6324" s="236"/>
      <c r="W6324" s="236"/>
      <c r="X6324" s="236"/>
      <c r="Y6324" s="236"/>
    </row>
    <row r="6325" spans="1:25" ht="15" customHeight="1">
      <c r="A6325" s="91"/>
      <c r="B6325" s="91"/>
      <c r="C6325" s="220"/>
      <c r="D6325" s="91"/>
      <c r="E6325" s="221"/>
      <c r="F6325" s="91"/>
      <c r="G6325" s="91"/>
      <c r="H6325" s="242"/>
      <c r="I6325" s="223"/>
      <c r="J6325" s="57"/>
      <c r="K6325" s="153"/>
      <c r="L6325" s="153"/>
      <c r="M6325" s="243"/>
      <c r="N6325" s="234"/>
      <c r="O6325" s="235"/>
      <c r="P6325" s="236"/>
      <c r="Q6325" s="236"/>
      <c r="R6325" s="236"/>
      <c r="S6325" s="236"/>
      <c r="T6325" s="236"/>
      <c r="U6325" s="236"/>
      <c r="V6325" s="236"/>
      <c r="W6325" s="236"/>
      <c r="X6325" s="236"/>
      <c r="Y6325" s="236"/>
    </row>
    <row r="6326" spans="1:25" ht="15" customHeight="1">
      <c r="A6326" s="91"/>
      <c r="B6326" s="91"/>
      <c r="C6326" s="220"/>
      <c r="D6326" s="91"/>
      <c r="E6326" s="221"/>
      <c r="F6326" s="91"/>
      <c r="G6326" s="91"/>
      <c r="H6326" s="242"/>
      <c r="I6326" s="223"/>
      <c r="J6326" s="57"/>
      <c r="K6326" s="153"/>
      <c r="L6326" s="153"/>
      <c r="M6326" s="243"/>
      <c r="N6326" s="234"/>
      <c r="O6326" s="235"/>
      <c r="P6326" s="236"/>
      <c r="Q6326" s="236"/>
      <c r="R6326" s="236"/>
      <c r="S6326" s="236"/>
      <c r="T6326" s="236"/>
      <c r="U6326" s="236"/>
      <c r="V6326" s="236"/>
      <c r="W6326" s="236"/>
      <c r="X6326" s="236"/>
      <c r="Y6326" s="236"/>
    </row>
    <row r="6327" spans="1:25" ht="15" customHeight="1">
      <c r="A6327" s="91"/>
      <c r="B6327" s="91"/>
      <c r="C6327" s="220"/>
      <c r="D6327" s="91"/>
      <c r="E6327" s="221"/>
      <c r="F6327" s="91"/>
      <c r="G6327" s="91"/>
      <c r="H6327" s="242"/>
      <c r="I6327" s="223"/>
      <c r="J6327" s="57"/>
      <c r="K6327" s="153"/>
      <c r="L6327" s="153"/>
      <c r="M6327" s="243"/>
      <c r="N6327" s="234"/>
      <c r="O6327" s="235"/>
      <c r="P6327" s="236"/>
      <c r="Q6327" s="236"/>
      <c r="R6327" s="236"/>
      <c r="S6327" s="236"/>
      <c r="T6327" s="236"/>
      <c r="U6327" s="236"/>
      <c r="V6327" s="236"/>
      <c r="W6327" s="236"/>
      <c r="X6327" s="236"/>
      <c r="Y6327" s="236"/>
    </row>
    <row r="6328" spans="1:25" ht="15" customHeight="1">
      <c r="A6328" s="91"/>
      <c r="B6328" s="91"/>
      <c r="C6328" s="220"/>
      <c r="D6328" s="91"/>
      <c r="E6328" s="221"/>
      <c r="F6328" s="91"/>
      <c r="G6328" s="91"/>
      <c r="H6328" s="242"/>
      <c r="I6328" s="223"/>
      <c r="J6328" s="57"/>
      <c r="K6328" s="153"/>
      <c r="L6328" s="153"/>
      <c r="M6328" s="243"/>
      <c r="N6328" s="234"/>
      <c r="O6328" s="235"/>
      <c r="P6328" s="236"/>
      <c r="Q6328" s="236"/>
      <c r="R6328" s="236"/>
      <c r="S6328" s="236"/>
      <c r="T6328" s="236"/>
      <c r="U6328" s="236"/>
      <c r="V6328" s="236"/>
      <c r="W6328" s="236"/>
      <c r="X6328" s="236"/>
      <c r="Y6328" s="236"/>
    </row>
    <row r="6329" spans="1:25" ht="15" customHeight="1">
      <c r="A6329" s="91"/>
      <c r="B6329" s="91"/>
      <c r="C6329" s="220"/>
      <c r="D6329" s="91"/>
      <c r="E6329" s="221"/>
      <c r="F6329" s="91"/>
      <c r="G6329" s="91"/>
      <c r="H6329" s="242"/>
      <c r="I6329" s="223"/>
      <c r="J6329" s="57"/>
      <c r="K6329" s="153"/>
      <c r="L6329" s="153"/>
      <c r="M6329" s="243"/>
      <c r="N6329" s="234"/>
      <c r="O6329" s="235"/>
      <c r="P6329" s="236"/>
      <c r="Q6329" s="236"/>
      <c r="R6329" s="236"/>
      <c r="S6329" s="236"/>
      <c r="T6329" s="236"/>
      <c r="U6329" s="236"/>
      <c r="V6329" s="236"/>
      <c r="W6329" s="236"/>
      <c r="X6329" s="236"/>
      <c r="Y6329" s="236"/>
    </row>
    <row r="6330" spans="1:25" ht="15" customHeight="1">
      <c r="A6330" s="91"/>
      <c r="B6330" s="91"/>
      <c r="C6330" s="220"/>
      <c r="D6330" s="91"/>
      <c r="E6330" s="221"/>
      <c r="F6330" s="91"/>
      <c r="G6330" s="91"/>
      <c r="H6330" s="242"/>
      <c r="I6330" s="223"/>
      <c r="J6330" s="57"/>
      <c r="K6330" s="153"/>
      <c r="L6330" s="153"/>
      <c r="M6330" s="243"/>
      <c r="N6330" s="234"/>
      <c r="O6330" s="235"/>
      <c r="P6330" s="236"/>
      <c r="Q6330" s="236"/>
      <c r="R6330" s="236"/>
      <c r="S6330" s="236"/>
      <c r="T6330" s="236"/>
      <c r="U6330" s="236"/>
      <c r="V6330" s="236"/>
      <c r="W6330" s="236"/>
      <c r="X6330" s="236"/>
      <c r="Y6330" s="236"/>
    </row>
    <row r="6331" spans="1:25" ht="15" customHeight="1">
      <c r="A6331" s="91"/>
      <c r="B6331" s="91"/>
      <c r="C6331" s="220"/>
      <c r="D6331" s="91"/>
      <c r="E6331" s="221"/>
      <c r="F6331" s="91"/>
      <c r="G6331" s="91"/>
      <c r="H6331" s="242"/>
      <c r="I6331" s="223"/>
      <c r="J6331" s="57"/>
      <c r="K6331" s="153"/>
      <c r="L6331" s="153"/>
      <c r="M6331" s="243"/>
      <c r="N6331" s="234"/>
      <c r="O6331" s="235"/>
      <c r="P6331" s="236"/>
      <c r="Q6331" s="236"/>
      <c r="R6331" s="236"/>
      <c r="S6331" s="236"/>
      <c r="T6331" s="236"/>
      <c r="U6331" s="236"/>
      <c r="V6331" s="236"/>
      <c r="W6331" s="236"/>
      <c r="X6331" s="236"/>
      <c r="Y6331" s="236"/>
    </row>
    <row r="6332" spans="1:25" ht="15" customHeight="1">
      <c r="A6332" s="91"/>
      <c r="B6332" s="91"/>
      <c r="C6332" s="220"/>
      <c r="D6332" s="91"/>
      <c r="E6332" s="221"/>
      <c r="F6332" s="91"/>
      <c r="G6332" s="91"/>
      <c r="H6332" s="242"/>
      <c r="I6332" s="223"/>
      <c r="J6332" s="57"/>
      <c r="K6332" s="153"/>
      <c r="L6332" s="153"/>
      <c r="M6332" s="243"/>
      <c r="N6332" s="234"/>
      <c r="O6332" s="235"/>
      <c r="P6332" s="236"/>
      <c r="Q6332" s="236"/>
      <c r="R6332" s="236"/>
      <c r="S6332" s="236"/>
      <c r="T6332" s="236"/>
      <c r="U6332" s="236"/>
      <c r="V6332" s="236"/>
      <c r="W6332" s="236"/>
      <c r="X6332" s="236"/>
      <c r="Y6332" s="236"/>
    </row>
    <row r="6333" spans="1:25" ht="15" customHeight="1">
      <c r="A6333" s="91"/>
      <c r="B6333" s="91"/>
      <c r="C6333" s="220"/>
      <c r="D6333" s="91"/>
      <c r="E6333" s="221"/>
      <c r="F6333" s="91"/>
      <c r="G6333" s="91"/>
      <c r="H6333" s="242"/>
      <c r="I6333" s="223"/>
      <c r="J6333" s="57"/>
      <c r="K6333" s="153"/>
      <c r="L6333" s="153"/>
      <c r="M6333" s="243"/>
      <c r="N6333" s="234"/>
      <c r="O6333" s="235"/>
      <c r="P6333" s="236"/>
      <c r="Q6333" s="236"/>
      <c r="R6333" s="236"/>
      <c r="S6333" s="236"/>
      <c r="T6333" s="236"/>
    </row>
    <row r="6334" spans="1:25" ht="15" customHeight="1">
      <c r="A6334" s="91"/>
      <c r="B6334" s="91"/>
      <c r="C6334" s="220"/>
      <c r="D6334" s="91"/>
      <c r="E6334" s="221"/>
      <c r="F6334" s="91"/>
      <c r="G6334" s="91"/>
      <c r="H6334" s="242"/>
      <c r="I6334" s="223"/>
      <c r="J6334" s="57"/>
      <c r="K6334" s="153"/>
      <c r="L6334" s="153"/>
      <c r="M6334" s="243"/>
      <c r="N6334" s="234"/>
      <c r="O6334" s="235"/>
      <c r="P6334" s="236"/>
      <c r="Q6334" s="236"/>
      <c r="R6334" s="236"/>
      <c r="S6334" s="236"/>
      <c r="T6334" s="236"/>
    </row>
    <row r="6335" spans="1:25" ht="15" customHeight="1">
      <c r="A6335" s="91"/>
      <c r="B6335" s="91"/>
      <c r="C6335" s="220"/>
      <c r="D6335" s="91"/>
      <c r="E6335" s="221"/>
      <c r="F6335" s="91"/>
      <c r="G6335" s="91"/>
      <c r="H6335" s="242"/>
      <c r="I6335" s="223"/>
      <c r="J6335" s="57"/>
      <c r="K6335" s="153"/>
      <c r="L6335" s="153"/>
      <c r="M6335" s="243"/>
      <c r="N6335" s="234"/>
      <c r="O6335" s="235"/>
      <c r="P6335" s="236"/>
      <c r="Q6335" s="236"/>
      <c r="R6335" s="236"/>
      <c r="S6335" s="236"/>
      <c r="T6335" s="236"/>
    </row>
    <row r="6336" spans="1:25" ht="15" customHeight="1">
      <c r="A6336" s="91"/>
      <c r="B6336" s="91"/>
      <c r="C6336" s="220"/>
      <c r="D6336" s="91"/>
      <c r="E6336" s="221"/>
      <c r="F6336" s="91"/>
      <c r="G6336" s="91"/>
      <c r="H6336" s="242"/>
      <c r="I6336" s="223"/>
      <c r="J6336" s="57"/>
      <c r="K6336" s="153"/>
      <c r="L6336" s="153"/>
      <c r="M6336" s="243"/>
      <c r="N6336" s="234"/>
      <c r="O6336" s="235"/>
      <c r="P6336" s="236"/>
      <c r="Q6336" s="236"/>
      <c r="R6336" s="236"/>
      <c r="S6336" s="236"/>
      <c r="T6336" s="236"/>
    </row>
    <row r="6337" spans="1:20" ht="15" customHeight="1">
      <c r="A6337" s="91"/>
      <c r="B6337" s="91"/>
      <c r="C6337" s="220"/>
      <c r="D6337" s="91"/>
      <c r="E6337" s="221"/>
      <c r="F6337" s="91"/>
      <c r="G6337" s="91"/>
      <c r="H6337" s="242"/>
      <c r="I6337" s="223"/>
      <c r="J6337" s="57"/>
      <c r="K6337" s="153"/>
      <c r="L6337" s="153"/>
      <c r="M6337" s="243"/>
      <c r="N6337" s="234"/>
      <c r="O6337" s="235"/>
      <c r="P6337" s="236"/>
      <c r="Q6337" s="236"/>
      <c r="R6337" s="236"/>
      <c r="S6337" s="236"/>
      <c r="T6337" s="236"/>
    </row>
    <row r="6338" spans="1:20" ht="15" customHeight="1">
      <c r="A6338" s="91"/>
      <c r="B6338" s="91"/>
      <c r="C6338" s="220"/>
      <c r="D6338" s="91"/>
      <c r="E6338" s="221"/>
      <c r="F6338" s="91"/>
      <c r="G6338" s="91"/>
      <c r="H6338" s="242"/>
      <c r="I6338" s="223"/>
      <c r="J6338" s="57"/>
      <c r="K6338" s="153"/>
      <c r="L6338" s="153"/>
      <c r="M6338" s="243"/>
      <c r="N6338" s="234"/>
      <c r="O6338" s="235"/>
      <c r="P6338" s="236"/>
      <c r="Q6338" s="236"/>
      <c r="R6338" s="236"/>
      <c r="S6338" s="236"/>
      <c r="T6338" s="236"/>
    </row>
    <row r="6339" spans="1:20" ht="15" customHeight="1">
      <c r="A6339" s="91"/>
      <c r="B6339" s="91"/>
      <c r="C6339" s="220"/>
      <c r="D6339" s="91"/>
      <c r="E6339" s="221"/>
      <c r="F6339" s="91"/>
      <c r="G6339" s="91"/>
      <c r="H6339" s="242"/>
      <c r="I6339" s="223"/>
      <c r="J6339" s="57"/>
      <c r="K6339" s="153"/>
      <c r="L6339" s="153"/>
      <c r="M6339" s="243"/>
      <c r="N6339" s="234"/>
      <c r="O6339" s="235"/>
      <c r="P6339" s="236"/>
      <c r="Q6339" s="236"/>
      <c r="R6339" s="236"/>
      <c r="S6339" s="236"/>
      <c r="T6339" s="236"/>
    </row>
    <row r="6340" spans="1:20" ht="15" customHeight="1">
      <c r="A6340" s="91"/>
      <c r="B6340" s="91"/>
      <c r="C6340" s="220"/>
      <c r="D6340" s="91"/>
      <c r="E6340" s="221"/>
      <c r="F6340" s="91"/>
      <c r="G6340" s="91"/>
      <c r="H6340" s="242"/>
      <c r="I6340" s="223"/>
      <c r="J6340" s="57"/>
      <c r="K6340" s="153"/>
      <c r="L6340" s="153"/>
      <c r="M6340" s="243"/>
      <c r="N6340" s="234"/>
      <c r="O6340" s="235"/>
      <c r="P6340" s="236"/>
      <c r="Q6340" s="236"/>
      <c r="R6340" s="236"/>
      <c r="S6340" s="236"/>
      <c r="T6340" s="236"/>
    </row>
    <row r="6341" spans="1:20" ht="15" customHeight="1">
      <c r="A6341" s="91"/>
      <c r="B6341" s="91"/>
      <c r="C6341" s="220"/>
      <c r="D6341" s="91"/>
      <c r="E6341" s="221"/>
      <c r="F6341" s="91"/>
      <c r="G6341" s="91"/>
      <c r="H6341" s="242"/>
      <c r="I6341" s="223"/>
      <c r="J6341" s="57"/>
      <c r="K6341" s="153"/>
      <c r="L6341" s="153"/>
      <c r="M6341" s="243"/>
      <c r="N6341" s="234"/>
      <c r="O6341" s="235"/>
      <c r="P6341" s="236"/>
      <c r="Q6341" s="236"/>
      <c r="R6341" s="236"/>
      <c r="S6341" s="236"/>
      <c r="T6341" s="236"/>
    </row>
    <row r="6342" spans="1:20" ht="15" customHeight="1">
      <c r="A6342" s="91"/>
      <c r="B6342" s="91"/>
      <c r="C6342" s="220"/>
      <c r="D6342" s="91"/>
      <c r="E6342" s="221"/>
      <c r="F6342" s="91"/>
      <c r="G6342" s="91"/>
      <c r="H6342" s="242"/>
      <c r="I6342" s="223"/>
      <c r="J6342" s="57"/>
      <c r="K6342" s="153"/>
      <c r="L6342" s="153"/>
      <c r="M6342" s="243"/>
      <c r="N6342" s="234"/>
      <c r="O6342" s="235"/>
      <c r="P6342" s="236"/>
      <c r="Q6342" s="236"/>
      <c r="R6342" s="236"/>
      <c r="S6342" s="236"/>
      <c r="T6342" s="236"/>
    </row>
    <row r="6343" spans="1:20" ht="15" customHeight="1">
      <c r="A6343" s="91"/>
      <c r="B6343" s="91"/>
      <c r="C6343" s="220"/>
      <c r="D6343" s="91"/>
      <c r="E6343" s="221"/>
      <c r="F6343" s="91"/>
      <c r="G6343" s="91"/>
      <c r="H6343" s="242"/>
      <c r="I6343" s="223"/>
      <c r="J6343" s="57"/>
      <c r="K6343" s="153"/>
      <c r="L6343" s="153"/>
      <c r="M6343" s="243"/>
      <c r="N6343" s="234"/>
      <c r="O6343" s="235"/>
      <c r="P6343" s="236"/>
      <c r="Q6343" s="236"/>
      <c r="R6343" s="236"/>
      <c r="S6343" s="236"/>
      <c r="T6343" s="236"/>
    </row>
    <row r="6344" spans="1:20" ht="15" customHeight="1">
      <c r="A6344" s="91"/>
      <c r="B6344" s="91"/>
      <c r="C6344" s="220"/>
      <c r="D6344" s="91"/>
      <c r="E6344" s="221"/>
      <c r="F6344" s="91"/>
      <c r="G6344" s="91"/>
      <c r="H6344" s="242"/>
      <c r="I6344" s="223"/>
      <c r="J6344" s="57"/>
      <c r="K6344" s="153"/>
      <c r="L6344" s="153"/>
      <c r="M6344" s="243"/>
      <c r="N6344" s="234"/>
      <c r="O6344" s="235"/>
      <c r="P6344" s="236"/>
      <c r="Q6344" s="236"/>
      <c r="R6344" s="236"/>
      <c r="S6344" s="236"/>
      <c r="T6344" s="236"/>
    </row>
    <row r="6345" spans="1:20" ht="15" customHeight="1">
      <c r="A6345" s="91"/>
      <c r="B6345" s="91"/>
      <c r="C6345" s="220"/>
      <c r="D6345" s="91"/>
      <c r="E6345" s="221"/>
      <c r="F6345" s="91"/>
      <c r="G6345" s="91"/>
      <c r="H6345" s="242"/>
      <c r="I6345" s="223"/>
      <c r="J6345" s="57"/>
      <c r="K6345" s="153"/>
      <c r="L6345" s="153"/>
      <c r="M6345" s="243"/>
      <c r="N6345" s="234"/>
      <c r="O6345" s="235"/>
      <c r="P6345" s="236"/>
      <c r="Q6345" s="236"/>
      <c r="R6345" s="236"/>
      <c r="S6345" s="236"/>
      <c r="T6345" s="236"/>
    </row>
    <row r="6346" spans="1:20" ht="15" customHeight="1">
      <c r="A6346" s="91"/>
      <c r="B6346" s="91"/>
      <c r="C6346" s="220"/>
      <c r="D6346" s="91"/>
      <c r="E6346" s="221"/>
      <c r="F6346" s="91"/>
      <c r="G6346" s="91"/>
      <c r="H6346" s="242"/>
      <c r="I6346" s="223"/>
      <c r="J6346" s="57"/>
      <c r="K6346" s="153"/>
      <c r="L6346" s="153"/>
      <c r="M6346" s="243"/>
      <c r="N6346" s="234"/>
      <c r="O6346" s="235"/>
      <c r="P6346" s="236"/>
      <c r="Q6346" s="236"/>
      <c r="R6346" s="236"/>
      <c r="S6346" s="236"/>
      <c r="T6346" s="236"/>
    </row>
    <row r="6347" spans="1:20" ht="15" customHeight="1">
      <c r="A6347" s="91"/>
      <c r="B6347" s="91"/>
      <c r="C6347" s="220"/>
      <c r="D6347" s="91"/>
      <c r="E6347" s="221"/>
      <c r="F6347" s="91"/>
      <c r="G6347" s="91"/>
      <c r="H6347" s="242"/>
      <c r="I6347" s="223"/>
      <c r="J6347" s="57"/>
      <c r="K6347" s="153"/>
      <c r="L6347" s="153"/>
      <c r="M6347" s="243"/>
      <c r="N6347" s="234"/>
      <c r="O6347" s="235"/>
      <c r="P6347" s="236"/>
      <c r="Q6347" s="236"/>
      <c r="R6347" s="236"/>
      <c r="S6347" s="236"/>
      <c r="T6347" s="236"/>
    </row>
    <row r="6348" spans="1:20" ht="15" customHeight="1">
      <c r="A6348" s="91"/>
      <c r="B6348" s="91"/>
      <c r="C6348" s="220"/>
      <c r="D6348" s="91"/>
      <c r="E6348" s="221"/>
      <c r="F6348" s="91"/>
      <c r="G6348" s="91"/>
      <c r="H6348" s="242"/>
      <c r="I6348" s="223"/>
      <c r="J6348" s="57"/>
      <c r="K6348" s="153"/>
      <c r="L6348" s="153"/>
      <c r="M6348" s="243"/>
      <c r="N6348" s="234"/>
      <c r="O6348" s="235"/>
      <c r="P6348" s="236"/>
      <c r="Q6348" s="236"/>
      <c r="R6348" s="236"/>
      <c r="S6348" s="236"/>
      <c r="T6348" s="236"/>
    </row>
    <row r="6349" spans="1:20" ht="15" customHeight="1">
      <c r="A6349" s="91"/>
      <c r="B6349" s="91"/>
      <c r="C6349" s="220"/>
      <c r="D6349" s="91"/>
      <c r="E6349" s="221"/>
      <c r="F6349" s="91"/>
      <c r="G6349" s="91"/>
      <c r="H6349" s="242"/>
      <c r="I6349" s="223"/>
      <c r="J6349" s="57"/>
      <c r="K6349" s="153"/>
      <c r="L6349" s="153"/>
      <c r="M6349" s="243"/>
      <c r="N6349" s="234"/>
      <c r="O6349" s="235"/>
      <c r="P6349" s="236"/>
      <c r="Q6349" s="236"/>
      <c r="R6349" s="236"/>
      <c r="S6349" s="236"/>
      <c r="T6349" s="236"/>
    </row>
    <row r="6350" spans="1:20" ht="15" customHeight="1">
      <c r="A6350" s="91"/>
      <c r="B6350" s="91"/>
      <c r="C6350" s="220"/>
      <c r="D6350" s="91"/>
      <c r="E6350" s="221"/>
      <c r="F6350" s="91"/>
      <c r="G6350" s="91"/>
      <c r="H6350" s="242"/>
      <c r="I6350" s="223"/>
      <c r="J6350" s="57"/>
      <c r="K6350" s="153"/>
      <c r="L6350" s="153"/>
      <c r="M6350" s="243"/>
      <c r="N6350" s="234"/>
      <c r="O6350" s="235"/>
      <c r="P6350" s="236"/>
      <c r="Q6350" s="236"/>
      <c r="R6350" s="236"/>
      <c r="S6350" s="236"/>
      <c r="T6350" s="236"/>
    </row>
    <row r="6351" spans="1:20" ht="15" customHeight="1">
      <c r="A6351" s="91"/>
      <c r="B6351" s="91"/>
      <c r="C6351" s="220"/>
      <c r="D6351" s="91"/>
      <c r="E6351" s="221"/>
      <c r="F6351" s="91"/>
      <c r="G6351" s="91"/>
      <c r="H6351" s="242"/>
      <c r="I6351" s="223"/>
      <c r="J6351" s="57"/>
      <c r="K6351" s="153"/>
      <c r="L6351" s="153"/>
      <c r="M6351" s="243"/>
      <c r="N6351" s="234"/>
      <c r="O6351" s="235"/>
      <c r="P6351" s="236"/>
      <c r="Q6351" s="236"/>
      <c r="R6351" s="236"/>
      <c r="S6351" s="236"/>
      <c r="T6351" s="236"/>
    </row>
    <row r="6352" spans="1:20" ht="15" customHeight="1">
      <c r="A6352" s="91"/>
      <c r="B6352" s="91"/>
      <c r="C6352" s="220"/>
      <c r="D6352" s="91"/>
      <c r="E6352" s="221"/>
      <c r="F6352" s="91"/>
      <c r="G6352" s="91"/>
      <c r="H6352" s="242"/>
      <c r="I6352" s="223"/>
      <c r="J6352" s="57"/>
      <c r="K6352" s="153"/>
      <c r="L6352" s="153"/>
      <c r="M6352" s="243"/>
      <c r="N6352" s="234"/>
      <c r="O6352" s="235"/>
      <c r="P6352" s="236"/>
      <c r="Q6352" s="236"/>
      <c r="R6352" s="236"/>
      <c r="S6352" s="236"/>
      <c r="T6352" s="236"/>
    </row>
    <row r="6353" spans="1:20" ht="15" customHeight="1">
      <c r="A6353" s="91"/>
      <c r="B6353" s="91"/>
      <c r="C6353" s="220"/>
      <c r="D6353" s="91"/>
      <c r="E6353" s="221"/>
      <c r="F6353" s="91"/>
      <c r="G6353" s="91"/>
      <c r="H6353" s="242"/>
      <c r="I6353" s="223"/>
      <c r="J6353" s="57"/>
      <c r="K6353" s="153"/>
      <c r="L6353" s="153"/>
      <c r="M6353" s="243"/>
      <c r="N6353" s="234"/>
      <c r="O6353" s="235"/>
      <c r="P6353" s="236"/>
      <c r="Q6353" s="236"/>
      <c r="R6353" s="236"/>
      <c r="S6353" s="236"/>
      <c r="T6353" s="236"/>
    </row>
    <row r="6354" spans="1:20" ht="15" customHeight="1">
      <c r="A6354" s="91"/>
      <c r="B6354" s="91"/>
      <c r="C6354" s="220"/>
      <c r="D6354" s="91"/>
      <c r="E6354" s="221"/>
      <c r="F6354" s="91"/>
      <c r="G6354" s="91"/>
      <c r="H6354" s="242"/>
      <c r="I6354" s="223"/>
      <c r="J6354" s="57"/>
      <c r="K6354" s="153"/>
      <c r="L6354" s="153"/>
      <c r="M6354" s="243"/>
      <c r="N6354" s="234"/>
      <c r="O6354" s="235"/>
      <c r="P6354" s="236"/>
      <c r="Q6354" s="236"/>
      <c r="R6354" s="236"/>
      <c r="S6354" s="236"/>
      <c r="T6354" s="236"/>
    </row>
    <row r="6355" spans="1:20" ht="15" customHeight="1">
      <c r="A6355" s="91"/>
      <c r="B6355" s="91"/>
      <c r="C6355" s="220"/>
      <c r="D6355" s="91"/>
      <c r="E6355" s="221"/>
      <c r="F6355" s="91"/>
      <c r="G6355" s="91"/>
      <c r="H6355" s="242"/>
      <c r="I6355" s="223"/>
      <c r="J6355" s="57"/>
      <c r="K6355" s="153"/>
      <c r="L6355" s="153"/>
      <c r="M6355" s="243"/>
      <c r="N6355" s="234"/>
      <c r="O6355" s="235"/>
      <c r="P6355" s="236"/>
      <c r="Q6355" s="236"/>
      <c r="R6355" s="236"/>
      <c r="S6355" s="236"/>
      <c r="T6355" s="236"/>
    </row>
    <row r="6356" spans="1:20" ht="15" customHeight="1">
      <c r="A6356" s="91"/>
      <c r="B6356" s="91"/>
      <c r="C6356" s="220"/>
      <c r="D6356" s="91"/>
      <c r="E6356" s="221"/>
      <c r="F6356" s="91"/>
      <c r="G6356" s="91"/>
      <c r="H6356" s="242"/>
      <c r="I6356" s="223"/>
      <c r="J6356" s="57"/>
      <c r="K6356" s="153"/>
      <c r="L6356" s="153"/>
      <c r="M6356" s="243"/>
      <c r="N6356" s="234"/>
      <c r="O6356" s="235"/>
      <c r="P6356" s="236"/>
      <c r="Q6356" s="236"/>
      <c r="R6356" s="236"/>
      <c r="S6356" s="236"/>
      <c r="T6356" s="236"/>
    </row>
    <row r="6357" spans="1:20" ht="15" customHeight="1">
      <c r="A6357" s="91"/>
      <c r="B6357" s="91"/>
      <c r="C6357" s="220"/>
      <c r="D6357" s="91"/>
      <c r="E6357" s="221"/>
      <c r="F6357" s="91"/>
      <c r="G6357" s="91"/>
      <c r="H6357" s="242"/>
      <c r="I6357" s="223"/>
      <c r="J6357" s="57"/>
      <c r="K6357" s="153"/>
      <c r="L6357" s="153"/>
      <c r="M6357" s="243"/>
      <c r="N6357" s="234"/>
      <c r="O6357" s="235"/>
      <c r="P6357" s="236"/>
      <c r="Q6357" s="236"/>
      <c r="R6357" s="236"/>
      <c r="S6357" s="236"/>
      <c r="T6357" s="236"/>
    </row>
    <row r="6358" spans="1:20" ht="15" customHeight="1">
      <c r="A6358" s="91"/>
      <c r="B6358" s="91"/>
      <c r="C6358" s="220"/>
      <c r="D6358" s="91"/>
      <c r="E6358" s="221"/>
      <c r="F6358" s="91"/>
      <c r="G6358" s="91"/>
      <c r="H6358" s="242"/>
      <c r="I6358" s="223"/>
      <c r="J6358" s="57"/>
      <c r="K6358" s="153"/>
      <c r="L6358" s="153"/>
      <c r="M6358" s="243"/>
      <c r="N6358" s="234"/>
      <c r="O6358" s="235"/>
      <c r="P6358" s="236"/>
      <c r="Q6358" s="236"/>
      <c r="R6358" s="236"/>
      <c r="S6358" s="236"/>
      <c r="T6358" s="236"/>
    </row>
    <row r="6359" spans="1:20" ht="15" customHeight="1">
      <c r="A6359" s="91"/>
      <c r="B6359" s="91"/>
      <c r="C6359" s="220"/>
      <c r="D6359" s="91"/>
      <c r="E6359" s="221"/>
      <c r="F6359" s="91"/>
      <c r="G6359" s="91"/>
      <c r="H6359" s="242"/>
      <c r="I6359" s="223"/>
      <c r="J6359" s="57"/>
      <c r="K6359" s="153"/>
      <c r="L6359" s="153"/>
      <c r="M6359" s="243"/>
      <c r="N6359" s="234"/>
      <c r="O6359" s="235"/>
      <c r="P6359" s="236"/>
      <c r="Q6359" s="236"/>
      <c r="R6359" s="236"/>
      <c r="S6359" s="236"/>
      <c r="T6359" s="236"/>
    </row>
    <row r="6360" spans="1:20" ht="15" customHeight="1">
      <c r="A6360" s="91"/>
      <c r="B6360" s="91"/>
      <c r="C6360" s="220"/>
      <c r="D6360" s="91"/>
      <c r="E6360" s="221"/>
      <c r="F6360" s="91"/>
      <c r="G6360" s="91"/>
      <c r="H6360" s="242"/>
      <c r="I6360" s="223"/>
      <c r="J6360" s="57"/>
      <c r="K6360" s="153"/>
      <c r="L6360" s="153"/>
      <c r="M6360" s="243"/>
      <c r="N6360" s="234"/>
      <c r="O6360" s="235"/>
      <c r="P6360" s="236"/>
      <c r="Q6360" s="236"/>
      <c r="R6360" s="236"/>
      <c r="S6360" s="236"/>
      <c r="T6360" s="236"/>
    </row>
    <row r="6361" spans="1:20" ht="15" customHeight="1">
      <c r="A6361" s="91"/>
      <c r="B6361" s="91"/>
      <c r="C6361" s="220"/>
      <c r="D6361" s="91"/>
      <c r="E6361" s="221"/>
      <c r="F6361" s="91"/>
      <c r="G6361" s="91"/>
      <c r="H6361" s="242"/>
      <c r="I6361" s="223"/>
      <c r="J6361" s="57"/>
      <c r="K6361" s="153"/>
      <c r="L6361" s="153"/>
      <c r="M6361" s="243"/>
      <c r="N6361" s="234"/>
      <c r="O6361" s="235"/>
      <c r="P6361" s="236"/>
      <c r="Q6361" s="236"/>
      <c r="R6361" s="236"/>
      <c r="S6361" s="236"/>
      <c r="T6361" s="236"/>
    </row>
    <row r="6362" spans="1:20" ht="15" customHeight="1">
      <c r="A6362" s="91"/>
      <c r="B6362" s="91"/>
      <c r="C6362" s="220"/>
      <c r="D6362" s="91"/>
      <c r="E6362" s="221"/>
      <c r="F6362" s="91"/>
      <c r="G6362" s="91"/>
      <c r="H6362" s="242"/>
      <c r="I6362" s="223"/>
      <c r="J6362" s="57"/>
      <c r="K6362" s="153"/>
      <c r="L6362" s="153"/>
      <c r="M6362" s="243"/>
      <c r="N6362" s="234"/>
      <c r="O6362" s="235"/>
      <c r="P6362" s="236"/>
      <c r="Q6362" s="236"/>
      <c r="R6362" s="236"/>
      <c r="S6362" s="236"/>
      <c r="T6362" s="236"/>
    </row>
    <row r="6363" spans="1:20" ht="15" customHeight="1">
      <c r="A6363" s="91"/>
      <c r="B6363" s="91"/>
      <c r="C6363" s="220"/>
      <c r="D6363" s="91"/>
      <c r="E6363" s="221"/>
      <c r="F6363" s="91"/>
      <c r="G6363" s="91"/>
      <c r="H6363" s="242"/>
      <c r="I6363" s="223"/>
      <c r="J6363" s="57"/>
      <c r="K6363" s="153"/>
      <c r="L6363" s="153"/>
      <c r="M6363" s="243"/>
      <c r="N6363" s="234"/>
      <c r="O6363" s="235"/>
      <c r="P6363" s="236"/>
      <c r="Q6363" s="236"/>
      <c r="R6363" s="236"/>
      <c r="S6363" s="236"/>
      <c r="T6363" s="236"/>
    </row>
    <row r="6364" spans="1:20" ht="15" customHeight="1">
      <c r="A6364" s="91"/>
      <c r="B6364" s="91"/>
      <c r="C6364" s="220"/>
      <c r="D6364" s="91"/>
      <c r="E6364" s="221"/>
      <c r="F6364" s="91"/>
      <c r="G6364" s="91"/>
      <c r="H6364" s="242"/>
      <c r="I6364" s="223"/>
      <c r="J6364" s="57"/>
      <c r="K6364" s="153"/>
      <c r="L6364" s="153"/>
      <c r="M6364" s="243"/>
      <c r="N6364" s="234"/>
      <c r="O6364" s="235"/>
      <c r="P6364" s="236"/>
      <c r="Q6364" s="236"/>
      <c r="R6364" s="236"/>
      <c r="S6364" s="236"/>
      <c r="T6364" s="236"/>
    </row>
    <row r="6365" spans="1:20" ht="15" customHeight="1">
      <c r="A6365" s="91"/>
      <c r="B6365" s="91"/>
      <c r="C6365" s="220"/>
      <c r="D6365" s="91"/>
      <c r="E6365" s="221"/>
      <c r="F6365" s="91"/>
      <c r="G6365" s="91"/>
      <c r="H6365" s="242"/>
      <c r="I6365" s="223"/>
      <c r="J6365" s="57"/>
      <c r="K6365" s="153"/>
      <c r="L6365" s="153"/>
      <c r="M6365" s="243"/>
      <c r="N6365" s="234"/>
      <c r="O6365" s="235"/>
      <c r="P6365" s="236"/>
      <c r="Q6365" s="236"/>
      <c r="R6365" s="236"/>
      <c r="S6365" s="236"/>
      <c r="T6365" s="236"/>
    </row>
    <row r="6366" spans="1:20" ht="15" customHeight="1">
      <c r="A6366" s="91"/>
      <c r="B6366" s="91"/>
      <c r="C6366" s="220"/>
      <c r="D6366" s="91"/>
      <c r="E6366" s="221"/>
      <c r="F6366" s="91"/>
      <c r="G6366" s="91"/>
      <c r="H6366" s="242"/>
      <c r="I6366" s="223"/>
      <c r="J6366" s="57"/>
      <c r="K6366" s="153"/>
      <c r="L6366" s="153"/>
      <c r="M6366" s="243"/>
      <c r="N6366" s="234"/>
      <c r="O6366" s="235"/>
      <c r="P6366" s="236"/>
      <c r="Q6366" s="236"/>
      <c r="R6366" s="236"/>
      <c r="S6366" s="236"/>
      <c r="T6366" s="236"/>
    </row>
    <row r="6367" spans="1:20" ht="15" customHeight="1">
      <c r="A6367" s="91"/>
      <c r="B6367" s="91"/>
      <c r="C6367" s="220"/>
      <c r="D6367" s="91"/>
      <c r="E6367" s="221"/>
      <c r="F6367" s="91"/>
      <c r="G6367" s="91"/>
      <c r="H6367" s="242"/>
      <c r="I6367" s="223"/>
      <c r="J6367" s="57"/>
      <c r="K6367" s="153"/>
      <c r="L6367" s="153"/>
      <c r="M6367" s="243"/>
      <c r="N6367" s="234"/>
      <c r="O6367" s="235"/>
      <c r="P6367" s="236"/>
      <c r="Q6367" s="236"/>
      <c r="R6367" s="236"/>
      <c r="S6367" s="236"/>
      <c r="T6367" s="236"/>
    </row>
    <row r="6368" spans="1:20" ht="15" customHeight="1">
      <c r="A6368" s="91"/>
      <c r="B6368" s="91"/>
      <c r="C6368" s="220"/>
      <c r="D6368" s="91"/>
      <c r="E6368" s="221"/>
      <c r="F6368" s="91"/>
      <c r="G6368" s="91"/>
      <c r="H6368" s="242"/>
      <c r="I6368" s="223"/>
      <c r="J6368" s="57"/>
      <c r="K6368" s="153"/>
      <c r="L6368" s="153"/>
      <c r="M6368" s="243"/>
      <c r="N6368" s="234"/>
      <c r="O6368" s="235"/>
      <c r="P6368" s="236"/>
      <c r="Q6368" s="236"/>
      <c r="R6368" s="236"/>
      <c r="S6368" s="236"/>
      <c r="T6368" s="236"/>
    </row>
    <row r="6369" spans="1:20" ht="15" customHeight="1">
      <c r="A6369" s="91"/>
      <c r="B6369" s="91"/>
      <c r="C6369" s="220"/>
      <c r="D6369" s="91"/>
      <c r="E6369" s="221"/>
      <c r="F6369" s="91"/>
      <c r="G6369" s="91"/>
      <c r="H6369" s="242"/>
      <c r="I6369" s="223"/>
      <c r="J6369" s="57"/>
      <c r="K6369" s="153"/>
      <c r="L6369" s="153"/>
      <c r="M6369" s="243"/>
      <c r="N6369" s="234"/>
      <c r="O6369" s="235"/>
      <c r="P6369" s="236"/>
      <c r="Q6369" s="236"/>
      <c r="R6369" s="236"/>
      <c r="S6369" s="236"/>
      <c r="T6369" s="236"/>
    </row>
    <row r="6370" spans="1:20" ht="15" customHeight="1">
      <c r="A6370" s="91"/>
      <c r="B6370" s="91"/>
      <c r="C6370" s="220"/>
      <c r="D6370" s="91"/>
      <c r="E6370" s="221"/>
      <c r="F6370" s="91"/>
      <c r="G6370" s="91"/>
      <c r="H6370" s="242"/>
      <c r="I6370" s="223"/>
      <c r="J6370" s="57"/>
      <c r="K6370" s="153"/>
      <c r="L6370" s="153"/>
      <c r="M6370" s="243"/>
      <c r="N6370" s="234"/>
      <c r="O6370" s="235"/>
      <c r="P6370" s="236"/>
      <c r="Q6370" s="236"/>
      <c r="R6370" s="236"/>
      <c r="S6370" s="236"/>
      <c r="T6370" s="236"/>
    </row>
    <row r="6371" spans="1:20" ht="15" customHeight="1">
      <c r="A6371" s="91"/>
      <c r="B6371" s="91"/>
      <c r="C6371" s="220"/>
      <c r="D6371" s="91"/>
      <c r="E6371" s="221"/>
      <c r="F6371" s="91"/>
      <c r="G6371" s="91"/>
      <c r="H6371" s="242"/>
      <c r="I6371" s="223"/>
      <c r="J6371" s="57"/>
      <c r="K6371" s="153"/>
      <c r="L6371" s="153"/>
      <c r="M6371" s="243"/>
      <c r="N6371" s="234"/>
      <c r="O6371" s="235"/>
      <c r="P6371" s="236"/>
      <c r="Q6371" s="236"/>
      <c r="R6371" s="236"/>
      <c r="S6371" s="236"/>
      <c r="T6371" s="236"/>
    </row>
    <row r="6372" spans="1:20" ht="15" customHeight="1">
      <c r="A6372" s="91"/>
      <c r="B6372" s="91"/>
      <c r="C6372" s="220"/>
      <c r="D6372" s="91"/>
      <c r="E6372" s="221"/>
      <c r="F6372" s="91"/>
      <c r="G6372" s="91"/>
      <c r="H6372" s="242"/>
      <c r="I6372" s="223"/>
      <c r="J6372" s="57"/>
      <c r="K6372" s="153"/>
      <c r="L6372" s="153"/>
      <c r="M6372" s="243"/>
      <c r="N6372" s="234"/>
      <c r="O6372" s="235"/>
      <c r="P6372" s="236"/>
      <c r="Q6372" s="236"/>
      <c r="R6372" s="236"/>
      <c r="S6372" s="236"/>
      <c r="T6372" s="236"/>
    </row>
    <row r="6373" spans="1:20" ht="15" customHeight="1">
      <c r="A6373" s="91"/>
      <c r="B6373" s="91"/>
      <c r="C6373" s="220"/>
      <c r="D6373" s="91"/>
      <c r="E6373" s="221"/>
      <c r="F6373" s="91"/>
      <c r="G6373" s="91"/>
      <c r="H6373" s="242"/>
      <c r="I6373" s="223"/>
      <c r="J6373" s="57"/>
      <c r="K6373" s="153"/>
      <c r="L6373" s="153"/>
      <c r="M6373" s="243"/>
      <c r="N6373" s="234"/>
      <c r="O6373" s="235"/>
      <c r="P6373" s="236"/>
      <c r="Q6373" s="236"/>
      <c r="R6373" s="236"/>
      <c r="S6373" s="236"/>
      <c r="T6373" s="236"/>
    </row>
    <row r="6374" spans="1:20" ht="15" customHeight="1">
      <c r="A6374" s="91"/>
      <c r="B6374" s="91"/>
      <c r="C6374" s="220"/>
      <c r="D6374" s="91"/>
      <c r="E6374" s="221"/>
      <c r="F6374" s="91"/>
      <c r="G6374" s="91"/>
      <c r="H6374" s="242"/>
      <c r="I6374" s="223"/>
      <c r="J6374" s="57"/>
      <c r="K6374" s="153"/>
      <c r="L6374" s="153"/>
      <c r="M6374" s="243"/>
      <c r="N6374" s="234"/>
      <c r="O6374" s="235"/>
      <c r="P6374" s="236"/>
      <c r="Q6374" s="236"/>
      <c r="R6374" s="236"/>
      <c r="S6374" s="236"/>
      <c r="T6374" s="236"/>
    </row>
    <row r="6375" spans="1:20" ht="15" customHeight="1">
      <c r="A6375" s="91"/>
      <c r="B6375" s="91"/>
      <c r="C6375" s="220"/>
      <c r="D6375" s="91"/>
      <c r="E6375" s="221"/>
      <c r="F6375" s="91"/>
      <c r="G6375" s="91"/>
      <c r="H6375" s="242"/>
      <c r="I6375" s="223"/>
      <c r="J6375" s="57"/>
      <c r="K6375" s="153"/>
      <c r="L6375" s="153"/>
      <c r="M6375" s="243"/>
      <c r="N6375" s="234"/>
      <c r="O6375" s="235"/>
      <c r="P6375" s="236"/>
      <c r="Q6375" s="236"/>
      <c r="R6375" s="236"/>
      <c r="S6375" s="236"/>
      <c r="T6375" s="236"/>
    </row>
    <row r="6376" spans="1:20" ht="15" customHeight="1">
      <c r="A6376" s="91"/>
      <c r="B6376" s="91"/>
      <c r="C6376" s="220"/>
      <c r="D6376" s="91"/>
      <c r="E6376" s="221"/>
      <c r="F6376" s="91"/>
      <c r="G6376" s="91"/>
      <c r="H6376" s="242"/>
      <c r="I6376" s="223"/>
      <c r="J6376" s="57"/>
      <c r="K6376" s="153"/>
      <c r="L6376" s="153"/>
      <c r="M6376" s="243"/>
      <c r="N6376" s="234"/>
      <c r="O6376" s="235"/>
      <c r="P6376" s="236"/>
      <c r="Q6376" s="236"/>
      <c r="R6376" s="236"/>
      <c r="S6376" s="236"/>
      <c r="T6376" s="236"/>
    </row>
    <row r="6377" spans="1:20" ht="15" customHeight="1">
      <c r="A6377" s="91"/>
      <c r="B6377" s="91"/>
      <c r="C6377" s="220"/>
      <c r="D6377" s="91"/>
      <c r="E6377" s="221"/>
      <c r="F6377" s="91"/>
      <c r="G6377" s="91"/>
      <c r="H6377" s="242"/>
      <c r="I6377" s="223"/>
      <c r="J6377" s="57"/>
      <c r="K6377" s="153"/>
      <c r="L6377" s="153"/>
      <c r="M6377" s="243"/>
      <c r="N6377" s="234"/>
      <c r="O6377" s="235"/>
      <c r="P6377" s="236"/>
      <c r="Q6377" s="236"/>
      <c r="R6377" s="236"/>
      <c r="S6377" s="236"/>
      <c r="T6377" s="236"/>
    </row>
    <row r="6378" spans="1:20" ht="15" customHeight="1">
      <c r="A6378" s="91"/>
      <c r="B6378" s="91"/>
      <c r="C6378" s="220"/>
      <c r="D6378" s="91"/>
      <c r="E6378" s="221"/>
      <c r="F6378" s="91"/>
      <c r="G6378" s="91"/>
      <c r="H6378" s="242"/>
      <c r="I6378" s="223"/>
      <c r="J6378" s="57"/>
      <c r="K6378" s="153"/>
      <c r="L6378" s="153"/>
      <c r="M6378" s="243"/>
      <c r="N6378" s="234"/>
      <c r="O6378" s="235"/>
      <c r="P6378" s="236"/>
      <c r="Q6378" s="236"/>
      <c r="R6378" s="236"/>
      <c r="S6378" s="236"/>
      <c r="T6378" s="236"/>
    </row>
    <row r="6379" spans="1:20" ht="15" customHeight="1">
      <c r="A6379" s="91"/>
      <c r="B6379" s="91"/>
      <c r="C6379" s="220"/>
      <c r="D6379" s="91"/>
      <c r="E6379" s="221"/>
      <c r="F6379" s="91"/>
      <c r="G6379" s="91"/>
      <c r="H6379" s="242"/>
      <c r="I6379" s="223"/>
      <c r="J6379" s="57"/>
      <c r="K6379" s="153"/>
      <c r="L6379" s="153"/>
      <c r="M6379" s="243"/>
      <c r="N6379" s="234"/>
      <c r="O6379" s="235"/>
      <c r="P6379" s="236"/>
      <c r="Q6379" s="236"/>
      <c r="R6379" s="236"/>
      <c r="S6379" s="236"/>
      <c r="T6379" s="236"/>
    </row>
    <row r="6380" spans="1:20" ht="15" customHeight="1">
      <c r="A6380" s="91"/>
      <c r="B6380" s="91"/>
      <c r="C6380" s="220"/>
      <c r="D6380" s="91"/>
      <c r="E6380" s="221"/>
      <c r="F6380" s="91"/>
      <c r="G6380" s="91"/>
      <c r="H6380" s="242"/>
      <c r="I6380" s="223"/>
      <c r="J6380" s="57"/>
      <c r="K6380" s="153"/>
      <c r="L6380" s="153"/>
      <c r="M6380" s="243"/>
      <c r="N6380" s="234"/>
      <c r="O6380" s="235"/>
      <c r="P6380" s="236"/>
      <c r="Q6380" s="236"/>
      <c r="R6380" s="236"/>
      <c r="S6380" s="236"/>
      <c r="T6380" s="236"/>
    </row>
    <row r="6381" spans="1:20" ht="15" customHeight="1">
      <c r="A6381" s="91"/>
      <c r="B6381" s="91"/>
      <c r="C6381" s="220"/>
      <c r="D6381" s="91"/>
      <c r="E6381" s="221"/>
      <c r="F6381" s="91"/>
      <c r="G6381" s="91"/>
      <c r="H6381" s="242"/>
      <c r="I6381" s="223"/>
      <c r="J6381" s="57"/>
      <c r="K6381" s="153"/>
      <c r="L6381" s="153"/>
      <c r="M6381" s="243"/>
      <c r="N6381" s="234"/>
      <c r="O6381" s="235"/>
      <c r="P6381" s="236"/>
      <c r="Q6381" s="236"/>
      <c r="R6381" s="236"/>
      <c r="S6381" s="236"/>
      <c r="T6381" s="236"/>
    </row>
    <row r="6382" spans="1:20" ht="15" customHeight="1">
      <c r="A6382" s="91"/>
      <c r="B6382" s="91"/>
      <c r="C6382" s="220"/>
      <c r="D6382" s="91"/>
      <c r="E6382" s="221"/>
      <c r="F6382" s="91"/>
      <c r="G6382" s="91"/>
      <c r="H6382" s="242"/>
      <c r="I6382" s="223"/>
      <c r="J6382" s="57"/>
      <c r="K6382" s="153"/>
      <c r="L6382" s="153"/>
      <c r="M6382" s="243"/>
      <c r="N6382" s="234"/>
      <c r="O6382" s="235"/>
      <c r="P6382" s="236"/>
      <c r="Q6382" s="236"/>
      <c r="R6382" s="236"/>
      <c r="S6382" s="236"/>
      <c r="T6382" s="236"/>
    </row>
    <row r="6383" spans="1:20" ht="15" customHeight="1">
      <c r="A6383" s="91"/>
      <c r="B6383" s="91"/>
      <c r="C6383" s="220"/>
      <c r="D6383" s="91"/>
      <c r="E6383" s="221"/>
      <c r="F6383" s="91"/>
      <c r="G6383" s="91"/>
      <c r="H6383" s="242"/>
      <c r="I6383" s="223"/>
      <c r="J6383" s="57"/>
      <c r="K6383" s="153"/>
      <c r="L6383" s="153"/>
      <c r="M6383" s="243"/>
      <c r="N6383" s="234"/>
      <c r="O6383" s="235"/>
      <c r="P6383" s="236"/>
      <c r="Q6383" s="236"/>
      <c r="R6383" s="236"/>
      <c r="S6383" s="236"/>
      <c r="T6383" s="236"/>
    </row>
    <row r="6384" spans="1:20" ht="15" customHeight="1">
      <c r="A6384" s="91"/>
      <c r="B6384" s="91"/>
      <c r="C6384" s="220"/>
      <c r="D6384" s="91"/>
      <c r="E6384" s="221"/>
      <c r="F6384" s="91"/>
      <c r="G6384" s="91"/>
      <c r="H6384" s="242"/>
      <c r="I6384" s="223"/>
      <c r="J6384" s="57"/>
      <c r="K6384" s="153"/>
      <c r="L6384" s="153"/>
      <c r="M6384" s="243"/>
      <c r="N6384" s="234"/>
      <c r="O6384" s="235"/>
      <c r="P6384" s="236"/>
      <c r="Q6384" s="236"/>
      <c r="R6384" s="236"/>
      <c r="S6384" s="236"/>
      <c r="T6384" s="236"/>
    </row>
    <row r="6385" spans="1:20" ht="15" customHeight="1">
      <c r="A6385" s="91"/>
      <c r="B6385" s="91"/>
      <c r="C6385" s="220"/>
      <c r="D6385" s="91"/>
      <c r="E6385" s="221"/>
      <c r="F6385" s="91"/>
      <c r="G6385" s="91"/>
      <c r="H6385" s="242"/>
      <c r="I6385" s="223"/>
      <c r="J6385" s="57"/>
      <c r="K6385" s="153"/>
      <c r="L6385" s="153"/>
      <c r="M6385" s="243"/>
      <c r="N6385" s="234"/>
      <c r="O6385" s="235"/>
      <c r="P6385" s="236"/>
      <c r="Q6385" s="236"/>
      <c r="R6385" s="236"/>
      <c r="S6385" s="236"/>
      <c r="T6385" s="236"/>
    </row>
    <row r="6386" spans="1:20" ht="15" customHeight="1">
      <c r="A6386" s="91"/>
      <c r="B6386" s="91"/>
      <c r="C6386" s="220"/>
      <c r="D6386" s="91"/>
      <c r="E6386" s="221"/>
      <c r="F6386" s="91"/>
      <c r="G6386" s="91"/>
      <c r="H6386" s="242"/>
      <c r="I6386" s="223"/>
      <c r="J6386" s="57"/>
      <c r="K6386" s="153"/>
      <c r="L6386" s="153"/>
      <c r="M6386" s="243"/>
      <c r="N6386" s="234"/>
      <c r="O6386" s="235"/>
      <c r="P6386" s="236"/>
      <c r="Q6386" s="236"/>
      <c r="R6386" s="236"/>
      <c r="S6386" s="236"/>
      <c r="T6386" s="236"/>
    </row>
    <row r="6387" spans="1:20" ht="15" customHeight="1">
      <c r="A6387" s="91"/>
      <c r="B6387" s="91"/>
      <c r="C6387" s="220"/>
      <c r="D6387" s="91"/>
      <c r="E6387" s="221"/>
      <c r="F6387" s="91"/>
      <c r="G6387" s="91"/>
      <c r="H6387" s="242"/>
      <c r="I6387" s="223"/>
      <c r="J6387" s="57"/>
      <c r="K6387" s="153"/>
      <c r="L6387" s="153"/>
      <c r="M6387" s="243"/>
      <c r="N6387" s="234"/>
      <c r="O6387" s="235"/>
      <c r="P6387" s="236"/>
      <c r="Q6387" s="236"/>
      <c r="R6387" s="236"/>
      <c r="S6387" s="236"/>
      <c r="T6387" s="236"/>
    </row>
    <row r="6388" spans="1:20" ht="15" customHeight="1">
      <c r="A6388" s="91"/>
      <c r="B6388" s="91"/>
      <c r="C6388" s="220"/>
      <c r="D6388" s="91"/>
      <c r="E6388" s="221"/>
      <c r="F6388" s="91"/>
      <c r="G6388" s="91"/>
      <c r="H6388" s="242"/>
      <c r="I6388" s="223"/>
      <c r="J6388" s="57"/>
      <c r="K6388" s="153"/>
      <c r="L6388" s="153"/>
      <c r="M6388" s="243"/>
      <c r="N6388" s="234"/>
      <c r="O6388" s="235"/>
      <c r="P6388" s="236"/>
      <c r="Q6388" s="236"/>
      <c r="R6388" s="236"/>
      <c r="S6388" s="236"/>
      <c r="T6388" s="236"/>
    </row>
    <row r="6389" spans="1:20" ht="15" customHeight="1">
      <c r="A6389" s="91"/>
      <c r="B6389" s="91"/>
      <c r="C6389" s="220"/>
      <c r="D6389" s="91"/>
      <c r="E6389" s="221"/>
      <c r="F6389" s="91"/>
      <c r="G6389" s="91"/>
      <c r="H6389" s="242"/>
      <c r="I6389" s="223"/>
      <c r="J6389" s="57"/>
      <c r="K6389" s="153"/>
      <c r="L6389" s="153"/>
      <c r="M6389" s="243"/>
      <c r="N6389" s="234"/>
      <c r="O6389" s="235"/>
      <c r="P6389" s="236"/>
      <c r="Q6389" s="236"/>
      <c r="R6389" s="236"/>
      <c r="S6389" s="236"/>
      <c r="T6389" s="236"/>
    </row>
    <row r="6390" spans="1:20" ht="15" customHeight="1">
      <c r="A6390" s="91"/>
      <c r="B6390" s="91"/>
      <c r="C6390" s="220"/>
      <c r="D6390" s="91"/>
      <c r="E6390" s="221"/>
      <c r="F6390" s="91"/>
      <c r="G6390" s="91"/>
      <c r="H6390" s="242"/>
      <c r="I6390" s="223"/>
      <c r="J6390" s="57"/>
      <c r="K6390" s="153"/>
      <c r="L6390" s="153"/>
      <c r="M6390" s="243"/>
      <c r="N6390" s="234"/>
      <c r="O6390" s="235"/>
      <c r="P6390" s="236"/>
      <c r="Q6390" s="236"/>
      <c r="R6390" s="236"/>
      <c r="S6390" s="236"/>
      <c r="T6390" s="236"/>
    </row>
    <row r="6391" spans="1:20" ht="15" customHeight="1">
      <c r="A6391" s="91"/>
      <c r="B6391" s="91"/>
      <c r="C6391" s="220"/>
      <c r="D6391" s="91"/>
      <c r="E6391" s="221"/>
      <c r="F6391" s="91"/>
      <c r="G6391" s="91"/>
      <c r="H6391" s="242"/>
      <c r="I6391" s="223"/>
      <c r="J6391" s="57"/>
      <c r="K6391" s="153"/>
      <c r="L6391" s="153"/>
      <c r="M6391" s="243"/>
      <c r="N6391" s="234"/>
      <c r="O6391" s="235"/>
      <c r="P6391" s="236"/>
      <c r="Q6391" s="236"/>
      <c r="R6391" s="236"/>
      <c r="S6391" s="236"/>
      <c r="T6391" s="236"/>
    </row>
    <row r="6392" spans="1:20" ht="15" customHeight="1">
      <c r="A6392" s="91"/>
      <c r="B6392" s="91"/>
      <c r="C6392" s="220"/>
      <c r="D6392" s="91"/>
      <c r="E6392" s="221"/>
      <c r="F6392" s="91"/>
      <c r="G6392" s="91"/>
      <c r="H6392" s="242"/>
      <c r="I6392" s="223"/>
      <c r="J6392" s="57"/>
      <c r="K6392" s="153"/>
      <c r="L6392" s="153"/>
      <c r="M6392" s="243"/>
      <c r="N6392" s="234"/>
      <c r="O6392" s="235"/>
      <c r="P6392" s="236"/>
      <c r="Q6392" s="236"/>
      <c r="R6392" s="236"/>
      <c r="S6392" s="236"/>
      <c r="T6392" s="236"/>
    </row>
    <row r="6393" spans="1:20" ht="15" customHeight="1">
      <c r="A6393" s="91"/>
      <c r="B6393" s="91"/>
      <c r="C6393" s="220"/>
      <c r="D6393" s="91"/>
      <c r="E6393" s="221"/>
      <c r="F6393" s="91"/>
      <c r="G6393" s="91"/>
      <c r="H6393" s="242"/>
      <c r="I6393" s="223"/>
      <c r="J6393" s="57"/>
      <c r="K6393" s="153"/>
      <c r="L6393" s="153"/>
      <c r="M6393" s="243"/>
      <c r="N6393" s="234"/>
      <c r="O6393" s="235"/>
      <c r="P6393" s="236"/>
      <c r="Q6393" s="236"/>
      <c r="R6393" s="236"/>
      <c r="S6393" s="236"/>
      <c r="T6393" s="236"/>
    </row>
    <row r="6394" spans="1:20" ht="15" customHeight="1">
      <c r="A6394" s="91"/>
      <c r="B6394" s="91"/>
      <c r="C6394" s="220"/>
      <c r="D6394" s="91"/>
      <c r="E6394" s="221"/>
      <c r="F6394" s="91"/>
      <c r="G6394" s="91"/>
      <c r="H6394" s="242"/>
      <c r="I6394" s="223"/>
      <c r="J6394" s="57"/>
      <c r="K6394" s="153"/>
      <c r="L6394" s="153"/>
      <c r="M6394" s="243"/>
      <c r="N6394" s="234"/>
      <c r="O6394" s="235"/>
      <c r="P6394" s="236"/>
      <c r="Q6394" s="236"/>
      <c r="R6394" s="236"/>
      <c r="S6394" s="236"/>
      <c r="T6394" s="236"/>
    </row>
    <row r="6395" spans="1:20" ht="15" customHeight="1">
      <c r="A6395" s="91"/>
      <c r="B6395" s="91"/>
      <c r="C6395" s="220"/>
      <c r="D6395" s="91"/>
      <c r="E6395" s="221"/>
      <c r="F6395" s="91"/>
      <c r="G6395" s="91"/>
      <c r="H6395" s="242"/>
      <c r="I6395" s="223"/>
      <c r="J6395" s="57"/>
      <c r="K6395" s="153"/>
      <c r="L6395" s="153"/>
      <c r="M6395" s="243"/>
      <c r="N6395" s="234"/>
      <c r="O6395" s="235"/>
      <c r="P6395" s="236"/>
      <c r="Q6395" s="236"/>
      <c r="R6395" s="236"/>
      <c r="S6395" s="236"/>
      <c r="T6395" s="236"/>
    </row>
    <row r="6396" spans="1:20" ht="15" customHeight="1">
      <c r="A6396" s="91"/>
      <c r="B6396" s="91"/>
      <c r="C6396" s="220"/>
      <c r="D6396" s="91"/>
      <c r="E6396" s="221"/>
      <c r="F6396" s="91"/>
      <c r="G6396" s="91"/>
      <c r="H6396" s="242"/>
      <c r="I6396" s="223"/>
      <c r="J6396" s="57"/>
      <c r="K6396" s="153"/>
      <c r="L6396" s="153"/>
      <c r="M6396" s="243"/>
      <c r="N6396" s="234"/>
      <c r="O6396" s="235"/>
      <c r="P6396" s="236"/>
      <c r="Q6396" s="236"/>
      <c r="R6396" s="236"/>
      <c r="S6396" s="236"/>
      <c r="T6396" s="236"/>
    </row>
    <row r="6397" spans="1:20" ht="15" customHeight="1">
      <c r="A6397" s="91"/>
      <c r="B6397" s="91"/>
      <c r="C6397" s="220"/>
      <c r="D6397" s="91"/>
      <c r="E6397" s="221"/>
      <c r="F6397" s="91"/>
      <c r="G6397" s="91"/>
      <c r="H6397" s="242"/>
      <c r="I6397" s="223"/>
      <c r="J6397" s="57"/>
      <c r="K6397" s="153"/>
      <c r="L6397" s="153"/>
      <c r="M6397" s="243"/>
      <c r="N6397" s="234"/>
      <c r="O6397" s="235"/>
      <c r="P6397" s="236"/>
      <c r="Q6397" s="236"/>
      <c r="R6397" s="236"/>
      <c r="S6397" s="236"/>
      <c r="T6397" s="236"/>
    </row>
    <row r="6398" spans="1:20" ht="15" customHeight="1">
      <c r="A6398" s="91"/>
      <c r="B6398" s="91"/>
      <c r="C6398" s="220"/>
      <c r="D6398" s="91"/>
      <c r="E6398" s="221"/>
      <c r="F6398" s="91"/>
      <c r="G6398" s="91"/>
      <c r="H6398" s="242"/>
      <c r="I6398" s="223"/>
      <c r="J6398" s="57"/>
      <c r="K6398" s="153"/>
      <c r="L6398" s="153"/>
      <c r="M6398" s="243"/>
      <c r="N6398" s="234"/>
      <c r="O6398" s="235"/>
      <c r="P6398" s="236"/>
      <c r="Q6398" s="236"/>
      <c r="R6398" s="236"/>
      <c r="S6398" s="236"/>
      <c r="T6398" s="236"/>
    </row>
    <row r="6399" spans="1:20" ht="15" customHeight="1">
      <c r="A6399" s="91"/>
      <c r="B6399" s="91"/>
      <c r="C6399" s="220"/>
      <c r="D6399" s="91"/>
      <c r="E6399" s="221"/>
      <c r="F6399" s="91"/>
      <c r="G6399" s="91"/>
      <c r="H6399" s="242"/>
      <c r="I6399" s="223"/>
      <c r="J6399" s="57"/>
      <c r="K6399" s="153"/>
      <c r="L6399" s="153"/>
      <c r="M6399" s="243"/>
      <c r="N6399" s="234"/>
      <c r="O6399" s="235"/>
      <c r="P6399" s="236"/>
      <c r="Q6399" s="236"/>
      <c r="R6399" s="236"/>
      <c r="S6399" s="236"/>
      <c r="T6399" s="236"/>
    </row>
    <row r="6400" spans="1:20" ht="15" customHeight="1">
      <c r="A6400" s="91"/>
      <c r="B6400" s="91"/>
      <c r="C6400" s="220"/>
      <c r="D6400" s="91"/>
      <c r="E6400" s="221"/>
      <c r="F6400" s="91"/>
      <c r="G6400" s="91"/>
      <c r="H6400" s="242"/>
      <c r="I6400" s="223"/>
      <c r="J6400" s="57"/>
      <c r="K6400" s="153"/>
      <c r="L6400" s="153"/>
      <c r="M6400" s="243"/>
      <c r="N6400" s="234"/>
      <c r="O6400" s="235"/>
      <c r="P6400" s="236"/>
      <c r="Q6400" s="236"/>
      <c r="R6400" s="236"/>
      <c r="S6400" s="236"/>
      <c r="T6400" s="236"/>
    </row>
    <row r="6401" spans="1:20" ht="15" customHeight="1">
      <c r="A6401" s="91"/>
      <c r="B6401" s="91"/>
      <c r="C6401" s="220"/>
      <c r="D6401" s="91"/>
      <c r="E6401" s="221"/>
      <c r="F6401" s="91"/>
      <c r="G6401" s="91"/>
      <c r="H6401" s="242"/>
      <c r="I6401" s="223"/>
      <c r="J6401" s="57"/>
      <c r="K6401" s="153"/>
      <c r="L6401" s="153"/>
      <c r="M6401" s="243"/>
      <c r="N6401" s="234"/>
      <c r="O6401" s="235"/>
      <c r="P6401" s="236"/>
      <c r="Q6401" s="236"/>
      <c r="R6401" s="236"/>
      <c r="S6401" s="236"/>
      <c r="T6401" s="236"/>
    </row>
    <row r="6402" spans="1:20" ht="15" customHeight="1">
      <c r="A6402" s="91"/>
      <c r="B6402" s="91"/>
      <c r="C6402" s="220"/>
      <c r="D6402" s="91"/>
      <c r="E6402" s="221"/>
      <c r="F6402" s="91"/>
      <c r="G6402" s="91"/>
      <c r="H6402" s="242"/>
      <c r="I6402" s="223"/>
      <c r="J6402" s="57"/>
      <c r="K6402" s="153"/>
      <c r="L6402" s="153"/>
      <c r="M6402" s="243"/>
      <c r="N6402" s="234"/>
      <c r="O6402" s="235"/>
      <c r="P6402" s="236"/>
      <c r="Q6402" s="236"/>
      <c r="R6402" s="236"/>
      <c r="S6402" s="236"/>
      <c r="T6402" s="236"/>
    </row>
    <row r="6403" spans="1:20" ht="15" customHeight="1">
      <c r="A6403" s="91"/>
      <c r="B6403" s="91"/>
      <c r="C6403" s="220"/>
      <c r="D6403" s="91"/>
      <c r="E6403" s="221"/>
      <c r="F6403" s="91"/>
      <c r="G6403" s="91"/>
      <c r="H6403" s="242"/>
      <c r="I6403" s="223"/>
      <c r="J6403" s="57"/>
      <c r="K6403" s="153"/>
      <c r="L6403" s="153"/>
      <c r="M6403" s="243"/>
      <c r="N6403" s="234"/>
      <c r="O6403" s="235"/>
      <c r="P6403" s="236"/>
      <c r="Q6403" s="236"/>
      <c r="R6403" s="236"/>
      <c r="S6403" s="236"/>
      <c r="T6403" s="236"/>
    </row>
    <row r="6404" spans="1:20" ht="15" customHeight="1">
      <c r="A6404" s="91"/>
      <c r="B6404" s="91"/>
      <c r="C6404" s="220"/>
      <c r="D6404" s="91"/>
      <c r="E6404" s="221"/>
      <c r="F6404" s="91"/>
      <c r="G6404" s="91"/>
      <c r="H6404" s="242"/>
      <c r="I6404" s="223"/>
      <c r="J6404" s="57"/>
      <c r="K6404" s="153"/>
      <c r="L6404" s="153"/>
      <c r="M6404" s="243"/>
      <c r="N6404" s="234"/>
      <c r="O6404" s="235"/>
      <c r="P6404" s="236"/>
      <c r="Q6404" s="236"/>
      <c r="R6404" s="236"/>
      <c r="S6404" s="236"/>
      <c r="T6404" s="236"/>
    </row>
    <row r="6405" spans="1:20" ht="15" customHeight="1">
      <c r="A6405" s="91"/>
      <c r="B6405" s="91"/>
      <c r="C6405" s="220"/>
      <c r="D6405" s="91"/>
      <c r="E6405" s="221"/>
      <c r="F6405" s="91"/>
      <c r="G6405" s="91"/>
      <c r="H6405" s="242"/>
      <c r="I6405" s="223"/>
      <c r="J6405" s="57"/>
      <c r="K6405" s="153"/>
      <c r="L6405" s="153"/>
      <c r="M6405" s="243"/>
      <c r="N6405" s="234"/>
      <c r="O6405" s="235"/>
      <c r="P6405" s="236"/>
      <c r="Q6405" s="236"/>
      <c r="R6405" s="236"/>
      <c r="S6405" s="236"/>
      <c r="T6405" s="236"/>
    </row>
    <row r="6406" spans="1:20" ht="15" customHeight="1">
      <c r="A6406" s="91"/>
      <c r="B6406" s="91"/>
      <c r="C6406" s="220"/>
      <c r="D6406" s="91"/>
      <c r="E6406" s="221"/>
      <c r="F6406" s="91"/>
      <c r="G6406" s="91"/>
      <c r="H6406" s="242"/>
      <c r="I6406" s="223"/>
      <c r="J6406" s="57"/>
      <c r="K6406" s="153"/>
      <c r="L6406" s="153"/>
      <c r="M6406" s="243"/>
      <c r="N6406" s="234"/>
      <c r="O6406" s="235"/>
      <c r="P6406" s="236"/>
      <c r="Q6406" s="236"/>
      <c r="R6406" s="236"/>
      <c r="S6406" s="236"/>
      <c r="T6406" s="236"/>
    </row>
    <row r="6407" spans="1:20" ht="15" customHeight="1">
      <c r="A6407" s="91"/>
      <c r="B6407" s="91"/>
      <c r="C6407" s="220"/>
      <c r="D6407" s="91"/>
      <c r="E6407" s="221"/>
      <c r="F6407" s="91"/>
      <c r="G6407" s="91"/>
      <c r="H6407" s="242"/>
      <c r="I6407" s="223"/>
      <c r="J6407" s="57"/>
      <c r="K6407" s="153"/>
      <c r="L6407" s="153"/>
      <c r="M6407" s="243"/>
      <c r="N6407" s="234"/>
      <c r="O6407" s="235"/>
      <c r="P6407" s="236"/>
      <c r="Q6407" s="236"/>
      <c r="R6407" s="236"/>
      <c r="S6407" s="236"/>
      <c r="T6407" s="236"/>
    </row>
    <row r="6408" spans="1:20" ht="15" customHeight="1">
      <c r="A6408" s="91"/>
      <c r="B6408" s="91"/>
      <c r="C6408" s="220"/>
      <c r="D6408" s="91"/>
      <c r="E6408" s="221"/>
      <c r="F6408" s="91"/>
      <c r="G6408" s="91"/>
      <c r="H6408" s="242"/>
      <c r="I6408" s="223"/>
      <c r="J6408" s="57"/>
      <c r="K6408" s="153"/>
      <c r="L6408" s="153"/>
      <c r="M6408" s="243"/>
      <c r="N6408" s="234"/>
      <c r="O6408" s="235"/>
      <c r="P6408" s="236"/>
      <c r="Q6408" s="236"/>
      <c r="R6408" s="236"/>
      <c r="S6408" s="236"/>
      <c r="T6408" s="236"/>
    </row>
    <row r="6409" spans="1:20" ht="15" customHeight="1">
      <c r="A6409" s="91"/>
      <c r="B6409" s="91"/>
      <c r="C6409" s="220"/>
      <c r="D6409" s="91"/>
      <c r="E6409" s="221"/>
      <c r="F6409" s="91"/>
      <c r="G6409" s="91"/>
      <c r="H6409" s="242"/>
      <c r="I6409" s="223"/>
      <c r="J6409" s="57"/>
      <c r="K6409" s="153"/>
      <c r="L6409" s="153"/>
      <c r="M6409" s="243"/>
      <c r="N6409" s="234"/>
      <c r="O6409" s="235"/>
      <c r="P6409" s="236"/>
      <c r="Q6409" s="236"/>
      <c r="R6409" s="236"/>
      <c r="S6409" s="236"/>
      <c r="T6409" s="236"/>
    </row>
    <row r="6410" spans="1:20" ht="15" customHeight="1">
      <c r="A6410" s="91"/>
      <c r="B6410" s="91"/>
      <c r="C6410" s="220"/>
      <c r="D6410" s="91"/>
      <c r="E6410" s="221"/>
      <c r="F6410" s="91"/>
      <c r="G6410" s="91"/>
      <c r="H6410" s="242"/>
      <c r="I6410" s="223"/>
      <c r="J6410" s="57"/>
      <c r="K6410" s="153"/>
      <c r="L6410" s="153"/>
      <c r="M6410" s="243"/>
      <c r="N6410" s="234"/>
      <c r="O6410" s="235"/>
      <c r="P6410" s="236"/>
      <c r="Q6410" s="236"/>
      <c r="R6410" s="236"/>
      <c r="S6410" s="236"/>
      <c r="T6410" s="236"/>
    </row>
    <row r="6411" spans="1:20" ht="15" customHeight="1">
      <c r="A6411" s="91"/>
      <c r="B6411" s="91"/>
      <c r="C6411" s="220"/>
      <c r="D6411" s="91"/>
      <c r="E6411" s="221"/>
      <c r="F6411" s="91"/>
      <c r="G6411" s="91"/>
      <c r="H6411" s="242"/>
      <c r="I6411" s="223"/>
      <c r="J6411" s="57"/>
      <c r="K6411" s="153"/>
      <c r="L6411" s="153"/>
      <c r="M6411" s="243"/>
      <c r="N6411" s="234"/>
      <c r="O6411" s="235"/>
      <c r="P6411" s="236"/>
      <c r="Q6411" s="236"/>
      <c r="R6411" s="236"/>
      <c r="S6411" s="236"/>
      <c r="T6411" s="236"/>
    </row>
    <row r="6412" spans="1:20" ht="15" customHeight="1">
      <c r="A6412" s="91"/>
      <c r="B6412" s="91"/>
      <c r="C6412" s="220"/>
      <c r="D6412" s="91"/>
      <c r="E6412" s="221"/>
      <c r="F6412" s="91"/>
      <c r="G6412" s="91"/>
      <c r="H6412" s="242"/>
      <c r="I6412" s="223"/>
      <c r="J6412" s="57"/>
      <c r="K6412" s="153"/>
      <c r="L6412" s="153"/>
      <c r="M6412" s="243"/>
      <c r="N6412" s="234"/>
      <c r="O6412" s="235"/>
      <c r="P6412" s="236"/>
      <c r="Q6412" s="236"/>
      <c r="R6412" s="236"/>
      <c r="S6412" s="236"/>
      <c r="T6412" s="236"/>
    </row>
    <row r="6413" spans="1:20" ht="15" customHeight="1">
      <c r="A6413" s="91"/>
      <c r="B6413" s="91"/>
      <c r="C6413" s="220"/>
      <c r="D6413" s="91"/>
      <c r="E6413" s="221"/>
      <c r="F6413" s="91"/>
      <c r="G6413" s="91"/>
      <c r="H6413" s="242"/>
      <c r="I6413" s="223"/>
      <c r="J6413" s="57"/>
      <c r="K6413" s="153"/>
      <c r="L6413" s="153"/>
      <c r="M6413" s="243"/>
      <c r="N6413" s="234"/>
      <c r="O6413" s="235"/>
      <c r="P6413" s="236"/>
      <c r="Q6413" s="236"/>
      <c r="R6413" s="236"/>
      <c r="S6413" s="236"/>
      <c r="T6413" s="236"/>
    </row>
    <row r="6414" spans="1:20" ht="15" customHeight="1">
      <c r="A6414" s="91"/>
      <c r="B6414" s="91"/>
      <c r="C6414" s="220"/>
      <c r="D6414" s="91"/>
      <c r="E6414" s="221"/>
      <c r="F6414" s="91"/>
      <c r="G6414" s="91"/>
      <c r="H6414" s="242"/>
      <c r="I6414" s="223"/>
      <c r="J6414" s="57"/>
      <c r="K6414" s="153"/>
      <c r="L6414" s="153"/>
      <c r="M6414" s="243"/>
      <c r="N6414" s="234"/>
      <c r="O6414" s="235"/>
      <c r="P6414" s="236"/>
      <c r="Q6414" s="236"/>
      <c r="R6414" s="236"/>
      <c r="S6414" s="236"/>
      <c r="T6414" s="236"/>
    </row>
    <row r="6415" spans="1:20" ht="15" customHeight="1">
      <c r="A6415" s="91"/>
      <c r="B6415" s="91"/>
      <c r="C6415" s="220"/>
      <c r="D6415" s="91"/>
      <c r="E6415" s="221"/>
      <c r="F6415" s="91"/>
      <c r="G6415" s="91"/>
      <c r="H6415" s="242"/>
      <c r="I6415" s="223"/>
      <c r="J6415" s="57"/>
      <c r="K6415" s="153"/>
      <c r="L6415" s="153"/>
      <c r="M6415" s="243"/>
      <c r="N6415" s="234"/>
      <c r="O6415" s="235"/>
      <c r="P6415" s="236"/>
      <c r="Q6415" s="236"/>
      <c r="R6415" s="236"/>
      <c r="S6415" s="236"/>
      <c r="T6415" s="236"/>
    </row>
    <row r="6416" spans="1:20" ht="15" customHeight="1">
      <c r="A6416" s="91"/>
      <c r="B6416" s="91"/>
      <c r="C6416" s="220"/>
      <c r="D6416" s="91"/>
      <c r="E6416" s="221"/>
      <c r="F6416" s="91"/>
      <c r="G6416" s="91"/>
      <c r="H6416" s="242"/>
      <c r="I6416" s="223"/>
      <c r="J6416" s="57"/>
      <c r="K6416" s="153"/>
      <c r="L6416" s="153"/>
      <c r="M6416" s="243"/>
      <c r="N6416" s="234"/>
      <c r="O6416" s="235"/>
      <c r="P6416" s="236"/>
      <c r="Q6416" s="236"/>
      <c r="R6416" s="236"/>
      <c r="S6416" s="236"/>
      <c r="T6416" s="236"/>
    </row>
    <row r="6417" spans="1:20" ht="15" customHeight="1">
      <c r="A6417" s="91"/>
      <c r="B6417" s="91"/>
      <c r="C6417" s="220"/>
      <c r="D6417" s="91"/>
      <c r="E6417" s="221"/>
      <c r="F6417" s="91"/>
      <c r="G6417" s="91"/>
      <c r="H6417" s="242"/>
      <c r="I6417" s="223"/>
      <c r="J6417" s="57"/>
      <c r="K6417" s="153"/>
      <c r="L6417" s="153"/>
      <c r="M6417" s="243"/>
      <c r="N6417" s="234"/>
      <c r="O6417" s="235"/>
      <c r="P6417" s="236"/>
      <c r="Q6417" s="236"/>
      <c r="R6417" s="236"/>
      <c r="S6417" s="236"/>
      <c r="T6417" s="236"/>
    </row>
    <row r="6418" spans="1:20" ht="15" customHeight="1">
      <c r="A6418" s="91"/>
      <c r="B6418" s="91"/>
      <c r="C6418" s="220"/>
      <c r="D6418" s="91"/>
      <c r="E6418" s="221"/>
      <c r="F6418" s="91"/>
      <c r="G6418" s="91"/>
      <c r="H6418" s="242"/>
      <c r="I6418" s="223"/>
      <c r="J6418" s="57"/>
      <c r="K6418" s="153"/>
      <c r="L6418" s="153"/>
      <c r="M6418" s="243"/>
      <c r="N6418" s="234"/>
      <c r="O6418" s="235"/>
      <c r="P6418" s="236"/>
      <c r="Q6418" s="236"/>
      <c r="R6418" s="236"/>
      <c r="S6418" s="236"/>
      <c r="T6418" s="236"/>
    </row>
    <row r="6419" spans="1:20" ht="15" customHeight="1">
      <c r="A6419" s="91"/>
      <c r="B6419" s="91"/>
      <c r="C6419" s="220"/>
      <c r="D6419" s="91"/>
      <c r="E6419" s="221"/>
      <c r="F6419" s="91"/>
      <c r="G6419" s="91"/>
      <c r="H6419" s="242"/>
      <c r="I6419" s="223"/>
      <c r="J6419" s="57"/>
      <c r="K6419" s="153"/>
      <c r="L6419" s="153"/>
      <c r="M6419" s="243"/>
      <c r="N6419" s="234"/>
      <c r="O6419" s="235"/>
      <c r="P6419" s="236"/>
      <c r="Q6419" s="236"/>
      <c r="R6419" s="236"/>
      <c r="S6419" s="236"/>
      <c r="T6419" s="236"/>
    </row>
    <row r="6420" spans="1:20" ht="15" customHeight="1">
      <c r="A6420" s="91"/>
      <c r="B6420" s="91"/>
      <c r="C6420" s="220"/>
      <c r="D6420" s="91"/>
      <c r="E6420" s="221"/>
      <c r="F6420" s="91"/>
      <c r="G6420" s="91"/>
      <c r="H6420" s="242"/>
      <c r="I6420" s="223"/>
      <c r="J6420" s="57"/>
      <c r="K6420" s="153"/>
      <c r="L6420" s="153"/>
      <c r="M6420" s="243"/>
      <c r="N6420" s="234"/>
      <c r="O6420" s="235"/>
      <c r="P6420" s="236"/>
      <c r="Q6420" s="236"/>
      <c r="R6420" s="236"/>
      <c r="S6420" s="236"/>
      <c r="T6420" s="236"/>
    </row>
    <row r="6421" spans="1:20" ht="15" customHeight="1">
      <c r="A6421" s="91"/>
      <c r="B6421" s="91"/>
      <c r="C6421" s="220"/>
      <c r="D6421" s="91"/>
      <c r="E6421" s="221"/>
      <c r="F6421" s="91"/>
      <c r="G6421" s="91"/>
      <c r="H6421" s="242"/>
      <c r="I6421" s="223"/>
      <c r="J6421" s="57"/>
      <c r="K6421" s="153"/>
      <c r="L6421" s="153"/>
      <c r="M6421" s="243"/>
      <c r="N6421" s="234"/>
      <c r="O6421" s="235"/>
      <c r="P6421" s="236"/>
      <c r="Q6421" s="236"/>
      <c r="R6421" s="236"/>
      <c r="S6421" s="236"/>
      <c r="T6421" s="236"/>
    </row>
    <row r="6422" spans="1:20" ht="15" customHeight="1">
      <c r="A6422" s="91"/>
      <c r="B6422" s="91"/>
      <c r="C6422" s="220"/>
      <c r="D6422" s="91"/>
      <c r="E6422" s="221"/>
      <c r="F6422" s="91"/>
      <c r="G6422" s="91"/>
      <c r="H6422" s="242"/>
      <c r="I6422" s="223"/>
      <c r="J6422" s="57"/>
      <c r="K6422" s="153"/>
      <c r="L6422" s="153"/>
      <c r="M6422" s="243"/>
      <c r="N6422" s="234"/>
      <c r="O6422" s="235"/>
      <c r="P6422" s="236"/>
      <c r="Q6422" s="236"/>
      <c r="R6422" s="236"/>
      <c r="S6422" s="236"/>
      <c r="T6422" s="236"/>
    </row>
    <row r="6423" spans="1:20" ht="15" customHeight="1">
      <c r="A6423" s="91"/>
      <c r="B6423" s="91"/>
      <c r="C6423" s="220"/>
      <c r="D6423" s="91"/>
      <c r="E6423" s="221"/>
      <c r="F6423" s="91"/>
      <c r="G6423" s="91"/>
      <c r="H6423" s="242"/>
      <c r="I6423" s="223"/>
      <c r="J6423" s="57"/>
      <c r="K6423" s="153"/>
      <c r="L6423" s="153"/>
      <c r="M6423" s="243"/>
      <c r="N6423" s="234"/>
      <c r="O6423" s="235"/>
      <c r="P6423" s="236"/>
      <c r="Q6423" s="236"/>
      <c r="R6423" s="236"/>
      <c r="S6423" s="236"/>
      <c r="T6423" s="236"/>
    </row>
    <row r="6424" spans="1:20" ht="15" customHeight="1">
      <c r="A6424" s="91"/>
      <c r="B6424" s="91"/>
      <c r="C6424" s="220"/>
      <c r="D6424" s="91"/>
      <c r="E6424" s="221"/>
      <c r="F6424" s="91"/>
      <c r="G6424" s="91"/>
      <c r="H6424" s="242"/>
      <c r="I6424" s="223"/>
      <c r="J6424" s="57"/>
      <c r="K6424" s="153"/>
      <c r="L6424" s="153"/>
      <c r="M6424" s="243"/>
      <c r="N6424" s="234"/>
      <c r="O6424" s="235"/>
      <c r="P6424" s="236"/>
      <c r="Q6424" s="236"/>
      <c r="R6424" s="236"/>
      <c r="S6424" s="236"/>
      <c r="T6424" s="236"/>
    </row>
    <row r="6425" spans="1:20" ht="15" customHeight="1">
      <c r="A6425" s="91"/>
      <c r="B6425" s="91"/>
      <c r="C6425" s="220"/>
      <c r="D6425" s="91"/>
      <c r="E6425" s="221"/>
      <c r="F6425" s="91"/>
      <c r="G6425" s="91"/>
      <c r="H6425" s="242"/>
      <c r="I6425" s="223"/>
      <c r="J6425" s="57"/>
      <c r="K6425" s="153"/>
      <c r="L6425" s="153"/>
      <c r="M6425" s="243"/>
      <c r="N6425" s="234"/>
      <c r="O6425" s="235"/>
      <c r="P6425" s="236"/>
      <c r="Q6425" s="236"/>
      <c r="R6425" s="236"/>
      <c r="S6425" s="236"/>
      <c r="T6425" s="236"/>
    </row>
    <row r="6426" spans="1:20" ht="15" customHeight="1">
      <c r="A6426" s="91"/>
      <c r="B6426" s="91"/>
      <c r="C6426" s="220"/>
      <c r="D6426" s="91"/>
      <c r="E6426" s="221"/>
      <c r="F6426" s="91"/>
      <c r="G6426" s="91"/>
      <c r="H6426" s="242"/>
      <c r="I6426" s="223"/>
      <c r="J6426" s="57"/>
      <c r="K6426" s="153"/>
      <c r="L6426" s="153"/>
      <c r="M6426" s="243"/>
      <c r="N6426" s="234"/>
      <c r="O6426" s="235"/>
      <c r="P6426" s="236"/>
      <c r="Q6426" s="236"/>
      <c r="R6426" s="236"/>
      <c r="S6426" s="236"/>
      <c r="T6426" s="236"/>
    </row>
    <row r="6427" spans="1:20" ht="15" customHeight="1">
      <c r="A6427" s="91"/>
      <c r="B6427" s="91"/>
      <c r="C6427" s="220"/>
      <c r="D6427" s="91"/>
      <c r="E6427" s="221"/>
      <c r="F6427" s="91"/>
      <c r="G6427" s="91"/>
      <c r="H6427" s="242"/>
      <c r="I6427" s="223"/>
      <c r="J6427" s="57"/>
      <c r="K6427" s="153"/>
      <c r="L6427" s="153"/>
      <c r="M6427" s="243"/>
      <c r="N6427" s="234"/>
      <c r="O6427" s="235"/>
      <c r="P6427" s="236"/>
      <c r="Q6427" s="236"/>
      <c r="R6427" s="236"/>
      <c r="S6427" s="236"/>
      <c r="T6427" s="236"/>
    </row>
    <row r="6428" spans="1:20" ht="15" customHeight="1">
      <c r="A6428" s="91"/>
      <c r="B6428" s="91"/>
      <c r="C6428" s="220"/>
      <c r="D6428" s="91"/>
      <c r="E6428" s="221"/>
      <c r="F6428" s="91"/>
      <c r="G6428" s="91"/>
      <c r="H6428" s="242"/>
      <c r="I6428" s="223"/>
      <c r="J6428" s="57"/>
      <c r="K6428" s="153"/>
      <c r="L6428" s="153"/>
      <c r="M6428" s="243"/>
      <c r="N6428" s="234"/>
      <c r="O6428" s="235"/>
      <c r="P6428" s="236"/>
      <c r="Q6428" s="236"/>
      <c r="R6428" s="236"/>
      <c r="S6428" s="236"/>
      <c r="T6428" s="236"/>
    </row>
    <row r="6429" spans="1:20" ht="15" customHeight="1">
      <c r="A6429" s="91"/>
      <c r="B6429" s="91"/>
      <c r="C6429" s="220"/>
      <c r="D6429" s="91"/>
      <c r="E6429" s="221"/>
      <c r="F6429" s="91"/>
      <c r="G6429" s="91"/>
      <c r="H6429" s="242"/>
      <c r="I6429" s="223"/>
      <c r="J6429" s="57"/>
      <c r="K6429" s="153"/>
      <c r="L6429" s="153"/>
      <c r="M6429" s="243"/>
      <c r="N6429" s="234"/>
      <c r="O6429" s="235"/>
      <c r="P6429" s="236"/>
      <c r="Q6429" s="236"/>
      <c r="R6429" s="236"/>
      <c r="S6429" s="236"/>
      <c r="T6429" s="236"/>
    </row>
    <row r="6430" spans="1:20" ht="15" customHeight="1">
      <c r="A6430" s="91"/>
      <c r="B6430" s="91"/>
      <c r="C6430" s="220"/>
      <c r="D6430" s="91"/>
      <c r="E6430" s="221"/>
      <c r="F6430" s="91"/>
      <c r="G6430" s="91"/>
      <c r="H6430" s="242"/>
      <c r="I6430" s="223"/>
      <c r="J6430" s="57"/>
      <c r="K6430" s="153"/>
      <c r="L6430" s="153"/>
      <c r="M6430" s="243"/>
      <c r="N6430" s="234"/>
      <c r="O6430" s="235"/>
      <c r="P6430" s="236"/>
      <c r="Q6430" s="236"/>
      <c r="R6430" s="236"/>
      <c r="S6430" s="236"/>
      <c r="T6430" s="236"/>
    </row>
    <row r="6431" spans="1:20" ht="15" customHeight="1">
      <c r="A6431" s="91"/>
      <c r="B6431" s="91"/>
      <c r="C6431" s="220"/>
      <c r="D6431" s="91"/>
      <c r="E6431" s="221"/>
      <c r="F6431" s="91"/>
      <c r="G6431" s="91"/>
      <c r="H6431" s="242"/>
      <c r="I6431" s="223"/>
      <c r="J6431" s="57"/>
      <c r="K6431" s="153"/>
      <c r="L6431" s="153"/>
      <c r="M6431" s="243"/>
      <c r="N6431" s="234"/>
      <c r="O6431" s="235"/>
      <c r="P6431" s="236"/>
      <c r="Q6431" s="236"/>
      <c r="R6431" s="236"/>
      <c r="S6431" s="236"/>
      <c r="T6431" s="236"/>
    </row>
    <row r="6432" spans="1:20" ht="15" customHeight="1">
      <c r="A6432" s="91"/>
      <c r="B6432" s="91"/>
      <c r="C6432" s="220"/>
      <c r="D6432" s="91"/>
      <c r="E6432" s="221"/>
      <c r="F6432" s="91"/>
      <c r="G6432" s="91"/>
      <c r="H6432" s="242"/>
      <c r="I6432" s="223"/>
      <c r="J6432" s="57"/>
      <c r="K6432" s="153"/>
      <c r="L6432" s="153"/>
      <c r="M6432" s="243"/>
      <c r="N6432" s="234"/>
      <c r="O6432" s="235"/>
      <c r="P6432" s="236"/>
      <c r="Q6432" s="236"/>
      <c r="R6432" s="236"/>
      <c r="S6432" s="236"/>
      <c r="T6432" s="236"/>
    </row>
    <row r="6433" spans="1:20" ht="15" customHeight="1">
      <c r="A6433" s="91"/>
      <c r="B6433" s="91"/>
      <c r="C6433" s="220"/>
      <c r="D6433" s="91"/>
      <c r="E6433" s="221"/>
      <c r="F6433" s="91"/>
      <c r="G6433" s="91"/>
      <c r="H6433" s="242"/>
      <c r="I6433" s="223"/>
      <c r="J6433" s="57"/>
      <c r="K6433" s="153"/>
      <c r="L6433" s="153"/>
      <c r="M6433" s="243"/>
      <c r="N6433" s="234"/>
      <c r="O6433" s="235"/>
      <c r="P6433" s="236"/>
      <c r="Q6433" s="236"/>
      <c r="R6433" s="236"/>
      <c r="S6433" s="236"/>
      <c r="T6433" s="236"/>
    </row>
    <row r="6434" spans="1:20" ht="15" customHeight="1">
      <c r="A6434" s="91"/>
      <c r="B6434" s="91"/>
      <c r="C6434" s="220"/>
      <c r="D6434" s="91"/>
      <c r="E6434" s="221"/>
      <c r="F6434" s="91"/>
      <c r="G6434" s="91"/>
      <c r="H6434" s="242"/>
      <c r="I6434" s="223"/>
      <c r="J6434" s="57"/>
      <c r="K6434" s="153"/>
      <c r="L6434" s="153"/>
      <c r="M6434" s="243"/>
      <c r="N6434" s="234"/>
      <c r="O6434" s="235"/>
      <c r="P6434" s="236"/>
      <c r="Q6434" s="236"/>
      <c r="R6434" s="236"/>
      <c r="S6434" s="236"/>
      <c r="T6434" s="236"/>
    </row>
    <row r="6435" spans="1:20" ht="15" customHeight="1">
      <c r="A6435" s="91"/>
      <c r="B6435" s="91"/>
      <c r="C6435" s="220"/>
      <c r="D6435" s="91"/>
      <c r="E6435" s="221"/>
      <c r="F6435" s="91"/>
      <c r="G6435" s="91"/>
      <c r="H6435" s="242"/>
      <c r="I6435" s="223"/>
      <c r="J6435" s="57"/>
      <c r="K6435" s="153"/>
      <c r="L6435" s="153"/>
      <c r="M6435" s="243"/>
      <c r="N6435" s="234"/>
      <c r="O6435" s="235"/>
      <c r="P6435" s="236"/>
      <c r="Q6435" s="236"/>
      <c r="R6435" s="236"/>
      <c r="S6435" s="236"/>
      <c r="T6435" s="236"/>
    </row>
    <row r="6436" spans="1:20" ht="15" customHeight="1">
      <c r="A6436" s="91"/>
      <c r="B6436" s="91"/>
      <c r="C6436" s="220"/>
      <c r="D6436" s="91"/>
      <c r="E6436" s="221"/>
      <c r="F6436" s="91"/>
      <c r="G6436" s="91"/>
      <c r="H6436" s="242"/>
      <c r="I6436" s="223"/>
      <c r="J6436" s="57"/>
      <c r="K6436" s="153"/>
      <c r="L6436" s="153"/>
      <c r="M6436" s="243"/>
      <c r="N6436" s="234"/>
      <c r="O6436" s="235"/>
      <c r="P6436" s="236"/>
      <c r="Q6436" s="236"/>
      <c r="R6436" s="236"/>
      <c r="S6436" s="236"/>
      <c r="T6436" s="236"/>
    </row>
    <row r="6437" spans="1:20" ht="15" customHeight="1">
      <c r="A6437" s="91"/>
      <c r="B6437" s="91"/>
      <c r="C6437" s="220"/>
      <c r="D6437" s="91"/>
      <c r="E6437" s="221"/>
      <c r="F6437" s="91"/>
      <c r="G6437" s="91"/>
      <c r="H6437" s="242"/>
      <c r="I6437" s="223"/>
      <c r="J6437" s="57"/>
      <c r="K6437" s="153"/>
      <c r="L6437" s="153"/>
      <c r="M6437" s="243"/>
      <c r="N6437" s="234"/>
      <c r="O6437" s="235"/>
      <c r="P6437" s="236"/>
      <c r="Q6437" s="236"/>
      <c r="R6437" s="236"/>
      <c r="S6437" s="236"/>
      <c r="T6437" s="236"/>
    </row>
    <row r="6438" spans="1:20" ht="15" customHeight="1">
      <c r="A6438" s="91"/>
      <c r="B6438" s="91"/>
      <c r="C6438" s="220"/>
      <c r="D6438" s="91"/>
      <c r="E6438" s="221"/>
      <c r="F6438" s="91"/>
      <c r="G6438" s="91"/>
      <c r="H6438" s="242"/>
      <c r="I6438" s="223"/>
      <c r="J6438" s="57"/>
      <c r="K6438" s="153"/>
      <c r="L6438" s="153"/>
      <c r="M6438" s="243"/>
      <c r="N6438" s="234"/>
      <c r="O6438" s="235"/>
      <c r="P6438" s="236"/>
      <c r="Q6438" s="236"/>
      <c r="R6438" s="236"/>
      <c r="S6438" s="236"/>
      <c r="T6438" s="236"/>
    </row>
    <row r="6439" spans="1:20" ht="15" customHeight="1">
      <c r="A6439" s="91"/>
      <c r="B6439" s="91"/>
      <c r="C6439" s="220"/>
      <c r="D6439" s="91"/>
      <c r="E6439" s="221"/>
      <c r="F6439" s="91"/>
      <c r="G6439" s="91"/>
      <c r="H6439" s="242"/>
      <c r="I6439" s="223"/>
      <c r="J6439" s="57"/>
      <c r="K6439" s="153"/>
      <c r="L6439" s="153"/>
      <c r="M6439" s="243"/>
      <c r="N6439" s="234"/>
      <c r="O6439" s="235"/>
      <c r="P6439" s="236"/>
      <c r="Q6439" s="236"/>
      <c r="R6439" s="236"/>
      <c r="S6439" s="236"/>
      <c r="T6439" s="236"/>
    </row>
    <row r="6440" spans="1:20" ht="15" customHeight="1">
      <c r="A6440" s="91"/>
      <c r="B6440" s="91"/>
      <c r="C6440" s="220"/>
      <c r="D6440" s="91"/>
      <c r="E6440" s="221"/>
      <c r="F6440" s="91"/>
      <c r="G6440" s="91"/>
      <c r="H6440" s="242"/>
      <c r="I6440" s="223"/>
      <c r="J6440" s="57"/>
      <c r="K6440" s="153"/>
      <c r="L6440" s="153"/>
      <c r="M6440" s="243"/>
      <c r="N6440" s="234"/>
      <c r="O6440" s="235"/>
      <c r="P6440" s="236"/>
      <c r="Q6440" s="236"/>
      <c r="R6440" s="236"/>
      <c r="S6440" s="236"/>
      <c r="T6440" s="236"/>
    </row>
    <row r="6441" spans="1:20" ht="15" customHeight="1">
      <c r="A6441" s="91"/>
      <c r="B6441" s="91"/>
      <c r="C6441" s="220"/>
      <c r="D6441" s="91"/>
      <c r="E6441" s="221"/>
      <c r="F6441" s="91"/>
      <c r="G6441" s="91"/>
      <c r="H6441" s="242"/>
      <c r="I6441" s="223"/>
      <c r="J6441" s="57"/>
      <c r="K6441" s="153"/>
      <c r="L6441" s="153"/>
      <c r="M6441" s="243"/>
      <c r="N6441" s="234"/>
      <c r="O6441" s="235"/>
      <c r="P6441" s="236"/>
      <c r="Q6441" s="236"/>
      <c r="R6441" s="236"/>
      <c r="S6441" s="236"/>
      <c r="T6441" s="236"/>
    </row>
    <row r="6442" spans="1:20" ht="15" customHeight="1">
      <c r="A6442" s="91"/>
      <c r="B6442" s="91"/>
      <c r="C6442" s="220"/>
      <c r="D6442" s="91"/>
      <c r="E6442" s="221"/>
      <c r="F6442" s="91"/>
      <c r="G6442" s="91"/>
      <c r="H6442" s="242"/>
      <c r="I6442" s="223"/>
      <c r="J6442" s="57"/>
      <c r="K6442" s="153"/>
      <c r="L6442" s="153"/>
      <c r="M6442" s="243"/>
      <c r="N6442" s="234"/>
      <c r="O6442" s="235"/>
      <c r="P6442" s="236"/>
      <c r="Q6442" s="236"/>
      <c r="R6442" s="236"/>
      <c r="S6442" s="236"/>
      <c r="T6442" s="236"/>
    </row>
    <row r="6443" spans="1:20" ht="15" customHeight="1">
      <c r="A6443" s="91"/>
      <c r="B6443" s="91"/>
      <c r="C6443" s="220"/>
      <c r="D6443" s="91"/>
      <c r="E6443" s="221"/>
      <c r="F6443" s="91"/>
      <c r="G6443" s="91"/>
      <c r="H6443" s="242"/>
      <c r="I6443" s="223"/>
      <c r="J6443" s="57"/>
      <c r="K6443" s="153"/>
      <c r="L6443" s="153"/>
      <c r="M6443" s="243"/>
      <c r="N6443" s="234"/>
      <c r="O6443" s="235"/>
      <c r="P6443" s="236"/>
      <c r="Q6443" s="236"/>
      <c r="R6443" s="236"/>
      <c r="S6443" s="236"/>
      <c r="T6443" s="236"/>
    </row>
    <row r="6444" spans="1:20" ht="15" customHeight="1">
      <c r="A6444" s="91"/>
      <c r="B6444" s="91"/>
      <c r="C6444" s="220"/>
      <c r="D6444" s="91"/>
      <c r="E6444" s="221"/>
      <c r="F6444" s="91"/>
      <c r="G6444" s="91"/>
      <c r="H6444" s="242"/>
      <c r="I6444" s="223"/>
      <c r="J6444" s="57"/>
      <c r="K6444" s="153"/>
      <c r="L6444" s="153"/>
      <c r="M6444" s="243"/>
      <c r="N6444" s="234"/>
      <c r="O6444" s="235"/>
      <c r="P6444" s="236"/>
      <c r="Q6444" s="236"/>
      <c r="R6444" s="236"/>
      <c r="S6444" s="236"/>
      <c r="T6444" s="236"/>
    </row>
    <row r="6445" spans="1:20" ht="15" customHeight="1">
      <c r="A6445" s="91"/>
      <c r="B6445" s="91"/>
      <c r="C6445" s="220"/>
      <c r="D6445" s="91"/>
      <c r="E6445" s="221"/>
      <c r="F6445" s="91"/>
      <c r="G6445" s="91"/>
      <c r="H6445" s="242"/>
      <c r="I6445" s="223"/>
      <c r="J6445" s="57"/>
      <c r="K6445" s="153"/>
      <c r="L6445" s="153"/>
      <c r="M6445" s="243"/>
      <c r="N6445" s="234"/>
      <c r="O6445" s="235"/>
      <c r="P6445" s="236"/>
      <c r="Q6445" s="236"/>
      <c r="R6445" s="236"/>
      <c r="S6445" s="236"/>
      <c r="T6445" s="236"/>
    </row>
    <row r="6446" spans="1:20" ht="15" customHeight="1">
      <c r="A6446" s="91"/>
      <c r="B6446" s="91"/>
      <c r="C6446" s="220"/>
      <c r="D6446" s="91"/>
      <c r="E6446" s="221"/>
      <c r="F6446" s="91"/>
      <c r="G6446" s="91"/>
      <c r="H6446" s="242"/>
      <c r="I6446" s="223"/>
      <c r="J6446" s="57"/>
      <c r="K6446" s="153"/>
      <c r="L6446" s="153"/>
      <c r="M6446" s="243"/>
      <c r="N6446" s="234"/>
      <c r="O6446" s="235"/>
      <c r="P6446" s="236"/>
      <c r="Q6446" s="236"/>
      <c r="R6446" s="236"/>
      <c r="S6446" s="236"/>
      <c r="T6446" s="236"/>
    </row>
    <row r="6447" spans="1:20" ht="15" customHeight="1">
      <c r="A6447" s="91"/>
      <c r="B6447" s="91"/>
      <c r="C6447" s="220"/>
      <c r="D6447" s="91"/>
      <c r="E6447" s="221"/>
      <c r="F6447" s="91"/>
      <c r="G6447" s="91"/>
      <c r="H6447" s="242"/>
      <c r="I6447" s="223"/>
      <c r="J6447" s="57"/>
      <c r="K6447" s="153"/>
      <c r="L6447" s="153"/>
      <c r="M6447" s="243"/>
      <c r="N6447" s="234"/>
      <c r="O6447" s="235"/>
      <c r="P6447" s="236"/>
      <c r="Q6447" s="236"/>
      <c r="R6447" s="236"/>
      <c r="S6447" s="236"/>
      <c r="T6447" s="236"/>
    </row>
    <row r="6448" spans="1:20" ht="15" customHeight="1">
      <c r="A6448" s="91"/>
      <c r="B6448" s="91"/>
      <c r="C6448" s="220"/>
      <c r="D6448" s="91"/>
      <c r="E6448" s="221"/>
      <c r="F6448" s="91"/>
      <c r="G6448" s="91"/>
      <c r="H6448" s="242"/>
      <c r="I6448" s="223"/>
      <c r="J6448" s="57"/>
      <c r="K6448" s="153"/>
      <c r="L6448" s="153"/>
      <c r="M6448" s="243"/>
      <c r="N6448" s="234"/>
      <c r="O6448" s="235"/>
      <c r="P6448" s="236"/>
      <c r="Q6448" s="236"/>
      <c r="R6448" s="236"/>
      <c r="S6448" s="236"/>
      <c r="T6448" s="236"/>
    </row>
    <row r="6449" spans="1:20" ht="15" customHeight="1">
      <c r="A6449" s="91"/>
      <c r="B6449" s="91"/>
      <c r="C6449" s="220"/>
      <c r="D6449" s="91"/>
      <c r="E6449" s="221"/>
      <c r="F6449" s="91"/>
      <c r="G6449" s="91"/>
      <c r="H6449" s="242"/>
      <c r="I6449" s="223"/>
      <c r="J6449" s="57"/>
      <c r="K6449" s="153"/>
      <c r="L6449" s="153"/>
      <c r="M6449" s="243"/>
      <c r="N6449" s="234"/>
      <c r="O6449" s="235"/>
      <c r="P6449" s="236"/>
      <c r="Q6449" s="236"/>
      <c r="R6449" s="236"/>
      <c r="S6449" s="236"/>
      <c r="T6449" s="236"/>
    </row>
    <row r="6450" spans="1:20" ht="15" customHeight="1">
      <c r="A6450" s="91"/>
      <c r="B6450" s="91"/>
      <c r="C6450" s="220"/>
      <c r="D6450" s="91"/>
      <c r="E6450" s="221"/>
      <c r="F6450" s="91"/>
      <c r="G6450" s="91"/>
      <c r="H6450" s="242"/>
      <c r="I6450" s="223"/>
      <c r="J6450" s="57"/>
      <c r="K6450" s="153"/>
      <c r="L6450" s="153"/>
      <c r="M6450" s="243"/>
      <c r="N6450" s="234"/>
      <c r="O6450" s="235"/>
      <c r="P6450" s="236"/>
      <c r="Q6450" s="236"/>
      <c r="R6450" s="236"/>
      <c r="S6450" s="236"/>
      <c r="T6450" s="236"/>
    </row>
    <row r="6451" spans="1:20" ht="15" customHeight="1">
      <c r="A6451" s="91"/>
      <c r="B6451" s="91"/>
      <c r="C6451" s="220"/>
      <c r="D6451" s="91"/>
      <c r="E6451" s="221"/>
      <c r="F6451" s="91"/>
      <c r="G6451" s="91"/>
      <c r="H6451" s="242"/>
      <c r="I6451" s="223"/>
      <c r="J6451" s="57"/>
      <c r="K6451" s="153"/>
      <c r="L6451" s="153"/>
      <c r="M6451" s="243"/>
      <c r="N6451" s="234"/>
      <c r="O6451" s="235"/>
      <c r="P6451" s="236"/>
      <c r="Q6451" s="236"/>
      <c r="R6451" s="236"/>
      <c r="S6451" s="236"/>
      <c r="T6451" s="236"/>
    </row>
    <row r="6452" spans="1:20" ht="15" customHeight="1">
      <c r="A6452" s="91"/>
      <c r="B6452" s="91"/>
      <c r="C6452" s="220"/>
      <c r="D6452" s="91"/>
      <c r="E6452" s="221"/>
      <c r="F6452" s="91"/>
      <c r="G6452" s="91"/>
      <c r="H6452" s="242"/>
      <c r="I6452" s="223"/>
      <c r="J6452" s="57"/>
      <c r="K6452" s="153"/>
      <c r="L6452" s="153"/>
      <c r="M6452" s="243"/>
      <c r="N6452" s="234"/>
      <c r="O6452" s="235"/>
      <c r="P6452" s="236"/>
      <c r="Q6452" s="236"/>
      <c r="R6452" s="236"/>
      <c r="S6452" s="236"/>
      <c r="T6452" s="236"/>
    </row>
    <row r="6453" spans="1:20" ht="15" customHeight="1">
      <c r="A6453" s="91"/>
      <c r="B6453" s="91"/>
      <c r="C6453" s="220"/>
      <c r="D6453" s="91"/>
      <c r="E6453" s="221"/>
      <c r="F6453" s="91"/>
      <c r="G6453" s="91"/>
      <c r="H6453" s="242"/>
      <c r="I6453" s="223"/>
      <c r="J6453" s="57"/>
      <c r="K6453" s="153"/>
      <c r="L6453" s="153"/>
      <c r="M6453" s="243"/>
      <c r="N6453" s="234"/>
      <c r="O6453" s="235"/>
      <c r="P6453" s="236"/>
      <c r="Q6453" s="236"/>
      <c r="R6453" s="236"/>
      <c r="S6453" s="236"/>
      <c r="T6453" s="236"/>
    </row>
    <row r="6454" spans="1:20" ht="15" customHeight="1">
      <c r="A6454" s="91"/>
      <c r="B6454" s="91"/>
      <c r="C6454" s="220"/>
      <c r="D6454" s="91"/>
      <c r="E6454" s="221"/>
      <c r="F6454" s="91"/>
      <c r="G6454" s="91"/>
      <c r="H6454" s="242"/>
      <c r="I6454" s="223"/>
      <c r="J6454" s="57"/>
      <c r="K6454" s="153"/>
      <c r="L6454" s="153"/>
      <c r="M6454" s="243"/>
      <c r="N6454" s="234"/>
      <c r="O6454" s="235"/>
      <c r="P6454" s="236"/>
      <c r="Q6454" s="236"/>
      <c r="R6454" s="236"/>
      <c r="S6454" s="236"/>
      <c r="T6454" s="236"/>
    </row>
    <row r="6455" spans="1:20" ht="15" customHeight="1">
      <c r="A6455" s="91"/>
      <c r="B6455" s="91"/>
      <c r="C6455" s="220"/>
      <c r="D6455" s="91"/>
      <c r="E6455" s="221"/>
      <c r="F6455" s="91"/>
      <c r="G6455" s="91"/>
      <c r="H6455" s="242"/>
      <c r="I6455" s="223"/>
      <c r="J6455" s="57"/>
      <c r="K6455" s="153"/>
      <c r="L6455" s="153"/>
      <c r="M6455" s="243"/>
      <c r="N6455" s="234"/>
      <c r="O6455" s="235"/>
      <c r="P6455" s="236"/>
      <c r="Q6455" s="236"/>
      <c r="R6455" s="236"/>
      <c r="S6455" s="236"/>
      <c r="T6455" s="236"/>
    </row>
    <row r="6456" spans="1:20" ht="15" customHeight="1">
      <c r="A6456" s="91"/>
      <c r="B6456" s="91"/>
      <c r="C6456" s="220"/>
      <c r="D6456" s="91"/>
      <c r="E6456" s="221"/>
      <c r="F6456" s="91"/>
      <c r="G6456" s="91"/>
      <c r="H6456" s="242"/>
      <c r="I6456" s="223"/>
      <c r="J6456" s="57"/>
      <c r="K6456" s="153"/>
      <c r="L6456" s="153"/>
      <c r="M6456" s="243"/>
      <c r="N6456" s="234"/>
      <c r="O6456" s="235"/>
      <c r="P6456" s="236"/>
      <c r="Q6456" s="236"/>
      <c r="R6456" s="236"/>
      <c r="S6456" s="236"/>
      <c r="T6456" s="236"/>
    </row>
    <row r="6457" spans="1:20" ht="15" customHeight="1">
      <c r="A6457" s="91"/>
      <c r="B6457" s="91"/>
      <c r="C6457" s="220"/>
      <c r="D6457" s="91"/>
      <c r="E6457" s="221"/>
      <c r="F6457" s="91"/>
      <c r="G6457" s="91"/>
      <c r="H6457" s="242"/>
      <c r="I6457" s="223"/>
      <c r="J6457" s="57"/>
      <c r="K6457" s="153"/>
      <c r="L6457" s="153"/>
      <c r="M6457" s="243"/>
      <c r="N6457" s="234"/>
      <c r="O6457" s="235"/>
      <c r="P6457" s="236"/>
      <c r="Q6457" s="236"/>
      <c r="R6457" s="236"/>
      <c r="S6457" s="236"/>
      <c r="T6457" s="236"/>
    </row>
    <row r="6458" spans="1:20" ht="15" customHeight="1">
      <c r="A6458" s="91"/>
      <c r="B6458" s="91"/>
      <c r="C6458" s="220"/>
      <c r="D6458" s="91"/>
      <c r="E6458" s="221"/>
      <c r="F6458" s="91"/>
      <c r="G6458" s="91"/>
      <c r="H6458" s="242"/>
      <c r="I6458" s="223"/>
      <c r="J6458" s="57"/>
      <c r="K6458" s="153"/>
      <c r="L6458" s="153"/>
      <c r="M6458" s="243"/>
      <c r="N6458" s="234"/>
      <c r="O6458" s="235"/>
      <c r="P6458" s="236"/>
      <c r="Q6458" s="236"/>
      <c r="R6458" s="236"/>
      <c r="S6458" s="236"/>
      <c r="T6458" s="236"/>
    </row>
    <row r="6459" spans="1:20" ht="15" customHeight="1">
      <c r="A6459" s="91"/>
      <c r="B6459" s="91"/>
      <c r="C6459" s="220"/>
      <c r="D6459" s="91"/>
      <c r="E6459" s="221"/>
      <c r="F6459" s="91"/>
      <c r="G6459" s="91"/>
      <c r="H6459" s="242"/>
      <c r="I6459" s="223"/>
      <c r="J6459" s="57"/>
      <c r="K6459" s="153"/>
      <c r="L6459" s="153"/>
      <c r="M6459" s="243"/>
      <c r="N6459" s="234"/>
      <c r="O6459" s="235"/>
      <c r="P6459" s="236"/>
      <c r="Q6459" s="236"/>
      <c r="R6459" s="236"/>
      <c r="S6459" s="236"/>
      <c r="T6459" s="236"/>
    </row>
    <row r="6460" spans="1:20" ht="15" customHeight="1">
      <c r="A6460" s="91"/>
      <c r="B6460" s="91"/>
      <c r="C6460" s="220"/>
      <c r="D6460" s="91"/>
      <c r="E6460" s="221"/>
      <c r="F6460" s="91"/>
      <c r="G6460" s="91"/>
      <c r="H6460" s="242"/>
      <c r="I6460" s="223"/>
      <c r="J6460" s="57"/>
      <c r="K6460" s="153"/>
      <c r="L6460" s="153"/>
      <c r="M6460" s="243"/>
      <c r="N6460" s="234"/>
      <c r="O6460" s="235"/>
      <c r="P6460" s="236"/>
      <c r="Q6460" s="236"/>
      <c r="R6460" s="236"/>
      <c r="S6460" s="236"/>
      <c r="T6460" s="236"/>
    </row>
    <row r="6461" spans="1:20" ht="15" customHeight="1">
      <c r="A6461" s="91"/>
      <c r="B6461" s="91"/>
      <c r="C6461" s="220"/>
      <c r="D6461" s="91"/>
      <c r="E6461" s="221"/>
      <c r="F6461" s="91"/>
      <c r="G6461" s="91"/>
      <c r="H6461" s="242"/>
      <c r="I6461" s="223"/>
      <c r="J6461" s="57"/>
      <c r="K6461" s="153"/>
      <c r="L6461" s="153"/>
      <c r="M6461" s="243"/>
      <c r="N6461" s="234"/>
      <c r="O6461" s="235"/>
      <c r="P6461" s="236"/>
      <c r="Q6461" s="236"/>
      <c r="R6461" s="236"/>
      <c r="S6461" s="236"/>
      <c r="T6461" s="236"/>
    </row>
    <row r="6462" spans="1:20" ht="15" customHeight="1">
      <c r="A6462" s="91"/>
      <c r="B6462" s="91"/>
      <c r="C6462" s="220"/>
      <c r="D6462" s="91"/>
      <c r="E6462" s="221"/>
      <c r="F6462" s="91"/>
      <c r="G6462" s="91"/>
      <c r="H6462" s="242"/>
      <c r="I6462" s="223"/>
      <c r="J6462" s="57"/>
      <c r="K6462" s="153"/>
      <c r="L6462" s="153"/>
      <c r="M6462" s="243"/>
      <c r="N6462" s="234"/>
      <c r="O6462" s="235"/>
      <c r="P6462" s="236"/>
      <c r="Q6462" s="236"/>
      <c r="R6462" s="236"/>
      <c r="S6462" s="236"/>
      <c r="T6462" s="236"/>
    </row>
    <row r="6463" spans="1:20" ht="15" customHeight="1">
      <c r="A6463" s="91"/>
      <c r="B6463" s="91"/>
      <c r="C6463" s="220"/>
      <c r="D6463" s="91"/>
      <c r="E6463" s="221"/>
      <c r="F6463" s="91"/>
      <c r="G6463" s="91"/>
      <c r="H6463" s="242"/>
      <c r="I6463" s="223"/>
      <c r="J6463" s="57"/>
      <c r="K6463" s="153"/>
      <c r="L6463" s="153"/>
      <c r="M6463" s="243"/>
      <c r="N6463" s="234"/>
      <c r="O6463" s="235"/>
      <c r="P6463" s="236"/>
      <c r="Q6463" s="236"/>
      <c r="R6463" s="236"/>
      <c r="S6463" s="236"/>
      <c r="T6463" s="236"/>
    </row>
    <row r="6464" spans="1:20" ht="15" customHeight="1">
      <c r="A6464" s="91"/>
      <c r="B6464" s="91"/>
      <c r="C6464" s="220"/>
      <c r="D6464" s="91"/>
      <c r="E6464" s="221"/>
      <c r="F6464" s="91"/>
      <c r="G6464" s="91"/>
      <c r="H6464" s="242"/>
      <c r="I6464" s="223"/>
      <c r="J6464" s="57"/>
      <c r="K6464" s="153"/>
      <c r="L6464" s="153"/>
      <c r="M6464" s="243"/>
      <c r="N6464" s="234"/>
      <c r="O6464" s="235"/>
      <c r="P6464" s="236"/>
      <c r="Q6464" s="236"/>
      <c r="R6464" s="236"/>
      <c r="S6464" s="236"/>
      <c r="T6464" s="236"/>
    </row>
    <row r="6465" spans="1:20" ht="15" customHeight="1">
      <c r="A6465" s="91"/>
      <c r="B6465" s="91"/>
      <c r="C6465" s="220"/>
      <c r="D6465" s="91"/>
      <c r="E6465" s="221"/>
      <c r="F6465" s="91"/>
      <c r="G6465" s="91"/>
      <c r="H6465" s="242"/>
      <c r="I6465" s="223"/>
      <c r="J6465" s="57"/>
      <c r="K6465" s="153"/>
      <c r="L6465" s="153"/>
      <c r="M6465" s="243"/>
      <c r="N6465" s="234"/>
      <c r="O6465" s="235"/>
      <c r="P6465" s="236"/>
      <c r="Q6465" s="236"/>
      <c r="R6465" s="236"/>
      <c r="S6465" s="236"/>
      <c r="T6465" s="236"/>
    </row>
    <row r="6466" spans="1:20" ht="15" customHeight="1">
      <c r="A6466" s="91"/>
      <c r="B6466" s="91"/>
      <c r="C6466" s="220"/>
      <c r="D6466" s="91"/>
      <c r="E6466" s="221"/>
      <c r="F6466" s="91"/>
      <c r="G6466" s="91"/>
      <c r="H6466" s="242"/>
      <c r="I6466" s="223"/>
      <c r="J6466" s="57"/>
      <c r="K6466" s="153"/>
      <c r="L6466" s="153"/>
      <c r="M6466" s="243"/>
      <c r="N6466" s="234"/>
      <c r="O6466" s="235"/>
      <c r="P6466" s="236"/>
      <c r="Q6466" s="236"/>
      <c r="R6466" s="236"/>
      <c r="S6466" s="236"/>
      <c r="T6466" s="236"/>
    </row>
    <row r="6467" spans="1:20" ht="15" customHeight="1">
      <c r="A6467" s="91"/>
      <c r="B6467" s="91"/>
      <c r="C6467" s="220"/>
      <c r="D6467" s="91"/>
      <c r="E6467" s="221"/>
      <c r="F6467" s="91"/>
      <c r="G6467" s="91"/>
      <c r="H6467" s="242"/>
      <c r="I6467" s="223"/>
      <c r="J6467" s="57"/>
      <c r="K6467" s="153"/>
      <c r="L6467" s="153"/>
      <c r="M6467" s="243"/>
      <c r="N6467" s="234"/>
      <c r="O6467" s="235"/>
      <c r="P6467" s="236"/>
      <c r="Q6467" s="236"/>
      <c r="R6467" s="236"/>
      <c r="S6467" s="236"/>
      <c r="T6467" s="236"/>
    </row>
    <row r="6468" spans="1:20" ht="15" customHeight="1">
      <c r="A6468" s="91"/>
      <c r="B6468" s="91"/>
      <c r="C6468" s="220"/>
      <c r="D6468" s="91"/>
      <c r="E6468" s="221"/>
      <c r="F6468" s="91"/>
      <c r="G6468" s="91"/>
      <c r="H6468" s="242"/>
      <c r="I6468" s="223"/>
      <c r="J6468" s="57"/>
      <c r="K6468" s="153"/>
      <c r="L6468" s="153"/>
      <c r="M6468" s="243"/>
      <c r="N6468" s="234"/>
      <c r="O6468" s="235"/>
      <c r="P6468" s="236"/>
      <c r="Q6468" s="236"/>
      <c r="R6468" s="236"/>
      <c r="S6468" s="236"/>
      <c r="T6468" s="236"/>
    </row>
    <row r="6469" spans="1:20" ht="15" customHeight="1">
      <c r="A6469" s="91"/>
      <c r="B6469" s="91"/>
      <c r="C6469" s="220"/>
      <c r="D6469" s="91"/>
      <c r="E6469" s="221"/>
      <c r="F6469" s="91"/>
      <c r="G6469" s="91"/>
      <c r="H6469" s="242"/>
      <c r="I6469" s="223"/>
      <c r="J6469" s="57"/>
      <c r="K6469" s="153"/>
      <c r="L6469" s="153"/>
      <c r="M6469" s="243"/>
      <c r="N6469" s="234"/>
      <c r="O6469" s="235"/>
      <c r="P6469" s="236"/>
      <c r="Q6469" s="236"/>
      <c r="R6469" s="236"/>
      <c r="S6469" s="236"/>
      <c r="T6469" s="236"/>
    </row>
    <row r="6470" spans="1:20" ht="15" customHeight="1">
      <c r="A6470" s="91"/>
      <c r="B6470" s="91"/>
      <c r="C6470" s="220"/>
      <c r="D6470" s="91"/>
      <c r="E6470" s="221"/>
      <c r="F6470" s="91"/>
      <c r="G6470" s="91"/>
      <c r="H6470" s="242"/>
      <c r="I6470" s="223"/>
      <c r="J6470" s="57"/>
      <c r="K6470" s="153"/>
      <c r="L6470" s="153"/>
      <c r="M6470" s="243"/>
      <c r="N6470" s="234"/>
      <c r="O6470" s="235"/>
      <c r="P6470" s="236"/>
      <c r="Q6470" s="236"/>
      <c r="R6470" s="236"/>
      <c r="S6470" s="236"/>
      <c r="T6470" s="236"/>
    </row>
    <row r="6471" spans="1:20" ht="15" customHeight="1">
      <c r="A6471" s="91"/>
      <c r="B6471" s="91"/>
      <c r="C6471" s="220"/>
      <c r="D6471" s="91"/>
      <c r="E6471" s="221"/>
      <c r="F6471" s="91"/>
      <c r="G6471" s="91"/>
      <c r="H6471" s="242"/>
      <c r="I6471" s="223"/>
      <c r="J6471" s="57"/>
      <c r="K6471" s="153"/>
      <c r="L6471" s="153"/>
      <c r="M6471" s="243"/>
      <c r="N6471" s="234"/>
      <c r="O6471" s="235"/>
      <c r="P6471" s="236"/>
      <c r="Q6471" s="236"/>
      <c r="R6471" s="236"/>
      <c r="S6471" s="236"/>
      <c r="T6471" s="236"/>
    </row>
    <row r="6472" spans="1:20" ht="15" customHeight="1">
      <c r="A6472" s="91"/>
      <c r="B6472" s="91"/>
      <c r="C6472" s="220"/>
      <c r="D6472" s="91"/>
      <c r="E6472" s="221"/>
      <c r="F6472" s="91"/>
      <c r="G6472" s="91"/>
      <c r="H6472" s="242"/>
      <c r="I6472" s="223"/>
      <c r="J6472" s="57"/>
      <c r="K6472" s="153"/>
      <c r="L6472" s="153"/>
      <c r="M6472" s="243"/>
      <c r="N6472" s="234"/>
      <c r="O6472" s="235"/>
      <c r="P6472" s="236"/>
      <c r="Q6472" s="236"/>
      <c r="R6472" s="236"/>
      <c r="S6472" s="236"/>
      <c r="T6472" s="236"/>
    </row>
    <row r="6473" spans="1:20" ht="15" customHeight="1">
      <c r="A6473" s="91"/>
      <c r="B6473" s="91"/>
      <c r="C6473" s="220"/>
      <c r="D6473" s="91"/>
      <c r="E6473" s="221"/>
      <c r="F6473" s="91"/>
      <c r="G6473" s="91"/>
      <c r="H6473" s="242"/>
      <c r="I6473" s="223"/>
      <c r="J6473" s="57"/>
      <c r="K6473" s="153"/>
      <c r="L6473" s="153"/>
      <c r="M6473" s="243"/>
      <c r="N6473" s="234"/>
      <c r="O6473" s="235"/>
      <c r="P6473" s="236"/>
      <c r="Q6473" s="236"/>
      <c r="R6473" s="236"/>
      <c r="S6473" s="236"/>
      <c r="T6473" s="236"/>
    </row>
    <row r="6474" spans="1:20" ht="15" customHeight="1">
      <c r="A6474" s="91"/>
      <c r="B6474" s="91"/>
      <c r="C6474" s="220"/>
      <c r="D6474" s="91"/>
      <c r="E6474" s="221"/>
      <c r="F6474" s="91"/>
      <c r="G6474" s="91"/>
      <c r="H6474" s="242"/>
      <c r="I6474" s="223"/>
      <c r="J6474" s="57"/>
      <c r="K6474" s="153"/>
      <c r="L6474" s="153"/>
      <c r="M6474" s="243"/>
      <c r="N6474" s="234"/>
      <c r="O6474" s="235"/>
      <c r="P6474" s="236"/>
      <c r="Q6474" s="236"/>
      <c r="R6474" s="236"/>
      <c r="S6474" s="236"/>
      <c r="T6474" s="236"/>
    </row>
    <row r="6475" spans="1:20" ht="15" customHeight="1">
      <c r="A6475" s="91"/>
      <c r="B6475" s="91"/>
      <c r="C6475" s="220"/>
      <c r="D6475" s="91"/>
      <c r="E6475" s="221"/>
      <c r="F6475" s="91"/>
      <c r="G6475" s="91"/>
      <c r="H6475" s="242"/>
      <c r="I6475" s="223"/>
      <c r="J6475" s="57"/>
      <c r="K6475" s="153"/>
      <c r="L6475" s="153"/>
      <c r="M6475" s="243"/>
      <c r="N6475" s="234"/>
      <c r="O6475" s="235"/>
      <c r="P6475" s="236"/>
      <c r="Q6475" s="236"/>
      <c r="R6475" s="236"/>
      <c r="S6475" s="236"/>
      <c r="T6475" s="236"/>
    </row>
    <row r="6476" spans="1:20" ht="15" customHeight="1">
      <c r="A6476" s="91"/>
      <c r="B6476" s="91"/>
      <c r="C6476" s="220"/>
      <c r="D6476" s="91"/>
      <c r="E6476" s="221"/>
      <c r="F6476" s="91"/>
      <c r="G6476" s="91"/>
      <c r="H6476" s="242"/>
      <c r="I6476" s="223"/>
      <c r="J6476" s="57"/>
      <c r="K6476" s="153"/>
      <c r="L6476" s="153"/>
      <c r="M6476" s="243"/>
      <c r="N6476" s="234"/>
      <c r="O6476" s="235"/>
      <c r="P6476" s="236"/>
      <c r="Q6476" s="236"/>
    </row>
    <row r="6477" spans="1:20" ht="15" customHeight="1">
      <c r="A6477" s="91"/>
      <c r="B6477" s="91"/>
      <c r="C6477" s="220"/>
      <c r="D6477" s="91"/>
      <c r="E6477" s="221"/>
      <c r="F6477" s="91"/>
      <c r="G6477" s="91"/>
      <c r="H6477" s="242"/>
      <c r="I6477" s="223"/>
      <c r="J6477" s="57"/>
      <c r="K6477" s="153"/>
      <c r="L6477" s="153"/>
      <c r="M6477" s="243"/>
      <c r="N6477" s="234"/>
      <c r="O6477" s="235"/>
      <c r="P6477" s="236"/>
      <c r="Q6477" s="236"/>
    </row>
    <row r="6478" spans="1:20" ht="15" customHeight="1">
      <c r="A6478" s="91"/>
      <c r="B6478" s="91"/>
      <c r="C6478" s="220"/>
      <c r="D6478" s="91"/>
      <c r="E6478" s="221"/>
      <c r="F6478" s="91"/>
      <c r="G6478" s="91"/>
      <c r="H6478" s="242"/>
      <c r="I6478" s="223"/>
      <c r="J6478" s="57"/>
      <c r="K6478" s="153"/>
      <c r="L6478" s="153"/>
      <c r="M6478" s="243"/>
      <c r="N6478" s="234"/>
      <c r="O6478" s="235"/>
      <c r="P6478" s="236"/>
      <c r="Q6478" s="236"/>
    </row>
    <row r="6479" spans="1:20" ht="15" customHeight="1">
      <c r="A6479" s="91"/>
      <c r="B6479" s="91"/>
      <c r="C6479" s="220"/>
      <c r="D6479" s="91"/>
      <c r="E6479" s="221"/>
      <c r="F6479" s="91"/>
      <c r="G6479" s="91"/>
      <c r="H6479" s="242"/>
      <c r="I6479" s="223"/>
      <c r="J6479" s="57"/>
      <c r="K6479" s="153"/>
      <c r="L6479" s="153"/>
      <c r="M6479" s="243"/>
      <c r="N6479" s="234"/>
      <c r="O6479" s="235"/>
      <c r="P6479" s="236"/>
      <c r="Q6479" s="236"/>
    </row>
    <row r="6480" spans="1:20" ht="15" customHeight="1">
      <c r="A6480" s="91"/>
      <c r="B6480" s="91"/>
      <c r="C6480" s="220"/>
      <c r="D6480" s="91"/>
      <c r="E6480" s="221"/>
      <c r="F6480" s="91"/>
      <c r="G6480" s="91"/>
      <c r="H6480" s="242"/>
      <c r="I6480" s="223"/>
      <c r="J6480" s="57"/>
      <c r="K6480" s="153"/>
      <c r="L6480" s="153"/>
      <c r="M6480" s="243"/>
      <c r="N6480" s="234"/>
      <c r="O6480" s="235"/>
      <c r="P6480" s="236"/>
      <c r="Q6480" s="236"/>
    </row>
    <row r="6481" spans="1:17" ht="15" customHeight="1">
      <c r="A6481" s="91"/>
      <c r="B6481" s="91"/>
      <c r="C6481" s="220"/>
      <c r="D6481" s="91"/>
      <c r="E6481" s="221"/>
      <c r="F6481" s="91"/>
      <c r="G6481" s="91"/>
      <c r="H6481" s="242"/>
      <c r="I6481" s="223"/>
      <c r="J6481" s="57"/>
      <c r="K6481" s="153"/>
      <c r="L6481" s="153"/>
      <c r="M6481" s="243"/>
      <c r="N6481" s="234"/>
      <c r="O6481" s="235"/>
      <c r="P6481" s="236"/>
      <c r="Q6481" s="236"/>
    </row>
    <row r="6482" spans="1:17" ht="15" customHeight="1">
      <c r="A6482" s="91"/>
      <c r="B6482" s="91"/>
      <c r="C6482" s="220"/>
      <c r="D6482" s="91"/>
      <c r="E6482" s="221"/>
      <c r="F6482" s="91"/>
      <c r="G6482" s="91"/>
      <c r="H6482" s="242"/>
      <c r="I6482" s="223"/>
      <c r="J6482" s="57"/>
      <c r="K6482" s="153"/>
      <c r="L6482" s="153"/>
      <c r="M6482" s="243"/>
      <c r="N6482" s="234"/>
      <c r="O6482" s="235"/>
      <c r="P6482" s="236"/>
      <c r="Q6482" s="236"/>
    </row>
    <row r="6483" spans="1:17" ht="15" customHeight="1">
      <c r="A6483" s="91"/>
      <c r="B6483" s="91"/>
      <c r="C6483" s="220"/>
      <c r="D6483" s="91"/>
      <c r="E6483" s="221"/>
      <c r="F6483" s="91"/>
      <c r="G6483" s="91"/>
      <c r="H6483" s="242"/>
      <c r="I6483" s="223"/>
      <c r="J6483" s="57"/>
      <c r="K6483" s="153"/>
      <c r="L6483" s="153"/>
      <c r="M6483" s="243"/>
      <c r="N6483" s="234"/>
      <c r="O6483" s="235"/>
      <c r="P6483" s="236"/>
      <c r="Q6483" s="236"/>
    </row>
    <row r="6484" spans="1:17" ht="15" customHeight="1">
      <c r="A6484" s="91"/>
      <c r="B6484" s="91"/>
      <c r="C6484" s="220"/>
      <c r="D6484" s="91"/>
      <c r="E6484" s="221"/>
      <c r="F6484" s="91"/>
      <c r="G6484" s="91"/>
      <c r="H6484" s="242"/>
      <c r="I6484" s="223"/>
      <c r="J6484" s="57"/>
      <c r="K6484" s="153"/>
      <c r="L6484" s="153"/>
      <c r="M6484" s="243"/>
      <c r="N6484" s="234"/>
      <c r="O6484" s="235"/>
      <c r="P6484" s="236"/>
      <c r="Q6484" s="236"/>
    </row>
    <row r="6485" spans="1:17" ht="15" customHeight="1">
      <c r="A6485" s="91"/>
      <c r="B6485" s="91"/>
      <c r="C6485" s="220"/>
      <c r="D6485" s="91"/>
      <c r="E6485" s="221"/>
      <c r="F6485" s="91"/>
      <c r="G6485" s="91"/>
      <c r="H6485" s="242"/>
      <c r="I6485" s="223"/>
      <c r="J6485" s="57"/>
      <c r="K6485" s="153"/>
      <c r="L6485" s="153"/>
      <c r="M6485" s="243"/>
      <c r="N6485" s="234"/>
      <c r="O6485" s="235"/>
      <c r="P6485" s="236"/>
      <c r="Q6485" s="236"/>
    </row>
    <row r="6486" spans="1:17" ht="15" customHeight="1">
      <c r="A6486" s="91"/>
      <c r="B6486" s="91"/>
      <c r="C6486" s="220"/>
      <c r="D6486" s="91"/>
      <c r="E6486" s="221"/>
      <c r="F6486" s="91"/>
      <c r="G6486" s="91"/>
      <c r="H6486" s="242"/>
      <c r="I6486" s="223"/>
      <c r="J6486" s="57"/>
      <c r="K6486" s="153"/>
      <c r="L6486" s="153"/>
      <c r="M6486" s="243"/>
      <c r="N6486" s="234"/>
      <c r="O6486" s="235"/>
      <c r="P6486" s="236"/>
      <c r="Q6486" s="236"/>
    </row>
    <row r="6487" spans="1:17" ht="15" customHeight="1">
      <c r="A6487" s="91"/>
      <c r="B6487" s="91"/>
      <c r="C6487" s="220"/>
      <c r="D6487" s="91"/>
      <c r="E6487" s="221"/>
      <c r="F6487" s="91"/>
      <c r="G6487" s="91"/>
      <c r="H6487" s="242"/>
      <c r="I6487" s="223"/>
      <c r="J6487" s="57"/>
      <c r="K6487" s="153"/>
      <c r="L6487" s="153"/>
      <c r="M6487" s="243"/>
      <c r="N6487" s="234"/>
      <c r="O6487" s="235"/>
      <c r="P6487" s="236"/>
      <c r="Q6487" s="236"/>
    </row>
    <row r="6488" spans="1:17" ht="15" customHeight="1">
      <c r="A6488" s="91"/>
      <c r="B6488" s="91"/>
      <c r="C6488" s="220"/>
      <c r="D6488" s="91"/>
      <c r="E6488" s="221"/>
      <c r="F6488" s="91"/>
      <c r="G6488" s="91"/>
      <c r="H6488" s="242"/>
      <c r="I6488" s="223"/>
      <c r="J6488" s="57"/>
      <c r="K6488" s="153"/>
      <c r="L6488" s="153"/>
      <c r="M6488" s="243"/>
      <c r="N6488" s="234"/>
      <c r="O6488" s="235"/>
      <c r="P6488" s="236"/>
      <c r="Q6488" s="236"/>
    </row>
    <row r="6489" spans="1:17" ht="15" customHeight="1">
      <c r="A6489" s="91"/>
      <c r="B6489" s="91"/>
      <c r="C6489" s="220"/>
      <c r="D6489" s="91"/>
      <c r="E6489" s="221"/>
      <c r="F6489" s="91"/>
      <c r="G6489" s="91"/>
      <c r="H6489" s="242"/>
      <c r="I6489" s="223"/>
      <c r="J6489" s="57"/>
      <c r="K6489" s="153"/>
      <c r="L6489" s="153"/>
      <c r="M6489" s="243"/>
      <c r="N6489" s="234"/>
      <c r="O6489" s="235"/>
      <c r="P6489" s="236"/>
      <c r="Q6489" s="236"/>
    </row>
    <row r="6490" spans="1:17" ht="15" customHeight="1">
      <c r="A6490" s="91"/>
      <c r="B6490" s="91"/>
      <c r="C6490" s="220"/>
      <c r="D6490" s="91"/>
      <c r="E6490" s="221"/>
      <c r="F6490" s="91"/>
      <c r="G6490" s="91"/>
      <c r="H6490" s="242"/>
      <c r="I6490" s="223"/>
      <c r="J6490" s="57"/>
      <c r="K6490" s="153"/>
      <c r="L6490" s="153"/>
      <c r="M6490" s="243"/>
      <c r="N6490" s="234"/>
      <c r="O6490" s="235"/>
      <c r="P6490" s="236"/>
      <c r="Q6490" s="236"/>
    </row>
    <row r="6491" spans="1:17" ht="15" customHeight="1">
      <c r="A6491" s="91"/>
      <c r="B6491" s="91"/>
      <c r="C6491" s="220"/>
      <c r="D6491" s="91"/>
      <c r="E6491" s="221"/>
      <c r="F6491" s="91"/>
      <c r="G6491" s="91"/>
      <c r="H6491" s="242"/>
      <c r="I6491" s="223"/>
      <c r="J6491" s="57"/>
      <c r="K6491" s="153"/>
      <c r="L6491" s="153"/>
      <c r="M6491" s="243"/>
      <c r="N6491" s="234"/>
      <c r="O6491" s="235"/>
      <c r="P6491" s="236"/>
      <c r="Q6491" s="236"/>
    </row>
    <row r="6492" spans="1:17" ht="15" customHeight="1">
      <c r="A6492" s="91"/>
      <c r="B6492" s="91"/>
      <c r="C6492" s="220"/>
      <c r="D6492" s="91"/>
      <c r="E6492" s="221"/>
      <c r="F6492" s="91"/>
      <c r="G6492" s="91"/>
      <c r="H6492" s="242"/>
      <c r="I6492" s="223"/>
      <c r="J6492" s="57"/>
      <c r="K6492" s="153"/>
      <c r="L6492" s="153"/>
      <c r="M6492" s="243"/>
      <c r="N6492" s="234"/>
      <c r="O6492" s="235"/>
      <c r="P6492" s="236"/>
      <c r="Q6492" s="236"/>
    </row>
    <row r="6493" spans="1:17" ht="15" customHeight="1">
      <c r="A6493" s="91"/>
      <c r="B6493" s="91"/>
      <c r="C6493" s="220"/>
      <c r="D6493" s="91"/>
      <c r="E6493" s="221"/>
      <c r="F6493" s="91"/>
      <c r="G6493" s="91"/>
      <c r="H6493" s="242"/>
      <c r="I6493" s="223"/>
      <c r="J6493" s="57"/>
      <c r="K6493" s="153"/>
      <c r="L6493" s="153"/>
      <c r="M6493" s="243"/>
      <c r="N6493" s="234"/>
      <c r="O6493" s="235"/>
      <c r="P6493" s="236"/>
      <c r="Q6493" s="236"/>
    </row>
    <row r="6494" spans="1:17" ht="15" customHeight="1">
      <c r="A6494" s="91"/>
      <c r="B6494" s="91"/>
      <c r="C6494" s="220"/>
      <c r="D6494" s="91"/>
      <c r="E6494" s="221"/>
      <c r="F6494" s="91"/>
      <c r="G6494" s="91"/>
      <c r="H6494" s="242"/>
      <c r="I6494" s="223"/>
      <c r="J6494" s="57"/>
      <c r="K6494" s="153"/>
      <c r="L6494" s="153"/>
      <c r="M6494" s="243"/>
      <c r="N6494" s="234"/>
      <c r="O6494" s="235"/>
      <c r="P6494" s="236"/>
      <c r="Q6494" s="236"/>
    </row>
    <row r="6495" spans="1:17" ht="15" customHeight="1">
      <c r="A6495" s="91"/>
      <c r="B6495" s="91"/>
      <c r="C6495" s="220"/>
      <c r="D6495" s="91"/>
      <c r="E6495" s="221"/>
      <c r="F6495" s="91"/>
      <c r="G6495" s="91"/>
      <c r="H6495" s="242"/>
      <c r="I6495" s="223"/>
      <c r="J6495" s="57"/>
      <c r="K6495" s="153"/>
      <c r="L6495" s="153"/>
      <c r="M6495" s="243"/>
      <c r="N6495" s="234"/>
      <c r="O6495" s="235"/>
      <c r="P6495" s="236"/>
      <c r="Q6495" s="236"/>
    </row>
    <row r="6496" spans="1:17" ht="15" customHeight="1">
      <c r="A6496" s="91"/>
      <c r="B6496" s="91"/>
      <c r="C6496" s="220"/>
      <c r="D6496" s="91"/>
      <c r="E6496" s="221"/>
      <c r="F6496" s="91"/>
      <c r="G6496" s="91"/>
      <c r="H6496" s="242"/>
      <c r="I6496" s="223"/>
      <c r="J6496" s="57"/>
      <c r="K6496" s="153"/>
      <c r="L6496" s="153"/>
      <c r="M6496" s="243"/>
      <c r="N6496" s="234"/>
      <c r="O6496" s="235"/>
      <c r="P6496" s="236"/>
      <c r="Q6496" s="236"/>
    </row>
    <row r="6497" spans="1:17" ht="15" customHeight="1">
      <c r="A6497" s="91"/>
      <c r="B6497" s="91"/>
      <c r="C6497" s="220"/>
      <c r="D6497" s="91"/>
      <c r="E6497" s="221"/>
      <c r="F6497" s="91"/>
      <c r="G6497" s="91"/>
      <c r="H6497" s="242"/>
      <c r="I6497" s="223"/>
      <c r="J6497" s="57"/>
      <c r="K6497" s="153"/>
      <c r="L6497" s="153"/>
      <c r="M6497" s="243"/>
      <c r="N6497" s="234"/>
      <c r="O6497" s="235"/>
      <c r="P6497" s="236"/>
      <c r="Q6497" s="236"/>
    </row>
    <row r="6498" spans="1:17" ht="15" customHeight="1">
      <c r="A6498" s="91"/>
      <c r="B6498" s="91"/>
      <c r="C6498" s="220"/>
      <c r="D6498" s="91"/>
      <c r="E6498" s="221"/>
      <c r="F6498" s="91"/>
      <c r="G6498" s="91"/>
      <c r="H6498" s="242"/>
      <c r="I6498" s="223"/>
      <c r="J6498" s="57"/>
      <c r="K6498" s="153"/>
      <c r="L6498" s="153"/>
      <c r="M6498" s="243"/>
      <c r="N6498" s="234"/>
      <c r="O6498" s="235"/>
      <c r="P6498" s="236"/>
      <c r="Q6498" s="236"/>
    </row>
    <row r="6499" spans="1:17" ht="15" customHeight="1">
      <c r="A6499" s="91"/>
      <c r="B6499" s="91"/>
      <c r="C6499" s="220"/>
      <c r="D6499" s="91"/>
      <c r="E6499" s="221"/>
      <c r="F6499" s="91"/>
      <c r="G6499" s="91"/>
      <c r="H6499" s="242"/>
      <c r="I6499" s="223"/>
      <c r="J6499" s="57"/>
      <c r="K6499" s="153"/>
      <c r="L6499" s="153"/>
      <c r="M6499" s="243"/>
      <c r="N6499" s="234"/>
      <c r="O6499" s="235"/>
      <c r="P6499" s="236"/>
      <c r="Q6499" s="236"/>
    </row>
    <row r="6500" spans="1:17" ht="15" customHeight="1">
      <c r="A6500" s="91"/>
      <c r="B6500" s="91"/>
      <c r="C6500" s="220"/>
      <c r="D6500" s="91"/>
      <c r="E6500" s="221"/>
      <c r="F6500" s="91"/>
      <c r="G6500" s="91"/>
      <c r="H6500" s="242"/>
      <c r="I6500" s="223"/>
      <c r="J6500" s="57"/>
      <c r="K6500" s="153"/>
      <c r="L6500" s="153"/>
      <c r="M6500" s="243"/>
      <c r="N6500" s="234"/>
      <c r="O6500" s="235"/>
      <c r="P6500" s="236"/>
      <c r="Q6500" s="236"/>
    </row>
    <row r="6501" spans="1:17" ht="15" customHeight="1">
      <c r="A6501" s="91"/>
      <c r="B6501" s="91"/>
      <c r="C6501" s="220"/>
      <c r="D6501" s="91"/>
      <c r="E6501" s="221"/>
      <c r="F6501" s="91"/>
      <c r="G6501" s="91"/>
      <c r="H6501" s="242"/>
      <c r="I6501" s="223"/>
      <c r="J6501" s="57"/>
      <c r="K6501" s="153"/>
      <c r="L6501" s="153"/>
      <c r="M6501" s="243"/>
      <c r="N6501" s="234"/>
      <c r="O6501" s="235"/>
      <c r="P6501" s="236"/>
      <c r="Q6501" s="236"/>
    </row>
    <row r="6502" spans="1:17" ht="15" customHeight="1">
      <c r="A6502" s="91"/>
      <c r="B6502" s="91"/>
      <c r="C6502" s="220"/>
      <c r="D6502" s="91"/>
      <c r="E6502" s="221"/>
      <c r="F6502" s="91"/>
      <c r="G6502" s="91"/>
      <c r="H6502" s="242"/>
      <c r="I6502" s="223"/>
      <c r="J6502" s="57"/>
      <c r="K6502" s="153"/>
      <c r="L6502" s="153"/>
      <c r="M6502" s="243"/>
      <c r="N6502" s="234"/>
      <c r="O6502" s="235"/>
      <c r="P6502" s="236"/>
      <c r="Q6502" s="236"/>
    </row>
    <row r="6503" spans="1:17" ht="15" customHeight="1">
      <c r="A6503" s="91"/>
      <c r="B6503" s="91"/>
      <c r="C6503" s="220"/>
      <c r="D6503" s="91"/>
      <c r="E6503" s="221"/>
      <c r="F6503" s="91"/>
      <c r="G6503" s="91"/>
      <c r="H6503" s="242"/>
      <c r="I6503" s="223"/>
      <c r="J6503" s="57"/>
      <c r="K6503" s="153"/>
      <c r="L6503" s="153"/>
      <c r="M6503" s="243"/>
      <c r="N6503" s="234"/>
      <c r="O6503" s="235"/>
      <c r="P6503" s="236"/>
      <c r="Q6503" s="236"/>
    </row>
    <row r="6504" spans="1:17" ht="15" customHeight="1">
      <c r="A6504" s="91"/>
      <c r="B6504" s="91"/>
      <c r="C6504" s="220"/>
      <c r="D6504" s="91"/>
      <c r="E6504" s="221"/>
      <c r="F6504" s="91"/>
      <c r="G6504" s="91"/>
      <c r="H6504" s="242"/>
      <c r="I6504" s="223"/>
      <c r="J6504" s="57"/>
      <c r="K6504" s="153"/>
      <c r="L6504" s="153"/>
      <c r="M6504" s="243"/>
      <c r="N6504" s="234"/>
      <c r="O6504" s="235"/>
      <c r="P6504" s="236"/>
      <c r="Q6504" s="236"/>
    </row>
    <row r="6505" spans="1:17" ht="15" customHeight="1">
      <c r="A6505" s="91"/>
      <c r="B6505" s="91"/>
      <c r="C6505" s="220"/>
      <c r="D6505" s="91"/>
      <c r="E6505" s="221"/>
      <c r="F6505" s="91"/>
      <c r="G6505" s="91"/>
      <c r="H6505" s="242"/>
      <c r="I6505" s="223"/>
      <c r="J6505" s="57"/>
      <c r="K6505" s="153"/>
      <c r="L6505" s="153"/>
      <c r="M6505" s="243"/>
      <c r="N6505" s="234"/>
      <c r="O6505" s="235"/>
      <c r="P6505" s="236"/>
      <c r="Q6505" s="236"/>
    </row>
    <row r="6506" spans="1:17" ht="15" customHeight="1">
      <c r="A6506" s="91"/>
      <c r="B6506" s="91"/>
      <c r="C6506" s="220"/>
      <c r="D6506" s="91"/>
      <c r="E6506" s="221"/>
      <c r="F6506" s="91"/>
      <c r="G6506" s="91"/>
      <c r="H6506" s="242"/>
      <c r="I6506" s="223"/>
      <c r="J6506" s="57"/>
      <c r="K6506" s="153"/>
      <c r="L6506" s="153"/>
      <c r="M6506" s="243"/>
      <c r="N6506" s="234"/>
      <c r="O6506" s="235"/>
      <c r="P6506" s="236"/>
      <c r="Q6506" s="236"/>
    </row>
    <row r="6507" spans="1:17" ht="15" customHeight="1">
      <c r="A6507" s="91"/>
      <c r="B6507" s="91"/>
      <c r="C6507" s="220"/>
      <c r="D6507" s="91"/>
      <c r="E6507" s="221"/>
      <c r="F6507" s="91"/>
      <c r="G6507" s="91"/>
      <c r="H6507" s="242"/>
      <c r="I6507" s="223"/>
      <c r="J6507" s="57"/>
      <c r="K6507" s="153"/>
      <c r="L6507" s="153"/>
      <c r="M6507" s="243"/>
      <c r="N6507" s="234"/>
      <c r="O6507" s="235"/>
      <c r="P6507" s="236"/>
      <c r="Q6507" s="236"/>
    </row>
    <row r="6508" spans="1:17" ht="15" customHeight="1">
      <c r="A6508" s="91"/>
      <c r="B6508" s="91"/>
      <c r="C6508" s="220"/>
      <c r="D6508" s="91"/>
      <c r="E6508" s="221"/>
      <c r="F6508" s="91"/>
      <c r="G6508" s="91"/>
      <c r="H6508" s="242"/>
      <c r="I6508" s="223"/>
      <c r="J6508" s="57"/>
      <c r="K6508" s="153"/>
      <c r="L6508" s="153"/>
      <c r="M6508" s="243"/>
      <c r="N6508" s="234"/>
      <c r="O6508" s="235"/>
      <c r="P6508" s="236"/>
      <c r="Q6508" s="236"/>
    </row>
    <row r="6509" spans="1:17" ht="15" customHeight="1">
      <c r="A6509" s="91"/>
      <c r="B6509" s="91"/>
      <c r="C6509" s="220"/>
      <c r="D6509" s="91"/>
      <c r="E6509" s="221"/>
      <c r="F6509" s="91"/>
      <c r="G6509" s="91"/>
      <c r="H6509" s="242"/>
      <c r="I6509" s="223"/>
      <c r="J6509" s="57"/>
      <c r="K6509" s="153"/>
      <c r="L6509" s="153"/>
      <c r="M6509" s="243"/>
      <c r="N6509" s="234"/>
      <c r="O6509" s="235"/>
      <c r="P6509" s="236"/>
      <c r="Q6509" s="236"/>
    </row>
    <row r="6510" spans="1:17" ht="15" customHeight="1">
      <c r="A6510" s="91"/>
      <c r="B6510" s="91"/>
      <c r="C6510" s="220"/>
      <c r="D6510" s="91"/>
      <c r="E6510" s="221"/>
      <c r="F6510" s="91"/>
      <c r="G6510" s="91"/>
      <c r="H6510" s="242"/>
      <c r="I6510" s="223"/>
      <c r="J6510" s="57"/>
      <c r="K6510" s="153"/>
      <c r="L6510" s="153"/>
      <c r="M6510" s="243"/>
      <c r="N6510" s="234"/>
      <c r="O6510" s="235"/>
      <c r="P6510" s="236"/>
      <c r="Q6510" s="236"/>
    </row>
    <row r="6511" spans="1:17" ht="15" customHeight="1">
      <c r="A6511" s="91"/>
      <c r="B6511" s="91"/>
      <c r="C6511" s="220"/>
      <c r="D6511" s="91"/>
      <c r="E6511" s="221"/>
      <c r="F6511" s="91"/>
      <c r="G6511" s="91"/>
      <c r="H6511" s="242"/>
      <c r="I6511" s="223"/>
      <c r="J6511" s="57"/>
      <c r="K6511" s="153"/>
      <c r="L6511" s="153"/>
      <c r="M6511" s="243"/>
      <c r="N6511" s="234"/>
      <c r="O6511" s="235"/>
      <c r="P6511" s="236"/>
      <c r="Q6511" s="236"/>
    </row>
    <row r="6512" spans="1:17" ht="15" customHeight="1">
      <c r="A6512" s="91"/>
      <c r="B6512" s="91"/>
      <c r="C6512" s="220"/>
      <c r="D6512" s="91"/>
      <c r="E6512" s="221"/>
      <c r="F6512" s="91"/>
      <c r="G6512" s="91"/>
      <c r="H6512" s="242"/>
      <c r="I6512" s="223"/>
      <c r="J6512" s="57"/>
      <c r="K6512" s="153"/>
      <c r="L6512" s="153"/>
      <c r="M6512" s="243"/>
      <c r="N6512" s="234"/>
      <c r="O6512" s="235"/>
      <c r="P6512" s="236"/>
      <c r="Q6512" s="236"/>
    </row>
    <row r="6513" spans="1:17" ht="15" customHeight="1">
      <c r="A6513" s="91"/>
      <c r="B6513" s="91"/>
      <c r="C6513" s="220"/>
      <c r="D6513" s="91"/>
      <c r="E6513" s="221"/>
      <c r="F6513" s="91"/>
      <c r="G6513" s="91"/>
      <c r="H6513" s="242"/>
      <c r="I6513" s="223"/>
      <c r="J6513" s="57"/>
      <c r="K6513" s="153"/>
      <c r="L6513" s="153"/>
      <c r="M6513" s="243"/>
      <c r="N6513" s="234"/>
      <c r="O6513" s="235"/>
      <c r="P6513" s="236"/>
      <c r="Q6513" s="236"/>
    </row>
    <row r="6514" spans="1:17" ht="15" customHeight="1">
      <c r="A6514" s="91"/>
      <c r="B6514" s="91"/>
      <c r="C6514" s="220"/>
      <c r="D6514" s="91"/>
      <c r="E6514" s="221"/>
      <c r="F6514" s="91"/>
      <c r="G6514" s="91"/>
      <c r="H6514" s="242"/>
      <c r="I6514" s="223"/>
      <c r="J6514" s="57"/>
      <c r="K6514" s="153"/>
      <c r="L6514" s="153"/>
      <c r="M6514" s="243"/>
      <c r="N6514" s="234"/>
      <c r="O6514" s="235"/>
      <c r="P6514" s="236"/>
      <c r="Q6514" s="236"/>
    </row>
    <row r="6515" spans="1:17" ht="15" customHeight="1">
      <c r="A6515" s="91"/>
      <c r="B6515" s="91"/>
      <c r="C6515" s="220"/>
      <c r="D6515" s="91"/>
      <c r="E6515" s="221"/>
      <c r="F6515" s="91"/>
      <c r="G6515" s="91"/>
      <c r="H6515" s="242"/>
      <c r="I6515" s="223"/>
      <c r="J6515" s="57"/>
      <c r="K6515" s="153"/>
      <c r="L6515" s="153"/>
      <c r="M6515" s="243"/>
      <c r="N6515" s="234"/>
      <c r="O6515" s="235"/>
      <c r="P6515" s="236"/>
      <c r="Q6515" s="236"/>
    </row>
    <row r="6516" spans="1:17" ht="15" customHeight="1">
      <c r="A6516" s="91"/>
      <c r="B6516" s="91"/>
      <c r="C6516" s="220"/>
      <c r="D6516" s="91"/>
      <c r="E6516" s="221"/>
      <c r="F6516" s="91"/>
      <c r="G6516" s="91"/>
      <c r="H6516" s="242"/>
      <c r="I6516" s="223"/>
      <c r="J6516" s="57"/>
      <c r="K6516" s="153"/>
      <c r="L6516" s="153"/>
      <c r="M6516" s="243"/>
      <c r="N6516" s="234"/>
      <c r="O6516" s="235"/>
      <c r="P6516" s="236"/>
      <c r="Q6516" s="236"/>
    </row>
    <row r="6517" spans="1:17" ht="15" customHeight="1">
      <c r="A6517" s="91"/>
      <c r="B6517" s="91"/>
      <c r="C6517" s="220"/>
      <c r="D6517" s="91"/>
      <c r="E6517" s="221"/>
      <c r="F6517" s="91"/>
      <c r="G6517" s="91"/>
      <c r="H6517" s="242"/>
      <c r="I6517" s="223"/>
      <c r="J6517" s="57"/>
      <c r="K6517" s="153"/>
      <c r="L6517" s="153"/>
      <c r="M6517" s="243"/>
      <c r="N6517" s="234"/>
      <c r="O6517" s="235"/>
      <c r="P6517" s="236"/>
      <c r="Q6517" s="236"/>
    </row>
    <row r="6518" spans="1:17" ht="15" customHeight="1">
      <c r="A6518" s="91"/>
      <c r="B6518" s="91"/>
      <c r="C6518" s="220"/>
      <c r="D6518" s="91"/>
      <c r="E6518" s="221"/>
      <c r="F6518" s="91"/>
      <c r="G6518" s="91"/>
      <c r="H6518" s="242"/>
      <c r="I6518" s="223"/>
      <c r="J6518" s="57"/>
      <c r="K6518" s="153"/>
      <c r="L6518" s="153"/>
      <c r="M6518" s="243"/>
      <c r="N6518" s="234"/>
      <c r="O6518" s="235"/>
      <c r="P6518" s="236"/>
      <c r="Q6518" s="236"/>
    </row>
    <row r="6519" spans="1:17" ht="15" customHeight="1">
      <c r="A6519" s="91"/>
      <c r="B6519" s="91"/>
      <c r="C6519" s="220"/>
      <c r="D6519" s="91"/>
      <c r="E6519" s="221"/>
      <c r="F6519" s="91"/>
      <c r="G6519" s="91"/>
      <c r="H6519" s="242"/>
      <c r="I6519" s="223"/>
      <c r="J6519" s="57"/>
      <c r="K6519" s="153"/>
      <c r="L6519" s="153"/>
      <c r="M6519" s="243"/>
      <c r="N6519" s="234"/>
      <c r="O6519" s="235"/>
      <c r="P6519" s="236"/>
      <c r="Q6519" s="236"/>
    </row>
    <row r="6520" spans="1:17" ht="15" customHeight="1">
      <c r="A6520" s="91"/>
      <c r="B6520" s="91"/>
      <c r="C6520" s="220"/>
      <c r="D6520" s="91"/>
      <c r="E6520" s="221"/>
      <c r="F6520" s="91"/>
      <c r="G6520" s="91"/>
      <c r="H6520" s="242"/>
      <c r="I6520" s="223"/>
      <c r="J6520" s="57"/>
      <c r="K6520" s="153"/>
      <c r="L6520" s="153"/>
      <c r="M6520" s="243"/>
      <c r="N6520" s="234"/>
      <c r="O6520" s="235"/>
      <c r="P6520" s="236"/>
      <c r="Q6520" s="236"/>
    </row>
    <row r="6521" spans="1:17" ht="15" customHeight="1">
      <c r="A6521" s="91"/>
      <c r="B6521" s="91"/>
      <c r="C6521" s="220"/>
      <c r="D6521" s="91"/>
      <c r="E6521" s="221"/>
      <c r="F6521" s="91"/>
      <c r="G6521" s="91"/>
      <c r="H6521" s="242"/>
      <c r="I6521" s="223"/>
      <c r="J6521" s="57"/>
      <c r="K6521" s="153"/>
      <c r="L6521" s="153"/>
      <c r="M6521" s="243"/>
      <c r="N6521" s="234"/>
      <c r="O6521" s="235"/>
      <c r="P6521" s="236"/>
      <c r="Q6521" s="236"/>
    </row>
    <row r="6522" spans="1:17" ht="15" customHeight="1">
      <c r="A6522" s="91"/>
      <c r="B6522" s="91"/>
      <c r="C6522" s="220"/>
      <c r="D6522" s="91"/>
      <c r="E6522" s="221"/>
      <c r="F6522" s="91"/>
      <c r="G6522" s="91"/>
      <c r="H6522" s="242"/>
      <c r="I6522" s="223"/>
      <c r="J6522" s="57"/>
      <c r="K6522" s="153"/>
      <c r="L6522" s="153"/>
      <c r="M6522" s="243"/>
      <c r="N6522" s="234"/>
      <c r="O6522" s="235"/>
      <c r="P6522" s="236"/>
      <c r="Q6522" s="236"/>
    </row>
    <row r="6523" spans="1:17" ht="15" customHeight="1">
      <c r="A6523" s="91"/>
      <c r="B6523" s="91"/>
      <c r="C6523" s="220"/>
      <c r="D6523" s="91"/>
      <c r="E6523" s="221"/>
      <c r="F6523" s="91"/>
      <c r="G6523" s="91"/>
      <c r="H6523" s="242"/>
      <c r="I6523" s="223"/>
      <c r="J6523" s="57"/>
      <c r="K6523" s="153"/>
      <c r="L6523" s="153"/>
      <c r="M6523" s="243"/>
      <c r="N6523" s="234"/>
      <c r="O6523" s="235"/>
      <c r="P6523" s="236"/>
      <c r="Q6523" s="236"/>
    </row>
    <row r="6524" spans="1:17" ht="15" customHeight="1">
      <c r="A6524" s="91"/>
      <c r="B6524" s="91"/>
      <c r="C6524" s="220"/>
      <c r="D6524" s="91"/>
      <c r="E6524" s="221"/>
      <c r="F6524" s="91"/>
      <c r="G6524" s="91"/>
      <c r="H6524" s="242"/>
      <c r="I6524" s="223"/>
      <c r="J6524" s="57"/>
      <c r="K6524" s="153"/>
      <c r="L6524" s="153"/>
      <c r="M6524" s="243"/>
      <c r="N6524" s="234"/>
      <c r="O6524" s="235"/>
      <c r="P6524" s="236"/>
      <c r="Q6524" s="236"/>
    </row>
    <row r="6525" spans="1:17" ht="15" customHeight="1">
      <c r="A6525" s="91"/>
      <c r="B6525" s="91"/>
      <c r="C6525" s="220"/>
      <c r="D6525" s="91"/>
      <c r="E6525" s="221"/>
      <c r="F6525" s="91"/>
      <c r="G6525" s="91"/>
      <c r="H6525" s="242"/>
      <c r="I6525" s="223"/>
      <c r="J6525" s="57"/>
      <c r="K6525" s="153"/>
      <c r="L6525" s="153"/>
      <c r="M6525" s="243"/>
      <c r="N6525" s="234"/>
      <c r="O6525" s="235"/>
      <c r="P6525" s="236"/>
      <c r="Q6525" s="236"/>
    </row>
    <row r="6526" spans="1:17" ht="15" customHeight="1">
      <c r="A6526" s="91"/>
      <c r="B6526" s="91"/>
      <c r="C6526" s="220"/>
      <c r="D6526" s="91"/>
      <c r="E6526" s="221"/>
      <c r="F6526" s="91"/>
      <c r="G6526" s="91"/>
      <c r="H6526" s="242"/>
      <c r="I6526" s="223"/>
      <c r="J6526" s="57"/>
      <c r="K6526" s="153"/>
      <c r="L6526" s="153"/>
      <c r="M6526" s="243"/>
      <c r="N6526" s="234"/>
      <c r="O6526" s="235"/>
      <c r="P6526" s="236"/>
      <c r="Q6526" s="236"/>
    </row>
    <row r="6527" spans="1:17" ht="15" customHeight="1">
      <c r="A6527" s="91"/>
      <c r="B6527" s="91"/>
      <c r="C6527" s="220"/>
      <c r="D6527" s="91"/>
      <c r="E6527" s="221"/>
      <c r="F6527" s="91"/>
      <c r="G6527" s="91"/>
      <c r="H6527" s="242"/>
      <c r="I6527" s="223"/>
      <c r="J6527" s="57"/>
      <c r="K6527" s="153"/>
      <c r="L6527" s="153"/>
      <c r="M6527" s="243"/>
      <c r="N6527" s="234"/>
      <c r="O6527" s="235"/>
      <c r="P6527" s="236"/>
      <c r="Q6527" s="236"/>
    </row>
    <row r="6528" spans="1:17" ht="15" customHeight="1">
      <c r="A6528" s="91"/>
      <c r="B6528" s="91"/>
      <c r="C6528" s="220"/>
      <c r="D6528" s="91"/>
      <c r="E6528" s="221"/>
      <c r="F6528" s="91"/>
      <c r="G6528" s="91"/>
      <c r="H6528" s="242"/>
      <c r="I6528" s="223"/>
      <c r="J6528" s="57"/>
      <c r="K6528" s="153"/>
      <c r="L6528" s="153"/>
      <c r="M6528" s="243"/>
      <c r="N6528" s="234"/>
      <c r="O6528" s="235"/>
      <c r="P6528" s="236"/>
      <c r="Q6528" s="236"/>
    </row>
    <row r="6529" spans="1:17" ht="15" customHeight="1">
      <c r="A6529" s="91"/>
      <c r="B6529" s="91"/>
      <c r="C6529" s="220"/>
      <c r="D6529" s="91"/>
      <c r="E6529" s="221"/>
      <c r="F6529" s="91"/>
      <c r="G6529" s="91"/>
      <c r="H6529" s="242"/>
      <c r="I6529" s="223"/>
      <c r="J6529" s="57"/>
      <c r="K6529" s="153"/>
      <c r="L6529" s="153"/>
      <c r="M6529" s="243"/>
      <c r="N6529" s="234"/>
      <c r="O6529" s="235"/>
      <c r="P6529" s="236"/>
      <c r="Q6529" s="236"/>
    </row>
    <row r="6530" spans="1:17" ht="15" customHeight="1">
      <c r="A6530" s="91"/>
      <c r="B6530" s="91"/>
      <c r="C6530" s="220"/>
      <c r="D6530" s="91"/>
      <c r="E6530" s="221"/>
      <c r="F6530" s="91"/>
      <c r="G6530" s="91"/>
      <c r="H6530" s="242"/>
      <c r="I6530" s="223"/>
      <c r="J6530" s="57"/>
      <c r="K6530" s="153"/>
      <c r="L6530" s="153"/>
      <c r="M6530" s="243"/>
      <c r="N6530" s="234"/>
      <c r="O6530" s="235"/>
      <c r="P6530" s="236"/>
      <c r="Q6530" s="236"/>
    </row>
    <row r="6531" spans="1:17" ht="15" customHeight="1">
      <c r="A6531" s="91"/>
      <c r="B6531" s="91"/>
      <c r="C6531" s="220"/>
      <c r="D6531" s="91"/>
      <c r="E6531" s="221"/>
      <c r="F6531" s="91"/>
      <c r="G6531" s="91"/>
      <c r="H6531" s="242"/>
      <c r="I6531" s="223"/>
      <c r="J6531" s="57"/>
      <c r="K6531" s="153"/>
      <c r="L6531" s="153"/>
      <c r="M6531" s="243"/>
      <c r="N6531" s="234"/>
      <c r="O6531" s="235"/>
      <c r="P6531" s="236"/>
      <c r="Q6531" s="236"/>
    </row>
    <row r="6532" spans="1:17" ht="15" customHeight="1">
      <c r="A6532" s="91"/>
      <c r="B6532" s="91"/>
      <c r="C6532" s="220"/>
      <c r="D6532" s="91"/>
      <c r="E6532" s="221"/>
      <c r="F6532" s="91"/>
      <c r="G6532" s="91"/>
      <c r="H6532" s="242"/>
      <c r="I6532" s="223"/>
      <c r="J6532" s="57"/>
      <c r="K6532" s="153"/>
      <c r="L6532" s="153"/>
      <c r="M6532" s="243"/>
      <c r="N6532" s="234"/>
      <c r="O6532" s="235"/>
      <c r="P6532" s="236"/>
      <c r="Q6532" s="236"/>
    </row>
    <row r="6533" spans="1:17" ht="15" customHeight="1">
      <c r="A6533" s="91"/>
      <c r="B6533" s="91"/>
      <c r="C6533" s="220"/>
      <c r="D6533" s="91"/>
      <c r="E6533" s="221"/>
      <c r="F6533" s="91"/>
      <c r="G6533" s="91"/>
      <c r="H6533" s="242"/>
      <c r="I6533" s="223"/>
      <c r="J6533" s="57"/>
      <c r="K6533" s="153"/>
      <c r="L6533" s="153"/>
      <c r="M6533" s="243"/>
      <c r="N6533" s="234"/>
      <c r="O6533" s="235"/>
      <c r="P6533" s="236"/>
      <c r="Q6533" s="236"/>
    </row>
    <row r="6534" spans="1:17" ht="15" customHeight="1">
      <c r="A6534" s="91"/>
      <c r="B6534" s="91"/>
      <c r="C6534" s="220"/>
      <c r="D6534" s="91"/>
      <c r="E6534" s="221"/>
      <c r="F6534" s="91"/>
      <c r="G6534" s="91"/>
      <c r="H6534" s="242"/>
      <c r="I6534" s="223"/>
      <c r="J6534" s="57"/>
      <c r="K6534" s="153"/>
      <c r="L6534" s="153"/>
      <c r="M6534" s="243"/>
      <c r="N6534" s="234"/>
      <c r="O6534" s="235"/>
      <c r="P6534" s="236"/>
      <c r="Q6534" s="236"/>
    </row>
    <row r="6535" spans="1:17" ht="15" customHeight="1">
      <c r="A6535" s="91"/>
      <c r="B6535" s="91"/>
      <c r="C6535" s="220"/>
      <c r="D6535" s="91"/>
      <c r="E6535" s="221"/>
      <c r="F6535" s="91"/>
      <c r="G6535" s="91"/>
      <c r="H6535" s="242"/>
      <c r="I6535" s="223"/>
      <c r="J6535" s="57"/>
      <c r="K6535" s="153"/>
      <c r="L6535" s="153"/>
      <c r="M6535" s="243"/>
      <c r="N6535" s="234"/>
      <c r="O6535" s="235"/>
      <c r="P6535" s="236"/>
      <c r="Q6535" s="236"/>
    </row>
    <row r="6536" spans="1:17" ht="15" customHeight="1">
      <c r="A6536" s="91"/>
      <c r="B6536" s="91"/>
      <c r="C6536" s="220"/>
      <c r="D6536" s="91"/>
      <c r="E6536" s="221"/>
      <c r="F6536" s="91"/>
      <c r="G6536" s="91"/>
      <c r="H6536" s="242"/>
      <c r="I6536" s="223"/>
      <c r="J6536" s="57"/>
      <c r="K6536" s="153"/>
      <c r="L6536" s="153"/>
      <c r="M6536" s="243"/>
      <c r="N6536" s="234"/>
      <c r="O6536" s="235"/>
      <c r="P6536" s="236"/>
      <c r="Q6536" s="236"/>
    </row>
    <row r="6537" spans="1:17" ht="15" customHeight="1">
      <c r="A6537" s="91"/>
      <c r="B6537" s="91"/>
      <c r="C6537" s="220"/>
      <c r="D6537" s="91"/>
      <c r="E6537" s="221"/>
      <c r="F6537" s="91"/>
      <c r="G6537" s="91"/>
      <c r="H6537" s="242"/>
      <c r="I6537" s="223"/>
      <c r="J6537" s="57"/>
      <c r="K6537" s="153"/>
      <c r="L6537" s="153"/>
      <c r="M6537" s="243"/>
      <c r="N6537" s="234"/>
      <c r="O6537" s="235"/>
      <c r="P6537" s="236"/>
      <c r="Q6537" s="236"/>
    </row>
    <row r="6538" spans="1:17" ht="15" customHeight="1">
      <c r="A6538" s="91"/>
      <c r="B6538" s="91"/>
      <c r="C6538" s="220"/>
      <c r="D6538" s="91"/>
      <c r="E6538" s="221"/>
      <c r="F6538" s="91"/>
      <c r="G6538" s="91"/>
      <c r="H6538" s="242"/>
      <c r="I6538" s="223"/>
      <c r="J6538" s="57"/>
      <c r="K6538" s="153"/>
      <c r="L6538" s="153"/>
      <c r="M6538" s="243"/>
      <c r="N6538" s="234"/>
      <c r="O6538" s="235"/>
      <c r="P6538" s="236"/>
      <c r="Q6538" s="236"/>
    </row>
    <row r="6539" spans="1:17" ht="15" customHeight="1">
      <c r="A6539" s="91"/>
      <c r="B6539" s="91"/>
      <c r="C6539" s="220"/>
      <c r="D6539" s="91"/>
      <c r="E6539" s="221"/>
      <c r="F6539" s="91"/>
      <c r="G6539" s="91"/>
      <c r="H6539" s="242"/>
      <c r="I6539" s="223"/>
      <c r="J6539" s="57"/>
      <c r="K6539" s="153"/>
      <c r="L6539" s="153"/>
      <c r="M6539" s="243"/>
      <c r="N6539" s="234"/>
      <c r="O6539" s="235"/>
      <c r="P6539" s="236"/>
      <c r="Q6539" s="236"/>
    </row>
    <row r="6540" spans="1:17" ht="15" customHeight="1">
      <c r="A6540" s="91"/>
      <c r="B6540" s="91"/>
      <c r="C6540" s="220"/>
      <c r="D6540" s="91"/>
      <c r="E6540" s="221"/>
      <c r="F6540" s="91"/>
      <c r="G6540" s="91"/>
      <c r="H6540" s="242"/>
      <c r="I6540" s="223"/>
      <c r="J6540" s="57"/>
      <c r="K6540" s="153"/>
      <c r="L6540" s="153"/>
      <c r="M6540" s="243"/>
      <c r="N6540" s="234"/>
      <c r="O6540" s="235"/>
      <c r="P6540" s="236"/>
      <c r="Q6540" s="236"/>
    </row>
    <row r="6541" spans="1:17" ht="15" customHeight="1">
      <c r="A6541" s="91"/>
      <c r="B6541" s="91"/>
      <c r="C6541" s="220"/>
      <c r="D6541" s="91"/>
      <c r="E6541" s="221"/>
      <c r="F6541" s="91"/>
      <c r="G6541" s="91"/>
      <c r="H6541" s="242"/>
      <c r="I6541" s="223"/>
      <c r="J6541" s="57"/>
      <c r="K6541" s="153"/>
      <c r="L6541" s="153"/>
      <c r="M6541" s="243"/>
      <c r="N6541" s="234"/>
      <c r="O6541" s="235"/>
      <c r="P6541" s="236"/>
      <c r="Q6541" s="236"/>
    </row>
    <row r="6542" spans="1:17" ht="15" customHeight="1">
      <c r="A6542" s="91"/>
      <c r="B6542" s="91"/>
      <c r="C6542" s="220"/>
      <c r="D6542" s="91"/>
      <c r="E6542" s="221"/>
      <c r="F6542" s="91"/>
      <c r="G6542" s="91"/>
      <c r="H6542" s="242"/>
      <c r="I6542" s="223"/>
      <c r="J6542" s="57"/>
      <c r="K6542" s="153"/>
      <c r="L6542" s="153"/>
      <c r="M6542" s="243"/>
      <c r="N6542" s="234"/>
      <c r="O6542" s="235"/>
      <c r="P6542" s="236"/>
      <c r="Q6542" s="236"/>
    </row>
    <row r="6543" spans="1:17" ht="15" customHeight="1">
      <c r="A6543" s="91"/>
      <c r="B6543" s="91"/>
      <c r="C6543" s="220"/>
      <c r="D6543" s="91"/>
      <c r="E6543" s="221"/>
      <c r="F6543" s="91"/>
      <c r="G6543" s="91"/>
      <c r="H6543" s="242"/>
      <c r="I6543" s="223"/>
      <c r="J6543" s="57"/>
      <c r="K6543" s="153"/>
      <c r="L6543" s="153"/>
      <c r="M6543" s="243"/>
      <c r="N6543" s="234"/>
      <c r="O6543" s="235"/>
      <c r="P6543" s="236"/>
      <c r="Q6543" s="236"/>
    </row>
    <row r="6544" spans="1:17" ht="15" customHeight="1">
      <c r="A6544" s="91"/>
      <c r="B6544" s="91"/>
      <c r="C6544" s="220"/>
      <c r="D6544" s="91"/>
      <c r="E6544" s="221"/>
      <c r="F6544" s="91"/>
      <c r="G6544" s="91"/>
      <c r="H6544" s="242"/>
      <c r="I6544" s="223"/>
      <c r="J6544" s="57"/>
      <c r="K6544" s="153"/>
      <c r="L6544" s="153"/>
      <c r="M6544" s="243"/>
      <c r="N6544" s="234"/>
      <c r="O6544" s="235"/>
      <c r="P6544" s="236"/>
      <c r="Q6544" s="236"/>
    </row>
    <row r="6545" spans="1:17" ht="15" customHeight="1">
      <c r="A6545" s="91"/>
      <c r="B6545" s="91"/>
      <c r="C6545" s="220"/>
      <c r="D6545" s="91"/>
      <c r="E6545" s="221"/>
      <c r="F6545" s="91"/>
      <c r="G6545" s="91"/>
      <c r="H6545" s="242"/>
      <c r="I6545" s="223"/>
      <c r="J6545" s="57"/>
      <c r="K6545" s="153"/>
      <c r="L6545" s="153"/>
      <c r="M6545" s="243"/>
      <c r="N6545" s="234"/>
      <c r="O6545" s="235"/>
      <c r="P6545" s="236"/>
      <c r="Q6545" s="236"/>
    </row>
    <row r="6546" spans="1:17" ht="15" customHeight="1">
      <c r="A6546" s="91"/>
      <c r="B6546" s="91"/>
      <c r="C6546" s="220"/>
      <c r="D6546" s="91"/>
      <c r="E6546" s="221"/>
      <c r="F6546" s="91"/>
      <c r="G6546" s="91"/>
      <c r="H6546" s="242"/>
      <c r="I6546" s="223"/>
      <c r="J6546" s="57"/>
      <c r="K6546" s="153"/>
      <c r="L6546" s="153"/>
      <c r="M6546" s="243"/>
      <c r="N6546" s="234"/>
      <c r="O6546" s="235"/>
      <c r="P6546" s="236"/>
      <c r="Q6546" s="236"/>
    </row>
    <row r="6547" spans="1:17" ht="15" customHeight="1">
      <c r="A6547" s="91"/>
      <c r="B6547" s="91"/>
      <c r="C6547" s="220"/>
      <c r="D6547" s="91"/>
      <c r="E6547" s="221"/>
      <c r="F6547" s="91"/>
      <c r="G6547" s="91"/>
      <c r="H6547" s="242"/>
      <c r="I6547" s="223"/>
      <c r="J6547" s="57"/>
      <c r="K6547" s="153"/>
      <c r="L6547" s="153"/>
      <c r="M6547" s="243"/>
      <c r="N6547" s="234"/>
      <c r="O6547" s="235"/>
    </row>
    <row r="6548" spans="1:17" ht="15" customHeight="1">
      <c r="A6548" s="91"/>
      <c r="B6548" s="91"/>
      <c r="C6548" s="220"/>
      <c r="D6548" s="91"/>
      <c r="E6548" s="221"/>
      <c r="F6548" s="91"/>
      <c r="G6548" s="91"/>
      <c r="H6548" s="242"/>
      <c r="I6548" s="223"/>
      <c r="J6548" s="57"/>
      <c r="K6548" s="153"/>
      <c r="L6548" s="153"/>
      <c r="M6548" s="243"/>
      <c r="N6548" s="234"/>
      <c r="O6548" s="235"/>
    </row>
    <row r="6549" spans="1:17" ht="15" customHeight="1">
      <c r="A6549" s="91"/>
      <c r="B6549" s="91"/>
      <c r="C6549" s="220"/>
      <c r="D6549" s="91"/>
      <c r="E6549" s="221"/>
      <c r="F6549" s="91"/>
      <c r="G6549" s="91"/>
      <c r="H6549" s="242"/>
      <c r="I6549" s="223"/>
      <c r="J6549" s="57"/>
      <c r="K6549" s="153"/>
      <c r="L6549" s="153"/>
      <c r="M6549" s="243"/>
      <c r="N6549" s="234"/>
      <c r="O6549" s="235"/>
    </row>
    <row r="6550" spans="1:17" ht="15" customHeight="1">
      <c r="A6550" s="91"/>
      <c r="B6550" s="91"/>
      <c r="C6550" s="220"/>
      <c r="D6550" s="91"/>
      <c r="E6550" s="221"/>
      <c r="F6550" s="91"/>
      <c r="G6550" s="91"/>
      <c r="H6550" s="242"/>
      <c r="I6550" s="223"/>
      <c r="J6550" s="57"/>
      <c r="K6550" s="153"/>
      <c r="L6550" s="153"/>
      <c r="M6550" s="243"/>
      <c r="N6550" s="234"/>
      <c r="O6550" s="235"/>
    </row>
    <row r="6551" spans="1:17" ht="15" customHeight="1">
      <c r="A6551" s="91"/>
      <c r="B6551" s="91"/>
      <c r="C6551" s="220"/>
      <c r="D6551" s="91"/>
      <c r="E6551" s="221"/>
      <c r="F6551" s="91"/>
      <c r="G6551" s="91"/>
      <c r="H6551" s="242"/>
      <c r="I6551" s="223"/>
      <c r="J6551" s="57"/>
      <c r="K6551" s="153"/>
      <c r="L6551" s="153"/>
      <c r="M6551" s="243"/>
      <c r="N6551" s="234"/>
      <c r="O6551" s="235"/>
    </row>
    <row r="6552" spans="1:17" ht="15" customHeight="1">
      <c r="A6552" s="91"/>
      <c r="B6552" s="91"/>
      <c r="C6552" s="220"/>
      <c r="D6552" s="91"/>
      <c r="E6552" s="221"/>
      <c r="F6552" s="91"/>
      <c r="G6552" s="91"/>
      <c r="H6552" s="242"/>
      <c r="I6552" s="223"/>
      <c r="J6552" s="57"/>
      <c r="K6552" s="153"/>
      <c r="L6552" s="153"/>
      <c r="M6552" s="243"/>
      <c r="N6552" s="234"/>
      <c r="O6552" s="235"/>
    </row>
    <row r="6553" spans="1:17" ht="15" customHeight="1">
      <c r="A6553" s="91"/>
      <c r="B6553" s="91"/>
      <c r="C6553" s="220"/>
      <c r="D6553" s="91"/>
      <c r="E6553" s="221"/>
      <c r="F6553" s="91"/>
      <c r="G6553" s="91"/>
      <c r="H6553" s="242"/>
      <c r="I6553" s="223"/>
      <c r="J6553" s="57"/>
      <c r="K6553" s="153"/>
      <c r="L6553" s="153"/>
      <c r="M6553" s="243"/>
      <c r="N6553" s="234"/>
      <c r="O6553" s="235"/>
    </row>
    <row r="6554" spans="1:17" ht="15" customHeight="1">
      <c r="A6554" s="91"/>
      <c r="B6554" s="91"/>
      <c r="C6554" s="220"/>
      <c r="D6554" s="91"/>
      <c r="E6554" s="221"/>
      <c r="F6554" s="91"/>
      <c r="G6554" s="91"/>
      <c r="H6554" s="242"/>
      <c r="I6554" s="223"/>
      <c r="J6554" s="57"/>
      <c r="K6554" s="153"/>
      <c r="L6554" s="153"/>
      <c r="M6554" s="243"/>
      <c r="N6554" s="234"/>
      <c r="O6554" s="235"/>
    </row>
    <row r="6555" spans="1:17" ht="15" customHeight="1">
      <c r="A6555" s="91"/>
      <c r="B6555" s="91"/>
      <c r="C6555" s="220"/>
      <c r="D6555" s="91"/>
      <c r="E6555" s="221"/>
      <c r="F6555" s="91"/>
      <c r="G6555" s="91"/>
      <c r="H6555" s="242"/>
      <c r="I6555" s="223"/>
      <c r="J6555" s="57"/>
      <c r="K6555" s="153"/>
      <c r="L6555" s="153"/>
      <c r="M6555" s="243"/>
      <c r="N6555" s="234"/>
      <c r="O6555" s="235"/>
    </row>
    <row r="6556" spans="1:17" ht="15" customHeight="1">
      <c r="A6556" s="91"/>
      <c r="B6556" s="91"/>
      <c r="C6556" s="220"/>
      <c r="D6556" s="91"/>
      <c r="E6556" s="221"/>
      <c r="F6556" s="91"/>
      <c r="G6556" s="91"/>
      <c r="H6556" s="242"/>
      <c r="I6556" s="223"/>
      <c r="J6556" s="57"/>
      <c r="K6556" s="153"/>
      <c r="L6556" s="153"/>
      <c r="M6556" s="243"/>
      <c r="N6556" s="234"/>
      <c r="O6556" s="235"/>
    </row>
    <row r="6557" spans="1:17" ht="15" customHeight="1">
      <c r="A6557" s="91"/>
      <c r="B6557" s="91"/>
      <c r="C6557" s="220"/>
      <c r="D6557" s="91"/>
      <c r="E6557" s="221"/>
      <c r="F6557" s="91"/>
      <c r="G6557" s="91"/>
      <c r="H6557" s="242"/>
      <c r="I6557" s="223"/>
      <c r="J6557" s="57"/>
      <c r="K6557" s="153"/>
      <c r="L6557" s="153"/>
      <c r="M6557" s="243"/>
      <c r="N6557" s="234"/>
      <c r="O6557" s="235"/>
    </row>
    <row r="6558" spans="1:17" ht="15" customHeight="1">
      <c r="A6558" s="91"/>
      <c r="B6558" s="91"/>
      <c r="C6558" s="220"/>
      <c r="D6558" s="91"/>
      <c r="E6558" s="221"/>
      <c r="F6558" s="91"/>
      <c r="G6558" s="91"/>
      <c r="H6558" s="242"/>
      <c r="I6558" s="223"/>
      <c r="J6558" s="57"/>
      <c r="K6558" s="153"/>
      <c r="L6558" s="153"/>
      <c r="M6558" s="243"/>
      <c r="N6558" s="234"/>
      <c r="O6558" s="235"/>
    </row>
    <row r="6559" spans="1:17" ht="15" customHeight="1">
      <c r="A6559" s="91"/>
      <c r="B6559" s="91"/>
      <c r="C6559" s="220"/>
      <c r="D6559" s="91"/>
      <c r="E6559" s="221"/>
      <c r="F6559" s="91"/>
      <c r="G6559" s="91"/>
      <c r="H6559" s="242"/>
      <c r="I6559" s="223"/>
      <c r="J6559" s="57"/>
      <c r="K6559" s="153"/>
      <c r="L6559" s="153"/>
      <c r="M6559" s="243"/>
      <c r="N6559" s="234"/>
      <c r="O6559" s="235"/>
    </row>
    <row r="6560" spans="1:17" ht="15" customHeight="1">
      <c r="A6560" s="91"/>
      <c r="B6560" s="91"/>
      <c r="C6560" s="220"/>
      <c r="D6560" s="91"/>
      <c r="E6560" s="221"/>
      <c r="F6560" s="91"/>
      <c r="G6560" s="91"/>
      <c r="H6560" s="242"/>
      <c r="I6560" s="223"/>
      <c r="J6560" s="57"/>
      <c r="K6560" s="153"/>
      <c r="L6560" s="153"/>
      <c r="M6560" s="243"/>
      <c r="N6560" s="234"/>
      <c r="O6560" s="235"/>
    </row>
    <row r="6561" spans="1:15" ht="15" customHeight="1">
      <c r="A6561" s="91"/>
      <c r="B6561" s="91"/>
      <c r="C6561" s="220"/>
      <c r="D6561" s="91"/>
      <c r="E6561" s="221"/>
      <c r="F6561" s="91"/>
      <c r="G6561" s="91"/>
      <c r="H6561" s="242"/>
      <c r="I6561" s="223"/>
      <c r="J6561" s="57"/>
      <c r="K6561" s="153"/>
      <c r="L6561" s="153"/>
      <c r="M6561" s="243"/>
      <c r="N6561" s="234"/>
      <c r="O6561" s="235"/>
    </row>
    <row r="6562" spans="1:15" ht="15" customHeight="1">
      <c r="A6562" s="91"/>
      <c r="B6562" s="91"/>
      <c r="C6562" s="220"/>
      <c r="D6562" s="91"/>
      <c r="E6562" s="221"/>
      <c r="F6562" s="91"/>
      <c r="G6562" s="91"/>
      <c r="H6562" s="242"/>
      <c r="I6562" s="223"/>
      <c r="J6562" s="57"/>
      <c r="K6562" s="153"/>
      <c r="L6562" s="153"/>
      <c r="M6562" s="243"/>
      <c r="N6562" s="234"/>
      <c r="O6562" s="235"/>
    </row>
    <row r="6563" spans="1:15" ht="15" customHeight="1">
      <c r="A6563" s="91"/>
      <c r="B6563" s="91"/>
      <c r="C6563" s="220"/>
      <c r="D6563" s="91"/>
      <c r="E6563" s="221"/>
      <c r="F6563" s="91"/>
      <c r="G6563" s="91"/>
      <c r="H6563" s="242"/>
      <c r="I6563" s="223"/>
      <c r="J6563" s="57"/>
      <c r="K6563" s="153"/>
      <c r="L6563" s="153"/>
      <c r="M6563" s="243"/>
      <c r="N6563" s="234"/>
      <c r="O6563" s="235"/>
    </row>
    <row r="6564" spans="1:15" ht="15" customHeight="1">
      <c r="A6564" s="91"/>
      <c r="B6564" s="91"/>
      <c r="C6564" s="220"/>
      <c r="D6564" s="91"/>
      <c r="E6564" s="221"/>
      <c r="F6564" s="91"/>
      <c r="G6564" s="91"/>
      <c r="H6564" s="242"/>
      <c r="I6564" s="223"/>
      <c r="J6564" s="57"/>
      <c r="K6564" s="153"/>
      <c r="L6564" s="153"/>
      <c r="M6564" s="243"/>
      <c r="N6564" s="234"/>
      <c r="O6564" s="235"/>
    </row>
    <row r="6565" spans="1:15" ht="15" customHeight="1">
      <c r="A6565" s="91"/>
      <c r="B6565" s="91"/>
      <c r="C6565" s="220"/>
      <c r="D6565" s="91"/>
      <c r="E6565" s="221"/>
      <c r="F6565" s="91"/>
      <c r="G6565" s="91"/>
      <c r="H6565" s="242"/>
      <c r="I6565" s="223"/>
      <c r="J6565" s="57"/>
      <c r="K6565" s="153"/>
      <c r="L6565" s="153"/>
      <c r="M6565" s="243"/>
      <c r="N6565" s="234"/>
      <c r="O6565" s="235"/>
    </row>
    <row r="6566" spans="1:15" ht="15" customHeight="1">
      <c r="A6566" s="91"/>
      <c r="B6566" s="91"/>
      <c r="C6566" s="220"/>
      <c r="D6566" s="91"/>
      <c r="E6566" s="221"/>
      <c r="F6566" s="91"/>
      <c r="G6566" s="91"/>
      <c r="H6566" s="242"/>
      <c r="I6566" s="223"/>
      <c r="J6566" s="57"/>
      <c r="K6566" s="153"/>
      <c r="L6566" s="153"/>
      <c r="M6566" s="243"/>
      <c r="N6566" s="234"/>
      <c r="O6566" s="235"/>
    </row>
    <row r="6567" spans="1:15" ht="15" customHeight="1">
      <c r="A6567" s="91"/>
      <c r="B6567" s="91"/>
      <c r="C6567" s="220"/>
      <c r="D6567" s="91"/>
      <c r="E6567" s="221"/>
      <c r="F6567" s="91"/>
      <c r="G6567" s="91"/>
      <c r="H6567" s="242"/>
      <c r="I6567" s="223"/>
      <c r="J6567" s="57"/>
      <c r="K6567" s="153"/>
      <c r="L6567" s="153"/>
      <c r="M6567" s="243"/>
      <c r="N6567" s="234"/>
      <c r="O6567" s="235"/>
    </row>
    <row r="6568" spans="1:15" ht="15" customHeight="1">
      <c r="A6568" s="91"/>
      <c r="B6568" s="91"/>
      <c r="C6568" s="220"/>
      <c r="D6568" s="91"/>
      <c r="E6568" s="221"/>
      <c r="F6568" s="91"/>
      <c r="G6568" s="91"/>
      <c r="H6568" s="242"/>
      <c r="I6568" s="223"/>
      <c r="J6568" s="57"/>
      <c r="K6568" s="153"/>
      <c r="L6568" s="153"/>
      <c r="M6568" s="243"/>
      <c r="N6568" s="234"/>
      <c r="O6568" s="235"/>
    </row>
    <row r="6569" spans="1:15" ht="15" customHeight="1">
      <c r="A6569" s="91"/>
      <c r="B6569" s="91"/>
      <c r="C6569" s="220"/>
      <c r="D6569" s="91"/>
      <c r="E6569" s="221"/>
      <c r="F6569" s="91"/>
      <c r="G6569" s="91"/>
      <c r="H6569" s="242"/>
      <c r="I6569" s="223"/>
      <c r="J6569" s="57"/>
      <c r="K6569" s="153"/>
      <c r="L6569" s="153"/>
      <c r="M6569" s="243"/>
      <c r="N6569" s="234"/>
      <c r="O6569" s="235"/>
    </row>
    <row r="6570" spans="1:15" ht="15" customHeight="1">
      <c r="A6570" s="91"/>
      <c r="B6570" s="91"/>
      <c r="C6570" s="220"/>
      <c r="D6570" s="91"/>
      <c r="E6570" s="221"/>
      <c r="F6570" s="91"/>
      <c r="G6570" s="91"/>
      <c r="H6570" s="242"/>
      <c r="I6570" s="223"/>
      <c r="J6570" s="57"/>
      <c r="K6570" s="153"/>
      <c r="L6570" s="153"/>
      <c r="M6570" s="243"/>
      <c r="N6570" s="234"/>
      <c r="O6570" s="235"/>
    </row>
    <row r="6571" spans="1:15" ht="15" customHeight="1">
      <c r="A6571" s="91"/>
      <c r="B6571" s="91"/>
      <c r="C6571" s="220"/>
      <c r="D6571" s="91"/>
      <c r="E6571" s="221"/>
      <c r="F6571" s="91"/>
      <c r="G6571" s="91"/>
      <c r="H6571" s="242"/>
      <c r="I6571" s="223"/>
      <c r="J6571" s="57"/>
      <c r="K6571" s="153"/>
      <c r="L6571" s="153"/>
      <c r="M6571" s="243"/>
      <c r="N6571" s="234"/>
      <c r="O6571" s="235"/>
    </row>
    <row r="6572" spans="1:15" ht="15" customHeight="1">
      <c r="A6572" s="91"/>
      <c r="B6572" s="91"/>
      <c r="C6572" s="220"/>
      <c r="D6572" s="91"/>
      <c r="E6572" s="221"/>
      <c r="F6572" s="91"/>
      <c r="G6572" s="91"/>
      <c r="H6572" s="242"/>
      <c r="I6572" s="223"/>
      <c r="J6572" s="57"/>
      <c r="K6572" s="153"/>
      <c r="L6572" s="153"/>
      <c r="M6572" s="243"/>
      <c r="N6572" s="234"/>
      <c r="O6572" s="235"/>
    </row>
    <row r="6573" spans="1:15" ht="15" customHeight="1">
      <c r="A6573" s="91"/>
      <c r="B6573" s="91"/>
      <c r="C6573" s="220"/>
      <c r="D6573" s="91"/>
      <c r="E6573" s="221"/>
      <c r="F6573" s="91"/>
      <c r="G6573" s="91"/>
      <c r="H6573" s="242"/>
      <c r="I6573" s="223"/>
      <c r="J6573" s="57"/>
      <c r="K6573" s="153"/>
      <c r="L6573" s="153"/>
      <c r="M6573" s="243"/>
      <c r="N6573" s="234"/>
      <c r="O6573" s="235"/>
    </row>
    <row r="6574" spans="1:15" ht="15" customHeight="1">
      <c r="A6574" s="91"/>
      <c r="B6574" s="91"/>
      <c r="C6574" s="220"/>
      <c r="D6574" s="91"/>
      <c r="E6574" s="221"/>
      <c r="F6574" s="91"/>
      <c r="G6574" s="91"/>
      <c r="H6574" s="242"/>
      <c r="I6574" s="223"/>
      <c r="J6574" s="57"/>
      <c r="K6574" s="153"/>
      <c r="L6574" s="153"/>
      <c r="M6574" s="243"/>
      <c r="N6574" s="234"/>
      <c r="O6574" s="235"/>
    </row>
    <row r="6575" spans="1:15" ht="15" customHeight="1">
      <c r="A6575" s="91"/>
      <c r="B6575" s="91"/>
      <c r="C6575" s="220"/>
      <c r="D6575" s="91"/>
      <c r="E6575" s="221"/>
      <c r="F6575" s="91"/>
      <c r="G6575" s="91"/>
      <c r="H6575" s="242"/>
      <c r="I6575" s="223"/>
      <c r="J6575" s="57"/>
      <c r="K6575" s="153"/>
      <c r="L6575" s="153"/>
      <c r="M6575" s="243"/>
      <c r="N6575" s="234"/>
      <c r="O6575" s="235"/>
    </row>
    <row r="6576" spans="1:15" ht="15" customHeight="1">
      <c r="A6576" s="91"/>
      <c r="B6576" s="91"/>
      <c r="C6576" s="220"/>
      <c r="D6576" s="91"/>
      <c r="E6576" s="221"/>
      <c r="F6576" s="91"/>
      <c r="G6576" s="91"/>
      <c r="H6576" s="242"/>
      <c r="I6576" s="223"/>
      <c r="J6576" s="57"/>
      <c r="K6576" s="153"/>
      <c r="L6576" s="153"/>
      <c r="M6576" s="243"/>
      <c r="N6576" s="234"/>
      <c r="O6576" s="235"/>
    </row>
    <row r="6577" spans="1:15" ht="15" customHeight="1">
      <c r="A6577" s="91"/>
      <c r="B6577" s="91"/>
      <c r="C6577" s="220"/>
      <c r="D6577" s="91"/>
      <c r="E6577" s="221"/>
      <c r="F6577" s="91"/>
      <c r="G6577" s="91"/>
      <c r="H6577" s="242"/>
      <c r="I6577" s="223"/>
      <c r="J6577" s="57"/>
      <c r="K6577" s="153"/>
      <c r="L6577" s="153"/>
      <c r="M6577" s="243"/>
      <c r="N6577" s="234"/>
      <c r="O6577" s="235"/>
    </row>
    <row r="6578" spans="1:15" ht="15" customHeight="1">
      <c r="A6578" s="91"/>
      <c r="B6578" s="91"/>
      <c r="C6578" s="220"/>
      <c r="D6578" s="91"/>
      <c r="E6578" s="221"/>
      <c r="F6578" s="91"/>
      <c r="G6578" s="91"/>
      <c r="H6578" s="242"/>
      <c r="I6578" s="223"/>
      <c r="J6578" s="57"/>
      <c r="K6578" s="153"/>
      <c r="L6578" s="153"/>
      <c r="M6578" s="243"/>
      <c r="N6578" s="234"/>
      <c r="O6578" s="235"/>
    </row>
    <row r="6579" spans="1:15" ht="15" customHeight="1">
      <c r="A6579" s="91"/>
      <c r="B6579" s="91"/>
      <c r="C6579" s="220"/>
      <c r="D6579" s="91"/>
      <c r="E6579" s="221"/>
      <c r="F6579" s="91"/>
      <c r="G6579" s="91"/>
      <c r="H6579" s="242"/>
      <c r="I6579" s="223"/>
      <c r="J6579" s="57"/>
      <c r="K6579" s="153"/>
      <c r="L6579" s="153"/>
      <c r="M6579" s="243"/>
      <c r="N6579" s="234"/>
      <c r="O6579" s="235"/>
    </row>
    <row r="6580" spans="1:15" ht="15" customHeight="1">
      <c r="A6580" s="91"/>
      <c r="B6580" s="91"/>
      <c r="C6580" s="220"/>
      <c r="D6580" s="91"/>
      <c r="E6580" s="221"/>
      <c r="F6580" s="91"/>
      <c r="G6580" s="91"/>
      <c r="H6580" s="242"/>
      <c r="I6580" s="223"/>
      <c r="J6580" s="57"/>
      <c r="K6580" s="153"/>
      <c r="L6580" s="153"/>
      <c r="M6580" s="243"/>
      <c r="N6580" s="234"/>
      <c r="O6580" s="235"/>
    </row>
    <row r="6581" spans="1:15" ht="15" customHeight="1">
      <c r="A6581" s="91"/>
      <c r="B6581" s="91"/>
      <c r="C6581" s="220"/>
      <c r="D6581" s="91"/>
      <c r="E6581" s="221"/>
      <c r="F6581" s="91"/>
      <c r="G6581" s="91"/>
      <c r="H6581" s="242"/>
      <c r="I6581" s="223"/>
      <c r="J6581" s="57"/>
      <c r="K6581" s="153"/>
      <c r="L6581" s="153"/>
      <c r="M6581" s="243"/>
      <c r="N6581" s="234"/>
      <c r="O6581" s="235"/>
    </row>
    <row r="6582" spans="1:15" ht="15" customHeight="1">
      <c r="A6582" s="91"/>
      <c r="B6582" s="91"/>
      <c r="C6582" s="220"/>
      <c r="D6582" s="91"/>
      <c r="E6582" s="221"/>
      <c r="F6582" s="91"/>
      <c r="G6582" s="91"/>
      <c r="H6582" s="242"/>
      <c r="I6582" s="223"/>
      <c r="J6582" s="57"/>
      <c r="K6582" s="153"/>
      <c r="L6582" s="153"/>
      <c r="M6582" s="243"/>
      <c r="N6582" s="234"/>
      <c r="O6582" s="235"/>
    </row>
    <row r="6583" spans="1:15" ht="15" customHeight="1">
      <c r="A6583" s="91"/>
      <c r="B6583" s="91"/>
      <c r="C6583" s="220"/>
      <c r="D6583" s="91"/>
      <c r="E6583" s="221"/>
      <c r="F6583" s="91"/>
      <c r="G6583" s="91"/>
      <c r="H6583" s="242"/>
      <c r="I6583" s="223"/>
      <c r="J6583" s="57"/>
      <c r="K6583" s="153"/>
      <c r="L6583" s="153"/>
      <c r="M6583" s="243"/>
      <c r="N6583" s="234"/>
      <c r="O6583" s="235"/>
    </row>
    <row r="6584" spans="1:15" ht="15" customHeight="1">
      <c r="A6584" s="91"/>
      <c r="B6584" s="91"/>
      <c r="C6584" s="220"/>
      <c r="D6584" s="91"/>
      <c r="E6584" s="221"/>
      <c r="F6584" s="91"/>
      <c r="G6584" s="91"/>
      <c r="H6584" s="242"/>
      <c r="I6584" s="223"/>
      <c r="J6584" s="57"/>
      <c r="K6584" s="153"/>
      <c r="L6584" s="153"/>
      <c r="M6584" s="243"/>
      <c r="N6584" s="234"/>
      <c r="O6584" s="235"/>
    </row>
    <row r="6585" spans="1:15" ht="15" customHeight="1">
      <c r="A6585" s="91"/>
      <c r="B6585" s="91"/>
      <c r="C6585" s="220"/>
      <c r="D6585" s="91"/>
      <c r="E6585" s="221"/>
      <c r="F6585" s="91"/>
      <c r="G6585" s="91"/>
      <c r="H6585" s="242"/>
      <c r="I6585" s="223"/>
      <c r="J6585" s="57"/>
      <c r="K6585" s="153"/>
      <c r="L6585" s="153"/>
      <c r="M6585" s="243"/>
      <c r="N6585" s="234"/>
      <c r="O6585" s="235"/>
    </row>
    <row r="6586" spans="1:15" ht="15" customHeight="1">
      <c r="A6586" s="91"/>
      <c r="B6586" s="91"/>
      <c r="C6586" s="220"/>
      <c r="D6586" s="91"/>
      <c r="E6586" s="221"/>
      <c r="F6586" s="91"/>
      <c r="G6586" s="91"/>
      <c r="H6586" s="242"/>
      <c r="I6586" s="223"/>
      <c r="J6586" s="57"/>
      <c r="K6586" s="153"/>
      <c r="L6586" s="153"/>
      <c r="M6586" s="243"/>
      <c r="N6586" s="234"/>
      <c r="O6586" s="235"/>
    </row>
    <row r="6587" spans="1:15" ht="15" customHeight="1">
      <c r="A6587" s="91"/>
      <c r="B6587" s="91"/>
      <c r="C6587" s="220"/>
      <c r="D6587" s="91"/>
      <c r="E6587" s="221"/>
      <c r="F6587" s="91"/>
      <c r="G6587" s="91"/>
      <c r="H6587" s="242"/>
      <c r="I6587" s="223"/>
      <c r="J6587" s="57"/>
      <c r="K6587" s="153"/>
      <c r="L6587" s="153"/>
      <c r="M6587" s="243"/>
      <c r="N6587" s="234"/>
      <c r="O6587" s="235"/>
    </row>
    <row r="6588" spans="1:15" ht="15" customHeight="1">
      <c r="A6588" s="91"/>
      <c r="B6588" s="91"/>
      <c r="C6588" s="220"/>
      <c r="D6588" s="91"/>
      <c r="E6588" s="221"/>
      <c r="F6588" s="91"/>
      <c r="G6588" s="91"/>
      <c r="H6588" s="242"/>
      <c r="I6588" s="223"/>
      <c r="J6588" s="57"/>
      <c r="K6588" s="153"/>
      <c r="L6588" s="153"/>
      <c r="M6588" s="243"/>
      <c r="N6588" s="234"/>
      <c r="O6588" s="235"/>
    </row>
    <row r="6589" spans="1:15" ht="15" customHeight="1">
      <c r="A6589" s="91"/>
      <c r="B6589" s="91"/>
      <c r="C6589" s="220"/>
      <c r="D6589" s="91"/>
      <c r="E6589" s="221"/>
      <c r="F6589" s="91"/>
      <c r="G6589" s="91"/>
      <c r="H6589" s="242"/>
      <c r="I6589" s="223"/>
      <c r="J6589" s="57"/>
      <c r="K6589" s="153"/>
      <c r="L6589" s="153"/>
      <c r="M6589" s="243"/>
      <c r="N6589" s="234"/>
      <c r="O6589" s="235"/>
    </row>
    <row r="6590" spans="1:15" ht="15" customHeight="1">
      <c r="A6590" s="91"/>
      <c r="B6590" s="91"/>
      <c r="C6590" s="220"/>
      <c r="D6590" s="91"/>
      <c r="E6590" s="221"/>
      <c r="F6590" s="91"/>
      <c r="G6590" s="91"/>
      <c r="H6590" s="242"/>
      <c r="I6590" s="223"/>
      <c r="J6590" s="57"/>
      <c r="K6590" s="153"/>
      <c r="L6590" s="153"/>
      <c r="M6590" s="243"/>
      <c r="N6590" s="234"/>
      <c r="O6590" s="235"/>
    </row>
    <row r="6591" spans="1:15" ht="15" customHeight="1">
      <c r="A6591" s="91"/>
      <c r="B6591" s="91"/>
      <c r="C6591" s="220"/>
      <c r="D6591" s="91"/>
      <c r="E6591" s="221"/>
      <c r="F6591" s="91"/>
      <c r="G6591" s="91"/>
      <c r="H6591" s="242"/>
      <c r="I6591" s="223"/>
      <c r="J6591" s="57"/>
      <c r="K6591" s="153"/>
      <c r="L6591" s="153"/>
      <c r="M6591" s="243"/>
      <c r="N6591" s="234"/>
      <c r="O6591" s="235"/>
    </row>
    <row r="6592" spans="1:15" ht="15" customHeight="1">
      <c r="A6592" s="91"/>
      <c r="B6592" s="91"/>
      <c r="C6592" s="220"/>
      <c r="D6592" s="91"/>
      <c r="E6592" s="221"/>
      <c r="F6592" s="91"/>
      <c r="G6592" s="91"/>
      <c r="H6592" s="242"/>
      <c r="I6592" s="223"/>
      <c r="J6592" s="57"/>
      <c r="K6592" s="153"/>
      <c r="L6592" s="153"/>
      <c r="M6592" s="243"/>
      <c r="N6592" s="234"/>
      <c r="O6592" s="235"/>
    </row>
    <row r="6593" spans="1:15" ht="15" customHeight="1">
      <c r="A6593" s="91"/>
      <c r="B6593" s="91"/>
      <c r="C6593" s="220"/>
      <c r="D6593" s="91"/>
      <c r="E6593" s="221"/>
      <c r="F6593" s="91"/>
      <c r="G6593" s="91"/>
      <c r="H6593" s="242"/>
      <c r="I6593" s="223"/>
      <c r="J6593" s="57"/>
      <c r="K6593" s="153"/>
      <c r="L6593" s="153"/>
      <c r="M6593" s="243"/>
      <c r="N6593" s="234"/>
      <c r="O6593" s="235"/>
    </row>
    <row r="6594" spans="1:15" ht="15" customHeight="1">
      <c r="A6594" s="91"/>
      <c r="B6594" s="91"/>
      <c r="C6594" s="220"/>
      <c r="D6594" s="91"/>
      <c r="E6594" s="221"/>
      <c r="F6594" s="91"/>
      <c r="G6594" s="91"/>
      <c r="H6594" s="242"/>
      <c r="I6594" s="223"/>
      <c r="J6594" s="57"/>
      <c r="K6594" s="153"/>
      <c r="L6594" s="153"/>
      <c r="M6594" s="243"/>
      <c r="N6594" s="234"/>
      <c r="O6594" s="235"/>
    </row>
    <row r="6595" spans="1:15" ht="15" customHeight="1">
      <c r="A6595" s="91"/>
      <c r="B6595" s="91"/>
      <c r="C6595" s="220"/>
      <c r="D6595" s="91"/>
      <c r="E6595" s="221"/>
      <c r="F6595" s="91"/>
      <c r="G6595" s="91"/>
      <c r="H6595" s="242"/>
      <c r="I6595" s="223"/>
      <c r="J6595" s="57"/>
      <c r="K6595" s="153"/>
      <c r="L6595" s="153"/>
      <c r="M6595" s="243"/>
      <c r="N6595" s="234"/>
      <c r="O6595" s="235"/>
    </row>
    <row r="6596" spans="1:15" ht="15" customHeight="1">
      <c r="A6596" s="91"/>
      <c r="B6596" s="91"/>
      <c r="C6596" s="220"/>
      <c r="D6596" s="91"/>
      <c r="E6596" s="221"/>
      <c r="F6596" s="91"/>
      <c r="G6596" s="91"/>
      <c r="H6596" s="242"/>
      <c r="I6596" s="223"/>
      <c r="J6596" s="57"/>
      <c r="K6596" s="153"/>
      <c r="L6596" s="153"/>
      <c r="M6596" s="243"/>
      <c r="N6596" s="234"/>
      <c r="O6596" s="235"/>
    </row>
    <row r="6597" spans="1:15" ht="15" customHeight="1">
      <c r="A6597" s="91"/>
      <c r="B6597" s="91"/>
      <c r="C6597" s="220"/>
      <c r="D6597" s="91"/>
      <c r="E6597" s="221"/>
      <c r="F6597" s="91"/>
      <c r="G6597" s="91"/>
      <c r="H6597" s="242"/>
      <c r="I6597" s="223"/>
      <c r="J6597" s="57"/>
      <c r="K6597" s="153"/>
      <c r="L6597" s="153"/>
      <c r="M6597" s="243"/>
      <c r="N6597" s="234"/>
      <c r="O6597" s="235"/>
    </row>
    <row r="6598" spans="1:15" ht="15" customHeight="1">
      <c r="A6598" s="91"/>
      <c r="B6598" s="91"/>
      <c r="C6598" s="220"/>
      <c r="D6598" s="91"/>
      <c r="E6598" s="221"/>
      <c r="F6598" s="91"/>
      <c r="G6598" s="91"/>
      <c r="H6598" s="242"/>
      <c r="I6598" s="223"/>
      <c r="J6598" s="57"/>
      <c r="K6598" s="153"/>
      <c r="L6598" s="153"/>
      <c r="M6598" s="243"/>
      <c r="N6598" s="234"/>
      <c r="O6598" s="235"/>
    </row>
    <row r="6599" spans="1:15" ht="15" customHeight="1">
      <c r="A6599" s="91"/>
      <c r="B6599" s="91"/>
      <c r="C6599" s="220"/>
      <c r="D6599" s="91"/>
      <c r="E6599" s="221"/>
      <c r="F6599" s="91"/>
      <c r="G6599" s="91"/>
      <c r="H6599" s="242"/>
      <c r="I6599" s="223"/>
      <c r="J6599" s="57"/>
      <c r="K6599" s="153"/>
      <c r="L6599" s="153"/>
      <c r="M6599" s="243"/>
      <c r="N6599" s="234"/>
      <c r="O6599" s="235"/>
    </row>
    <row r="6600" spans="1:15" ht="15" customHeight="1">
      <c r="A6600" s="91"/>
      <c r="B6600" s="91"/>
      <c r="C6600" s="220"/>
      <c r="D6600" s="91"/>
      <c r="E6600" s="221"/>
      <c r="F6600" s="91"/>
      <c r="G6600" s="91"/>
      <c r="H6600" s="242"/>
      <c r="I6600" s="223"/>
      <c r="J6600" s="57"/>
      <c r="K6600" s="153"/>
      <c r="L6600" s="153"/>
      <c r="M6600" s="243"/>
      <c r="N6600" s="234"/>
      <c r="O6600" s="235"/>
    </row>
    <row r="6601" spans="1:15" ht="15" customHeight="1">
      <c r="A6601" s="91"/>
      <c r="B6601" s="91"/>
      <c r="C6601" s="220"/>
      <c r="D6601" s="91"/>
      <c r="E6601" s="221"/>
      <c r="F6601" s="91"/>
      <c r="G6601" s="91"/>
      <c r="H6601" s="242"/>
      <c r="I6601" s="223"/>
      <c r="J6601" s="57"/>
      <c r="K6601" s="153"/>
      <c r="L6601" s="153"/>
      <c r="M6601" s="243"/>
      <c r="N6601" s="234"/>
      <c r="O6601" s="235"/>
    </row>
    <row r="6602" spans="1:15" ht="15" customHeight="1">
      <c r="A6602" s="91"/>
      <c r="B6602" s="91"/>
      <c r="C6602" s="220"/>
      <c r="D6602" s="91"/>
      <c r="E6602" s="221"/>
      <c r="F6602" s="91"/>
      <c r="G6602" s="91"/>
      <c r="H6602" s="242"/>
      <c r="I6602" s="223"/>
      <c r="J6602" s="57"/>
      <c r="K6602" s="153"/>
      <c r="L6602" s="153"/>
      <c r="M6602" s="243"/>
      <c r="N6602" s="234"/>
      <c r="O6602" s="235"/>
    </row>
    <row r="6603" spans="1:15" ht="15" customHeight="1">
      <c r="A6603" s="91"/>
      <c r="B6603" s="91"/>
      <c r="C6603" s="220"/>
      <c r="D6603" s="91"/>
      <c r="E6603" s="221"/>
      <c r="F6603" s="91"/>
      <c r="G6603" s="91"/>
      <c r="H6603" s="242"/>
      <c r="I6603" s="223"/>
      <c r="J6603" s="57"/>
      <c r="K6603" s="153"/>
      <c r="L6603" s="153"/>
      <c r="M6603" s="243"/>
      <c r="N6603" s="234"/>
      <c r="O6603" s="235"/>
    </row>
    <row r="6604" spans="1:15" ht="15" customHeight="1">
      <c r="A6604" s="91"/>
      <c r="B6604" s="91"/>
      <c r="C6604" s="220"/>
      <c r="D6604" s="91"/>
      <c r="E6604" s="221"/>
      <c r="F6604" s="91"/>
      <c r="G6604" s="91"/>
      <c r="H6604" s="242"/>
      <c r="I6604" s="223"/>
      <c r="J6604" s="57"/>
      <c r="K6604" s="153"/>
      <c r="L6604" s="153"/>
      <c r="M6604" s="243"/>
      <c r="N6604" s="234"/>
      <c r="O6604" s="235"/>
    </row>
    <row r="6605" spans="1:15" ht="15" customHeight="1">
      <c r="A6605" s="91"/>
      <c r="B6605" s="91"/>
      <c r="C6605" s="220"/>
      <c r="D6605" s="91"/>
      <c r="E6605" s="221"/>
      <c r="F6605" s="91"/>
      <c r="G6605" s="91"/>
      <c r="H6605" s="242"/>
      <c r="I6605" s="223"/>
      <c r="J6605" s="57"/>
      <c r="K6605" s="153"/>
      <c r="L6605" s="153"/>
      <c r="M6605" s="243"/>
      <c r="N6605" s="234"/>
      <c r="O6605" s="235"/>
    </row>
    <row r="6606" spans="1:15" ht="15" customHeight="1">
      <c r="A6606" s="91"/>
      <c r="B6606" s="91"/>
      <c r="C6606" s="220"/>
      <c r="D6606" s="91"/>
      <c r="E6606" s="221"/>
      <c r="F6606" s="91"/>
      <c r="G6606" s="91"/>
      <c r="H6606" s="242"/>
      <c r="I6606" s="132" t="s">
        <v>0</v>
      </c>
      <c r="J6606" s="57"/>
      <c r="K6606" s="153"/>
      <c r="L6606" s="153"/>
      <c r="M6606" s="243"/>
      <c r="N6606" s="234"/>
      <c r="O6606" s="235"/>
    </row>
  </sheetData>
  <customSheetViews>
    <customSheetView guid="{CF86F120-DE02-4EBC-8B6A-E39704F3764C}" filter="1" showAutoFilter="1">
      <pageMargins left="0.7" right="0.7" top="0.75" bottom="0.75" header="0.3" footer="0.3"/>
      <autoFilter ref="A1:AN9" xr:uid="{47AEFCE1-052C-0448-966A-8B496C68FEE5}"/>
      <extLst>
        <ext uri="GoogleSheetsCustomDataVersion1">
          <go:sheetsCustomData xmlns:go="http://customooxmlschemas.google.com/" filterViewId="691959877"/>
        </ext>
      </extLst>
    </customSheetView>
    <customSheetView guid="{C9A0C243-7E73-4FE7-8E7C-67ABE88D82FD}" filter="1" showAutoFilter="1">
      <pageMargins left="0.7" right="0.7" top="0.75" bottom="0.75" header="0.3" footer="0.3"/>
      <autoFilter ref="A1:AM9" xr:uid="{AD84AA75-7D1D-9345-B3F7-1FC60F6A4541}"/>
      <extLst>
        <ext uri="GoogleSheetsCustomDataVersion1">
          <go:sheetsCustomData xmlns:go="http://customooxmlschemas.google.com/" filterViewId="322794188"/>
        </ext>
      </extLst>
    </customSheetView>
    <customSheetView guid="{8798D8E6-08A3-4DF0-BF38-B8A7A8E14894}" filter="1" showAutoFilter="1">
      <pageMargins left="0.7" right="0.7" top="0.75" bottom="0.75" header="0.3" footer="0.3"/>
      <autoFilter ref="A1:AM9" xr:uid="{1A6C740F-C886-C14D-830C-4DCC99407249}"/>
      <extLst>
        <ext uri="GoogleSheetsCustomDataVersion1">
          <go:sheetsCustomData xmlns:go="http://customooxmlschemas.google.com/" filterViewId="2071636174"/>
        </ext>
      </extLst>
    </customSheetView>
  </customSheetViews>
  <mergeCells count="146">
    <mergeCell ref="Z4444:Z4447"/>
    <mergeCell ref="Q4462:Q4465"/>
    <mergeCell ref="X4462:X4465"/>
    <mergeCell ref="Z4462:Z4465"/>
    <mergeCell ref="X4466:X4469"/>
    <mergeCell ref="Z4466:Z4469"/>
    <mergeCell ref="AB4466:AB4469"/>
    <mergeCell ref="X4481:X4482"/>
    <mergeCell ref="Z4481:Z4482"/>
    <mergeCell ref="Q4466:Q4469"/>
    <mergeCell ref="Q4470:Q4474"/>
    <mergeCell ref="Z4470:Z4474"/>
    <mergeCell ref="AB4470:AB4475"/>
    <mergeCell ref="AB4476:AB4477"/>
    <mergeCell ref="AB4478:AB4479"/>
    <mergeCell ref="Q4481:Q4482"/>
    <mergeCell ref="Z4398:Z4399"/>
    <mergeCell ref="AB4398:AB4399"/>
    <mergeCell ref="V4400:V4402"/>
    <mergeCell ref="Z4400:Z4402"/>
    <mergeCell ref="AB4400:AB4402"/>
    <mergeCell ref="U4405:U4406"/>
    <mergeCell ref="Z4384:Z4386"/>
    <mergeCell ref="AB4384:AB4386"/>
    <mergeCell ref="AB4388:AB4389"/>
    <mergeCell ref="V4391:V4394"/>
    <mergeCell ref="Z4391:Z4394"/>
    <mergeCell ref="AB4391:AB4394"/>
    <mergeCell ref="X4400:X4402"/>
    <mergeCell ref="AB4370:AB4371"/>
    <mergeCell ref="AB4372:AB4373"/>
    <mergeCell ref="Z4378:Z4379"/>
    <mergeCell ref="AB4378:AB4379"/>
    <mergeCell ref="V4380:V4383"/>
    <mergeCell ref="Z4380:Z4383"/>
    <mergeCell ref="AB4380:AB4383"/>
    <mergeCell ref="AB4357:AB4360"/>
    <mergeCell ref="Q4359:Q4360"/>
    <mergeCell ref="Q4363:Q4365"/>
    <mergeCell ref="Z4364:Z4365"/>
    <mergeCell ref="AB4366:AB4369"/>
    <mergeCell ref="X4368:X4369"/>
    <mergeCell ref="Z4368:Z4369"/>
    <mergeCell ref="X4378:X4379"/>
    <mergeCell ref="Q4380:Q4383"/>
    <mergeCell ref="X4380:X4383"/>
    <mergeCell ref="AB4346:AB4347"/>
    <mergeCell ref="V4348:V4349"/>
    <mergeCell ref="Z4348:Z4349"/>
    <mergeCell ref="AB4348:AB4349"/>
    <mergeCell ref="AB4355:AB4356"/>
    <mergeCell ref="Z4335:Z4337"/>
    <mergeCell ref="AB4335:AB4337"/>
    <mergeCell ref="Z4338:Z4340"/>
    <mergeCell ref="AB4338:AB4340"/>
    <mergeCell ref="AB4342:AB4343"/>
    <mergeCell ref="V4344:V4345"/>
    <mergeCell ref="Z4344:Z4345"/>
    <mergeCell ref="AB4344:AB4345"/>
    <mergeCell ref="AB4314:AB4317"/>
    <mergeCell ref="Z4320:Z4321"/>
    <mergeCell ref="AB4320:AB4321"/>
    <mergeCell ref="AB4326:AB4327"/>
    <mergeCell ref="AB4330:AB4331"/>
    <mergeCell ref="AB4332:AB4333"/>
    <mergeCell ref="X4308:X4309"/>
    <mergeCell ref="Z4308:Z4309"/>
    <mergeCell ref="AB4308:AB4311"/>
    <mergeCell ref="X4310:X4311"/>
    <mergeCell ref="Z4310:Z4311"/>
    <mergeCell ref="AB4312:AB4313"/>
    <mergeCell ref="Z4297:Z4299"/>
    <mergeCell ref="AB4297:AB4299"/>
    <mergeCell ref="Z4301:Z4302"/>
    <mergeCell ref="AB4301:AB4302"/>
    <mergeCell ref="X4303:X4304"/>
    <mergeCell ref="Z4303:Z4304"/>
    <mergeCell ref="AB4303:AB4306"/>
    <mergeCell ref="AB4288:AB4289"/>
    <mergeCell ref="Z4290:Z4291"/>
    <mergeCell ref="AB4290:AB4291"/>
    <mergeCell ref="X4292:X4293"/>
    <mergeCell ref="Z4292:Z4293"/>
    <mergeCell ref="Z4294:Z4295"/>
    <mergeCell ref="AB4294:AB4295"/>
    <mergeCell ref="Z4274:Z4277"/>
    <mergeCell ref="AB4274:AB4277"/>
    <mergeCell ref="Z4281:Z4282"/>
    <mergeCell ref="AB4281:AB4282"/>
    <mergeCell ref="Q4283:Q4284"/>
    <mergeCell ref="Z4283:Z4284"/>
    <mergeCell ref="AB4283:AB4284"/>
    <mergeCell ref="J4400:J4402"/>
    <mergeCell ref="O4400:O4402"/>
    <mergeCell ref="AA4400:AA4402"/>
    <mergeCell ref="Q4400:Q4402"/>
    <mergeCell ref="X4391:X4394"/>
    <mergeCell ref="O4398:O4399"/>
    <mergeCell ref="Q4398:Q4399"/>
    <mergeCell ref="X4398:X4399"/>
    <mergeCell ref="V4398:V4399"/>
    <mergeCell ref="J4391:J4394"/>
    <mergeCell ref="K4391:K4394"/>
    <mergeCell ref="O4391:O4394"/>
    <mergeCell ref="Q4391:Q4394"/>
    <mergeCell ref="Q4384:Q4386"/>
    <mergeCell ref="X4384:X4386"/>
    <mergeCell ref="V4384:V4386"/>
    <mergeCell ref="U4378:U4379"/>
    <mergeCell ref="J4366:J4369"/>
    <mergeCell ref="U4368:U4369"/>
    <mergeCell ref="X4348:X4349"/>
    <mergeCell ref="Q4357:Q4358"/>
    <mergeCell ref="O4348:O4349"/>
    <mergeCell ref="AA4348:AA4349"/>
    <mergeCell ref="Q4348:Q4349"/>
    <mergeCell ref="X4344:X4345"/>
    <mergeCell ref="X4346:X4347"/>
    <mergeCell ref="AA4346:AA4347"/>
    <mergeCell ref="V4346:V4347"/>
    <mergeCell ref="O4344:O4345"/>
    <mergeCell ref="AA4344:AA4345"/>
    <mergeCell ref="Q4344:Q4345"/>
    <mergeCell ref="Z4346:Z4347"/>
    <mergeCell ref="Q4338:Q4340"/>
    <mergeCell ref="U4338:U4340"/>
    <mergeCell ref="X4338:X4340"/>
    <mergeCell ref="O4335:O4337"/>
    <mergeCell ref="AA4335:AA4337"/>
    <mergeCell ref="Q4335:Q4337"/>
    <mergeCell ref="X4335:X4337"/>
    <mergeCell ref="V4335:V4337"/>
    <mergeCell ref="X4320:X4321"/>
    <mergeCell ref="Q4274:Q4277"/>
    <mergeCell ref="X4274:X4277"/>
    <mergeCell ref="Q4281:Q4282"/>
    <mergeCell ref="X4281:X4282"/>
    <mergeCell ref="Q4308:Q4309"/>
    <mergeCell ref="U4308:U4309"/>
    <mergeCell ref="Q4297:Q4299"/>
    <mergeCell ref="X4297:X4299"/>
    <mergeCell ref="Q4294:Q4295"/>
    <mergeCell ref="X4294:X4295"/>
    <mergeCell ref="Q4290:Q4291"/>
    <mergeCell ref="U4290:U4291"/>
    <mergeCell ref="X4290:X4291"/>
  </mergeCells>
  <phoneticPr fontId="76" type="noConversion"/>
  <pageMargins left="0.7" right="0.7" top="0.75" bottom="0.75" header="0" footer="0"/>
  <pageSetup paperSize="8" scale="3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E44" sqref="E44"/>
    </sheetView>
  </sheetViews>
  <sheetFormatPr baseColWidth="10" defaultColWidth="14.3984375" defaultRowHeight="15" customHeight="1"/>
  <cols>
    <col min="1" max="1" width="12.59765625" customWidth="1"/>
    <col min="2" max="2" width="20" customWidth="1"/>
    <col min="3" max="3" width="12.59765625" customWidth="1"/>
    <col min="4" max="4" width="15.3984375" customWidth="1"/>
    <col min="5" max="5" width="53.19921875" customWidth="1"/>
    <col min="6" max="6" width="66.3984375" customWidth="1"/>
    <col min="7" max="7" width="46.3984375" customWidth="1"/>
    <col min="8" max="26" width="12.59765625" customWidth="1"/>
  </cols>
  <sheetData>
    <row r="1" spans="1:26" ht="24" customHeight="1">
      <c r="A1" s="1528" t="s">
        <v>14027</v>
      </c>
      <c r="B1" s="1529"/>
      <c r="C1" s="1529"/>
      <c r="D1" s="1529"/>
      <c r="E1" s="1529"/>
      <c r="F1" s="1529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5.75" customHeight="1">
      <c r="A2" s="1341" t="s">
        <v>278</v>
      </c>
      <c r="B2" s="1342" t="s">
        <v>13410</v>
      </c>
      <c r="C2" s="1342" t="s">
        <v>14028</v>
      </c>
      <c r="D2" s="1343" t="s">
        <v>14029</v>
      </c>
      <c r="E2" s="1342" t="s">
        <v>14030</v>
      </c>
      <c r="F2" s="1342" t="s">
        <v>14031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48" customHeight="1">
      <c r="A3" s="1344">
        <v>41813</v>
      </c>
      <c r="B3" s="1345" t="s">
        <v>10673</v>
      </c>
      <c r="C3" s="1346" t="s">
        <v>170</v>
      </c>
      <c r="D3" s="1347">
        <v>0</v>
      </c>
      <c r="E3" s="1346" t="s">
        <v>14032</v>
      </c>
      <c r="F3" s="1348" t="s">
        <v>14033</v>
      </c>
      <c r="G3" s="1349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 spans="1:26" ht="15.75" customHeight="1">
      <c r="A4" s="1344">
        <v>41813</v>
      </c>
      <c r="B4" s="1345" t="s">
        <v>14034</v>
      </c>
      <c r="C4" s="1346" t="s">
        <v>11643</v>
      </c>
      <c r="D4" s="1347">
        <v>0</v>
      </c>
      <c r="E4" s="1346" t="s">
        <v>14035</v>
      </c>
      <c r="F4" s="1346" t="s">
        <v>14036</v>
      </c>
      <c r="G4" s="24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 ht="15.75" customHeight="1">
      <c r="A5" s="1344">
        <v>41813</v>
      </c>
      <c r="B5" s="1345" t="s">
        <v>13494</v>
      </c>
      <c r="C5" s="1346" t="s">
        <v>11643</v>
      </c>
      <c r="D5" s="1347">
        <v>0</v>
      </c>
      <c r="E5" s="1346" t="s">
        <v>14037</v>
      </c>
      <c r="F5" s="1350" t="s">
        <v>14038</v>
      </c>
      <c r="G5" s="24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spans="1:26" ht="15.75" customHeight="1">
      <c r="A6" s="1344">
        <v>42047</v>
      </c>
      <c r="B6" s="1345" t="s">
        <v>14039</v>
      </c>
      <c r="C6" s="1346" t="s">
        <v>11643</v>
      </c>
      <c r="D6" s="1347">
        <v>0</v>
      </c>
      <c r="E6" s="1346" t="s">
        <v>14040</v>
      </c>
      <c r="F6" s="1346" t="s">
        <v>14041</v>
      </c>
      <c r="G6" s="24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 ht="15.75" customHeight="1">
      <c r="A7" s="1344">
        <v>41949</v>
      </c>
      <c r="B7" s="1345" t="s">
        <v>14042</v>
      </c>
      <c r="C7" s="1346" t="s">
        <v>11643</v>
      </c>
      <c r="D7" s="1347">
        <v>0</v>
      </c>
      <c r="E7" s="1346" t="s">
        <v>14043</v>
      </c>
      <c r="F7" s="1348" t="s">
        <v>14044</v>
      </c>
      <c r="G7" s="24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5.75" customHeight="1">
      <c r="A8" s="1344">
        <v>41834</v>
      </c>
      <c r="B8" s="1345" t="s">
        <v>14045</v>
      </c>
      <c r="C8" s="1346" t="s">
        <v>11643</v>
      </c>
      <c r="D8" s="1347">
        <v>0</v>
      </c>
      <c r="E8" s="1346" t="s">
        <v>14046</v>
      </c>
      <c r="F8" s="1346" t="s">
        <v>14047</v>
      </c>
      <c r="G8" s="24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spans="1:26" ht="15.75" customHeight="1">
      <c r="A9" s="1344">
        <v>41834</v>
      </c>
      <c r="B9" s="1345" t="s">
        <v>10691</v>
      </c>
      <c r="C9" s="1346" t="s">
        <v>11643</v>
      </c>
      <c r="D9" s="1347">
        <v>0</v>
      </c>
      <c r="E9" s="1346" t="s">
        <v>14048</v>
      </c>
      <c r="F9" s="1348" t="s">
        <v>14047</v>
      </c>
      <c r="G9" s="24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5.75" customHeight="1">
      <c r="A10" s="1282">
        <v>41813</v>
      </c>
      <c r="B10" s="681" t="s">
        <v>14049</v>
      </c>
      <c r="C10" s="1286" t="s">
        <v>170</v>
      </c>
      <c r="D10" s="1273">
        <v>3000</v>
      </c>
      <c r="E10" s="21" t="s">
        <v>14050</v>
      </c>
      <c r="F10" s="451" t="s">
        <v>14051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15.75" customHeight="1">
      <c r="A11" s="1282">
        <v>41855</v>
      </c>
      <c r="B11" s="1351" t="s">
        <v>14052</v>
      </c>
      <c r="C11" s="1352" t="s">
        <v>170</v>
      </c>
      <c r="D11" s="686">
        <v>10000</v>
      </c>
      <c r="E11" s="214" t="s">
        <v>14053</v>
      </c>
      <c r="F11" s="451" t="s">
        <v>14054</v>
      </c>
      <c r="G11" s="24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spans="1:26" ht="15.75" customHeight="1">
      <c r="A12" s="1282">
        <v>42247</v>
      </c>
      <c r="B12" s="681" t="s">
        <v>14055</v>
      </c>
      <c r="C12" s="1286" t="s">
        <v>170</v>
      </c>
      <c r="D12" s="686">
        <v>0</v>
      </c>
      <c r="E12" s="1286" t="s">
        <v>14056</v>
      </c>
      <c r="F12" s="1286" t="s">
        <v>14057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spans="1:26" ht="15.75" customHeight="1">
      <c r="A13" s="1282">
        <v>42362</v>
      </c>
      <c r="B13" s="681" t="s">
        <v>14058</v>
      </c>
      <c r="C13" s="1286" t="s">
        <v>302</v>
      </c>
      <c r="D13" s="1353">
        <v>50000</v>
      </c>
      <c r="E13" s="642" t="s">
        <v>14059</v>
      </c>
      <c r="F13" s="1286" t="s">
        <v>14060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spans="1:26" ht="15.75" customHeight="1">
      <c r="A14" s="1282">
        <v>42416</v>
      </c>
      <c r="B14" s="681" t="s">
        <v>8751</v>
      </c>
      <c r="C14" s="1286" t="s">
        <v>42</v>
      </c>
      <c r="D14" s="1353">
        <v>15000</v>
      </c>
      <c r="E14" s="214" t="s">
        <v>14061</v>
      </c>
      <c r="F14" s="1286" t="s">
        <v>14062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 ht="15.75" customHeight="1">
      <c r="A15" s="1282">
        <v>42433</v>
      </c>
      <c r="B15" s="681" t="s">
        <v>11516</v>
      </c>
      <c r="C15" s="1286" t="s">
        <v>170</v>
      </c>
      <c r="D15" s="686">
        <v>0</v>
      </c>
      <c r="E15" s="1286" t="s">
        <v>14063</v>
      </c>
      <c r="F15" s="451" t="s">
        <v>14064</v>
      </c>
      <c r="G15" s="24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spans="1:26" ht="15.75" customHeight="1">
      <c r="A16" s="1282">
        <v>42443</v>
      </c>
      <c r="B16" s="611" t="s">
        <v>986</v>
      </c>
      <c r="C16" s="1286" t="s">
        <v>3712</v>
      </c>
      <c r="D16" s="650">
        <v>5000</v>
      </c>
      <c r="E16" s="1286" t="s">
        <v>14065</v>
      </c>
      <c r="F16" s="1286" t="s">
        <v>14066</v>
      </c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spans="1:26" ht="15.75" customHeight="1">
      <c r="A17" s="1282">
        <v>42541</v>
      </c>
      <c r="B17" s="501" t="s">
        <v>14067</v>
      </c>
      <c r="C17" s="66" t="s">
        <v>170</v>
      </c>
      <c r="D17" s="650">
        <v>5000</v>
      </c>
      <c r="E17" s="1286" t="s">
        <v>14065</v>
      </c>
      <c r="F17" s="1286" t="s">
        <v>14068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15.75" customHeight="1">
      <c r="A18" s="1282">
        <v>42556</v>
      </c>
      <c r="B18" s="1351" t="s">
        <v>14069</v>
      </c>
      <c r="C18" s="1352" t="s">
        <v>170</v>
      </c>
      <c r="D18" s="686">
        <v>3000</v>
      </c>
      <c r="E18" s="642" t="s">
        <v>14070</v>
      </c>
      <c r="F18" s="1286" t="s">
        <v>14071</v>
      </c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15.75" customHeight="1">
      <c r="A19" s="1282">
        <v>42675</v>
      </c>
      <c r="B19" s="610" t="s">
        <v>228</v>
      </c>
      <c r="C19" s="66" t="s">
        <v>170</v>
      </c>
      <c r="D19" s="650">
        <v>35000</v>
      </c>
      <c r="E19" s="1286" t="s">
        <v>14072</v>
      </c>
      <c r="F19" s="451" t="s">
        <v>14073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15.75" customHeight="1">
      <c r="A20" s="1282">
        <v>42818</v>
      </c>
      <c r="B20" s="611" t="s">
        <v>14074</v>
      </c>
      <c r="C20" s="1286" t="s">
        <v>170</v>
      </c>
      <c r="D20" s="650">
        <v>15000</v>
      </c>
      <c r="E20" s="1286" t="s">
        <v>14075</v>
      </c>
      <c r="F20" s="451" t="s">
        <v>14076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15.75" customHeight="1">
      <c r="A21" s="1282">
        <v>42824</v>
      </c>
      <c r="B21" s="451" t="s">
        <v>1189</v>
      </c>
      <c r="C21" s="1286" t="s">
        <v>42</v>
      </c>
      <c r="D21" s="686">
        <v>6000</v>
      </c>
      <c r="E21" s="1286" t="s">
        <v>14065</v>
      </c>
      <c r="F21" s="1286" t="s">
        <v>14077</v>
      </c>
      <c r="G21" s="24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ht="15.75" customHeight="1">
      <c r="A22" s="1282">
        <v>42842</v>
      </c>
      <c r="B22" s="611" t="s">
        <v>14078</v>
      </c>
      <c r="C22" s="66" t="s">
        <v>170</v>
      </c>
      <c r="D22" s="650">
        <v>4000</v>
      </c>
      <c r="E22" s="1286" t="s">
        <v>14065</v>
      </c>
      <c r="F22" s="451" t="s">
        <v>14079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ht="15.75" customHeight="1">
      <c r="A23" s="1282">
        <v>42873</v>
      </c>
      <c r="B23" s="611" t="s">
        <v>377</v>
      </c>
      <c r="C23" s="66" t="s">
        <v>14080</v>
      </c>
      <c r="D23" s="650">
        <v>100000</v>
      </c>
      <c r="E23" s="1286" t="s">
        <v>14065</v>
      </c>
      <c r="F23" s="451" t="s">
        <v>14081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 ht="15.75" customHeight="1">
      <c r="A24" s="1282">
        <v>42940</v>
      </c>
      <c r="B24" s="1354" t="s">
        <v>14082</v>
      </c>
      <c r="C24" s="1286" t="s">
        <v>42</v>
      </c>
      <c r="D24" s="1353">
        <v>17000</v>
      </c>
      <c r="E24" s="1286" t="s">
        <v>14083</v>
      </c>
      <c r="F24" s="451" t="s">
        <v>14084</v>
      </c>
      <c r="G24" s="24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15.75" customHeight="1">
      <c r="A25" s="1282">
        <v>42947</v>
      </c>
      <c r="B25" s="611" t="s">
        <v>12148</v>
      </c>
      <c r="C25" s="1286" t="s">
        <v>42</v>
      </c>
      <c r="D25" s="1355">
        <v>26000</v>
      </c>
      <c r="E25" s="214" t="s">
        <v>14085</v>
      </c>
      <c r="F25" s="1286" t="s">
        <v>14086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 ht="15.75" customHeight="1">
      <c r="A26" s="1282">
        <v>42975</v>
      </c>
      <c r="B26" s="611" t="s">
        <v>14087</v>
      </c>
      <c r="C26" s="1286" t="s">
        <v>170</v>
      </c>
      <c r="D26" s="650">
        <v>10000</v>
      </c>
      <c r="E26" s="151" t="s">
        <v>14088</v>
      </c>
      <c r="F26" s="1286" t="s">
        <v>14089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spans="1:26" ht="15.75" customHeight="1">
      <c r="A27" s="1282">
        <v>43234</v>
      </c>
      <c r="B27" s="1356" t="s">
        <v>619</v>
      </c>
      <c r="C27" s="1286" t="s">
        <v>42</v>
      </c>
      <c r="D27" s="650">
        <v>2000</v>
      </c>
      <c r="E27" s="148" t="s">
        <v>14090</v>
      </c>
      <c r="F27" s="148" t="s">
        <v>14091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spans="1:26" ht="15.75" customHeight="1">
      <c r="A28" s="1282">
        <v>43234</v>
      </c>
      <c r="B28" s="611" t="s">
        <v>14092</v>
      </c>
      <c r="C28" s="66" t="s">
        <v>3712</v>
      </c>
      <c r="D28" s="650">
        <v>3000</v>
      </c>
      <c r="E28" s="1286" t="s">
        <v>14065</v>
      </c>
      <c r="F28" s="148" t="s">
        <v>14091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spans="1:26" ht="15.75" customHeight="1">
      <c r="A29" s="1282">
        <v>43286</v>
      </c>
      <c r="B29" s="1356" t="s">
        <v>4760</v>
      </c>
      <c r="C29" s="1286" t="s">
        <v>170</v>
      </c>
      <c r="D29" s="650">
        <v>3000</v>
      </c>
      <c r="E29" s="516" t="s">
        <v>14093</v>
      </c>
      <c r="F29" s="21" t="s">
        <v>14094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spans="1:26" ht="15.75" customHeight="1">
      <c r="A30" s="1282">
        <v>43518</v>
      </c>
      <c r="B30" s="501" t="s">
        <v>14095</v>
      </c>
      <c r="C30" s="1286" t="s">
        <v>170</v>
      </c>
      <c r="D30" s="159">
        <v>34000</v>
      </c>
      <c r="E30" s="148" t="s">
        <v>14075</v>
      </c>
      <c r="F30" s="21" t="s">
        <v>14096</v>
      </c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spans="1:26" ht="15.75" customHeight="1">
      <c r="A31" s="1282">
        <v>43570</v>
      </c>
      <c r="B31" s="611" t="s">
        <v>14097</v>
      </c>
      <c r="C31" s="66" t="s">
        <v>14080</v>
      </c>
      <c r="D31" s="159">
        <v>10000</v>
      </c>
      <c r="E31" s="66" t="s">
        <v>14098</v>
      </c>
      <c r="F31" s="148" t="s">
        <v>14099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spans="1:26" ht="43.5" customHeight="1">
      <c r="A32" s="1282">
        <v>43659</v>
      </c>
      <c r="B32" s="66" t="s">
        <v>14100</v>
      </c>
      <c r="C32" s="1286" t="s">
        <v>170</v>
      </c>
      <c r="D32" s="159">
        <v>0</v>
      </c>
      <c r="E32" s="1357" t="s">
        <v>14101</v>
      </c>
      <c r="F32" s="1286" t="s">
        <v>14102</v>
      </c>
      <c r="G32" s="24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spans="1:26" ht="15.75" customHeight="1">
      <c r="A33" s="1282">
        <v>43710</v>
      </c>
      <c r="B33" s="1286" t="s">
        <v>14103</v>
      </c>
      <c r="C33" s="1286" t="s">
        <v>42</v>
      </c>
      <c r="D33" s="1270">
        <v>3000</v>
      </c>
      <c r="E33" s="148" t="s">
        <v>14104</v>
      </c>
      <c r="F33" s="1286" t="s">
        <v>14105</v>
      </c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 ht="15.75" customHeight="1">
      <c r="A34" s="1282">
        <v>43760</v>
      </c>
      <c r="B34" s="66" t="s">
        <v>126</v>
      </c>
      <c r="C34" s="1286" t="s">
        <v>42</v>
      </c>
      <c r="D34" s="159">
        <v>0</v>
      </c>
      <c r="E34" s="1358" t="s">
        <v>14106</v>
      </c>
      <c r="F34" s="1286" t="s">
        <v>14107</v>
      </c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spans="1:26" ht="15.75" customHeight="1">
      <c r="A35" s="1282">
        <v>43900</v>
      </c>
      <c r="B35" s="66" t="s">
        <v>14108</v>
      </c>
      <c r="C35" s="66" t="s">
        <v>14080</v>
      </c>
      <c r="D35" s="159">
        <v>0</v>
      </c>
      <c r="E35" s="66" t="s">
        <v>14109</v>
      </c>
      <c r="F35" s="1286" t="s">
        <v>14110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spans="1:26" ht="15.75" customHeight="1">
      <c r="A36" s="1359">
        <v>43956</v>
      </c>
      <c r="B36" s="66" t="s">
        <v>14111</v>
      </c>
      <c r="C36" s="1286" t="s">
        <v>170</v>
      </c>
      <c r="D36" s="159">
        <v>10000</v>
      </c>
      <c r="E36" s="1286" t="s">
        <v>14112</v>
      </c>
      <c r="F36" s="1286" t="s">
        <v>14113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spans="1:26" ht="15.75" customHeight="1">
      <c r="A37" s="1282">
        <v>44222</v>
      </c>
      <c r="B37" s="66" t="s">
        <v>1768</v>
      </c>
      <c r="C37" s="66" t="s">
        <v>14114</v>
      </c>
      <c r="D37" s="159">
        <v>5000</v>
      </c>
      <c r="E37" s="148" t="s">
        <v>14090</v>
      </c>
      <c r="F37" s="1286" t="s">
        <v>14115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spans="1:26" ht="15.75" customHeight="1">
      <c r="A38" s="1282">
        <v>44222</v>
      </c>
      <c r="B38" s="66" t="s">
        <v>14116</v>
      </c>
      <c r="C38" s="1286" t="s">
        <v>170</v>
      </c>
      <c r="D38" s="159">
        <v>10000</v>
      </c>
      <c r="E38" s="148" t="s">
        <v>14075</v>
      </c>
      <c r="F38" s="1286" t="s">
        <v>14115</v>
      </c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spans="1:26" ht="15.75" customHeight="1">
      <c r="A39" s="1259"/>
      <c r="B39" s="66"/>
      <c r="C39" s="66"/>
      <c r="D39" s="159"/>
      <c r="E39" s="66"/>
      <c r="F39" s="1286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spans="1:26" ht="15.75" customHeight="1">
      <c r="A40" s="1259"/>
      <c r="B40" s="66"/>
      <c r="C40" s="66"/>
      <c r="D40" s="159"/>
      <c r="E40" s="66"/>
      <c r="F40" s="66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spans="1:26" ht="15.75" customHeight="1">
      <c r="A41" s="1259"/>
      <c r="B41" s="66"/>
      <c r="C41" s="66"/>
      <c r="D41" s="159"/>
      <c r="E41" s="66"/>
      <c r="F41" s="66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spans="1:26" ht="15.75" customHeight="1">
      <c r="A42" s="1259"/>
      <c r="B42" s="66"/>
      <c r="C42" s="66"/>
      <c r="D42" s="159"/>
      <c r="E42" s="66"/>
      <c r="F42" s="66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spans="1:26" ht="15.75" customHeight="1">
      <c r="A43" s="1259"/>
      <c r="B43" s="66"/>
      <c r="C43" s="66"/>
      <c r="D43" s="159"/>
      <c r="E43" s="66"/>
      <c r="F43" s="6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spans="1:26" ht="15.75" customHeight="1">
      <c r="A44" s="1259"/>
      <c r="B44" s="66"/>
      <c r="C44" s="66"/>
      <c r="D44" s="159"/>
      <c r="E44" s="66"/>
      <c r="F44" s="6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spans="1:26" ht="15.75" customHeight="1">
      <c r="A45" s="1259"/>
      <c r="B45" s="66"/>
      <c r="C45" s="66"/>
      <c r="D45" s="159"/>
      <c r="E45" s="66"/>
      <c r="F45" s="66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spans="1:26" ht="15.75" customHeight="1">
      <c r="A46" s="1259"/>
      <c r="B46" s="66"/>
      <c r="C46" s="66"/>
      <c r="D46" s="159"/>
      <c r="E46" s="66"/>
      <c r="F46" s="66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spans="1:26" ht="15.75" customHeight="1">
      <c r="A47" s="1259"/>
      <c r="B47" s="66"/>
      <c r="C47" s="66"/>
      <c r="D47" s="159"/>
      <c r="E47" s="66"/>
      <c r="F47" s="66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spans="1:26" ht="15.75" customHeight="1">
      <c r="A48" s="1259"/>
      <c r="B48" s="66"/>
      <c r="C48" s="66"/>
      <c r="D48" s="159"/>
      <c r="E48" s="66"/>
      <c r="F48" s="66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spans="1:26" ht="15.75" customHeight="1">
      <c r="A49" s="1259"/>
      <c r="B49" s="66"/>
      <c r="C49" s="66"/>
      <c r="D49" s="159"/>
      <c r="E49" s="66"/>
      <c r="F49" s="66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spans="1:26" ht="15.75" customHeight="1">
      <c r="A50" s="1259"/>
      <c r="B50" s="66"/>
      <c r="C50" s="66"/>
      <c r="D50" s="159"/>
      <c r="E50" s="66"/>
      <c r="F50" s="66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spans="1:26" ht="15.75" customHeight="1">
      <c r="A51" s="91"/>
      <c r="B51" s="91"/>
      <c r="C51" s="91"/>
      <c r="D51" s="1360">
        <f>SUM(D3:D50)</f>
        <v>384000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spans="1:26" ht="15.75" customHeight="1">
      <c r="A52" s="91"/>
      <c r="B52" s="91"/>
      <c r="C52" s="91"/>
      <c r="D52" s="1289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spans="1:26" ht="15.75" customHeight="1">
      <c r="A53" s="91" t="s">
        <v>14117</v>
      </c>
      <c r="B53" s="91"/>
      <c r="C53" s="91"/>
      <c r="D53" s="1289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spans="1:26" ht="15.75" customHeight="1">
      <c r="A54" s="924" t="s">
        <v>14118</v>
      </c>
      <c r="B54" s="91"/>
      <c r="C54" s="91"/>
      <c r="D54" s="1289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spans="1:26" ht="15.75" customHeight="1">
      <c r="A55" s="241" t="s">
        <v>14119</v>
      </c>
      <c r="B55" s="91"/>
      <c r="C55" s="91"/>
      <c r="D55" s="1289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spans="1:26" ht="15.75" customHeight="1">
      <c r="A56" s="91"/>
      <c r="B56" s="91"/>
      <c r="C56" s="91"/>
      <c r="D56" s="1289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spans="1:26" ht="15.75" customHeight="1">
      <c r="A57" s="91"/>
      <c r="B57" s="91"/>
      <c r="C57" s="91"/>
      <c r="D57" s="1289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spans="1:26" ht="15.75" customHeight="1">
      <c r="A58" s="91"/>
      <c r="B58" s="91"/>
      <c r="C58" s="91"/>
      <c r="D58" s="1289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spans="1:26" ht="15.75" customHeight="1">
      <c r="A59" s="91"/>
      <c r="B59" s="91"/>
      <c r="C59" s="91"/>
      <c r="D59" s="1289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spans="1:26" ht="15.75" customHeight="1">
      <c r="A60" s="91"/>
      <c r="B60" s="91"/>
      <c r="C60" s="91"/>
      <c r="D60" s="1289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spans="1:26" ht="15.75" customHeight="1">
      <c r="A61" s="91"/>
      <c r="B61" s="91"/>
      <c r="C61" s="91"/>
      <c r="D61" s="1289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spans="1:26" ht="15.75" customHeight="1">
      <c r="A62" s="91"/>
      <c r="B62" s="91"/>
      <c r="C62" s="91"/>
      <c r="D62" s="1289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spans="1:26" ht="15.75" customHeight="1">
      <c r="A63" s="91"/>
      <c r="B63" s="91"/>
      <c r="C63" s="91"/>
      <c r="D63" s="1289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spans="1:26" ht="15.75" customHeight="1">
      <c r="A64" s="91"/>
      <c r="B64" s="91"/>
      <c r="C64" s="91"/>
      <c r="D64" s="1289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spans="1:26" ht="15.75" customHeight="1">
      <c r="A65" s="91"/>
      <c r="B65" s="91"/>
      <c r="C65" s="91"/>
      <c r="D65" s="1289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spans="1:26" ht="15.75" customHeight="1">
      <c r="A66" s="91"/>
      <c r="B66" s="91"/>
      <c r="C66" s="91"/>
      <c r="D66" s="1289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spans="1:26" ht="15.75" customHeight="1">
      <c r="A67" s="91"/>
      <c r="B67" s="91"/>
      <c r="C67" s="91"/>
      <c r="D67" s="1289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spans="1:26" ht="15.75" customHeight="1">
      <c r="A68" s="91"/>
      <c r="B68" s="91"/>
      <c r="C68" s="91"/>
      <c r="D68" s="1289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spans="1:26" ht="15.75" customHeight="1">
      <c r="A69" s="91"/>
      <c r="B69" s="91"/>
      <c r="C69" s="91"/>
      <c r="D69" s="1289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spans="1:26" ht="15.75" customHeight="1">
      <c r="A70" s="91"/>
      <c r="B70" s="91"/>
      <c r="C70" s="91"/>
      <c r="D70" s="1289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spans="1:26" ht="15.75" customHeight="1">
      <c r="A71" s="91"/>
      <c r="B71" s="91"/>
      <c r="C71" s="91"/>
      <c r="D71" s="1289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spans="1:26" ht="15.75" customHeight="1">
      <c r="A72" s="91"/>
      <c r="B72" s="91"/>
      <c r="C72" s="91"/>
      <c r="D72" s="1289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spans="1:26" ht="15.75" customHeight="1">
      <c r="A73" s="91"/>
      <c r="B73" s="91"/>
      <c r="C73" s="91"/>
      <c r="D73" s="1289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spans="1:26" ht="15.75" customHeight="1">
      <c r="A74" s="91"/>
      <c r="B74" s="91"/>
      <c r="C74" s="91"/>
      <c r="D74" s="1289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spans="1:26" ht="15.75" customHeight="1">
      <c r="A75" s="91"/>
      <c r="B75" s="91"/>
      <c r="C75" s="91"/>
      <c r="D75" s="1289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spans="1:26" ht="15.75" customHeight="1">
      <c r="A76" s="91"/>
      <c r="B76" s="91"/>
      <c r="C76" s="91"/>
      <c r="D76" s="1289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spans="1:26" ht="15.75" customHeight="1">
      <c r="A77" s="91"/>
      <c r="B77" s="91"/>
      <c r="C77" s="91"/>
      <c r="D77" s="1289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spans="1:26" ht="15.75" customHeight="1">
      <c r="A78" s="91"/>
      <c r="B78" s="91"/>
      <c r="C78" s="91"/>
      <c r="D78" s="1289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spans="1:26" ht="15.75" customHeight="1">
      <c r="A79" s="91"/>
      <c r="B79" s="91"/>
      <c r="C79" s="91"/>
      <c r="D79" s="1289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spans="1:26" ht="15.75" customHeight="1">
      <c r="A80" s="91"/>
      <c r="B80" s="91"/>
      <c r="C80" s="91"/>
      <c r="D80" s="1289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spans="1:26" ht="15.75" customHeight="1">
      <c r="A81" s="91"/>
      <c r="B81" s="91"/>
      <c r="C81" s="91"/>
      <c r="D81" s="1289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spans="1:26" ht="15.75" customHeight="1">
      <c r="A82" s="91"/>
      <c r="B82" s="91"/>
      <c r="C82" s="91"/>
      <c r="D82" s="1289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1:26" ht="15.75" customHeight="1">
      <c r="A83" s="91"/>
      <c r="B83" s="91"/>
      <c r="C83" s="91"/>
      <c r="D83" s="1289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1:26" ht="15.75" customHeight="1">
      <c r="A84" s="91"/>
      <c r="B84" s="91"/>
      <c r="C84" s="91"/>
      <c r="D84" s="1289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1:26" ht="15.75" customHeight="1">
      <c r="A85" s="91"/>
      <c r="B85" s="91"/>
      <c r="C85" s="91"/>
      <c r="D85" s="1289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1:26" ht="15.75" customHeight="1">
      <c r="A86" s="91"/>
      <c r="B86" s="91"/>
      <c r="C86" s="91"/>
      <c r="D86" s="1289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1:26" ht="15.75" customHeight="1">
      <c r="A87" s="91"/>
      <c r="B87" s="91"/>
      <c r="C87" s="91"/>
      <c r="D87" s="1289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1:26" ht="15.75" customHeight="1">
      <c r="A88" s="91"/>
      <c r="B88" s="91"/>
      <c r="C88" s="91"/>
      <c r="D88" s="1289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1:26" ht="15.75" customHeight="1">
      <c r="A89" s="91"/>
      <c r="B89" s="91"/>
      <c r="C89" s="91"/>
      <c r="D89" s="1289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1:26" ht="15.75" customHeight="1">
      <c r="A90" s="91"/>
      <c r="B90" s="91"/>
      <c r="C90" s="91"/>
      <c r="D90" s="1289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1:26" ht="15.75" customHeight="1">
      <c r="A91" s="91"/>
      <c r="B91" s="91"/>
      <c r="C91" s="91"/>
      <c r="D91" s="1289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1:26" ht="15.75" customHeight="1">
      <c r="A92" s="91"/>
      <c r="B92" s="91"/>
      <c r="C92" s="91"/>
      <c r="D92" s="1289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1:26" ht="15.75" customHeight="1">
      <c r="A93" s="91"/>
      <c r="B93" s="91"/>
      <c r="C93" s="91"/>
      <c r="D93" s="1289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1:26" ht="15.75" customHeight="1">
      <c r="A94" s="91"/>
      <c r="B94" s="91"/>
      <c r="C94" s="91"/>
      <c r="D94" s="1289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1:26" ht="15.75" customHeight="1">
      <c r="A95" s="91"/>
      <c r="B95" s="91"/>
      <c r="C95" s="91"/>
      <c r="D95" s="1289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1:26" ht="15.75" customHeight="1">
      <c r="A96" s="91"/>
      <c r="B96" s="91"/>
      <c r="C96" s="91"/>
      <c r="D96" s="1289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1:26" ht="15.75" customHeight="1">
      <c r="A97" s="91"/>
      <c r="B97" s="91"/>
      <c r="C97" s="91"/>
      <c r="D97" s="1289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1:26" ht="15.75" customHeight="1">
      <c r="A98" s="91"/>
      <c r="B98" s="91"/>
      <c r="C98" s="91"/>
      <c r="D98" s="1289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1:26" ht="15.75" customHeight="1">
      <c r="A99" s="91"/>
      <c r="B99" s="91"/>
      <c r="C99" s="91"/>
      <c r="D99" s="1289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1:26" ht="15.75" customHeight="1">
      <c r="A100" s="91"/>
      <c r="B100" s="91"/>
      <c r="C100" s="91"/>
      <c r="D100" s="1289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1:26" ht="15.75" customHeight="1">
      <c r="A101" s="91"/>
      <c r="B101" s="91"/>
      <c r="C101" s="91"/>
      <c r="D101" s="1289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1:26" ht="15.75" customHeight="1">
      <c r="A102" s="91"/>
      <c r="B102" s="91"/>
      <c r="C102" s="91"/>
      <c r="D102" s="1289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1:26" ht="15.75" customHeight="1">
      <c r="A103" s="91"/>
      <c r="B103" s="91"/>
      <c r="C103" s="91"/>
      <c r="D103" s="1289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1:26" ht="15.75" customHeight="1">
      <c r="A104" s="91"/>
      <c r="B104" s="91"/>
      <c r="C104" s="91"/>
      <c r="D104" s="1289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1:26" ht="15.75" customHeight="1">
      <c r="A105" s="91"/>
      <c r="B105" s="91"/>
      <c r="C105" s="91"/>
      <c r="D105" s="1289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1:26" ht="15.75" customHeight="1">
      <c r="A106" s="91"/>
      <c r="B106" s="91"/>
      <c r="C106" s="91"/>
      <c r="D106" s="1289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1:26" ht="15.75" customHeight="1">
      <c r="A107" s="91"/>
      <c r="B107" s="91"/>
      <c r="C107" s="91"/>
      <c r="D107" s="1289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1:26" ht="15.75" customHeight="1">
      <c r="A108" s="91"/>
      <c r="B108" s="91"/>
      <c r="C108" s="91"/>
      <c r="D108" s="1289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1:26" ht="15.75" customHeight="1">
      <c r="A109" s="91"/>
      <c r="B109" s="91"/>
      <c r="C109" s="91"/>
      <c r="D109" s="1289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1:26" ht="15.75" customHeight="1">
      <c r="A110" s="91"/>
      <c r="B110" s="91"/>
      <c r="C110" s="91"/>
      <c r="D110" s="1289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1:26" ht="15.75" customHeight="1">
      <c r="A111" s="91"/>
      <c r="B111" s="91"/>
      <c r="C111" s="91"/>
      <c r="D111" s="1289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1:26" ht="15.75" customHeight="1">
      <c r="A112" s="91"/>
      <c r="B112" s="91"/>
      <c r="C112" s="91"/>
      <c r="D112" s="1289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1:26" ht="15.75" customHeight="1">
      <c r="A113" s="91"/>
      <c r="B113" s="91"/>
      <c r="C113" s="91"/>
      <c r="D113" s="1289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1:26" ht="15.75" customHeight="1">
      <c r="A114" s="91"/>
      <c r="B114" s="91"/>
      <c r="C114" s="91"/>
      <c r="D114" s="1289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1:26" ht="15.75" customHeight="1">
      <c r="A115" s="91"/>
      <c r="B115" s="91"/>
      <c r="C115" s="91"/>
      <c r="D115" s="1289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1:26" ht="15.75" customHeight="1">
      <c r="A116" s="91"/>
      <c r="B116" s="91"/>
      <c r="C116" s="91"/>
      <c r="D116" s="1289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1:26" ht="15.75" customHeight="1">
      <c r="A117" s="91"/>
      <c r="B117" s="91"/>
      <c r="C117" s="91"/>
      <c r="D117" s="1289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1:26" ht="15.75" customHeight="1">
      <c r="A118" s="91"/>
      <c r="B118" s="91"/>
      <c r="C118" s="91"/>
      <c r="D118" s="1289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1:26" ht="15.75" customHeight="1">
      <c r="A119" s="91"/>
      <c r="B119" s="91"/>
      <c r="C119" s="91"/>
      <c r="D119" s="1289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1:26" ht="15.75" customHeight="1">
      <c r="A120" s="91"/>
      <c r="B120" s="91"/>
      <c r="C120" s="91"/>
      <c r="D120" s="1289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1:26" ht="15.75" customHeight="1">
      <c r="A121" s="91"/>
      <c r="B121" s="91"/>
      <c r="C121" s="91"/>
      <c r="D121" s="1289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1:26" ht="15.75" customHeight="1">
      <c r="A122" s="91"/>
      <c r="B122" s="91"/>
      <c r="C122" s="91"/>
      <c r="D122" s="1289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1:26" ht="15.75" customHeight="1">
      <c r="A123" s="91"/>
      <c r="B123" s="91"/>
      <c r="C123" s="91"/>
      <c r="D123" s="1289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1:26" ht="15.75" customHeight="1">
      <c r="A124" s="91"/>
      <c r="B124" s="91"/>
      <c r="C124" s="91"/>
      <c r="D124" s="1289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1:26" ht="15.75" customHeight="1">
      <c r="A125" s="91"/>
      <c r="B125" s="91"/>
      <c r="C125" s="91"/>
      <c r="D125" s="1289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1:26" ht="15.75" customHeight="1">
      <c r="A126" s="91"/>
      <c r="B126" s="91"/>
      <c r="C126" s="91"/>
      <c r="D126" s="1289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1:26" ht="15.75" customHeight="1">
      <c r="A127" s="91"/>
      <c r="B127" s="91"/>
      <c r="C127" s="91"/>
      <c r="D127" s="1289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1:26" ht="15.75" customHeight="1">
      <c r="A128" s="91"/>
      <c r="B128" s="91"/>
      <c r="C128" s="91"/>
      <c r="D128" s="1289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1:26" ht="15.75" customHeight="1">
      <c r="A129" s="91"/>
      <c r="B129" s="91"/>
      <c r="C129" s="91"/>
      <c r="D129" s="1289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1:26" ht="15.75" customHeight="1">
      <c r="A130" s="91"/>
      <c r="B130" s="91"/>
      <c r="C130" s="91"/>
      <c r="D130" s="1289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1:26" ht="15.75" customHeight="1">
      <c r="A131" s="91"/>
      <c r="B131" s="91"/>
      <c r="C131" s="91"/>
      <c r="D131" s="1289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1:26" ht="15.75" customHeight="1">
      <c r="A132" s="91"/>
      <c r="B132" s="91"/>
      <c r="C132" s="91"/>
      <c r="D132" s="1289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1:26" ht="15.75" customHeight="1">
      <c r="A133" s="91"/>
      <c r="B133" s="91"/>
      <c r="C133" s="91"/>
      <c r="D133" s="1289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1:26" ht="15.75" customHeight="1">
      <c r="A134" s="91"/>
      <c r="B134" s="91"/>
      <c r="C134" s="91"/>
      <c r="D134" s="1289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1:26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1:2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1:26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1:26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1:26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1:26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1:26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1:26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1:26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1:26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1:26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1:2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1:26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1:26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1:26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1:26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1:26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1:26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1:26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1:26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1:26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1:2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1:26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1:26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1:26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1:26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1:26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1:26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1:26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1:26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1:26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1:2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1:26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1:26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1:26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1:26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1:26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1:26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1:26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1:26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1:26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1:2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1:26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1:26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1:26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1:26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1:26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1:26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1:26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1:26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1:26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1:2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1:26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1:26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1:26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1:26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1:26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1:26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1:26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1:26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1:26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1:2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1:26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1:26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1:26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1:26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1:26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1:26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1:26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1:26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1:26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1:2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1:26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1:26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1:26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1:26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1:26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1:26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1:26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1:26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1:26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1:2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1:26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1:26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1:26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1:26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1:26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1:26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1:26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1:26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1:26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1:26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1:26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1:26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1:26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1:26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1:26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1:26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1:26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1:26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1:26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1:26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1:26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1:26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1:26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1:26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1:26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1:26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1:26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1:26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1:26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1:26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1:26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1:26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1:26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1:26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1:26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1:26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1:26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1:26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1:26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honeticPr fontId="76" type="noConversion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OA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陳振耀 (Nick Chen)</cp:lastModifiedBy>
  <dcterms:modified xsi:type="dcterms:W3CDTF">2026-06-29T07:21:19Z</dcterms:modified>
</cp:coreProperties>
</file>